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milst03\work\10_案件\2023_009_サノフィ_MM\"/>
    </mc:Choice>
  </mc:AlternateContent>
  <bookViews>
    <workbookView xWindow="0" yWindow="0" windowWidth="23040" windowHeight="8730" tabRatio="891" firstSheet="249" activeTab="254"/>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5" r:id="rId6"/>
    <sheet name="データフロー_select" sheetId="406" r:id="rId7"/>
    <sheet name="データフロー_report1" sheetId="407" r:id="rId8"/>
    <sheet name="データフロー_annony" sheetId="418" r:id="rId9"/>
    <sheet name="エンティティ一覧" sheetId="25" r:id="rId10"/>
    <sheet name="バックアップ_疾患データ_組み入れ第一条件" sheetId="332" r:id="rId11"/>
    <sheet name="バックアップ_患者マスタ_組入れ第一条件" sheetId="331" r:id="rId12"/>
    <sheet name="バックアップ_処方データ" sheetId="236" r:id="rId13"/>
    <sheet name="バックアップ_診療行為データ" sheetId="237" r:id="rId14"/>
    <sheet name="バックアップ_疾患データ" sheetId="238" r:id="rId15"/>
    <sheet name="バックアップ_疾患診療科データ" sheetId="239" r:id="rId16"/>
    <sheet name="バックアップ_入院退院データ" sheetId="240" r:id="rId17"/>
    <sheet name="バックアップ_二次利用DB登録患者データ" sheetId="241" r:id="rId18"/>
    <sheet name="バックアップ_二次利用DB登録患者データ_DPC" sheetId="242" r:id="rId19"/>
    <sheet name="バックアップ_二次利用DB登録患者データ_レセプト" sheetId="243" r:id="rId20"/>
    <sheet name="バックアップ_二次利用DB登録患者データ_MML" sheetId="244" r:id="rId21"/>
    <sheet name="バックアップ_二次利用DB登録患者紐付けデータ" sheetId="245" r:id="rId22"/>
    <sheet name="バックアップ_エラー患者データ" sheetId="247" r:id="rId23"/>
    <sheet name="バックアップ_患者基本データ" sheetId="248" r:id="rId24"/>
    <sheet name="バックアップ_施設属性マスタ取込用" sheetId="249" r:id="rId25"/>
    <sheet name="バックアップ_二次医療圏マスタ取込用" sheetId="250" r:id="rId26"/>
    <sheet name="バックアップ_新旧医薬品コードマスタ取込用" sheetId="251" r:id="rId27"/>
    <sheet name="バックアップ_DPC6ICD10対応表マスタ取込用" sheetId="252" r:id="rId28"/>
    <sheet name="バックアップ_修飾語マスタ取込用" sheetId="253" r:id="rId29"/>
    <sheet name="バックアップ_コメントマスタ取込用" sheetId="254" r:id="rId30"/>
    <sheet name="バックアップ_成分量マスタ取込用" sheetId="255" r:id="rId31"/>
    <sheet name="バックアップ_成分名マスタ取込用" sheetId="256" r:id="rId32"/>
    <sheet name="バックアップ_単位マスタ取込用" sheetId="257" r:id="rId33"/>
    <sheet name="バックアップ_適応病名レセ病名組み合わせ関係リンクマスタ取込用" sheetId="258" r:id="rId34"/>
    <sheet name="BK_適応病名レセ病名組み合わせ関係リンク親子マスタ取込用" sheetId="259" r:id="rId35"/>
    <sheet name="バックアップ_適用病名マスタ取込用" sheetId="260" r:id="rId36"/>
    <sheet name="バックアップ_ＹＪコード医薬品コードリンクマスタ取込用" sheetId="261" r:id="rId37"/>
    <sheet name="バックアップ_診療行為付加情報マスタ取込用" sheetId="262" r:id="rId38"/>
    <sheet name="バックアップ_処理対象施設マスタ" sheetId="263" r:id="rId39"/>
    <sheet name="バックアップ_処理対象施設マスタ管理" sheetId="264" r:id="rId40"/>
    <sheet name="バックアップ_医薬品マスタ" sheetId="311" r:id="rId41"/>
    <sheet name="バックアップ_医薬品ブランドマスタ" sheetId="312" r:id="rId42"/>
    <sheet name="バックアップ_医薬品一般名マスタ" sheetId="313" r:id="rId43"/>
    <sheet name="バックアップ_医薬品販売会社マスタ" sheetId="314" r:id="rId44"/>
    <sheet name="バックアップ_メーカマスタ" sheetId="315" r:id="rId45"/>
    <sheet name="バックアップ_薬価マスタ" sheetId="316" r:id="rId46"/>
    <sheet name="バックアップ_薬効ATC分類1マスタ" sheetId="317" r:id="rId47"/>
    <sheet name="バックアップ_薬効ATC分類2マスタ" sheetId="318" r:id="rId48"/>
    <sheet name="バックアップ_薬効ATC分類3マスタ" sheetId="319" r:id="rId49"/>
    <sheet name="バックアップ_薬効ATC分類4マスタ" sheetId="320" r:id="rId50"/>
    <sheet name="バックアップ_薬効ATC分類5マスタ" sheetId="321" r:id="rId51"/>
    <sheet name="バックアップ_疾病マスタ" sheetId="322" r:id="rId52"/>
    <sheet name="バックアップ_ICD10大分類マスタ" sheetId="323" r:id="rId53"/>
    <sheet name="バックアップ_ICD10中分類マスタ" sheetId="324" r:id="rId54"/>
    <sheet name="バックアップ_ICD10小分類マスタ" sheetId="325" r:id="rId55"/>
    <sheet name="バックアップ_ICD10細分類マスタ" sheetId="326" r:id="rId56"/>
    <sheet name="バックアップ_DPC2桁マスタ" sheetId="327" r:id="rId57"/>
    <sheet name="バックアップ_DPC6桁マスタ" sheetId="328" r:id="rId58"/>
    <sheet name="バックアップ_郵便番号マスタ" sheetId="329" r:id="rId59"/>
    <sheet name="バックアップ_特定機材マスタ" sheetId="330" r:id="rId60"/>
    <sheet name="バックアップ_年度マスタ" sheetId="265" r:id="rId61"/>
    <sheet name="バックアップ_都道府県地方コードマスタ" sheetId="266" r:id="rId62"/>
    <sheet name="バックアップ_施設属性マスタ" sheetId="267" r:id="rId63"/>
    <sheet name="バックアップ_二次医療圏マスタ" sheetId="268" r:id="rId64"/>
    <sheet name="バックアップ_施設ID対応マスタ" sheetId="269" r:id="rId65"/>
    <sheet name="バックアップ_医薬品関連マスタ" sheetId="271" r:id="rId66"/>
    <sheet name="バックアップ_薬価関連マスタ" sheetId="272" r:id="rId67"/>
    <sheet name="バックアップ_診療行為関連マスタ" sheetId="273" r:id="rId68"/>
    <sheet name="バックアップ_特定器材関連マスタ" sheetId="274" r:id="rId69"/>
    <sheet name="バックアップ_DPC関連マスタ" sheetId="275" r:id="rId70"/>
    <sheet name="バックアップ_疾患関連マスタ" sheetId="276" r:id="rId71"/>
    <sheet name="バックアップ_医薬品成分関連マスタ" sheetId="277" r:id="rId72"/>
    <sheet name="バックアップ_医薬品適用病名関連マスタ" sheetId="278" r:id="rId73"/>
    <sheet name="バックアップ_MML共通" sheetId="309" r:id="rId74"/>
    <sheet name="バックアップ_MML_診断履歴情報モジュール_本文" sheetId="279" r:id="rId75"/>
    <sheet name="バックアップ_MML_診断履歴情報モジュール_病名" sheetId="280" r:id="rId76"/>
    <sheet name="バックアップ_MML_診断履歴情報モジュール_カテゴリ名" sheetId="281" r:id="rId77"/>
    <sheet name="バックアップ_MML_検歴情報モジュール_本文" sheetId="365" r:id="rId78"/>
    <sheet name="バックアップ_MML_検歴情報モジュール_報告コメント" sheetId="366" r:id="rId79"/>
    <sheet name="バックアップ_MML_検歴情報モジュール_検体検査結果情報" sheetId="367" r:id="rId80"/>
    <sheet name="バックアップ_MML_検歴情報モジュール_検体コメント" sheetId="368" r:id="rId81"/>
    <sheet name="バックアップ_MML_検歴情報モジュール_検査項目" sheetId="369" r:id="rId82"/>
    <sheet name="バックアップ_MML_検歴情報モジュール_検査項目コメント" sheetId="370" r:id="rId83"/>
    <sheet name="バックアップ_MML_処方箋モジュール_本文" sheetId="282" r:id="rId84"/>
    <sheet name="バックアップ_MML_処方箋モジュール_投薬" sheetId="283" r:id="rId85"/>
    <sheet name="バックアップ_MML_処方箋モジュール_薬剤" sheetId="284" r:id="rId86"/>
    <sheet name="バックアップ_MML_注射記録モジュール_本文" sheetId="285" r:id="rId87"/>
    <sheet name="バックアップ_MML_注射記録モジュール_投薬" sheetId="286" r:id="rId88"/>
    <sheet name="バックアップ_MML_注射記録モジュール_薬剤" sheetId="287" r:id="rId89"/>
    <sheet name="バックアップ_MML_手術モジュール_手術項目" sheetId="288" r:id="rId90"/>
    <sheet name="バックアップ_MML_手術モジュール_診療科情報" sheetId="289" r:id="rId91"/>
    <sheet name="バックアップ_MML_手術モジュール_診断履歴情報" sheetId="290" r:id="rId92"/>
    <sheet name="バックアップ_MML_手術モジュール_病名" sheetId="291" r:id="rId93"/>
    <sheet name="バックアップ_MML_手術モジュール_カテゴリ名" sheetId="292" r:id="rId94"/>
    <sheet name="バックアップ_MML_手術モジュール_手術法" sheetId="293" r:id="rId95"/>
    <sheet name="バックアップ_MML_手術モジュール_手術要素" sheetId="294" r:id="rId96"/>
    <sheet name="バックアップ_MML_手術モジュール_麻酔法" sheetId="295" r:id="rId97"/>
    <sheet name="バックアップ_MML_報告書情報モジュール_本文" sheetId="296" r:id="rId98"/>
    <sheet name="バックアップ_MML_報告書情報モジュール_検査コメント" sheetId="297" r:id="rId99"/>
    <sheet name="バックアップ_MML_生活習慣情報モジュール_本文" sheetId="310" r:id="rId100"/>
    <sheet name="バックアップ_MML_紹介状モジュール_本文" sheetId="298" r:id="rId101"/>
    <sheet name="バックアップ_MML_紹介状モジュール_注射記録" sheetId="299" r:id="rId102"/>
    <sheet name="バックアップ_MML_紹介状モジュール_注射記録投薬" sheetId="300" r:id="rId103"/>
    <sheet name="バックアップ_MML_紹介状モジュール_注射記録薬剤" sheetId="301" r:id="rId104"/>
    <sheet name="バックアップ_MML_紹介状モジュール_患者情報" sheetId="302" r:id="rId105"/>
    <sheet name="バックアップ_MML_紹介状モジュール_患者情報住所" sheetId="303" r:id="rId106"/>
    <sheet name="バックアップ_MML_紹介状モジュール_処方箋" sheetId="304" r:id="rId107"/>
    <sheet name="バックアップ_MML_紹介状モジュール_処方箋投薬" sheetId="305" r:id="rId108"/>
    <sheet name="バックアップ_MML_紹介状モジュール_処方箋薬剤" sheetId="306" r:id="rId109"/>
    <sheet name="BK_MML_紹介状モジュール_臨床サマリー情報経過記録" sheetId="307" r:id="rId110"/>
    <sheet name="バックアップ_MML_紹介状モジュール_診療科情報" sheetId="308" r:id="rId111"/>
    <sheet name="バックアップ_DPC調査データ_Dファイル" sheetId="172" r:id="rId112"/>
    <sheet name="バックアップ_DPC調査データ_入院EF統合ファイル" sheetId="179" r:id="rId113"/>
    <sheet name="バックアップ_DPC調査データ_外来EF統合ファイル" sheetId="181" r:id="rId114"/>
    <sheet name="バックアップ_DPC調査データ_Hファイル" sheetId="182" r:id="rId115"/>
    <sheet name="バックアップ_DPC調査データ_様式1" sheetId="185" r:id="rId116"/>
    <sheet name="バックアップ_DPC調査データ_様式1_診断情報_併存症" sheetId="186" r:id="rId117"/>
    <sheet name="バックアップ_DPC調査データ_様式1_診断情報_続発症" sheetId="187" r:id="rId118"/>
    <sheet name="バックアップ_医科レセプト_医療機関情報レコード" sheetId="197" r:id="rId119"/>
    <sheet name="バックアップ_医科レセプト_レセプト共通レコード" sheetId="198" r:id="rId120"/>
    <sheet name="バックアップ_医科レセプト_傷病名レコード" sheetId="199" r:id="rId121"/>
    <sheet name="バックアップ_医科レセプト_診療行為レコード" sheetId="200" r:id="rId122"/>
    <sheet name="バックアップ_医科レセプト_診療行為レコード_算定日情報" sheetId="201" r:id="rId123"/>
    <sheet name="バックアップ_医科レセプト_医薬品レコード" sheetId="202" r:id="rId124"/>
    <sheet name="バックアップ_医科レセプト_医薬品レコード_算定日情報" sheetId="203" r:id="rId125"/>
    <sheet name="バックアップ_医科レセプト_臓器提供者レセプト情報レコード" sheetId="204" r:id="rId126"/>
    <sheet name="バックアップ_DPCレセプト_医療機関情報レコード" sheetId="205" r:id="rId127"/>
    <sheet name="バックアップ_DPCレセプト_レセプト共通レコード" sheetId="206" r:id="rId128"/>
    <sheet name="バックアップ_DPCレセプト_診断群分類レコード" sheetId="207" r:id="rId129"/>
    <sheet name="バックアップ_DPCレセプト_傷病レコード" sheetId="208" r:id="rId130"/>
    <sheet name="バックアップ_DPCレセプト_傷病名レコード" sheetId="209" r:id="rId131"/>
    <sheet name="バックアップ_DPCレセプト_診療行為レコード" sheetId="210" r:id="rId132"/>
    <sheet name="バックアップ_DPCレセプト_診療行為レコード_算定日情報" sheetId="211" r:id="rId133"/>
    <sheet name="バックアップ_DPCレセプト_医薬品レコード" sheetId="212" r:id="rId134"/>
    <sheet name="バックアップ_DPCレセプト_医薬品レコード_算定日情報" sheetId="213" r:id="rId135"/>
    <sheet name="バックアップ_DPCレセプト_臓器提供者レセプト情報レコード" sheetId="214" r:id="rId136"/>
    <sheet name="バックアップ_患者情報モジュール_患者情報" sheetId="215" r:id="rId137"/>
    <sheet name="バックアップ_診断履歴情報モジュール_診断履歴情報レコード" sheetId="216" r:id="rId138"/>
    <sheet name="バックアップ_診断履歴情報モジュール_診断病名レコード" sheetId="217" r:id="rId139"/>
    <sheet name="バックアップ_診断履歴情報モジュール_診断分類レコード" sheetId="218" r:id="rId140"/>
    <sheet name="バックアップ_経過記録情報モジュール_経過記録情報レコード" sheetId="219" r:id="rId141"/>
    <sheet name="バックアップ_経過記録情報モジュール_プロブレムレコード" sheetId="220" r:id="rId142"/>
    <sheet name="バックアップ_経過記録情報モジュール_身体所見レコード" sheetId="221" r:id="rId143"/>
    <sheet name="バックアップ_経過記録情報モジュール_アセスメントレコード" sheetId="222" r:id="rId144"/>
    <sheet name="バックアップ_経過記録情報モジュール_外部参照レコード" sheetId="223" r:id="rId145"/>
    <sheet name="バックアップ_臨床サマリーモジュール_臨床サマリー情報レコード" sheetId="224" r:id="rId146"/>
    <sheet name="バックアップ_臨床サマリーモジュール_外来受診レコード" sheetId="225" r:id="rId147"/>
    <sheet name="バックアップ_臨床サマリーモジュール_入院レコード" sheetId="226" r:id="rId148"/>
    <sheet name="バックアップ_臨床サマリーモジュール_経過記録レコード" sheetId="227" r:id="rId149"/>
    <sheet name="バックアップ_臨床サマリーモジュール_検査結果レコード" sheetId="228" r:id="rId150"/>
    <sheet name="バックアップ_検歴情報モジュール_検歴情報" sheetId="229" r:id="rId151"/>
    <sheet name="バックアップ_検歴情報モジュール_検歴検体材料" sheetId="230" r:id="rId152"/>
    <sheet name="バックアップ_検歴情報モジュール_検歴項目情報" sheetId="231" r:id="rId153"/>
    <sheet name="バックアップ_バイタルサインモジュール_バイタルサイン" sheetId="232" r:id="rId154"/>
    <sheet name="バックアップ_バイタルサインモジュール_記録項目" sheetId="233" r:id="rId155"/>
    <sheet name="バックアップ_体温表モジュール_バイタルサイン" sheetId="234" r:id="rId156"/>
    <sheet name="バックアップ_体温表モジュール_記録項目" sheetId="235" r:id="rId157"/>
    <sheet name="組入れ_対象施設" sheetId="358" r:id="rId158"/>
    <sheet name="組入れ_対象疾患" sheetId="189" r:id="rId159"/>
    <sheet name="組入れ_対象診療行為" sheetId="361" r:id="rId160"/>
    <sheet name="組入れ_検体検査マスタ" sheetId="362" r:id="rId161"/>
    <sheet name="組入れ_対象検体検査" sheetId="360" r:id="rId162"/>
    <sheet name="組入れ_対象検体検査_対象患者" sheetId="377" r:id="rId163"/>
    <sheet name="組入れ_対象患者" sheetId="188" r:id="rId164"/>
    <sheet name="患者ID一覧マスタ" sheetId="364" r:id="rId165"/>
    <sheet name="施設マスタ" sheetId="363" r:id="rId166"/>
    <sheet name="患者マスタ" sheetId="190" r:id="rId167"/>
    <sheet name="疾患マスタ" sheetId="191" r:id="rId168"/>
    <sheet name="薬剤マスタ" sheetId="380" r:id="rId169"/>
    <sheet name="検体検査マスタ" sheetId="379" r:id="rId170"/>
    <sheet name="診療行為マスタ" sheetId="378" r:id="rId171"/>
    <sheet name="ベース_処方データ" sheetId="348" r:id="rId172"/>
    <sheet name="ベース_診療行為データ" sheetId="349" r:id="rId173"/>
    <sheet name="ベース_入院退院データ" sheetId="350" r:id="rId174"/>
    <sheet name="ベース_患者基本データ" sheetId="351" r:id="rId175"/>
    <sheet name="ベース_MML共通" sheetId="352" r:id="rId176"/>
    <sheet name="ベース_MML_診断履歴情報モジュール_本文" sheetId="353" r:id="rId177"/>
    <sheet name="ベース_MML_診断履歴情報モジュール_病名" sheetId="354" r:id="rId178"/>
    <sheet name="ベース_MML_検歴情報モジュール_本文" sheetId="371" r:id="rId179"/>
    <sheet name="ベース_MML_検歴情報モジュール_報告コメント" sheetId="372" r:id="rId180"/>
    <sheet name="ベース_MML_検歴情報モジュール_検体検査結果情報" sheetId="373" r:id="rId181"/>
    <sheet name="ベース_MML_検歴情報モジュール_検体コメント" sheetId="374" r:id="rId182"/>
    <sheet name="ベース_MML_検歴情報モジュール_検査項目" sheetId="375" r:id="rId183"/>
    <sheet name="ベース_MML_検歴情報モジュール_検査項目コメント" sheetId="376" r:id="rId184"/>
    <sheet name="ベース_MML_処方箋モジュール_本文" sheetId="355" r:id="rId185"/>
    <sheet name="ベース_MML_処方箋モジュール_投薬" sheetId="356" r:id="rId186"/>
    <sheet name="ベース_MML_処方箋モジュール_薬剤" sheetId="357" r:id="rId187"/>
    <sheet name="ベース_DPC調査データ_入院EF統合ファイル" sheetId="192" r:id="rId188"/>
    <sheet name="ベース_DPC調査データ_外来EF統合ファイル" sheetId="193" r:id="rId189"/>
    <sheet name="ベース_DPC調査データ_様式1" sheetId="194" r:id="rId190"/>
    <sheet name="ベース_DPC調査データ_様式1_診断情報_併存症" sheetId="195" r:id="rId191"/>
    <sheet name="ベース_DPC調査データ_様式1_診断情報_続発症" sheetId="196" r:id="rId192"/>
    <sheet name="ベース_診断履歴情報モジュール_診断履歴情報レコード" sheetId="333" r:id="rId193"/>
    <sheet name="ベース_診断履歴情報モジュール_診断病名レコード" sheetId="334" r:id="rId194"/>
    <sheet name="ベース_経過記録情報モジュール_経過記録情報レコード" sheetId="335" r:id="rId195"/>
    <sheet name="ベース_経過記録情報モジュール_プロブレムレコード" sheetId="336" r:id="rId196"/>
    <sheet name="ベース_経過記録情報モジュール_身体所見レコード" sheetId="337" r:id="rId197"/>
    <sheet name="ベース_経過記録情報モジュール_アセスメントレコード" sheetId="338" r:id="rId198"/>
    <sheet name="ベース_経過記録情報モジュール_外部参照レコード" sheetId="339" r:id="rId199"/>
    <sheet name="ベース_臨床サマリーモジュール_臨床サマリー情報レコード" sheetId="340" r:id="rId200"/>
    <sheet name="ベース_臨床サマリーモジュール_外来受診レコード" sheetId="341" r:id="rId201"/>
    <sheet name="ベース_臨床サマリーモジュール_入院レコード" sheetId="342" r:id="rId202"/>
    <sheet name="ベース_臨床サマリーモジュール_経過記録レコード" sheetId="343" r:id="rId203"/>
    <sheet name="ベース_臨床サマリーモジュール_検査結果レコード" sheetId="344" r:id="rId204"/>
    <sheet name="ベース_検歴情報モジュール_検歴情報" sheetId="345" r:id="rId205"/>
    <sheet name="ベース_検歴情報モジュール_検歴検体材料" sheetId="346" r:id="rId206"/>
    <sheet name="ベース_検歴情報モジュール_検歴項目情報" sheetId="347" r:id="rId207"/>
    <sheet name="ベース_バイタルサインモジュール_バイタルサイン" sheetId="381" r:id="rId208"/>
    <sheet name="ベース_バイタルサインモジュール_記録項目" sheetId="382" r:id="rId209"/>
    <sheet name="ベース_体温表モジュール_バイタルサイン" sheetId="383" r:id="rId210"/>
    <sheet name="ベース_体温表モジュール_記録項目" sheetId="384" r:id="rId211"/>
    <sheet name="ワーク_患者基本データ" sheetId="386" r:id="rId212"/>
    <sheet name="ワーク_疾患データ" sheetId="387" r:id="rId213"/>
    <sheet name="ワーク_入院退院_DPC" sheetId="388" r:id="rId214"/>
    <sheet name="ワーク_入院退院_MML" sheetId="389" r:id="rId215"/>
    <sheet name="ワーク_入院退院" sheetId="390" r:id="rId216"/>
    <sheet name="ワーク_外来_DPC" sheetId="391" r:id="rId217"/>
    <sheet name="ワーク_外来_MML" sheetId="392" r:id="rId218"/>
    <sheet name="ワーク_外来" sheetId="393" r:id="rId219"/>
    <sheet name="ワーク_処方データ" sheetId="394" r:id="rId220"/>
    <sheet name="ワーク_診療行為データ" sheetId="395" r:id="rId221"/>
    <sheet name="ワーク_検体検査データ_スキーマ2" sheetId="396" r:id="rId222"/>
    <sheet name="ワーク_検体検査データ_スキーマ4" sheetId="397" r:id="rId223"/>
    <sheet name="ワーク_検体検査データ" sheetId="398" r:id="rId224"/>
    <sheet name="ワーク_身長体重データ_DPC" sheetId="401" r:id="rId225"/>
    <sheet name="ワーク_身長体重データ_MML" sheetId="402" r:id="rId226"/>
    <sheet name="ワーク_身長体重データ" sheetId="403" r:id="rId227"/>
    <sheet name="ワーク_テキスト情報_一時" sheetId="399" r:id="rId228"/>
    <sheet name="ワーク_テキスト情報" sheetId="400" r:id="rId229"/>
    <sheet name="ワーク_観察期間" sheetId="404" r:id="rId230"/>
    <sheet name="セレクト_患者基本データ" sheetId="405" r:id="rId231"/>
    <sheet name="セレクト_併発疾患データ" sheetId="408" r:id="rId232"/>
    <sheet name="セレクト_入院外来データ" sheetId="409" r:id="rId233"/>
    <sheet name="セレクト_薬剤データ" sheetId="410" r:id="rId234"/>
    <sheet name="セレクト_検査データ" sheetId="411" r:id="rId235"/>
    <sheet name="セレクト_検査データ_統計量抽出用" sheetId="412" r:id="rId236"/>
    <sheet name="セレクト_診療行為データ" sheetId="413" r:id="rId237"/>
    <sheet name="セレクト_入院外来サマリ" sheetId="415" r:id="rId238"/>
    <sheet name="ステップ1報告_患者区分" sheetId="414" r:id="rId239"/>
    <sheet name="ステップ1報告_疾患データ" sheetId="423" r:id="rId240"/>
    <sheet name="ステップ1報告_染色体情報" sheetId="424" r:id="rId241"/>
    <sheet name="匿名化_患者情報" sheetId="416" r:id="rId242"/>
    <sheet name="匿名化_併発疾患情報" sheetId="417" r:id="rId243"/>
    <sheet name="匿名化_染色体情報" sheetId="420" r:id="rId244"/>
    <sheet name="匿名化_検査値情報" sheetId="421" r:id="rId245"/>
    <sheet name="匿名化_診療行為情報" sheetId="422" r:id="rId246"/>
    <sheet name="匿名化_薬剤情報" sheetId="427" r:id="rId247"/>
    <sheet name="匿名化_日付情報" sheetId="419" r:id="rId248"/>
    <sheet name="匿名化_匿名加工前データ" sheetId="425" r:id="rId249"/>
    <sheet name="匿名化_未加工データ" sheetId="429" r:id="rId250"/>
    <sheet name="匿名化メイン指標作成用" sheetId="430" r:id="rId251"/>
    <sheet name="匿名化_併発疾患情報2" sheetId="431" r:id="rId252"/>
    <sheet name="匿名化_匿名加工前データ2" sheetId="432" r:id="rId253"/>
    <sheet name="匿名化_未加工データ2" sheetId="433" r:id="rId254"/>
    <sheet name="匿名化メイン指標作成用2" sheetId="434" r:id="rId255"/>
  </sheets>
  <definedNames>
    <definedName name="_xlnm._FilterDatabase" localSheetId="9" hidden="1">エンティティ一覧!$A$4:$BT$4</definedName>
    <definedName name="_xlnm._FilterDatabase" localSheetId="250" hidden="1">匿名化メイン指標作成用!$A$2:$AP$55</definedName>
    <definedName name="_xlnm._FilterDatabase" localSheetId="254" hidden="1">匿名化メイン指標作成用2!$A$2:$AZ$928</definedName>
    <definedName name="_xlnm.Print_Titles" localSheetId="9">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27" i="434" l="1"/>
  <c r="B926" i="434"/>
  <c r="B925" i="434"/>
  <c r="B924" i="434"/>
  <c r="B923" i="434"/>
  <c r="B922" i="434"/>
  <c r="B921" i="434"/>
  <c r="B920" i="434"/>
  <c r="B919" i="434"/>
  <c r="B918" i="434"/>
  <c r="B917" i="434"/>
  <c r="B916" i="434"/>
  <c r="B915" i="434"/>
  <c r="B914" i="434"/>
  <c r="B913" i="434"/>
  <c r="B912" i="434"/>
  <c r="B911" i="434"/>
  <c r="B910" i="434"/>
  <c r="B909" i="434"/>
  <c r="B908" i="434"/>
  <c r="B907" i="434"/>
  <c r="B906" i="434"/>
  <c r="B905" i="434"/>
  <c r="B904" i="434"/>
  <c r="B903" i="434"/>
  <c r="B902" i="434"/>
  <c r="B901" i="434"/>
  <c r="B900" i="434"/>
  <c r="B899" i="434"/>
  <c r="B898" i="434"/>
  <c r="B897" i="434"/>
  <c r="B896" i="434"/>
  <c r="B895" i="434"/>
  <c r="P895" i="434" s="1"/>
  <c r="B894" i="434"/>
  <c r="P894" i="434" s="1"/>
  <c r="B893" i="434"/>
  <c r="P893" i="434" s="1"/>
  <c r="B892" i="434"/>
  <c r="B891" i="434"/>
  <c r="B890" i="434"/>
  <c r="B889" i="434"/>
  <c r="B888" i="434"/>
  <c r="B887" i="434"/>
  <c r="P887" i="434" s="1"/>
  <c r="B886" i="434"/>
  <c r="U886" i="434" s="1"/>
  <c r="V886" i="434" s="1"/>
  <c r="B885" i="434"/>
  <c r="P885" i="434" s="1"/>
  <c r="B884" i="434"/>
  <c r="B883" i="434"/>
  <c r="P883" i="434" s="1"/>
  <c r="B882" i="434"/>
  <c r="P882" i="434" s="1"/>
  <c r="B881" i="434"/>
  <c r="P881" i="434" s="1"/>
  <c r="B880" i="434"/>
  <c r="P880" i="434" s="1"/>
  <c r="B879" i="434"/>
  <c r="B878" i="434"/>
  <c r="B877" i="434"/>
  <c r="B876" i="434"/>
  <c r="U876" i="434" s="1"/>
  <c r="V876" i="434" s="1"/>
  <c r="B875" i="434"/>
  <c r="B874" i="434"/>
  <c r="B873" i="434"/>
  <c r="B872" i="434"/>
  <c r="B871" i="434"/>
  <c r="B870" i="434"/>
  <c r="B869" i="434"/>
  <c r="B868" i="434"/>
  <c r="B867" i="434"/>
  <c r="B866" i="434"/>
  <c r="B865" i="434"/>
  <c r="B864" i="434"/>
  <c r="B863" i="434"/>
  <c r="B862" i="434"/>
  <c r="U862" i="434" s="1"/>
  <c r="V862" i="434" s="1"/>
  <c r="B861" i="434"/>
  <c r="B860" i="434"/>
  <c r="U860" i="434" s="1"/>
  <c r="V860" i="434" s="1"/>
  <c r="B859" i="434"/>
  <c r="U859" i="434" s="1"/>
  <c r="V859" i="434" s="1"/>
  <c r="B858" i="434"/>
  <c r="U858" i="434" s="1"/>
  <c r="V858" i="434" s="1"/>
  <c r="B857" i="434"/>
  <c r="B856" i="434"/>
  <c r="P856" i="434" s="1"/>
  <c r="B855" i="434"/>
  <c r="P855" i="434" s="1"/>
  <c r="B854" i="434"/>
  <c r="B853" i="434"/>
  <c r="B852" i="434"/>
  <c r="B851" i="434"/>
  <c r="B850" i="434"/>
  <c r="B849" i="434"/>
  <c r="P849" i="434" s="1"/>
  <c r="B848" i="434"/>
  <c r="U848" i="434" s="1"/>
  <c r="V848" i="434" s="1"/>
  <c r="B847" i="434"/>
  <c r="P847" i="434" s="1"/>
  <c r="B846" i="434"/>
  <c r="B845" i="434"/>
  <c r="B844" i="434"/>
  <c r="B843" i="434"/>
  <c r="B842" i="434"/>
  <c r="B841" i="434"/>
  <c r="P841" i="434" s="1"/>
  <c r="B840" i="434"/>
  <c r="P840" i="434" s="1"/>
  <c r="B839" i="434"/>
  <c r="P839" i="434" s="1"/>
  <c r="B838" i="434"/>
  <c r="P838" i="434" s="1"/>
  <c r="B837" i="434"/>
  <c r="P837" i="434" s="1"/>
  <c r="B836" i="434"/>
  <c r="B835" i="434"/>
  <c r="P835" i="434" s="1"/>
  <c r="B834" i="434"/>
  <c r="P834" i="434" s="1"/>
  <c r="B833" i="434"/>
  <c r="P833" i="434" s="1"/>
  <c r="B832" i="434"/>
  <c r="P832" i="434" s="1"/>
  <c r="B831" i="434"/>
  <c r="B830" i="434"/>
  <c r="B829" i="434"/>
  <c r="B828" i="434"/>
  <c r="B827" i="434"/>
  <c r="B826" i="434"/>
  <c r="B825" i="434"/>
  <c r="B824" i="434"/>
  <c r="B823" i="434"/>
  <c r="B822" i="434"/>
  <c r="B821" i="434"/>
  <c r="B820" i="434"/>
  <c r="B819" i="434"/>
  <c r="B818" i="434"/>
  <c r="B817" i="434"/>
  <c r="B816" i="434"/>
  <c r="B815" i="434"/>
  <c r="B814" i="434"/>
  <c r="B813" i="434"/>
  <c r="B812" i="434"/>
  <c r="P812" i="434" s="1"/>
  <c r="B811" i="434"/>
  <c r="P811" i="434" s="1"/>
  <c r="B810" i="434"/>
  <c r="P810" i="434" s="1"/>
  <c r="B809" i="434"/>
  <c r="B808" i="434"/>
  <c r="B807" i="434"/>
  <c r="B806" i="434"/>
  <c r="B805" i="434"/>
  <c r="B804" i="434"/>
  <c r="B803" i="434"/>
  <c r="B802" i="434"/>
  <c r="B801" i="434"/>
  <c r="B800" i="434"/>
  <c r="B799" i="434"/>
  <c r="B798" i="434"/>
  <c r="B797" i="434"/>
  <c r="P797" i="434" s="1"/>
  <c r="B796" i="434"/>
  <c r="P796" i="434" s="1"/>
  <c r="B795" i="434"/>
  <c r="P795" i="434" s="1"/>
  <c r="B794" i="434"/>
  <c r="B793" i="434"/>
  <c r="B792" i="434"/>
  <c r="P792" i="434" s="1"/>
  <c r="B791" i="434"/>
  <c r="B790" i="434"/>
  <c r="B789" i="434"/>
  <c r="P789" i="434" s="1"/>
  <c r="B788" i="434"/>
  <c r="P788" i="434" s="1"/>
  <c r="B787" i="434"/>
  <c r="P787" i="434" s="1"/>
  <c r="B786" i="434"/>
  <c r="P786" i="434" s="1"/>
  <c r="B785" i="434"/>
  <c r="U785" i="434" s="1"/>
  <c r="V785" i="434" s="1"/>
  <c r="B784" i="434"/>
  <c r="B783" i="434"/>
  <c r="B782" i="434"/>
  <c r="B781" i="434"/>
  <c r="B780" i="434"/>
  <c r="B779" i="434"/>
  <c r="B778" i="434"/>
  <c r="B777" i="434"/>
  <c r="B776" i="434"/>
  <c r="B775" i="434"/>
  <c r="B774" i="434"/>
  <c r="B773" i="434"/>
  <c r="B772" i="434"/>
  <c r="B771" i="434"/>
  <c r="B770" i="434"/>
  <c r="B769" i="434"/>
  <c r="B768" i="434"/>
  <c r="B767" i="434"/>
  <c r="B766" i="434"/>
  <c r="B765" i="434"/>
  <c r="B764" i="434"/>
  <c r="B763" i="434"/>
  <c r="B762" i="434"/>
  <c r="B761" i="434"/>
  <c r="B760" i="434"/>
  <c r="B759" i="434"/>
  <c r="P759" i="434" s="1"/>
  <c r="B758" i="434"/>
  <c r="P758" i="434" s="1"/>
  <c r="B757" i="434"/>
  <c r="P757" i="434" s="1"/>
  <c r="B756" i="434"/>
  <c r="B755" i="434"/>
  <c r="B754" i="434"/>
  <c r="B753" i="434"/>
  <c r="B752" i="434"/>
  <c r="B751" i="434"/>
  <c r="P751" i="434" s="1"/>
  <c r="B750" i="434"/>
  <c r="P750" i="434" s="1"/>
  <c r="B749" i="434"/>
  <c r="P749" i="434" s="1"/>
  <c r="B748" i="434"/>
  <c r="B747" i="434"/>
  <c r="B746" i="434"/>
  <c r="B745" i="434"/>
  <c r="U745" i="434" s="1"/>
  <c r="V745" i="434" s="1"/>
  <c r="B744" i="434"/>
  <c r="U744" i="434" s="1"/>
  <c r="V744" i="434" s="1"/>
  <c r="B743" i="434"/>
  <c r="P743" i="434" s="1"/>
  <c r="B742" i="434"/>
  <c r="P742" i="434" s="1"/>
  <c r="B741" i="434"/>
  <c r="P741" i="434" s="1"/>
  <c r="B740" i="434"/>
  <c r="B739" i="434"/>
  <c r="P739" i="434" s="1"/>
  <c r="B738" i="434"/>
  <c r="P738" i="434" s="1"/>
  <c r="B737" i="434"/>
  <c r="B736" i="434"/>
  <c r="B735" i="434"/>
  <c r="B734" i="434"/>
  <c r="B733" i="434"/>
  <c r="B732" i="434"/>
  <c r="B731" i="434"/>
  <c r="B730" i="434"/>
  <c r="B729" i="434"/>
  <c r="B728" i="434"/>
  <c r="B727" i="434"/>
  <c r="B726" i="434"/>
  <c r="B725" i="434"/>
  <c r="B724" i="434"/>
  <c r="B723" i="434"/>
  <c r="B722" i="434"/>
  <c r="B721" i="434"/>
  <c r="B720" i="434"/>
  <c r="B719" i="434"/>
  <c r="B718" i="434"/>
  <c r="B717" i="434"/>
  <c r="B716" i="434"/>
  <c r="B715" i="434"/>
  <c r="B714" i="434"/>
  <c r="B713" i="434"/>
  <c r="P713" i="434" s="1"/>
  <c r="B712" i="434"/>
  <c r="P712" i="434" s="1"/>
  <c r="B711" i="434"/>
  <c r="B710" i="434"/>
  <c r="B709" i="434"/>
  <c r="B708" i="434"/>
  <c r="B707" i="434"/>
  <c r="B706" i="434"/>
  <c r="B705" i="434"/>
  <c r="B704" i="434"/>
  <c r="P704" i="434" s="1"/>
  <c r="B703" i="434"/>
  <c r="B702" i="434"/>
  <c r="B701" i="434"/>
  <c r="B700" i="434"/>
  <c r="B699" i="434"/>
  <c r="B698" i="434"/>
  <c r="P698" i="434" s="1"/>
  <c r="B697" i="434"/>
  <c r="U697" i="434" s="1"/>
  <c r="V697" i="434" s="1"/>
  <c r="B696" i="434"/>
  <c r="P696" i="434" s="1"/>
  <c r="B695" i="434"/>
  <c r="B694" i="434"/>
  <c r="U694" i="434" s="1"/>
  <c r="V694" i="434" s="1"/>
  <c r="B693" i="434"/>
  <c r="P693" i="434" s="1"/>
  <c r="B692" i="434"/>
  <c r="B691" i="434"/>
  <c r="U691" i="434" s="1"/>
  <c r="V691" i="434" s="1"/>
  <c r="B690" i="434"/>
  <c r="P690" i="434" s="1"/>
  <c r="B689" i="434"/>
  <c r="P689" i="434" s="1"/>
  <c r="B688" i="434"/>
  <c r="B687" i="434"/>
  <c r="B686" i="434"/>
  <c r="B685" i="434"/>
  <c r="B684" i="434"/>
  <c r="B683" i="434"/>
  <c r="B682" i="434"/>
  <c r="B681" i="434"/>
  <c r="B680" i="434"/>
  <c r="B679" i="434"/>
  <c r="B678" i="434"/>
  <c r="B677" i="434"/>
  <c r="B676" i="434"/>
  <c r="B675" i="434"/>
  <c r="B674" i="434"/>
  <c r="B673" i="434"/>
  <c r="B672" i="434"/>
  <c r="B671" i="434"/>
  <c r="B670" i="434"/>
  <c r="B669" i="434"/>
  <c r="B668" i="434"/>
  <c r="B667" i="434"/>
  <c r="B666" i="434"/>
  <c r="B665" i="434"/>
  <c r="B664" i="434"/>
  <c r="B663" i="434"/>
  <c r="B662" i="434"/>
  <c r="B661" i="434"/>
  <c r="B660" i="434"/>
  <c r="B659" i="434"/>
  <c r="B658" i="434"/>
  <c r="B657" i="434"/>
  <c r="B656" i="434"/>
  <c r="B655" i="434"/>
  <c r="B654" i="434"/>
  <c r="B653" i="434"/>
  <c r="B652" i="434"/>
  <c r="B651" i="434"/>
  <c r="B650" i="434"/>
  <c r="B649" i="434"/>
  <c r="B648" i="434"/>
  <c r="P648" i="434" s="1"/>
  <c r="B647" i="434"/>
  <c r="P647" i="434" s="1"/>
  <c r="B646" i="434"/>
  <c r="P646" i="434" s="1"/>
  <c r="B645" i="434"/>
  <c r="P645" i="434" s="1"/>
  <c r="B644" i="434"/>
  <c r="B643" i="434"/>
  <c r="P643" i="434" s="1"/>
  <c r="B642" i="434"/>
  <c r="P642" i="434" s="1"/>
  <c r="B641" i="434"/>
  <c r="U641" i="434" s="1"/>
  <c r="V641" i="434" s="1"/>
  <c r="B640" i="434"/>
  <c r="B639" i="434"/>
  <c r="B638" i="434"/>
  <c r="B637" i="434"/>
  <c r="B636" i="434"/>
  <c r="B635" i="434"/>
  <c r="B634" i="434"/>
  <c r="B633" i="434"/>
  <c r="B632" i="434"/>
  <c r="B631" i="434"/>
  <c r="B630" i="434"/>
  <c r="B629" i="434"/>
  <c r="B628" i="434"/>
  <c r="B627" i="434"/>
  <c r="B626" i="434"/>
  <c r="B625" i="434"/>
  <c r="B624" i="434"/>
  <c r="B623" i="434"/>
  <c r="B622" i="434"/>
  <c r="B621" i="434"/>
  <c r="U621" i="434" s="1"/>
  <c r="V621" i="434" s="1"/>
  <c r="B620" i="434"/>
  <c r="U620" i="434" s="1"/>
  <c r="V620" i="434" s="1"/>
  <c r="B619" i="434"/>
  <c r="U619" i="434" s="1"/>
  <c r="V619" i="434" s="1"/>
  <c r="B618" i="434"/>
  <c r="U618" i="434" s="1"/>
  <c r="V618" i="434" s="1"/>
  <c r="B617" i="434"/>
  <c r="B616" i="434"/>
  <c r="B615" i="434"/>
  <c r="B614" i="434"/>
  <c r="B613" i="434"/>
  <c r="B612" i="434"/>
  <c r="B611" i="434"/>
  <c r="B610" i="434"/>
  <c r="B609" i="434"/>
  <c r="B608" i="434"/>
  <c r="B607" i="434"/>
  <c r="B606" i="434"/>
  <c r="B605" i="434"/>
  <c r="B604" i="434"/>
  <c r="B603" i="434"/>
  <c r="B602" i="434"/>
  <c r="B601" i="434"/>
  <c r="B600" i="434"/>
  <c r="P600" i="434" s="1"/>
  <c r="B599" i="434"/>
  <c r="B598" i="434"/>
  <c r="P598" i="434" s="1"/>
  <c r="B597" i="434"/>
  <c r="P597" i="434" s="1"/>
  <c r="B596" i="434"/>
  <c r="B595" i="434"/>
  <c r="P595" i="434" s="1"/>
  <c r="B594" i="434"/>
  <c r="P594" i="434" s="1"/>
  <c r="B593" i="434"/>
  <c r="P593" i="434" s="1"/>
  <c r="B592" i="434"/>
  <c r="B591" i="434"/>
  <c r="B590" i="434"/>
  <c r="B589" i="434"/>
  <c r="B588" i="434"/>
  <c r="B587" i="434"/>
  <c r="B586" i="434"/>
  <c r="B585" i="434"/>
  <c r="B584" i="434"/>
  <c r="B583" i="434"/>
  <c r="B582" i="434"/>
  <c r="B581" i="434"/>
  <c r="B580" i="434"/>
  <c r="B579" i="434"/>
  <c r="B578" i="434"/>
  <c r="B577" i="434"/>
  <c r="B576" i="434"/>
  <c r="B575" i="434"/>
  <c r="B574" i="434"/>
  <c r="B573" i="434"/>
  <c r="B572" i="434"/>
  <c r="B571" i="434"/>
  <c r="B570" i="434"/>
  <c r="B569" i="434"/>
  <c r="B568" i="434"/>
  <c r="B567" i="434"/>
  <c r="B566" i="434"/>
  <c r="B565" i="434"/>
  <c r="B564" i="434"/>
  <c r="B563" i="434"/>
  <c r="B562" i="434"/>
  <c r="B561" i="434"/>
  <c r="B560" i="434"/>
  <c r="B559" i="434"/>
  <c r="B558" i="434"/>
  <c r="B557" i="434"/>
  <c r="B556" i="434"/>
  <c r="B555" i="434"/>
  <c r="B554" i="434"/>
  <c r="B553" i="434"/>
  <c r="B552" i="434"/>
  <c r="B551" i="434"/>
  <c r="P551" i="434" s="1"/>
  <c r="B550" i="434"/>
  <c r="P550" i="434" s="1"/>
  <c r="B549" i="434"/>
  <c r="P549" i="434" s="1"/>
  <c r="B548" i="434"/>
  <c r="B547" i="434"/>
  <c r="P547" i="434" s="1"/>
  <c r="B546" i="434"/>
  <c r="P546" i="434" s="1"/>
  <c r="B545" i="434"/>
  <c r="P545" i="434" s="1"/>
  <c r="B544" i="434"/>
  <c r="B543" i="434"/>
  <c r="B542" i="434"/>
  <c r="B541" i="434"/>
  <c r="B540" i="434"/>
  <c r="U540" i="434" s="1"/>
  <c r="V540" i="434" s="1"/>
  <c r="B539" i="434"/>
  <c r="B538" i="434"/>
  <c r="B537" i="434"/>
  <c r="B536" i="434"/>
  <c r="B535" i="434"/>
  <c r="B534" i="434"/>
  <c r="B533" i="434"/>
  <c r="B532" i="434"/>
  <c r="B531" i="434"/>
  <c r="B530" i="434"/>
  <c r="B529" i="434"/>
  <c r="B528" i="434"/>
  <c r="B527" i="434"/>
  <c r="B526" i="434"/>
  <c r="B525" i="434"/>
  <c r="B524" i="434"/>
  <c r="B523" i="434"/>
  <c r="B522" i="434"/>
  <c r="B521" i="434"/>
  <c r="B520" i="434"/>
  <c r="B519" i="434"/>
  <c r="B518" i="434"/>
  <c r="B517" i="434"/>
  <c r="B516" i="434"/>
  <c r="B515" i="434"/>
  <c r="B514" i="434"/>
  <c r="B513" i="434"/>
  <c r="B512" i="434"/>
  <c r="B511" i="434"/>
  <c r="B510" i="434"/>
  <c r="B509" i="434"/>
  <c r="B508" i="434"/>
  <c r="B507" i="434"/>
  <c r="B506" i="434"/>
  <c r="B505" i="434"/>
  <c r="B504" i="434"/>
  <c r="P504" i="434" s="1"/>
  <c r="B503" i="434"/>
  <c r="B502" i="434"/>
  <c r="P502" i="434" s="1"/>
  <c r="B501" i="434"/>
  <c r="U501" i="434" s="1"/>
  <c r="V501" i="434" s="1"/>
  <c r="B500" i="434"/>
  <c r="B499" i="434"/>
  <c r="P499" i="434" s="1"/>
  <c r="B498" i="434"/>
  <c r="P498" i="434" s="1"/>
  <c r="B497" i="434"/>
  <c r="P497" i="434" s="1"/>
  <c r="B496" i="434"/>
  <c r="B495" i="434"/>
  <c r="B494" i="434"/>
  <c r="B493" i="434"/>
  <c r="B492" i="434"/>
  <c r="B491" i="434"/>
  <c r="B490" i="434"/>
  <c r="B489" i="434"/>
  <c r="B488" i="434"/>
  <c r="B487" i="434"/>
  <c r="B486" i="434"/>
  <c r="B485" i="434"/>
  <c r="B484" i="434"/>
  <c r="B483" i="434"/>
  <c r="B482" i="434"/>
  <c r="B481" i="434"/>
  <c r="B480" i="434"/>
  <c r="B479" i="434"/>
  <c r="B478" i="434"/>
  <c r="B477" i="434"/>
  <c r="B476" i="434"/>
  <c r="B475" i="434"/>
  <c r="B474" i="434"/>
  <c r="B473" i="434"/>
  <c r="B472" i="434"/>
  <c r="B471" i="434"/>
  <c r="B470" i="434"/>
  <c r="B469" i="434"/>
  <c r="B468" i="434"/>
  <c r="B467" i="434"/>
  <c r="B466" i="434"/>
  <c r="B465" i="434"/>
  <c r="B464" i="434"/>
  <c r="B463" i="434"/>
  <c r="B462" i="434"/>
  <c r="B461" i="434"/>
  <c r="B460" i="434"/>
  <c r="B459" i="434"/>
  <c r="B458" i="434"/>
  <c r="B457" i="434"/>
  <c r="B456" i="434"/>
  <c r="U456" i="434" s="1"/>
  <c r="V456" i="434" s="1"/>
  <c r="B455" i="434"/>
  <c r="U455" i="434" s="1"/>
  <c r="V455" i="434" s="1"/>
  <c r="B454" i="434"/>
  <c r="P454" i="434" s="1"/>
  <c r="B453" i="434"/>
  <c r="U453" i="434" s="1"/>
  <c r="V453" i="434" s="1"/>
  <c r="B452" i="434"/>
  <c r="B451" i="434"/>
  <c r="P451" i="434" s="1"/>
  <c r="B450" i="434"/>
  <c r="P450" i="434" s="1"/>
  <c r="B449" i="434"/>
  <c r="B448" i="434"/>
  <c r="B447" i="434"/>
  <c r="B446" i="434"/>
  <c r="B445" i="434"/>
  <c r="B444" i="434"/>
  <c r="B443" i="434"/>
  <c r="B442" i="434"/>
  <c r="B441" i="434"/>
  <c r="B440" i="434"/>
  <c r="B439" i="434"/>
  <c r="B438" i="434"/>
  <c r="B437" i="434"/>
  <c r="B436" i="434"/>
  <c r="B435" i="434"/>
  <c r="B434" i="434"/>
  <c r="B433" i="434"/>
  <c r="B432" i="434"/>
  <c r="B431" i="434"/>
  <c r="B430" i="434"/>
  <c r="B429" i="434"/>
  <c r="B428" i="434"/>
  <c r="B427" i="434"/>
  <c r="B426" i="434"/>
  <c r="B425" i="434"/>
  <c r="B424" i="434"/>
  <c r="B423" i="434"/>
  <c r="B422" i="434"/>
  <c r="B421" i="434"/>
  <c r="B420" i="434"/>
  <c r="B419" i="434"/>
  <c r="B418" i="434"/>
  <c r="B417" i="434"/>
  <c r="B416" i="434"/>
  <c r="B415" i="434"/>
  <c r="U415" i="434" s="1"/>
  <c r="V415" i="434" s="1"/>
  <c r="B414" i="434"/>
  <c r="U414" i="434" s="1"/>
  <c r="V414" i="434" s="1"/>
  <c r="B413" i="434"/>
  <c r="B412" i="434"/>
  <c r="B411" i="434"/>
  <c r="B410" i="434"/>
  <c r="B409" i="434"/>
  <c r="B408" i="434"/>
  <c r="B407" i="434"/>
  <c r="B406" i="434"/>
  <c r="U406" i="434" s="1"/>
  <c r="V406" i="434" s="1"/>
  <c r="B405" i="434"/>
  <c r="U405" i="434" s="1"/>
  <c r="V405" i="434" s="1"/>
  <c r="B404" i="434"/>
  <c r="B403" i="434"/>
  <c r="P403" i="434" s="1"/>
  <c r="B402" i="434"/>
  <c r="P402" i="434" s="1"/>
  <c r="B401" i="434"/>
  <c r="P401" i="434" s="1"/>
  <c r="B400" i="434"/>
  <c r="B399" i="434"/>
  <c r="B398" i="434"/>
  <c r="B397" i="434"/>
  <c r="B396" i="434"/>
  <c r="B395" i="434"/>
  <c r="B394" i="434"/>
  <c r="B393" i="434"/>
  <c r="B392" i="434"/>
  <c r="B391" i="434"/>
  <c r="B390" i="434"/>
  <c r="B389" i="434"/>
  <c r="B388" i="434"/>
  <c r="B387" i="434"/>
  <c r="B386" i="434"/>
  <c r="B385" i="434"/>
  <c r="B384" i="434"/>
  <c r="B383" i="434"/>
  <c r="B382" i="434"/>
  <c r="B381" i="434"/>
  <c r="B380" i="434"/>
  <c r="B379" i="434"/>
  <c r="B378" i="434"/>
  <c r="B377" i="434"/>
  <c r="B376" i="434"/>
  <c r="B375" i="434"/>
  <c r="B374" i="434"/>
  <c r="B373" i="434"/>
  <c r="B372" i="434"/>
  <c r="B371" i="434"/>
  <c r="B370" i="434"/>
  <c r="B369" i="434"/>
  <c r="B368" i="434"/>
  <c r="B367" i="434"/>
  <c r="B366" i="434"/>
  <c r="B365" i="434"/>
  <c r="B364" i="434"/>
  <c r="B363" i="434"/>
  <c r="B362" i="434"/>
  <c r="B361" i="434"/>
  <c r="B360" i="434"/>
  <c r="P360" i="434" s="1"/>
  <c r="B359" i="434"/>
  <c r="B358" i="434"/>
  <c r="P358" i="434" s="1"/>
  <c r="B357" i="434"/>
  <c r="P357" i="434" s="1"/>
  <c r="B356" i="434"/>
  <c r="B355" i="434"/>
  <c r="P355" i="434" s="1"/>
  <c r="B354" i="434"/>
  <c r="P354" i="434" s="1"/>
  <c r="B353" i="434"/>
  <c r="U353" i="434" s="1"/>
  <c r="V353" i="434" s="1"/>
  <c r="B352" i="434"/>
  <c r="B351" i="434"/>
  <c r="B350" i="434"/>
  <c r="B349" i="434"/>
  <c r="B348" i="434"/>
  <c r="B347" i="434"/>
  <c r="B346" i="434"/>
  <c r="B345" i="434"/>
  <c r="B344" i="434"/>
  <c r="B343" i="434"/>
  <c r="B342" i="434"/>
  <c r="B341" i="434"/>
  <c r="B340" i="434"/>
  <c r="B339" i="434"/>
  <c r="B338" i="434"/>
  <c r="B337" i="434"/>
  <c r="B336" i="434"/>
  <c r="B335" i="434"/>
  <c r="B334" i="434"/>
  <c r="B333" i="434"/>
  <c r="B332" i="434"/>
  <c r="B331" i="434"/>
  <c r="B330" i="434"/>
  <c r="B329" i="434"/>
  <c r="B328" i="434"/>
  <c r="B327" i="434"/>
  <c r="B326" i="434"/>
  <c r="B325" i="434"/>
  <c r="B324" i="434"/>
  <c r="B323" i="434"/>
  <c r="B322" i="434"/>
  <c r="B321" i="434"/>
  <c r="B320" i="434"/>
  <c r="B319" i="434"/>
  <c r="B318" i="434"/>
  <c r="B317" i="434"/>
  <c r="B316" i="434"/>
  <c r="B315" i="434"/>
  <c r="B314" i="434"/>
  <c r="B313" i="434"/>
  <c r="B312" i="434"/>
  <c r="P312" i="434" s="1"/>
  <c r="B311" i="434"/>
  <c r="B310" i="434"/>
  <c r="B309" i="434"/>
  <c r="U309" i="434" s="1"/>
  <c r="V309" i="434" s="1"/>
  <c r="B308" i="434"/>
  <c r="B307" i="434"/>
  <c r="P307" i="434" s="1"/>
  <c r="B306" i="434"/>
  <c r="P306" i="434" s="1"/>
  <c r="B305" i="434"/>
  <c r="P305" i="434" s="1"/>
  <c r="B304" i="434"/>
  <c r="B303" i="434"/>
  <c r="B302" i="434"/>
  <c r="B301" i="434"/>
  <c r="B300" i="434"/>
  <c r="B299" i="434"/>
  <c r="B298" i="434"/>
  <c r="B297" i="434"/>
  <c r="B296" i="434"/>
  <c r="B295" i="434"/>
  <c r="B294" i="434"/>
  <c r="B293" i="434"/>
  <c r="B292" i="434"/>
  <c r="B291" i="434"/>
  <c r="B290" i="434"/>
  <c r="B289" i="434"/>
  <c r="B288" i="434"/>
  <c r="B287" i="434"/>
  <c r="B286" i="434"/>
  <c r="B285" i="434"/>
  <c r="B284" i="434"/>
  <c r="B283" i="434"/>
  <c r="B282" i="434"/>
  <c r="B281" i="434"/>
  <c r="B280" i="434"/>
  <c r="B279" i="434"/>
  <c r="B278" i="434"/>
  <c r="B277" i="434"/>
  <c r="B276" i="434"/>
  <c r="B275" i="434"/>
  <c r="B274" i="434"/>
  <c r="B273" i="434"/>
  <c r="B272" i="434"/>
  <c r="B271" i="434"/>
  <c r="B270" i="434"/>
  <c r="B269" i="434"/>
  <c r="B268" i="434"/>
  <c r="B267" i="434"/>
  <c r="B266" i="434"/>
  <c r="B265" i="434"/>
  <c r="B264" i="434"/>
  <c r="B263" i="434"/>
  <c r="B262" i="434"/>
  <c r="U262" i="434" s="1"/>
  <c r="V262" i="434" s="1"/>
  <c r="B261" i="434"/>
  <c r="P261" i="434" s="1"/>
  <c r="B260" i="434"/>
  <c r="B259" i="434"/>
  <c r="P259" i="434" s="1"/>
  <c r="B258" i="434"/>
  <c r="P258" i="434" s="1"/>
  <c r="B257" i="434"/>
  <c r="P257" i="434" s="1"/>
  <c r="B256" i="434"/>
  <c r="B255" i="434"/>
  <c r="B254" i="434"/>
  <c r="B253" i="434"/>
  <c r="B252" i="434"/>
  <c r="B251" i="434"/>
  <c r="B250" i="434"/>
  <c r="B249" i="434"/>
  <c r="B248" i="434"/>
  <c r="B247" i="434"/>
  <c r="B246" i="434"/>
  <c r="B245" i="434"/>
  <c r="B244" i="434"/>
  <c r="B243" i="434"/>
  <c r="B242" i="434"/>
  <c r="B241" i="434"/>
  <c r="B240" i="434"/>
  <c r="B239" i="434"/>
  <c r="B238" i="434"/>
  <c r="B237" i="434"/>
  <c r="B236" i="434"/>
  <c r="B235" i="434"/>
  <c r="B234" i="434"/>
  <c r="B233" i="434"/>
  <c r="B232" i="434"/>
  <c r="B231" i="434"/>
  <c r="B230" i="434"/>
  <c r="B229" i="434"/>
  <c r="B228" i="434"/>
  <c r="B227" i="434"/>
  <c r="B226" i="434"/>
  <c r="B225" i="434"/>
  <c r="B224" i="434"/>
  <c r="B223" i="434"/>
  <c r="B222" i="434"/>
  <c r="B221" i="434"/>
  <c r="B220" i="434"/>
  <c r="B219" i="434"/>
  <c r="B218" i="434"/>
  <c r="B217" i="434"/>
  <c r="B216" i="434"/>
  <c r="B215" i="434"/>
  <c r="B214" i="434"/>
  <c r="U214" i="434" s="1"/>
  <c r="B213" i="434"/>
  <c r="P213" i="434" s="1"/>
  <c r="B212" i="434"/>
  <c r="U212" i="434" s="1"/>
  <c r="V212" i="434" s="1"/>
  <c r="B211" i="434"/>
  <c r="P211" i="434" s="1"/>
  <c r="B210" i="434"/>
  <c r="U210" i="434" s="1"/>
  <c r="V210" i="434" s="1"/>
  <c r="B209" i="434"/>
  <c r="U209" i="434" s="1"/>
  <c r="V209" i="434" s="1"/>
  <c r="B208" i="434"/>
  <c r="U208" i="434" s="1"/>
  <c r="V208" i="434" s="1"/>
  <c r="B207" i="434"/>
  <c r="B206" i="434"/>
  <c r="B205" i="434"/>
  <c r="B204" i="434"/>
  <c r="B203" i="434"/>
  <c r="B202" i="434"/>
  <c r="B201" i="434"/>
  <c r="B200" i="434"/>
  <c r="B199" i="434"/>
  <c r="B198" i="434"/>
  <c r="B197" i="434"/>
  <c r="B196" i="434"/>
  <c r="B195" i="434"/>
  <c r="B194" i="434"/>
  <c r="B193" i="434"/>
  <c r="B192" i="434"/>
  <c r="B191" i="434"/>
  <c r="B190" i="434"/>
  <c r="B189" i="434"/>
  <c r="B188" i="434"/>
  <c r="B187" i="434"/>
  <c r="B186" i="434"/>
  <c r="B185" i="434"/>
  <c r="B184" i="434"/>
  <c r="B183" i="434"/>
  <c r="B182" i="434"/>
  <c r="B181" i="434"/>
  <c r="B180" i="434"/>
  <c r="B179" i="434"/>
  <c r="B178" i="434"/>
  <c r="B177" i="434"/>
  <c r="B176" i="434"/>
  <c r="B175" i="434"/>
  <c r="B174" i="434"/>
  <c r="U174" i="434" s="1"/>
  <c r="V174" i="434" s="1"/>
  <c r="B173" i="434"/>
  <c r="B172" i="434"/>
  <c r="U172" i="434" s="1"/>
  <c r="V172" i="434" s="1"/>
  <c r="B171" i="434"/>
  <c r="B170" i="434"/>
  <c r="U170" i="434" s="1"/>
  <c r="V170" i="434" s="1"/>
  <c r="B169" i="434"/>
  <c r="U169" i="434" s="1"/>
  <c r="V169" i="434" s="1"/>
  <c r="B168" i="434"/>
  <c r="U168" i="434" s="1"/>
  <c r="V168" i="434" s="1"/>
  <c r="B167" i="434"/>
  <c r="B166" i="434"/>
  <c r="P166" i="434" s="1"/>
  <c r="B165" i="434"/>
  <c r="U165" i="434" s="1"/>
  <c r="V165" i="434" s="1"/>
  <c r="B164" i="434"/>
  <c r="B163" i="434"/>
  <c r="P163" i="434" s="1"/>
  <c r="B162" i="434"/>
  <c r="P162" i="434" s="1"/>
  <c r="B161" i="434"/>
  <c r="P161" i="434" s="1"/>
  <c r="B160" i="434"/>
  <c r="B159" i="434"/>
  <c r="B158" i="434"/>
  <c r="B157" i="434"/>
  <c r="B156" i="434"/>
  <c r="B155" i="434"/>
  <c r="B154" i="434"/>
  <c r="B153" i="434"/>
  <c r="B152" i="434"/>
  <c r="B151" i="434"/>
  <c r="B150" i="434"/>
  <c r="B149" i="434"/>
  <c r="B148" i="434"/>
  <c r="B147" i="434"/>
  <c r="B146" i="434"/>
  <c r="B145" i="434"/>
  <c r="B144" i="434"/>
  <c r="B143" i="434"/>
  <c r="B142" i="434"/>
  <c r="B141" i="434"/>
  <c r="B140" i="434"/>
  <c r="B139" i="434"/>
  <c r="B138" i="434"/>
  <c r="B137" i="434"/>
  <c r="B136" i="434"/>
  <c r="B135" i="434"/>
  <c r="B134" i="434"/>
  <c r="B133" i="434"/>
  <c r="B132" i="434"/>
  <c r="U132" i="434" s="1"/>
  <c r="V132" i="434" s="1"/>
  <c r="B131" i="434"/>
  <c r="U131" i="434" s="1"/>
  <c r="V131" i="434" s="1"/>
  <c r="B130" i="434"/>
  <c r="B129" i="434"/>
  <c r="U129" i="434" s="1"/>
  <c r="V129" i="434" s="1"/>
  <c r="B128" i="434"/>
  <c r="U128" i="434" s="1"/>
  <c r="B127" i="434"/>
  <c r="B126" i="434"/>
  <c r="B125" i="434"/>
  <c r="B124" i="434"/>
  <c r="B123" i="434"/>
  <c r="B122" i="434"/>
  <c r="B121" i="434"/>
  <c r="B120" i="434"/>
  <c r="B119" i="434"/>
  <c r="B118" i="434"/>
  <c r="B117" i="434"/>
  <c r="B116" i="434"/>
  <c r="B115" i="434"/>
  <c r="P115" i="434" s="1"/>
  <c r="B114" i="434"/>
  <c r="P114" i="434" s="1"/>
  <c r="B113" i="434"/>
  <c r="P113" i="434" s="1"/>
  <c r="B112" i="434"/>
  <c r="B111" i="434"/>
  <c r="B110" i="434"/>
  <c r="B109" i="434"/>
  <c r="B108" i="434"/>
  <c r="B107" i="434"/>
  <c r="B106" i="434"/>
  <c r="B105" i="434"/>
  <c r="B104" i="434"/>
  <c r="B103" i="434"/>
  <c r="B102" i="434"/>
  <c r="B101" i="434"/>
  <c r="B100" i="434"/>
  <c r="B99" i="434"/>
  <c r="B98" i="434"/>
  <c r="B97" i="434"/>
  <c r="B96" i="434"/>
  <c r="B95" i="434"/>
  <c r="B94" i="434"/>
  <c r="B93" i="434"/>
  <c r="B92" i="434"/>
  <c r="B91" i="434"/>
  <c r="U91" i="434" s="1"/>
  <c r="V91" i="434" s="1"/>
  <c r="B90" i="434"/>
  <c r="B89" i="434"/>
  <c r="U89" i="434" s="1"/>
  <c r="V89" i="434" s="1"/>
  <c r="B88" i="434"/>
  <c r="U88" i="434" s="1"/>
  <c r="V88" i="434" s="1"/>
  <c r="B87" i="434"/>
  <c r="U87" i="434" s="1"/>
  <c r="V87" i="434" s="1"/>
  <c r="B86" i="434"/>
  <c r="B85" i="434"/>
  <c r="U85" i="434" s="1"/>
  <c r="V85" i="434" s="1"/>
  <c r="B84" i="434"/>
  <c r="B83" i="434"/>
  <c r="B82" i="434"/>
  <c r="B81" i="434"/>
  <c r="B80" i="434"/>
  <c r="B79" i="434"/>
  <c r="B78" i="434"/>
  <c r="B77" i="434"/>
  <c r="B76" i="434"/>
  <c r="B75" i="434"/>
  <c r="B74" i="434"/>
  <c r="B73" i="434"/>
  <c r="B72" i="434"/>
  <c r="P72" i="434" s="1"/>
  <c r="B71" i="434"/>
  <c r="B70" i="434"/>
  <c r="B69" i="434"/>
  <c r="P69" i="434" s="1"/>
  <c r="B68" i="434"/>
  <c r="B67" i="434"/>
  <c r="P67" i="434" s="1"/>
  <c r="B66" i="434"/>
  <c r="P66" i="434" s="1"/>
  <c r="B65" i="434"/>
  <c r="U65" i="434" s="1"/>
  <c r="V65" i="434" s="1"/>
  <c r="B64" i="434"/>
  <c r="B63" i="434"/>
  <c r="B62" i="434"/>
  <c r="B61" i="434"/>
  <c r="B60" i="434"/>
  <c r="B59" i="434"/>
  <c r="B58" i="434"/>
  <c r="B57" i="434"/>
  <c r="B56" i="434"/>
  <c r="B55" i="434"/>
  <c r="B54" i="434"/>
  <c r="B53" i="434"/>
  <c r="B52" i="434"/>
  <c r="B51" i="434"/>
  <c r="B50" i="434"/>
  <c r="B49" i="434"/>
  <c r="B48" i="434"/>
  <c r="B47" i="434"/>
  <c r="B46" i="434"/>
  <c r="B45" i="434"/>
  <c r="B44" i="434"/>
  <c r="B43" i="434"/>
  <c r="B42" i="434"/>
  <c r="B41" i="434"/>
  <c r="B40" i="434"/>
  <c r="B39" i="434"/>
  <c r="B38" i="434"/>
  <c r="B37" i="434"/>
  <c r="B36" i="434"/>
  <c r="B35" i="434"/>
  <c r="B34" i="434"/>
  <c r="B33" i="434"/>
  <c r="B32" i="434"/>
  <c r="B31" i="434"/>
  <c r="B30" i="434"/>
  <c r="B29" i="434"/>
  <c r="B28" i="434"/>
  <c r="B27" i="434"/>
  <c r="B26" i="434"/>
  <c r="B25" i="434"/>
  <c r="B24" i="434"/>
  <c r="B23" i="434"/>
  <c r="B22" i="434"/>
  <c r="P22" i="434" s="1"/>
  <c r="B21" i="434"/>
  <c r="P21" i="434" s="1"/>
  <c r="B20" i="434"/>
  <c r="B19" i="434"/>
  <c r="P19" i="434" s="1"/>
  <c r="B18" i="434"/>
  <c r="P18" i="434" s="1"/>
  <c r="B17" i="434"/>
  <c r="P17" i="434" s="1"/>
  <c r="B16" i="434"/>
  <c r="B15" i="434"/>
  <c r="B14" i="434"/>
  <c r="B13" i="434"/>
  <c r="B12" i="434"/>
  <c r="B11" i="434"/>
  <c r="B10" i="434"/>
  <c r="B9" i="434"/>
  <c r="U874" i="434"/>
  <c r="V874" i="434" s="1"/>
  <c r="U869" i="434"/>
  <c r="V869" i="434" s="1"/>
  <c r="U867" i="434"/>
  <c r="V867" i="434" s="1"/>
  <c r="U863" i="434"/>
  <c r="U861" i="434"/>
  <c r="V861" i="434" s="1"/>
  <c r="U827" i="434"/>
  <c r="V827" i="434" s="1"/>
  <c r="U825" i="434"/>
  <c r="V825" i="434" s="1"/>
  <c r="U823" i="434"/>
  <c r="V823" i="434" s="1"/>
  <c r="U822" i="434"/>
  <c r="V822" i="434" s="1"/>
  <c r="U821" i="434"/>
  <c r="U820" i="434"/>
  <c r="V820" i="434" s="1"/>
  <c r="U819" i="434"/>
  <c r="V819" i="434" s="1"/>
  <c r="U784" i="434"/>
  <c r="V784" i="434" s="1"/>
  <c r="U782" i="434"/>
  <c r="V782" i="434" s="1"/>
  <c r="U781" i="434"/>
  <c r="V781" i="434" s="1"/>
  <c r="U740" i="434"/>
  <c r="U706" i="434"/>
  <c r="V706" i="434" s="1"/>
  <c r="U704" i="434"/>
  <c r="V704" i="434" s="1"/>
  <c r="U702" i="434"/>
  <c r="V702" i="434" s="1"/>
  <c r="U701" i="434"/>
  <c r="V701" i="434" s="1"/>
  <c r="U700" i="434"/>
  <c r="V700" i="434" s="1"/>
  <c r="U665" i="434"/>
  <c r="V665" i="434" s="1"/>
  <c r="U664" i="434"/>
  <c r="V664" i="434" s="1"/>
  <c r="U662" i="434"/>
  <c r="V662" i="434" s="1"/>
  <c r="U661" i="434"/>
  <c r="V661" i="434" s="1"/>
  <c r="U660" i="434"/>
  <c r="V660" i="434" s="1"/>
  <c r="U623" i="434"/>
  <c r="V623" i="434" s="1"/>
  <c r="U583" i="434"/>
  <c r="V583" i="434" s="1"/>
  <c r="U582" i="434"/>
  <c r="V582" i="434" s="1"/>
  <c r="U580" i="434"/>
  <c r="V580" i="434" s="1"/>
  <c r="U579" i="434"/>
  <c r="V579" i="434" s="1"/>
  <c r="U578" i="434"/>
  <c r="V578" i="434" s="1"/>
  <c r="U577" i="434"/>
  <c r="V577" i="434" s="1"/>
  <c r="U542" i="434"/>
  <c r="V542" i="434" s="1"/>
  <c r="U539" i="434"/>
  <c r="V539" i="434" s="1"/>
  <c r="U538" i="434"/>
  <c r="V538" i="434" s="1"/>
  <c r="U537" i="434"/>
  <c r="V537" i="434" s="1"/>
  <c r="U536" i="434"/>
  <c r="V536" i="434" s="1"/>
  <c r="U496" i="434"/>
  <c r="U495" i="434"/>
  <c r="V495" i="434" s="1"/>
  <c r="U460" i="434"/>
  <c r="V460" i="434" s="1"/>
  <c r="U458" i="434"/>
  <c r="V458" i="434" s="1"/>
  <c r="U419" i="434"/>
  <c r="V419" i="434" s="1"/>
  <c r="U413" i="434"/>
  <c r="V413" i="434" s="1"/>
  <c r="U377" i="434"/>
  <c r="V377" i="434" s="1"/>
  <c r="U376" i="434"/>
  <c r="V376" i="434" s="1"/>
  <c r="U374" i="434"/>
  <c r="V374" i="434" s="1"/>
  <c r="U373" i="434"/>
  <c r="V373" i="434" s="1"/>
  <c r="U372" i="434"/>
  <c r="V372" i="434" s="1"/>
  <c r="U335" i="434"/>
  <c r="V335" i="434" s="1"/>
  <c r="U332" i="434"/>
  <c r="V332" i="434" s="1"/>
  <c r="U331" i="434"/>
  <c r="U330" i="434"/>
  <c r="V330" i="434" s="1"/>
  <c r="U295" i="434"/>
  <c r="V295" i="434" s="1"/>
  <c r="U294" i="434"/>
  <c r="V294" i="434" s="1"/>
  <c r="U292" i="434"/>
  <c r="V292" i="434" s="1"/>
  <c r="U291" i="434"/>
  <c r="V291" i="434" s="1"/>
  <c r="U289" i="434"/>
  <c r="V289" i="434" s="1"/>
  <c r="U252" i="434"/>
  <c r="V252" i="434" s="1"/>
  <c r="U251" i="434"/>
  <c r="V251" i="434" s="1"/>
  <c r="U250" i="434"/>
  <c r="V250" i="434" s="1"/>
  <c r="U50" i="434"/>
  <c r="V50" i="434" s="1"/>
  <c r="U47" i="434"/>
  <c r="V47" i="434" s="1"/>
  <c r="U45" i="434"/>
  <c r="U44" i="434"/>
  <c r="V44" i="434" s="1"/>
  <c r="U10" i="434"/>
  <c r="V10" i="434" s="1"/>
  <c r="AJ898" i="434"/>
  <c r="S898" i="434"/>
  <c r="R898" i="434"/>
  <c r="Q898" i="434"/>
  <c r="C898" i="434"/>
  <c r="AS898" i="434" s="1"/>
  <c r="P898" i="434"/>
  <c r="AJ897" i="434"/>
  <c r="S897" i="434"/>
  <c r="R897" i="434"/>
  <c r="Q897" i="434"/>
  <c r="C897" i="434"/>
  <c r="AS897" i="434" s="1"/>
  <c r="P897" i="434"/>
  <c r="AJ896" i="434"/>
  <c r="S896" i="434"/>
  <c r="R896" i="434"/>
  <c r="Q896" i="434"/>
  <c r="C896" i="434"/>
  <c r="AS896" i="434" s="1"/>
  <c r="P896" i="434"/>
  <c r="AJ895" i="434"/>
  <c r="S895" i="434"/>
  <c r="R895" i="434"/>
  <c r="Q895" i="434"/>
  <c r="C895" i="434"/>
  <c r="AS895" i="434" s="1"/>
  <c r="AS894" i="434"/>
  <c r="AJ894" i="434"/>
  <c r="S894" i="434"/>
  <c r="R894" i="434"/>
  <c r="Q894" i="434"/>
  <c r="C894" i="434"/>
  <c r="T894" i="434" s="1"/>
  <c r="AJ893" i="434"/>
  <c r="S893" i="434"/>
  <c r="R893" i="434"/>
  <c r="Q893" i="434"/>
  <c r="C893" i="434"/>
  <c r="AS893" i="434" s="1"/>
  <c r="AJ892" i="434"/>
  <c r="S892" i="434"/>
  <c r="R892" i="434"/>
  <c r="Q892" i="434"/>
  <c r="C892" i="434"/>
  <c r="AS892" i="434" s="1"/>
  <c r="P892" i="434"/>
  <c r="AJ891" i="434"/>
  <c r="S891" i="434"/>
  <c r="R891" i="434"/>
  <c r="Q891" i="434"/>
  <c r="C891" i="434"/>
  <c r="AS891" i="434" s="1"/>
  <c r="P891" i="434"/>
  <c r="AS890" i="434"/>
  <c r="AJ890" i="434"/>
  <c r="T890" i="434"/>
  <c r="S890" i="434"/>
  <c r="R890" i="434"/>
  <c r="Q890" i="434"/>
  <c r="C890" i="434"/>
  <c r="P890" i="434"/>
  <c r="AJ889" i="434"/>
  <c r="S889" i="434"/>
  <c r="R889" i="434"/>
  <c r="Q889" i="434"/>
  <c r="C889" i="434"/>
  <c r="AS889" i="434" s="1"/>
  <c r="P889" i="434"/>
  <c r="AJ888" i="434"/>
  <c r="S888" i="434"/>
  <c r="R888" i="434"/>
  <c r="Q888" i="434"/>
  <c r="C888" i="434"/>
  <c r="AS888" i="434" s="1"/>
  <c r="P888" i="434"/>
  <c r="AJ887" i="434"/>
  <c r="S887" i="434"/>
  <c r="R887" i="434"/>
  <c r="Q887" i="434"/>
  <c r="C887" i="434"/>
  <c r="AS887" i="434" s="1"/>
  <c r="AJ886" i="434"/>
  <c r="S886" i="434"/>
  <c r="R886" i="434"/>
  <c r="Q886" i="434"/>
  <c r="C886" i="434"/>
  <c r="AS886" i="434" s="1"/>
  <c r="AJ885" i="434"/>
  <c r="S885" i="434"/>
  <c r="R885" i="434"/>
  <c r="Q885" i="434"/>
  <c r="C885" i="434"/>
  <c r="AS885" i="434" s="1"/>
  <c r="AJ884" i="434"/>
  <c r="T884" i="434"/>
  <c r="S884" i="434"/>
  <c r="R884" i="434"/>
  <c r="Q884" i="434"/>
  <c r="C884" i="434"/>
  <c r="AS884" i="434" s="1"/>
  <c r="P884" i="434"/>
  <c r="AJ883" i="434"/>
  <c r="S883" i="434"/>
  <c r="R883" i="434"/>
  <c r="Q883" i="434"/>
  <c r="C883" i="434"/>
  <c r="AS883" i="434" s="1"/>
  <c r="AJ882" i="434"/>
  <c r="S882" i="434"/>
  <c r="R882" i="434"/>
  <c r="Q882" i="434"/>
  <c r="C882" i="434"/>
  <c r="AS882" i="434" s="1"/>
  <c r="AS881" i="434"/>
  <c r="AJ881" i="434"/>
  <c r="T881" i="434"/>
  <c r="S881" i="434"/>
  <c r="R881" i="434"/>
  <c r="Q881" i="434"/>
  <c r="C881" i="434"/>
  <c r="AJ880" i="434"/>
  <c r="S880" i="434"/>
  <c r="R880" i="434"/>
  <c r="Q880" i="434"/>
  <c r="C880" i="434"/>
  <c r="AS880" i="434" s="1"/>
  <c r="AJ879" i="434"/>
  <c r="S879" i="434"/>
  <c r="R879" i="434"/>
  <c r="Q879" i="434"/>
  <c r="C879" i="434"/>
  <c r="AS879" i="434" s="1"/>
  <c r="P879" i="434"/>
  <c r="AJ878" i="434"/>
  <c r="S878" i="434"/>
  <c r="R878" i="434"/>
  <c r="Q878" i="434"/>
  <c r="C878" i="434"/>
  <c r="AS878" i="434" s="1"/>
  <c r="P878" i="434"/>
  <c r="AJ877" i="434"/>
  <c r="S877" i="434"/>
  <c r="R877" i="434"/>
  <c r="Q877" i="434"/>
  <c r="C877" i="434"/>
  <c r="AS877" i="434" s="1"/>
  <c r="U877" i="434"/>
  <c r="V877" i="434" s="1"/>
  <c r="AS876" i="434"/>
  <c r="AJ876" i="434"/>
  <c r="T876" i="434"/>
  <c r="S876" i="434"/>
  <c r="R876" i="434"/>
  <c r="Q876" i="434"/>
  <c r="C876" i="434"/>
  <c r="P876" i="434"/>
  <c r="AJ875" i="434"/>
  <c r="S875" i="434"/>
  <c r="R875" i="434"/>
  <c r="Q875" i="434"/>
  <c r="C875" i="434"/>
  <c r="AS875" i="434" s="1"/>
  <c r="P875" i="434"/>
  <c r="AJ874" i="434"/>
  <c r="S874" i="434"/>
  <c r="R874" i="434"/>
  <c r="Q874" i="434"/>
  <c r="C874" i="434"/>
  <c r="AS874" i="434" s="1"/>
  <c r="P874" i="434"/>
  <c r="AJ873" i="434"/>
  <c r="S873" i="434"/>
  <c r="R873" i="434"/>
  <c r="Q873" i="434"/>
  <c r="C873" i="434"/>
  <c r="AS873" i="434" s="1"/>
  <c r="P873" i="434"/>
  <c r="AJ872" i="434"/>
  <c r="S872" i="434"/>
  <c r="R872" i="434"/>
  <c r="Q872" i="434"/>
  <c r="P872" i="434"/>
  <c r="C872" i="434"/>
  <c r="AS872" i="434" s="1"/>
  <c r="U872" i="434"/>
  <c r="V872" i="434" s="1"/>
  <c r="AJ871" i="434"/>
  <c r="S871" i="434"/>
  <c r="R871" i="434"/>
  <c r="Q871" i="434"/>
  <c r="P871" i="434"/>
  <c r="C871" i="434"/>
  <c r="AS871" i="434" s="1"/>
  <c r="U871" i="434"/>
  <c r="V871" i="434" s="1"/>
  <c r="AJ870" i="434"/>
  <c r="S870" i="434"/>
  <c r="R870" i="434"/>
  <c r="Q870" i="434"/>
  <c r="C870" i="434"/>
  <c r="AS870" i="434" s="1"/>
  <c r="P870" i="434"/>
  <c r="AJ869" i="434"/>
  <c r="S869" i="434"/>
  <c r="R869" i="434"/>
  <c r="Q869" i="434"/>
  <c r="P869" i="434"/>
  <c r="C869" i="434"/>
  <c r="AS869" i="434" s="1"/>
  <c r="AJ868" i="434"/>
  <c r="S868" i="434"/>
  <c r="R868" i="434"/>
  <c r="Q868" i="434"/>
  <c r="C868" i="434"/>
  <c r="AS868" i="434" s="1"/>
  <c r="P868" i="434"/>
  <c r="AJ867" i="434"/>
  <c r="S867" i="434"/>
  <c r="R867" i="434"/>
  <c r="Q867" i="434"/>
  <c r="C867" i="434"/>
  <c r="AS867" i="434" s="1"/>
  <c r="P867" i="434"/>
  <c r="AJ866" i="434"/>
  <c r="S866" i="434"/>
  <c r="R866" i="434"/>
  <c r="Q866" i="434"/>
  <c r="C866" i="434"/>
  <c r="AS866" i="434" s="1"/>
  <c r="P866" i="434"/>
  <c r="AJ865" i="434"/>
  <c r="S865" i="434"/>
  <c r="R865" i="434"/>
  <c r="Q865" i="434"/>
  <c r="C865" i="434"/>
  <c r="AS865" i="434" s="1"/>
  <c r="P865" i="434"/>
  <c r="AJ864" i="434"/>
  <c r="S864" i="434"/>
  <c r="R864" i="434"/>
  <c r="Q864" i="434"/>
  <c r="C864" i="434"/>
  <c r="AS864" i="434" s="1"/>
  <c r="P864" i="434"/>
  <c r="AJ863" i="434"/>
  <c r="S863" i="434"/>
  <c r="R863" i="434"/>
  <c r="Q863" i="434"/>
  <c r="C863" i="434"/>
  <c r="T863" i="434" s="1"/>
  <c r="P863" i="434"/>
  <c r="AJ862" i="434"/>
  <c r="S862" i="434"/>
  <c r="R862" i="434"/>
  <c r="Q862" i="434"/>
  <c r="P862" i="434"/>
  <c r="C862" i="434"/>
  <c r="AS862" i="434" s="1"/>
  <c r="AJ861" i="434"/>
  <c r="S861" i="434"/>
  <c r="R861" i="434"/>
  <c r="Q861" i="434"/>
  <c r="C861" i="434"/>
  <c r="AS861" i="434" s="1"/>
  <c r="P861" i="434"/>
  <c r="AJ860" i="434"/>
  <c r="S860" i="434"/>
  <c r="R860" i="434"/>
  <c r="Q860" i="434"/>
  <c r="C860" i="434"/>
  <c r="AS860" i="434" s="1"/>
  <c r="P860" i="434"/>
  <c r="AJ859" i="434"/>
  <c r="S859" i="434"/>
  <c r="R859" i="434"/>
  <c r="Q859" i="434"/>
  <c r="C859" i="434"/>
  <c r="T859" i="434" s="1"/>
  <c r="P859" i="434"/>
  <c r="AJ858" i="434"/>
  <c r="S858" i="434"/>
  <c r="R858" i="434"/>
  <c r="Q858" i="434"/>
  <c r="C858" i="434"/>
  <c r="AS858" i="434" s="1"/>
  <c r="P858" i="434"/>
  <c r="AJ857" i="434"/>
  <c r="S857" i="434"/>
  <c r="R857" i="434"/>
  <c r="Q857" i="434"/>
  <c r="C857" i="434"/>
  <c r="AS857" i="434" s="1"/>
  <c r="U857" i="434"/>
  <c r="V857" i="434" s="1"/>
  <c r="AJ856" i="434"/>
  <c r="S856" i="434"/>
  <c r="R856" i="434"/>
  <c r="Q856" i="434"/>
  <c r="C856" i="434"/>
  <c r="AS856" i="434" s="1"/>
  <c r="AS855" i="434"/>
  <c r="AJ855" i="434"/>
  <c r="T855" i="434"/>
  <c r="S855" i="434"/>
  <c r="R855" i="434"/>
  <c r="Q855" i="434"/>
  <c r="C855" i="434"/>
  <c r="AJ854" i="434"/>
  <c r="S854" i="434"/>
  <c r="R854" i="434"/>
  <c r="Q854" i="434"/>
  <c r="C854" i="434"/>
  <c r="AS854" i="434" s="1"/>
  <c r="P854" i="434"/>
  <c r="AJ853" i="434"/>
  <c r="S853" i="434"/>
  <c r="R853" i="434"/>
  <c r="Q853" i="434"/>
  <c r="C853" i="434"/>
  <c r="AS853" i="434" s="1"/>
  <c r="P853" i="434"/>
  <c r="AJ852" i="434"/>
  <c r="S852" i="434"/>
  <c r="R852" i="434"/>
  <c r="Q852" i="434"/>
  <c r="C852" i="434"/>
  <c r="AS852" i="434" s="1"/>
  <c r="P852" i="434"/>
  <c r="AJ851" i="434"/>
  <c r="S851" i="434"/>
  <c r="R851" i="434"/>
  <c r="Q851" i="434"/>
  <c r="C851" i="434"/>
  <c r="AS851" i="434" s="1"/>
  <c r="P851" i="434"/>
  <c r="AS850" i="434"/>
  <c r="AJ850" i="434"/>
  <c r="T850" i="434"/>
  <c r="S850" i="434"/>
  <c r="R850" i="434"/>
  <c r="Q850" i="434"/>
  <c r="C850" i="434"/>
  <c r="P850" i="434"/>
  <c r="AJ849" i="434"/>
  <c r="S849" i="434"/>
  <c r="R849" i="434"/>
  <c r="Q849" i="434"/>
  <c r="C849" i="434"/>
  <c r="AS849" i="434" s="1"/>
  <c r="AJ848" i="434"/>
  <c r="S848" i="434"/>
  <c r="R848" i="434"/>
  <c r="Q848" i="434"/>
  <c r="C848" i="434"/>
  <c r="AS848" i="434" s="1"/>
  <c r="AJ847" i="434"/>
  <c r="S847" i="434"/>
  <c r="R847" i="434"/>
  <c r="Q847" i="434"/>
  <c r="C847" i="434"/>
  <c r="AS847" i="434" s="1"/>
  <c r="AJ846" i="434"/>
  <c r="T846" i="434"/>
  <c r="S846" i="434"/>
  <c r="R846" i="434"/>
  <c r="Q846" i="434"/>
  <c r="C846" i="434"/>
  <c r="AS846" i="434" s="1"/>
  <c r="P846" i="434"/>
  <c r="AJ845" i="434"/>
  <c r="S845" i="434"/>
  <c r="R845" i="434"/>
  <c r="Q845" i="434"/>
  <c r="C845" i="434"/>
  <c r="AS845" i="434" s="1"/>
  <c r="P845" i="434"/>
  <c r="AJ844" i="434"/>
  <c r="S844" i="434"/>
  <c r="R844" i="434"/>
  <c r="Q844" i="434"/>
  <c r="C844" i="434"/>
  <c r="AS844" i="434" s="1"/>
  <c r="P844" i="434"/>
  <c r="AJ843" i="434"/>
  <c r="S843" i="434"/>
  <c r="R843" i="434"/>
  <c r="Q843" i="434"/>
  <c r="C843" i="434"/>
  <c r="AS843" i="434" s="1"/>
  <c r="P843" i="434"/>
  <c r="AJ842" i="434"/>
  <c r="T842" i="434"/>
  <c r="S842" i="434"/>
  <c r="R842" i="434"/>
  <c r="Q842" i="434"/>
  <c r="C842" i="434"/>
  <c r="AS842" i="434" s="1"/>
  <c r="P842" i="434"/>
  <c r="AJ841" i="434"/>
  <c r="S841" i="434"/>
  <c r="R841" i="434"/>
  <c r="Q841" i="434"/>
  <c r="C841" i="434"/>
  <c r="AS841" i="434" s="1"/>
  <c r="AJ840" i="434"/>
  <c r="S840" i="434"/>
  <c r="R840" i="434"/>
  <c r="Q840" i="434"/>
  <c r="C840" i="434"/>
  <c r="AS840" i="434" s="1"/>
  <c r="AJ839" i="434"/>
  <c r="T839" i="434"/>
  <c r="S839" i="434"/>
  <c r="R839" i="434"/>
  <c r="Q839" i="434"/>
  <c r="C839" i="434"/>
  <c r="AS839" i="434" s="1"/>
  <c r="AJ838" i="434"/>
  <c r="S838" i="434"/>
  <c r="R838" i="434"/>
  <c r="Q838" i="434"/>
  <c r="C838" i="434"/>
  <c r="AS838" i="434" s="1"/>
  <c r="AJ837" i="434"/>
  <c r="S837" i="434"/>
  <c r="R837" i="434"/>
  <c r="Q837" i="434"/>
  <c r="C837" i="434"/>
  <c r="AS837" i="434" s="1"/>
  <c r="AJ836" i="434"/>
  <c r="T836" i="434"/>
  <c r="S836" i="434"/>
  <c r="R836" i="434"/>
  <c r="Q836" i="434"/>
  <c r="C836" i="434"/>
  <c r="AS836" i="434" s="1"/>
  <c r="P836" i="434"/>
  <c r="AJ835" i="434"/>
  <c r="S835" i="434"/>
  <c r="R835" i="434"/>
  <c r="Q835" i="434"/>
  <c r="C835" i="434"/>
  <c r="AS835" i="434" s="1"/>
  <c r="AJ834" i="434"/>
  <c r="S834" i="434"/>
  <c r="R834" i="434"/>
  <c r="Q834" i="434"/>
  <c r="C834" i="434"/>
  <c r="AS834" i="434" s="1"/>
  <c r="AS833" i="434"/>
  <c r="AJ833" i="434"/>
  <c r="S833" i="434"/>
  <c r="R833" i="434"/>
  <c r="Q833" i="434"/>
  <c r="C833" i="434"/>
  <c r="T833" i="434" s="1"/>
  <c r="AJ832" i="434"/>
  <c r="S832" i="434"/>
  <c r="R832" i="434"/>
  <c r="Q832" i="434"/>
  <c r="C832" i="434"/>
  <c r="AS832" i="434" s="1"/>
  <c r="AJ831" i="434"/>
  <c r="S831" i="434"/>
  <c r="R831" i="434"/>
  <c r="Q831" i="434"/>
  <c r="C831" i="434"/>
  <c r="AS831" i="434" s="1"/>
  <c r="P831" i="434"/>
  <c r="AJ830" i="434"/>
  <c r="S830" i="434"/>
  <c r="R830" i="434"/>
  <c r="Q830" i="434"/>
  <c r="C830" i="434"/>
  <c r="AS830" i="434" s="1"/>
  <c r="P830" i="434"/>
  <c r="AS829" i="434"/>
  <c r="AJ829" i="434"/>
  <c r="S829" i="434"/>
  <c r="R829" i="434"/>
  <c r="Q829" i="434"/>
  <c r="C829" i="434"/>
  <c r="T829" i="434" s="1"/>
  <c r="P829" i="434"/>
  <c r="AJ828" i="434"/>
  <c r="S828" i="434"/>
  <c r="R828" i="434"/>
  <c r="Q828" i="434"/>
  <c r="C828" i="434"/>
  <c r="AS828" i="434" s="1"/>
  <c r="P828" i="434"/>
  <c r="AJ827" i="434"/>
  <c r="S827" i="434"/>
  <c r="R827" i="434"/>
  <c r="Q827" i="434"/>
  <c r="C827" i="434"/>
  <c r="AS827" i="434" s="1"/>
  <c r="P827" i="434"/>
  <c r="AJ826" i="434"/>
  <c r="S826" i="434"/>
  <c r="R826" i="434"/>
  <c r="Q826" i="434"/>
  <c r="C826" i="434"/>
  <c r="AS826" i="434" s="1"/>
  <c r="P826" i="434"/>
  <c r="AJ825" i="434"/>
  <c r="S825" i="434"/>
  <c r="R825" i="434"/>
  <c r="Q825" i="434"/>
  <c r="C825" i="434"/>
  <c r="AS825" i="434" s="1"/>
  <c r="P825" i="434"/>
  <c r="AJ824" i="434"/>
  <c r="S824" i="434"/>
  <c r="R824" i="434"/>
  <c r="Q824" i="434"/>
  <c r="P824" i="434"/>
  <c r="C824" i="434"/>
  <c r="AS824" i="434" s="1"/>
  <c r="U824" i="434"/>
  <c r="V824" i="434" s="1"/>
  <c r="AJ823" i="434"/>
  <c r="S823" i="434"/>
  <c r="R823" i="434"/>
  <c r="Q823" i="434"/>
  <c r="P823" i="434"/>
  <c r="C823" i="434"/>
  <c r="AS823" i="434" s="1"/>
  <c r="AJ822" i="434"/>
  <c r="S822" i="434"/>
  <c r="R822" i="434"/>
  <c r="Q822" i="434"/>
  <c r="C822" i="434"/>
  <c r="AS822" i="434" s="1"/>
  <c r="P822" i="434"/>
  <c r="AJ821" i="434"/>
  <c r="S821" i="434"/>
  <c r="R821" i="434"/>
  <c r="Q821" i="434"/>
  <c r="C821" i="434"/>
  <c r="AS821" i="434" s="1"/>
  <c r="P821" i="434"/>
  <c r="AS820" i="434"/>
  <c r="AJ820" i="434"/>
  <c r="T820" i="434"/>
  <c r="S820" i="434"/>
  <c r="R820" i="434"/>
  <c r="Q820" i="434"/>
  <c r="P820" i="434"/>
  <c r="C820" i="434"/>
  <c r="AJ819" i="434"/>
  <c r="S819" i="434"/>
  <c r="R819" i="434"/>
  <c r="Q819" i="434"/>
  <c r="C819" i="434"/>
  <c r="AS819" i="434" s="1"/>
  <c r="P819" i="434"/>
  <c r="AJ818" i="434"/>
  <c r="S818" i="434"/>
  <c r="R818" i="434"/>
  <c r="Q818" i="434"/>
  <c r="P818" i="434"/>
  <c r="C818" i="434"/>
  <c r="AS818" i="434" s="1"/>
  <c r="U818" i="434"/>
  <c r="V818" i="434" s="1"/>
  <c r="AJ817" i="434"/>
  <c r="S817" i="434"/>
  <c r="R817" i="434"/>
  <c r="Q817" i="434"/>
  <c r="C817" i="434"/>
  <c r="T817" i="434" s="1"/>
  <c r="P817" i="434"/>
  <c r="AJ816" i="434"/>
  <c r="S816" i="434"/>
  <c r="R816" i="434"/>
  <c r="Q816" i="434"/>
  <c r="P816" i="434"/>
  <c r="C816" i="434"/>
  <c r="AS816" i="434" s="1"/>
  <c r="U816" i="434"/>
  <c r="V816" i="434" s="1"/>
  <c r="AJ815" i="434"/>
  <c r="S815" i="434"/>
  <c r="R815" i="434"/>
  <c r="Q815" i="434"/>
  <c r="C815" i="434"/>
  <c r="T815" i="434" s="1"/>
  <c r="P815" i="434"/>
  <c r="AJ814" i="434"/>
  <c r="S814" i="434"/>
  <c r="R814" i="434"/>
  <c r="Q814" i="434"/>
  <c r="C814" i="434"/>
  <c r="AS814" i="434" s="1"/>
  <c r="U814" i="434"/>
  <c r="V814" i="434" s="1"/>
  <c r="AS813" i="434"/>
  <c r="AJ813" i="434"/>
  <c r="T813" i="434"/>
  <c r="S813" i="434"/>
  <c r="R813" i="434"/>
  <c r="Q813" i="434"/>
  <c r="P813" i="434"/>
  <c r="C813" i="434"/>
  <c r="U813" i="434"/>
  <c r="V813" i="434" s="1"/>
  <c r="AJ812" i="434"/>
  <c r="S812" i="434"/>
  <c r="R812" i="434"/>
  <c r="Q812" i="434"/>
  <c r="C812" i="434"/>
  <c r="AS812" i="434" s="1"/>
  <c r="AS811" i="434"/>
  <c r="AJ811" i="434"/>
  <c r="S811" i="434"/>
  <c r="R811" i="434"/>
  <c r="Q811" i="434"/>
  <c r="C811" i="434"/>
  <c r="T811" i="434" s="1"/>
  <c r="AJ810" i="434"/>
  <c r="S810" i="434"/>
  <c r="R810" i="434"/>
  <c r="Q810" i="434"/>
  <c r="C810" i="434"/>
  <c r="AS810" i="434" s="1"/>
  <c r="AJ809" i="434"/>
  <c r="T809" i="434"/>
  <c r="S809" i="434"/>
  <c r="R809" i="434"/>
  <c r="Q809" i="434"/>
  <c r="C809" i="434"/>
  <c r="AS809" i="434" s="1"/>
  <c r="U809" i="434"/>
  <c r="V809" i="434" s="1"/>
  <c r="AJ808" i="434"/>
  <c r="S808" i="434"/>
  <c r="R808" i="434"/>
  <c r="Q808" i="434"/>
  <c r="C808" i="434"/>
  <c r="T808" i="434" s="1"/>
  <c r="P808" i="434"/>
  <c r="AJ807" i="434"/>
  <c r="S807" i="434"/>
  <c r="R807" i="434"/>
  <c r="Q807" i="434"/>
  <c r="C807" i="434"/>
  <c r="AS807" i="434" s="1"/>
  <c r="P807" i="434"/>
  <c r="AJ806" i="434"/>
  <c r="S806" i="434"/>
  <c r="R806" i="434"/>
  <c r="Q806" i="434"/>
  <c r="C806" i="434"/>
  <c r="AS806" i="434" s="1"/>
  <c r="P806" i="434"/>
  <c r="AJ805" i="434"/>
  <c r="S805" i="434"/>
  <c r="R805" i="434"/>
  <c r="Q805" i="434"/>
  <c r="C805" i="434"/>
  <c r="AS805" i="434" s="1"/>
  <c r="P805" i="434"/>
  <c r="AJ804" i="434"/>
  <c r="T804" i="434"/>
  <c r="S804" i="434"/>
  <c r="R804" i="434"/>
  <c r="Q804" i="434"/>
  <c r="C804" i="434"/>
  <c r="AS804" i="434" s="1"/>
  <c r="P804" i="434"/>
  <c r="AJ803" i="434"/>
  <c r="S803" i="434"/>
  <c r="R803" i="434"/>
  <c r="Q803" i="434"/>
  <c r="C803" i="434"/>
  <c r="AS803" i="434" s="1"/>
  <c r="P803" i="434"/>
  <c r="AS802" i="434"/>
  <c r="AJ802" i="434"/>
  <c r="S802" i="434"/>
  <c r="R802" i="434"/>
  <c r="Q802" i="434"/>
  <c r="C802" i="434"/>
  <c r="T802" i="434" s="1"/>
  <c r="P802" i="434"/>
  <c r="AJ801" i="434"/>
  <c r="S801" i="434"/>
  <c r="R801" i="434"/>
  <c r="Q801" i="434"/>
  <c r="C801" i="434"/>
  <c r="AS801" i="434" s="1"/>
  <c r="P801" i="434"/>
  <c r="AJ800" i="434"/>
  <c r="S800" i="434"/>
  <c r="R800" i="434"/>
  <c r="Q800" i="434"/>
  <c r="C800" i="434"/>
  <c r="AS800" i="434" s="1"/>
  <c r="U800" i="434"/>
  <c r="V800" i="434" s="1"/>
  <c r="AJ799" i="434"/>
  <c r="S799" i="434"/>
  <c r="R799" i="434"/>
  <c r="Q799" i="434"/>
  <c r="P799" i="434"/>
  <c r="C799" i="434"/>
  <c r="AS799" i="434" s="1"/>
  <c r="U799" i="434"/>
  <c r="V799" i="434" s="1"/>
  <c r="AJ798" i="434"/>
  <c r="S798" i="434"/>
  <c r="R798" i="434"/>
  <c r="Q798" i="434"/>
  <c r="C798" i="434"/>
  <c r="AS798" i="434" s="1"/>
  <c r="P798" i="434"/>
  <c r="AJ797" i="434"/>
  <c r="T797" i="434"/>
  <c r="S797" i="434"/>
  <c r="R797" i="434"/>
  <c r="Q797" i="434"/>
  <c r="C797" i="434"/>
  <c r="AS797" i="434" s="1"/>
  <c r="AJ796" i="434"/>
  <c r="S796" i="434"/>
  <c r="R796" i="434"/>
  <c r="Q796" i="434"/>
  <c r="C796" i="434"/>
  <c r="AS796" i="434" s="1"/>
  <c r="AJ795" i="434"/>
  <c r="S795" i="434"/>
  <c r="R795" i="434"/>
  <c r="Q795" i="434"/>
  <c r="C795" i="434"/>
  <c r="AS795" i="434" s="1"/>
  <c r="AJ794" i="434"/>
  <c r="S794" i="434"/>
  <c r="R794" i="434"/>
  <c r="Q794" i="434"/>
  <c r="C794" i="434"/>
  <c r="AS794" i="434" s="1"/>
  <c r="P794" i="434"/>
  <c r="AJ793" i="434"/>
  <c r="S793" i="434"/>
  <c r="R793" i="434"/>
  <c r="Q793" i="434"/>
  <c r="C793" i="434"/>
  <c r="T793" i="434" s="1"/>
  <c r="P793" i="434"/>
  <c r="AJ792" i="434"/>
  <c r="S792" i="434"/>
  <c r="R792" i="434"/>
  <c r="Q792" i="434"/>
  <c r="C792" i="434"/>
  <c r="AS792" i="434" s="1"/>
  <c r="AJ791" i="434"/>
  <c r="T791" i="434"/>
  <c r="S791" i="434"/>
  <c r="R791" i="434"/>
  <c r="Q791" i="434"/>
  <c r="C791" i="434"/>
  <c r="AS791" i="434" s="1"/>
  <c r="P791" i="434"/>
  <c r="AJ790" i="434"/>
  <c r="S790" i="434"/>
  <c r="R790" i="434"/>
  <c r="Q790" i="434"/>
  <c r="C790" i="434"/>
  <c r="T790" i="434" s="1"/>
  <c r="P790" i="434"/>
  <c r="AJ789" i="434"/>
  <c r="S789" i="434"/>
  <c r="R789" i="434"/>
  <c r="Q789" i="434"/>
  <c r="C789" i="434"/>
  <c r="AS789" i="434" s="1"/>
  <c r="AJ788" i="434"/>
  <c r="T788" i="434"/>
  <c r="S788" i="434"/>
  <c r="R788" i="434"/>
  <c r="Q788" i="434"/>
  <c r="C788" i="434"/>
  <c r="AS788" i="434" s="1"/>
  <c r="AJ787" i="434"/>
  <c r="S787" i="434"/>
  <c r="R787" i="434"/>
  <c r="Q787" i="434"/>
  <c r="C787" i="434"/>
  <c r="AS787" i="434" s="1"/>
  <c r="AJ786" i="434"/>
  <c r="S786" i="434"/>
  <c r="R786" i="434"/>
  <c r="Q786" i="434"/>
  <c r="C786" i="434"/>
  <c r="AS786" i="434" s="1"/>
  <c r="AS785" i="434"/>
  <c r="AJ785" i="434"/>
  <c r="S785" i="434"/>
  <c r="R785" i="434"/>
  <c r="Q785" i="434"/>
  <c r="C785" i="434"/>
  <c r="T785" i="434" s="1"/>
  <c r="AS784" i="434"/>
  <c r="AJ784" i="434"/>
  <c r="S784" i="434"/>
  <c r="R784" i="434"/>
  <c r="Q784" i="434"/>
  <c r="C784" i="434"/>
  <c r="T784" i="434" s="1"/>
  <c r="P784" i="434"/>
  <c r="AJ783" i="434"/>
  <c r="S783" i="434"/>
  <c r="R783" i="434"/>
  <c r="Q783" i="434"/>
  <c r="C783" i="434"/>
  <c r="AS783" i="434" s="1"/>
  <c r="P783" i="434"/>
  <c r="AJ782" i="434"/>
  <c r="S782" i="434"/>
  <c r="R782" i="434"/>
  <c r="Q782" i="434"/>
  <c r="P782" i="434"/>
  <c r="C782" i="434"/>
  <c r="AS782" i="434" s="1"/>
  <c r="AS781" i="434"/>
  <c r="AJ781" i="434"/>
  <c r="S781" i="434"/>
  <c r="R781" i="434"/>
  <c r="Q781" i="434"/>
  <c r="P781" i="434"/>
  <c r="C781" i="434"/>
  <c r="T781" i="434" s="1"/>
  <c r="AJ780" i="434"/>
  <c r="S780" i="434"/>
  <c r="R780" i="434"/>
  <c r="Q780" i="434"/>
  <c r="C780" i="434"/>
  <c r="T780" i="434" s="1"/>
  <c r="P780" i="434"/>
  <c r="AJ779" i="434"/>
  <c r="S779" i="434"/>
  <c r="R779" i="434"/>
  <c r="Q779" i="434"/>
  <c r="C779" i="434"/>
  <c r="AS779" i="434" s="1"/>
  <c r="P779" i="434"/>
  <c r="AJ778" i="434"/>
  <c r="S778" i="434"/>
  <c r="R778" i="434"/>
  <c r="Q778" i="434"/>
  <c r="C778" i="434"/>
  <c r="T778" i="434" s="1"/>
  <c r="P778" i="434"/>
  <c r="AJ777" i="434"/>
  <c r="S777" i="434"/>
  <c r="R777" i="434"/>
  <c r="Q777" i="434"/>
  <c r="C777" i="434"/>
  <c r="AS777" i="434" s="1"/>
  <c r="P777" i="434"/>
  <c r="AJ776" i="434"/>
  <c r="T776" i="434"/>
  <c r="S776" i="434"/>
  <c r="R776" i="434"/>
  <c r="Q776" i="434"/>
  <c r="C776" i="434"/>
  <c r="AS776" i="434" s="1"/>
  <c r="U776" i="434"/>
  <c r="V776" i="434" s="1"/>
  <c r="AJ775" i="434"/>
  <c r="S775" i="434"/>
  <c r="R775" i="434"/>
  <c r="Q775" i="434"/>
  <c r="P775" i="434"/>
  <c r="C775" i="434"/>
  <c r="AS775" i="434" s="1"/>
  <c r="U775" i="434"/>
  <c r="V775" i="434" s="1"/>
  <c r="AJ774" i="434"/>
  <c r="S774" i="434"/>
  <c r="R774" i="434"/>
  <c r="Q774" i="434"/>
  <c r="C774" i="434"/>
  <c r="AS774" i="434" s="1"/>
  <c r="P774" i="434"/>
  <c r="AJ773" i="434"/>
  <c r="S773" i="434"/>
  <c r="R773" i="434"/>
  <c r="Q773" i="434"/>
  <c r="C773" i="434"/>
  <c r="AS773" i="434" s="1"/>
  <c r="P773" i="434"/>
  <c r="AS772" i="434"/>
  <c r="AJ772" i="434"/>
  <c r="T772" i="434"/>
  <c r="S772" i="434"/>
  <c r="R772" i="434"/>
  <c r="Q772" i="434"/>
  <c r="C772" i="434"/>
  <c r="P772" i="434"/>
  <c r="AJ771" i="434"/>
  <c r="S771" i="434"/>
  <c r="R771" i="434"/>
  <c r="Q771" i="434"/>
  <c r="C771" i="434"/>
  <c r="AS771" i="434" s="1"/>
  <c r="P771" i="434"/>
  <c r="AJ770" i="434"/>
  <c r="S770" i="434"/>
  <c r="R770" i="434"/>
  <c r="Q770" i="434"/>
  <c r="C770" i="434"/>
  <c r="AS770" i="434" s="1"/>
  <c r="U770" i="434"/>
  <c r="V770" i="434" s="1"/>
  <c r="AJ769" i="434"/>
  <c r="S769" i="434"/>
  <c r="R769" i="434"/>
  <c r="Q769" i="434"/>
  <c r="C769" i="434"/>
  <c r="AS769" i="434" s="1"/>
  <c r="U769" i="434"/>
  <c r="V769" i="434" s="1"/>
  <c r="AJ768" i="434"/>
  <c r="S768" i="434"/>
  <c r="R768" i="434"/>
  <c r="Q768" i="434"/>
  <c r="P768" i="434"/>
  <c r="C768" i="434"/>
  <c r="AS768" i="434" s="1"/>
  <c r="U768" i="434"/>
  <c r="V768" i="434" s="1"/>
  <c r="AJ767" i="434"/>
  <c r="S767" i="434"/>
  <c r="R767" i="434"/>
  <c r="Q767" i="434"/>
  <c r="C767" i="434"/>
  <c r="T767" i="434" s="1"/>
  <c r="P767" i="434"/>
  <c r="AJ766" i="434"/>
  <c r="S766" i="434"/>
  <c r="R766" i="434"/>
  <c r="Q766" i="434"/>
  <c r="C766" i="434"/>
  <c r="AS766" i="434" s="1"/>
  <c r="U766" i="434"/>
  <c r="V766" i="434" s="1"/>
  <c r="AJ765" i="434"/>
  <c r="S765" i="434"/>
  <c r="R765" i="434"/>
  <c r="Q765" i="434"/>
  <c r="C765" i="434"/>
  <c r="AS765" i="434" s="1"/>
  <c r="P765" i="434"/>
  <c r="AJ764" i="434"/>
  <c r="S764" i="434"/>
  <c r="R764" i="434"/>
  <c r="Q764" i="434"/>
  <c r="C764" i="434"/>
  <c r="AS764" i="434" s="1"/>
  <c r="P764" i="434"/>
  <c r="AJ763" i="434"/>
  <c r="S763" i="434"/>
  <c r="R763" i="434"/>
  <c r="Q763" i="434"/>
  <c r="C763" i="434"/>
  <c r="T763" i="434" s="1"/>
  <c r="P763" i="434"/>
  <c r="AJ762" i="434"/>
  <c r="S762" i="434"/>
  <c r="R762" i="434"/>
  <c r="Q762" i="434"/>
  <c r="C762" i="434"/>
  <c r="AS762" i="434" s="1"/>
  <c r="P762" i="434"/>
  <c r="AJ761" i="434"/>
  <c r="S761" i="434"/>
  <c r="R761" i="434"/>
  <c r="Q761" i="434"/>
  <c r="C761" i="434"/>
  <c r="AS761" i="434" s="1"/>
  <c r="U761" i="434"/>
  <c r="V761" i="434" s="1"/>
  <c r="AJ760" i="434"/>
  <c r="S760" i="434"/>
  <c r="R760" i="434"/>
  <c r="Q760" i="434"/>
  <c r="C760" i="434"/>
  <c r="T760" i="434" s="1"/>
  <c r="P760" i="434"/>
  <c r="AS759" i="434"/>
  <c r="AJ759" i="434"/>
  <c r="T759" i="434"/>
  <c r="S759" i="434"/>
  <c r="R759" i="434"/>
  <c r="Q759" i="434"/>
  <c r="C759" i="434"/>
  <c r="AJ758" i="434"/>
  <c r="S758" i="434"/>
  <c r="R758" i="434"/>
  <c r="Q758" i="434"/>
  <c r="C758" i="434"/>
  <c r="AS758" i="434" s="1"/>
  <c r="AJ757" i="434"/>
  <c r="S757" i="434"/>
  <c r="R757" i="434"/>
  <c r="Q757" i="434"/>
  <c r="C757" i="434"/>
  <c r="AS757" i="434" s="1"/>
  <c r="AJ756" i="434"/>
  <c r="S756" i="434"/>
  <c r="R756" i="434"/>
  <c r="Q756" i="434"/>
  <c r="C756" i="434"/>
  <c r="AS756" i="434" s="1"/>
  <c r="P756" i="434"/>
  <c r="AJ755" i="434"/>
  <c r="S755" i="434"/>
  <c r="R755" i="434"/>
  <c r="Q755" i="434"/>
  <c r="C755" i="434"/>
  <c r="AS755" i="434" s="1"/>
  <c r="P755" i="434"/>
  <c r="AS754" i="434"/>
  <c r="AJ754" i="434"/>
  <c r="S754" i="434"/>
  <c r="R754" i="434"/>
  <c r="Q754" i="434"/>
  <c r="C754" i="434"/>
  <c r="T754" i="434" s="1"/>
  <c r="P754" i="434"/>
  <c r="AJ753" i="434"/>
  <c r="S753" i="434"/>
  <c r="R753" i="434"/>
  <c r="Q753" i="434"/>
  <c r="C753" i="434"/>
  <c r="AS753" i="434" s="1"/>
  <c r="P753" i="434"/>
  <c r="AJ752" i="434"/>
  <c r="S752" i="434"/>
  <c r="R752" i="434"/>
  <c r="Q752" i="434"/>
  <c r="P752" i="434"/>
  <c r="C752" i="434"/>
  <c r="AS752" i="434" s="1"/>
  <c r="U752" i="434"/>
  <c r="V752" i="434" s="1"/>
  <c r="AJ751" i="434"/>
  <c r="S751" i="434"/>
  <c r="R751" i="434"/>
  <c r="Q751" i="434"/>
  <c r="C751" i="434"/>
  <c r="AS751" i="434" s="1"/>
  <c r="AJ750" i="434"/>
  <c r="S750" i="434"/>
  <c r="R750" i="434"/>
  <c r="Q750" i="434"/>
  <c r="C750" i="434"/>
  <c r="AS750" i="434" s="1"/>
  <c r="AJ749" i="434"/>
  <c r="S749" i="434"/>
  <c r="R749" i="434"/>
  <c r="Q749" i="434"/>
  <c r="C749" i="434"/>
  <c r="AS749" i="434" s="1"/>
  <c r="AJ748" i="434"/>
  <c r="S748" i="434"/>
  <c r="R748" i="434"/>
  <c r="Q748" i="434"/>
  <c r="P748" i="434"/>
  <c r="C748" i="434"/>
  <c r="AS748" i="434" s="1"/>
  <c r="U748" i="434"/>
  <c r="V748" i="434" s="1"/>
  <c r="AJ747" i="434"/>
  <c r="S747" i="434"/>
  <c r="R747" i="434"/>
  <c r="Q747" i="434"/>
  <c r="C747" i="434"/>
  <c r="AS747" i="434" s="1"/>
  <c r="P747" i="434"/>
  <c r="AJ746" i="434"/>
  <c r="S746" i="434"/>
  <c r="R746" i="434"/>
  <c r="Q746" i="434"/>
  <c r="C746" i="434"/>
  <c r="AS746" i="434" s="1"/>
  <c r="P746" i="434"/>
  <c r="AS745" i="434"/>
  <c r="AJ745" i="434"/>
  <c r="S745" i="434"/>
  <c r="R745" i="434"/>
  <c r="Q745" i="434"/>
  <c r="P745" i="434"/>
  <c r="C745" i="434"/>
  <c r="T745" i="434" s="1"/>
  <c r="AJ744" i="434"/>
  <c r="S744" i="434"/>
  <c r="R744" i="434"/>
  <c r="Q744" i="434"/>
  <c r="C744" i="434"/>
  <c r="AS744" i="434" s="1"/>
  <c r="AJ743" i="434"/>
  <c r="T743" i="434"/>
  <c r="S743" i="434"/>
  <c r="R743" i="434"/>
  <c r="Q743" i="434"/>
  <c r="C743" i="434"/>
  <c r="AS743" i="434" s="1"/>
  <c r="AS742" i="434"/>
  <c r="AJ742" i="434"/>
  <c r="S742" i="434"/>
  <c r="R742" i="434"/>
  <c r="Q742" i="434"/>
  <c r="C742" i="434"/>
  <c r="T742" i="434" s="1"/>
  <c r="AS741" i="434"/>
  <c r="AJ741" i="434"/>
  <c r="S741" i="434"/>
  <c r="R741" i="434"/>
  <c r="Q741" i="434"/>
  <c r="C741" i="434"/>
  <c r="T741" i="434" s="1"/>
  <c r="AJ740" i="434"/>
  <c r="S740" i="434"/>
  <c r="R740" i="434"/>
  <c r="Q740" i="434"/>
  <c r="C740" i="434"/>
  <c r="AS740" i="434" s="1"/>
  <c r="P740" i="434"/>
  <c r="AJ739" i="434"/>
  <c r="S739" i="434"/>
  <c r="R739" i="434"/>
  <c r="Q739" i="434"/>
  <c r="C739" i="434"/>
  <c r="AS739" i="434" s="1"/>
  <c r="AJ738" i="434"/>
  <c r="S738" i="434"/>
  <c r="R738" i="434"/>
  <c r="Q738" i="434"/>
  <c r="C738" i="434"/>
  <c r="AS738" i="434" s="1"/>
  <c r="AS737" i="434"/>
  <c r="AJ737" i="434"/>
  <c r="T737" i="434"/>
  <c r="S737" i="434"/>
  <c r="R737" i="434"/>
  <c r="Q737" i="434"/>
  <c r="C737" i="434"/>
  <c r="U737" i="434"/>
  <c r="V737" i="434" s="1"/>
  <c r="AJ736" i="434"/>
  <c r="S736" i="434"/>
  <c r="R736" i="434"/>
  <c r="Q736" i="434"/>
  <c r="C736" i="434"/>
  <c r="AS736" i="434" s="1"/>
  <c r="U736" i="434"/>
  <c r="V736" i="434" s="1"/>
  <c r="AJ735" i="434"/>
  <c r="T735" i="434"/>
  <c r="S735" i="434"/>
  <c r="R735" i="434"/>
  <c r="Q735" i="434"/>
  <c r="C735" i="434"/>
  <c r="AS735" i="434" s="1"/>
  <c r="P735" i="434"/>
  <c r="AJ734" i="434"/>
  <c r="S734" i="434"/>
  <c r="R734" i="434"/>
  <c r="Q734" i="434"/>
  <c r="C734" i="434"/>
  <c r="AS734" i="434" s="1"/>
  <c r="U734" i="434"/>
  <c r="V734" i="434" s="1"/>
  <c r="AJ733" i="434"/>
  <c r="S733" i="434"/>
  <c r="R733" i="434"/>
  <c r="Q733" i="434"/>
  <c r="C733" i="434"/>
  <c r="AS733" i="434" s="1"/>
  <c r="U733" i="434"/>
  <c r="V733" i="434" s="1"/>
  <c r="AJ732" i="434"/>
  <c r="S732" i="434"/>
  <c r="R732" i="434"/>
  <c r="Q732" i="434"/>
  <c r="C732" i="434"/>
  <c r="AS732" i="434" s="1"/>
  <c r="P732" i="434"/>
  <c r="AJ731" i="434"/>
  <c r="T731" i="434"/>
  <c r="S731" i="434"/>
  <c r="R731" i="434"/>
  <c r="Q731" i="434"/>
  <c r="C731" i="434"/>
  <c r="AS731" i="434" s="1"/>
  <c r="P731" i="434"/>
  <c r="AJ730" i="434"/>
  <c r="S730" i="434"/>
  <c r="R730" i="434"/>
  <c r="Q730" i="434"/>
  <c r="P730" i="434"/>
  <c r="C730" i="434"/>
  <c r="T730" i="434" s="1"/>
  <c r="U730" i="434"/>
  <c r="V730" i="434" s="1"/>
  <c r="AJ729" i="434"/>
  <c r="S729" i="434"/>
  <c r="R729" i="434"/>
  <c r="Q729" i="434"/>
  <c r="P729" i="434"/>
  <c r="C729" i="434"/>
  <c r="AS729" i="434" s="1"/>
  <c r="U729" i="434"/>
  <c r="V729" i="434" s="1"/>
  <c r="AJ728" i="434"/>
  <c r="S728" i="434"/>
  <c r="R728" i="434"/>
  <c r="Q728" i="434"/>
  <c r="C728" i="434"/>
  <c r="AS728" i="434" s="1"/>
  <c r="U728" i="434"/>
  <c r="V728" i="434" s="1"/>
  <c r="AJ727" i="434"/>
  <c r="S727" i="434"/>
  <c r="R727" i="434"/>
  <c r="Q727" i="434"/>
  <c r="C727" i="434"/>
  <c r="AS727" i="434" s="1"/>
  <c r="U727" i="434"/>
  <c r="V727" i="434" s="1"/>
  <c r="AJ726" i="434"/>
  <c r="S726" i="434"/>
  <c r="R726" i="434"/>
  <c r="Q726" i="434"/>
  <c r="C726" i="434"/>
  <c r="AS726" i="434" s="1"/>
  <c r="P726" i="434"/>
  <c r="AJ725" i="434"/>
  <c r="S725" i="434"/>
  <c r="R725" i="434"/>
  <c r="Q725" i="434"/>
  <c r="C725" i="434"/>
  <c r="AS725" i="434" s="1"/>
  <c r="P725" i="434"/>
  <c r="AJ724" i="434"/>
  <c r="S724" i="434"/>
  <c r="R724" i="434"/>
  <c r="Q724" i="434"/>
  <c r="P724" i="434"/>
  <c r="C724" i="434"/>
  <c r="AS724" i="434" s="1"/>
  <c r="U724" i="434"/>
  <c r="V724" i="434" s="1"/>
  <c r="AJ723" i="434"/>
  <c r="S723" i="434"/>
  <c r="R723" i="434"/>
  <c r="Q723" i="434"/>
  <c r="C723" i="434"/>
  <c r="AS723" i="434" s="1"/>
  <c r="P723" i="434"/>
  <c r="AJ722" i="434"/>
  <c r="S722" i="434"/>
  <c r="R722" i="434"/>
  <c r="Q722" i="434"/>
  <c r="C722" i="434"/>
  <c r="AS722" i="434" s="1"/>
  <c r="U722" i="434"/>
  <c r="V722" i="434" s="1"/>
  <c r="AJ721" i="434"/>
  <c r="S721" i="434"/>
  <c r="R721" i="434"/>
  <c r="Q721" i="434"/>
  <c r="C721" i="434"/>
  <c r="AS721" i="434" s="1"/>
  <c r="U721" i="434"/>
  <c r="V721" i="434" s="1"/>
  <c r="AJ720" i="434"/>
  <c r="S720" i="434"/>
  <c r="R720" i="434"/>
  <c r="Q720" i="434"/>
  <c r="P720" i="434"/>
  <c r="C720" i="434"/>
  <c r="AS720" i="434" s="1"/>
  <c r="U720" i="434"/>
  <c r="V720" i="434" s="1"/>
  <c r="AJ719" i="434"/>
  <c r="S719" i="434"/>
  <c r="R719" i="434"/>
  <c r="Q719" i="434"/>
  <c r="C719" i="434"/>
  <c r="T719" i="434" s="1"/>
  <c r="P719" i="434"/>
  <c r="AJ718" i="434"/>
  <c r="S718" i="434"/>
  <c r="R718" i="434"/>
  <c r="Q718" i="434"/>
  <c r="P718" i="434"/>
  <c r="C718" i="434"/>
  <c r="AS718" i="434" s="1"/>
  <c r="U718" i="434"/>
  <c r="V718" i="434" s="1"/>
  <c r="AJ717" i="434"/>
  <c r="S717" i="434"/>
  <c r="R717" i="434"/>
  <c r="Q717" i="434"/>
  <c r="C717" i="434"/>
  <c r="AS717" i="434" s="1"/>
  <c r="P717" i="434"/>
  <c r="AJ716" i="434"/>
  <c r="S716" i="434"/>
  <c r="R716" i="434"/>
  <c r="Q716" i="434"/>
  <c r="C716" i="434"/>
  <c r="AS716" i="434" s="1"/>
  <c r="P716" i="434"/>
  <c r="AJ715" i="434"/>
  <c r="S715" i="434"/>
  <c r="R715" i="434"/>
  <c r="Q715" i="434"/>
  <c r="C715" i="434"/>
  <c r="T715" i="434" s="1"/>
  <c r="P715" i="434"/>
  <c r="AJ714" i="434"/>
  <c r="S714" i="434"/>
  <c r="R714" i="434"/>
  <c r="Q714" i="434"/>
  <c r="C714" i="434"/>
  <c r="AS714" i="434" s="1"/>
  <c r="P714" i="434"/>
  <c r="AJ713" i="434"/>
  <c r="T713" i="434"/>
  <c r="S713" i="434"/>
  <c r="R713" i="434"/>
  <c r="Q713" i="434"/>
  <c r="C713" i="434"/>
  <c r="AS713" i="434" s="1"/>
  <c r="AJ712" i="434"/>
  <c r="S712" i="434"/>
  <c r="R712" i="434"/>
  <c r="Q712" i="434"/>
  <c r="C712" i="434"/>
  <c r="T712" i="434" s="1"/>
  <c r="AS711" i="434"/>
  <c r="AJ711" i="434"/>
  <c r="S711" i="434"/>
  <c r="R711" i="434"/>
  <c r="Q711" i="434"/>
  <c r="C711" i="434"/>
  <c r="T711" i="434" s="1"/>
  <c r="P711" i="434"/>
  <c r="AJ710" i="434"/>
  <c r="S710" i="434"/>
  <c r="R710" i="434"/>
  <c r="Q710" i="434"/>
  <c r="C710" i="434"/>
  <c r="AS710" i="434" s="1"/>
  <c r="P710" i="434"/>
  <c r="AJ709" i="434"/>
  <c r="S709" i="434"/>
  <c r="R709" i="434"/>
  <c r="Q709" i="434"/>
  <c r="C709" i="434"/>
  <c r="AS709" i="434" s="1"/>
  <c r="P709" i="434"/>
  <c r="AJ708" i="434"/>
  <c r="S708" i="434"/>
  <c r="R708" i="434"/>
  <c r="Q708" i="434"/>
  <c r="C708" i="434"/>
  <c r="AS708" i="434" s="1"/>
  <c r="P708" i="434"/>
  <c r="AJ707" i="434"/>
  <c r="S707" i="434"/>
  <c r="R707" i="434"/>
  <c r="Q707" i="434"/>
  <c r="C707" i="434"/>
  <c r="AS707" i="434" s="1"/>
  <c r="P707" i="434"/>
  <c r="AS706" i="434"/>
  <c r="AJ706" i="434"/>
  <c r="T706" i="434"/>
  <c r="S706" i="434"/>
  <c r="R706" i="434"/>
  <c r="Q706" i="434"/>
  <c r="C706" i="434"/>
  <c r="P706" i="434"/>
  <c r="AJ705" i="434"/>
  <c r="S705" i="434"/>
  <c r="R705" i="434"/>
  <c r="Q705" i="434"/>
  <c r="C705" i="434"/>
  <c r="AS705" i="434" s="1"/>
  <c r="P705" i="434"/>
  <c r="AJ704" i="434"/>
  <c r="S704" i="434"/>
  <c r="R704" i="434"/>
  <c r="Q704" i="434"/>
  <c r="C704" i="434"/>
  <c r="AS704" i="434" s="1"/>
  <c r="AJ703" i="434"/>
  <c r="S703" i="434"/>
  <c r="R703" i="434"/>
  <c r="Q703" i="434"/>
  <c r="P703" i="434"/>
  <c r="C703" i="434"/>
  <c r="AS703" i="434" s="1"/>
  <c r="U703" i="434"/>
  <c r="V703" i="434" s="1"/>
  <c r="AS702" i="434"/>
  <c r="AJ702" i="434"/>
  <c r="S702" i="434"/>
  <c r="R702" i="434"/>
  <c r="Q702" i="434"/>
  <c r="C702" i="434"/>
  <c r="T702" i="434" s="1"/>
  <c r="P702" i="434"/>
  <c r="AJ701" i="434"/>
  <c r="S701" i="434"/>
  <c r="R701" i="434"/>
  <c r="Q701" i="434"/>
  <c r="C701" i="434"/>
  <c r="AS701" i="434" s="1"/>
  <c r="P701" i="434"/>
  <c r="AJ700" i="434"/>
  <c r="S700" i="434"/>
  <c r="R700" i="434"/>
  <c r="Q700" i="434"/>
  <c r="C700" i="434"/>
  <c r="AS700" i="434" s="1"/>
  <c r="P700" i="434"/>
  <c r="AS699" i="434"/>
  <c r="AJ699" i="434"/>
  <c r="T699" i="434"/>
  <c r="S699" i="434"/>
  <c r="R699" i="434"/>
  <c r="Q699" i="434"/>
  <c r="C699" i="434"/>
  <c r="P699" i="434"/>
  <c r="AJ698" i="434"/>
  <c r="T698" i="434"/>
  <c r="S698" i="434"/>
  <c r="R698" i="434"/>
  <c r="Q698" i="434"/>
  <c r="C698" i="434"/>
  <c r="AS698" i="434" s="1"/>
  <c r="AJ697" i="434"/>
  <c r="S697" i="434"/>
  <c r="R697" i="434"/>
  <c r="Q697" i="434"/>
  <c r="C697" i="434"/>
  <c r="T697" i="434" s="1"/>
  <c r="AJ696" i="434"/>
  <c r="S696" i="434"/>
  <c r="R696" i="434"/>
  <c r="Q696" i="434"/>
  <c r="C696" i="434"/>
  <c r="AS696" i="434" s="1"/>
  <c r="AS695" i="434"/>
  <c r="AJ695" i="434"/>
  <c r="T695" i="434"/>
  <c r="S695" i="434"/>
  <c r="R695" i="434"/>
  <c r="Q695" i="434"/>
  <c r="C695" i="434"/>
  <c r="P695" i="434"/>
  <c r="AJ694" i="434"/>
  <c r="S694" i="434"/>
  <c r="R694" i="434"/>
  <c r="Q694" i="434"/>
  <c r="C694" i="434"/>
  <c r="T694" i="434" s="1"/>
  <c r="AS693" i="434"/>
  <c r="AJ693" i="434"/>
  <c r="T693" i="434"/>
  <c r="S693" i="434"/>
  <c r="R693" i="434"/>
  <c r="Q693" i="434"/>
  <c r="C693" i="434"/>
  <c r="AJ692" i="434"/>
  <c r="S692" i="434"/>
  <c r="R692" i="434"/>
  <c r="Q692" i="434"/>
  <c r="C692" i="434"/>
  <c r="AS692" i="434" s="1"/>
  <c r="P692" i="434"/>
  <c r="AJ691" i="434"/>
  <c r="S691" i="434"/>
  <c r="R691" i="434"/>
  <c r="Q691" i="434"/>
  <c r="C691" i="434"/>
  <c r="AS691" i="434" s="1"/>
  <c r="AJ690" i="434"/>
  <c r="S690" i="434"/>
  <c r="R690" i="434"/>
  <c r="Q690" i="434"/>
  <c r="C690" i="434"/>
  <c r="AS690" i="434" s="1"/>
  <c r="AJ689" i="434"/>
  <c r="T689" i="434"/>
  <c r="S689" i="434"/>
  <c r="R689" i="434"/>
  <c r="Q689" i="434"/>
  <c r="C689" i="434"/>
  <c r="AS689" i="434" s="1"/>
  <c r="AJ688" i="434"/>
  <c r="S688" i="434"/>
  <c r="R688" i="434"/>
  <c r="Q688" i="434"/>
  <c r="P688" i="434"/>
  <c r="C688" i="434"/>
  <c r="AS688" i="434" s="1"/>
  <c r="U688" i="434"/>
  <c r="V688" i="434" s="1"/>
  <c r="AJ687" i="434"/>
  <c r="S687" i="434"/>
  <c r="R687" i="434"/>
  <c r="Q687" i="434"/>
  <c r="C687" i="434"/>
  <c r="T687" i="434" s="1"/>
  <c r="P687" i="434"/>
  <c r="AJ686" i="434"/>
  <c r="S686" i="434"/>
  <c r="R686" i="434"/>
  <c r="Q686" i="434"/>
  <c r="C686" i="434"/>
  <c r="AS686" i="434" s="1"/>
  <c r="P686" i="434"/>
  <c r="AS685" i="434"/>
  <c r="AJ685" i="434"/>
  <c r="T685" i="434"/>
  <c r="S685" i="434"/>
  <c r="R685" i="434"/>
  <c r="Q685" i="434"/>
  <c r="P685" i="434"/>
  <c r="C685" i="434"/>
  <c r="U685" i="434"/>
  <c r="V685" i="434" s="1"/>
  <c r="AJ684" i="434"/>
  <c r="S684" i="434"/>
  <c r="R684" i="434"/>
  <c r="Q684" i="434"/>
  <c r="C684" i="434"/>
  <c r="AS684" i="434" s="1"/>
  <c r="P684" i="434"/>
  <c r="AJ683" i="434"/>
  <c r="S683" i="434"/>
  <c r="R683" i="434"/>
  <c r="Q683" i="434"/>
  <c r="C683" i="434"/>
  <c r="AS683" i="434" s="1"/>
  <c r="P683" i="434"/>
  <c r="AS682" i="434"/>
  <c r="AJ682" i="434"/>
  <c r="S682" i="434"/>
  <c r="R682" i="434"/>
  <c r="Q682" i="434"/>
  <c r="P682" i="434"/>
  <c r="C682" i="434"/>
  <c r="T682" i="434" s="1"/>
  <c r="U682" i="434"/>
  <c r="V682" i="434" s="1"/>
  <c r="AJ681" i="434"/>
  <c r="S681" i="434"/>
  <c r="R681" i="434"/>
  <c r="Q681" i="434"/>
  <c r="C681" i="434"/>
  <c r="AS681" i="434" s="1"/>
  <c r="U681" i="434"/>
  <c r="V681" i="434" s="1"/>
  <c r="AS680" i="434"/>
  <c r="AJ680" i="434"/>
  <c r="T680" i="434"/>
  <c r="S680" i="434"/>
  <c r="R680" i="434"/>
  <c r="Q680" i="434"/>
  <c r="C680" i="434"/>
  <c r="P680" i="434"/>
  <c r="AJ679" i="434"/>
  <c r="S679" i="434"/>
  <c r="R679" i="434"/>
  <c r="Q679" i="434"/>
  <c r="C679" i="434"/>
  <c r="AS679" i="434" s="1"/>
  <c r="P679" i="434"/>
  <c r="AJ678" i="434"/>
  <c r="S678" i="434"/>
  <c r="R678" i="434"/>
  <c r="Q678" i="434"/>
  <c r="C678" i="434"/>
  <c r="AS678" i="434" s="1"/>
  <c r="P678" i="434"/>
  <c r="AJ677" i="434"/>
  <c r="S677" i="434"/>
  <c r="R677" i="434"/>
  <c r="Q677" i="434"/>
  <c r="C677" i="434"/>
  <c r="AS677" i="434" s="1"/>
  <c r="P677" i="434"/>
  <c r="AJ676" i="434"/>
  <c r="S676" i="434"/>
  <c r="R676" i="434"/>
  <c r="Q676" i="434"/>
  <c r="P676" i="434"/>
  <c r="C676" i="434"/>
  <c r="AS676" i="434" s="1"/>
  <c r="U676" i="434"/>
  <c r="V676" i="434" s="1"/>
  <c r="AJ675" i="434"/>
  <c r="S675" i="434"/>
  <c r="R675" i="434"/>
  <c r="Q675" i="434"/>
  <c r="C675" i="434"/>
  <c r="AS675" i="434" s="1"/>
  <c r="P675" i="434"/>
  <c r="AJ674" i="434"/>
  <c r="S674" i="434"/>
  <c r="R674" i="434"/>
  <c r="Q674" i="434"/>
  <c r="P674" i="434"/>
  <c r="C674" i="434"/>
  <c r="AS674" i="434" s="1"/>
  <c r="U674" i="434"/>
  <c r="V674" i="434" s="1"/>
  <c r="AJ673" i="434"/>
  <c r="S673" i="434"/>
  <c r="R673" i="434"/>
  <c r="Q673" i="434"/>
  <c r="P673" i="434"/>
  <c r="C673" i="434"/>
  <c r="AS673" i="434" s="1"/>
  <c r="U673" i="434"/>
  <c r="V673" i="434" s="1"/>
  <c r="AJ672" i="434"/>
  <c r="S672" i="434"/>
  <c r="R672" i="434"/>
  <c r="Q672" i="434"/>
  <c r="C672" i="434"/>
  <c r="AS672" i="434" s="1"/>
  <c r="P672" i="434"/>
  <c r="AJ671" i="434"/>
  <c r="S671" i="434"/>
  <c r="R671" i="434"/>
  <c r="Q671" i="434"/>
  <c r="C671" i="434"/>
  <c r="T671" i="434" s="1"/>
  <c r="P671" i="434"/>
  <c r="AJ670" i="434"/>
  <c r="S670" i="434"/>
  <c r="R670" i="434"/>
  <c r="Q670" i="434"/>
  <c r="P670" i="434"/>
  <c r="C670" i="434"/>
  <c r="AS670" i="434" s="1"/>
  <c r="U670" i="434"/>
  <c r="V670" i="434" s="1"/>
  <c r="AJ669" i="434"/>
  <c r="S669" i="434"/>
  <c r="R669" i="434"/>
  <c r="Q669" i="434"/>
  <c r="C669" i="434"/>
  <c r="AS669" i="434" s="1"/>
  <c r="U669" i="434"/>
  <c r="V669" i="434" s="1"/>
  <c r="AJ668" i="434"/>
  <c r="S668" i="434"/>
  <c r="R668" i="434"/>
  <c r="Q668" i="434"/>
  <c r="C668" i="434"/>
  <c r="AS668" i="434" s="1"/>
  <c r="P668" i="434"/>
  <c r="AS667" i="434"/>
  <c r="AJ667" i="434"/>
  <c r="S667" i="434"/>
  <c r="R667" i="434"/>
  <c r="Q667" i="434"/>
  <c r="C667" i="434"/>
  <c r="T667" i="434" s="1"/>
  <c r="P667" i="434"/>
  <c r="AJ666" i="434"/>
  <c r="S666" i="434"/>
  <c r="R666" i="434"/>
  <c r="Q666" i="434"/>
  <c r="C666" i="434"/>
  <c r="AS666" i="434" s="1"/>
  <c r="P666" i="434"/>
  <c r="AJ665" i="434"/>
  <c r="T665" i="434"/>
  <c r="S665" i="434"/>
  <c r="R665" i="434"/>
  <c r="Q665" i="434"/>
  <c r="C665" i="434"/>
  <c r="AS665" i="434" s="1"/>
  <c r="P665" i="434"/>
  <c r="AJ664" i="434"/>
  <c r="S664" i="434"/>
  <c r="R664" i="434"/>
  <c r="Q664" i="434"/>
  <c r="C664" i="434"/>
  <c r="T664" i="434" s="1"/>
  <c r="P664" i="434"/>
  <c r="AJ663" i="434"/>
  <c r="S663" i="434"/>
  <c r="R663" i="434"/>
  <c r="Q663" i="434"/>
  <c r="C663" i="434"/>
  <c r="AS663" i="434" s="1"/>
  <c r="P663" i="434"/>
  <c r="AJ662" i="434"/>
  <c r="S662" i="434"/>
  <c r="R662" i="434"/>
  <c r="Q662" i="434"/>
  <c r="C662" i="434"/>
  <c r="AS662" i="434" s="1"/>
  <c r="P662" i="434"/>
  <c r="AJ661" i="434"/>
  <c r="S661" i="434"/>
  <c r="R661" i="434"/>
  <c r="Q661" i="434"/>
  <c r="C661" i="434"/>
  <c r="AS661" i="434" s="1"/>
  <c r="P661" i="434"/>
  <c r="AJ660" i="434"/>
  <c r="T660" i="434"/>
  <c r="S660" i="434"/>
  <c r="R660" i="434"/>
  <c r="Q660" i="434"/>
  <c r="C660" i="434"/>
  <c r="AS660" i="434" s="1"/>
  <c r="P660" i="434"/>
  <c r="AJ659" i="434"/>
  <c r="S659" i="434"/>
  <c r="R659" i="434"/>
  <c r="Q659" i="434"/>
  <c r="C659" i="434"/>
  <c r="AS659" i="434" s="1"/>
  <c r="P659" i="434"/>
  <c r="AS658" i="434"/>
  <c r="AJ658" i="434"/>
  <c r="S658" i="434"/>
  <c r="R658" i="434"/>
  <c r="Q658" i="434"/>
  <c r="C658" i="434"/>
  <c r="T658" i="434" s="1"/>
  <c r="P658" i="434"/>
  <c r="AJ657" i="434"/>
  <c r="S657" i="434"/>
  <c r="R657" i="434"/>
  <c r="Q657" i="434"/>
  <c r="C657" i="434"/>
  <c r="AS657" i="434" s="1"/>
  <c r="P657" i="434"/>
  <c r="AJ656" i="434"/>
  <c r="S656" i="434"/>
  <c r="R656" i="434"/>
  <c r="Q656" i="434"/>
  <c r="P656" i="434"/>
  <c r="C656" i="434"/>
  <c r="AS656" i="434" s="1"/>
  <c r="U656" i="434"/>
  <c r="V656" i="434" s="1"/>
  <c r="AJ655" i="434"/>
  <c r="S655" i="434"/>
  <c r="R655" i="434"/>
  <c r="Q655" i="434"/>
  <c r="C655" i="434"/>
  <c r="AS655" i="434" s="1"/>
  <c r="U655" i="434"/>
  <c r="V655" i="434" s="1"/>
  <c r="AJ654" i="434"/>
  <c r="S654" i="434"/>
  <c r="R654" i="434"/>
  <c r="Q654" i="434"/>
  <c r="C654" i="434"/>
  <c r="AS654" i="434" s="1"/>
  <c r="P654" i="434"/>
  <c r="AJ653" i="434"/>
  <c r="T653" i="434"/>
  <c r="S653" i="434"/>
  <c r="R653" i="434"/>
  <c r="Q653" i="434"/>
  <c r="C653" i="434"/>
  <c r="AS653" i="434" s="1"/>
  <c r="P653" i="434"/>
  <c r="AJ652" i="434"/>
  <c r="S652" i="434"/>
  <c r="R652" i="434"/>
  <c r="Q652" i="434"/>
  <c r="P652" i="434"/>
  <c r="C652" i="434"/>
  <c r="AS652" i="434" s="1"/>
  <c r="U652" i="434"/>
  <c r="V652" i="434" s="1"/>
  <c r="AJ651" i="434"/>
  <c r="T651" i="434"/>
  <c r="S651" i="434"/>
  <c r="R651" i="434"/>
  <c r="Q651" i="434"/>
  <c r="C651" i="434"/>
  <c r="AS651" i="434" s="1"/>
  <c r="P651" i="434"/>
  <c r="AS650" i="434"/>
  <c r="AJ650" i="434"/>
  <c r="T650" i="434"/>
  <c r="S650" i="434"/>
  <c r="R650" i="434"/>
  <c r="Q650" i="434"/>
  <c r="C650" i="434"/>
  <c r="P650" i="434"/>
  <c r="AS649" i="434"/>
  <c r="AJ649" i="434"/>
  <c r="S649" i="434"/>
  <c r="R649" i="434"/>
  <c r="Q649" i="434"/>
  <c r="P649" i="434"/>
  <c r="C649" i="434"/>
  <c r="T649" i="434" s="1"/>
  <c r="U649" i="434"/>
  <c r="V649" i="434" s="1"/>
  <c r="AJ648" i="434"/>
  <c r="S648" i="434"/>
  <c r="R648" i="434"/>
  <c r="Q648" i="434"/>
  <c r="C648" i="434"/>
  <c r="AS648" i="434" s="1"/>
  <c r="AS647" i="434"/>
  <c r="AJ647" i="434"/>
  <c r="T647" i="434"/>
  <c r="S647" i="434"/>
  <c r="R647" i="434"/>
  <c r="Q647" i="434"/>
  <c r="C647" i="434"/>
  <c r="AJ646" i="434"/>
  <c r="S646" i="434"/>
  <c r="R646" i="434"/>
  <c r="Q646" i="434"/>
  <c r="C646" i="434"/>
  <c r="T646" i="434" s="1"/>
  <c r="AS645" i="434"/>
  <c r="AJ645" i="434"/>
  <c r="S645" i="434"/>
  <c r="R645" i="434"/>
  <c r="Q645" i="434"/>
  <c r="C645" i="434"/>
  <c r="T645" i="434" s="1"/>
  <c r="AJ644" i="434"/>
  <c r="S644" i="434"/>
  <c r="R644" i="434"/>
  <c r="Q644" i="434"/>
  <c r="C644" i="434"/>
  <c r="AS644" i="434" s="1"/>
  <c r="P644" i="434"/>
  <c r="AJ643" i="434"/>
  <c r="S643" i="434"/>
  <c r="R643" i="434"/>
  <c r="Q643" i="434"/>
  <c r="C643" i="434"/>
  <c r="AS643" i="434" s="1"/>
  <c r="AJ642" i="434"/>
  <c r="S642" i="434"/>
  <c r="R642" i="434"/>
  <c r="Q642" i="434"/>
  <c r="C642" i="434"/>
  <c r="AS642" i="434" s="1"/>
  <c r="AJ641" i="434"/>
  <c r="S641" i="434"/>
  <c r="R641" i="434"/>
  <c r="Q641" i="434"/>
  <c r="C641" i="434"/>
  <c r="AS641" i="434" s="1"/>
  <c r="AJ640" i="434"/>
  <c r="S640" i="434"/>
  <c r="R640" i="434"/>
  <c r="Q640" i="434"/>
  <c r="P640" i="434"/>
  <c r="C640" i="434"/>
  <c r="AS640" i="434" s="1"/>
  <c r="U640" i="434"/>
  <c r="V640" i="434" s="1"/>
  <c r="AJ639" i="434"/>
  <c r="S639" i="434"/>
  <c r="R639" i="434"/>
  <c r="Q639" i="434"/>
  <c r="C639" i="434"/>
  <c r="T639" i="434" s="1"/>
  <c r="P639" i="434"/>
  <c r="AJ638" i="434"/>
  <c r="S638" i="434"/>
  <c r="R638" i="434"/>
  <c r="Q638" i="434"/>
  <c r="C638" i="434"/>
  <c r="AS638" i="434" s="1"/>
  <c r="P638" i="434"/>
  <c r="AJ637" i="434"/>
  <c r="S637" i="434"/>
  <c r="R637" i="434"/>
  <c r="Q637" i="434"/>
  <c r="C637" i="434"/>
  <c r="AS637" i="434" s="1"/>
  <c r="U637" i="434"/>
  <c r="V637" i="434" s="1"/>
  <c r="AJ636" i="434"/>
  <c r="S636" i="434"/>
  <c r="R636" i="434"/>
  <c r="Q636" i="434"/>
  <c r="C636" i="434"/>
  <c r="AS636" i="434" s="1"/>
  <c r="P636" i="434"/>
  <c r="AJ635" i="434"/>
  <c r="S635" i="434"/>
  <c r="R635" i="434"/>
  <c r="Q635" i="434"/>
  <c r="C635" i="434"/>
  <c r="AS635" i="434" s="1"/>
  <c r="P635" i="434"/>
  <c r="AS634" i="434"/>
  <c r="AJ634" i="434"/>
  <c r="S634" i="434"/>
  <c r="R634" i="434"/>
  <c r="Q634" i="434"/>
  <c r="P634" i="434"/>
  <c r="C634" i="434"/>
  <c r="T634" i="434" s="1"/>
  <c r="U634" i="434"/>
  <c r="V634" i="434" s="1"/>
  <c r="AJ633" i="434"/>
  <c r="S633" i="434"/>
  <c r="R633" i="434"/>
  <c r="Q633" i="434"/>
  <c r="P633" i="434"/>
  <c r="C633" i="434"/>
  <c r="AS633" i="434" s="1"/>
  <c r="U633" i="434"/>
  <c r="V633" i="434" s="1"/>
  <c r="AJ632" i="434"/>
  <c r="T632" i="434"/>
  <c r="S632" i="434"/>
  <c r="R632" i="434"/>
  <c r="Q632" i="434"/>
  <c r="C632" i="434"/>
  <c r="AS632" i="434" s="1"/>
  <c r="P632" i="434"/>
  <c r="AJ631" i="434"/>
  <c r="S631" i="434"/>
  <c r="R631" i="434"/>
  <c r="Q631" i="434"/>
  <c r="C631" i="434"/>
  <c r="AS631" i="434" s="1"/>
  <c r="P631" i="434"/>
  <c r="AJ630" i="434"/>
  <c r="S630" i="434"/>
  <c r="R630" i="434"/>
  <c r="Q630" i="434"/>
  <c r="C630" i="434"/>
  <c r="AS630" i="434" s="1"/>
  <c r="P630" i="434"/>
  <c r="AJ629" i="434"/>
  <c r="S629" i="434"/>
  <c r="R629" i="434"/>
  <c r="Q629" i="434"/>
  <c r="C629" i="434"/>
  <c r="AS629" i="434" s="1"/>
  <c r="P629" i="434"/>
  <c r="AJ628" i="434"/>
  <c r="S628" i="434"/>
  <c r="R628" i="434"/>
  <c r="Q628" i="434"/>
  <c r="P628" i="434"/>
  <c r="C628" i="434"/>
  <c r="AS628" i="434" s="1"/>
  <c r="U628" i="434"/>
  <c r="V628" i="434" s="1"/>
  <c r="AJ627" i="434"/>
  <c r="S627" i="434"/>
  <c r="R627" i="434"/>
  <c r="Q627" i="434"/>
  <c r="C627" i="434"/>
  <c r="AS627" i="434" s="1"/>
  <c r="P627" i="434"/>
  <c r="AJ626" i="434"/>
  <c r="S626" i="434"/>
  <c r="R626" i="434"/>
  <c r="Q626" i="434"/>
  <c r="P626" i="434"/>
  <c r="C626" i="434"/>
  <c r="AS626" i="434" s="1"/>
  <c r="U626" i="434"/>
  <c r="V626" i="434" s="1"/>
  <c r="AJ625" i="434"/>
  <c r="S625" i="434"/>
  <c r="R625" i="434"/>
  <c r="Q625" i="434"/>
  <c r="C625" i="434"/>
  <c r="AS625" i="434" s="1"/>
  <c r="P625" i="434"/>
  <c r="AJ624" i="434"/>
  <c r="S624" i="434"/>
  <c r="R624" i="434"/>
  <c r="Q624" i="434"/>
  <c r="C624" i="434"/>
  <c r="AS624" i="434" s="1"/>
  <c r="P624" i="434"/>
  <c r="AS623" i="434"/>
  <c r="AJ623" i="434"/>
  <c r="S623" i="434"/>
  <c r="R623" i="434"/>
  <c r="Q623" i="434"/>
  <c r="C623" i="434"/>
  <c r="T623" i="434" s="1"/>
  <c r="P623" i="434"/>
  <c r="AJ622" i="434"/>
  <c r="S622" i="434"/>
  <c r="R622" i="434"/>
  <c r="Q622" i="434"/>
  <c r="C622" i="434"/>
  <c r="AS622" i="434" s="1"/>
  <c r="P622" i="434"/>
  <c r="AS621" i="434"/>
  <c r="AJ621" i="434"/>
  <c r="T621" i="434"/>
  <c r="S621" i="434"/>
  <c r="R621" i="434"/>
  <c r="Q621" i="434"/>
  <c r="P621" i="434"/>
  <c r="C621" i="434"/>
  <c r="AJ620" i="434"/>
  <c r="S620" i="434"/>
  <c r="R620" i="434"/>
  <c r="Q620" i="434"/>
  <c r="C620" i="434"/>
  <c r="AS620" i="434" s="1"/>
  <c r="P620" i="434"/>
  <c r="AS619" i="434"/>
  <c r="AJ619" i="434"/>
  <c r="S619" i="434"/>
  <c r="R619" i="434"/>
  <c r="Q619" i="434"/>
  <c r="C619" i="434"/>
  <c r="T619" i="434" s="1"/>
  <c r="P619" i="434"/>
  <c r="AJ618" i="434"/>
  <c r="S618" i="434"/>
  <c r="R618" i="434"/>
  <c r="Q618" i="434"/>
  <c r="C618" i="434"/>
  <c r="AS618" i="434" s="1"/>
  <c r="P618" i="434"/>
  <c r="AJ617" i="434"/>
  <c r="S617" i="434"/>
  <c r="R617" i="434"/>
  <c r="Q617" i="434"/>
  <c r="C617" i="434"/>
  <c r="AS617" i="434" s="1"/>
  <c r="P617" i="434"/>
  <c r="AJ616" i="434"/>
  <c r="S616" i="434"/>
  <c r="R616" i="434"/>
  <c r="Q616" i="434"/>
  <c r="C616" i="434"/>
  <c r="T616" i="434" s="1"/>
  <c r="P616" i="434"/>
  <c r="AJ615" i="434"/>
  <c r="S615" i="434"/>
  <c r="R615" i="434"/>
  <c r="Q615" i="434"/>
  <c r="C615" i="434"/>
  <c r="AS615" i="434" s="1"/>
  <c r="P615" i="434"/>
  <c r="AJ614" i="434"/>
  <c r="S614" i="434"/>
  <c r="R614" i="434"/>
  <c r="Q614" i="434"/>
  <c r="C614" i="434"/>
  <c r="AS614" i="434" s="1"/>
  <c r="P614" i="434"/>
  <c r="AJ613" i="434"/>
  <c r="S613" i="434"/>
  <c r="R613" i="434"/>
  <c r="Q613" i="434"/>
  <c r="C613" i="434"/>
  <c r="AS613" i="434" s="1"/>
  <c r="P613" i="434"/>
  <c r="AJ612" i="434"/>
  <c r="S612" i="434"/>
  <c r="R612" i="434"/>
  <c r="Q612" i="434"/>
  <c r="C612" i="434"/>
  <c r="AS612" i="434" s="1"/>
  <c r="P612" i="434"/>
  <c r="AJ611" i="434"/>
  <c r="S611" i="434"/>
  <c r="R611" i="434"/>
  <c r="Q611" i="434"/>
  <c r="C611" i="434"/>
  <c r="AS611" i="434" s="1"/>
  <c r="P611" i="434"/>
  <c r="AS610" i="434"/>
  <c r="AJ610" i="434"/>
  <c r="S610" i="434"/>
  <c r="R610" i="434"/>
  <c r="Q610" i="434"/>
  <c r="C610" i="434"/>
  <c r="T610" i="434" s="1"/>
  <c r="P610" i="434"/>
  <c r="AJ609" i="434"/>
  <c r="S609" i="434"/>
  <c r="R609" i="434"/>
  <c r="Q609" i="434"/>
  <c r="C609" i="434"/>
  <c r="AS609" i="434" s="1"/>
  <c r="P609" i="434"/>
  <c r="AJ608" i="434"/>
  <c r="S608" i="434"/>
  <c r="R608" i="434"/>
  <c r="Q608" i="434"/>
  <c r="C608" i="434"/>
  <c r="AS608" i="434" s="1"/>
  <c r="U608" i="434"/>
  <c r="V608" i="434" s="1"/>
  <c r="AJ607" i="434"/>
  <c r="S607" i="434"/>
  <c r="R607" i="434"/>
  <c r="Q607" i="434"/>
  <c r="C607" i="434"/>
  <c r="AS607" i="434" s="1"/>
  <c r="U607" i="434"/>
  <c r="V607" i="434" s="1"/>
  <c r="AS606" i="434"/>
  <c r="AJ606" i="434"/>
  <c r="T606" i="434"/>
  <c r="S606" i="434"/>
  <c r="R606" i="434"/>
  <c r="Q606" i="434"/>
  <c r="C606" i="434"/>
  <c r="P606" i="434"/>
  <c r="AJ605" i="434"/>
  <c r="S605" i="434"/>
  <c r="R605" i="434"/>
  <c r="Q605" i="434"/>
  <c r="C605" i="434"/>
  <c r="AS605" i="434" s="1"/>
  <c r="P605" i="434"/>
  <c r="AJ604" i="434"/>
  <c r="S604" i="434"/>
  <c r="R604" i="434"/>
  <c r="Q604" i="434"/>
  <c r="C604" i="434"/>
  <c r="AS604" i="434" s="1"/>
  <c r="U604" i="434"/>
  <c r="V604" i="434" s="1"/>
  <c r="AJ603" i="434"/>
  <c r="S603" i="434"/>
  <c r="R603" i="434"/>
  <c r="Q603" i="434"/>
  <c r="C603" i="434"/>
  <c r="AS603" i="434" s="1"/>
  <c r="P603" i="434"/>
  <c r="AJ602" i="434"/>
  <c r="T602" i="434"/>
  <c r="S602" i="434"/>
  <c r="R602" i="434"/>
  <c r="Q602" i="434"/>
  <c r="C602" i="434"/>
  <c r="AS602" i="434" s="1"/>
  <c r="P602" i="434"/>
  <c r="AJ601" i="434"/>
  <c r="S601" i="434"/>
  <c r="R601" i="434"/>
  <c r="Q601" i="434"/>
  <c r="C601" i="434"/>
  <c r="T601" i="434" s="1"/>
  <c r="U601" i="434"/>
  <c r="V601" i="434" s="1"/>
  <c r="AJ600" i="434"/>
  <c r="S600" i="434"/>
  <c r="R600" i="434"/>
  <c r="Q600" i="434"/>
  <c r="C600" i="434"/>
  <c r="AS600" i="434" s="1"/>
  <c r="AJ599" i="434"/>
  <c r="S599" i="434"/>
  <c r="R599" i="434"/>
  <c r="Q599" i="434"/>
  <c r="C599" i="434"/>
  <c r="AS599" i="434" s="1"/>
  <c r="P599" i="434"/>
  <c r="AS598" i="434"/>
  <c r="AJ598" i="434"/>
  <c r="S598" i="434"/>
  <c r="R598" i="434"/>
  <c r="Q598" i="434"/>
  <c r="C598" i="434"/>
  <c r="T598" i="434" s="1"/>
  <c r="AS597" i="434"/>
  <c r="AJ597" i="434"/>
  <c r="T597" i="434"/>
  <c r="S597" i="434"/>
  <c r="R597" i="434"/>
  <c r="Q597" i="434"/>
  <c r="C597" i="434"/>
  <c r="AJ596" i="434"/>
  <c r="T596" i="434"/>
  <c r="S596" i="434"/>
  <c r="R596" i="434"/>
  <c r="Q596" i="434"/>
  <c r="C596" i="434"/>
  <c r="AS596" i="434" s="1"/>
  <c r="P596" i="434"/>
  <c r="AJ595" i="434"/>
  <c r="S595" i="434"/>
  <c r="R595" i="434"/>
  <c r="Q595" i="434"/>
  <c r="C595" i="434"/>
  <c r="AS595" i="434" s="1"/>
  <c r="AJ594" i="434"/>
  <c r="S594" i="434"/>
  <c r="R594" i="434"/>
  <c r="Q594" i="434"/>
  <c r="C594" i="434"/>
  <c r="AS594" i="434" s="1"/>
  <c r="AS593" i="434"/>
  <c r="AJ593" i="434"/>
  <c r="S593" i="434"/>
  <c r="R593" i="434"/>
  <c r="Q593" i="434"/>
  <c r="C593" i="434"/>
  <c r="T593" i="434" s="1"/>
  <c r="AJ592" i="434"/>
  <c r="S592" i="434"/>
  <c r="R592" i="434"/>
  <c r="Q592" i="434"/>
  <c r="P592" i="434"/>
  <c r="C592" i="434"/>
  <c r="AS592" i="434" s="1"/>
  <c r="U592" i="434"/>
  <c r="V592" i="434" s="1"/>
  <c r="AJ591" i="434"/>
  <c r="S591" i="434"/>
  <c r="R591" i="434"/>
  <c r="Q591" i="434"/>
  <c r="C591" i="434"/>
  <c r="T591" i="434" s="1"/>
  <c r="P591" i="434"/>
  <c r="AJ590" i="434"/>
  <c r="S590" i="434"/>
  <c r="R590" i="434"/>
  <c r="Q590" i="434"/>
  <c r="P590" i="434"/>
  <c r="C590" i="434"/>
  <c r="AS590" i="434" s="1"/>
  <c r="U590" i="434"/>
  <c r="V590" i="434" s="1"/>
  <c r="AS589" i="434"/>
  <c r="AJ589" i="434"/>
  <c r="T589" i="434"/>
  <c r="S589" i="434"/>
  <c r="R589" i="434"/>
  <c r="Q589" i="434"/>
  <c r="P589" i="434"/>
  <c r="C589" i="434"/>
  <c r="U589" i="434"/>
  <c r="V589" i="434" s="1"/>
  <c r="AJ588" i="434"/>
  <c r="S588" i="434"/>
  <c r="R588" i="434"/>
  <c r="Q588" i="434"/>
  <c r="C588" i="434"/>
  <c r="T588" i="434" s="1"/>
  <c r="P588" i="434"/>
  <c r="AJ587" i="434"/>
  <c r="T587" i="434"/>
  <c r="S587" i="434"/>
  <c r="R587" i="434"/>
  <c r="Q587" i="434"/>
  <c r="C587" i="434"/>
  <c r="AS587" i="434" s="1"/>
  <c r="P587" i="434"/>
  <c r="AJ586" i="434"/>
  <c r="S586" i="434"/>
  <c r="R586" i="434"/>
  <c r="Q586" i="434"/>
  <c r="C586" i="434"/>
  <c r="T586" i="434" s="1"/>
  <c r="P586" i="434"/>
  <c r="AJ585" i="434"/>
  <c r="S585" i="434"/>
  <c r="R585" i="434"/>
  <c r="Q585" i="434"/>
  <c r="C585" i="434"/>
  <c r="AS585" i="434" s="1"/>
  <c r="P585" i="434"/>
  <c r="AJ584" i="434"/>
  <c r="S584" i="434"/>
  <c r="R584" i="434"/>
  <c r="Q584" i="434"/>
  <c r="P584" i="434"/>
  <c r="C584" i="434"/>
  <c r="AS584" i="434" s="1"/>
  <c r="U584" i="434"/>
  <c r="V584" i="434" s="1"/>
  <c r="AJ583" i="434"/>
  <c r="S583" i="434"/>
  <c r="R583" i="434"/>
  <c r="Q583" i="434"/>
  <c r="C583" i="434"/>
  <c r="AS583" i="434" s="1"/>
  <c r="P583" i="434"/>
  <c r="AJ582" i="434"/>
  <c r="S582" i="434"/>
  <c r="R582" i="434"/>
  <c r="Q582" i="434"/>
  <c r="C582" i="434"/>
  <c r="AS582" i="434" s="1"/>
  <c r="P582" i="434"/>
  <c r="AS581" i="434"/>
  <c r="AJ581" i="434"/>
  <c r="T581" i="434"/>
  <c r="S581" i="434"/>
  <c r="R581" i="434"/>
  <c r="Q581" i="434"/>
  <c r="C581" i="434"/>
  <c r="P581" i="434"/>
  <c r="AJ580" i="434"/>
  <c r="S580" i="434"/>
  <c r="R580" i="434"/>
  <c r="Q580" i="434"/>
  <c r="P580" i="434"/>
  <c r="C580" i="434"/>
  <c r="AS580" i="434" s="1"/>
  <c r="AJ579" i="434"/>
  <c r="S579" i="434"/>
  <c r="R579" i="434"/>
  <c r="Q579" i="434"/>
  <c r="C579" i="434"/>
  <c r="AS579" i="434" s="1"/>
  <c r="P579" i="434"/>
  <c r="AJ578" i="434"/>
  <c r="S578" i="434"/>
  <c r="R578" i="434"/>
  <c r="Q578" i="434"/>
  <c r="P578" i="434"/>
  <c r="C578" i="434"/>
  <c r="AS578" i="434" s="1"/>
  <c r="AJ577" i="434"/>
  <c r="S577" i="434"/>
  <c r="R577" i="434"/>
  <c r="Q577" i="434"/>
  <c r="C577" i="434"/>
  <c r="AS577" i="434" s="1"/>
  <c r="P577" i="434"/>
  <c r="AJ576" i="434"/>
  <c r="S576" i="434"/>
  <c r="R576" i="434"/>
  <c r="Q576" i="434"/>
  <c r="P576" i="434"/>
  <c r="C576" i="434"/>
  <c r="AS576" i="434" s="1"/>
  <c r="U576" i="434"/>
  <c r="V576" i="434" s="1"/>
  <c r="AJ575" i="434"/>
  <c r="S575" i="434"/>
  <c r="R575" i="434"/>
  <c r="Q575" i="434"/>
  <c r="C575" i="434"/>
  <c r="T575" i="434" s="1"/>
  <c r="P575" i="434"/>
  <c r="AJ574" i="434"/>
  <c r="S574" i="434"/>
  <c r="R574" i="434"/>
  <c r="Q574" i="434"/>
  <c r="P574" i="434"/>
  <c r="C574" i="434"/>
  <c r="AS574" i="434" s="1"/>
  <c r="U574" i="434"/>
  <c r="V574" i="434" s="1"/>
  <c r="AJ573" i="434"/>
  <c r="S573" i="434"/>
  <c r="R573" i="434"/>
  <c r="Q573" i="434"/>
  <c r="C573" i="434"/>
  <c r="AS573" i="434" s="1"/>
  <c r="U573" i="434"/>
  <c r="V573" i="434" s="1"/>
  <c r="AJ572" i="434"/>
  <c r="S572" i="434"/>
  <c r="R572" i="434"/>
  <c r="Q572" i="434"/>
  <c r="C572" i="434"/>
  <c r="AS572" i="434" s="1"/>
  <c r="P572" i="434"/>
  <c r="AS571" i="434"/>
  <c r="AJ571" i="434"/>
  <c r="S571" i="434"/>
  <c r="R571" i="434"/>
  <c r="Q571" i="434"/>
  <c r="C571" i="434"/>
  <c r="T571" i="434" s="1"/>
  <c r="P571" i="434"/>
  <c r="AJ570" i="434"/>
  <c r="S570" i="434"/>
  <c r="R570" i="434"/>
  <c r="Q570" i="434"/>
  <c r="C570" i="434"/>
  <c r="AS570" i="434" s="1"/>
  <c r="P570" i="434"/>
  <c r="AJ569" i="434"/>
  <c r="S569" i="434"/>
  <c r="R569" i="434"/>
  <c r="Q569" i="434"/>
  <c r="C569" i="434"/>
  <c r="AS569" i="434" s="1"/>
  <c r="P569" i="434"/>
  <c r="AJ568" i="434"/>
  <c r="S568" i="434"/>
  <c r="R568" i="434"/>
  <c r="Q568" i="434"/>
  <c r="C568" i="434"/>
  <c r="T568" i="434" s="1"/>
  <c r="P568" i="434"/>
  <c r="AJ567" i="434"/>
  <c r="S567" i="434"/>
  <c r="R567" i="434"/>
  <c r="Q567" i="434"/>
  <c r="C567" i="434"/>
  <c r="AS567" i="434" s="1"/>
  <c r="P567" i="434"/>
  <c r="AJ566" i="434"/>
  <c r="S566" i="434"/>
  <c r="R566" i="434"/>
  <c r="Q566" i="434"/>
  <c r="C566" i="434"/>
  <c r="AS566" i="434" s="1"/>
  <c r="P566" i="434"/>
  <c r="AJ565" i="434"/>
  <c r="S565" i="434"/>
  <c r="R565" i="434"/>
  <c r="Q565" i="434"/>
  <c r="C565" i="434"/>
  <c r="AS565" i="434" s="1"/>
  <c r="P565" i="434"/>
  <c r="AJ564" i="434"/>
  <c r="S564" i="434"/>
  <c r="R564" i="434"/>
  <c r="Q564" i="434"/>
  <c r="C564" i="434"/>
  <c r="AS564" i="434" s="1"/>
  <c r="P564" i="434"/>
  <c r="AJ563" i="434"/>
  <c r="S563" i="434"/>
  <c r="R563" i="434"/>
  <c r="Q563" i="434"/>
  <c r="C563" i="434"/>
  <c r="AS563" i="434" s="1"/>
  <c r="P563" i="434"/>
  <c r="AJ562" i="434"/>
  <c r="S562" i="434"/>
  <c r="R562" i="434"/>
  <c r="Q562" i="434"/>
  <c r="C562" i="434"/>
  <c r="AS562" i="434" s="1"/>
  <c r="P562" i="434"/>
  <c r="AJ561" i="434"/>
  <c r="S561" i="434"/>
  <c r="R561" i="434"/>
  <c r="Q561" i="434"/>
  <c r="C561" i="434"/>
  <c r="AS561" i="434" s="1"/>
  <c r="P561" i="434"/>
  <c r="AJ560" i="434"/>
  <c r="S560" i="434"/>
  <c r="R560" i="434"/>
  <c r="Q560" i="434"/>
  <c r="P560" i="434"/>
  <c r="C560" i="434"/>
  <c r="AS560" i="434" s="1"/>
  <c r="U560" i="434"/>
  <c r="V560" i="434" s="1"/>
  <c r="AJ559" i="434"/>
  <c r="S559" i="434"/>
  <c r="R559" i="434"/>
  <c r="Q559" i="434"/>
  <c r="C559" i="434"/>
  <c r="AS559" i="434" s="1"/>
  <c r="P559" i="434"/>
  <c r="AS558" i="434"/>
  <c r="AJ558" i="434"/>
  <c r="T558" i="434"/>
  <c r="S558" i="434"/>
  <c r="R558" i="434"/>
  <c r="Q558" i="434"/>
  <c r="C558" i="434"/>
  <c r="P558" i="434"/>
  <c r="AJ557" i="434"/>
  <c r="S557" i="434"/>
  <c r="R557" i="434"/>
  <c r="Q557" i="434"/>
  <c r="C557" i="434"/>
  <c r="AS557" i="434" s="1"/>
  <c r="P557" i="434"/>
  <c r="AJ556" i="434"/>
  <c r="S556" i="434"/>
  <c r="R556" i="434"/>
  <c r="Q556" i="434"/>
  <c r="C556" i="434"/>
  <c r="AS556" i="434" s="1"/>
  <c r="P556" i="434"/>
  <c r="AJ555" i="434"/>
  <c r="S555" i="434"/>
  <c r="R555" i="434"/>
  <c r="Q555" i="434"/>
  <c r="C555" i="434"/>
  <c r="T555" i="434" s="1"/>
  <c r="P555" i="434"/>
  <c r="AJ554" i="434"/>
  <c r="S554" i="434"/>
  <c r="R554" i="434"/>
  <c r="Q554" i="434"/>
  <c r="C554" i="434"/>
  <c r="AS554" i="434" s="1"/>
  <c r="P554" i="434"/>
  <c r="AS553" i="434"/>
  <c r="AJ553" i="434"/>
  <c r="S553" i="434"/>
  <c r="R553" i="434"/>
  <c r="Q553" i="434"/>
  <c r="P553" i="434"/>
  <c r="C553" i="434"/>
  <c r="T553" i="434" s="1"/>
  <c r="U553" i="434"/>
  <c r="V553" i="434" s="1"/>
  <c r="AS552" i="434"/>
  <c r="AJ552" i="434"/>
  <c r="S552" i="434"/>
  <c r="R552" i="434"/>
  <c r="Q552" i="434"/>
  <c r="C552" i="434"/>
  <c r="T552" i="434" s="1"/>
  <c r="P552" i="434"/>
  <c r="AJ551" i="434"/>
  <c r="S551" i="434"/>
  <c r="R551" i="434"/>
  <c r="Q551" i="434"/>
  <c r="C551" i="434"/>
  <c r="AS551" i="434" s="1"/>
  <c r="AJ550" i="434"/>
  <c r="S550" i="434"/>
  <c r="R550" i="434"/>
  <c r="Q550" i="434"/>
  <c r="C550" i="434"/>
  <c r="T550" i="434" s="1"/>
  <c r="AJ549" i="434"/>
  <c r="T549" i="434"/>
  <c r="S549" i="434"/>
  <c r="R549" i="434"/>
  <c r="Q549" i="434"/>
  <c r="C549" i="434"/>
  <c r="AS549" i="434" s="1"/>
  <c r="AJ548" i="434"/>
  <c r="S548" i="434"/>
  <c r="R548" i="434"/>
  <c r="Q548" i="434"/>
  <c r="C548" i="434"/>
  <c r="AS548" i="434" s="1"/>
  <c r="P548" i="434"/>
  <c r="AJ547" i="434"/>
  <c r="S547" i="434"/>
  <c r="R547" i="434"/>
  <c r="Q547" i="434"/>
  <c r="C547" i="434"/>
  <c r="AS547" i="434" s="1"/>
  <c r="AJ546" i="434"/>
  <c r="S546" i="434"/>
  <c r="R546" i="434"/>
  <c r="Q546" i="434"/>
  <c r="C546" i="434"/>
  <c r="AS546" i="434" s="1"/>
  <c r="AS545" i="434"/>
  <c r="AJ545" i="434"/>
  <c r="T545" i="434"/>
  <c r="S545" i="434"/>
  <c r="R545" i="434"/>
  <c r="Q545" i="434"/>
  <c r="C545" i="434"/>
  <c r="AJ544" i="434"/>
  <c r="S544" i="434"/>
  <c r="R544" i="434"/>
  <c r="Q544" i="434"/>
  <c r="P544" i="434"/>
  <c r="C544" i="434"/>
  <c r="AS544" i="434" s="1"/>
  <c r="U544" i="434"/>
  <c r="V544" i="434" s="1"/>
  <c r="AS543" i="434"/>
  <c r="AJ543" i="434"/>
  <c r="S543" i="434"/>
  <c r="R543" i="434"/>
  <c r="Q543" i="434"/>
  <c r="C543" i="434"/>
  <c r="T543" i="434" s="1"/>
  <c r="P543" i="434"/>
  <c r="AJ542" i="434"/>
  <c r="S542" i="434"/>
  <c r="R542" i="434"/>
  <c r="Q542" i="434"/>
  <c r="C542" i="434"/>
  <c r="AS542" i="434" s="1"/>
  <c r="P542" i="434"/>
  <c r="AJ541" i="434"/>
  <c r="S541" i="434"/>
  <c r="R541" i="434"/>
  <c r="Q541" i="434"/>
  <c r="C541" i="434"/>
  <c r="AS541" i="434" s="1"/>
  <c r="U541" i="434"/>
  <c r="V541" i="434" s="1"/>
  <c r="AJ540" i="434"/>
  <c r="S540" i="434"/>
  <c r="R540" i="434"/>
  <c r="Q540" i="434"/>
  <c r="C540" i="434"/>
  <c r="AS540" i="434" s="1"/>
  <c r="P540" i="434"/>
  <c r="AJ539" i="434"/>
  <c r="T539" i="434"/>
  <c r="S539" i="434"/>
  <c r="R539" i="434"/>
  <c r="Q539" i="434"/>
  <c r="C539" i="434"/>
  <c r="AS539" i="434" s="1"/>
  <c r="P539" i="434"/>
  <c r="AJ538" i="434"/>
  <c r="S538" i="434"/>
  <c r="R538" i="434"/>
  <c r="Q538" i="434"/>
  <c r="C538" i="434"/>
  <c r="AS538" i="434" s="1"/>
  <c r="P538" i="434"/>
  <c r="AJ537" i="434"/>
  <c r="S537" i="434"/>
  <c r="R537" i="434"/>
  <c r="Q537" i="434"/>
  <c r="C537" i="434"/>
  <c r="AS537" i="434" s="1"/>
  <c r="P537" i="434"/>
  <c r="AJ536" i="434"/>
  <c r="S536" i="434"/>
  <c r="R536" i="434"/>
  <c r="Q536" i="434"/>
  <c r="P536" i="434"/>
  <c r="C536" i="434"/>
  <c r="AS536" i="434" s="1"/>
  <c r="AJ535" i="434"/>
  <c r="S535" i="434"/>
  <c r="R535" i="434"/>
  <c r="Q535" i="434"/>
  <c r="P535" i="434"/>
  <c r="C535" i="434"/>
  <c r="AS535" i="434" s="1"/>
  <c r="U535" i="434"/>
  <c r="V535" i="434" s="1"/>
  <c r="AJ534" i="434"/>
  <c r="S534" i="434"/>
  <c r="R534" i="434"/>
  <c r="Q534" i="434"/>
  <c r="C534" i="434"/>
  <c r="AS534" i="434" s="1"/>
  <c r="P534" i="434"/>
  <c r="AJ533" i="434"/>
  <c r="S533" i="434"/>
  <c r="R533" i="434"/>
  <c r="Q533" i="434"/>
  <c r="C533" i="434"/>
  <c r="AS533" i="434" s="1"/>
  <c r="P533" i="434"/>
  <c r="AJ532" i="434"/>
  <c r="S532" i="434"/>
  <c r="R532" i="434"/>
  <c r="Q532" i="434"/>
  <c r="P532" i="434"/>
  <c r="C532" i="434"/>
  <c r="AS532" i="434" s="1"/>
  <c r="U532" i="434"/>
  <c r="V532" i="434" s="1"/>
  <c r="AJ531" i="434"/>
  <c r="S531" i="434"/>
  <c r="R531" i="434"/>
  <c r="Q531" i="434"/>
  <c r="C531" i="434"/>
  <c r="AS531" i="434" s="1"/>
  <c r="P531" i="434"/>
  <c r="AJ530" i="434"/>
  <c r="S530" i="434"/>
  <c r="R530" i="434"/>
  <c r="Q530" i="434"/>
  <c r="C530" i="434"/>
  <c r="AS530" i="434" s="1"/>
  <c r="U530" i="434"/>
  <c r="V530" i="434" s="1"/>
  <c r="AJ529" i="434"/>
  <c r="S529" i="434"/>
  <c r="R529" i="434"/>
  <c r="Q529" i="434"/>
  <c r="C529" i="434"/>
  <c r="AS529" i="434" s="1"/>
  <c r="U529" i="434"/>
  <c r="V529" i="434" s="1"/>
  <c r="AJ528" i="434"/>
  <c r="S528" i="434"/>
  <c r="R528" i="434"/>
  <c r="Q528" i="434"/>
  <c r="P528" i="434"/>
  <c r="C528" i="434"/>
  <c r="AS528" i="434" s="1"/>
  <c r="U528" i="434"/>
  <c r="V528" i="434" s="1"/>
  <c r="AJ527" i="434"/>
  <c r="S527" i="434"/>
  <c r="R527" i="434"/>
  <c r="Q527" i="434"/>
  <c r="C527" i="434"/>
  <c r="T527" i="434" s="1"/>
  <c r="P527" i="434"/>
  <c r="AJ526" i="434"/>
  <c r="S526" i="434"/>
  <c r="R526" i="434"/>
  <c r="Q526" i="434"/>
  <c r="P526" i="434"/>
  <c r="C526" i="434"/>
  <c r="AS526" i="434" s="1"/>
  <c r="U526" i="434"/>
  <c r="V526" i="434" s="1"/>
  <c r="AJ525" i="434"/>
  <c r="S525" i="434"/>
  <c r="R525" i="434"/>
  <c r="Q525" i="434"/>
  <c r="C525" i="434"/>
  <c r="AS525" i="434" s="1"/>
  <c r="U525" i="434"/>
  <c r="V525" i="434" s="1"/>
  <c r="AJ524" i="434"/>
  <c r="S524" i="434"/>
  <c r="R524" i="434"/>
  <c r="Q524" i="434"/>
  <c r="C524" i="434"/>
  <c r="AS524" i="434" s="1"/>
  <c r="P524" i="434"/>
  <c r="AJ523" i="434"/>
  <c r="S523" i="434"/>
  <c r="R523" i="434"/>
  <c r="Q523" i="434"/>
  <c r="C523" i="434"/>
  <c r="T523" i="434" s="1"/>
  <c r="P523" i="434"/>
  <c r="AJ522" i="434"/>
  <c r="S522" i="434"/>
  <c r="R522" i="434"/>
  <c r="Q522" i="434"/>
  <c r="C522" i="434"/>
  <c r="AS522" i="434" s="1"/>
  <c r="P522" i="434"/>
  <c r="AJ521" i="434"/>
  <c r="T521" i="434"/>
  <c r="S521" i="434"/>
  <c r="R521" i="434"/>
  <c r="Q521" i="434"/>
  <c r="C521" i="434"/>
  <c r="AS521" i="434" s="1"/>
  <c r="P521" i="434"/>
  <c r="AJ520" i="434"/>
  <c r="S520" i="434"/>
  <c r="R520" i="434"/>
  <c r="Q520" i="434"/>
  <c r="C520" i="434"/>
  <c r="T520" i="434" s="1"/>
  <c r="P520" i="434"/>
  <c r="AJ519" i="434"/>
  <c r="S519" i="434"/>
  <c r="R519" i="434"/>
  <c r="Q519" i="434"/>
  <c r="C519" i="434"/>
  <c r="AS519" i="434" s="1"/>
  <c r="P519" i="434"/>
  <c r="AJ518" i="434"/>
  <c r="S518" i="434"/>
  <c r="R518" i="434"/>
  <c r="Q518" i="434"/>
  <c r="C518" i="434"/>
  <c r="AS518" i="434" s="1"/>
  <c r="P518" i="434"/>
  <c r="AJ517" i="434"/>
  <c r="S517" i="434"/>
  <c r="R517" i="434"/>
  <c r="Q517" i="434"/>
  <c r="C517" i="434"/>
  <c r="AS517" i="434" s="1"/>
  <c r="P517" i="434"/>
  <c r="AJ516" i="434"/>
  <c r="T516" i="434"/>
  <c r="S516" i="434"/>
  <c r="R516" i="434"/>
  <c r="Q516" i="434"/>
  <c r="C516" i="434"/>
  <c r="AS516" i="434" s="1"/>
  <c r="P516" i="434"/>
  <c r="AJ515" i="434"/>
  <c r="S515" i="434"/>
  <c r="R515" i="434"/>
  <c r="Q515" i="434"/>
  <c r="C515" i="434"/>
  <c r="AS515" i="434" s="1"/>
  <c r="P515" i="434"/>
  <c r="AJ514" i="434"/>
  <c r="S514" i="434"/>
  <c r="R514" i="434"/>
  <c r="Q514" i="434"/>
  <c r="P514" i="434"/>
  <c r="C514" i="434"/>
  <c r="AS514" i="434" s="1"/>
  <c r="U514" i="434"/>
  <c r="V514" i="434" s="1"/>
  <c r="AJ513" i="434"/>
  <c r="S513" i="434"/>
  <c r="R513" i="434"/>
  <c r="Q513" i="434"/>
  <c r="C513" i="434"/>
  <c r="AS513" i="434" s="1"/>
  <c r="P513" i="434"/>
  <c r="AJ512" i="434"/>
  <c r="S512" i="434"/>
  <c r="R512" i="434"/>
  <c r="Q512" i="434"/>
  <c r="P512" i="434"/>
  <c r="C512" i="434"/>
  <c r="AS512" i="434" s="1"/>
  <c r="U512" i="434"/>
  <c r="V512" i="434" s="1"/>
  <c r="AJ511" i="434"/>
  <c r="S511" i="434"/>
  <c r="R511" i="434"/>
  <c r="Q511" i="434"/>
  <c r="C511" i="434"/>
  <c r="AS511" i="434" s="1"/>
  <c r="P511" i="434"/>
  <c r="AJ510" i="434"/>
  <c r="S510" i="434"/>
  <c r="R510" i="434"/>
  <c r="Q510" i="434"/>
  <c r="C510" i="434"/>
  <c r="AS510" i="434" s="1"/>
  <c r="P510" i="434"/>
  <c r="AJ509" i="434"/>
  <c r="S509" i="434"/>
  <c r="R509" i="434"/>
  <c r="Q509" i="434"/>
  <c r="C509" i="434"/>
  <c r="AS509" i="434" s="1"/>
  <c r="P509" i="434"/>
  <c r="AJ508" i="434"/>
  <c r="S508" i="434"/>
  <c r="R508" i="434"/>
  <c r="Q508" i="434"/>
  <c r="C508" i="434"/>
  <c r="AS508" i="434" s="1"/>
  <c r="P508" i="434"/>
  <c r="AS507" i="434"/>
  <c r="AJ507" i="434"/>
  <c r="T507" i="434"/>
  <c r="S507" i="434"/>
  <c r="R507" i="434"/>
  <c r="Q507" i="434"/>
  <c r="C507" i="434"/>
  <c r="P507" i="434"/>
  <c r="AJ506" i="434"/>
  <c r="S506" i="434"/>
  <c r="R506" i="434"/>
  <c r="Q506" i="434"/>
  <c r="C506" i="434"/>
  <c r="AS506" i="434" s="1"/>
  <c r="P506" i="434"/>
  <c r="AS505" i="434"/>
  <c r="AJ505" i="434"/>
  <c r="S505" i="434"/>
  <c r="R505" i="434"/>
  <c r="Q505" i="434"/>
  <c r="C505" i="434"/>
  <c r="T505" i="434" s="1"/>
  <c r="P505" i="434"/>
  <c r="AJ504" i="434"/>
  <c r="S504" i="434"/>
  <c r="R504" i="434"/>
  <c r="Q504" i="434"/>
  <c r="C504" i="434"/>
  <c r="AS504" i="434" s="1"/>
  <c r="AS503" i="434"/>
  <c r="AJ503" i="434"/>
  <c r="T503" i="434"/>
  <c r="S503" i="434"/>
  <c r="R503" i="434"/>
  <c r="Q503" i="434"/>
  <c r="C503" i="434"/>
  <c r="P503" i="434"/>
  <c r="AS502" i="434"/>
  <c r="AJ502" i="434"/>
  <c r="S502" i="434"/>
  <c r="R502" i="434"/>
  <c r="Q502" i="434"/>
  <c r="C502" i="434"/>
  <c r="T502" i="434" s="1"/>
  <c r="AS501" i="434"/>
  <c r="AJ501" i="434"/>
  <c r="T501" i="434"/>
  <c r="S501" i="434"/>
  <c r="R501" i="434"/>
  <c r="Q501" i="434"/>
  <c r="C501" i="434"/>
  <c r="AJ500" i="434"/>
  <c r="S500" i="434"/>
  <c r="R500" i="434"/>
  <c r="Q500" i="434"/>
  <c r="C500" i="434"/>
  <c r="AS500" i="434" s="1"/>
  <c r="P500" i="434"/>
  <c r="AJ499" i="434"/>
  <c r="S499" i="434"/>
  <c r="R499" i="434"/>
  <c r="Q499" i="434"/>
  <c r="C499" i="434"/>
  <c r="AS499" i="434" s="1"/>
  <c r="AJ498" i="434"/>
  <c r="T498" i="434"/>
  <c r="S498" i="434"/>
  <c r="R498" i="434"/>
  <c r="Q498" i="434"/>
  <c r="C498" i="434"/>
  <c r="AS498" i="434" s="1"/>
  <c r="AS497" i="434"/>
  <c r="AJ497" i="434"/>
  <c r="S497" i="434"/>
  <c r="R497" i="434"/>
  <c r="Q497" i="434"/>
  <c r="C497" i="434"/>
  <c r="T497" i="434" s="1"/>
  <c r="AJ496" i="434"/>
  <c r="S496" i="434"/>
  <c r="R496" i="434"/>
  <c r="Q496" i="434"/>
  <c r="C496" i="434"/>
  <c r="AS496" i="434" s="1"/>
  <c r="P496" i="434"/>
  <c r="AS495" i="434"/>
  <c r="AJ495" i="434"/>
  <c r="T495" i="434"/>
  <c r="S495" i="434"/>
  <c r="R495" i="434"/>
  <c r="Q495" i="434"/>
  <c r="C495" i="434"/>
  <c r="P495" i="434"/>
  <c r="AJ494" i="434"/>
  <c r="S494" i="434"/>
  <c r="R494" i="434"/>
  <c r="Q494" i="434"/>
  <c r="P494" i="434"/>
  <c r="C494" i="434"/>
  <c r="AS494" i="434" s="1"/>
  <c r="U494" i="434"/>
  <c r="V494" i="434" s="1"/>
  <c r="AS493" i="434"/>
  <c r="AJ493" i="434"/>
  <c r="T493" i="434"/>
  <c r="S493" i="434"/>
  <c r="R493" i="434"/>
  <c r="Q493" i="434"/>
  <c r="C493" i="434"/>
  <c r="U493" i="434"/>
  <c r="V493" i="434" s="1"/>
  <c r="AJ492" i="434"/>
  <c r="T492" i="434"/>
  <c r="S492" i="434"/>
  <c r="R492" i="434"/>
  <c r="Q492" i="434"/>
  <c r="C492" i="434"/>
  <c r="AS492" i="434" s="1"/>
  <c r="P492" i="434"/>
  <c r="AJ491" i="434"/>
  <c r="T491" i="434"/>
  <c r="S491" i="434"/>
  <c r="R491" i="434"/>
  <c r="Q491" i="434"/>
  <c r="C491" i="434"/>
  <c r="AS491" i="434" s="1"/>
  <c r="P491" i="434"/>
  <c r="AJ490" i="434"/>
  <c r="S490" i="434"/>
  <c r="R490" i="434"/>
  <c r="Q490" i="434"/>
  <c r="C490" i="434"/>
  <c r="T490" i="434" s="1"/>
  <c r="U490" i="434"/>
  <c r="V490" i="434" s="1"/>
  <c r="AJ489" i="434"/>
  <c r="S489" i="434"/>
  <c r="R489" i="434"/>
  <c r="Q489" i="434"/>
  <c r="C489" i="434"/>
  <c r="AS489" i="434" s="1"/>
  <c r="U489" i="434"/>
  <c r="V489" i="434" s="1"/>
  <c r="AJ488" i="434"/>
  <c r="S488" i="434"/>
  <c r="R488" i="434"/>
  <c r="Q488" i="434"/>
  <c r="P488" i="434"/>
  <c r="C488" i="434"/>
  <c r="AS488" i="434" s="1"/>
  <c r="U488" i="434"/>
  <c r="V488" i="434" s="1"/>
  <c r="AJ487" i="434"/>
  <c r="S487" i="434"/>
  <c r="R487" i="434"/>
  <c r="Q487" i="434"/>
  <c r="P487" i="434"/>
  <c r="C487" i="434"/>
  <c r="AS487" i="434" s="1"/>
  <c r="U487" i="434"/>
  <c r="V487" i="434" s="1"/>
  <c r="AJ486" i="434"/>
  <c r="S486" i="434"/>
  <c r="R486" i="434"/>
  <c r="Q486" i="434"/>
  <c r="C486" i="434"/>
  <c r="AS486" i="434" s="1"/>
  <c r="P486" i="434"/>
  <c r="AS485" i="434"/>
  <c r="AJ485" i="434"/>
  <c r="S485" i="434"/>
  <c r="R485" i="434"/>
  <c r="Q485" i="434"/>
  <c r="C485" i="434"/>
  <c r="T485" i="434" s="1"/>
  <c r="U485" i="434"/>
  <c r="V485" i="434" s="1"/>
  <c r="AJ484" i="434"/>
  <c r="S484" i="434"/>
  <c r="R484" i="434"/>
  <c r="Q484" i="434"/>
  <c r="P484" i="434"/>
  <c r="C484" i="434"/>
  <c r="AS484" i="434" s="1"/>
  <c r="U484" i="434"/>
  <c r="V484" i="434" s="1"/>
  <c r="AJ483" i="434"/>
  <c r="S483" i="434"/>
  <c r="R483" i="434"/>
  <c r="Q483" i="434"/>
  <c r="C483" i="434"/>
  <c r="AS483" i="434" s="1"/>
  <c r="P483" i="434"/>
  <c r="AJ482" i="434"/>
  <c r="S482" i="434"/>
  <c r="R482" i="434"/>
  <c r="Q482" i="434"/>
  <c r="P482" i="434"/>
  <c r="C482" i="434"/>
  <c r="AS482" i="434" s="1"/>
  <c r="U482" i="434"/>
  <c r="V482" i="434" s="1"/>
  <c r="AJ481" i="434"/>
  <c r="S481" i="434"/>
  <c r="R481" i="434"/>
  <c r="Q481" i="434"/>
  <c r="C481" i="434"/>
  <c r="AS481" i="434" s="1"/>
  <c r="P481" i="434"/>
  <c r="AJ480" i="434"/>
  <c r="S480" i="434"/>
  <c r="R480" i="434"/>
  <c r="Q480" i="434"/>
  <c r="C480" i="434"/>
  <c r="AS480" i="434" s="1"/>
  <c r="P480" i="434"/>
  <c r="AS479" i="434"/>
  <c r="AJ479" i="434"/>
  <c r="S479" i="434"/>
  <c r="R479" i="434"/>
  <c r="Q479" i="434"/>
  <c r="C479" i="434"/>
  <c r="T479" i="434" s="1"/>
  <c r="P479" i="434"/>
  <c r="AJ478" i="434"/>
  <c r="S478" i="434"/>
  <c r="R478" i="434"/>
  <c r="Q478" i="434"/>
  <c r="P478" i="434"/>
  <c r="C478" i="434"/>
  <c r="AS478" i="434" s="1"/>
  <c r="U478" i="434"/>
  <c r="V478" i="434" s="1"/>
  <c r="AJ477" i="434"/>
  <c r="S477" i="434"/>
  <c r="R477" i="434"/>
  <c r="Q477" i="434"/>
  <c r="C477" i="434"/>
  <c r="AS477" i="434" s="1"/>
  <c r="U477" i="434"/>
  <c r="V477" i="434" s="1"/>
  <c r="AJ476" i="434"/>
  <c r="S476" i="434"/>
  <c r="R476" i="434"/>
  <c r="Q476" i="434"/>
  <c r="C476" i="434"/>
  <c r="AS476" i="434" s="1"/>
  <c r="P476" i="434"/>
  <c r="AS475" i="434"/>
  <c r="AJ475" i="434"/>
  <c r="S475" i="434"/>
  <c r="R475" i="434"/>
  <c r="Q475" i="434"/>
  <c r="C475" i="434"/>
  <c r="T475" i="434" s="1"/>
  <c r="P475" i="434"/>
  <c r="AJ474" i="434"/>
  <c r="S474" i="434"/>
  <c r="R474" i="434"/>
  <c r="Q474" i="434"/>
  <c r="C474" i="434"/>
  <c r="AS474" i="434" s="1"/>
  <c r="P474" i="434"/>
  <c r="AJ473" i="434"/>
  <c r="S473" i="434"/>
  <c r="R473" i="434"/>
  <c r="Q473" i="434"/>
  <c r="C473" i="434"/>
  <c r="AS473" i="434" s="1"/>
  <c r="P473" i="434"/>
  <c r="AJ472" i="434"/>
  <c r="S472" i="434"/>
  <c r="R472" i="434"/>
  <c r="Q472" i="434"/>
  <c r="C472" i="434"/>
  <c r="T472" i="434" s="1"/>
  <c r="P472" i="434"/>
  <c r="AJ471" i="434"/>
  <c r="S471" i="434"/>
  <c r="R471" i="434"/>
  <c r="Q471" i="434"/>
  <c r="C471" i="434"/>
  <c r="AS471" i="434" s="1"/>
  <c r="P471" i="434"/>
  <c r="AJ470" i="434"/>
  <c r="T470" i="434"/>
  <c r="S470" i="434"/>
  <c r="R470" i="434"/>
  <c r="Q470" i="434"/>
  <c r="C470" i="434"/>
  <c r="AS470" i="434" s="1"/>
  <c r="P470" i="434"/>
  <c r="AJ469" i="434"/>
  <c r="S469" i="434"/>
  <c r="R469" i="434"/>
  <c r="Q469" i="434"/>
  <c r="C469" i="434"/>
  <c r="AS469" i="434" s="1"/>
  <c r="U469" i="434"/>
  <c r="V469" i="434" s="1"/>
  <c r="AJ468" i="434"/>
  <c r="T468" i="434"/>
  <c r="S468" i="434"/>
  <c r="R468" i="434"/>
  <c r="Q468" i="434"/>
  <c r="C468" i="434"/>
  <c r="AS468" i="434" s="1"/>
  <c r="P468" i="434"/>
  <c r="AJ467" i="434"/>
  <c r="S467" i="434"/>
  <c r="R467" i="434"/>
  <c r="Q467" i="434"/>
  <c r="C467" i="434"/>
  <c r="AS467" i="434" s="1"/>
  <c r="P467" i="434"/>
  <c r="AJ466" i="434"/>
  <c r="S466" i="434"/>
  <c r="R466" i="434"/>
  <c r="Q466" i="434"/>
  <c r="P466" i="434"/>
  <c r="C466" i="434"/>
  <c r="AS466" i="434" s="1"/>
  <c r="U466" i="434"/>
  <c r="V466" i="434" s="1"/>
  <c r="AJ465" i="434"/>
  <c r="S465" i="434"/>
  <c r="R465" i="434"/>
  <c r="Q465" i="434"/>
  <c r="C465" i="434"/>
  <c r="AS465" i="434" s="1"/>
  <c r="P465" i="434"/>
  <c r="AJ464" i="434"/>
  <c r="S464" i="434"/>
  <c r="R464" i="434"/>
  <c r="Q464" i="434"/>
  <c r="C464" i="434"/>
  <c r="AS464" i="434" s="1"/>
  <c r="P464" i="434"/>
  <c r="AJ463" i="434"/>
  <c r="S463" i="434"/>
  <c r="R463" i="434"/>
  <c r="Q463" i="434"/>
  <c r="C463" i="434"/>
  <c r="AS463" i="434" s="1"/>
  <c r="P463" i="434"/>
  <c r="AS462" i="434"/>
  <c r="AJ462" i="434"/>
  <c r="T462" i="434"/>
  <c r="S462" i="434"/>
  <c r="R462" i="434"/>
  <c r="Q462" i="434"/>
  <c r="C462" i="434"/>
  <c r="P462" i="434"/>
  <c r="AJ461" i="434"/>
  <c r="S461" i="434"/>
  <c r="R461" i="434"/>
  <c r="Q461" i="434"/>
  <c r="C461" i="434"/>
  <c r="AS461" i="434" s="1"/>
  <c r="P461" i="434"/>
  <c r="AJ460" i="434"/>
  <c r="S460" i="434"/>
  <c r="R460" i="434"/>
  <c r="Q460" i="434"/>
  <c r="P460" i="434"/>
  <c r="C460" i="434"/>
  <c r="AS460" i="434" s="1"/>
  <c r="AJ459" i="434"/>
  <c r="T459" i="434"/>
  <c r="S459" i="434"/>
  <c r="R459" i="434"/>
  <c r="Q459" i="434"/>
  <c r="C459" i="434"/>
  <c r="AS459" i="434" s="1"/>
  <c r="P459" i="434"/>
  <c r="AS458" i="434"/>
  <c r="AJ458" i="434"/>
  <c r="T458" i="434"/>
  <c r="S458" i="434"/>
  <c r="R458" i="434"/>
  <c r="Q458" i="434"/>
  <c r="C458" i="434"/>
  <c r="P458" i="434"/>
  <c r="AJ457" i="434"/>
  <c r="S457" i="434"/>
  <c r="R457" i="434"/>
  <c r="Q457" i="434"/>
  <c r="C457" i="434"/>
  <c r="T457" i="434" s="1"/>
  <c r="P457" i="434"/>
  <c r="AJ456" i="434"/>
  <c r="S456" i="434"/>
  <c r="R456" i="434"/>
  <c r="Q456" i="434"/>
  <c r="C456" i="434"/>
  <c r="AS456" i="434" s="1"/>
  <c r="P456" i="434"/>
  <c r="AS455" i="434"/>
  <c r="AJ455" i="434"/>
  <c r="T455" i="434"/>
  <c r="S455" i="434"/>
  <c r="R455" i="434"/>
  <c r="Q455" i="434"/>
  <c r="C455" i="434"/>
  <c r="P455" i="434"/>
  <c r="AS454" i="434"/>
  <c r="AJ454" i="434"/>
  <c r="S454" i="434"/>
  <c r="R454" i="434"/>
  <c r="Q454" i="434"/>
  <c r="C454" i="434"/>
  <c r="T454" i="434" s="1"/>
  <c r="AJ453" i="434"/>
  <c r="S453" i="434"/>
  <c r="R453" i="434"/>
  <c r="Q453" i="434"/>
  <c r="C453" i="434"/>
  <c r="AS453" i="434" s="1"/>
  <c r="AJ452" i="434"/>
  <c r="T452" i="434"/>
  <c r="S452" i="434"/>
  <c r="R452" i="434"/>
  <c r="Q452" i="434"/>
  <c r="C452" i="434"/>
  <c r="AS452" i="434" s="1"/>
  <c r="U452" i="434"/>
  <c r="V452" i="434" s="1"/>
  <c r="AJ451" i="434"/>
  <c r="S451" i="434"/>
  <c r="R451" i="434"/>
  <c r="Q451" i="434"/>
  <c r="C451" i="434"/>
  <c r="AS451" i="434" s="1"/>
  <c r="AJ450" i="434"/>
  <c r="S450" i="434"/>
  <c r="R450" i="434"/>
  <c r="Q450" i="434"/>
  <c r="C450" i="434"/>
  <c r="AS450" i="434" s="1"/>
  <c r="AS449" i="434"/>
  <c r="AJ449" i="434"/>
  <c r="T449" i="434"/>
  <c r="S449" i="434"/>
  <c r="R449" i="434"/>
  <c r="Q449" i="434"/>
  <c r="C449" i="434"/>
  <c r="P449" i="434"/>
  <c r="AJ448" i="434"/>
  <c r="S448" i="434"/>
  <c r="R448" i="434"/>
  <c r="Q448" i="434"/>
  <c r="C448" i="434"/>
  <c r="AS448" i="434" s="1"/>
  <c r="U448" i="434"/>
  <c r="V448" i="434" s="1"/>
  <c r="AJ447" i="434"/>
  <c r="S447" i="434"/>
  <c r="R447" i="434"/>
  <c r="Q447" i="434"/>
  <c r="C447" i="434"/>
  <c r="T447" i="434" s="1"/>
  <c r="P447" i="434"/>
  <c r="AJ446" i="434"/>
  <c r="S446" i="434"/>
  <c r="R446" i="434"/>
  <c r="Q446" i="434"/>
  <c r="C446" i="434"/>
  <c r="AS446" i="434" s="1"/>
  <c r="U446" i="434"/>
  <c r="V446" i="434" s="1"/>
  <c r="AS445" i="434"/>
  <c r="AJ445" i="434"/>
  <c r="S445" i="434"/>
  <c r="R445" i="434"/>
  <c r="Q445" i="434"/>
  <c r="C445" i="434"/>
  <c r="T445" i="434" s="1"/>
  <c r="U445" i="434"/>
  <c r="V445" i="434" s="1"/>
  <c r="AJ444" i="434"/>
  <c r="S444" i="434"/>
  <c r="R444" i="434"/>
  <c r="Q444" i="434"/>
  <c r="C444" i="434"/>
  <c r="AS444" i="434" s="1"/>
  <c r="P444" i="434"/>
  <c r="AJ443" i="434"/>
  <c r="T443" i="434"/>
  <c r="S443" i="434"/>
  <c r="R443" i="434"/>
  <c r="Q443" i="434"/>
  <c r="C443" i="434"/>
  <c r="AS443" i="434" s="1"/>
  <c r="P443" i="434"/>
  <c r="AJ442" i="434"/>
  <c r="S442" i="434"/>
  <c r="R442" i="434"/>
  <c r="Q442" i="434"/>
  <c r="P442" i="434"/>
  <c r="C442" i="434"/>
  <c r="T442" i="434" s="1"/>
  <c r="U442" i="434"/>
  <c r="V442" i="434" s="1"/>
  <c r="AJ441" i="434"/>
  <c r="S441" i="434"/>
  <c r="R441" i="434"/>
  <c r="Q441" i="434"/>
  <c r="P441" i="434"/>
  <c r="C441" i="434"/>
  <c r="AS441" i="434" s="1"/>
  <c r="U441" i="434"/>
  <c r="V441" i="434" s="1"/>
  <c r="AJ440" i="434"/>
  <c r="S440" i="434"/>
  <c r="R440" i="434"/>
  <c r="Q440" i="434"/>
  <c r="C440" i="434"/>
  <c r="AS440" i="434" s="1"/>
  <c r="U440" i="434"/>
  <c r="V440" i="434" s="1"/>
  <c r="AJ439" i="434"/>
  <c r="S439" i="434"/>
  <c r="R439" i="434"/>
  <c r="Q439" i="434"/>
  <c r="P439" i="434"/>
  <c r="C439" i="434"/>
  <c r="AS439" i="434" s="1"/>
  <c r="U439" i="434"/>
  <c r="V439" i="434" s="1"/>
  <c r="AJ438" i="434"/>
  <c r="S438" i="434"/>
  <c r="R438" i="434"/>
  <c r="Q438" i="434"/>
  <c r="C438" i="434"/>
  <c r="AS438" i="434" s="1"/>
  <c r="P438" i="434"/>
  <c r="AJ437" i="434"/>
  <c r="S437" i="434"/>
  <c r="R437" i="434"/>
  <c r="Q437" i="434"/>
  <c r="P437" i="434"/>
  <c r="C437" i="434"/>
  <c r="AS437" i="434" s="1"/>
  <c r="U437" i="434"/>
  <c r="V437" i="434" s="1"/>
  <c r="AJ436" i="434"/>
  <c r="S436" i="434"/>
  <c r="R436" i="434"/>
  <c r="Q436" i="434"/>
  <c r="P436" i="434"/>
  <c r="C436" i="434"/>
  <c r="AS436" i="434" s="1"/>
  <c r="U436" i="434"/>
  <c r="V436" i="434" s="1"/>
  <c r="AJ435" i="434"/>
  <c r="S435" i="434"/>
  <c r="R435" i="434"/>
  <c r="Q435" i="434"/>
  <c r="C435" i="434"/>
  <c r="AS435" i="434" s="1"/>
  <c r="P435" i="434"/>
  <c r="AJ434" i="434"/>
  <c r="S434" i="434"/>
  <c r="R434" i="434"/>
  <c r="Q434" i="434"/>
  <c r="C434" i="434"/>
  <c r="AS434" i="434" s="1"/>
  <c r="P434" i="434"/>
  <c r="AJ433" i="434"/>
  <c r="S433" i="434"/>
  <c r="R433" i="434"/>
  <c r="Q433" i="434"/>
  <c r="P433" i="434"/>
  <c r="C433" i="434"/>
  <c r="AS433" i="434" s="1"/>
  <c r="U433" i="434"/>
  <c r="V433" i="434" s="1"/>
  <c r="AJ432" i="434"/>
  <c r="S432" i="434"/>
  <c r="R432" i="434"/>
  <c r="Q432" i="434"/>
  <c r="C432" i="434"/>
  <c r="AS432" i="434" s="1"/>
  <c r="U432" i="434"/>
  <c r="V432" i="434" s="1"/>
  <c r="AJ431" i="434"/>
  <c r="S431" i="434"/>
  <c r="R431" i="434"/>
  <c r="Q431" i="434"/>
  <c r="C431" i="434"/>
  <c r="T431" i="434" s="1"/>
  <c r="P431" i="434"/>
  <c r="AJ430" i="434"/>
  <c r="S430" i="434"/>
  <c r="R430" i="434"/>
  <c r="Q430" i="434"/>
  <c r="P430" i="434"/>
  <c r="C430" i="434"/>
  <c r="AS430" i="434" s="1"/>
  <c r="U430" i="434"/>
  <c r="V430" i="434" s="1"/>
  <c r="AJ429" i="434"/>
  <c r="S429" i="434"/>
  <c r="R429" i="434"/>
  <c r="Q429" i="434"/>
  <c r="P429" i="434"/>
  <c r="C429" i="434"/>
  <c r="AS429" i="434" s="1"/>
  <c r="U429" i="434"/>
  <c r="V429" i="434" s="1"/>
  <c r="AJ428" i="434"/>
  <c r="S428" i="434"/>
  <c r="R428" i="434"/>
  <c r="Q428" i="434"/>
  <c r="C428" i="434"/>
  <c r="AS428" i="434" s="1"/>
  <c r="P428" i="434"/>
  <c r="AJ427" i="434"/>
  <c r="S427" i="434"/>
  <c r="R427" i="434"/>
  <c r="Q427" i="434"/>
  <c r="C427" i="434"/>
  <c r="T427" i="434" s="1"/>
  <c r="P427" i="434"/>
  <c r="AJ426" i="434"/>
  <c r="S426" i="434"/>
  <c r="R426" i="434"/>
  <c r="Q426" i="434"/>
  <c r="C426" i="434"/>
  <c r="AS426" i="434" s="1"/>
  <c r="P426" i="434"/>
  <c r="AJ425" i="434"/>
  <c r="S425" i="434"/>
  <c r="R425" i="434"/>
  <c r="Q425" i="434"/>
  <c r="C425" i="434"/>
  <c r="AS425" i="434" s="1"/>
  <c r="P425" i="434"/>
  <c r="AJ424" i="434"/>
  <c r="S424" i="434"/>
  <c r="R424" i="434"/>
  <c r="Q424" i="434"/>
  <c r="C424" i="434"/>
  <c r="T424" i="434" s="1"/>
  <c r="P424" i="434"/>
  <c r="AJ423" i="434"/>
  <c r="S423" i="434"/>
  <c r="R423" i="434"/>
  <c r="Q423" i="434"/>
  <c r="C423" i="434"/>
  <c r="AS423" i="434" s="1"/>
  <c r="P423" i="434"/>
  <c r="AJ422" i="434"/>
  <c r="S422" i="434"/>
  <c r="R422" i="434"/>
  <c r="Q422" i="434"/>
  <c r="C422" i="434"/>
  <c r="AS422" i="434" s="1"/>
  <c r="P422" i="434"/>
  <c r="AJ421" i="434"/>
  <c r="S421" i="434"/>
  <c r="R421" i="434"/>
  <c r="Q421" i="434"/>
  <c r="C421" i="434"/>
  <c r="AS421" i="434" s="1"/>
  <c r="P421" i="434"/>
  <c r="AJ420" i="434"/>
  <c r="S420" i="434"/>
  <c r="R420" i="434"/>
  <c r="Q420" i="434"/>
  <c r="C420" i="434"/>
  <c r="AS420" i="434" s="1"/>
  <c r="P420" i="434"/>
  <c r="AJ419" i="434"/>
  <c r="S419" i="434"/>
  <c r="R419" i="434"/>
  <c r="Q419" i="434"/>
  <c r="C419" i="434"/>
  <c r="AS419" i="434" s="1"/>
  <c r="P419" i="434"/>
  <c r="AJ418" i="434"/>
  <c r="S418" i="434"/>
  <c r="R418" i="434"/>
  <c r="Q418" i="434"/>
  <c r="C418" i="434"/>
  <c r="AS418" i="434" s="1"/>
  <c r="P418" i="434"/>
  <c r="AJ417" i="434"/>
  <c r="S417" i="434"/>
  <c r="R417" i="434"/>
  <c r="Q417" i="434"/>
  <c r="C417" i="434"/>
  <c r="AS417" i="434" s="1"/>
  <c r="P417" i="434"/>
  <c r="AJ416" i="434"/>
  <c r="S416" i="434"/>
  <c r="R416" i="434"/>
  <c r="Q416" i="434"/>
  <c r="P416" i="434"/>
  <c r="C416" i="434"/>
  <c r="AS416" i="434" s="1"/>
  <c r="U416" i="434"/>
  <c r="V416" i="434" s="1"/>
  <c r="AJ415" i="434"/>
  <c r="S415" i="434"/>
  <c r="R415" i="434"/>
  <c r="Q415" i="434"/>
  <c r="C415" i="434"/>
  <c r="AS415" i="434" s="1"/>
  <c r="P415" i="434"/>
  <c r="AS414" i="434"/>
  <c r="AJ414" i="434"/>
  <c r="T414" i="434"/>
  <c r="S414" i="434"/>
  <c r="R414" i="434"/>
  <c r="Q414" i="434"/>
  <c r="C414" i="434"/>
  <c r="P414" i="434"/>
  <c r="AS413" i="434"/>
  <c r="AJ413" i="434"/>
  <c r="T413" i="434"/>
  <c r="S413" i="434"/>
  <c r="R413" i="434"/>
  <c r="Q413" i="434"/>
  <c r="C413" i="434"/>
  <c r="P413" i="434"/>
  <c r="AJ412" i="434"/>
  <c r="S412" i="434"/>
  <c r="R412" i="434"/>
  <c r="Q412" i="434"/>
  <c r="P412" i="434"/>
  <c r="C412" i="434"/>
  <c r="AS412" i="434" s="1"/>
  <c r="U412" i="434"/>
  <c r="V412" i="434" s="1"/>
  <c r="AJ411" i="434"/>
  <c r="T411" i="434"/>
  <c r="S411" i="434"/>
  <c r="R411" i="434"/>
  <c r="Q411" i="434"/>
  <c r="C411" i="434"/>
  <c r="AS411" i="434" s="1"/>
  <c r="P411" i="434"/>
  <c r="AJ410" i="434"/>
  <c r="S410" i="434"/>
  <c r="R410" i="434"/>
  <c r="Q410" i="434"/>
  <c r="C410" i="434"/>
  <c r="AS410" i="434" s="1"/>
  <c r="P410" i="434"/>
  <c r="AJ409" i="434"/>
  <c r="S409" i="434"/>
  <c r="R409" i="434"/>
  <c r="Q409" i="434"/>
  <c r="P409" i="434"/>
  <c r="C409" i="434"/>
  <c r="T409" i="434" s="1"/>
  <c r="U409" i="434"/>
  <c r="V409" i="434" s="1"/>
  <c r="AJ408" i="434"/>
  <c r="T408" i="434"/>
  <c r="S408" i="434"/>
  <c r="R408" i="434"/>
  <c r="Q408" i="434"/>
  <c r="C408" i="434"/>
  <c r="AS408" i="434" s="1"/>
  <c r="P408" i="434"/>
  <c r="AJ407" i="434"/>
  <c r="S407" i="434"/>
  <c r="R407" i="434"/>
  <c r="Q407" i="434"/>
  <c r="C407" i="434"/>
  <c r="AS407" i="434" s="1"/>
  <c r="P407" i="434"/>
  <c r="AJ406" i="434"/>
  <c r="S406" i="434"/>
  <c r="R406" i="434"/>
  <c r="Q406" i="434"/>
  <c r="C406" i="434"/>
  <c r="T406" i="434" s="1"/>
  <c r="AJ405" i="434"/>
  <c r="S405" i="434"/>
  <c r="R405" i="434"/>
  <c r="Q405" i="434"/>
  <c r="C405" i="434"/>
  <c r="AS405" i="434" s="1"/>
  <c r="AJ404" i="434"/>
  <c r="S404" i="434"/>
  <c r="R404" i="434"/>
  <c r="Q404" i="434"/>
  <c r="P404" i="434"/>
  <c r="C404" i="434"/>
  <c r="AS404" i="434" s="1"/>
  <c r="U404" i="434"/>
  <c r="V404" i="434" s="1"/>
  <c r="AJ403" i="434"/>
  <c r="S403" i="434"/>
  <c r="R403" i="434"/>
  <c r="Q403" i="434"/>
  <c r="C403" i="434"/>
  <c r="AS403" i="434" s="1"/>
  <c r="AJ402" i="434"/>
  <c r="S402" i="434"/>
  <c r="R402" i="434"/>
  <c r="Q402" i="434"/>
  <c r="C402" i="434"/>
  <c r="AS402" i="434" s="1"/>
  <c r="AJ401" i="434"/>
  <c r="S401" i="434"/>
  <c r="R401" i="434"/>
  <c r="Q401" i="434"/>
  <c r="C401" i="434"/>
  <c r="AS401" i="434" s="1"/>
  <c r="AJ400" i="434"/>
  <c r="S400" i="434"/>
  <c r="R400" i="434"/>
  <c r="Q400" i="434"/>
  <c r="P400" i="434"/>
  <c r="C400" i="434"/>
  <c r="AS400" i="434" s="1"/>
  <c r="U400" i="434"/>
  <c r="V400" i="434" s="1"/>
  <c r="AJ399" i="434"/>
  <c r="S399" i="434"/>
  <c r="R399" i="434"/>
  <c r="Q399" i="434"/>
  <c r="C399" i="434"/>
  <c r="T399" i="434" s="1"/>
  <c r="P399" i="434"/>
  <c r="AJ398" i="434"/>
  <c r="S398" i="434"/>
  <c r="R398" i="434"/>
  <c r="Q398" i="434"/>
  <c r="C398" i="434"/>
  <c r="AS398" i="434" s="1"/>
  <c r="U398" i="434"/>
  <c r="V398" i="434" s="1"/>
  <c r="AS397" i="434"/>
  <c r="AJ397" i="434"/>
  <c r="T397" i="434"/>
  <c r="S397" i="434"/>
  <c r="R397" i="434"/>
  <c r="Q397" i="434"/>
  <c r="P397" i="434"/>
  <c r="C397" i="434"/>
  <c r="U397" i="434"/>
  <c r="V397" i="434" s="1"/>
  <c r="AJ396" i="434"/>
  <c r="S396" i="434"/>
  <c r="R396" i="434"/>
  <c r="Q396" i="434"/>
  <c r="C396" i="434"/>
  <c r="AS396" i="434" s="1"/>
  <c r="P396" i="434"/>
  <c r="AJ395" i="434"/>
  <c r="S395" i="434"/>
  <c r="R395" i="434"/>
  <c r="Q395" i="434"/>
  <c r="C395" i="434"/>
  <c r="AS395" i="434" s="1"/>
  <c r="P395" i="434"/>
  <c r="AJ394" i="434"/>
  <c r="S394" i="434"/>
  <c r="R394" i="434"/>
  <c r="Q394" i="434"/>
  <c r="C394" i="434"/>
  <c r="AS394" i="434" s="1"/>
  <c r="P394" i="434"/>
  <c r="AJ393" i="434"/>
  <c r="S393" i="434"/>
  <c r="R393" i="434"/>
  <c r="Q393" i="434"/>
  <c r="P393" i="434"/>
  <c r="C393" i="434"/>
  <c r="AS393" i="434" s="1"/>
  <c r="U393" i="434"/>
  <c r="V393" i="434" s="1"/>
  <c r="AJ392" i="434"/>
  <c r="S392" i="434"/>
  <c r="R392" i="434"/>
  <c r="Q392" i="434"/>
  <c r="C392" i="434"/>
  <c r="AS392" i="434" s="1"/>
  <c r="U392" i="434"/>
  <c r="V392" i="434" s="1"/>
  <c r="AJ391" i="434"/>
  <c r="S391" i="434"/>
  <c r="R391" i="434"/>
  <c r="Q391" i="434"/>
  <c r="P391" i="434"/>
  <c r="C391" i="434"/>
  <c r="AS391" i="434" s="1"/>
  <c r="U391" i="434"/>
  <c r="V391" i="434" s="1"/>
  <c r="AJ390" i="434"/>
  <c r="S390" i="434"/>
  <c r="R390" i="434"/>
  <c r="Q390" i="434"/>
  <c r="C390" i="434"/>
  <c r="AS390" i="434" s="1"/>
  <c r="P390" i="434"/>
  <c r="AS389" i="434"/>
  <c r="AJ389" i="434"/>
  <c r="T389" i="434"/>
  <c r="S389" i="434"/>
  <c r="R389" i="434"/>
  <c r="Q389" i="434"/>
  <c r="C389" i="434"/>
  <c r="P389" i="434"/>
  <c r="AJ388" i="434"/>
  <c r="S388" i="434"/>
  <c r="R388" i="434"/>
  <c r="Q388" i="434"/>
  <c r="C388" i="434"/>
  <c r="AS388" i="434" s="1"/>
  <c r="P388" i="434"/>
  <c r="AJ387" i="434"/>
  <c r="S387" i="434"/>
  <c r="R387" i="434"/>
  <c r="Q387" i="434"/>
  <c r="C387" i="434"/>
  <c r="AS387" i="434" s="1"/>
  <c r="P387" i="434"/>
  <c r="AJ386" i="434"/>
  <c r="S386" i="434"/>
  <c r="R386" i="434"/>
  <c r="Q386" i="434"/>
  <c r="C386" i="434"/>
  <c r="AS386" i="434" s="1"/>
  <c r="P386" i="434"/>
  <c r="AJ385" i="434"/>
  <c r="S385" i="434"/>
  <c r="R385" i="434"/>
  <c r="Q385" i="434"/>
  <c r="C385" i="434"/>
  <c r="AS385" i="434" s="1"/>
  <c r="U385" i="434"/>
  <c r="V385" i="434" s="1"/>
  <c r="AJ384" i="434"/>
  <c r="S384" i="434"/>
  <c r="R384" i="434"/>
  <c r="Q384" i="434"/>
  <c r="P384" i="434"/>
  <c r="C384" i="434"/>
  <c r="AS384" i="434" s="1"/>
  <c r="U384" i="434"/>
  <c r="V384" i="434" s="1"/>
  <c r="AJ383" i="434"/>
  <c r="S383" i="434"/>
  <c r="R383" i="434"/>
  <c r="Q383" i="434"/>
  <c r="C383" i="434"/>
  <c r="T383" i="434" s="1"/>
  <c r="P383" i="434"/>
  <c r="AJ382" i="434"/>
  <c r="S382" i="434"/>
  <c r="R382" i="434"/>
  <c r="Q382" i="434"/>
  <c r="P382" i="434"/>
  <c r="C382" i="434"/>
  <c r="AS382" i="434" s="1"/>
  <c r="U382" i="434"/>
  <c r="V382" i="434" s="1"/>
  <c r="AJ381" i="434"/>
  <c r="T381" i="434"/>
  <c r="S381" i="434"/>
  <c r="R381" i="434"/>
  <c r="Q381" i="434"/>
  <c r="C381" i="434"/>
  <c r="AS381" i="434" s="1"/>
  <c r="P381" i="434"/>
  <c r="AJ380" i="434"/>
  <c r="S380" i="434"/>
  <c r="R380" i="434"/>
  <c r="Q380" i="434"/>
  <c r="C380" i="434"/>
  <c r="AS380" i="434" s="1"/>
  <c r="P380" i="434"/>
  <c r="AJ379" i="434"/>
  <c r="S379" i="434"/>
  <c r="R379" i="434"/>
  <c r="Q379" i="434"/>
  <c r="C379" i="434"/>
  <c r="T379" i="434" s="1"/>
  <c r="P379" i="434"/>
  <c r="AJ378" i="434"/>
  <c r="S378" i="434"/>
  <c r="R378" i="434"/>
  <c r="Q378" i="434"/>
  <c r="C378" i="434"/>
  <c r="AS378" i="434" s="1"/>
  <c r="P378" i="434"/>
  <c r="AJ377" i="434"/>
  <c r="T377" i="434"/>
  <c r="S377" i="434"/>
  <c r="R377" i="434"/>
  <c r="Q377" i="434"/>
  <c r="P377" i="434"/>
  <c r="C377" i="434"/>
  <c r="AS377" i="434" s="1"/>
  <c r="AJ376" i="434"/>
  <c r="S376" i="434"/>
  <c r="R376" i="434"/>
  <c r="Q376" i="434"/>
  <c r="C376" i="434"/>
  <c r="T376" i="434" s="1"/>
  <c r="P376" i="434"/>
  <c r="AJ375" i="434"/>
  <c r="S375" i="434"/>
  <c r="R375" i="434"/>
  <c r="Q375" i="434"/>
  <c r="C375" i="434"/>
  <c r="AS375" i="434" s="1"/>
  <c r="P375" i="434"/>
  <c r="AJ374" i="434"/>
  <c r="T374" i="434"/>
  <c r="S374" i="434"/>
  <c r="R374" i="434"/>
  <c r="Q374" i="434"/>
  <c r="C374" i="434"/>
  <c r="AS374" i="434" s="1"/>
  <c r="P374" i="434"/>
  <c r="AS373" i="434"/>
  <c r="AJ373" i="434"/>
  <c r="S373" i="434"/>
  <c r="R373" i="434"/>
  <c r="Q373" i="434"/>
  <c r="P373" i="434"/>
  <c r="C373" i="434"/>
  <c r="T373" i="434" s="1"/>
  <c r="AJ372" i="434"/>
  <c r="S372" i="434"/>
  <c r="R372" i="434"/>
  <c r="Q372" i="434"/>
  <c r="C372" i="434"/>
  <c r="AS372" i="434" s="1"/>
  <c r="P372" i="434"/>
  <c r="AJ371" i="434"/>
  <c r="S371" i="434"/>
  <c r="R371" i="434"/>
  <c r="Q371" i="434"/>
  <c r="C371" i="434"/>
  <c r="AS371" i="434" s="1"/>
  <c r="P371" i="434"/>
  <c r="AS370" i="434"/>
  <c r="AJ370" i="434"/>
  <c r="T370" i="434"/>
  <c r="S370" i="434"/>
  <c r="R370" i="434"/>
  <c r="Q370" i="434"/>
  <c r="C370" i="434"/>
  <c r="U370" i="434"/>
  <c r="V370" i="434" s="1"/>
  <c r="AJ369" i="434"/>
  <c r="S369" i="434"/>
  <c r="R369" i="434"/>
  <c r="Q369" i="434"/>
  <c r="C369" i="434"/>
  <c r="AS369" i="434" s="1"/>
  <c r="P369" i="434"/>
  <c r="AJ368" i="434"/>
  <c r="S368" i="434"/>
  <c r="R368" i="434"/>
  <c r="Q368" i="434"/>
  <c r="C368" i="434"/>
  <c r="AS368" i="434" s="1"/>
  <c r="U368" i="434"/>
  <c r="V368" i="434" s="1"/>
  <c r="AJ367" i="434"/>
  <c r="S367" i="434"/>
  <c r="R367" i="434"/>
  <c r="Q367" i="434"/>
  <c r="C367" i="434"/>
  <c r="AS367" i="434" s="1"/>
  <c r="P367" i="434"/>
  <c r="AS366" i="434"/>
  <c r="AJ366" i="434"/>
  <c r="T366" i="434"/>
  <c r="S366" i="434"/>
  <c r="R366" i="434"/>
  <c r="Q366" i="434"/>
  <c r="C366" i="434"/>
  <c r="P366" i="434"/>
  <c r="AS365" i="434"/>
  <c r="AJ365" i="434"/>
  <c r="S365" i="434"/>
  <c r="R365" i="434"/>
  <c r="Q365" i="434"/>
  <c r="C365" i="434"/>
  <c r="T365" i="434" s="1"/>
  <c r="P365" i="434"/>
  <c r="AJ364" i="434"/>
  <c r="S364" i="434"/>
  <c r="R364" i="434"/>
  <c r="Q364" i="434"/>
  <c r="P364" i="434"/>
  <c r="C364" i="434"/>
  <c r="AS364" i="434" s="1"/>
  <c r="U364" i="434"/>
  <c r="V364" i="434" s="1"/>
  <c r="AJ363" i="434"/>
  <c r="S363" i="434"/>
  <c r="R363" i="434"/>
  <c r="Q363" i="434"/>
  <c r="C363" i="434"/>
  <c r="AS363" i="434" s="1"/>
  <c r="P363" i="434"/>
  <c r="AS362" i="434"/>
  <c r="AJ362" i="434"/>
  <c r="T362" i="434"/>
  <c r="S362" i="434"/>
  <c r="R362" i="434"/>
  <c r="Q362" i="434"/>
  <c r="C362" i="434"/>
  <c r="P362" i="434"/>
  <c r="AS361" i="434"/>
  <c r="AJ361" i="434"/>
  <c r="S361" i="434"/>
  <c r="R361" i="434"/>
  <c r="Q361" i="434"/>
  <c r="C361" i="434"/>
  <c r="T361" i="434" s="1"/>
  <c r="U361" i="434"/>
  <c r="V361" i="434" s="1"/>
  <c r="AJ360" i="434"/>
  <c r="T360" i="434"/>
  <c r="S360" i="434"/>
  <c r="R360" i="434"/>
  <c r="Q360" i="434"/>
  <c r="C360" i="434"/>
  <c r="AS360" i="434" s="1"/>
  <c r="AJ359" i="434"/>
  <c r="T359" i="434"/>
  <c r="S359" i="434"/>
  <c r="R359" i="434"/>
  <c r="Q359" i="434"/>
  <c r="C359" i="434"/>
  <c r="AS359" i="434" s="1"/>
  <c r="P359" i="434"/>
  <c r="AJ358" i="434"/>
  <c r="S358" i="434"/>
  <c r="R358" i="434"/>
  <c r="Q358" i="434"/>
  <c r="C358" i="434"/>
  <c r="T358" i="434" s="1"/>
  <c r="AJ357" i="434"/>
  <c r="S357" i="434"/>
  <c r="R357" i="434"/>
  <c r="Q357" i="434"/>
  <c r="C357" i="434"/>
  <c r="AS357" i="434" s="1"/>
  <c r="AS356" i="434"/>
  <c r="AJ356" i="434"/>
  <c r="T356" i="434"/>
  <c r="S356" i="434"/>
  <c r="R356" i="434"/>
  <c r="Q356" i="434"/>
  <c r="C356" i="434"/>
  <c r="P356" i="434"/>
  <c r="AJ355" i="434"/>
  <c r="S355" i="434"/>
  <c r="R355" i="434"/>
  <c r="Q355" i="434"/>
  <c r="C355" i="434"/>
  <c r="AS355" i="434" s="1"/>
  <c r="AJ354" i="434"/>
  <c r="T354" i="434"/>
  <c r="S354" i="434"/>
  <c r="R354" i="434"/>
  <c r="Q354" i="434"/>
  <c r="C354" i="434"/>
  <c r="AS354" i="434" s="1"/>
  <c r="AJ353" i="434"/>
  <c r="S353" i="434"/>
  <c r="R353" i="434"/>
  <c r="Q353" i="434"/>
  <c r="C353" i="434"/>
  <c r="AS353" i="434" s="1"/>
  <c r="AJ352" i="434"/>
  <c r="S352" i="434"/>
  <c r="R352" i="434"/>
  <c r="Q352" i="434"/>
  <c r="C352" i="434"/>
  <c r="AS352" i="434" s="1"/>
  <c r="U352" i="434"/>
  <c r="V352" i="434" s="1"/>
  <c r="AS351" i="434"/>
  <c r="AJ351" i="434"/>
  <c r="S351" i="434"/>
  <c r="R351" i="434"/>
  <c r="Q351" i="434"/>
  <c r="C351" i="434"/>
  <c r="T351" i="434" s="1"/>
  <c r="P351" i="434"/>
  <c r="AJ350" i="434"/>
  <c r="S350" i="434"/>
  <c r="R350" i="434"/>
  <c r="Q350" i="434"/>
  <c r="P350" i="434"/>
  <c r="C350" i="434"/>
  <c r="AS350" i="434" s="1"/>
  <c r="U350" i="434"/>
  <c r="V350" i="434" s="1"/>
  <c r="AJ349" i="434"/>
  <c r="S349" i="434"/>
  <c r="R349" i="434"/>
  <c r="Q349" i="434"/>
  <c r="C349" i="434"/>
  <c r="AS349" i="434" s="1"/>
  <c r="P349" i="434"/>
  <c r="AS348" i="434"/>
  <c r="AJ348" i="434"/>
  <c r="T348" i="434"/>
  <c r="S348" i="434"/>
  <c r="R348" i="434"/>
  <c r="Q348" i="434"/>
  <c r="C348" i="434"/>
  <c r="P348" i="434"/>
  <c r="AJ347" i="434"/>
  <c r="S347" i="434"/>
  <c r="R347" i="434"/>
  <c r="Q347" i="434"/>
  <c r="C347" i="434"/>
  <c r="AS347" i="434" s="1"/>
  <c r="P347" i="434"/>
  <c r="AJ346" i="434"/>
  <c r="S346" i="434"/>
  <c r="R346" i="434"/>
  <c r="Q346" i="434"/>
  <c r="C346" i="434"/>
  <c r="AS346" i="434" s="1"/>
  <c r="P346" i="434"/>
  <c r="AJ345" i="434"/>
  <c r="S345" i="434"/>
  <c r="R345" i="434"/>
  <c r="Q345" i="434"/>
  <c r="P345" i="434"/>
  <c r="C345" i="434"/>
  <c r="AS345" i="434" s="1"/>
  <c r="U345" i="434"/>
  <c r="V345" i="434" s="1"/>
  <c r="AJ344" i="434"/>
  <c r="T344" i="434"/>
  <c r="S344" i="434"/>
  <c r="R344" i="434"/>
  <c r="Q344" i="434"/>
  <c r="C344" i="434"/>
  <c r="AS344" i="434" s="1"/>
  <c r="P344" i="434"/>
  <c r="AJ343" i="434"/>
  <c r="S343" i="434"/>
  <c r="R343" i="434"/>
  <c r="Q343" i="434"/>
  <c r="C343" i="434"/>
  <c r="AS343" i="434" s="1"/>
  <c r="P343" i="434"/>
  <c r="AJ342" i="434"/>
  <c r="S342" i="434"/>
  <c r="R342" i="434"/>
  <c r="Q342" i="434"/>
  <c r="C342" i="434"/>
  <c r="AS342" i="434" s="1"/>
  <c r="P342" i="434"/>
  <c r="AS341" i="434"/>
  <c r="AJ341" i="434"/>
  <c r="T341" i="434"/>
  <c r="S341" i="434"/>
  <c r="R341" i="434"/>
  <c r="Q341" i="434"/>
  <c r="C341" i="434"/>
  <c r="P341" i="434"/>
  <c r="AJ340" i="434"/>
  <c r="S340" i="434"/>
  <c r="R340" i="434"/>
  <c r="Q340" i="434"/>
  <c r="C340" i="434"/>
  <c r="AS340" i="434" s="1"/>
  <c r="U340" i="434"/>
  <c r="V340" i="434" s="1"/>
  <c r="AJ339" i="434"/>
  <c r="S339" i="434"/>
  <c r="R339" i="434"/>
  <c r="Q339" i="434"/>
  <c r="C339" i="434"/>
  <c r="AS339" i="434" s="1"/>
  <c r="P339" i="434"/>
  <c r="AJ338" i="434"/>
  <c r="T338" i="434"/>
  <c r="S338" i="434"/>
  <c r="R338" i="434"/>
  <c r="Q338" i="434"/>
  <c r="C338" i="434"/>
  <c r="AS338" i="434" s="1"/>
  <c r="P338" i="434"/>
  <c r="AJ337" i="434"/>
  <c r="T337" i="434"/>
  <c r="S337" i="434"/>
  <c r="R337" i="434"/>
  <c r="Q337" i="434"/>
  <c r="P337" i="434"/>
  <c r="C337" i="434"/>
  <c r="AS337" i="434" s="1"/>
  <c r="U337" i="434"/>
  <c r="V337" i="434" s="1"/>
  <c r="AJ336" i="434"/>
  <c r="S336" i="434"/>
  <c r="R336" i="434"/>
  <c r="Q336" i="434"/>
  <c r="C336" i="434"/>
  <c r="AS336" i="434" s="1"/>
  <c r="P336" i="434"/>
  <c r="AJ335" i="434"/>
  <c r="S335" i="434"/>
  <c r="R335" i="434"/>
  <c r="Q335" i="434"/>
  <c r="C335" i="434"/>
  <c r="AS335" i="434" s="1"/>
  <c r="P335" i="434"/>
  <c r="AJ334" i="434"/>
  <c r="S334" i="434"/>
  <c r="R334" i="434"/>
  <c r="Q334" i="434"/>
  <c r="C334" i="434"/>
  <c r="AS334" i="434" s="1"/>
  <c r="P334" i="434"/>
  <c r="AJ333" i="434"/>
  <c r="S333" i="434"/>
  <c r="R333" i="434"/>
  <c r="Q333" i="434"/>
  <c r="C333" i="434"/>
  <c r="AS333" i="434" s="1"/>
  <c r="U333" i="434"/>
  <c r="V333" i="434" s="1"/>
  <c r="AJ332" i="434"/>
  <c r="S332" i="434"/>
  <c r="R332" i="434"/>
  <c r="Q332" i="434"/>
  <c r="C332" i="434"/>
  <c r="AS332" i="434" s="1"/>
  <c r="P332" i="434"/>
  <c r="AJ331" i="434"/>
  <c r="S331" i="434"/>
  <c r="R331" i="434"/>
  <c r="Q331" i="434"/>
  <c r="C331" i="434"/>
  <c r="T331" i="434" s="1"/>
  <c r="P331" i="434"/>
  <c r="AJ330" i="434"/>
  <c r="S330" i="434"/>
  <c r="R330" i="434"/>
  <c r="Q330" i="434"/>
  <c r="C330" i="434"/>
  <c r="AS330" i="434" s="1"/>
  <c r="P330" i="434"/>
  <c r="AJ329" i="434"/>
  <c r="S329" i="434"/>
  <c r="R329" i="434"/>
  <c r="Q329" i="434"/>
  <c r="C329" i="434"/>
  <c r="AS329" i="434" s="1"/>
  <c r="U329" i="434"/>
  <c r="V329" i="434" s="1"/>
  <c r="AS328" i="434"/>
  <c r="AJ328" i="434"/>
  <c r="S328" i="434"/>
  <c r="R328" i="434"/>
  <c r="Q328" i="434"/>
  <c r="C328" i="434"/>
  <c r="T328" i="434" s="1"/>
  <c r="P328" i="434"/>
  <c r="AJ327" i="434"/>
  <c r="S327" i="434"/>
  <c r="R327" i="434"/>
  <c r="Q327" i="434"/>
  <c r="C327" i="434"/>
  <c r="AS327" i="434" s="1"/>
  <c r="P327" i="434"/>
  <c r="AJ326" i="434"/>
  <c r="S326" i="434"/>
  <c r="R326" i="434"/>
  <c r="Q326" i="434"/>
  <c r="C326" i="434"/>
  <c r="AS326" i="434" s="1"/>
  <c r="P326" i="434"/>
  <c r="AS325" i="434"/>
  <c r="AJ325" i="434"/>
  <c r="S325" i="434"/>
  <c r="R325" i="434"/>
  <c r="Q325" i="434"/>
  <c r="P325" i="434"/>
  <c r="C325" i="434"/>
  <c r="T325" i="434" s="1"/>
  <c r="U325" i="434"/>
  <c r="V325" i="434" s="1"/>
  <c r="AJ324" i="434"/>
  <c r="T324" i="434"/>
  <c r="S324" i="434"/>
  <c r="R324" i="434"/>
  <c r="Q324" i="434"/>
  <c r="C324" i="434"/>
  <c r="AS324" i="434" s="1"/>
  <c r="P324" i="434"/>
  <c r="AJ323" i="434"/>
  <c r="S323" i="434"/>
  <c r="R323" i="434"/>
  <c r="Q323" i="434"/>
  <c r="C323" i="434"/>
  <c r="AS323" i="434" s="1"/>
  <c r="P323" i="434"/>
  <c r="AJ322" i="434"/>
  <c r="T322" i="434"/>
  <c r="S322" i="434"/>
  <c r="R322" i="434"/>
  <c r="Q322" i="434"/>
  <c r="C322" i="434"/>
  <c r="AS322" i="434" s="1"/>
  <c r="U322" i="434"/>
  <c r="V322" i="434" s="1"/>
  <c r="AJ321" i="434"/>
  <c r="S321" i="434"/>
  <c r="R321" i="434"/>
  <c r="Q321" i="434"/>
  <c r="C321" i="434"/>
  <c r="AS321" i="434" s="1"/>
  <c r="P321" i="434"/>
  <c r="AJ320" i="434"/>
  <c r="S320" i="434"/>
  <c r="R320" i="434"/>
  <c r="Q320" i="434"/>
  <c r="C320" i="434"/>
  <c r="AS320" i="434" s="1"/>
  <c r="U320" i="434"/>
  <c r="V320" i="434" s="1"/>
  <c r="AJ319" i="434"/>
  <c r="S319" i="434"/>
  <c r="R319" i="434"/>
  <c r="Q319" i="434"/>
  <c r="C319" i="434"/>
  <c r="AS319" i="434" s="1"/>
  <c r="P319" i="434"/>
  <c r="AS318" i="434"/>
  <c r="AJ318" i="434"/>
  <c r="T318" i="434"/>
  <c r="S318" i="434"/>
  <c r="R318" i="434"/>
  <c r="Q318" i="434"/>
  <c r="C318" i="434"/>
  <c r="P318" i="434"/>
  <c r="AJ317" i="434"/>
  <c r="S317" i="434"/>
  <c r="R317" i="434"/>
  <c r="Q317" i="434"/>
  <c r="C317" i="434"/>
  <c r="AS317" i="434" s="1"/>
  <c r="P317" i="434"/>
  <c r="AJ316" i="434"/>
  <c r="S316" i="434"/>
  <c r="R316" i="434"/>
  <c r="Q316" i="434"/>
  <c r="C316" i="434"/>
  <c r="AS316" i="434" s="1"/>
  <c r="U316" i="434"/>
  <c r="V316" i="434" s="1"/>
  <c r="AJ315" i="434"/>
  <c r="S315" i="434"/>
  <c r="R315" i="434"/>
  <c r="Q315" i="434"/>
  <c r="C315" i="434"/>
  <c r="AS315" i="434" s="1"/>
  <c r="P315" i="434"/>
  <c r="AJ314" i="434"/>
  <c r="T314" i="434"/>
  <c r="S314" i="434"/>
  <c r="R314" i="434"/>
  <c r="Q314" i="434"/>
  <c r="C314" i="434"/>
  <c r="AS314" i="434" s="1"/>
  <c r="P314" i="434"/>
  <c r="AJ313" i="434"/>
  <c r="S313" i="434"/>
  <c r="R313" i="434"/>
  <c r="Q313" i="434"/>
  <c r="C313" i="434"/>
  <c r="T313" i="434" s="1"/>
  <c r="U313" i="434"/>
  <c r="V313" i="434" s="1"/>
  <c r="AJ312" i="434"/>
  <c r="T312" i="434"/>
  <c r="S312" i="434"/>
  <c r="R312" i="434"/>
  <c r="Q312" i="434"/>
  <c r="C312" i="434"/>
  <c r="AS312" i="434" s="1"/>
  <c r="AJ311" i="434"/>
  <c r="T311" i="434"/>
  <c r="S311" i="434"/>
  <c r="R311" i="434"/>
  <c r="Q311" i="434"/>
  <c r="C311" i="434"/>
  <c r="AS311" i="434" s="1"/>
  <c r="P311" i="434"/>
  <c r="AS310" i="434"/>
  <c r="AJ310" i="434"/>
  <c r="S310" i="434"/>
  <c r="R310" i="434"/>
  <c r="Q310" i="434"/>
  <c r="C310" i="434"/>
  <c r="T310" i="434" s="1"/>
  <c r="P310" i="434"/>
  <c r="AJ309" i="434"/>
  <c r="S309" i="434"/>
  <c r="R309" i="434"/>
  <c r="Q309" i="434"/>
  <c r="C309" i="434"/>
  <c r="AS309" i="434" s="1"/>
  <c r="AJ308" i="434"/>
  <c r="S308" i="434"/>
  <c r="R308" i="434"/>
  <c r="Q308" i="434"/>
  <c r="C308" i="434"/>
  <c r="AS308" i="434" s="1"/>
  <c r="U308" i="434"/>
  <c r="V308" i="434" s="1"/>
  <c r="AJ307" i="434"/>
  <c r="S307" i="434"/>
  <c r="R307" i="434"/>
  <c r="Q307" i="434"/>
  <c r="C307" i="434"/>
  <c r="AS307" i="434" s="1"/>
  <c r="AJ306" i="434"/>
  <c r="S306" i="434"/>
  <c r="R306" i="434"/>
  <c r="Q306" i="434"/>
  <c r="C306" i="434"/>
  <c r="AS306" i="434" s="1"/>
  <c r="AJ305" i="434"/>
  <c r="S305" i="434"/>
  <c r="R305" i="434"/>
  <c r="Q305" i="434"/>
  <c r="C305" i="434"/>
  <c r="AS305" i="434" s="1"/>
  <c r="AJ304" i="434"/>
  <c r="S304" i="434"/>
  <c r="R304" i="434"/>
  <c r="Q304" i="434"/>
  <c r="P304" i="434"/>
  <c r="C304" i="434"/>
  <c r="AS304" i="434" s="1"/>
  <c r="U304" i="434"/>
  <c r="V304" i="434" s="1"/>
  <c r="AJ303" i="434"/>
  <c r="S303" i="434"/>
  <c r="R303" i="434"/>
  <c r="Q303" i="434"/>
  <c r="C303" i="434"/>
  <c r="T303" i="434" s="1"/>
  <c r="P303" i="434"/>
  <c r="AJ302" i="434"/>
  <c r="S302" i="434"/>
  <c r="R302" i="434"/>
  <c r="Q302" i="434"/>
  <c r="C302" i="434"/>
  <c r="AS302" i="434" s="1"/>
  <c r="P302" i="434"/>
  <c r="AS301" i="434"/>
  <c r="AJ301" i="434"/>
  <c r="S301" i="434"/>
  <c r="R301" i="434"/>
  <c r="Q301" i="434"/>
  <c r="P301" i="434"/>
  <c r="C301" i="434"/>
  <c r="T301" i="434" s="1"/>
  <c r="U301" i="434"/>
  <c r="V301" i="434" s="1"/>
  <c r="AS300" i="434"/>
  <c r="AJ300" i="434"/>
  <c r="T300" i="434"/>
  <c r="S300" i="434"/>
  <c r="R300" i="434"/>
  <c r="Q300" i="434"/>
  <c r="C300" i="434"/>
  <c r="P300" i="434"/>
  <c r="AJ299" i="434"/>
  <c r="S299" i="434"/>
  <c r="R299" i="434"/>
  <c r="Q299" i="434"/>
  <c r="C299" i="434"/>
  <c r="AS299" i="434" s="1"/>
  <c r="P299" i="434"/>
  <c r="AJ298" i="434"/>
  <c r="S298" i="434"/>
  <c r="R298" i="434"/>
  <c r="Q298" i="434"/>
  <c r="C298" i="434"/>
  <c r="AS298" i="434" s="1"/>
  <c r="P298" i="434"/>
  <c r="AJ297" i="434"/>
  <c r="S297" i="434"/>
  <c r="R297" i="434"/>
  <c r="Q297" i="434"/>
  <c r="C297" i="434"/>
  <c r="AS297" i="434" s="1"/>
  <c r="P297" i="434"/>
  <c r="AJ296" i="434"/>
  <c r="S296" i="434"/>
  <c r="R296" i="434"/>
  <c r="Q296" i="434"/>
  <c r="P296" i="434"/>
  <c r="C296" i="434"/>
  <c r="AS296" i="434" s="1"/>
  <c r="U296" i="434"/>
  <c r="V296" i="434" s="1"/>
  <c r="AJ295" i="434"/>
  <c r="S295" i="434"/>
  <c r="R295" i="434"/>
  <c r="Q295" i="434"/>
  <c r="C295" i="434"/>
  <c r="AS295" i="434" s="1"/>
  <c r="P295" i="434"/>
  <c r="AJ294" i="434"/>
  <c r="S294" i="434"/>
  <c r="R294" i="434"/>
  <c r="Q294" i="434"/>
  <c r="C294" i="434"/>
  <c r="AS294" i="434" s="1"/>
  <c r="P294" i="434"/>
  <c r="AS293" i="434"/>
  <c r="AJ293" i="434"/>
  <c r="T293" i="434"/>
  <c r="S293" i="434"/>
  <c r="R293" i="434"/>
  <c r="Q293" i="434"/>
  <c r="C293" i="434"/>
  <c r="P293" i="434"/>
  <c r="AJ292" i="434"/>
  <c r="S292" i="434"/>
  <c r="R292" i="434"/>
  <c r="Q292" i="434"/>
  <c r="P292" i="434"/>
  <c r="C292" i="434"/>
  <c r="AS292" i="434" s="1"/>
  <c r="AJ291" i="434"/>
  <c r="S291" i="434"/>
  <c r="R291" i="434"/>
  <c r="Q291" i="434"/>
  <c r="C291" i="434"/>
  <c r="AS291" i="434" s="1"/>
  <c r="P291" i="434"/>
  <c r="AJ290" i="434"/>
  <c r="S290" i="434"/>
  <c r="R290" i="434"/>
  <c r="Q290" i="434"/>
  <c r="C290" i="434"/>
  <c r="AS290" i="434" s="1"/>
  <c r="P290" i="434"/>
  <c r="AJ289" i="434"/>
  <c r="T289" i="434"/>
  <c r="S289" i="434"/>
  <c r="R289" i="434"/>
  <c r="Q289" i="434"/>
  <c r="P289" i="434"/>
  <c r="C289" i="434"/>
  <c r="AS289" i="434" s="1"/>
  <c r="AJ288" i="434"/>
  <c r="S288" i="434"/>
  <c r="R288" i="434"/>
  <c r="Q288" i="434"/>
  <c r="P288" i="434"/>
  <c r="C288" i="434"/>
  <c r="AS288" i="434" s="1"/>
  <c r="U288" i="434"/>
  <c r="V288" i="434" s="1"/>
  <c r="AJ287" i="434"/>
  <c r="S287" i="434"/>
  <c r="R287" i="434"/>
  <c r="Q287" i="434"/>
  <c r="C287" i="434"/>
  <c r="AS287" i="434" s="1"/>
  <c r="P287" i="434"/>
  <c r="AJ286" i="434"/>
  <c r="S286" i="434"/>
  <c r="R286" i="434"/>
  <c r="Q286" i="434"/>
  <c r="P286" i="434"/>
  <c r="C286" i="434"/>
  <c r="AS286" i="434" s="1"/>
  <c r="U286" i="434"/>
  <c r="V286" i="434" s="1"/>
  <c r="AJ285" i="434"/>
  <c r="S285" i="434"/>
  <c r="R285" i="434"/>
  <c r="Q285" i="434"/>
  <c r="C285" i="434"/>
  <c r="AS285" i="434" s="1"/>
  <c r="U285" i="434"/>
  <c r="V285" i="434" s="1"/>
  <c r="AJ284" i="434"/>
  <c r="S284" i="434"/>
  <c r="R284" i="434"/>
  <c r="Q284" i="434"/>
  <c r="C284" i="434"/>
  <c r="AS284" i="434" s="1"/>
  <c r="P284" i="434"/>
  <c r="AJ283" i="434"/>
  <c r="S283" i="434"/>
  <c r="R283" i="434"/>
  <c r="Q283" i="434"/>
  <c r="C283" i="434"/>
  <c r="T283" i="434" s="1"/>
  <c r="P283" i="434"/>
  <c r="AJ282" i="434"/>
  <c r="S282" i="434"/>
  <c r="R282" i="434"/>
  <c r="Q282" i="434"/>
  <c r="C282" i="434"/>
  <c r="AS282" i="434" s="1"/>
  <c r="P282" i="434"/>
  <c r="AJ281" i="434"/>
  <c r="S281" i="434"/>
  <c r="R281" i="434"/>
  <c r="Q281" i="434"/>
  <c r="C281" i="434"/>
  <c r="AS281" i="434" s="1"/>
  <c r="U281" i="434"/>
  <c r="V281" i="434" s="1"/>
  <c r="AJ280" i="434"/>
  <c r="S280" i="434"/>
  <c r="R280" i="434"/>
  <c r="Q280" i="434"/>
  <c r="C280" i="434"/>
  <c r="T280" i="434" s="1"/>
  <c r="P280" i="434"/>
  <c r="AJ279" i="434"/>
  <c r="S279" i="434"/>
  <c r="R279" i="434"/>
  <c r="Q279" i="434"/>
  <c r="C279" i="434"/>
  <c r="AS279" i="434" s="1"/>
  <c r="P279" i="434"/>
  <c r="AJ278" i="434"/>
  <c r="T278" i="434"/>
  <c r="S278" i="434"/>
  <c r="R278" i="434"/>
  <c r="Q278" i="434"/>
  <c r="C278" i="434"/>
  <c r="AS278" i="434" s="1"/>
  <c r="P278" i="434"/>
  <c r="AJ277" i="434"/>
  <c r="S277" i="434"/>
  <c r="R277" i="434"/>
  <c r="Q277" i="434"/>
  <c r="C277" i="434"/>
  <c r="T277" i="434" s="1"/>
  <c r="U277" i="434"/>
  <c r="V277" i="434" s="1"/>
  <c r="AJ276" i="434"/>
  <c r="S276" i="434"/>
  <c r="R276" i="434"/>
  <c r="Q276" i="434"/>
  <c r="C276" i="434"/>
  <c r="AS276" i="434" s="1"/>
  <c r="P276" i="434"/>
  <c r="AJ275" i="434"/>
  <c r="S275" i="434"/>
  <c r="R275" i="434"/>
  <c r="Q275" i="434"/>
  <c r="C275" i="434"/>
  <c r="AS275" i="434" s="1"/>
  <c r="P275" i="434"/>
  <c r="AJ274" i="434"/>
  <c r="S274" i="434"/>
  <c r="R274" i="434"/>
  <c r="Q274" i="434"/>
  <c r="C274" i="434"/>
  <c r="AS274" i="434" s="1"/>
  <c r="U274" i="434"/>
  <c r="V274" i="434" s="1"/>
  <c r="AJ273" i="434"/>
  <c r="S273" i="434"/>
  <c r="R273" i="434"/>
  <c r="Q273" i="434"/>
  <c r="C273" i="434"/>
  <c r="AS273" i="434" s="1"/>
  <c r="P273" i="434"/>
  <c r="AJ272" i="434"/>
  <c r="S272" i="434"/>
  <c r="R272" i="434"/>
  <c r="Q272" i="434"/>
  <c r="C272" i="434"/>
  <c r="AS272" i="434" s="1"/>
  <c r="P272" i="434"/>
  <c r="AJ271" i="434"/>
  <c r="S271" i="434"/>
  <c r="R271" i="434"/>
  <c r="Q271" i="434"/>
  <c r="C271" i="434"/>
  <c r="AS271" i="434" s="1"/>
  <c r="P271" i="434"/>
  <c r="AJ270" i="434"/>
  <c r="S270" i="434"/>
  <c r="R270" i="434"/>
  <c r="Q270" i="434"/>
  <c r="C270" i="434"/>
  <c r="AS270" i="434" s="1"/>
  <c r="P270" i="434"/>
  <c r="AJ269" i="434"/>
  <c r="S269" i="434"/>
  <c r="R269" i="434"/>
  <c r="Q269" i="434"/>
  <c r="C269" i="434"/>
  <c r="AS269" i="434" s="1"/>
  <c r="P269" i="434"/>
  <c r="AJ268" i="434"/>
  <c r="S268" i="434"/>
  <c r="R268" i="434"/>
  <c r="Q268" i="434"/>
  <c r="C268" i="434"/>
  <c r="T268" i="434" s="1"/>
  <c r="U268" i="434"/>
  <c r="V268" i="434" s="1"/>
  <c r="AJ267" i="434"/>
  <c r="S267" i="434"/>
  <c r="R267" i="434"/>
  <c r="Q267" i="434"/>
  <c r="C267" i="434"/>
  <c r="AS267" i="434" s="1"/>
  <c r="U267" i="434"/>
  <c r="V267" i="434" s="1"/>
  <c r="AS266" i="434"/>
  <c r="AJ266" i="434"/>
  <c r="T266" i="434"/>
  <c r="S266" i="434"/>
  <c r="R266" i="434"/>
  <c r="Q266" i="434"/>
  <c r="C266" i="434"/>
  <c r="P266" i="434"/>
  <c r="AJ265" i="434"/>
  <c r="S265" i="434"/>
  <c r="R265" i="434"/>
  <c r="Q265" i="434"/>
  <c r="C265" i="434"/>
  <c r="T265" i="434" s="1"/>
  <c r="P265" i="434"/>
  <c r="AJ264" i="434"/>
  <c r="S264" i="434"/>
  <c r="R264" i="434"/>
  <c r="Q264" i="434"/>
  <c r="C264" i="434"/>
  <c r="AS264" i="434" s="1"/>
  <c r="P264" i="434"/>
  <c r="AJ263" i="434"/>
  <c r="S263" i="434"/>
  <c r="R263" i="434"/>
  <c r="Q263" i="434"/>
  <c r="C263" i="434"/>
  <c r="AS263" i="434" s="1"/>
  <c r="P263" i="434"/>
  <c r="AJ262" i="434"/>
  <c r="S262" i="434"/>
  <c r="R262" i="434"/>
  <c r="Q262" i="434"/>
  <c r="C262" i="434"/>
  <c r="T262" i="434" s="1"/>
  <c r="AJ261" i="434"/>
  <c r="S261" i="434"/>
  <c r="R261" i="434"/>
  <c r="Q261" i="434"/>
  <c r="C261" i="434"/>
  <c r="AS261" i="434" s="1"/>
  <c r="AS260" i="434"/>
  <c r="AJ260" i="434"/>
  <c r="T260" i="434"/>
  <c r="S260" i="434"/>
  <c r="R260" i="434"/>
  <c r="Q260" i="434"/>
  <c r="P260" i="434"/>
  <c r="C260" i="434"/>
  <c r="U260" i="434"/>
  <c r="V260" i="434" s="1"/>
  <c r="AJ259" i="434"/>
  <c r="S259" i="434"/>
  <c r="R259" i="434"/>
  <c r="Q259" i="434"/>
  <c r="C259" i="434"/>
  <c r="AS259" i="434" s="1"/>
  <c r="AJ258" i="434"/>
  <c r="T258" i="434"/>
  <c r="S258" i="434"/>
  <c r="R258" i="434"/>
  <c r="Q258" i="434"/>
  <c r="C258" i="434"/>
  <c r="AS258" i="434" s="1"/>
  <c r="AJ257" i="434"/>
  <c r="S257" i="434"/>
  <c r="R257" i="434"/>
  <c r="Q257" i="434"/>
  <c r="C257" i="434"/>
  <c r="AS257" i="434" s="1"/>
  <c r="AJ256" i="434"/>
  <c r="S256" i="434"/>
  <c r="R256" i="434"/>
  <c r="Q256" i="434"/>
  <c r="P256" i="434"/>
  <c r="C256" i="434"/>
  <c r="AS256" i="434" s="1"/>
  <c r="U256" i="434"/>
  <c r="V256" i="434" s="1"/>
  <c r="AS255" i="434"/>
  <c r="AJ255" i="434"/>
  <c r="S255" i="434"/>
  <c r="R255" i="434"/>
  <c r="Q255" i="434"/>
  <c r="C255" i="434"/>
  <c r="T255" i="434" s="1"/>
  <c r="P255" i="434"/>
  <c r="AJ254" i="434"/>
  <c r="S254" i="434"/>
  <c r="R254" i="434"/>
  <c r="Q254" i="434"/>
  <c r="C254" i="434"/>
  <c r="AS254" i="434" s="1"/>
  <c r="U254" i="434"/>
  <c r="V254" i="434" s="1"/>
  <c r="AJ253" i="434"/>
  <c r="S253" i="434"/>
  <c r="R253" i="434"/>
  <c r="Q253" i="434"/>
  <c r="C253" i="434"/>
  <c r="AS253" i="434" s="1"/>
  <c r="P253" i="434"/>
  <c r="AS252" i="434"/>
  <c r="AJ252" i="434"/>
  <c r="T252" i="434"/>
  <c r="S252" i="434"/>
  <c r="R252" i="434"/>
  <c r="Q252" i="434"/>
  <c r="C252" i="434"/>
  <c r="P252" i="434"/>
  <c r="AJ251" i="434"/>
  <c r="S251" i="434"/>
  <c r="R251" i="434"/>
  <c r="Q251" i="434"/>
  <c r="C251" i="434"/>
  <c r="AS251" i="434" s="1"/>
  <c r="P251" i="434"/>
  <c r="AJ250" i="434"/>
  <c r="S250" i="434"/>
  <c r="R250" i="434"/>
  <c r="Q250" i="434"/>
  <c r="C250" i="434"/>
  <c r="AS250" i="434" s="1"/>
  <c r="P250" i="434"/>
  <c r="AJ249" i="434"/>
  <c r="S249" i="434"/>
  <c r="R249" i="434"/>
  <c r="Q249" i="434"/>
  <c r="C249" i="434"/>
  <c r="AS249" i="434" s="1"/>
  <c r="P249" i="434"/>
  <c r="AJ248" i="434"/>
  <c r="S248" i="434"/>
  <c r="R248" i="434"/>
  <c r="Q248" i="434"/>
  <c r="C248" i="434"/>
  <c r="AS248" i="434" s="1"/>
  <c r="P248" i="434"/>
  <c r="AJ247" i="434"/>
  <c r="S247" i="434"/>
  <c r="R247" i="434"/>
  <c r="Q247" i="434"/>
  <c r="P247" i="434"/>
  <c r="C247" i="434"/>
  <c r="AS247" i="434" s="1"/>
  <c r="U247" i="434"/>
  <c r="V247" i="434" s="1"/>
  <c r="AJ246" i="434"/>
  <c r="S246" i="434"/>
  <c r="R246" i="434"/>
  <c r="Q246" i="434"/>
  <c r="C246" i="434"/>
  <c r="AS246" i="434" s="1"/>
  <c r="P246" i="434"/>
  <c r="AS245" i="434"/>
  <c r="AJ245" i="434"/>
  <c r="T245" i="434"/>
  <c r="S245" i="434"/>
  <c r="R245" i="434"/>
  <c r="Q245" i="434"/>
  <c r="C245" i="434"/>
  <c r="P245" i="434"/>
  <c r="AJ244" i="434"/>
  <c r="T244" i="434"/>
  <c r="S244" i="434"/>
  <c r="R244" i="434"/>
  <c r="Q244" i="434"/>
  <c r="C244" i="434"/>
  <c r="AS244" i="434" s="1"/>
  <c r="U244" i="434"/>
  <c r="V244" i="434" s="1"/>
  <c r="AJ243" i="434"/>
  <c r="S243" i="434"/>
  <c r="R243" i="434"/>
  <c r="Q243" i="434"/>
  <c r="C243" i="434"/>
  <c r="AS243" i="434" s="1"/>
  <c r="P243" i="434"/>
  <c r="AJ242" i="434"/>
  <c r="S242" i="434"/>
  <c r="R242" i="434"/>
  <c r="Q242" i="434"/>
  <c r="C242" i="434"/>
  <c r="AS242" i="434" s="1"/>
  <c r="P242" i="434"/>
  <c r="AJ241" i="434"/>
  <c r="S241" i="434"/>
  <c r="R241" i="434"/>
  <c r="Q241" i="434"/>
  <c r="C241" i="434"/>
  <c r="AS241" i="434" s="1"/>
  <c r="P241" i="434"/>
  <c r="AJ240" i="434"/>
  <c r="S240" i="434"/>
  <c r="R240" i="434"/>
  <c r="Q240" i="434"/>
  <c r="P240" i="434"/>
  <c r="C240" i="434"/>
  <c r="AS240" i="434" s="1"/>
  <c r="U240" i="434"/>
  <c r="V240" i="434" s="1"/>
  <c r="AJ239" i="434"/>
  <c r="S239" i="434"/>
  <c r="R239" i="434"/>
  <c r="Q239" i="434"/>
  <c r="C239" i="434"/>
  <c r="T239" i="434" s="1"/>
  <c r="P239" i="434"/>
  <c r="AJ238" i="434"/>
  <c r="S238" i="434"/>
  <c r="R238" i="434"/>
  <c r="Q238" i="434"/>
  <c r="P238" i="434"/>
  <c r="C238" i="434"/>
  <c r="AS238" i="434" s="1"/>
  <c r="U238" i="434"/>
  <c r="V238" i="434" s="1"/>
  <c r="AJ237" i="434"/>
  <c r="S237" i="434"/>
  <c r="R237" i="434"/>
  <c r="Q237" i="434"/>
  <c r="C237" i="434"/>
  <c r="AS237" i="434" s="1"/>
  <c r="U237" i="434"/>
  <c r="V237" i="434" s="1"/>
  <c r="AJ236" i="434"/>
  <c r="S236" i="434"/>
  <c r="R236" i="434"/>
  <c r="Q236" i="434"/>
  <c r="C236" i="434"/>
  <c r="AS236" i="434" s="1"/>
  <c r="P236" i="434"/>
  <c r="AJ235" i="434"/>
  <c r="S235" i="434"/>
  <c r="R235" i="434"/>
  <c r="Q235" i="434"/>
  <c r="C235" i="434"/>
  <c r="T235" i="434" s="1"/>
  <c r="P235" i="434"/>
  <c r="AJ234" i="434"/>
  <c r="S234" i="434"/>
  <c r="R234" i="434"/>
  <c r="Q234" i="434"/>
  <c r="C234" i="434"/>
  <c r="AS234" i="434" s="1"/>
  <c r="P234" i="434"/>
  <c r="AJ233" i="434"/>
  <c r="T233" i="434"/>
  <c r="S233" i="434"/>
  <c r="R233" i="434"/>
  <c r="Q233" i="434"/>
  <c r="P233" i="434"/>
  <c r="C233" i="434"/>
  <c r="AS233" i="434" s="1"/>
  <c r="U233" i="434"/>
  <c r="V233" i="434" s="1"/>
  <c r="AS232" i="434"/>
  <c r="AJ232" i="434"/>
  <c r="S232" i="434"/>
  <c r="R232" i="434"/>
  <c r="Q232" i="434"/>
  <c r="C232" i="434"/>
  <c r="T232" i="434" s="1"/>
  <c r="P232" i="434"/>
  <c r="AJ231" i="434"/>
  <c r="S231" i="434"/>
  <c r="R231" i="434"/>
  <c r="Q231" i="434"/>
  <c r="C231" i="434"/>
  <c r="AS231" i="434" s="1"/>
  <c r="P231" i="434"/>
  <c r="AJ230" i="434"/>
  <c r="S230" i="434"/>
  <c r="R230" i="434"/>
  <c r="Q230" i="434"/>
  <c r="C230" i="434"/>
  <c r="T230" i="434" s="1"/>
  <c r="P230" i="434"/>
  <c r="AS229" i="434"/>
  <c r="AJ229" i="434"/>
  <c r="S229" i="434"/>
  <c r="R229" i="434"/>
  <c r="Q229" i="434"/>
  <c r="C229" i="434"/>
  <c r="T229" i="434" s="1"/>
  <c r="P229" i="434"/>
  <c r="AJ228" i="434"/>
  <c r="S228" i="434"/>
  <c r="R228" i="434"/>
  <c r="Q228" i="434"/>
  <c r="C228" i="434"/>
  <c r="AS228" i="434" s="1"/>
  <c r="P228" i="434"/>
  <c r="AJ227" i="434"/>
  <c r="S227" i="434"/>
  <c r="R227" i="434"/>
  <c r="Q227" i="434"/>
  <c r="C227" i="434"/>
  <c r="AS227" i="434" s="1"/>
  <c r="P227" i="434"/>
  <c r="AS226" i="434"/>
  <c r="AJ226" i="434"/>
  <c r="T226" i="434"/>
  <c r="S226" i="434"/>
  <c r="R226" i="434"/>
  <c r="Q226" i="434"/>
  <c r="C226" i="434"/>
  <c r="P226" i="434"/>
  <c r="AJ225" i="434"/>
  <c r="S225" i="434"/>
  <c r="R225" i="434"/>
  <c r="Q225" i="434"/>
  <c r="C225" i="434"/>
  <c r="AS225" i="434" s="1"/>
  <c r="P225" i="434"/>
  <c r="AJ224" i="434"/>
  <c r="S224" i="434"/>
  <c r="R224" i="434"/>
  <c r="Q224" i="434"/>
  <c r="P224" i="434"/>
  <c r="C224" i="434"/>
  <c r="AS224" i="434" s="1"/>
  <c r="U224" i="434"/>
  <c r="V224" i="434" s="1"/>
  <c r="AJ223" i="434"/>
  <c r="S223" i="434"/>
  <c r="R223" i="434"/>
  <c r="Q223" i="434"/>
  <c r="C223" i="434"/>
  <c r="AS223" i="434" s="1"/>
  <c r="P223" i="434"/>
  <c r="AJ222" i="434"/>
  <c r="T222" i="434"/>
  <c r="S222" i="434"/>
  <c r="R222" i="434"/>
  <c r="Q222" i="434"/>
  <c r="C222" i="434"/>
  <c r="AS222" i="434" s="1"/>
  <c r="P222" i="434"/>
  <c r="AJ221" i="434"/>
  <c r="T221" i="434"/>
  <c r="S221" i="434"/>
  <c r="R221" i="434"/>
  <c r="Q221" i="434"/>
  <c r="C221" i="434"/>
  <c r="AS221" i="434" s="1"/>
  <c r="P221" i="434"/>
  <c r="AS220" i="434"/>
  <c r="AJ220" i="434"/>
  <c r="S220" i="434"/>
  <c r="R220" i="434"/>
  <c r="Q220" i="434"/>
  <c r="C220" i="434"/>
  <c r="T220" i="434" s="1"/>
  <c r="U220" i="434"/>
  <c r="V220" i="434" s="1"/>
  <c r="AJ219" i="434"/>
  <c r="S219" i="434"/>
  <c r="R219" i="434"/>
  <c r="Q219" i="434"/>
  <c r="P219" i="434"/>
  <c r="C219" i="434"/>
  <c r="AS219" i="434" s="1"/>
  <c r="U219" i="434"/>
  <c r="V219" i="434" s="1"/>
  <c r="AS218" i="434"/>
  <c r="AJ218" i="434"/>
  <c r="T218" i="434"/>
  <c r="S218" i="434"/>
  <c r="R218" i="434"/>
  <c r="Q218" i="434"/>
  <c r="C218" i="434"/>
  <c r="P218" i="434"/>
  <c r="AJ217" i="434"/>
  <c r="S217" i="434"/>
  <c r="R217" i="434"/>
  <c r="Q217" i="434"/>
  <c r="P217" i="434"/>
  <c r="C217" i="434"/>
  <c r="T217" i="434" s="1"/>
  <c r="U217" i="434"/>
  <c r="V217" i="434" s="1"/>
  <c r="AS216" i="434"/>
  <c r="AJ216" i="434"/>
  <c r="T216" i="434"/>
  <c r="S216" i="434"/>
  <c r="R216" i="434"/>
  <c r="Q216" i="434"/>
  <c r="C216" i="434"/>
  <c r="P216" i="434"/>
  <c r="AJ215" i="434"/>
  <c r="T215" i="434"/>
  <c r="S215" i="434"/>
  <c r="R215" i="434"/>
  <c r="Q215" i="434"/>
  <c r="C215" i="434"/>
  <c r="AS215" i="434" s="1"/>
  <c r="P215" i="434"/>
  <c r="AJ214" i="434"/>
  <c r="S214" i="434"/>
  <c r="R214" i="434"/>
  <c r="Q214" i="434"/>
  <c r="P214" i="434"/>
  <c r="C214" i="434"/>
  <c r="T214" i="434" s="1"/>
  <c r="AJ213" i="434"/>
  <c r="S213" i="434"/>
  <c r="R213" i="434"/>
  <c r="Q213" i="434"/>
  <c r="C213" i="434"/>
  <c r="AS213" i="434" s="1"/>
  <c r="U213" i="434"/>
  <c r="V213" i="434" s="1"/>
  <c r="AJ212" i="434"/>
  <c r="T212" i="434"/>
  <c r="S212" i="434"/>
  <c r="R212" i="434"/>
  <c r="Q212" i="434"/>
  <c r="P212" i="434"/>
  <c r="C212" i="434"/>
  <c r="AS212" i="434" s="1"/>
  <c r="AJ211" i="434"/>
  <c r="S211" i="434"/>
  <c r="R211" i="434"/>
  <c r="Q211" i="434"/>
  <c r="C211" i="434"/>
  <c r="AS211" i="434" s="1"/>
  <c r="AJ210" i="434"/>
  <c r="T210" i="434"/>
  <c r="S210" i="434"/>
  <c r="R210" i="434"/>
  <c r="Q210" i="434"/>
  <c r="C210" i="434"/>
  <c r="AS210" i="434" s="1"/>
  <c r="AS209" i="434"/>
  <c r="AJ209" i="434"/>
  <c r="S209" i="434"/>
  <c r="R209" i="434"/>
  <c r="Q209" i="434"/>
  <c r="C209" i="434"/>
  <c r="T209" i="434" s="1"/>
  <c r="AJ208" i="434"/>
  <c r="S208" i="434"/>
  <c r="R208" i="434"/>
  <c r="Q208" i="434"/>
  <c r="P208" i="434"/>
  <c r="C208" i="434"/>
  <c r="AS208" i="434" s="1"/>
  <c r="AS207" i="434"/>
  <c r="AJ207" i="434"/>
  <c r="S207" i="434"/>
  <c r="R207" i="434"/>
  <c r="Q207" i="434"/>
  <c r="C207" i="434"/>
  <c r="T207" i="434" s="1"/>
  <c r="P207" i="434"/>
  <c r="AJ206" i="434"/>
  <c r="S206" i="434"/>
  <c r="R206" i="434"/>
  <c r="Q206" i="434"/>
  <c r="C206" i="434"/>
  <c r="AS206" i="434" s="1"/>
  <c r="U206" i="434"/>
  <c r="V206" i="434" s="1"/>
  <c r="AJ205" i="434"/>
  <c r="S205" i="434"/>
  <c r="R205" i="434"/>
  <c r="Q205" i="434"/>
  <c r="C205" i="434"/>
  <c r="AS205" i="434" s="1"/>
  <c r="U205" i="434"/>
  <c r="V205" i="434" s="1"/>
  <c r="AJ204" i="434"/>
  <c r="S204" i="434"/>
  <c r="R204" i="434"/>
  <c r="Q204" i="434"/>
  <c r="C204" i="434"/>
  <c r="AS204" i="434" s="1"/>
  <c r="P204" i="434"/>
  <c r="AJ203" i="434"/>
  <c r="S203" i="434"/>
  <c r="R203" i="434"/>
  <c r="Q203" i="434"/>
  <c r="C203" i="434"/>
  <c r="AS203" i="434" s="1"/>
  <c r="P203" i="434"/>
  <c r="AJ202" i="434"/>
  <c r="S202" i="434"/>
  <c r="R202" i="434"/>
  <c r="Q202" i="434"/>
  <c r="C202" i="434"/>
  <c r="AS202" i="434" s="1"/>
  <c r="U202" i="434"/>
  <c r="V202" i="434" s="1"/>
  <c r="AJ201" i="434"/>
  <c r="S201" i="434"/>
  <c r="R201" i="434"/>
  <c r="Q201" i="434"/>
  <c r="P201" i="434"/>
  <c r="C201" i="434"/>
  <c r="AS201" i="434" s="1"/>
  <c r="U201" i="434"/>
  <c r="V201" i="434" s="1"/>
  <c r="AJ200" i="434"/>
  <c r="S200" i="434"/>
  <c r="R200" i="434"/>
  <c r="Q200" i="434"/>
  <c r="C200" i="434"/>
  <c r="AS200" i="434" s="1"/>
  <c r="U200" i="434"/>
  <c r="V200" i="434" s="1"/>
  <c r="AJ199" i="434"/>
  <c r="S199" i="434"/>
  <c r="R199" i="434"/>
  <c r="Q199" i="434"/>
  <c r="P199" i="434"/>
  <c r="C199" i="434"/>
  <c r="AS199" i="434" s="1"/>
  <c r="U199" i="434"/>
  <c r="V199" i="434" s="1"/>
  <c r="AJ198" i="434"/>
  <c r="S198" i="434"/>
  <c r="R198" i="434"/>
  <c r="Q198" i="434"/>
  <c r="C198" i="434"/>
  <c r="AS198" i="434" s="1"/>
  <c r="P198" i="434"/>
  <c r="AJ197" i="434"/>
  <c r="T197" i="434"/>
  <c r="S197" i="434"/>
  <c r="R197" i="434"/>
  <c r="Q197" i="434"/>
  <c r="C197" i="434"/>
  <c r="AS197" i="434" s="1"/>
  <c r="P197" i="434"/>
  <c r="AJ196" i="434"/>
  <c r="S196" i="434"/>
  <c r="R196" i="434"/>
  <c r="Q196" i="434"/>
  <c r="P196" i="434"/>
  <c r="C196" i="434"/>
  <c r="AS196" i="434" s="1"/>
  <c r="U196" i="434"/>
  <c r="V196" i="434" s="1"/>
  <c r="AJ195" i="434"/>
  <c r="S195" i="434"/>
  <c r="R195" i="434"/>
  <c r="Q195" i="434"/>
  <c r="C195" i="434"/>
  <c r="AS195" i="434" s="1"/>
  <c r="P195" i="434"/>
  <c r="AJ194" i="434"/>
  <c r="S194" i="434"/>
  <c r="R194" i="434"/>
  <c r="Q194" i="434"/>
  <c r="C194" i="434"/>
  <c r="AS194" i="434" s="1"/>
  <c r="P194" i="434"/>
  <c r="AJ193" i="434"/>
  <c r="T193" i="434"/>
  <c r="S193" i="434"/>
  <c r="R193" i="434"/>
  <c r="Q193" i="434"/>
  <c r="C193" i="434"/>
  <c r="AS193" i="434" s="1"/>
  <c r="P193" i="434"/>
  <c r="AJ192" i="434"/>
  <c r="S192" i="434"/>
  <c r="R192" i="434"/>
  <c r="Q192" i="434"/>
  <c r="P192" i="434"/>
  <c r="C192" i="434"/>
  <c r="AS192" i="434" s="1"/>
  <c r="U192" i="434"/>
  <c r="V192" i="434" s="1"/>
  <c r="AJ191" i="434"/>
  <c r="S191" i="434"/>
  <c r="R191" i="434"/>
  <c r="Q191" i="434"/>
  <c r="C191" i="434"/>
  <c r="T191" i="434" s="1"/>
  <c r="P191" i="434"/>
  <c r="AJ190" i="434"/>
  <c r="S190" i="434"/>
  <c r="R190" i="434"/>
  <c r="Q190" i="434"/>
  <c r="C190" i="434"/>
  <c r="AS190" i="434" s="1"/>
  <c r="U190" i="434"/>
  <c r="V190" i="434" s="1"/>
  <c r="AJ189" i="434"/>
  <c r="T189" i="434"/>
  <c r="S189" i="434"/>
  <c r="R189" i="434"/>
  <c r="Q189" i="434"/>
  <c r="C189" i="434"/>
  <c r="AS189" i="434" s="1"/>
  <c r="U189" i="434"/>
  <c r="V189" i="434" s="1"/>
  <c r="AJ188" i="434"/>
  <c r="S188" i="434"/>
  <c r="R188" i="434"/>
  <c r="Q188" i="434"/>
  <c r="C188" i="434"/>
  <c r="AS188" i="434" s="1"/>
  <c r="P188" i="434"/>
  <c r="AJ187" i="434"/>
  <c r="S187" i="434"/>
  <c r="R187" i="434"/>
  <c r="Q187" i="434"/>
  <c r="C187" i="434"/>
  <c r="T187" i="434" s="1"/>
  <c r="P187" i="434"/>
  <c r="AJ186" i="434"/>
  <c r="S186" i="434"/>
  <c r="R186" i="434"/>
  <c r="Q186" i="434"/>
  <c r="C186" i="434"/>
  <c r="AS186" i="434" s="1"/>
  <c r="P186" i="434"/>
  <c r="AJ185" i="434"/>
  <c r="T185" i="434"/>
  <c r="S185" i="434"/>
  <c r="R185" i="434"/>
  <c r="Q185" i="434"/>
  <c r="C185" i="434"/>
  <c r="AS185" i="434" s="1"/>
  <c r="P185" i="434"/>
  <c r="AS184" i="434"/>
  <c r="AJ184" i="434"/>
  <c r="S184" i="434"/>
  <c r="R184" i="434"/>
  <c r="Q184" i="434"/>
  <c r="C184" i="434"/>
  <c r="T184" i="434" s="1"/>
  <c r="P184" i="434"/>
  <c r="AJ183" i="434"/>
  <c r="S183" i="434"/>
  <c r="R183" i="434"/>
  <c r="Q183" i="434"/>
  <c r="C183" i="434"/>
  <c r="AS183" i="434" s="1"/>
  <c r="P183" i="434"/>
  <c r="AJ182" i="434"/>
  <c r="S182" i="434"/>
  <c r="R182" i="434"/>
  <c r="Q182" i="434"/>
  <c r="C182" i="434"/>
  <c r="T182" i="434" s="1"/>
  <c r="P182" i="434"/>
  <c r="AJ181" i="434"/>
  <c r="S181" i="434"/>
  <c r="R181" i="434"/>
  <c r="Q181" i="434"/>
  <c r="C181" i="434"/>
  <c r="T181" i="434" s="1"/>
  <c r="P181" i="434"/>
  <c r="AJ180" i="434"/>
  <c r="T180" i="434"/>
  <c r="S180" i="434"/>
  <c r="R180" i="434"/>
  <c r="Q180" i="434"/>
  <c r="C180" i="434"/>
  <c r="AS180" i="434" s="1"/>
  <c r="P180" i="434"/>
  <c r="AJ179" i="434"/>
  <c r="S179" i="434"/>
  <c r="R179" i="434"/>
  <c r="Q179" i="434"/>
  <c r="C179" i="434"/>
  <c r="AS179" i="434" s="1"/>
  <c r="P179" i="434"/>
  <c r="AS178" i="434"/>
  <c r="AJ178" i="434"/>
  <c r="S178" i="434"/>
  <c r="R178" i="434"/>
  <c r="Q178" i="434"/>
  <c r="C178" i="434"/>
  <c r="T178" i="434" s="1"/>
  <c r="P178" i="434"/>
  <c r="AJ177" i="434"/>
  <c r="S177" i="434"/>
  <c r="R177" i="434"/>
  <c r="Q177" i="434"/>
  <c r="C177" i="434"/>
  <c r="AS177" i="434" s="1"/>
  <c r="P177" i="434"/>
  <c r="AJ176" i="434"/>
  <c r="S176" i="434"/>
  <c r="R176" i="434"/>
  <c r="Q176" i="434"/>
  <c r="C176" i="434"/>
  <c r="AS176" i="434" s="1"/>
  <c r="P176" i="434"/>
  <c r="AJ175" i="434"/>
  <c r="S175" i="434"/>
  <c r="R175" i="434"/>
  <c r="Q175" i="434"/>
  <c r="C175" i="434"/>
  <c r="AS175" i="434" s="1"/>
  <c r="P175" i="434"/>
  <c r="AJ174" i="434"/>
  <c r="S174" i="434"/>
  <c r="R174" i="434"/>
  <c r="Q174" i="434"/>
  <c r="C174" i="434"/>
  <c r="AS174" i="434" s="1"/>
  <c r="P174" i="434"/>
  <c r="AJ173" i="434"/>
  <c r="T173" i="434"/>
  <c r="S173" i="434"/>
  <c r="R173" i="434"/>
  <c r="Q173" i="434"/>
  <c r="C173" i="434"/>
  <c r="AS173" i="434" s="1"/>
  <c r="P173" i="434"/>
  <c r="AJ172" i="434"/>
  <c r="S172" i="434"/>
  <c r="R172" i="434"/>
  <c r="Q172" i="434"/>
  <c r="P172" i="434"/>
  <c r="C172" i="434"/>
  <c r="T172" i="434" s="1"/>
  <c r="AJ171" i="434"/>
  <c r="S171" i="434"/>
  <c r="R171" i="434"/>
  <c r="Q171" i="434"/>
  <c r="C171" i="434"/>
  <c r="AS171" i="434" s="1"/>
  <c r="P171" i="434"/>
  <c r="AS170" i="434"/>
  <c r="AJ170" i="434"/>
  <c r="T170" i="434"/>
  <c r="S170" i="434"/>
  <c r="R170" i="434"/>
  <c r="Q170" i="434"/>
  <c r="C170" i="434"/>
  <c r="P170" i="434"/>
  <c r="AJ169" i="434"/>
  <c r="S169" i="434"/>
  <c r="R169" i="434"/>
  <c r="Q169" i="434"/>
  <c r="C169" i="434"/>
  <c r="T169" i="434" s="1"/>
  <c r="P169" i="434"/>
  <c r="AJ168" i="434"/>
  <c r="S168" i="434"/>
  <c r="R168" i="434"/>
  <c r="Q168" i="434"/>
  <c r="C168" i="434"/>
  <c r="AS168" i="434" s="1"/>
  <c r="P168" i="434"/>
  <c r="AS167" i="434"/>
  <c r="AJ167" i="434"/>
  <c r="S167" i="434"/>
  <c r="R167" i="434"/>
  <c r="Q167" i="434"/>
  <c r="C167" i="434"/>
  <c r="T167" i="434" s="1"/>
  <c r="P167" i="434"/>
  <c r="AS166" i="434"/>
  <c r="AJ166" i="434"/>
  <c r="S166" i="434"/>
  <c r="R166" i="434"/>
  <c r="Q166" i="434"/>
  <c r="C166" i="434"/>
  <c r="T166" i="434" s="1"/>
  <c r="AJ165" i="434"/>
  <c r="S165" i="434"/>
  <c r="R165" i="434"/>
  <c r="Q165" i="434"/>
  <c r="C165" i="434"/>
  <c r="AS165" i="434" s="1"/>
  <c r="AJ164" i="434"/>
  <c r="S164" i="434"/>
  <c r="R164" i="434"/>
  <c r="Q164" i="434"/>
  <c r="C164" i="434"/>
  <c r="AS164" i="434" s="1"/>
  <c r="U164" i="434"/>
  <c r="V164" i="434" s="1"/>
  <c r="AJ163" i="434"/>
  <c r="S163" i="434"/>
  <c r="R163" i="434"/>
  <c r="Q163" i="434"/>
  <c r="C163" i="434"/>
  <c r="AS163" i="434" s="1"/>
  <c r="AJ162" i="434"/>
  <c r="S162" i="434"/>
  <c r="R162" i="434"/>
  <c r="Q162" i="434"/>
  <c r="C162" i="434"/>
  <c r="AS162" i="434" s="1"/>
  <c r="AS161" i="434"/>
  <c r="AJ161" i="434"/>
  <c r="T161" i="434"/>
  <c r="S161" i="434"/>
  <c r="R161" i="434"/>
  <c r="Q161" i="434"/>
  <c r="C161" i="434"/>
  <c r="AJ160" i="434"/>
  <c r="S160" i="434"/>
  <c r="R160" i="434"/>
  <c r="Q160" i="434"/>
  <c r="P160" i="434"/>
  <c r="C160" i="434"/>
  <c r="AS160" i="434" s="1"/>
  <c r="U160" i="434"/>
  <c r="V160" i="434" s="1"/>
  <c r="AJ159" i="434"/>
  <c r="S159" i="434"/>
  <c r="R159" i="434"/>
  <c r="Q159" i="434"/>
  <c r="C159" i="434"/>
  <c r="T159" i="434" s="1"/>
  <c r="P159" i="434"/>
  <c r="AJ158" i="434"/>
  <c r="S158" i="434"/>
  <c r="R158" i="434"/>
  <c r="Q158" i="434"/>
  <c r="C158" i="434"/>
  <c r="AS158" i="434" s="1"/>
  <c r="U158" i="434"/>
  <c r="V158" i="434" s="1"/>
  <c r="AJ157" i="434"/>
  <c r="T157" i="434"/>
  <c r="S157" i="434"/>
  <c r="R157" i="434"/>
  <c r="Q157" i="434"/>
  <c r="C157" i="434"/>
  <c r="AS157" i="434" s="1"/>
  <c r="U157" i="434"/>
  <c r="V157" i="434" s="1"/>
  <c r="AS156" i="434"/>
  <c r="AJ156" i="434"/>
  <c r="T156" i="434"/>
  <c r="S156" i="434"/>
  <c r="R156" i="434"/>
  <c r="Q156" i="434"/>
  <c r="C156" i="434"/>
  <c r="P156" i="434"/>
  <c r="AJ155" i="434"/>
  <c r="T155" i="434"/>
  <c r="S155" i="434"/>
  <c r="R155" i="434"/>
  <c r="Q155" i="434"/>
  <c r="C155" i="434"/>
  <c r="AS155" i="434" s="1"/>
  <c r="P155" i="434"/>
  <c r="AJ154" i="434"/>
  <c r="S154" i="434"/>
  <c r="R154" i="434"/>
  <c r="Q154" i="434"/>
  <c r="C154" i="434"/>
  <c r="AS154" i="434" s="1"/>
  <c r="P154" i="434"/>
  <c r="AJ153" i="434"/>
  <c r="S153" i="434"/>
  <c r="R153" i="434"/>
  <c r="Q153" i="434"/>
  <c r="P153" i="434"/>
  <c r="C153" i="434"/>
  <c r="AS153" i="434" s="1"/>
  <c r="U153" i="434"/>
  <c r="V153" i="434" s="1"/>
  <c r="AJ152" i="434"/>
  <c r="S152" i="434"/>
  <c r="R152" i="434"/>
  <c r="Q152" i="434"/>
  <c r="C152" i="434"/>
  <c r="AS152" i="434" s="1"/>
  <c r="U152" i="434"/>
  <c r="V152" i="434" s="1"/>
  <c r="AJ151" i="434"/>
  <c r="S151" i="434"/>
  <c r="R151" i="434"/>
  <c r="Q151" i="434"/>
  <c r="C151" i="434"/>
  <c r="AS151" i="434" s="1"/>
  <c r="U151" i="434"/>
  <c r="V151" i="434" s="1"/>
  <c r="AS150" i="434"/>
  <c r="AJ150" i="434"/>
  <c r="S150" i="434"/>
  <c r="R150" i="434"/>
  <c r="Q150" i="434"/>
  <c r="C150" i="434"/>
  <c r="T150" i="434" s="1"/>
  <c r="P150" i="434"/>
  <c r="AJ149" i="434"/>
  <c r="S149" i="434"/>
  <c r="R149" i="434"/>
  <c r="Q149" i="434"/>
  <c r="C149" i="434"/>
  <c r="T149" i="434" s="1"/>
  <c r="P149" i="434"/>
  <c r="AJ148" i="434"/>
  <c r="T148" i="434"/>
  <c r="S148" i="434"/>
  <c r="R148" i="434"/>
  <c r="Q148" i="434"/>
  <c r="C148" i="434"/>
  <c r="AS148" i="434" s="1"/>
  <c r="P148" i="434"/>
  <c r="AJ147" i="434"/>
  <c r="S147" i="434"/>
  <c r="R147" i="434"/>
  <c r="Q147" i="434"/>
  <c r="C147" i="434"/>
  <c r="AS147" i="434" s="1"/>
  <c r="P147" i="434"/>
  <c r="AJ146" i="434"/>
  <c r="T146" i="434"/>
  <c r="S146" i="434"/>
  <c r="R146" i="434"/>
  <c r="Q146" i="434"/>
  <c r="C146" i="434"/>
  <c r="AS146" i="434" s="1"/>
  <c r="P146" i="434"/>
  <c r="AJ145" i="434"/>
  <c r="T145" i="434"/>
  <c r="S145" i="434"/>
  <c r="R145" i="434"/>
  <c r="Q145" i="434"/>
  <c r="C145" i="434"/>
  <c r="AS145" i="434" s="1"/>
  <c r="P145" i="434"/>
  <c r="AJ144" i="434"/>
  <c r="S144" i="434"/>
  <c r="R144" i="434"/>
  <c r="Q144" i="434"/>
  <c r="P144" i="434"/>
  <c r="C144" i="434"/>
  <c r="AS144" i="434" s="1"/>
  <c r="U144" i="434"/>
  <c r="V144" i="434" s="1"/>
  <c r="AJ143" i="434"/>
  <c r="T143" i="434"/>
  <c r="S143" i="434"/>
  <c r="R143" i="434"/>
  <c r="Q143" i="434"/>
  <c r="C143" i="434"/>
  <c r="AS143" i="434" s="1"/>
  <c r="P143" i="434"/>
  <c r="AJ142" i="434"/>
  <c r="S142" i="434"/>
  <c r="R142" i="434"/>
  <c r="Q142" i="434"/>
  <c r="C142" i="434"/>
  <c r="AS142" i="434" s="1"/>
  <c r="U142" i="434"/>
  <c r="V142" i="434" s="1"/>
  <c r="AJ141" i="434"/>
  <c r="S141" i="434"/>
  <c r="R141" i="434"/>
  <c r="Q141" i="434"/>
  <c r="P141" i="434"/>
  <c r="C141" i="434"/>
  <c r="AS141" i="434" s="1"/>
  <c r="U141" i="434"/>
  <c r="V141" i="434" s="1"/>
  <c r="AJ140" i="434"/>
  <c r="S140" i="434"/>
  <c r="R140" i="434"/>
  <c r="Q140" i="434"/>
  <c r="C140" i="434"/>
  <c r="AS140" i="434" s="1"/>
  <c r="P140" i="434"/>
  <c r="AJ139" i="434"/>
  <c r="S139" i="434"/>
  <c r="R139" i="434"/>
  <c r="Q139" i="434"/>
  <c r="P139" i="434"/>
  <c r="C139" i="434"/>
  <c r="T139" i="434" s="1"/>
  <c r="U139" i="434"/>
  <c r="V139" i="434" s="1"/>
  <c r="AJ138" i="434"/>
  <c r="S138" i="434"/>
  <c r="R138" i="434"/>
  <c r="Q138" i="434"/>
  <c r="C138" i="434"/>
  <c r="AS138" i="434" s="1"/>
  <c r="P138" i="434"/>
  <c r="AJ137" i="434"/>
  <c r="S137" i="434"/>
  <c r="R137" i="434"/>
  <c r="Q137" i="434"/>
  <c r="C137" i="434"/>
  <c r="AS137" i="434" s="1"/>
  <c r="P137" i="434"/>
  <c r="AJ136" i="434"/>
  <c r="S136" i="434"/>
  <c r="R136" i="434"/>
  <c r="Q136" i="434"/>
  <c r="C136" i="434"/>
  <c r="T136" i="434" s="1"/>
  <c r="P136" i="434"/>
  <c r="AJ135" i="434"/>
  <c r="S135" i="434"/>
  <c r="R135" i="434"/>
  <c r="Q135" i="434"/>
  <c r="C135" i="434"/>
  <c r="AS135" i="434" s="1"/>
  <c r="P135" i="434"/>
  <c r="AJ134" i="434"/>
  <c r="S134" i="434"/>
  <c r="R134" i="434"/>
  <c r="Q134" i="434"/>
  <c r="C134" i="434"/>
  <c r="T134" i="434" s="1"/>
  <c r="P134" i="434"/>
  <c r="AS133" i="434"/>
  <c r="AJ133" i="434"/>
  <c r="S133" i="434"/>
  <c r="R133" i="434"/>
  <c r="Q133" i="434"/>
  <c r="C133" i="434"/>
  <c r="T133" i="434" s="1"/>
  <c r="P133" i="434"/>
  <c r="AJ132" i="434"/>
  <c r="S132" i="434"/>
  <c r="R132" i="434"/>
  <c r="Q132" i="434"/>
  <c r="C132" i="434"/>
  <c r="AS132" i="434" s="1"/>
  <c r="P132" i="434"/>
  <c r="AJ131" i="434"/>
  <c r="S131" i="434"/>
  <c r="R131" i="434"/>
  <c r="Q131" i="434"/>
  <c r="C131" i="434"/>
  <c r="AS131" i="434" s="1"/>
  <c r="P131" i="434"/>
  <c r="AJ130" i="434"/>
  <c r="T130" i="434"/>
  <c r="S130" i="434"/>
  <c r="R130" i="434"/>
  <c r="Q130" i="434"/>
  <c r="C130" i="434"/>
  <c r="AS130" i="434" s="1"/>
  <c r="P130" i="434"/>
  <c r="AJ129" i="434"/>
  <c r="S129" i="434"/>
  <c r="R129" i="434"/>
  <c r="Q129" i="434"/>
  <c r="C129" i="434"/>
  <c r="AS129" i="434" s="1"/>
  <c r="P129" i="434"/>
  <c r="AJ128" i="434"/>
  <c r="S128" i="434"/>
  <c r="R128" i="434"/>
  <c r="Q128" i="434"/>
  <c r="P128" i="434"/>
  <c r="C128" i="434"/>
  <c r="AS128" i="434" s="1"/>
  <c r="AJ127" i="434"/>
  <c r="S127" i="434"/>
  <c r="R127" i="434"/>
  <c r="Q127" i="434"/>
  <c r="C127" i="434"/>
  <c r="AS127" i="434" s="1"/>
  <c r="P127" i="434"/>
  <c r="AS126" i="434"/>
  <c r="AJ126" i="434"/>
  <c r="T126" i="434"/>
  <c r="S126" i="434"/>
  <c r="R126" i="434"/>
  <c r="Q126" i="434"/>
  <c r="C126" i="434"/>
  <c r="P126" i="434"/>
  <c r="AJ125" i="434"/>
  <c r="S125" i="434"/>
  <c r="R125" i="434"/>
  <c r="Q125" i="434"/>
  <c r="C125" i="434"/>
  <c r="AS125" i="434" s="1"/>
  <c r="P125" i="434"/>
  <c r="AS124" i="434"/>
  <c r="AJ124" i="434"/>
  <c r="S124" i="434"/>
  <c r="R124" i="434"/>
  <c r="Q124" i="434"/>
  <c r="C124" i="434"/>
  <c r="T124" i="434" s="1"/>
  <c r="U124" i="434"/>
  <c r="V124" i="434" s="1"/>
  <c r="AJ123" i="434"/>
  <c r="S123" i="434"/>
  <c r="R123" i="434"/>
  <c r="Q123" i="434"/>
  <c r="C123" i="434"/>
  <c r="AS123" i="434" s="1"/>
  <c r="P123" i="434"/>
  <c r="AJ122" i="434"/>
  <c r="S122" i="434"/>
  <c r="R122" i="434"/>
  <c r="Q122" i="434"/>
  <c r="C122" i="434"/>
  <c r="AS122" i="434" s="1"/>
  <c r="P122" i="434"/>
  <c r="AS121" i="434"/>
  <c r="AJ121" i="434"/>
  <c r="S121" i="434"/>
  <c r="R121" i="434"/>
  <c r="Q121" i="434"/>
  <c r="C121" i="434"/>
  <c r="T121" i="434" s="1"/>
  <c r="P121" i="434"/>
  <c r="AS120" i="434"/>
  <c r="AJ120" i="434"/>
  <c r="T120" i="434"/>
  <c r="S120" i="434"/>
  <c r="R120" i="434"/>
  <c r="Q120" i="434"/>
  <c r="C120" i="434"/>
  <c r="P120" i="434"/>
  <c r="AJ119" i="434"/>
  <c r="S119" i="434"/>
  <c r="R119" i="434"/>
  <c r="Q119" i="434"/>
  <c r="C119" i="434"/>
  <c r="AS119" i="434" s="1"/>
  <c r="P119" i="434"/>
  <c r="AJ118" i="434"/>
  <c r="T118" i="434"/>
  <c r="S118" i="434"/>
  <c r="R118" i="434"/>
  <c r="Q118" i="434"/>
  <c r="C118" i="434"/>
  <c r="AS118" i="434" s="1"/>
  <c r="U118" i="434"/>
  <c r="V118" i="434" s="1"/>
  <c r="AJ117" i="434"/>
  <c r="T117" i="434"/>
  <c r="S117" i="434"/>
  <c r="R117" i="434"/>
  <c r="Q117" i="434"/>
  <c r="C117" i="434"/>
  <c r="AS117" i="434" s="1"/>
  <c r="P117" i="434"/>
  <c r="AJ116" i="434"/>
  <c r="S116" i="434"/>
  <c r="R116" i="434"/>
  <c r="Q116" i="434"/>
  <c r="P116" i="434"/>
  <c r="C116" i="434"/>
  <c r="AS116" i="434" s="1"/>
  <c r="U116" i="434"/>
  <c r="V116" i="434" s="1"/>
  <c r="AJ115" i="434"/>
  <c r="S115" i="434"/>
  <c r="R115" i="434"/>
  <c r="Q115" i="434"/>
  <c r="C115" i="434"/>
  <c r="AS115" i="434" s="1"/>
  <c r="AJ114" i="434"/>
  <c r="S114" i="434"/>
  <c r="R114" i="434"/>
  <c r="Q114" i="434"/>
  <c r="C114" i="434"/>
  <c r="AS114" i="434" s="1"/>
  <c r="AJ113" i="434"/>
  <c r="S113" i="434"/>
  <c r="R113" i="434"/>
  <c r="Q113" i="434"/>
  <c r="C113" i="434"/>
  <c r="AS113" i="434" s="1"/>
  <c r="AJ112" i="434"/>
  <c r="S112" i="434"/>
  <c r="R112" i="434"/>
  <c r="Q112" i="434"/>
  <c r="P112" i="434"/>
  <c r="C112" i="434"/>
  <c r="AS112" i="434" s="1"/>
  <c r="U112" i="434"/>
  <c r="V112" i="434" s="1"/>
  <c r="AJ111" i="434"/>
  <c r="S111" i="434"/>
  <c r="R111" i="434"/>
  <c r="Q111" i="434"/>
  <c r="C111" i="434"/>
  <c r="T111" i="434" s="1"/>
  <c r="P111" i="434"/>
  <c r="AJ110" i="434"/>
  <c r="S110" i="434"/>
  <c r="R110" i="434"/>
  <c r="Q110" i="434"/>
  <c r="C110" i="434"/>
  <c r="AS110" i="434" s="1"/>
  <c r="U110" i="434"/>
  <c r="V110" i="434" s="1"/>
  <c r="AJ109" i="434"/>
  <c r="S109" i="434"/>
  <c r="R109" i="434"/>
  <c r="Q109" i="434"/>
  <c r="P109" i="434"/>
  <c r="C109" i="434"/>
  <c r="AS109" i="434" s="1"/>
  <c r="U109" i="434"/>
  <c r="V109" i="434" s="1"/>
  <c r="AJ108" i="434"/>
  <c r="T108" i="434"/>
  <c r="S108" i="434"/>
  <c r="R108" i="434"/>
  <c r="Q108" i="434"/>
  <c r="C108" i="434"/>
  <c r="AS108" i="434" s="1"/>
  <c r="P108" i="434"/>
  <c r="AJ107" i="434"/>
  <c r="T107" i="434"/>
  <c r="S107" i="434"/>
  <c r="R107" i="434"/>
  <c r="Q107" i="434"/>
  <c r="C107" i="434"/>
  <c r="AS107" i="434" s="1"/>
  <c r="P107" i="434"/>
  <c r="AJ106" i="434"/>
  <c r="S106" i="434"/>
  <c r="R106" i="434"/>
  <c r="Q106" i="434"/>
  <c r="C106" i="434"/>
  <c r="AS106" i="434" s="1"/>
  <c r="P106" i="434"/>
  <c r="AJ105" i="434"/>
  <c r="S105" i="434"/>
  <c r="R105" i="434"/>
  <c r="Q105" i="434"/>
  <c r="C105" i="434"/>
  <c r="AS105" i="434" s="1"/>
  <c r="U105" i="434"/>
  <c r="V105" i="434" s="1"/>
  <c r="AS104" i="434"/>
  <c r="AJ104" i="434"/>
  <c r="S104" i="434"/>
  <c r="R104" i="434"/>
  <c r="Q104" i="434"/>
  <c r="P104" i="434"/>
  <c r="C104" i="434"/>
  <c r="T104" i="434" s="1"/>
  <c r="U104" i="434"/>
  <c r="V104" i="434" s="1"/>
  <c r="AJ103" i="434"/>
  <c r="S103" i="434"/>
  <c r="R103" i="434"/>
  <c r="Q103" i="434"/>
  <c r="P103" i="434"/>
  <c r="C103" i="434"/>
  <c r="AS103" i="434" s="1"/>
  <c r="U103" i="434"/>
  <c r="V103" i="434" s="1"/>
  <c r="AS102" i="434"/>
  <c r="AJ102" i="434"/>
  <c r="S102" i="434"/>
  <c r="R102" i="434"/>
  <c r="Q102" i="434"/>
  <c r="C102" i="434"/>
  <c r="T102" i="434" s="1"/>
  <c r="P102" i="434"/>
  <c r="AS101" i="434"/>
  <c r="AJ101" i="434"/>
  <c r="T101" i="434"/>
  <c r="S101" i="434"/>
  <c r="R101" i="434"/>
  <c r="Q101" i="434"/>
  <c r="P101" i="434"/>
  <c r="C101" i="434"/>
  <c r="U101" i="434"/>
  <c r="V101" i="434" s="1"/>
  <c r="AJ100" i="434"/>
  <c r="S100" i="434"/>
  <c r="R100" i="434"/>
  <c r="Q100" i="434"/>
  <c r="P100" i="434"/>
  <c r="C100" i="434"/>
  <c r="AS100" i="434" s="1"/>
  <c r="U100" i="434"/>
  <c r="V100" i="434" s="1"/>
  <c r="AJ99" i="434"/>
  <c r="S99" i="434"/>
  <c r="R99" i="434"/>
  <c r="Q99" i="434"/>
  <c r="C99" i="434"/>
  <c r="AS99" i="434" s="1"/>
  <c r="P99" i="434"/>
  <c r="AJ98" i="434"/>
  <c r="T98" i="434"/>
  <c r="S98" i="434"/>
  <c r="R98" i="434"/>
  <c r="Q98" i="434"/>
  <c r="C98" i="434"/>
  <c r="AS98" i="434" s="1"/>
  <c r="P98" i="434"/>
  <c r="AJ97" i="434"/>
  <c r="S97" i="434"/>
  <c r="R97" i="434"/>
  <c r="Q97" i="434"/>
  <c r="C97" i="434"/>
  <c r="AS97" i="434" s="1"/>
  <c r="U97" i="434"/>
  <c r="V97" i="434" s="1"/>
  <c r="AJ96" i="434"/>
  <c r="S96" i="434"/>
  <c r="R96" i="434"/>
  <c r="Q96" i="434"/>
  <c r="P96" i="434"/>
  <c r="C96" i="434"/>
  <c r="AS96" i="434" s="1"/>
  <c r="U96" i="434"/>
  <c r="V96" i="434" s="1"/>
  <c r="AJ95" i="434"/>
  <c r="T95" i="434"/>
  <c r="S95" i="434"/>
  <c r="R95" i="434"/>
  <c r="Q95" i="434"/>
  <c r="C95" i="434"/>
  <c r="AS95" i="434" s="1"/>
  <c r="P95" i="434"/>
  <c r="AJ94" i="434"/>
  <c r="S94" i="434"/>
  <c r="R94" i="434"/>
  <c r="Q94" i="434"/>
  <c r="C94" i="434"/>
  <c r="AS94" i="434" s="1"/>
  <c r="P94" i="434"/>
  <c r="AJ93" i="434"/>
  <c r="S93" i="434"/>
  <c r="R93" i="434"/>
  <c r="Q93" i="434"/>
  <c r="C93" i="434"/>
  <c r="AS93" i="434" s="1"/>
  <c r="P93" i="434"/>
  <c r="AJ92" i="434"/>
  <c r="S92" i="434"/>
  <c r="R92" i="434"/>
  <c r="Q92" i="434"/>
  <c r="C92" i="434"/>
  <c r="AS92" i="434" s="1"/>
  <c r="P92" i="434"/>
  <c r="AJ91" i="434"/>
  <c r="S91" i="434"/>
  <c r="R91" i="434"/>
  <c r="Q91" i="434"/>
  <c r="P91" i="434"/>
  <c r="C91" i="434"/>
  <c r="T91" i="434" s="1"/>
  <c r="AJ90" i="434"/>
  <c r="S90" i="434"/>
  <c r="R90" i="434"/>
  <c r="Q90" i="434"/>
  <c r="C90" i="434"/>
  <c r="AS90" i="434" s="1"/>
  <c r="P90" i="434"/>
  <c r="AJ89" i="434"/>
  <c r="T89" i="434"/>
  <c r="S89" i="434"/>
  <c r="R89" i="434"/>
  <c r="Q89" i="434"/>
  <c r="C89" i="434"/>
  <c r="AS89" i="434" s="1"/>
  <c r="P89" i="434"/>
  <c r="AJ88" i="434"/>
  <c r="S88" i="434"/>
  <c r="R88" i="434"/>
  <c r="Q88" i="434"/>
  <c r="C88" i="434"/>
  <c r="T88" i="434" s="1"/>
  <c r="P88" i="434"/>
  <c r="AJ87" i="434"/>
  <c r="S87" i="434"/>
  <c r="R87" i="434"/>
  <c r="Q87" i="434"/>
  <c r="C87" i="434"/>
  <c r="AS87" i="434" s="1"/>
  <c r="P87" i="434"/>
  <c r="AS86" i="434"/>
  <c r="AJ86" i="434"/>
  <c r="S86" i="434"/>
  <c r="R86" i="434"/>
  <c r="Q86" i="434"/>
  <c r="C86" i="434"/>
  <c r="T86" i="434" s="1"/>
  <c r="P86" i="434"/>
  <c r="AS85" i="434"/>
  <c r="AJ85" i="434"/>
  <c r="S85" i="434"/>
  <c r="R85" i="434"/>
  <c r="Q85" i="434"/>
  <c r="P85" i="434"/>
  <c r="C85" i="434"/>
  <c r="T85" i="434" s="1"/>
  <c r="AJ84" i="434"/>
  <c r="T84" i="434"/>
  <c r="S84" i="434"/>
  <c r="R84" i="434"/>
  <c r="Q84" i="434"/>
  <c r="C84" i="434"/>
  <c r="AS84" i="434" s="1"/>
  <c r="P84" i="434"/>
  <c r="AJ83" i="434"/>
  <c r="S83" i="434"/>
  <c r="R83" i="434"/>
  <c r="Q83" i="434"/>
  <c r="C83" i="434"/>
  <c r="AS83" i="434" s="1"/>
  <c r="P83" i="434"/>
  <c r="AS82" i="434"/>
  <c r="AJ82" i="434"/>
  <c r="S82" i="434"/>
  <c r="R82" i="434"/>
  <c r="Q82" i="434"/>
  <c r="C82" i="434"/>
  <c r="T82" i="434" s="1"/>
  <c r="P82" i="434"/>
  <c r="AJ81" i="434"/>
  <c r="S81" i="434"/>
  <c r="R81" i="434"/>
  <c r="Q81" i="434"/>
  <c r="C81" i="434"/>
  <c r="AS81" i="434" s="1"/>
  <c r="P81" i="434"/>
  <c r="AJ80" i="434"/>
  <c r="S80" i="434"/>
  <c r="R80" i="434"/>
  <c r="Q80" i="434"/>
  <c r="C80" i="434"/>
  <c r="AS80" i="434" s="1"/>
  <c r="U80" i="434"/>
  <c r="V80" i="434" s="1"/>
  <c r="AJ79" i="434"/>
  <c r="S79" i="434"/>
  <c r="R79" i="434"/>
  <c r="Q79" i="434"/>
  <c r="C79" i="434"/>
  <c r="AS79" i="434" s="1"/>
  <c r="P79" i="434"/>
  <c r="AS78" i="434"/>
  <c r="AJ78" i="434"/>
  <c r="T78" i="434"/>
  <c r="S78" i="434"/>
  <c r="R78" i="434"/>
  <c r="Q78" i="434"/>
  <c r="C78" i="434"/>
  <c r="P78" i="434"/>
  <c r="AS77" i="434"/>
  <c r="AJ77" i="434"/>
  <c r="T77" i="434"/>
  <c r="S77" i="434"/>
  <c r="R77" i="434"/>
  <c r="Q77" i="434"/>
  <c r="C77" i="434"/>
  <c r="P77" i="434"/>
  <c r="AS76" i="434"/>
  <c r="AJ76" i="434"/>
  <c r="S76" i="434"/>
  <c r="R76" i="434"/>
  <c r="Q76" i="434"/>
  <c r="P76" i="434"/>
  <c r="C76" i="434"/>
  <c r="T76" i="434" s="1"/>
  <c r="U76" i="434"/>
  <c r="V76" i="434" s="1"/>
  <c r="AJ75" i="434"/>
  <c r="T75" i="434"/>
  <c r="S75" i="434"/>
  <c r="R75" i="434"/>
  <c r="Q75" i="434"/>
  <c r="C75" i="434"/>
  <c r="AS75" i="434" s="1"/>
  <c r="P75" i="434"/>
  <c r="AS74" i="434"/>
  <c r="AJ74" i="434"/>
  <c r="S74" i="434"/>
  <c r="R74" i="434"/>
  <c r="Q74" i="434"/>
  <c r="C74" i="434"/>
  <c r="T74" i="434" s="1"/>
  <c r="P74" i="434"/>
  <c r="AJ73" i="434"/>
  <c r="S73" i="434"/>
  <c r="R73" i="434"/>
  <c r="Q73" i="434"/>
  <c r="C73" i="434"/>
  <c r="T73" i="434" s="1"/>
  <c r="U73" i="434"/>
  <c r="V73" i="434" s="1"/>
  <c r="AS72" i="434"/>
  <c r="AJ72" i="434"/>
  <c r="T72" i="434"/>
  <c r="S72" i="434"/>
  <c r="R72" i="434"/>
  <c r="Q72" i="434"/>
  <c r="C72" i="434"/>
  <c r="AS71" i="434"/>
  <c r="AJ71" i="434"/>
  <c r="T71" i="434"/>
  <c r="S71" i="434"/>
  <c r="R71" i="434"/>
  <c r="Q71" i="434"/>
  <c r="C71" i="434"/>
  <c r="P71" i="434"/>
  <c r="AS70" i="434"/>
  <c r="AJ70" i="434"/>
  <c r="T70" i="434"/>
  <c r="S70" i="434"/>
  <c r="R70" i="434"/>
  <c r="Q70" i="434"/>
  <c r="P70" i="434"/>
  <c r="C70" i="434"/>
  <c r="U70" i="434"/>
  <c r="V70" i="434" s="1"/>
  <c r="AJ69" i="434"/>
  <c r="S69" i="434"/>
  <c r="R69" i="434"/>
  <c r="Q69" i="434"/>
  <c r="C69" i="434"/>
  <c r="AS69" i="434" s="1"/>
  <c r="AS68" i="434"/>
  <c r="AJ68" i="434"/>
  <c r="S68" i="434"/>
  <c r="R68" i="434"/>
  <c r="Q68" i="434"/>
  <c r="C68" i="434"/>
  <c r="T68" i="434" s="1"/>
  <c r="P68" i="434"/>
  <c r="AJ67" i="434"/>
  <c r="S67" i="434"/>
  <c r="R67" i="434"/>
  <c r="Q67" i="434"/>
  <c r="C67" i="434"/>
  <c r="AS67" i="434" s="1"/>
  <c r="AJ66" i="434"/>
  <c r="T66" i="434"/>
  <c r="S66" i="434"/>
  <c r="R66" i="434"/>
  <c r="Q66" i="434"/>
  <c r="C66" i="434"/>
  <c r="AS66" i="434" s="1"/>
  <c r="AJ65" i="434"/>
  <c r="S65" i="434"/>
  <c r="R65" i="434"/>
  <c r="Q65" i="434"/>
  <c r="C65" i="434"/>
  <c r="AS65" i="434" s="1"/>
  <c r="AS64" i="434"/>
  <c r="AJ64" i="434"/>
  <c r="S64" i="434"/>
  <c r="R64" i="434"/>
  <c r="Q64" i="434"/>
  <c r="P64" i="434"/>
  <c r="C64" i="434"/>
  <c r="T64" i="434" s="1"/>
  <c r="U64" i="434"/>
  <c r="V64" i="434" s="1"/>
  <c r="AJ63" i="434"/>
  <c r="S63" i="434"/>
  <c r="R63" i="434"/>
  <c r="Q63" i="434"/>
  <c r="C63" i="434"/>
  <c r="T63" i="434" s="1"/>
  <c r="P63" i="434"/>
  <c r="AJ62" i="434"/>
  <c r="S62" i="434"/>
  <c r="R62" i="434"/>
  <c r="Q62" i="434"/>
  <c r="C62" i="434"/>
  <c r="AS62" i="434" s="1"/>
  <c r="P62" i="434"/>
  <c r="AJ61" i="434"/>
  <c r="S61" i="434"/>
  <c r="R61" i="434"/>
  <c r="Q61" i="434"/>
  <c r="C61" i="434"/>
  <c r="AS61" i="434" s="1"/>
  <c r="P61" i="434"/>
  <c r="AJ60" i="434"/>
  <c r="T60" i="434"/>
  <c r="S60" i="434"/>
  <c r="R60" i="434"/>
  <c r="Q60" i="434"/>
  <c r="C60" i="434"/>
  <c r="AS60" i="434" s="1"/>
  <c r="P60" i="434"/>
  <c r="AJ59" i="434"/>
  <c r="S59" i="434"/>
  <c r="R59" i="434"/>
  <c r="Q59" i="434"/>
  <c r="C59" i="434"/>
  <c r="AS59" i="434" s="1"/>
  <c r="P59" i="434"/>
  <c r="AJ58" i="434"/>
  <c r="S58" i="434"/>
  <c r="R58" i="434"/>
  <c r="Q58" i="434"/>
  <c r="C58" i="434"/>
  <c r="AS58" i="434" s="1"/>
  <c r="P58" i="434"/>
  <c r="AJ57" i="434"/>
  <c r="S57" i="434"/>
  <c r="R57" i="434"/>
  <c r="Q57" i="434"/>
  <c r="C57" i="434"/>
  <c r="AS57" i="434" s="1"/>
  <c r="P57" i="434"/>
  <c r="AJ56" i="434"/>
  <c r="T56" i="434"/>
  <c r="S56" i="434"/>
  <c r="R56" i="434"/>
  <c r="Q56" i="434"/>
  <c r="P56" i="434"/>
  <c r="C56" i="434"/>
  <c r="AS56" i="434" s="1"/>
  <c r="U56" i="434"/>
  <c r="V56" i="434" s="1"/>
  <c r="AJ55" i="434"/>
  <c r="S55" i="434"/>
  <c r="R55" i="434"/>
  <c r="Q55" i="434"/>
  <c r="C55" i="434"/>
  <c r="AS55" i="434" s="1"/>
  <c r="P55" i="434"/>
  <c r="AJ54" i="434"/>
  <c r="S54" i="434"/>
  <c r="R54" i="434"/>
  <c r="Q54" i="434"/>
  <c r="C54" i="434"/>
  <c r="T54" i="434" s="1"/>
  <c r="P54" i="434"/>
  <c r="AJ53" i="434"/>
  <c r="S53" i="434"/>
  <c r="R53" i="434"/>
  <c r="Q53" i="434"/>
  <c r="P53" i="434"/>
  <c r="C53" i="434"/>
  <c r="AS53" i="434" s="1"/>
  <c r="U53" i="434"/>
  <c r="V53" i="434" s="1"/>
  <c r="AJ52" i="434"/>
  <c r="S52" i="434"/>
  <c r="R52" i="434"/>
  <c r="Q52" i="434"/>
  <c r="C52" i="434"/>
  <c r="AS52" i="434" s="1"/>
  <c r="U52" i="434"/>
  <c r="V52" i="434" s="1"/>
  <c r="AJ51" i="434"/>
  <c r="S51" i="434"/>
  <c r="R51" i="434"/>
  <c r="Q51" i="434"/>
  <c r="C51" i="434"/>
  <c r="AS51" i="434" s="1"/>
  <c r="P51" i="434"/>
  <c r="AJ50" i="434"/>
  <c r="S50" i="434"/>
  <c r="R50" i="434"/>
  <c r="Q50" i="434"/>
  <c r="C50" i="434"/>
  <c r="AS50" i="434" s="1"/>
  <c r="P50" i="434"/>
  <c r="AJ49" i="434"/>
  <c r="T49" i="434"/>
  <c r="S49" i="434"/>
  <c r="R49" i="434"/>
  <c r="Q49" i="434"/>
  <c r="C49" i="434"/>
  <c r="AS49" i="434" s="1"/>
  <c r="P49" i="434"/>
  <c r="AJ48" i="434"/>
  <c r="S48" i="434"/>
  <c r="R48" i="434"/>
  <c r="Q48" i="434"/>
  <c r="P48" i="434"/>
  <c r="C48" i="434"/>
  <c r="AS48" i="434" s="1"/>
  <c r="U48" i="434"/>
  <c r="V48" i="434" s="1"/>
  <c r="AS47" i="434"/>
  <c r="AJ47" i="434"/>
  <c r="T47" i="434"/>
  <c r="S47" i="434"/>
  <c r="R47" i="434"/>
  <c r="Q47" i="434"/>
  <c r="C47" i="434"/>
  <c r="P47" i="434"/>
  <c r="AJ46" i="434"/>
  <c r="S46" i="434"/>
  <c r="R46" i="434"/>
  <c r="Q46" i="434"/>
  <c r="C46" i="434"/>
  <c r="T46" i="434" s="1"/>
  <c r="P46" i="434"/>
  <c r="AS45" i="434"/>
  <c r="AJ45" i="434"/>
  <c r="T45" i="434"/>
  <c r="S45" i="434"/>
  <c r="R45" i="434"/>
  <c r="Q45" i="434"/>
  <c r="P45" i="434"/>
  <c r="C45" i="434"/>
  <c r="AJ44" i="434"/>
  <c r="S44" i="434"/>
  <c r="R44" i="434"/>
  <c r="Q44" i="434"/>
  <c r="C44" i="434"/>
  <c r="AS44" i="434" s="1"/>
  <c r="P44" i="434"/>
  <c r="AJ43" i="434"/>
  <c r="S43" i="434"/>
  <c r="R43" i="434"/>
  <c r="Q43" i="434"/>
  <c r="P43" i="434"/>
  <c r="C43" i="434"/>
  <c r="T43" i="434" s="1"/>
  <c r="U43" i="434"/>
  <c r="V43" i="434" s="1"/>
  <c r="AJ42" i="434"/>
  <c r="S42" i="434"/>
  <c r="R42" i="434"/>
  <c r="Q42" i="434"/>
  <c r="C42" i="434"/>
  <c r="AS42" i="434" s="1"/>
  <c r="P42" i="434"/>
  <c r="AJ41" i="434"/>
  <c r="S41" i="434"/>
  <c r="R41" i="434"/>
  <c r="Q41" i="434"/>
  <c r="P41" i="434"/>
  <c r="C41" i="434"/>
  <c r="AS41" i="434" s="1"/>
  <c r="U41" i="434"/>
  <c r="V41" i="434" s="1"/>
  <c r="AJ40" i="434"/>
  <c r="S40" i="434"/>
  <c r="R40" i="434"/>
  <c r="Q40" i="434"/>
  <c r="C40" i="434"/>
  <c r="T40" i="434" s="1"/>
  <c r="P40" i="434"/>
  <c r="AJ39" i="434"/>
  <c r="S39" i="434"/>
  <c r="R39" i="434"/>
  <c r="Q39" i="434"/>
  <c r="C39" i="434"/>
  <c r="AS39" i="434" s="1"/>
  <c r="P39" i="434"/>
  <c r="AJ38" i="434"/>
  <c r="S38" i="434"/>
  <c r="R38" i="434"/>
  <c r="Q38" i="434"/>
  <c r="C38" i="434"/>
  <c r="T38" i="434" s="1"/>
  <c r="P38" i="434"/>
  <c r="AJ37" i="434"/>
  <c r="S37" i="434"/>
  <c r="R37" i="434"/>
  <c r="Q37" i="434"/>
  <c r="C37" i="434"/>
  <c r="T37" i="434" s="1"/>
  <c r="P37" i="434"/>
  <c r="AJ36" i="434"/>
  <c r="T36" i="434"/>
  <c r="S36" i="434"/>
  <c r="R36" i="434"/>
  <c r="Q36" i="434"/>
  <c r="C36" i="434"/>
  <c r="AS36" i="434" s="1"/>
  <c r="P36" i="434"/>
  <c r="AJ35" i="434"/>
  <c r="S35" i="434"/>
  <c r="R35" i="434"/>
  <c r="Q35" i="434"/>
  <c r="C35" i="434"/>
  <c r="AS35" i="434" s="1"/>
  <c r="P35" i="434"/>
  <c r="AJ34" i="434"/>
  <c r="S34" i="434"/>
  <c r="R34" i="434"/>
  <c r="Q34" i="434"/>
  <c r="C34" i="434"/>
  <c r="AS34" i="434" s="1"/>
  <c r="P34" i="434"/>
  <c r="AJ33" i="434"/>
  <c r="S33" i="434"/>
  <c r="R33" i="434"/>
  <c r="Q33" i="434"/>
  <c r="C33" i="434"/>
  <c r="AS33" i="434" s="1"/>
  <c r="P33" i="434"/>
  <c r="AJ32" i="434"/>
  <c r="S32" i="434"/>
  <c r="R32" i="434"/>
  <c r="Q32" i="434"/>
  <c r="C32" i="434"/>
  <c r="AS32" i="434" s="1"/>
  <c r="U32" i="434"/>
  <c r="V32" i="434" s="1"/>
  <c r="AJ31" i="434"/>
  <c r="S31" i="434"/>
  <c r="R31" i="434"/>
  <c r="Q31" i="434"/>
  <c r="C31" i="434"/>
  <c r="AS31" i="434" s="1"/>
  <c r="P31" i="434"/>
  <c r="AJ30" i="434"/>
  <c r="S30" i="434"/>
  <c r="R30" i="434"/>
  <c r="Q30" i="434"/>
  <c r="C30" i="434"/>
  <c r="AS30" i="434" s="1"/>
  <c r="P30" i="434"/>
  <c r="AJ29" i="434"/>
  <c r="T29" i="434"/>
  <c r="S29" i="434"/>
  <c r="R29" i="434"/>
  <c r="Q29" i="434"/>
  <c r="C29" i="434"/>
  <c r="AS29" i="434" s="1"/>
  <c r="P29" i="434"/>
  <c r="AJ28" i="434"/>
  <c r="S28" i="434"/>
  <c r="R28" i="434"/>
  <c r="Q28" i="434"/>
  <c r="C28" i="434"/>
  <c r="T28" i="434" s="1"/>
  <c r="P28" i="434"/>
  <c r="AS27" i="434"/>
  <c r="AJ27" i="434"/>
  <c r="T27" i="434"/>
  <c r="S27" i="434"/>
  <c r="R27" i="434"/>
  <c r="Q27" i="434"/>
  <c r="C27" i="434"/>
  <c r="P27" i="434"/>
  <c r="AJ26" i="434"/>
  <c r="S26" i="434"/>
  <c r="R26" i="434"/>
  <c r="Q26" i="434"/>
  <c r="C26" i="434"/>
  <c r="AS26" i="434" s="1"/>
  <c r="P26" i="434"/>
  <c r="AJ25" i="434"/>
  <c r="S25" i="434"/>
  <c r="R25" i="434"/>
  <c r="Q25" i="434"/>
  <c r="P25" i="434"/>
  <c r="C25" i="434"/>
  <c r="T25" i="434" s="1"/>
  <c r="U25" i="434"/>
  <c r="V25" i="434" s="1"/>
  <c r="AS24" i="434"/>
  <c r="AJ24" i="434"/>
  <c r="S24" i="434"/>
  <c r="R24" i="434"/>
  <c r="Q24" i="434"/>
  <c r="C24" i="434"/>
  <c r="T24" i="434" s="1"/>
  <c r="P24" i="434"/>
  <c r="AS23" i="434"/>
  <c r="AJ23" i="434"/>
  <c r="T23" i="434"/>
  <c r="S23" i="434"/>
  <c r="R23" i="434"/>
  <c r="Q23" i="434"/>
  <c r="C23" i="434"/>
  <c r="P23" i="434"/>
  <c r="AJ22" i="434"/>
  <c r="S22" i="434"/>
  <c r="R22" i="434"/>
  <c r="Q22" i="434"/>
  <c r="C22" i="434"/>
  <c r="AS22" i="434" s="1"/>
  <c r="AJ21" i="434"/>
  <c r="T21" i="434"/>
  <c r="S21" i="434"/>
  <c r="R21" i="434"/>
  <c r="Q21" i="434"/>
  <c r="C21" i="434"/>
  <c r="AS21" i="434" s="1"/>
  <c r="AJ20" i="434"/>
  <c r="T20" i="434"/>
  <c r="S20" i="434"/>
  <c r="R20" i="434"/>
  <c r="Q20" i="434"/>
  <c r="C20" i="434"/>
  <c r="AS20" i="434" s="1"/>
  <c r="U20" i="434"/>
  <c r="V20" i="434" s="1"/>
  <c r="AJ19" i="434"/>
  <c r="S19" i="434"/>
  <c r="R19" i="434"/>
  <c r="Q19" i="434"/>
  <c r="C19" i="434"/>
  <c r="AS19" i="434" s="1"/>
  <c r="AJ18" i="434"/>
  <c r="T18" i="434"/>
  <c r="S18" i="434"/>
  <c r="R18" i="434"/>
  <c r="Q18" i="434"/>
  <c r="C18" i="434"/>
  <c r="AS18" i="434" s="1"/>
  <c r="AS17" i="434"/>
  <c r="AJ17" i="434"/>
  <c r="T17" i="434"/>
  <c r="S17" i="434"/>
  <c r="R17" i="434"/>
  <c r="Q17" i="434"/>
  <c r="C17" i="434"/>
  <c r="AJ16" i="434"/>
  <c r="S16" i="434"/>
  <c r="R16" i="434"/>
  <c r="Q16" i="434"/>
  <c r="P16" i="434"/>
  <c r="C16" i="434"/>
  <c r="AS16" i="434" s="1"/>
  <c r="U16" i="434"/>
  <c r="V16" i="434" s="1"/>
  <c r="AJ15" i="434"/>
  <c r="S15" i="434"/>
  <c r="R15" i="434"/>
  <c r="Q15" i="434"/>
  <c r="C15" i="434"/>
  <c r="T15" i="434" s="1"/>
  <c r="P15" i="434"/>
  <c r="AJ14" i="434"/>
  <c r="S14" i="434"/>
  <c r="R14" i="434"/>
  <c r="Q14" i="434"/>
  <c r="C14" i="434"/>
  <c r="AS14" i="434" s="1"/>
  <c r="P14" i="434"/>
  <c r="AJ13" i="434"/>
  <c r="S13" i="434"/>
  <c r="R13" i="434"/>
  <c r="Q13" i="434"/>
  <c r="C13" i="434"/>
  <c r="AS13" i="434" s="1"/>
  <c r="P13" i="434"/>
  <c r="AS12" i="434"/>
  <c r="AJ12" i="434"/>
  <c r="T12" i="434"/>
  <c r="S12" i="434"/>
  <c r="R12" i="434"/>
  <c r="Q12" i="434"/>
  <c r="C12" i="434"/>
  <c r="P12" i="434"/>
  <c r="AJ11" i="434"/>
  <c r="S11" i="434"/>
  <c r="R11" i="434"/>
  <c r="Q11" i="434"/>
  <c r="C11" i="434"/>
  <c r="AS11" i="434" s="1"/>
  <c r="P11" i="434"/>
  <c r="AJ10" i="434"/>
  <c r="T10" i="434"/>
  <c r="S10" i="434"/>
  <c r="R10" i="434"/>
  <c r="Q10" i="434"/>
  <c r="P10" i="434"/>
  <c r="C10" i="434"/>
  <c r="AS10" i="434" s="1"/>
  <c r="AJ9" i="434"/>
  <c r="S9" i="434"/>
  <c r="R9" i="434"/>
  <c r="Q9" i="434"/>
  <c r="P9" i="434"/>
  <c r="C9" i="434"/>
  <c r="AS9" i="434" s="1"/>
  <c r="U9" i="434"/>
  <c r="V9" i="434" s="1"/>
  <c r="AJ908" i="433"/>
  <c r="V908" i="433"/>
  <c r="U908" i="433"/>
  <c r="S908" i="433"/>
  <c r="R908" i="433"/>
  <c r="Q908" i="433"/>
  <c r="C908" i="433"/>
  <c r="T908" i="433" s="1"/>
  <c r="B908" i="433"/>
  <c r="P908" i="433" s="1"/>
  <c r="AJ907" i="433"/>
  <c r="V907" i="433"/>
  <c r="U907" i="433"/>
  <c r="S907" i="433"/>
  <c r="R907" i="433"/>
  <c r="Q907" i="433"/>
  <c r="C907" i="433"/>
  <c r="T907" i="433" s="1"/>
  <c r="B907" i="433"/>
  <c r="P907" i="433" s="1"/>
  <c r="AJ906" i="433"/>
  <c r="V906" i="433"/>
  <c r="U906" i="433"/>
  <c r="S906" i="433"/>
  <c r="R906" i="433"/>
  <c r="Q906" i="433"/>
  <c r="C906" i="433"/>
  <c r="T906" i="433" s="1"/>
  <c r="B906" i="433"/>
  <c r="P906" i="433" s="1"/>
  <c r="AJ905" i="433"/>
  <c r="V905" i="433"/>
  <c r="U905" i="433"/>
  <c r="S905" i="433"/>
  <c r="R905" i="433"/>
  <c r="Q905" i="433"/>
  <c r="C905" i="433"/>
  <c r="T905" i="433" s="1"/>
  <c r="B905" i="433"/>
  <c r="P905" i="433" s="1"/>
  <c r="AJ904" i="433"/>
  <c r="V904" i="433"/>
  <c r="U904" i="433"/>
  <c r="S904" i="433"/>
  <c r="R904" i="433"/>
  <c r="Q904" i="433"/>
  <c r="C904" i="433"/>
  <c r="T904" i="433" s="1"/>
  <c r="B904" i="433"/>
  <c r="P904" i="433" s="1"/>
  <c r="AJ903" i="433"/>
  <c r="V903" i="433"/>
  <c r="U903" i="433"/>
  <c r="S903" i="433"/>
  <c r="R903" i="433"/>
  <c r="Q903" i="433"/>
  <c r="C903" i="433"/>
  <c r="T903" i="433" s="1"/>
  <c r="B903" i="433"/>
  <c r="P903" i="433" s="1"/>
  <c r="AJ902" i="433"/>
  <c r="V902" i="433"/>
  <c r="U902" i="433"/>
  <c r="S902" i="433"/>
  <c r="R902" i="433"/>
  <c r="Q902" i="433"/>
  <c r="C902" i="433"/>
  <c r="T902" i="433" s="1"/>
  <c r="B902" i="433"/>
  <c r="P902" i="433" s="1"/>
  <c r="AJ901" i="433"/>
  <c r="V901" i="433"/>
  <c r="U901" i="433"/>
  <c r="S901" i="433"/>
  <c r="R901" i="433"/>
  <c r="Q901" i="433"/>
  <c r="C901" i="433"/>
  <c r="T901" i="433" s="1"/>
  <c r="B901" i="433"/>
  <c r="P901" i="433" s="1"/>
  <c r="AJ900" i="433"/>
  <c r="V900" i="433"/>
  <c r="U900" i="433"/>
  <c r="S900" i="433"/>
  <c r="R900" i="433"/>
  <c r="Q900" i="433"/>
  <c r="C900" i="433"/>
  <c r="T900" i="433" s="1"/>
  <c r="B900" i="433"/>
  <c r="P900" i="433" s="1"/>
  <c r="AJ899" i="433"/>
  <c r="V899" i="433"/>
  <c r="U899" i="433"/>
  <c r="S899" i="433"/>
  <c r="R899" i="433"/>
  <c r="Q899" i="433"/>
  <c r="C899" i="433"/>
  <c r="T899" i="433" s="1"/>
  <c r="B899" i="433"/>
  <c r="P899" i="433" s="1"/>
  <c r="AJ898" i="433"/>
  <c r="V898" i="433"/>
  <c r="U898" i="433"/>
  <c r="S898" i="433"/>
  <c r="R898" i="433"/>
  <c r="Q898" i="433"/>
  <c r="C898" i="433"/>
  <c r="T898" i="433" s="1"/>
  <c r="B898" i="433"/>
  <c r="P898" i="433" s="1"/>
  <c r="AJ897" i="433"/>
  <c r="V897" i="433"/>
  <c r="U897" i="433"/>
  <c r="S897" i="433"/>
  <c r="R897" i="433"/>
  <c r="Q897" i="433"/>
  <c r="C897" i="433"/>
  <c r="T897" i="433" s="1"/>
  <c r="B897" i="433"/>
  <c r="P897" i="433" s="1"/>
  <c r="AJ896" i="433"/>
  <c r="V896" i="433"/>
  <c r="U896" i="433"/>
  <c r="S896" i="433"/>
  <c r="R896" i="433"/>
  <c r="Q896" i="433"/>
  <c r="C896" i="433"/>
  <c r="T896" i="433" s="1"/>
  <c r="B896" i="433"/>
  <c r="P896" i="433" s="1"/>
  <c r="AJ895" i="433"/>
  <c r="V895" i="433"/>
  <c r="U895" i="433"/>
  <c r="S895" i="433"/>
  <c r="R895" i="433"/>
  <c r="Q895" i="433"/>
  <c r="C895" i="433"/>
  <c r="T895" i="433" s="1"/>
  <c r="B895" i="433"/>
  <c r="P895" i="433" s="1"/>
  <c r="AJ894" i="433"/>
  <c r="V894" i="433"/>
  <c r="U894" i="433"/>
  <c r="S894" i="433"/>
  <c r="R894" i="433"/>
  <c r="Q894" i="433"/>
  <c r="C894" i="433"/>
  <c r="T894" i="433" s="1"/>
  <c r="B894" i="433"/>
  <c r="P894" i="433" s="1"/>
  <c r="AJ893" i="433"/>
  <c r="V893" i="433"/>
  <c r="U893" i="433"/>
  <c r="S893" i="433"/>
  <c r="R893" i="433"/>
  <c r="Q893" i="433"/>
  <c r="C893" i="433"/>
  <c r="T893" i="433" s="1"/>
  <c r="B893" i="433"/>
  <c r="P893" i="433" s="1"/>
  <c r="AJ892" i="433"/>
  <c r="V892" i="433"/>
  <c r="U892" i="433"/>
  <c r="S892" i="433"/>
  <c r="R892" i="433"/>
  <c r="Q892" i="433"/>
  <c r="C892" i="433"/>
  <c r="T892" i="433" s="1"/>
  <c r="B892" i="433"/>
  <c r="P892" i="433" s="1"/>
  <c r="AJ891" i="433"/>
  <c r="V891" i="433"/>
  <c r="U891" i="433"/>
  <c r="T891" i="433"/>
  <c r="S891" i="433"/>
  <c r="R891" i="433"/>
  <c r="Q891" i="433"/>
  <c r="C891" i="433"/>
  <c r="B891" i="433"/>
  <c r="P891" i="433" s="1"/>
  <c r="AJ890" i="433"/>
  <c r="V890" i="433"/>
  <c r="U890" i="433"/>
  <c r="S890" i="433"/>
  <c r="R890" i="433"/>
  <c r="Q890" i="433"/>
  <c r="C890" i="433"/>
  <c r="T890" i="433" s="1"/>
  <c r="B890" i="433"/>
  <c r="P890" i="433" s="1"/>
  <c r="AJ889" i="433"/>
  <c r="V889" i="433"/>
  <c r="U889" i="433"/>
  <c r="S889" i="433"/>
  <c r="R889" i="433"/>
  <c r="Q889" i="433"/>
  <c r="C889" i="433"/>
  <c r="T889" i="433" s="1"/>
  <c r="B889" i="433"/>
  <c r="P889" i="433" s="1"/>
  <c r="AJ888" i="433"/>
  <c r="V888" i="433"/>
  <c r="U888" i="433"/>
  <c r="S888" i="433"/>
  <c r="R888" i="433"/>
  <c r="Q888" i="433"/>
  <c r="C888" i="433"/>
  <c r="T888" i="433" s="1"/>
  <c r="B888" i="433"/>
  <c r="P888" i="433" s="1"/>
  <c r="AJ887" i="433"/>
  <c r="V887" i="433"/>
  <c r="U887" i="433"/>
  <c r="S887" i="433"/>
  <c r="R887" i="433"/>
  <c r="Q887" i="433"/>
  <c r="P887" i="433"/>
  <c r="C887" i="433"/>
  <c r="T887" i="433" s="1"/>
  <c r="B887" i="433"/>
  <c r="AJ886" i="433"/>
  <c r="V886" i="433"/>
  <c r="U886" i="433"/>
  <c r="S886" i="433"/>
  <c r="R886" i="433"/>
  <c r="Q886" i="433"/>
  <c r="C886" i="433"/>
  <c r="T886" i="433" s="1"/>
  <c r="B886" i="433"/>
  <c r="P886" i="433" s="1"/>
  <c r="AJ885" i="433"/>
  <c r="V885" i="433"/>
  <c r="U885" i="433"/>
  <c r="S885" i="433"/>
  <c r="R885" i="433"/>
  <c r="Q885" i="433"/>
  <c r="C885" i="433"/>
  <c r="T885" i="433" s="1"/>
  <c r="B885" i="433"/>
  <c r="P885" i="433" s="1"/>
  <c r="AJ884" i="433"/>
  <c r="V884" i="433"/>
  <c r="U884" i="433"/>
  <c r="S884" i="433"/>
  <c r="R884" i="433"/>
  <c r="Q884" i="433"/>
  <c r="C884" i="433"/>
  <c r="T884" i="433" s="1"/>
  <c r="B884" i="433"/>
  <c r="P884" i="433" s="1"/>
  <c r="AJ883" i="433"/>
  <c r="V883" i="433"/>
  <c r="U883" i="433"/>
  <c r="S883" i="433"/>
  <c r="R883" i="433"/>
  <c r="Q883" i="433"/>
  <c r="P883" i="433"/>
  <c r="C883" i="433"/>
  <c r="T883" i="433" s="1"/>
  <c r="B883" i="433"/>
  <c r="AJ882" i="433"/>
  <c r="V882" i="433"/>
  <c r="U882" i="433"/>
  <c r="S882" i="433"/>
  <c r="R882" i="433"/>
  <c r="Q882" i="433"/>
  <c r="C882" i="433"/>
  <c r="T882" i="433" s="1"/>
  <c r="B882" i="433"/>
  <c r="P882" i="433" s="1"/>
  <c r="AJ881" i="433"/>
  <c r="V881" i="433"/>
  <c r="U881" i="433"/>
  <c r="S881" i="433"/>
  <c r="R881" i="433"/>
  <c r="Q881" i="433"/>
  <c r="C881" i="433"/>
  <c r="T881" i="433" s="1"/>
  <c r="B881" i="433"/>
  <c r="P881" i="433" s="1"/>
  <c r="AJ880" i="433"/>
  <c r="V880" i="433"/>
  <c r="U880" i="433"/>
  <c r="S880" i="433"/>
  <c r="R880" i="433"/>
  <c r="Q880" i="433"/>
  <c r="C880" i="433"/>
  <c r="T880" i="433" s="1"/>
  <c r="B880" i="433"/>
  <c r="P880" i="433" s="1"/>
  <c r="AJ879" i="433"/>
  <c r="V879" i="433"/>
  <c r="U879" i="433"/>
  <c r="S879" i="433"/>
  <c r="R879" i="433"/>
  <c r="Q879" i="433"/>
  <c r="C879" i="433"/>
  <c r="T879" i="433" s="1"/>
  <c r="B879" i="433"/>
  <c r="P879" i="433" s="1"/>
  <c r="AJ878" i="433"/>
  <c r="V878" i="433"/>
  <c r="U878" i="433"/>
  <c r="S878" i="433"/>
  <c r="R878" i="433"/>
  <c r="Q878" i="433"/>
  <c r="P878" i="433"/>
  <c r="C878" i="433"/>
  <c r="T878" i="433" s="1"/>
  <c r="B878" i="433"/>
  <c r="AJ877" i="433"/>
  <c r="V877" i="433"/>
  <c r="U877" i="433"/>
  <c r="S877" i="433"/>
  <c r="R877" i="433"/>
  <c r="Q877" i="433"/>
  <c r="C877" i="433"/>
  <c r="T877" i="433" s="1"/>
  <c r="B877" i="433"/>
  <c r="P877" i="433" s="1"/>
  <c r="AJ876" i="433"/>
  <c r="V876" i="433"/>
  <c r="U876" i="433"/>
  <c r="T876" i="433"/>
  <c r="S876" i="433"/>
  <c r="R876" i="433"/>
  <c r="Q876" i="433"/>
  <c r="C876" i="433"/>
  <c r="B876" i="433"/>
  <c r="P876" i="433" s="1"/>
  <c r="AJ875" i="433"/>
  <c r="V875" i="433"/>
  <c r="U875" i="433"/>
  <c r="S875" i="433"/>
  <c r="R875" i="433"/>
  <c r="Q875" i="433"/>
  <c r="C875" i="433"/>
  <c r="T875" i="433" s="1"/>
  <c r="B875" i="433"/>
  <c r="P875" i="433" s="1"/>
  <c r="AJ874" i="433"/>
  <c r="V874" i="433"/>
  <c r="U874" i="433"/>
  <c r="S874" i="433"/>
  <c r="R874" i="433"/>
  <c r="Q874" i="433"/>
  <c r="C874" i="433"/>
  <c r="T874" i="433" s="1"/>
  <c r="B874" i="433"/>
  <c r="P874" i="433" s="1"/>
  <c r="AJ873" i="433"/>
  <c r="V873" i="433"/>
  <c r="U873" i="433"/>
  <c r="S873" i="433"/>
  <c r="R873" i="433"/>
  <c r="Q873" i="433"/>
  <c r="C873" i="433"/>
  <c r="T873" i="433" s="1"/>
  <c r="B873" i="433"/>
  <c r="P873" i="433" s="1"/>
  <c r="AJ872" i="433"/>
  <c r="V872" i="433"/>
  <c r="U872" i="433"/>
  <c r="S872" i="433"/>
  <c r="R872" i="433"/>
  <c r="Q872" i="433"/>
  <c r="P872" i="433"/>
  <c r="C872" i="433"/>
  <c r="T872" i="433" s="1"/>
  <c r="B872" i="433"/>
  <c r="AJ871" i="433"/>
  <c r="V871" i="433"/>
  <c r="U871" i="433"/>
  <c r="S871" i="433"/>
  <c r="R871" i="433"/>
  <c r="Q871" i="433"/>
  <c r="C871" i="433"/>
  <c r="T871" i="433" s="1"/>
  <c r="B871" i="433"/>
  <c r="P871" i="433" s="1"/>
  <c r="AJ870" i="433"/>
  <c r="V870" i="433"/>
  <c r="U870" i="433"/>
  <c r="S870" i="433"/>
  <c r="R870" i="433"/>
  <c r="Q870" i="433"/>
  <c r="P870" i="433"/>
  <c r="C870" i="433"/>
  <c r="T870" i="433" s="1"/>
  <c r="B870" i="433"/>
  <c r="AJ869" i="433"/>
  <c r="V869" i="433"/>
  <c r="U869" i="433"/>
  <c r="S869" i="433"/>
  <c r="R869" i="433"/>
  <c r="Q869" i="433"/>
  <c r="C869" i="433"/>
  <c r="T869" i="433" s="1"/>
  <c r="B869" i="433"/>
  <c r="P869" i="433" s="1"/>
  <c r="AJ868" i="433"/>
  <c r="V868" i="433"/>
  <c r="U868" i="433"/>
  <c r="S868" i="433"/>
  <c r="R868" i="433"/>
  <c r="Q868" i="433"/>
  <c r="C868" i="433"/>
  <c r="T868" i="433" s="1"/>
  <c r="B868" i="433"/>
  <c r="P868" i="433" s="1"/>
  <c r="AJ867" i="433"/>
  <c r="V867" i="433"/>
  <c r="U867" i="433"/>
  <c r="S867" i="433"/>
  <c r="R867" i="433"/>
  <c r="Q867" i="433"/>
  <c r="C867" i="433"/>
  <c r="T867" i="433" s="1"/>
  <c r="B867" i="433"/>
  <c r="P867" i="433" s="1"/>
  <c r="AJ866" i="433"/>
  <c r="V866" i="433"/>
  <c r="U866" i="433"/>
  <c r="S866" i="433"/>
  <c r="R866" i="433"/>
  <c r="Q866" i="433"/>
  <c r="P866" i="433"/>
  <c r="C866" i="433"/>
  <c r="T866" i="433" s="1"/>
  <c r="B866" i="433"/>
  <c r="AJ865" i="433"/>
  <c r="V865" i="433"/>
  <c r="U865" i="433"/>
  <c r="T865" i="433"/>
  <c r="S865" i="433"/>
  <c r="R865" i="433"/>
  <c r="Q865" i="433"/>
  <c r="C865" i="433"/>
  <c r="B865" i="433"/>
  <c r="P865" i="433" s="1"/>
  <c r="AJ864" i="433"/>
  <c r="V864" i="433"/>
  <c r="U864" i="433"/>
  <c r="S864" i="433"/>
  <c r="R864" i="433"/>
  <c r="Q864" i="433"/>
  <c r="P864" i="433"/>
  <c r="C864" i="433"/>
  <c r="T864" i="433" s="1"/>
  <c r="B864" i="433"/>
  <c r="AJ863" i="433"/>
  <c r="V863" i="433"/>
  <c r="U863" i="433"/>
  <c r="S863" i="433"/>
  <c r="R863" i="433"/>
  <c r="Q863" i="433"/>
  <c r="C863" i="433"/>
  <c r="T863" i="433" s="1"/>
  <c r="B863" i="433"/>
  <c r="P863" i="433" s="1"/>
  <c r="AJ862" i="433"/>
  <c r="V862" i="433"/>
  <c r="U862" i="433"/>
  <c r="S862" i="433"/>
  <c r="R862" i="433"/>
  <c r="Q862" i="433"/>
  <c r="P862" i="433"/>
  <c r="C862" i="433"/>
  <c r="T862" i="433" s="1"/>
  <c r="B862" i="433"/>
  <c r="AJ861" i="433"/>
  <c r="V861" i="433"/>
  <c r="U861" i="433"/>
  <c r="S861" i="433"/>
  <c r="R861" i="433"/>
  <c r="Q861" i="433"/>
  <c r="C861" i="433"/>
  <c r="T861" i="433" s="1"/>
  <c r="B861" i="433"/>
  <c r="P861" i="433" s="1"/>
  <c r="AJ860" i="433"/>
  <c r="V860" i="433"/>
  <c r="U860" i="433"/>
  <c r="S860" i="433"/>
  <c r="R860" i="433"/>
  <c r="Q860" i="433"/>
  <c r="C860" i="433"/>
  <c r="T860" i="433" s="1"/>
  <c r="B860" i="433"/>
  <c r="P860" i="433" s="1"/>
  <c r="AJ859" i="433"/>
  <c r="V859" i="433"/>
  <c r="U859" i="433"/>
  <c r="S859" i="433"/>
  <c r="R859" i="433"/>
  <c r="Q859" i="433"/>
  <c r="C859" i="433"/>
  <c r="T859" i="433" s="1"/>
  <c r="B859" i="433"/>
  <c r="P859" i="433" s="1"/>
  <c r="AJ858" i="433"/>
  <c r="V858" i="433"/>
  <c r="U858" i="433"/>
  <c r="S858" i="433"/>
  <c r="R858" i="433"/>
  <c r="Q858" i="433"/>
  <c r="P858" i="433"/>
  <c r="C858" i="433"/>
  <c r="T858" i="433" s="1"/>
  <c r="B858" i="433"/>
  <c r="AJ857" i="433"/>
  <c r="V857" i="433"/>
  <c r="U857" i="433"/>
  <c r="S857" i="433"/>
  <c r="R857" i="433"/>
  <c r="Q857" i="433"/>
  <c r="C857" i="433"/>
  <c r="T857" i="433" s="1"/>
  <c r="B857" i="433"/>
  <c r="P857" i="433" s="1"/>
  <c r="AJ856" i="433"/>
  <c r="V856" i="433"/>
  <c r="U856" i="433"/>
  <c r="S856" i="433"/>
  <c r="R856" i="433"/>
  <c r="Q856" i="433"/>
  <c r="C856" i="433"/>
  <c r="T856" i="433" s="1"/>
  <c r="B856" i="433"/>
  <c r="P856" i="433" s="1"/>
  <c r="AJ855" i="433"/>
  <c r="V855" i="433"/>
  <c r="U855" i="433"/>
  <c r="S855" i="433"/>
  <c r="R855" i="433"/>
  <c r="Q855" i="433"/>
  <c r="C855" i="433"/>
  <c r="T855" i="433" s="1"/>
  <c r="B855" i="433"/>
  <c r="P855" i="433" s="1"/>
  <c r="AJ854" i="433"/>
  <c r="V854" i="433"/>
  <c r="U854" i="433"/>
  <c r="S854" i="433"/>
  <c r="R854" i="433"/>
  <c r="Q854" i="433"/>
  <c r="P854" i="433"/>
  <c r="C854" i="433"/>
  <c r="T854" i="433" s="1"/>
  <c r="B854" i="433"/>
  <c r="AJ853" i="433"/>
  <c r="V853" i="433"/>
  <c r="U853" i="433"/>
  <c r="S853" i="433"/>
  <c r="R853" i="433"/>
  <c r="Q853" i="433"/>
  <c r="C853" i="433"/>
  <c r="T853" i="433" s="1"/>
  <c r="B853" i="433"/>
  <c r="P853" i="433" s="1"/>
  <c r="AJ852" i="433"/>
  <c r="V852" i="433"/>
  <c r="U852" i="433"/>
  <c r="T852" i="433"/>
  <c r="S852" i="433"/>
  <c r="R852" i="433"/>
  <c r="Q852" i="433"/>
  <c r="C852" i="433"/>
  <c r="B852" i="433"/>
  <c r="P852" i="433" s="1"/>
  <c r="AJ851" i="433"/>
  <c r="V851" i="433"/>
  <c r="U851" i="433"/>
  <c r="S851" i="433"/>
  <c r="R851" i="433"/>
  <c r="Q851" i="433"/>
  <c r="C851" i="433"/>
  <c r="T851" i="433" s="1"/>
  <c r="B851" i="433"/>
  <c r="P851" i="433" s="1"/>
  <c r="AJ850" i="433"/>
  <c r="V850" i="433"/>
  <c r="U850" i="433"/>
  <c r="S850" i="433"/>
  <c r="R850" i="433"/>
  <c r="Q850" i="433"/>
  <c r="C850" i="433"/>
  <c r="T850" i="433" s="1"/>
  <c r="B850" i="433"/>
  <c r="P850" i="433" s="1"/>
  <c r="AJ849" i="433"/>
  <c r="V849" i="433"/>
  <c r="U849" i="433"/>
  <c r="S849" i="433"/>
  <c r="R849" i="433"/>
  <c r="Q849" i="433"/>
  <c r="C849" i="433"/>
  <c r="T849" i="433" s="1"/>
  <c r="B849" i="433"/>
  <c r="P849" i="433" s="1"/>
  <c r="AJ848" i="433"/>
  <c r="V848" i="433"/>
  <c r="U848" i="433"/>
  <c r="S848" i="433"/>
  <c r="R848" i="433"/>
  <c r="Q848" i="433"/>
  <c r="C848" i="433"/>
  <c r="T848" i="433" s="1"/>
  <c r="B848" i="433"/>
  <c r="P848" i="433" s="1"/>
  <c r="AJ847" i="433"/>
  <c r="V847" i="433"/>
  <c r="U847" i="433"/>
  <c r="T847" i="433"/>
  <c r="S847" i="433"/>
  <c r="R847" i="433"/>
  <c r="Q847" i="433"/>
  <c r="P847" i="433"/>
  <c r="C847" i="433"/>
  <c r="B847" i="433"/>
  <c r="AJ846" i="433"/>
  <c r="V846" i="433"/>
  <c r="U846" i="433"/>
  <c r="S846" i="433"/>
  <c r="R846" i="433"/>
  <c r="Q846" i="433"/>
  <c r="C846" i="433"/>
  <c r="T846" i="433" s="1"/>
  <c r="B846" i="433"/>
  <c r="P846" i="433" s="1"/>
  <c r="AJ845" i="433"/>
  <c r="V845" i="433"/>
  <c r="U845" i="433"/>
  <c r="S845" i="433"/>
  <c r="R845" i="433"/>
  <c r="Q845" i="433"/>
  <c r="C845" i="433"/>
  <c r="T845" i="433" s="1"/>
  <c r="B845" i="433"/>
  <c r="P845" i="433" s="1"/>
  <c r="AJ844" i="433"/>
  <c r="V844" i="433"/>
  <c r="U844" i="433"/>
  <c r="S844" i="433"/>
  <c r="R844" i="433"/>
  <c r="Q844" i="433"/>
  <c r="C844" i="433"/>
  <c r="T844" i="433" s="1"/>
  <c r="B844" i="433"/>
  <c r="P844" i="433" s="1"/>
  <c r="AJ843" i="433"/>
  <c r="V843" i="433"/>
  <c r="U843" i="433"/>
  <c r="S843" i="433"/>
  <c r="R843" i="433"/>
  <c r="Q843" i="433"/>
  <c r="P843" i="433"/>
  <c r="C843" i="433"/>
  <c r="T843" i="433" s="1"/>
  <c r="B843" i="433"/>
  <c r="AJ842" i="433"/>
  <c r="V842" i="433"/>
  <c r="U842" i="433"/>
  <c r="S842" i="433"/>
  <c r="R842" i="433"/>
  <c r="Q842" i="433"/>
  <c r="C842" i="433"/>
  <c r="T842" i="433" s="1"/>
  <c r="B842" i="433"/>
  <c r="P842" i="433" s="1"/>
  <c r="AJ841" i="433"/>
  <c r="V841" i="433"/>
  <c r="U841" i="433"/>
  <c r="S841" i="433"/>
  <c r="R841" i="433"/>
  <c r="Q841" i="433"/>
  <c r="C841" i="433"/>
  <c r="T841" i="433" s="1"/>
  <c r="B841" i="433"/>
  <c r="P841" i="433" s="1"/>
  <c r="AJ840" i="433"/>
  <c r="V840" i="433"/>
  <c r="U840" i="433"/>
  <c r="S840" i="433"/>
  <c r="R840" i="433"/>
  <c r="Q840" i="433"/>
  <c r="C840" i="433"/>
  <c r="T840" i="433" s="1"/>
  <c r="B840" i="433"/>
  <c r="P840" i="433" s="1"/>
  <c r="AJ839" i="433"/>
  <c r="V839" i="433"/>
  <c r="U839" i="433"/>
  <c r="S839" i="433"/>
  <c r="R839" i="433"/>
  <c r="Q839" i="433"/>
  <c r="C839" i="433"/>
  <c r="T839" i="433" s="1"/>
  <c r="B839" i="433"/>
  <c r="P839" i="433" s="1"/>
  <c r="AJ838" i="433"/>
  <c r="V838" i="433"/>
  <c r="U838" i="433"/>
  <c r="S838" i="433"/>
  <c r="R838" i="433"/>
  <c r="Q838" i="433"/>
  <c r="C838" i="433"/>
  <c r="T838" i="433" s="1"/>
  <c r="B838" i="433"/>
  <c r="P838" i="433" s="1"/>
  <c r="AJ837" i="433"/>
  <c r="V837" i="433"/>
  <c r="U837" i="433"/>
  <c r="S837" i="433"/>
  <c r="R837" i="433"/>
  <c r="Q837" i="433"/>
  <c r="C837" i="433"/>
  <c r="T837" i="433" s="1"/>
  <c r="B837" i="433"/>
  <c r="P837" i="433" s="1"/>
  <c r="AJ836" i="433"/>
  <c r="V836" i="433"/>
  <c r="U836" i="433"/>
  <c r="S836" i="433"/>
  <c r="R836" i="433"/>
  <c r="Q836" i="433"/>
  <c r="C836" i="433"/>
  <c r="T836" i="433" s="1"/>
  <c r="B836" i="433"/>
  <c r="P836" i="433" s="1"/>
  <c r="AJ835" i="433"/>
  <c r="V835" i="433"/>
  <c r="U835" i="433"/>
  <c r="S835" i="433"/>
  <c r="R835" i="433"/>
  <c r="Q835" i="433"/>
  <c r="C835" i="433"/>
  <c r="T835" i="433" s="1"/>
  <c r="B835" i="433"/>
  <c r="P835" i="433" s="1"/>
  <c r="AJ834" i="433"/>
  <c r="V834" i="433"/>
  <c r="U834" i="433"/>
  <c r="S834" i="433"/>
  <c r="R834" i="433"/>
  <c r="Q834" i="433"/>
  <c r="C834" i="433"/>
  <c r="T834" i="433" s="1"/>
  <c r="B834" i="433"/>
  <c r="P834" i="433" s="1"/>
  <c r="AJ833" i="433"/>
  <c r="V833" i="433"/>
  <c r="U833" i="433"/>
  <c r="S833" i="433"/>
  <c r="R833" i="433"/>
  <c r="Q833" i="433"/>
  <c r="C833" i="433"/>
  <c r="T833" i="433" s="1"/>
  <c r="B833" i="433"/>
  <c r="P833" i="433" s="1"/>
  <c r="AJ832" i="433"/>
  <c r="V832" i="433"/>
  <c r="U832" i="433"/>
  <c r="S832" i="433"/>
  <c r="R832" i="433"/>
  <c r="Q832" i="433"/>
  <c r="C832" i="433"/>
  <c r="T832" i="433" s="1"/>
  <c r="B832" i="433"/>
  <c r="P832" i="433" s="1"/>
  <c r="AJ831" i="433"/>
  <c r="V831" i="433"/>
  <c r="U831" i="433"/>
  <c r="S831" i="433"/>
  <c r="R831" i="433"/>
  <c r="Q831" i="433"/>
  <c r="C831" i="433"/>
  <c r="T831" i="433" s="1"/>
  <c r="B831" i="433"/>
  <c r="P831" i="433" s="1"/>
  <c r="AJ830" i="433"/>
  <c r="V830" i="433"/>
  <c r="U830" i="433"/>
  <c r="T830" i="433"/>
  <c r="S830" i="433"/>
  <c r="R830" i="433"/>
  <c r="Q830" i="433"/>
  <c r="P830" i="433"/>
  <c r="C830" i="433"/>
  <c r="B830" i="433"/>
  <c r="AJ829" i="433"/>
  <c r="V829" i="433"/>
  <c r="U829" i="433"/>
  <c r="S829" i="433"/>
  <c r="R829" i="433"/>
  <c r="Q829" i="433"/>
  <c r="C829" i="433"/>
  <c r="T829" i="433" s="1"/>
  <c r="B829" i="433"/>
  <c r="P829" i="433" s="1"/>
  <c r="AJ828" i="433"/>
  <c r="V828" i="433"/>
  <c r="U828" i="433"/>
  <c r="S828" i="433"/>
  <c r="R828" i="433"/>
  <c r="Q828" i="433"/>
  <c r="C828" i="433"/>
  <c r="T828" i="433" s="1"/>
  <c r="B828" i="433"/>
  <c r="P828" i="433" s="1"/>
  <c r="AJ827" i="433"/>
  <c r="V827" i="433"/>
  <c r="U827" i="433"/>
  <c r="S827" i="433"/>
  <c r="R827" i="433"/>
  <c r="Q827" i="433"/>
  <c r="C827" i="433"/>
  <c r="T827" i="433" s="1"/>
  <c r="B827" i="433"/>
  <c r="P827" i="433" s="1"/>
  <c r="AJ826" i="433"/>
  <c r="V826" i="433"/>
  <c r="U826" i="433"/>
  <c r="S826" i="433"/>
  <c r="R826" i="433"/>
  <c r="Q826" i="433"/>
  <c r="P826" i="433"/>
  <c r="C826" i="433"/>
  <c r="T826" i="433" s="1"/>
  <c r="B826" i="433"/>
  <c r="AJ825" i="433"/>
  <c r="V825" i="433"/>
  <c r="U825" i="433"/>
  <c r="S825" i="433"/>
  <c r="R825" i="433"/>
  <c r="Q825" i="433"/>
  <c r="C825" i="433"/>
  <c r="T825" i="433" s="1"/>
  <c r="B825" i="433"/>
  <c r="P825" i="433" s="1"/>
  <c r="AJ824" i="433"/>
  <c r="V824" i="433"/>
  <c r="U824" i="433"/>
  <c r="S824" i="433"/>
  <c r="R824" i="433"/>
  <c r="Q824" i="433"/>
  <c r="C824" i="433"/>
  <c r="T824" i="433" s="1"/>
  <c r="B824" i="433"/>
  <c r="P824" i="433" s="1"/>
  <c r="AJ823" i="433"/>
  <c r="V823" i="433"/>
  <c r="U823" i="433"/>
  <c r="S823" i="433"/>
  <c r="R823" i="433"/>
  <c r="Q823" i="433"/>
  <c r="C823" i="433"/>
  <c r="T823" i="433" s="1"/>
  <c r="B823" i="433"/>
  <c r="P823" i="433" s="1"/>
  <c r="AJ822" i="433"/>
  <c r="V822" i="433"/>
  <c r="U822" i="433"/>
  <c r="S822" i="433"/>
  <c r="R822" i="433"/>
  <c r="Q822" i="433"/>
  <c r="P822" i="433"/>
  <c r="C822" i="433"/>
  <c r="T822" i="433" s="1"/>
  <c r="B822" i="433"/>
  <c r="AJ821" i="433"/>
  <c r="V821" i="433"/>
  <c r="U821" i="433"/>
  <c r="S821" i="433"/>
  <c r="R821" i="433"/>
  <c r="Q821" i="433"/>
  <c r="C821" i="433"/>
  <c r="T821" i="433" s="1"/>
  <c r="B821" i="433"/>
  <c r="P821" i="433" s="1"/>
  <c r="AJ820" i="433"/>
  <c r="V820" i="433"/>
  <c r="U820" i="433"/>
  <c r="T820" i="433"/>
  <c r="S820" i="433"/>
  <c r="R820" i="433"/>
  <c r="Q820" i="433"/>
  <c r="C820" i="433"/>
  <c r="B820" i="433"/>
  <c r="P820" i="433" s="1"/>
  <c r="AJ819" i="433"/>
  <c r="V819" i="433"/>
  <c r="U819" i="433"/>
  <c r="T819" i="433"/>
  <c r="S819" i="433"/>
  <c r="R819" i="433"/>
  <c r="Q819" i="433"/>
  <c r="C819" i="433"/>
  <c r="B819" i="433"/>
  <c r="P819" i="433" s="1"/>
  <c r="AJ818" i="433"/>
  <c r="V818" i="433"/>
  <c r="U818" i="433"/>
  <c r="S818" i="433"/>
  <c r="R818" i="433"/>
  <c r="Q818" i="433"/>
  <c r="P818" i="433"/>
  <c r="C818" i="433"/>
  <c r="T818" i="433" s="1"/>
  <c r="B818" i="433"/>
  <c r="AJ817" i="433"/>
  <c r="V817" i="433"/>
  <c r="U817" i="433"/>
  <c r="T817" i="433"/>
  <c r="S817" i="433"/>
  <c r="R817" i="433"/>
  <c r="Q817" i="433"/>
  <c r="C817" i="433"/>
  <c r="B817" i="433"/>
  <c r="P817" i="433" s="1"/>
  <c r="AJ816" i="433"/>
  <c r="V816" i="433"/>
  <c r="U816" i="433"/>
  <c r="S816" i="433"/>
  <c r="R816" i="433"/>
  <c r="Q816" i="433"/>
  <c r="P816" i="433"/>
  <c r="C816" i="433"/>
  <c r="T816" i="433" s="1"/>
  <c r="B816" i="433"/>
  <c r="AJ815" i="433"/>
  <c r="V815" i="433"/>
  <c r="U815" i="433"/>
  <c r="S815" i="433"/>
  <c r="R815" i="433"/>
  <c r="Q815" i="433"/>
  <c r="P815" i="433"/>
  <c r="C815" i="433"/>
  <c r="T815" i="433" s="1"/>
  <c r="B815" i="433"/>
  <c r="AJ814" i="433"/>
  <c r="V814" i="433"/>
  <c r="U814" i="433"/>
  <c r="S814" i="433"/>
  <c r="R814" i="433"/>
  <c r="Q814" i="433"/>
  <c r="P814" i="433"/>
  <c r="C814" i="433"/>
  <c r="T814" i="433" s="1"/>
  <c r="B814" i="433"/>
  <c r="AJ813" i="433"/>
  <c r="V813" i="433"/>
  <c r="U813" i="433"/>
  <c r="S813" i="433"/>
  <c r="R813" i="433"/>
  <c r="Q813" i="433"/>
  <c r="C813" i="433"/>
  <c r="T813" i="433" s="1"/>
  <c r="B813" i="433"/>
  <c r="P813" i="433" s="1"/>
  <c r="AJ812" i="433"/>
  <c r="V812" i="433"/>
  <c r="U812" i="433"/>
  <c r="S812" i="433"/>
  <c r="R812" i="433"/>
  <c r="Q812" i="433"/>
  <c r="C812" i="433"/>
  <c r="T812" i="433" s="1"/>
  <c r="B812" i="433"/>
  <c r="P812" i="433" s="1"/>
  <c r="AJ811" i="433"/>
  <c r="V811" i="433"/>
  <c r="U811" i="433"/>
  <c r="S811" i="433"/>
  <c r="R811" i="433"/>
  <c r="Q811" i="433"/>
  <c r="C811" i="433"/>
  <c r="T811" i="433" s="1"/>
  <c r="B811" i="433"/>
  <c r="P811" i="433" s="1"/>
  <c r="AJ810" i="433"/>
  <c r="V810" i="433"/>
  <c r="U810" i="433"/>
  <c r="S810" i="433"/>
  <c r="R810" i="433"/>
  <c r="Q810" i="433"/>
  <c r="C810" i="433"/>
  <c r="T810" i="433" s="1"/>
  <c r="B810" i="433"/>
  <c r="P810" i="433" s="1"/>
  <c r="AJ809" i="433"/>
  <c r="V809" i="433"/>
  <c r="U809" i="433"/>
  <c r="S809" i="433"/>
  <c r="R809" i="433"/>
  <c r="Q809" i="433"/>
  <c r="C809" i="433"/>
  <c r="T809" i="433" s="1"/>
  <c r="B809" i="433"/>
  <c r="P809" i="433" s="1"/>
  <c r="AJ808" i="433"/>
  <c r="V808" i="433"/>
  <c r="U808" i="433"/>
  <c r="S808" i="433"/>
  <c r="R808" i="433"/>
  <c r="Q808" i="433"/>
  <c r="C808" i="433"/>
  <c r="T808" i="433" s="1"/>
  <c r="B808" i="433"/>
  <c r="P808" i="433" s="1"/>
  <c r="AJ807" i="433"/>
  <c r="V807" i="433"/>
  <c r="U807" i="433"/>
  <c r="S807" i="433"/>
  <c r="R807" i="433"/>
  <c r="Q807" i="433"/>
  <c r="P807" i="433"/>
  <c r="C807" i="433"/>
  <c r="T807" i="433" s="1"/>
  <c r="B807" i="433"/>
  <c r="AJ806" i="433"/>
  <c r="V806" i="433"/>
  <c r="U806" i="433"/>
  <c r="S806" i="433"/>
  <c r="R806" i="433"/>
  <c r="Q806" i="433"/>
  <c r="P806" i="433"/>
  <c r="C806" i="433"/>
  <c r="T806" i="433" s="1"/>
  <c r="B806" i="433"/>
  <c r="AJ805" i="433"/>
  <c r="V805" i="433"/>
  <c r="U805" i="433"/>
  <c r="S805" i="433"/>
  <c r="R805" i="433"/>
  <c r="Q805" i="433"/>
  <c r="C805" i="433"/>
  <c r="T805" i="433" s="1"/>
  <c r="B805" i="433"/>
  <c r="P805" i="433" s="1"/>
  <c r="AJ804" i="433"/>
  <c r="V804" i="433"/>
  <c r="U804" i="433"/>
  <c r="T804" i="433"/>
  <c r="S804" i="433"/>
  <c r="R804" i="433"/>
  <c r="Q804" i="433"/>
  <c r="C804" i="433"/>
  <c r="B804" i="433"/>
  <c r="P804" i="433" s="1"/>
  <c r="AJ803" i="433"/>
  <c r="V803" i="433"/>
  <c r="U803" i="433"/>
  <c r="S803" i="433"/>
  <c r="R803" i="433"/>
  <c r="Q803" i="433"/>
  <c r="P803" i="433"/>
  <c r="C803" i="433"/>
  <c r="T803" i="433" s="1"/>
  <c r="B803" i="433"/>
  <c r="AJ802" i="433"/>
  <c r="V802" i="433"/>
  <c r="U802" i="433"/>
  <c r="S802" i="433"/>
  <c r="R802" i="433"/>
  <c r="Q802" i="433"/>
  <c r="C802" i="433"/>
  <c r="T802" i="433" s="1"/>
  <c r="B802" i="433"/>
  <c r="P802" i="433" s="1"/>
  <c r="AJ801" i="433"/>
  <c r="V801" i="433"/>
  <c r="U801" i="433"/>
  <c r="S801" i="433"/>
  <c r="R801" i="433"/>
  <c r="Q801" i="433"/>
  <c r="C801" i="433"/>
  <c r="T801" i="433" s="1"/>
  <c r="B801" i="433"/>
  <c r="P801" i="433" s="1"/>
  <c r="AJ800" i="433"/>
  <c r="V800" i="433"/>
  <c r="U800" i="433"/>
  <c r="S800" i="433"/>
  <c r="R800" i="433"/>
  <c r="Q800" i="433"/>
  <c r="C800" i="433"/>
  <c r="T800" i="433" s="1"/>
  <c r="B800" i="433"/>
  <c r="P800" i="433" s="1"/>
  <c r="AJ799" i="433"/>
  <c r="V799" i="433"/>
  <c r="U799" i="433"/>
  <c r="S799" i="433"/>
  <c r="R799" i="433"/>
  <c r="Q799" i="433"/>
  <c r="C799" i="433"/>
  <c r="T799" i="433" s="1"/>
  <c r="B799" i="433"/>
  <c r="P799" i="433" s="1"/>
  <c r="AJ798" i="433"/>
  <c r="V798" i="433"/>
  <c r="U798" i="433"/>
  <c r="S798" i="433"/>
  <c r="R798" i="433"/>
  <c r="Q798" i="433"/>
  <c r="C798" i="433"/>
  <c r="T798" i="433" s="1"/>
  <c r="B798" i="433"/>
  <c r="P798" i="433" s="1"/>
  <c r="AJ797" i="433"/>
  <c r="V797" i="433"/>
  <c r="U797" i="433"/>
  <c r="S797" i="433"/>
  <c r="R797" i="433"/>
  <c r="Q797" i="433"/>
  <c r="C797" i="433"/>
  <c r="T797" i="433" s="1"/>
  <c r="B797" i="433"/>
  <c r="P797" i="433" s="1"/>
  <c r="AJ796" i="433"/>
  <c r="V796" i="433"/>
  <c r="U796" i="433"/>
  <c r="S796" i="433"/>
  <c r="R796" i="433"/>
  <c r="Q796" i="433"/>
  <c r="C796" i="433"/>
  <c r="T796" i="433" s="1"/>
  <c r="B796" i="433"/>
  <c r="P796" i="433" s="1"/>
  <c r="AJ795" i="433"/>
  <c r="V795" i="433"/>
  <c r="U795" i="433"/>
  <c r="S795" i="433"/>
  <c r="R795" i="433"/>
  <c r="Q795" i="433"/>
  <c r="P795" i="433"/>
  <c r="C795" i="433"/>
  <c r="T795" i="433" s="1"/>
  <c r="B795" i="433"/>
  <c r="AJ794" i="433"/>
  <c r="V794" i="433"/>
  <c r="U794" i="433"/>
  <c r="S794" i="433"/>
  <c r="R794" i="433"/>
  <c r="Q794" i="433"/>
  <c r="P794" i="433"/>
  <c r="C794" i="433"/>
  <c r="T794" i="433" s="1"/>
  <c r="B794" i="433"/>
  <c r="AJ793" i="433"/>
  <c r="V793" i="433"/>
  <c r="U793" i="433"/>
  <c r="S793" i="433"/>
  <c r="R793" i="433"/>
  <c r="Q793" i="433"/>
  <c r="C793" i="433"/>
  <c r="T793" i="433" s="1"/>
  <c r="B793" i="433"/>
  <c r="P793" i="433" s="1"/>
  <c r="AJ792" i="433"/>
  <c r="V792" i="433"/>
  <c r="U792" i="433"/>
  <c r="S792" i="433"/>
  <c r="R792" i="433"/>
  <c r="Q792" i="433"/>
  <c r="C792" i="433"/>
  <c r="T792" i="433" s="1"/>
  <c r="B792" i="433"/>
  <c r="P792" i="433" s="1"/>
  <c r="AJ791" i="433"/>
  <c r="V791" i="433"/>
  <c r="U791" i="433"/>
  <c r="T791" i="433"/>
  <c r="S791" i="433"/>
  <c r="R791" i="433"/>
  <c r="Q791" i="433"/>
  <c r="C791" i="433"/>
  <c r="B791" i="433"/>
  <c r="P791" i="433" s="1"/>
  <c r="AJ790" i="433"/>
  <c r="V790" i="433"/>
  <c r="U790" i="433"/>
  <c r="S790" i="433"/>
  <c r="R790" i="433"/>
  <c r="Q790" i="433"/>
  <c r="C790" i="433"/>
  <c r="T790" i="433" s="1"/>
  <c r="B790" i="433"/>
  <c r="P790" i="433" s="1"/>
  <c r="AJ789" i="433"/>
  <c r="V789" i="433"/>
  <c r="U789" i="433"/>
  <c r="S789" i="433"/>
  <c r="R789" i="433"/>
  <c r="Q789" i="433"/>
  <c r="C789" i="433"/>
  <c r="T789" i="433" s="1"/>
  <c r="B789" i="433"/>
  <c r="P789" i="433" s="1"/>
  <c r="AJ788" i="433"/>
  <c r="V788" i="433"/>
  <c r="U788" i="433"/>
  <c r="S788" i="433"/>
  <c r="R788" i="433"/>
  <c r="Q788" i="433"/>
  <c r="C788" i="433"/>
  <c r="T788" i="433" s="1"/>
  <c r="B788" i="433"/>
  <c r="P788" i="433" s="1"/>
  <c r="AJ787" i="433"/>
  <c r="V787" i="433"/>
  <c r="U787" i="433"/>
  <c r="S787" i="433"/>
  <c r="R787" i="433"/>
  <c r="Q787" i="433"/>
  <c r="P787" i="433"/>
  <c r="C787" i="433"/>
  <c r="T787" i="433" s="1"/>
  <c r="B787" i="433"/>
  <c r="AJ786" i="433"/>
  <c r="V786" i="433"/>
  <c r="U786" i="433"/>
  <c r="S786" i="433"/>
  <c r="R786" i="433"/>
  <c r="Q786" i="433"/>
  <c r="P786" i="433"/>
  <c r="C786" i="433"/>
  <c r="T786" i="433" s="1"/>
  <c r="B786" i="433"/>
  <c r="AJ785" i="433"/>
  <c r="V785" i="433"/>
  <c r="U785" i="433"/>
  <c r="S785" i="433"/>
  <c r="R785" i="433"/>
  <c r="Q785" i="433"/>
  <c r="C785" i="433"/>
  <c r="T785" i="433" s="1"/>
  <c r="B785" i="433"/>
  <c r="P785" i="433" s="1"/>
  <c r="AJ784" i="433"/>
  <c r="V784" i="433"/>
  <c r="U784" i="433"/>
  <c r="S784" i="433"/>
  <c r="R784" i="433"/>
  <c r="Q784" i="433"/>
  <c r="C784" i="433"/>
  <c r="T784" i="433" s="1"/>
  <c r="B784" i="433"/>
  <c r="P784" i="433" s="1"/>
  <c r="AJ783" i="433"/>
  <c r="V783" i="433"/>
  <c r="U783" i="433"/>
  <c r="S783" i="433"/>
  <c r="R783" i="433"/>
  <c r="Q783" i="433"/>
  <c r="C783" i="433"/>
  <c r="T783" i="433" s="1"/>
  <c r="B783" i="433"/>
  <c r="P783" i="433" s="1"/>
  <c r="AJ782" i="433"/>
  <c r="V782" i="433"/>
  <c r="U782" i="433"/>
  <c r="S782" i="433"/>
  <c r="R782" i="433"/>
  <c r="Q782" i="433"/>
  <c r="P782" i="433"/>
  <c r="C782" i="433"/>
  <c r="T782" i="433" s="1"/>
  <c r="B782" i="433"/>
  <c r="AJ781" i="433"/>
  <c r="V781" i="433"/>
  <c r="U781" i="433"/>
  <c r="S781" i="433"/>
  <c r="R781" i="433"/>
  <c r="Q781" i="433"/>
  <c r="C781" i="433"/>
  <c r="T781" i="433" s="1"/>
  <c r="B781" i="433"/>
  <c r="P781" i="433" s="1"/>
  <c r="AJ780" i="433"/>
  <c r="V780" i="433"/>
  <c r="U780" i="433"/>
  <c r="T780" i="433"/>
  <c r="S780" i="433"/>
  <c r="R780" i="433"/>
  <c r="Q780" i="433"/>
  <c r="C780" i="433"/>
  <c r="B780" i="433"/>
  <c r="P780" i="433" s="1"/>
  <c r="AJ779" i="433"/>
  <c r="V779" i="433"/>
  <c r="U779" i="433"/>
  <c r="T779" i="433"/>
  <c r="S779" i="433"/>
  <c r="R779" i="433"/>
  <c r="Q779" i="433"/>
  <c r="C779" i="433"/>
  <c r="B779" i="433"/>
  <c r="P779" i="433" s="1"/>
  <c r="AJ778" i="433"/>
  <c r="V778" i="433"/>
  <c r="U778" i="433"/>
  <c r="S778" i="433"/>
  <c r="R778" i="433"/>
  <c r="Q778" i="433"/>
  <c r="C778" i="433"/>
  <c r="T778" i="433" s="1"/>
  <c r="B778" i="433"/>
  <c r="P778" i="433" s="1"/>
  <c r="AJ777" i="433"/>
  <c r="V777" i="433"/>
  <c r="U777" i="433"/>
  <c r="S777" i="433"/>
  <c r="R777" i="433"/>
  <c r="Q777" i="433"/>
  <c r="C777" i="433"/>
  <c r="T777" i="433" s="1"/>
  <c r="B777" i="433"/>
  <c r="P777" i="433" s="1"/>
  <c r="AJ776" i="433"/>
  <c r="V776" i="433"/>
  <c r="U776" i="433"/>
  <c r="S776" i="433"/>
  <c r="R776" i="433"/>
  <c r="Q776" i="433"/>
  <c r="C776" i="433"/>
  <c r="T776" i="433" s="1"/>
  <c r="B776" i="433"/>
  <c r="P776" i="433" s="1"/>
  <c r="AJ775" i="433"/>
  <c r="V775" i="433"/>
  <c r="U775" i="433"/>
  <c r="S775" i="433"/>
  <c r="R775" i="433"/>
  <c r="Q775" i="433"/>
  <c r="C775" i="433"/>
  <c r="T775" i="433" s="1"/>
  <c r="B775" i="433"/>
  <c r="P775" i="433" s="1"/>
  <c r="AJ774" i="433"/>
  <c r="V774" i="433"/>
  <c r="U774" i="433"/>
  <c r="S774" i="433"/>
  <c r="R774" i="433"/>
  <c r="Q774" i="433"/>
  <c r="C774" i="433"/>
  <c r="T774" i="433" s="1"/>
  <c r="B774" i="433"/>
  <c r="P774" i="433" s="1"/>
  <c r="AJ773" i="433"/>
  <c r="V773" i="433"/>
  <c r="U773" i="433"/>
  <c r="S773" i="433"/>
  <c r="R773" i="433"/>
  <c r="Q773" i="433"/>
  <c r="C773" i="433"/>
  <c r="T773" i="433" s="1"/>
  <c r="B773" i="433"/>
  <c r="P773" i="433" s="1"/>
  <c r="AJ772" i="433"/>
  <c r="V772" i="433"/>
  <c r="U772" i="433"/>
  <c r="S772" i="433"/>
  <c r="R772" i="433"/>
  <c r="Q772" i="433"/>
  <c r="C772" i="433"/>
  <c r="T772" i="433" s="1"/>
  <c r="B772" i="433"/>
  <c r="P772" i="433" s="1"/>
  <c r="AJ771" i="433"/>
  <c r="V771" i="433"/>
  <c r="U771" i="433"/>
  <c r="S771" i="433"/>
  <c r="R771" i="433"/>
  <c r="Q771" i="433"/>
  <c r="C771" i="433"/>
  <c r="T771" i="433" s="1"/>
  <c r="B771" i="433"/>
  <c r="P771" i="433" s="1"/>
  <c r="AJ770" i="433"/>
  <c r="V770" i="433"/>
  <c r="U770" i="433"/>
  <c r="S770" i="433"/>
  <c r="R770" i="433"/>
  <c r="Q770" i="433"/>
  <c r="C770" i="433"/>
  <c r="T770" i="433" s="1"/>
  <c r="B770" i="433"/>
  <c r="P770" i="433" s="1"/>
  <c r="AJ769" i="433"/>
  <c r="V769" i="433"/>
  <c r="U769" i="433"/>
  <c r="T769" i="433"/>
  <c r="S769" i="433"/>
  <c r="R769" i="433"/>
  <c r="Q769" i="433"/>
  <c r="C769" i="433"/>
  <c r="B769" i="433"/>
  <c r="P769" i="433" s="1"/>
  <c r="AJ768" i="433"/>
  <c r="V768" i="433"/>
  <c r="U768" i="433"/>
  <c r="S768" i="433"/>
  <c r="R768" i="433"/>
  <c r="Q768" i="433"/>
  <c r="P768" i="433"/>
  <c r="C768" i="433"/>
  <c r="T768" i="433" s="1"/>
  <c r="B768" i="433"/>
  <c r="AJ767" i="433"/>
  <c r="V767" i="433"/>
  <c r="U767" i="433"/>
  <c r="S767" i="433"/>
  <c r="R767" i="433"/>
  <c r="Q767" i="433"/>
  <c r="C767" i="433"/>
  <c r="T767" i="433" s="1"/>
  <c r="B767" i="433"/>
  <c r="P767" i="433" s="1"/>
  <c r="AJ766" i="433"/>
  <c r="V766" i="433"/>
  <c r="U766" i="433"/>
  <c r="S766" i="433"/>
  <c r="R766" i="433"/>
  <c r="Q766" i="433"/>
  <c r="C766" i="433"/>
  <c r="T766" i="433" s="1"/>
  <c r="B766" i="433"/>
  <c r="P766" i="433" s="1"/>
  <c r="AJ765" i="433"/>
  <c r="V765" i="433"/>
  <c r="U765" i="433"/>
  <c r="S765" i="433"/>
  <c r="R765" i="433"/>
  <c r="Q765" i="433"/>
  <c r="C765" i="433"/>
  <c r="T765" i="433" s="1"/>
  <c r="B765" i="433"/>
  <c r="P765" i="433" s="1"/>
  <c r="AJ764" i="433"/>
  <c r="V764" i="433"/>
  <c r="U764" i="433"/>
  <c r="T764" i="433"/>
  <c r="S764" i="433"/>
  <c r="R764" i="433"/>
  <c r="Q764" i="433"/>
  <c r="C764" i="433"/>
  <c r="B764" i="433"/>
  <c r="P764" i="433" s="1"/>
  <c r="AJ763" i="433"/>
  <c r="V763" i="433"/>
  <c r="U763" i="433"/>
  <c r="S763" i="433"/>
  <c r="R763" i="433"/>
  <c r="Q763" i="433"/>
  <c r="C763" i="433"/>
  <c r="T763" i="433" s="1"/>
  <c r="B763" i="433"/>
  <c r="P763" i="433" s="1"/>
  <c r="AJ762" i="433"/>
  <c r="V762" i="433"/>
  <c r="U762" i="433"/>
  <c r="S762" i="433"/>
  <c r="R762" i="433"/>
  <c r="Q762" i="433"/>
  <c r="C762" i="433"/>
  <c r="T762" i="433" s="1"/>
  <c r="B762" i="433"/>
  <c r="P762" i="433" s="1"/>
  <c r="AJ761" i="433"/>
  <c r="V761" i="433"/>
  <c r="U761" i="433"/>
  <c r="S761" i="433"/>
  <c r="R761" i="433"/>
  <c r="Q761" i="433"/>
  <c r="C761" i="433"/>
  <c r="T761" i="433" s="1"/>
  <c r="B761" i="433"/>
  <c r="P761" i="433" s="1"/>
  <c r="AJ760" i="433"/>
  <c r="V760" i="433"/>
  <c r="U760" i="433"/>
  <c r="S760" i="433"/>
  <c r="R760" i="433"/>
  <c r="Q760" i="433"/>
  <c r="C760" i="433"/>
  <c r="T760" i="433" s="1"/>
  <c r="B760" i="433"/>
  <c r="P760" i="433" s="1"/>
  <c r="AJ759" i="433"/>
  <c r="V759" i="433"/>
  <c r="U759" i="433"/>
  <c r="T759" i="433"/>
  <c r="S759" i="433"/>
  <c r="R759" i="433"/>
  <c r="Q759" i="433"/>
  <c r="C759" i="433"/>
  <c r="B759" i="433"/>
  <c r="P759" i="433" s="1"/>
  <c r="AJ758" i="433"/>
  <c r="V758" i="433"/>
  <c r="U758" i="433"/>
  <c r="S758" i="433"/>
  <c r="R758" i="433"/>
  <c r="Q758" i="433"/>
  <c r="C758" i="433"/>
  <c r="T758" i="433" s="1"/>
  <c r="B758" i="433"/>
  <c r="P758" i="433" s="1"/>
  <c r="AJ757" i="433"/>
  <c r="V757" i="433"/>
  <c r="U757" i="433"/>
  <c r="T757" i="433"/>
  <c r="S757" i="433"/>
  <c r="R757" i="433"/>
  <c r="Q757" i="433"/>
  <c r="C757" i="433"/>
  <c r="B757" i="433"/>
  <c r="P757" i="433" s="1"/>
  <c r="AJ756" i="433"/>
  <c r="V756" i="433"/>
  <c r="U756" i="433"/>
  <c r="T756" i="433"/>
  <c r="S756" i="433"/>
  <c r="R756" i="433"/>
  <c r="Q756" i="433"/>
  <c r="C756" i="433"/>
  <c r="B756" i="433"/>
  <c r="P756" i="433" s="1"/>
  <c r="AJ755" i="433"/>
  <c r="V755" i="433"/>
  <c r="U755" i="433"/>
  <c r="S755" i="433"/>
  <c r="R755" i="433"/>
  <c r="Q755" i="433"/>
  <c r="C755" i="433"/>
  <c r="T755" i="433" s="1"/>
  <c r="B755" i="433"/>
  <c r="P755" i="433" s="1"/>
  <c r="AJ754" i="433"/>
  <c r="V754" i="433"/>
  <c r="U754" i="433"/>
  <c r="S754" i="433"/>
  <c r="R754" i="433"/>
  <c r="Q754" i="433"/>
  <c r="C754" i="433"/>
  <c r="T754" i="433" s="1"/>
  <c r="B754" i="433"/>
  <c r="P754" i="433" s="1"/>
  <c r="AJ753" i="433"/>
  <c r="V753" i="433"/>
  <c r="U753" i="433"/>
  <c r="S753" i="433"/>
  <c r="R753" i="433"/>
  <c r="Q753" i="433"/>
  <c r="P753" i="433"/>
  <c r="C753" i="433"/>
  <c r="T753" i="433" s="1"/>
  <c r="B753" i="433"/>
  <c r="AJ752" i="433"/>
  <c r="V752" i="433"/>
  <c r="U752" i="433"/>
  <c r="S752" i="433"/>
  <c r="R752" i="433"/>
  <c r="Q752" i="433"/>
  <c r="C752" i="433"/>
  <c r="T752" i="433" s="1"/>
  <c r="B752" i="433"/>
  <c r="P752" i="433" s="1"/>
  <c r="AJ751" i="433"/>
  <c r="V751" i="433"/>
  <c r="U751" i="433"/>
  <c r="S751" i="433"/>
  <c r="R751" i="433"/>
  <c r="Q751" i="433"/>
  <c r="P751" i="433"/>
  <c r="C751" i="433"/>
  <c r="T751" i="433" s="1"/>
  <c r="B751" i="433"/>
  <c r="AJ750" i="433"/>
  <c r="V750" i="433"/>
  <c r="U750" i="433"/>
  <c r="S750" i="433"/>
  <c r="R750" i="433"/>
  <c r="Q750" i="433"/>
  <c r="C750" i="433"/>
  <c r="T750" i="433" s="1"/>
  <c r="B750" i="433"/>
  <c r="P750" i="433" s="1"/>
  <c r="AJ749" i="433"/>
  <c r="V749" i="433"/>
  <c r="U749" i="433"/>
  <c r="S749" i="433"/>
  <c r="R749" i="433"/>
  <c r="Q749" i="433"/>
  <c r="C749" i="433"/>
  <c r="T749" i="433" s="1"/>
  <c r="B749" i="433"/>
  <c r="P749" i="433" s="1"/>
  <c r="AJ748" i="433"/>
  <c r="V748" i="433"/>
  <c r="U748" i="433"/>
  <c r="S748" i="433"/>
  <c r="R748" i="433"/>
  <c r="Q748" i="433"/>
  <c r="C748" i="433"/>
  <c r="T748" i="433" s="1"/>
  <c r="B748" i="433"/>
  <c r="P748" i="433" s="1"/>
  <c r="AJ747" i="433"/>
  <c r="V747" i="433"/>
  <c r="U747" i="433"/>
  <c r="T747" i="433"/>
  <c r="S747" i="433"/>
  <c r="R747" i="433"/>
  <c r="Q747" i="433"/>
  <c r="C747" i="433"/>
  <c r="B747" i="433"/>
  <c r="P747" i="433" s="1"/>
  <c r="AJ746" i="433"/>
  <c r="V746" i="433"/>
  <c r="U746" i="433"/>
  <c r="S746" i="433"/>
  <c r="R746" i="433"/>
  <c r="Q746" i="433"/>
  <c r="P746" i="433"/>
  <c r="C746" i="433"/>
  <c r="T746" i="433" s="1"/>
  <c r="B746" i="433"/>
  <c r="AJ745" i="433"/>
  <c r="V745" i="433"/>
  <c r="U745" i="433"/>
  <c r="S745" i="433"/>
  <c r="R745" i="433"/>
  <c r="Q745" i="433"/>
  <c r="C745" i="433"/>
  <c r="T745" i="433" s="1"/>
  <c r="B745" i="433"/>
  <c r="P745" i="433" s="1"/>
  <c r="AJ744" i="433"/>
  <c r="V744" i="433"/>
  <c r="U744" i="433"/>
  <c r="S744" i="433"/>
  <c r="R744" i="433"/>
  <c r="Q744" i="433"/>
  <c r="C744" i="433"/>
  <c r="T744" i="433" s="1"/>
  <c r="B744" i="433"/>
  <c r="P744" i="433" s="1"/>
  <c r="AJ743" i="433"/>
  <c r="V743" i="433"/>
  <c r="U743" i="433"/>
  <c r="T743" i="433"/>
  <c r="S743" i="433"/>
  <c r="R743" i="433"/>
  <c r="Q743" i="433"/>
  <c r="P743" i="433"/>
  <c r="C743" i="433"/>
  <c r="B743" i="433"/>
  <c r="AJ742" i="433"/>
  <c r="V742" i="433"/>
  <c r="U742" i="433"/>
  <c r="S742" i="433"/>
  <c r="R742" i="433"/>
  <c r="Q742" i="433"/>
  <c r="C742" i="433"/>
  <c r="T742" i="433" s="1"/>
  <c r="B742" i="433"/>
  <c r="P742" i="433" s="1"/>
  <c r="AJ741" i="433"/>
  <c r="V741" i="433"/>
  <c r="U741" i="433"/>
  <c r="S741" i="433"/>
  <c r="R741" i="433"/>
  <c r="Q741" i="433"/>
  <c r="C741" i="433"/>
  <c r="T741" i="433" s="1"/>
  <c r="B741" i="433"/>
  <c r="P741" i="433" s="1"/>
  <c r="AJ740" i="433"/>
  <c r="V740" i="433"/>
  <c r="U740" i="433"/>
  <c r="S740" i="433"/>
  <c r="R740" i="433"/>
  <c r="Q740" i="433"/>
  <c r="C740" i="433"/>
  <c r="T740" i="433" s="1"/>
  <c r="B740" i="433"/>
  <c r="P740" i="433" s="1"/>
  <c r="AJ739" i="433"/>
  <c r="V739" i="433"/>
  <c r="U739" i="433"/>
  <c r="S739" i="433"/>
  <c r="R739" i="433"/>
  <c r="Q739" i="433"/>
  <c r="C739" i="433"/>
  <c r="T739" i="433" s="1"/>
  <c r="B739" i="433"/>
  <c r="P739" i="433" s="1"/>
  <c r="AJ738" i="433"/>
  <c r="V738" i="433"/>
  <c r="U738" i="433"/>
  <c r="S738" i="433"/>
  <c r="R738" i="433"/>
  <c r="Q738" i="433"/>
  <c r="C738" i="433"/>
  <c r="T738" i="433" s="1"/>
  <c r="B738" i="433"/>
  <c r="P738" i="433" s="1"/>
  <c r="AJ737" i="433"/>
  <c r="V737" i="433"/>
  <c r="U737" i="433"/>
  <c r="S737" i="433"/>
  <c r="R737" i="433"/>
  <c r="Q737" i="433"/>
  <c r="C737" i="433"/>
  <c r="T737" i="433" s="1"/>
  <c r="B737" i="433"/>
  <c r="P737" i="433" s="1"/>
  <c r="AJ736" i="433"/>
  <c r="V736" i="433"/>
  <c r="U736" i="433"/>
  <c r="S736" i="433"/>
  <c r="R736" i="433"/>
  <c r="Q736" i="433"/>
  <c r="C736" i="433"/>
  <c r="T736" i="433" s="1"/>
  <c r="B736" i="433"/>
  <c r="P736" i="433" s="1"/>
  <c r="AJ735" i="433"/>
  <c r="V735" i="433"/>
  <c r="U735" i="433"/>
  <c r="S735" i="433"/>
  <c r="R735" i="433"/>
  <c r="Q735" i="433"/>
  <c r="C735" i="433"/>
  <c r="T735" i="433" s="1"/>
  <c r="B735" i="433"/>
  <c r="P735" i="433" s="1"/>
  <c r="AJ734" i="433"/>
  <c r="V734" i="433"/>
  <c r="U734" i="433"/>
  <c r="S734" i="433"/>
  <c r="R734" i="433"/>
  <c r="Q734" i="433"/>
  <c r="P734" i="433"/>
  <c r="C734" i="433"/>
  <c r="T734" i="433" s="1"/>
  <c r="B734" i="433"/>
  <c r="AJ733" i="433"/>
  <c r="V733" i="433"/>
  <c r="U733" i="433"/>
  <c r="S733" i="433"/>
  <c r="R733" i="433"/>
  <c r="Q733" i="433"/>
  <c r="C733" i="433"/>
  <c r="T733" i="433" s="1"/>
  <c r="B733" i="433"/>
  <c r="P733" i="433" s="1"/>
  <c r="AJ732" i="433"/>
  <c r="V732" i="433"/>
  <c r="U732" i="433"/>
  <c r="T732" i="433"/>
  <c r="S732" i="433"/>
  <c r="R732" i="433"/>
  <c r="Q732" i="433"/>
  <c r="C732" i="433"/>
  <c r="B732" i="433"/>
  <c r="P732" i="433" s="1"/>
  <c r="AJ731" i="433"/>
  <c r="V731" i="433"/>
  <c r="U731" i="433"/>
  <c r="T731" i="433"/>
  <c r="S731" i="433"/>
  <c r="R731" i="433"/>
  <c r="Q731" i="433"/>
  <c r="P731" i="433"/>
  <c r="C731" i="433"/>
  <c r="B731" i="433"/>
  <c r="AJ730" i="433"/>
  <c r="V730" i="433"/>
  <c r="U730" i="433"/>
  <c r="S730" i="433"/>
  <c r="R730" i="433"/>
  <c r="Q730" i="433"/>
  <c r="C730" i="433"/>
  <c r="T730" i="433" s="1"/>
  <c r="B730" i="433"/>
  <c r="P730" i="433" s="1"/>
  <c r="AJ729" i="433"/>
  <c r="V729" i="433"/>
  <c r="U729" i="433"/>
  <c r="S729" i="433"/>
  <c r="R729" i="433"/>
  <c r="Q729" i="433"/>
  <c r="C729" i="433"/>
  <c r="T729" i="433" s="1"/>
  <c r="B729" i="433"/>
  <c r="P729" i="433" s="1"/>
  <c r="AJ728" i="433"/>
  <c r="V728" i="433"/>
  <c r="U728" i="433"/>
  <c r="S728" i="433"/>
  <c r="R728" i="433"/>
  <c r="Q728" i="433"/>
  <c r="C728" i="433"/>
  <c r="T728" i="433" s="1"/>
  <c r="B728" i="433"/>
  <c r="P728" i="433" s="1"/>
  <c r="AJ727" i="433"/>
  <c r="V727" i="433"/>
  <c r="U727" i="433"/>
  <c r="S727" i="433"/>
  <c r="R727" i="433"/>
  <c r="Q727" i="433"/>
  <c r="C727" i="433"/>
  <c r="T727" i="433" s="1"/>
  <c r="B727" i="433"/>
  <c r="P727" i="433" s="1"/>
  <c r="AJ726" i="433"/>
  <c r="V726" i="433"/>
  <c r="U726" i="433"/>
  <c r="S726" i="433"/>
  <c r="R726" i="433"/>
  <c r="Q726" i="433"/>
  <c r="C726" i="433"/>
  <c r="T726" i="433" s="1"/>
  <c r="B726" i="433"/>
  <c r="P726" i="433" s="1"/>
  <c r="AJ725" i="433"/>
  <c r="V725" i="433"/>
  <c r="U725" i="433"/>
  <c r="S725" i="433"/>
  <c r="R725" i="433"/>
  <c r="Q725" i="433"/>
  <c r="C725" i="433"/>
  <c r="T725" i="433" s="1"/>
  <c r="B725" i="433"/>
  <c r="P725" i="433" s="1"/>
  <c r="AJ724" i="433"/>
  <c r="V724" i="433"/>
  <c r="U724" i="433"/>
  <c r="S724" i="433"/>
  <c r="R724" i="433"/>
  <c r="Q724" i="433"/>
  <c r="C724" i="433"/>
  <c r="T724" i="433" s="1"/>
  <c r="B724" i="433"/>
  <c r="P724" i="433" s="1"/>
  <c r="AJ723" i="433"/>
  <c r="V723" i="433"/>
  <c r="U723" i="433"/>
  <c r="S723" i="433"/>
  <c r="R723" i="433"/>
  <c r="Q723" i="433"/>
  <c r="C723" i="433"/>
  <c r="T723" i="433" s="1"/>
  <c r="B723" i="433"/>
  <c r="P723" i="433" s="1"/>
  <c r="AJ722" i="433"/>
  <c r="V722" i="433"/>
  <c r="U722" i="433"/>
  <c r="S722" i="433"/>
  <c r="R722" i="433"/>
  <c r="Q722" i="433"/>
  <c r="P722" i="433"/>
  <c r="C722" i="433"/>
  <c r="T722" i="433" s="1"/>
  <c r="B722" i="433"/>
  <c r="AJ721" i="433"/>
  <c r="V721" i="433"/>
  <c r="U721" i="433"/>
  <c r="T721" i="433"/>
  <c r="S721" i="433"/>
  <c r="R721" i="433"/>
  <c r="Q721" i="433"/>
  <c r="C721" i="433"/>
  <c r="B721" i="433"/>
  <c r="P721" i="433" s="1"/>
  <c r="AJ720" i="433"/>
  <c r="V720" i="433"/>
  <c r="U720" i="433"/>
  <c r="S720" i="433"/>
  <c r="R720" i="433"/>
  <c r="Q720" i="433"/>
  <c r="P720" i="433"/>
  <c r="C720" i="433"/>
  <c r="T720" i="433" s="1"/>
  <c r="B720" i="433"/>
  <c r="AJ719" i="433"/>
  <c r="V719" i="433"/>
  <c r="U719" i="433"/>
  <c r="S719" i="433"/>
  <c r="R719" i="433"/>
  <c r="Q719" i="433"/>
  <c r="C719" i="433"/>
  <c r="T719" i="433" s="1"/>
  <c r="B719" i="433"/>
  <c r="P719" i="433" s="1"/>
  <c r="AJ718" i="433"/>
  <c r="V718" i="433"/>
  <c r="U718" i="433"/>
  <c r="S718" i="433"/>
  <c r="R718" i="433"/>
  <c r="Q718" i="433"/>
  <c r="C718" i="433"/>
  <c r="T718" i="433" s="1"/>
  <c r="B718" i="433"/>
  <c r="P718" i="433" s="1"/>
  <c r="AJ717" i="433"/>
  <c r="V717" i="433"/>
  <c r="U717" i="433"/>
  <c r="S717" i="433"/>
  <c r="R717" i="433"/>
  <c r="Q717" i="433"/>
  <c r="C717" i="433"/>
  <c r="T717" i="433" s="1"/>
  <c r="B717" i="433"/>
  <c r="P717" i="433" s="1"/>
  <c r="AJ716" i="433"/>
  <c r="V716" i="433"/>
  <c r="U716" i="433"/>
  <c r="S716" i="433"/>
  <c r="R716" i="433"/>
  <c r="Q716" i="433"/>
  <c r="C716" i="433"/>
  <c r="T716" i="433" s="1"/>
  <c r="B716" i="433"/>
  <c r="P716" i="433" s="1"/>
  <c r="AJ715" i="433"/>
  <c r="V715" i="433"/>
  <c r="U715" i="433"/>
  <c r="S715" i="433"/>
  <c r="R715" i="433"/>
  <c r="Q715" i="433"/>
  <c r="C715" i="433"/>
  <c r="T715" i="433" s="1"/>
  <c r="B715" i="433"/>
  <c r="P715" i="433" s="1"/>
  <c r="AJ714" i="433"/>
  <c r="V714" i="433"/>
  <c r="U714" i="433"/>
  <c r="T714" i="433"/>
  <c r="S714" i="433"/>
  <c r="R714" i="433"/>
  <c r="Q714" i="433"/>
  <c r="C714" i="433"/>
  <c r="B714" i="433"/>
  <c r="P714" i="433" s="1"/>
  <c r="AJ713" i="433"/>
  <c r="V713" i="433"/>
  <c r="U713" i="433"/>
  <c r="S713" i="433"/>
  <c r="R713" i="433"/>
  <c r="Q713" i="433"/>
  <c r="C713" i="433"/>
  <c r="T713" i="433" s="1"/>
  <c r="B713" i="433"/>
  <c r="P713" i="433" s="1"/>
  <c r="AJ712" i="433"/>
  <c r="V712" i="433"/>
  <c r="U712" i="433"/>
  <c r="T712" i="433"/>
  <c r="S712" i="433"/>
  <c r="R712" i="433"/>
  <c r="Q712" i="433"/>
  <c r="C712" i="433"/>
  <c r="B712" i="433"/>
  <c r="P712" i="433" s="1"/>
  <c r="AJ711" i="433"/>
  <c r="V711" i="433"/>
  <c r="U711" i="433"/>
  <c r="S711" i="433"/>
  <c r="R711" i="433"/>
  <c r="Q711" i="433"/>
  <c r="C711" i="433"/>
  <c r="T711" i="433" s="1"/>
  <c r="B711" i="433"/>
  <c r="P711" i="433" s="1"/>
  <c r="AJ710" i="433"/>
  <c r="V710" i="433"/>
  <c r="U710" i="433"/>
  <c r="T710" i="433"/>
  <c r="S710" i="433"/>
  <c r="R710" i="433"/>
  <c r="Q710" i="433"/>
  <c r="P710" i="433"/>
  <c r="C710" i="433"/>
  <c r="B710" i="433"/>
  <c r="AJ709" i="433"/>
  <c r="V709" i="433"/>
  <c r="U709" i="433"/>
  <c r="S709" i="433"/>
  <c r="R709" i="433"/>
  <c r="Q709" i="433"/>
  <c r="C709" i="433"/>
  <c r="T709" i="433" s="1"/>
  <c r="B709" i="433"/>
  <c r="P709" i="433" s="1"/>
  <c r="AJ708" i="433"/>
  <c r="V708" i="433"/>
  <c r="U708" i="433"/>
  <c r="S708" i="433"/>
  <c r="R708" i="433"/>
  <c r="Q708" i="433"/>
  <c r="C708" i="433"/>
  <c r="T708" i="433" s="1"/>
  <c r="B708" i="433"/>
  <c r="P708" i="433" s="1"/>
  <c r="AJ707" i="433"/>
  <c r="V707" i="433"/>
  <c r="U707" i="433"/>
  <c r="S707" i="433"/>
  <c r="R707" i="433"/>
  <c r="Q707" i="433"/>
  <c r="P707" i="433"/>
  <c r="C707" i="433"/>
  <c r="T707" i="433" s="1"/>
  <c r="B707" i="433"/>
  <c r="AJ706" i="433"/>
  <c r="V706" i="433"/>
  <c r="U706" i="433"/>
  <c r="S706" i="433"/>
  <c r="R706" i="433"/>
  <c r="Q706" i="433"/>
  <c r="C706" i="433"/>
  <c r="T706" i="433" s="1"/>
  <c r="B706" i="433"/>
  <c r="P706" i="433" s="1"/>
  <c r="AJ705" i="433"/>
  <c r="V705" i="433"/>
  <c r="U705" i="433"/>
  <c r="S705" i="433"/>
  <c r="R705" i="433"/>
  <c r="Q705" i="433"/>
  <c r="P705" i="433"/>
  <c r="C705" i="433"/>
  <c r="T705" i="433" s="1"/>
  <c r="B705" i="433"/>
  <c r="AJ704" i="433"/>
  <c r="V704" i="433"/>
  <c r="U704" i="433"/>
  <c r="S704" i="433"/>
  <c r="R704" i="433"/>
  <c r="Q704" i="433"/>
  <c r="C704" i="433"/>
  <c r="T704" i="433" s="1"/>
  <c r="B704" i="433"/>
  <c r="P704" i="433" s="1"/>
  <c r="AJ703" i="433"/>
  <c r="V703" i="433"/>
  <c r="U703" i="433"/>
  <c r="S703" i="433"/>
  <c r="R703" i="433"/>
  <c r="Q703" i="433"/>
  <c r="C703" i="433"/>
  <c r="T703" i="433" s="1"/>
  <c r="B703" i="433"/>
  <c r="P703" i="433" s="1"/>
  <c r="AJ702" i="433"/>
  <c r="V702" i="433"/>
  <c r="U702" i="433"/>
  <c r="S702" i="433"/>
  <c r="R702" i="433"/>
  <c r="Q702" i="433"/>
  <c r="C702" i="433"/>
  <c r="T702" i="433" s="1"/>
  <c r="B702" i="433"/>
  <c r="P702" i="433" s="1"/>
  <c r="AJ701" i="433"/>
  <c r="V701" i="433"/>
  <c r="U701" i="433"/>
  <c r="S701" i="433"/>
  <c r="R701" i="433"/>
  <c r="Q701" i="433"/>
  <c r="C701" i="433"/>
  <c r="T701" i="433" s="1"/>
  <c r="B701" i="433"/>
  <c r="P701" i="433" s="1"/>
  <c r="AJ700" i="433"/>
  <c r="V700" i="433"/>
  <c r="U700" i="433"/>
  <c r="S700" i="433"/>
  <c r="R700" i="433"/>
  <c r="Q700" i="433"/>
  <c r="C700" i="433"/>
  <c r="T700" i="433" s="1"/>
  <c r="B700" i="433"/>
  <c r="P700" i="433" s="1"/>
  <c r="AJ699" i="433"/>
  <c r="V699" i="433"/>
  <c r="U699" i="433"/>
  <c r="T699" i="433"/>
  <c r="S699" i="433"/>
  <c r="R699" i="433"/>
  <c r="Q699" i="433"/>
  <c r="P699" i="433"/>
  <c r="C699" i="433"/>
  <c r="B699" i="433"/>
  <c r="AJ698" i="433"/>
  <c r="V698" i="433"/>
  <c r="U698" i="433"/>
  <c r="T698" i="433"/>
  <c r="S698" i="433"/>
  <c r="R698" i="433"/>
  <c r="Q698" i="433"/>
  <c r="C698" i="433"/>
  <c r="B698" i="433"/>
  <c r="P698" i="433" s="1"/>
  <c r="AJ697" i="433"/>
  <c r="V697" i="433"/>
  <c r="U697" i="433"/>
  <c r="S697" i="433"/>
  <c r="R697" i="433"/>
  <c r="Q697" i="433"/>
  <c r="C697" i="433"/>
  <c r="T697" i="433" s="1"/>
  <c r="B697" i="433"/>
  <c r="P697" i="433" s="1"/>
  <c r="AJ696" i="433"/>
  <c r="V696" i="433"/>
  <c r="U696" i="433"/>
  <c r="S696" i="433"/>
  <c r="R696" i="433"/>
  <c r="Q696" i="433"/>
  <c r="C696" i="433"/>
  <c r="T696" i="433" s="1"/>
  <c r="B696" i="433"/>
  <c r="P696" i="433" s="1"/>
  <c r="AJ695" i="433"/>
  <c r="V695" i="433"/>
  <c r="U695" i="433"/>
  <c r="S695" i="433"/>
  <c r="R695" i="433"/>
  <c r="Q695" i="433"/>
  <c r="P695" i="433"/>
  <c r="C695" i="433"/>
  <c r="T695" i="433" s="1"/>
  <c r="B695" i="433"/>
  <c r="AJ694" i="433"/>
  <c r="V694" i="433"/>
  <c r="U694" i="433"/>
  <c r="S694" i="433"/>
  <c r="R694" i="433"/>
  <c r="Q694" i="433"/>
  <c r="C694" i="433"/>
  <c r="T694" i="433" s="1"/>
  <c r="B694" i="433"/>
  <c r="P694" i="433" s="1"/>
  <c r="AJ693" i="433"/>
  <c r="V693" i="433"/>
  <c r="U693" i="433"/>
  <c r="S693" i="433"/>
  <c r="R693" i="433"/>
  <c r="Q693" i="433"/>
  <c r="C693" i="433"/>
  <c r="T693" i="433" s="1"/>
  <c r="B693" i="433"/>
  <c r="P693" i="433" s="1"/>
  <c r="AJ692" i="433"/>
  <c r="V692" i="433"/>
  <c r="U692" i="433"/>
  <c r="S692" i="433"/>
  <c r="R692" i="433"/>
  <c r="Q692" i="433"/>
  <c r="C692" i="433"/>
  <c r="T692" i="433" s="1"/>
  <c r="B692" i="433"/>
  <c r="P692" i="433" s="1"/>
  <c r="AJ691" i="433"/>
  <c r="V691" i="433"/>
  <c r="U691" i="433"/>
  <c r="S691" i="433"/>
  <c r="R691" i="433"/>
  <c r="Q691" i="433"/>
  <c r="C691" i="433"/>
  <c r="T691" i="433" s="1"/>
  <c r="B691" i="433"/>
  <c r="P691" i="433" s="1"/>
  <c r="AJ690" i="433"/>
  <c r="V690" i="433"/>
  <c r="U690" i="433"/>
  <c r="S690" i="433"/>
  <c r="R690" i="433"/>
  <c r="Q690" i="433"/>
  <c r="P690" i="433"/>
  <c r="C690" i="433"/>
  <c r="T690" i="433" s="1"/>
  <c r="B690" i="433"/>
  <c r="AJ689" i="433"/>
  <c r="V689" i="433"/>
  <c r="U689" i="433"/>
  <c r="S689" i="433"/>
  <c r="R689" i="433"/>
  <c r="Q689" i="433"/>
  <c r="C689" i="433"/>
  <c r="T689" i="433" s="1"/>
  <c r="B689" i="433"/>
  <c r="P689" i="433" s="1"/>
  <c r="AJ688" i="433"/>
  <c r="V688" i="433"/>
  <c r="U688" i="433"/>
  <c r="S688" i="433"/>
  <c r="R688" i="433"/>
  <c r="Q688" i="433"/>
  <c r="C688" i="433"/>
  <c r="T688" i="433" s="1"/>
  <c r="B688" i="433"/>
  <c r="P688" i="433" s="1"/>
  <c r="AJ687" i="433"/>
  <c r="V687" i="433"/>
  <c r="U687" i="433"/>
  <c r="T687" i="433"/>
  <c r="S687" i="433"/>
  <c r="R687" i="433"/>
  <c r="Q687" i="433"/>
  <c r="C687" i="433"/>
  <c r="B687" i="433"/>
  <c r="P687" i="433" s="1"/>
  <c r="AJ686" i="433"/>
  <c r="V686" i="433"/>
  <c r="U686" i="433"/>
  <c r="S686" i="433"/>
  <c r="R686" i="433"/>
  <c r="Q686" i="433"/>
  <c r="C686" i="433"/>
  <c r="T686" i="433" s="1"/>
  <c r="B686" i="433"/>
  <c r="P686" i="433" s="1"/>
  <c r="AJ685" i="433"/>
  <c r="V685" i="433"/>
  <c r="U685" i="433"/>
  <c r="S685" i="433"/>
  <c r="R685" i="433"/>
  <c r="Q685" i="433"/>
  <c r="C685" i="433"/>
  <c r="T685" i="433" s="1"/>
  <c r="B685" i="433"/>
  <c r="P685" i="433" s="1"/>
  <c r="AJ684" i="433"/>
  <c r="V684" i="433"/>
  <c r="U684" i="433"/>
  <c r="S684" i="433"/>
  <c r="R684" i="433"/>
  <c r="Q684" i="433"/>
  <c r="C684" i="433"/>
  <c r="T684" i="433" s="1"/>
  <c r="B684" i="433"/>
  <c r="P684" i="433" s="1"/>
  <c r="AJ683" i="433"/>
  <c r="V683" i="433"/>
  <c r="U683" i="433"/>
  <c r="T683" i="433"/>
  <c r="S683" i="433"/>
  <c r="R683" i="433"/>
  <c r="Q683" i="433"/>
  <c r="C683" i="433"/>
  <c r="B683" i="433"/>
  <c r="P683" i="433" s="1"/>
  <c r="AJ682" i="433"/>
  <c r="V682" i="433"/>
  <c r="U682" i="433"/>
  <c r="S682" i="433"/>
  <c r="R682" i="433"/>
  <c r="Q682" i="433"/>
  <c r="P682" i="433"/>
  <c r="C682" i="433"/>
  <c r="T682" i="433" s="1"/>
  <c r="B682" i="433"/>
  <c r="AJ681" i="433"/>
  <c r="V681" i="433"/>
  <c r="U681" i="433"/>
  <c r="S681" i="433"/>
  <c r="R681" i="433"/>
  <c r="Q681" i="433"/>
  <c r="C681" i="433"/>
  <c r="T681" i="433" s="1"/>
  <c r="B681" i="433"/>
  <c r="P681" i="433" s="1"/>
  <c r="AJ680" i="433"/>
  <c r="V680" i="433"/>
  <c r="U680" i="433"/>
  <c r="S680" i="433"/>
  <c r="R680" i="433"/>
  <c r="Q680" i="433"/>
  <c r="C680" i="433"/>
  <c r="T680" i="433" s="1"/>
  <c r="B680" i="433"/>
  <c r="P680" i="433" s="1"/>
  <c r="AJ679" i="433"/>
  <c r="V679" i="433"/>
  <c r="U679" i="433"/>
  <c r="S679" i="433"/>
  <c r="R679" i="433"/>
  <c r="Q679" i="433"/>
  <c r="C679" i="433"/>
  <c r="T679" i="433" s="1"/>
  <c r="B679" i="433"/>
  <c r="P679" i="433" s="1"/>
  <c r="AJ678" i="433"/>
  <c r="V678" i="433"/>
  <c r="U678" i="433"/>
  <c r="S678" i="433"/>
  <c r="R678" i="433"/>
  <c r="Q678" i="433"/>
  <c r="C678" i="433"/>
  <c r="T678" i="433" s="1"/>
  <c r="B678" i="433"/>
  <c r="P678" i="433" s="1"/>
  <c r="AJ677" i="433"/>
  <c r="V677" i="433"/>
  <c r="U677" i="433"/>
  <c r="S677" i="433"/>
  <c r="R677" i="433"/>
  <c r="Q677" i="433"/>
  <c r="C677" i="433"/>
  <c r="T677" i="433" s="1"/>
  <c r="B677" i="433"/>
  <c r="P677" i="433" s="1"/>
  <c r="AJ676" i="433"/>
  <c r="V676" i="433"/>
  <c r="U676" i="433"/>
  <c r="T676" i="433"/>
  <c r="S676" i="433"/>
  <c r="R676" i="433"/>
  <c r="Q676" i="433"/>
  <c r="C676" i="433"/>
  <c r="B676" i="433"/>
  <c r="P676" i="433" s="1"/>
  <c r="AJ675" i="433"/>
  <c r="V675" i="433"/>
  <c r="U675" i="433"/>
  <c r="S675" i="433"/>
  <c r="R675" i="433"/>
  <c r="Q675" i="433"/>
  <c r="C675" i="433"/>
  <c r="T675" i="433" s="1"/>
  <c r="B675" i="433"/>
  <c r="P675" i="433" s="1"/>
  <c r="AJ674" i="433"/>
  <c r="V674" i="433"/>
  <c r="U674" i="433"/>
  <c r="S674" i="433"/>
  <c r="R674" i="433"/>
  <c r="Q674" i="433"/>
  <c r="P674" i="433"/>
  <c r="C674" i="433"/>
  <c r="T674" i="433" s="1"/>
  <c r="B674" i="433"/>
  <c r="AJ673" i="433"/>
  <c r="V673" i="433"/>
  <c r="U673" i="433"/>
  <c r="S673" i="433"/>
  <c r="R673" i="433"/>
  <c r="Q673" i="433"/>
  <c r="C673" i="433"/>
  <c r="T673" i="433" s="1"/>
  <c r="B673" i="433"/>
  <c r="P673" i="433" s="1"/>
  <c r="AJ672" i="433"/>
  <c r="V672" i="433"/>
  <c r="U672" i="433"/>
  <c r="S672" i="433"/>
  <c r="R672" i="433"/>
  <c r="Q672" i="433"/>
  <c r="P672" i="433"/>
  <c r="C672" i="433"/>
  <c r="T672" i="433" s="1"/>
  <c r="B672" i="433"/>
  <c r="AJ671" i="433"/>
  <c r="V671" i="433"/>
  <c r="U671" i="433"/>
  <c r="S671" i="433"/>
  <c r="R671" i="433"/>
  <c r="Q671" i="433"/>
  <c r="P671" i="433"/>
  <c r="C671" i="433"/>
  <c r="T671" i="433" s="1"/>
  <c r="B671" i="433"/>
  <c r="AJ670" i="433"/>
  <c r="V670" i="433"/>
  <c r="U670" i="433"/>
  <c r="S670" i="433"/>
  <c r="R670" i="433"/>
  <c r="Q670" i="433"/>
  <c r="C670" i="433"/>
  <c r="T670" i="433" s="1"/>
  <c r="B670" i="433"/>
  <c r="P670" i="433" s="1"/>
  <c r="AJ669" i="433"/>
  <c r="V669" i="433"/>
  <c r="U669" i="433"/>
  <c r="S669" i="433"/>
  <c r="R669" i="433"/>
  <c r="Q669" i="433"/>
  <c r="C669" i="433"/>
  <c r="T669" i="433" s="1"/>
  <c r="B669" i="433"/>
  <c r="P669" i="433" s="1"/>
  <c r="AJ668" i="433"/>
  <c r="V668" i="433"/>
  <c r="U668" i="433"/>
  <c r="S668" i="433"/>
  <c r="R668" i="433"/>
  <c r="Q668" i="433"/>
  <c r="C668" i="433"/>
  <c r="T668" i="433" s="1"/>
  <c r="B668" i="433"/>
  <c r="P668" i="433" s="1"/>
  <c r="AJ667" i="433"/>
  <c r="V667" i="433"/>
  <c r="U667" i="433"/>
  <c r="S667" i="433"/>
  <c r="R667" i="433"/>
  <c r="Q667" i="433"/>
  <c r="C667" i="433"/>
  <c r="T667" i="433" s="1"/>
  <c r="B667" i="433"/>
  <c r="P667" i="433" s="1"/>
  <c r="AJ666" i="433"/>
  <c r="V666" i="433"/>
  <c r="U666" i="433"/>
  <c r="S666" i="433"/>
  <c r="R666" i="433"/>
  <c r="Q666" i="433"/>
  <c r="C666" i="433"/>
  <c r="T666" i="433" s="1"/>
  <c r="B666" i="433"/>
  <c r="P666" i="433" s="1"/>
  <c r="AJ665" i="433"/>
  <c r="V665" i="433"/>
  <c r="U665" i="433"/>
  <c r="S665" i="433"/>
  <c r="R665" i="433"/>
  <c r="Q665" i="433"/>
  <c r="C665" i="433"/>
  <c r="T665" i="433" s="1"/>
  <c r="B665" i="433"/>
  <c r="P665" i="433" s="1"/>
  <c r="AJ664" i="433"/>
  <c r="V664" i="433"/>
  <c r="U664" i="433"/>
  <c r="S664" i="433"/>
  <c r="R664" i="433"/>
  <c r="Q664" i="433"/>
  <c r="C664" i="433"/>
  <c r="T664" i="433" s="1"/>
  <c r="B664" i="433"/>
  <c r="P664" i="433" s="1"/>
  <c r="AJ663" i="433"/>
  <c r="V663" i="433"/>
  <c r="U663" i="433"/>
  <c r="S663" i="433"/>
  <c r="R663" i="433"/>
  <c r="Q663" i="433"/>
  <c r="C663" i="433"/>
  <c r="T663" i="433" s="1"/>
  <c r="B663" i="433"/>
  <c r="P663" i="433" s="1"/>
  <c r="AJ662" i="433"/>
  <c r="V662" i="433"/>
  <c r="U662" i="433"/>
  <c r="S662" i="433"/>
  <c r="R662" i="433"/>
  <c r="Q662" i="433"/>
  <c r="C662" i="433"/>
  <c r="T662" i="433" s="1"/>
  <c r="B662" i="433"/>
  <c r="P662" i="433" s="1"/>
  <c r="AJ661" i="433"/>
  <c r="V661" i="433"/>
  <c r="U661" i="433"/>
  <c r="S661" i="433"/>
  <c r="R661" i="433"/>
  <c r="Q661" i="433"/>
  <c r="C661" i="433"/>
  <c r="T661" i="433" s="1"/>
  <c r="B661" i="433"/>
  <c r="P661" i="433" s="1"/>
  <c r="AJ660" i="433"/>
  <c r="V660" i="433"/>
  <c r="U660" i="433"/>
  <c r="T660" i="433"/>
  <c r="S660" i="433"/>
  <c r="R660" i="433"/>
  <c r="Q660" i="433"/>
  <c r="C660" i="433"/>
  <c r="B660" i="433"/>
  <c r="P660" i="433" s="1"/>
  <c r="AJ659" i="433"/>
  <c r="V659" i="433"/>
  <c r="U659" i="433"/>
  <c r="S659" i="433"/>
  <c r="R659" i="433"/>
  <c r="Q659" i="433"/>
  <c r="P659" i="433"/>
  <c r="C659" i="433"/>
  <c r="T659" i="433" s="1"/>
  <c r="B659" i="433"/>
  <c r="AJ658" i="433"/>
  <c r="V658" i="433"/>
  <c r="U658" i="433"/>
  <c r="S658" i="433"/>
  <c r="R658" i="433"/>
  <c r="Q658" i="433"/>
  <c r="C658" i="433"/>
  <c r="T658" i="433" s="1"/>
  <c r="B658" i="433"/>
  <c r="P658" i="433" s="1"/>
  <c r="AJ657" i="433"/>
  <c r="V657" i="433"/>
  <c r="U657" i="433"/>
  <c r="S657" i="433"/>
  <c r="R657" i="433"/>
  <c r="Q657" i="433"/>
  <c r="C657" i="433"/>
  <c r="T657" i="433" s="1"/>
  <c r="B657" i="433"/>
  <c r="P657" i="433" s="1"/>
  <c r="AJ656" i="433"/>
  <c r="V656" i="433"/>
  <c r="U656" i="433"/>
  <c r="S656" i="433"/>
  <c r="R656" i="433"/>
  <c r="Q656" i="433"/>
  <c r="C656" i="433"/>
  <c r="T656" i="433" s="1"/>
  <c r="B656" i="433"/>
  <c r="P656" i="433" s="1"/>
  <c r="AJ655" i="433"/>
  <c r="V655" i="433"/>
  <c r="U655" i="433"/>
  <c r="S655" i="433"/>
  <c r="R655" i="433"/>
  <c r="Q655" i="433"/>
  <c r="C655" i="433"/>
  <c r="T655" i="433" s="1"/>
  <c r="B655" i="433"/>
  <c r="P655" i="433" s="1"/>
  <c r="AJ654" i="433"/>
  <c r="V654" i="433"/>
  <c r="U654" i="433"/>
  <c r="S654" i="433"/>
  <c r="R654" i="433"/>
  <c r="Q654" i="433"/>
  <c r="C654" i="433"/>
  <c r="T654" i="433" s="1"/>
  <c r="B654" i="433"/>
  <c r="P654" i="433" s="1"/>
  <c r="AJ653" i="433"/>
  <c r="V653" i="433"/>
  <c r="U653" i="433"/>
  <c r="S653" i="433"/>
  <c r="R653" i="433"/>
  <c r="Q653" i="433"/>
  <c r="C653" i="433"/>
  <c r="T653" i="433" s="1"/>
  <c r="B653" i="433"/>
  <c r="P653" i="433" s="1"/>
  <c r="AJ652" i="433"/>
  <c r="V652" i="433"/>
  <c r="U652" i="433"/>
  <c r="S652" i="433"/>
  <c r="R652" i="433"/>
  <c r="Q652" i="433"/>
  <c r="C652" i="433"/>
  <c r="T652" i="433" s="1"/>
  <c r="B652" i="433"/>
  <c r="P652" i="433" s="1"/>
  <c r="AJ651" i="433"/>
  <c r="V651" i="433"/>
  <c r="U651" i="433"/>
  <c r="S651" i="433"/>
  <c r="R651" i="433"/>
  <c r="Q651" i="433"/>
  <c r="C651" i="433"/>
  <c r="T651" i="433" s="1"/>
  <c r="B651" i="433"/>
  <c r="P651" i="433" s="1"/>
  <c r="AJ650" i="433"/>
  <c r="V650" i="433"/>
  <c r="U650" i="433"/>
  <c r="T650" i="433"/>
  <c r="S650" i="433"/>
  <c r="R650" i="433"/>
  <c r="Q650" i="433"/>
  <c r="C650" i="433"/>
  <c r="B650" i="433"/>
  <c r="P650" i="433" s="1"/>
  <c r="AJ649" i="433"/>
  <c r="V649" i="433"/>
  <c r="U649" i="433"/>
  <c r="S649" i="433"/>
  <c r="R649" i="433"/>
  <c r="Q649" i="433"/>
  <c r="C649" i="433"/>
  <c r="T649" i="433" s="1"/>
  <c r="B649" i="433"/>
  <c r="P649" i="433" s="1"/>
  <c r="AJ648" i="433"/>
  <c r="V648" i="433"/>
  <c r="U648" i="433"/>
  <c r="S648" i="433"/>
  <c r="R648" i="433"/>
  <c r="Q648" i="433"/>
  <c r="C648" i="433"/>
  <c r="T648" i="433" s="1"/>
  <c r="B648" i="433"/>
  <c r="P648" i="433" s="1"/>
  <c r="AJ647" i="433"/>
  <c r="V647" i="433"/>
  <c r="U647" i="433"/>
  <c r="S647" i="433"/>
  <c r="R647" i="433"/>
  <c r="Q647" i="433"/>
  <c r="C647" i="433"/>
  <c r="T647" i="433" s="1"/>
  <c r="B647" i="433"/>
  <c r="P647" i="433" s="1"/>
  <c r="AJ646" i="433"/>
  <c r="V646" i="433"/>
  <c r="U646" i="433"/>
  <c r="S646" i="433"/>
  <c r="R646" i="433"/>
  <c r="Q646" i="433"/>
  <c r="C646" i="433"/>
  <c r="T646" i="433" s="1"/>
  <c r="B646" i="433"/>
  <c r="P646" i="433" s="1"/>
  <c r="AJ645" i="433"/>
  <c r="V645" i="433"/>
  <c r="U645" i="433"/>
  <c r="S645" i="433"/>
  <c r="R645" i="433"/>
  <c r="Q645" i="433"/>
  <c r="C645" i="433"/>
  <c r="T645" i="433" s="1"/>
  <c r="B645" i="433"/>
  <c r="P645" i="433" s="1"/>
  <c r="AJ644" i="433"/>
  <c r="V644" i="433"/>
  <c r="U644" i="433"/>
  <c r="S644" i="433"/>
  <c r="R644" i="433"/>
  <c r="Q644" i="433"/>
  <c r="C644" i="433"/>
  <c r="T644" i="433" s="1"/>
  <c r="B644" i="433"/>
  <c r="P644" i="433" s="1"/>
  <c r="AJ643" i="433"/>
  <c r="V643" i="433"/>
  <c r="U643" i="433"/>
  <c r="S643" i="433"/>
  <c r="R643" i="433"/>
  <c r="Q643" i="433"/>
  <c r="C643" i="433"/>
  <c r="T643" i="433" s="1"/>
  <c r="B643" i="433"/>
  <c r="P643" i="433" s="1"/>
  <c r="AJ642" i="433"/>
  <c r="V642" i="433"/>
  <c r="U642" i="433"/>
  <c r="T642" i="433"/>
  <c r="S642" i="433"/>
  <c r="R642" i="433"/>
  <c r="Q642" i="433"/>
  <c r="C642" i="433"/>
  <c r="B642" i="433"/>
  <c r="P642" i="433" s="1"/>
  <c r="AJ641" i="433"/>
  <c r="V641" i="433"/>
  <c r="U641" i="433"/>
  <c r="S641" i="433"/>
  <c r="R641" i="433"/>
  <c r="Q641" i="433"/>
  <c r="C641" i="433"/>
  <c r="T641" i="433" s="1"/>
  <c r="B641" i="433"/>
  <c r="P641" i="433" s="1"/>
  <c r="AJ640" i="433"/>
  <c r="V640" i="433"/>
  <c r="U640" i="433"/>
  <c r="S640" i="433"/>
  <c r="R640" i="433"/>
  <c r="Q640" i="433"/>
  <c r="C640" i="433"/>
  <c r="T640" i="433" s="1"/>
  <c r="B640" i="433"/>
  <c r="P640" i="433" s="1"/>
  <c r="AJ639" i="433"/>
  <c r="V639" i="433"/>
  <c r="U639" i="433"/>
  <c r="T639" i="433"/>
  <c r="S639" i="433"/>
  <c r="R639" i="433"/>
  <c r="Q639" i="433"/>
  <c r="C639" i="433"/>
  <c r="B639" i="433"/>
  <c r="P639" i="433" s="1"/>
  <c r="AJ638" i="433"/>
  <c r="V638" i="433"/>
  <c r="U638" i="433"/>
  <c r="T638" i="433"/>
  <c r="S638" i="433"/>
  <c r="R638" i="433"/>
  <c r="Q638" i="433"/>
  <c r="P638" i="433"/>
  <c r="C638" i="433"/>
  <c r="B638" i="433"/>
  <c r="AJ637" i="433"/>
  <c r="V637" i="433"/>
  <c r="U637" i="433"/>
  <c r="S637" i="433"/>
  <c r="R637" i="433"/>
  <c r="Q637" i="433"/>
  <c r="C637" i="433"/>
  <c r="T637" i="433" s="1"/>
  <c r="B637" i="433"/>
  <c r="P637" i="433" s="1"/>
  <c r="AJ636" i="433"/>
  <c r="V636" i="433"/>
  <c r="U636" i="433"/>
  <c r="S636" i="433"/>
  <c r="R636" i="433"/>
  <c r="Q636" i="433"/>
  <c r="C636" i="433"/>
  <c r="T636" i="433" s="1"/>
  <c r="B636" i="433"/>
  <c r="P636" i="433" s="1"/>
  <c r="AJ635" i="433"/>
  <c r="V635" i="433"/>
  <c r="U635" i="433"/>
  <c r="S635" i="433"/>
  <c r="R635" i="433"/>
  <c r="Q635" i="433"/>
  <c r="C635" i="433"/>
  <c r="T635" i="433" s="1"/>
  <c r="B635" i="433"/>
  <c r="P635" i="433" s="1"/>
  <c r="AJ634" i="433"/>
  <c r="V634" i="433"/>
  <c r="U634" i="433"/>
  <c r="S634" i="433"/>
  <c r="R634" i="433"/>
  <c r="Q634" i="433"/>
  <c r="C634" i="433"/>
  <c r="T634" i="433" s="1"/>
  <c r="B634" i="433"/>
  <c r="P634" i="433" s="1"/>
  <c r="AJ633" i="433"/>
  <c r="V633" i="433"/>
  <c r="U633" i="433"/>
  <c r="S633" i="433"/>
  <c r="R633" i="433"/>
  <c r="Q633" i="433"/>
  <c r="C633" i="433"/>
  <c r="T633" i="433" s="1"/>
  <c r="B633" i="433"/>
  <c r="P633" i="433" s="1"/>
  <c r="AJ632" i="433"/>
  <c r="V632" i="433"/>
  <c r="U632" i="433"/>
  <c r="S632" i="433"/>
  <c r="R632" i="433"/>
  <c r="Q632" i="433"/>
  <c r="C632" i="433"/>
  <c r="T632" i="433" s="1"/>
  <c r="B632" i="433"/>
  <c r="P632" i="433" s="1"/>
  <c r="AJ631" i="433"/>
  <c r="V631" i="433"/>
  <c r="U631" i="433"/>
  <c r="S631" i="433"/>
  <c r="R631" i="433"/>
  <c r="Q631" i="433"/>
  <c r="C631" i="433"/>
  <c r="T631" i="433" s="1"/>
  <c r="B631" i="433"/>
  <c r="P631" i="433" s="1"/>
  <c r="AJ630" i="433"/>
  <c r="V630" i="433"/>
  <c r="U630" i="433"/>
  <c r="S630" i="433"/>
  <c r="R630" i="433"/>
  <c r="Q630" i="433"/>
  <c r="P630" i="433"/>
  <c r="C630" i="433"/>
  <c r="T630" i="433" s="1"/>
  <c r="B630" i="433"/>
  <c r="AJ629" i="433"/>
  <c r="V629" i="433"/>
  <c r="U629" i="433"/>
  <c r="S629" i="433"/>
  <c r="R629" i="433"/>
  <c r="Q629" i="433"/>
  <c r="C629" i="433"/>
  <c r="T629" i="433" s="1"/>
  <c r="B629" i="433"/>
  <c r="P629" i="433" s="1"/>
  <c r="AJ628" i="433"/>
  <c r="V628" i="433"/>
  <c r="U628" i="433"/>
  <c r="T628" i="433"/>
  <c r="S628" i="433"/>
  <c r="R628" i="433"/>
  <c r="Q628" i="433"/>
  <c r="C628" i="433"/>
  <c r="B628" i="433"/>
  <c r="P628" i="433" s="1"/>
  <c r="AJ627" i="433"/>
  <c r="V627" i="433"/>
  <c r="U627" i="433"/>
  <c r="S627" i="433"/>
  <c r="R627" i="433"/>
  <c r="Q627" i="433"/>
  <c r="C627" i="433"/>
  <c r="T627" i="433" s="1"/>
  <c r="B627" i="433"/>
  <c r="P627" i="433" s="1"/>
  <c r="AJ626" i="433"/>
  <c r="V626" i="433"/>
  <c r="U626" i="433"/>
  <c r="S626" i="433"/>
  <c r="R626" i="433"/>
  <c r="Q626" i="433"/>
  <c r="C626" i="433"/>
  <c r="T626" i="433" s="1"/>
  <c r="B626" i="433"/>
  <c r="P626" i="433" s="1"/>
  <c r="AJ625" i="433"/>
  <c r="V625" i="433"/>
  <c r="U625" i="433"/>
  <c r="S625" i="433"/>
  <c r="R625" i="433"/>
  <c r="Q625" i="433"/>
  <c r="C625" i="433"/>
  <c r="T625" i="433" s="1"/>
  <c r="B625" i="433"/>
  <c r="P625" i="433" s="1"/>
  <c r="AJ624" i="433"/>
  <c r="V624" i="433"/>
  <c r="U624" i="433"/>
  <c r="S624" i="433"/>
  <c r="R624" i="433"/>
  <c r="Q624" i="433"/>
  <c r="C624" i="433"/>
  <c r="T624" i="433" s="1"/>
  <c r="B624" i="433"/>
  <c r="P624" i="433" s="1"/>
  <c r="AJ623" i="433"/>
  <c r="V623" i="433"/>
  <c r="U623" i="433"/>
  <c r="S623" i="433"/>
  <c r="R623" i="433"/>
  <c r="Q623" i="433"/>
  <c r="P623" i="433"/>
  <c r="C623" i="433"/>
  <c r="T623" i="433" s="1"/>
  <c r="B623" i="433"/>
  <c r="AJ622" i="433"/>
  <c r="V622" i="433"/>
  <c r="U622" i="433"/>
  <c r="S622" i="433"/>
  <c r="R622" i="433"/>
  <c r="Q622" i="433"/>
  <c r="C622" i="433"/>
  <c r="T622" i="433" s="1"/>
  <c r="B622" i="433"/>
  <c r="P622" i="433" s="1"/>
  <c r="AJ621" i="433"/>
  <c r="V621" i="433"/>
  <c r="U621" i="433"/>
  <c r="S621" i="433"/>
  <c r="R621" i="433"/>
  <c r="Q621" i="433"/>
  <c r="C621" i="433"/>
  <c r="T621" i="433" s="1"/>
  <c r="B621" i="433"/>
  <c r="P621" i="433" s="1"/>
  <c r="AJ620" i="433"/>
  <c r="V620" i="433"/>
  <c r="U620" i="433"/>
  <c r="T620" i="433"/>
  <c r="S620" i="433"/>
  <c r="R620" i="433"/>
  <c r="Q620" i="433"/>
  <c r="C620" i="433"/>
  <c r="B620" i="433"/>
  <c r="P620" i="433" s="1"/>
  <c r="AJ619" i="433"/>
  <c r="V619" i="433"/>
  <c r="U619" i="433"/>
  <c r="S619" i="433"/>
  <c r="R619" i="433"/>
  <c r="Q619" i="433"/>
  <c r="C619" i="433"/>
  <c r="T619" i="433" s="1"/>
  <c r="B619" i="433"/>
  <c r="P619" i="433" s="1"/>
  <c r="AJ618" i="433"/>
  <c r="V618" i="433"/>
  <c r="U618" i="433"/>
  <c r="S618" i="433"/>
  <c r="R618" i="433"/>
  <c r="Q618" i="433"/>
  <c r="C618" i="433"/>
  <c r="T618" i="433" s="1"/>
  <c r="B618" i="433"/>
  <c r="P618" i="433" s="1"/>
  <c r="AJ617" i="433"/>
  <c r="V617" i="433"/>
  <c r="U617" i="433"/>
  <c r="S617" i="433"/>
  <c r="R617" i="433"/>
  <c r="Q617" i="433"/>
  <c r="C617" i="433"/>
  <c r="T617" i="433" s="1"/>
  <c r="B617" i="433"/>
  <c r="P617" i="433" s="1"/>
  <c r="AJ616" i="433"/>
  <c r="V616" i="433"/>
  <c r="U616" i="433"/>
  <c r="S616" i="433"/>
  <c r="R616" i="433"/>
  <c r="Q616" i="433"/>
  <c r="C616" i="433"/>
  <c r="T616" i="433" s="1"/>
  <c r="B616" i="433"/>
  <c r="P616" i="433" s="1"/>
  <c r="AJ615" i="433"/>
  <c r="V615" i="433"/>
  <c r="U615" i="433"/>
  <c r="S615" i="433"/>
  <c r="R615" i="433"/>
  <c r="Q615" i="433"/>
  <c r="P615" i="433"/>
  <c r="C615" i="433"/>
  <c r="T615" i="433" s="1"/>
  <c r="B615" i="433"/>
  <c r="AJ614" i="433"/>
  <c r="V614" i="433"/>
  <c r="U614" i="433"/>
  <c r="S614" i="433"/>
  <c r="R614" i="433"/>
  <c r="Q614" i="433"/>
  <c r="P614" i="433"/>
  <c r="C614" i="433"/>
  <c r="T614" i="433" s="1"/>
  <c r="B614" i="433"/>
  <c r="AJ613" i="433"/>
  <c r="V613" i="433"/>
  <c r="U613" i="433"/>
  <c r="S613" i="433"/>
  <c r="R613" i="433"/>
  <c r="Q613" i="433"/>
  <c r="C613" i="433"/>
  <c r="T613" i="433" s="1"/>
  <c r="B613" i="433"/>
  <c r="P613" i="433" s="1"/>
  <c r="AJ612" i="433"/>
  <c r="V612" i="433"/>
  <c r="U612" i="433"/>
  <c r="S612" i="433"/>
  <c r="R612" i="433"/>
  <c r="Q612" i="433"/>
  <c r="C612" i="433"/>
  <c r="T612" i="433" s="1"/>
  <c r="B612" i="433"/>
  <c r="P612" i="433" s="1"/>
  <c r="AJ611" i="433"/>
  <c r="V611" i="433"/>
  <c r="U611" i="433"/>
  <c r="S611" i="433"/>
  <c r="R611" i="433"/>
  <c r="Q611" i="433"/>
  <c r="C611" i="433"/>
  <c r="T611" i="433" s="1"/>
  <c r="B611" i="433"/>
  <c r="P611" i="433" s="1"/>
  <c r="AJ610" i="433"/>
  <c r="V610" i="433"/>
  <c r="U610" i="433"/>
  <c r="S610" i="433"/>
  <c r="R610" i="433"/>
  <c r="Q610" i="433"/>
  <c r="C610" i="433"/>
  <c r="T610" i="433" s="1"/>
  <c r="B610" i="433"/>
  <c r="P610" i="433" s="1"/>
  <c r="AJ609" i="433"/>
  <c r="V609" i="433"/>
  <c r="U609" i="433"/>
  <c r="S609" i="433"/>
  <c r="R609" i="433"/>
  <c r="Q609" i="433"/>
  <c r="P609" i="433"/>
  <c r="C609" i="433"/>
  <c r="T609" i="433" s="1"/>
  <c r="B609" i="433"/>
  <c r="AJ608" i="433"/>
  <c r="V608" i="433"/>
  <c r="U608" i="433"/>
  <c r="S608" i="433"/>
  <c r="R608" i="433"/>
  <c r="Q608" i="433"/>
  <c r="C608" i="433"/>
  <c r="T608" i="433" s="1"/>
  <c r="B608" i="433"/>
  <c r="P608" i="433" s="1"/>
  <c r="AJ607" i="433"/>
  <c r="V607" i="433"/>
  <c r="U607" i="433"/>
  <c r="S607" i="433"/>
  <c r="R607" i="433"/>
  <c r="Q607" i="433"/>
  <c r="C607" i="433"/>
  <c r="T607" i="433" s="1"/>
  <c r="B607" i="433"/>
  <c r="P607" i="433" s="1"/>
  <c r="AJ606" i="433"/>
  <c r="V606" i="433"/>
  <c r="U606" i="433"/>
  <c r="S606" i="433"/>
  <c r="R606" i="433"/>
  <c r="Q606" i="433"/>
  <c r="C606" i="433"/>
  <c r="T606" i="433" s="1"/>
  <c r="B606" i="433"/>
  <c r="P606" i="433" s="1"/>
  <c r="AJ605" i="433"/>
  <c r="V605" i="433"/>
  <c r="U605" i="433"/>
  <c r="S605" i="433"/>
  <c r="R605" i="433"/>
  <c r="Q605" i="433"/>
  <c r="C605" i="433"/>
  <c r="T605" i="433" s="1"/>
  <c r="B605" i="433"/>
  <c r="P605" i="433" s="1"/>
  <c r="AJ604" i="433"/>
  <c r="V604" i="433"/>
  <c r="U604" i="433"/>
  <c r="S604" i="433"/>
  <c r="R604" i="433"/>
  <c r="Q604" i="433"/>
  <c r="C604" i="433"/>
  <c r="T604" i="433" s="1"/>
  <c r="B604" i="433"/>
  <c r="P604" i="433" s="1"/>
  <c r="AJ603" i="433"/>
  <c r="V603" i="433"/>
  <c r="U603" i="433"/>
  <c r="S603" i="433"/>
  <c r="R603" i="433"/>
  <c r="Q603" i="433"/>
  <c r="C603" i="433"/>
  <c r="T603" i="433" s="1"/>
  <c r="B603" i="433"/>
  <c r="P603" i="433" s="1"/>
  <c r="AJ602" i="433"/>
  <c r="V602" i="433"/>
  <c r="U602" i="433"/>
  <c r="S602" i="433"/>
  <c r="R602" i="433"/>
  <c r="Q602" i="433"/>
  <c r="P602" i="433"/>
  <c r="C602" i="433"/>
  <c r="T602" i="433" s="1"/>
  <c r="B602" i="433"/>
  <c r="AJ601" i="433"/>
  <c r="V601" i="433"/>
  <c r="U601" i="433"/>
  <c r="S601" i="433"/>
  <c r="R601" i="433"/>
  <c r="Q601" i="433"/>
  <c r="C601" i="433"/>
  <c r="T601" i="433" s="1"/>
  <c r="B601" i="433"/>
  <c r="P601" i="433" s="1"/>
  <c r="AJ600" i="433"/>
  <c r="V600" i="433"/>
  <c r="U600" i="433"/>
  <c r="S600" i="433"/>
  <c r="R600" i="433"/>
  <c r="Q600" i="433"/>
  <c r="C600" i="433"/>
  <c r="T600" i="433" s="1"/>
  <c r="B600" i="433"/>
  <c r="P600" i="433" s="1"/>
  <c r="AJ599" i="433"/>
  <c r="V599" i="433"/>
  <c r="U599" i="433"/>
  <c r="T599" i="433"/>
  <c r="S599" i="433"/>
  <c r="R599" i="433"/>
  <c r="Q599" i="433"/>
  <c r="P599" i="433"/>
  <c r="C599" i="433"/>
  <c r="B599" i="433"/>
  <c r="AJ598" i="433"/>
  <c r="V598" i="433"/>
  <c r="U598" i="433"/>
  <c r="S598" i="433"/>
  <c r="R598" i="433"/>
  <c r="Q598" i="433"/>
  <c r="C598" i="433"/>
  <c r="T598" i="433" s="1"/>
  <c r="B598" i="433"/>
  <c r="P598" i="433" s="1"/>
  <c r="AJ597" i="433"/>
  <c r="V597" i="433"/>
  <c r="U597" i="433"/>
  <c r="S597" i="433"/>
  <c r="R597" i="433"/>
  <c r="Q597" i="433"/>
  <c r="C597" i="433"/>
  <c r="T597" i="433" s="1"/>
  <c r="B597" i="433"/>
  <c r="P597" i="433" s="1"/>
  <c r="AJ596" i="433"/>
  <c r="V596" i="433"/>
  <c r="U596" i="433"/>
  <c r="S596" i="433"/>
  <c r="R596" i="433"/>
  <c r="Q596" i="433"/>
  <c r="C596" i="433"/>
  <c r="T596" i="433" s="1"/>
  <c r="B596" i="433"/>
  <c r="P596" i="433" s="1"/>
  <c r="AJ595" i="433"/>
  <c r="V595" i="433"/>
  <c r="U595" i="433"/>
  <c r="S595" i="433"/>
  <c r="R595" i="433"/>
  <c r="Q595" i="433"/>
  <c r="P595" i="433"/>
  <c r="C595" i="433"/>
  <c r="T595" i="433" s="1"/>
  <c r="B595" i="433"/>
  <c r="AJ594" i="433"/>
  <c r="V594" i="433"/>
  <c r="U594" i="433"/>
  <c r="T594" i="433"/>
  <c r="S594" i="433"/>
  <c r="R594" i="433"/>
  <c r="Q594" i="433"/>
  <c r="P594" i="433"/>
  <c r="C594" i="433"/>
  <c r="B594" i="433"/>
  <c r="AJ593" i="433"/>
  <c r="V593" i="433"/>
  <c r="U593" i="433"/>
  <c r="S593" i="433"/>
  <c r="R593" i="433"/>
  <c r="Q593" i="433"/>
  <c r="C593" i="433"/>
  <c r="T593" i="433" s="1"/>
  <c r="B593" i="433"/>
  <c r="P593" i="433" s="1"/>
  <c r="AJ592" i="433"/>
  <c r="V592" i="433"/>
  <c r="U592" i="433"/>
  <c r="S592" i="433"/>
  <c r="R592" i="433"/>
  <c r="Q592" i="433"/>
  <c r="C592" i="433"/>
  <c r="T592" i="433" s="1"/>
  <c r="B592" i="433"/>
  <c r="P592" i="433" s="1"/>
  <c r="AJ591" i="433"/>
  <c r="V591" i="433"/>
  <c r="U591" i="433"/>
  <c r="S591" i="433"/>
  <c r="R591" i="433"/>
  <c r="Q591" i="433"/>
  <c r="C591" i="433"/>
  <c r="T591" i="433" s="1"/>
  <c r="B591" i="433"/>
  <c r="P591" i="433" s="1"/>
  <c r="AJ590" i="433"/>
  <c r="V590" i="433"/>
  <c r="U590" i="433"/>
  <c r="S590" i="433"/>
  <c r="R590" i="433"/>
  <c r="Q590" i="433"/>
  <c r="P590" i="433"/>
  <c r="C590" i="433"/>
  <c r="T590" i="433" s="1"/>
  <c r="B590" i="433"/>
  <c r="AJ589" i="433"/>
  <c r="V589" i="433"/>
  <c r="U589" i="433"/>
  <c r="S589" i="433"/>
  <c r="R589" i="433"/>
  <c r="Q589" i="433"/>
  <c r="C589" i="433"/>
  <c r="T589" i="433" s="1"/>
  <c r="B589" i="433"/>
  <c r="P589" i="433" s="1"/>
  <c r="AJ588" i="433"/>
  <c r="V588" i="433"/>
  <c r="U588" i="433"/>
  <c r="T588" i="433"/>
  <c r="S588" i="433"/>
  <c r="R588" i="433"/>
  <c r="Q588" i="433"/>
  <c r="C588" i="433"/>
  <c r="B588" i="433"/>
  <c r="P588" i="433" s="1"/>
  <c r="AJ587" i="433"/>
  <c r="V587" i="433"/>
  <c r="U587" i="433"/>
  <c r="T587" i="433"/>
  <c r="S587" i="433"/>
  <c r="R587" i="433"/>
  <c r="Q587" i="433"/>
  <c r="C587" i="433"/>
  <c r="B587" i="433"/>
  <c r="P587" i="433" s="1"/>
  <c r="AJ586" i="433"/>
  <c r="V586" i="433"/>
  <c r="U586" i="433"/>
  <c r="S586" i="433"/>
  <c r="R586" i="433"/>
  <c r="Q586" i="433"/>
  <c r="C586" i="433"/>
  <c r="T586" i="433" s="1"/>
  <c r="B586" i="433"/>
  <c r="P586" i="433" s="1"/>
  <c r="AJ585" i="433"/>
  <c r="V585" i="433"/>
  <c r="U585" i="433"/>
  <c r="S585" i="433"/>
  <c r="R585" i="433"/>
  <c r="Q585" i="433"/>
  <c r="C585" i="433"/>
  <c r="T585" i="433" s="1"/>
  <c r="B585" i="433"/>
  <c r="P585" i="433" s="1"/>
  <c r="AJ584" i="433"/>
  <c r="V584" i="433"/>
  <c r="U584" i="433"/>
  <c r="S584" i="433"/>
  <c r="R584" i="433"/>
  <c r="Q584" i="433"/>
  <c r="P584" i="433"/>
  <c r="C584" i="433"/>
  <c r="T584" i="433" s="1"/>
  <c r="B584" i="433"/>
  <c r="AJ583" i="433"/>
  <c r="V583" i="433"/>
  <c r="U583" i="433"/>
  <c r="T583" i="433"/>
  <c r="S583" i="433"/>
  <c r="R583" i="433"/>
  <c r="Q583" i="433"/>
  <c r="C583" i="433"/>
  <c r="B583" i="433"/>
  <c r="P583" i="433" s="1"/>
  <c r="AJ582" i="433"/>
  <c r="V582" i="433"/>
  <c r="U582" i="433"/>
  <c r="S582" i="433"/>
  <c r="R582" i="433"/>
  <c r="Q582" i="433"/>
  <c r="P582" i="433"/>
  <c r="C582" i="433"/>
  <c r="T582" i="433" s="1"/>
  <c r="B582" i="433"/>
  <c r="AJ581" i="433"/>
  <c r="V581" i="433"/>
  <c r="U581" i="433"/>
  <c r="S581" i="433"/>
  <c r="R581" i="433"/>
  <c r="Q581" i="433"/>
  <c r="C581" i="433"/>
  <c r="T581" i="433" s="1"/>
  <c r="B581" i="433"/>
  <c r="P581" i="433" s="1"/>
  <c r="AJ580" i="433"/>
  <c r="V580" i="433"/>
  <c r="U580" i="433"/>
  <c r="S580" i="433"/>
  <c r="R580" i="433"/>
  <c r="Q580" i="433"/>
  <c r="C580" i="433"/>
  <c r="T580" i="433" s="1"/>
  <c r="B580" i="433"/>
  <c r="P580" i="433" s="1"/>
  <c r="AJ579" i="433"/>
  <c r="V579" i="433"/>
  <c r="U579" i="433"/>
  <c r="S579" i="433"/>
  <c r="R579" i="433"/>
  <c r="Q579" i="433"/>
  <c r="C579" i="433"/>
  <c r="T579" i="433" s="1"/>
  <c r="B579" i="433"/>
  <c r="P579" i="433" s="1"/>
  <c r="AJ578" i="433"/>
  <c r="V578" i="433"/>
  <c r="U578" i="433"/>
  <c r="S578" i="433"/>
  <c r="R578" i="433"/>
  <c r="Q578" i="433"/>
  <c r="C578" i="433"/>
  <c r="T578" i="433" s="1"/>
  <c r="B578" i="433"/>
  <c r="P578" i="433" s="1"/>
  <c r="AJ577" i="433"/>
  <c r="V577" i="433"/>
  <c r="U577" i="433"/>
  <c r="S577" i="433"/>
  <c r="R577" i="433"/>
  <c r="Q577" i="433"/>
  <c r="C577" i="433"/>
  <c r="T577" i="433" s="1"/>
  <c r="B577" i="433"/>
  <c r="P577" i="433" s="1"/>
  <c r="AJ576" i="433"/>
  <c r="V576" i="433"/>
  <c r="U576" i="433"/>
  <c r="S576" i="433"/>
  <c r="R576" i="433"/>
  <c r="Q576" i="433"/>
  <c r="C576" i="433"/>
  <c r="T576" i="433" s="1"/>
  <c r="B576" i="433"/>
  <c r="P576" i="433" s="1"/>
  <c r="AJ575" i="433"/>
  <c r="V575" i="433"/>
  <c r="U575" i="433"/>
  <c r="S575" i="433"/>
  <c r="R575" i="433"/>
  <c r="Q575" i="433"/>
  <c r="P575" i="433"/>
  <c r="C575" i="433"/>
  <c r="T575" i="433" s="1"/>
  <c r="B575" i="433"/>
  <c r="AJ574" i="433"/>
  <c r="V574" i="433"/>
  <c r="U574" i="433"/>
  <c r="S574" i="433"/>
  <c r="R574" i="433"/>
  <c r="Q574" i="433"/>
  <c r="C574" i="433"/>
  <c r="T574" i="433" s="1"/>
  <c r="B574" i="433"/>
  <c r="P574" i="433" s="1"/>
  <c r="AJ573" i="433"/>
  <c r="V573" i="433"/>
  <c r="U573" i="433"/>
  <c r="S573" i="433"/>
  <c r="R573" i="433"/>
  <c r="Q573" i="433"/>
  <c r="C573" i="433"/>
  <c r="T573" i="433" s="1"/>
  <c r="B573" i="433"/>
  <c r="P573" i="433" s="1"/>
  <c r="AJ572" i="433"/>
  <c r="V572" i="433"/>
  <c r="U572" i="433"/>
  <c r="T572" i="433"/>
  <c r="S572" i="433"/>
  <c r="R572" i="433"/>
  <c r="Q572" i="433"/>
  <c r="C572" i="433"/>
  <c r="B572" i="433"/>
  <c r="P572" i="433" s="1"/>
  <c r="AJ571" i="433"/>
  <c r="V571" i="433"/>
  <c r="U571" i="433"/>
  <c r="S571" i="433"/>
  <c r="R571" i="433"/>
  <c r="Q571" i="433"/>
  <c r="C571" i="433"/>
  <c r="T571" i="433" s="1"/>
  <c r="B571" i="433"/>
  <c r="P571" i="433" s="1"/>
  <c r="AJ570" i="433"/>
  <c r="V570" i="433"/>
  <c r="U570" i="433"/>
  <c r="S570" i="433"/>
  <c r="R570" i="433"/>
  <c r="Q570" i="433"/>
  <c r="P570" i="433"/>
  <c r="C570" i="433"/>
  <c r="T570" i="433" s="1"/>
  <c r="B570" i="433"/>
  <c r="AJ569" i="433"/>
  <c r="V569" i="433"/>
  <c r="U569" i="433"/>
  <c r="S569" i="433"/>
  <c r="R569" i="433"/>
  <c r="Q569" i="433"/>
  <c r="C569" i="433"/>
  <c r="T569" i="433" s="1"/>
  <c r="B569" i="433"/>
  <c r="P569" i="433" s="1"/>
  <c r="AJ568" i="433"/>
  <c r="V568" i="433"/>
  <c r="U568" i="433"/>
  <c r="S568" i="433"/>
  <c r="R568" i="433"/>
  <c r="Q568" i="433"/>
  <c r="C568" i="433"/>
  <c r="T568" i="433" s="1"/>
  <c r="B568" i="433"/>
  <c r="P568" i="433" s="1"/>
  <c r="AJ567" i="433"/>
  <c r="V567" i="433"/>
  <c r="U567" i="433"/>
  <c r="S567" i="433"/>
  <c r="R567" i="433"/>
  <c r="Q567" i="433"/>
  <c r="P567" i="433"/>
  <c r="C567" i="433"/>
  <c r="T567" i="433" s="1"/>
  <c r="B567" i="433"/>
  <c r="AJ566" i="433"/>
  <c r="V566" i="433"/>
  <c r="U566" i="433"/>
  <c r="S566" i="433"/>
  <c r="R566" i="433"/>
  <c r="Q566" i="433"/>
  <c r="C566" i="433"/>
  <c r="T566" i="433" s="1"/>
  <c r="B566" i="433"/>
  <c r="P566" i="433" s="1"/>
  <c r="AJ565" i="433"/>
  <c r="V565" i="433"/>
  <c r="U565" i="433"/>
  <c r="S565" i="433"/>
  <c r="R565" i="433"/>
  <c r="Q565" i="433"/>
  <c r="C565" i="433"/>
  <c r="T565" i="433" s="1"/>
  <c r="B565" i="433"/>
  <c r="P565" i="433" s="1"/>
  <c r="AJ564" i="433"/>
  <c r="V564" i="433"/>
  <c r="U564" i="433"/>
  <c r="S564" i="433"/>
  <c r="R564" i="433"/>
  <c r="Q564" i="433"/>
  <c r="C564" i="433"/>
  <c r="T564" i="433" s="1"/>
  <c r="B564" i="433"/>
  <c r="P564" i="433" s="1"/>
  <c r="AJ563" i="433"/>
  <c r="V563" i="433"/>
  <c r="U563" i="433"/>
  <c r="S563" i="433"/>
  <c r="R563" i="433"/>
  <c r="Q563" i="433"/>
  <c r="C563" i="433"/>
  <c r="T563" i="433" s="1"/>
  <c r="B563" i="433"/>
  <c r="P563" i="433" s="1"/>
  <c r="AJ562" i="433"/>
  <c r="V562" i="433"/>
  <c r="U562" i="433"/>
  <c r="S562" i="433"/>
  <c r="R562" i="433"/>
  <c r="Q562" i="433"/>
  <c r="C562" i="433"/>
  <c r="T562" i="433" s="1"/>
  <c r="B562" i="433"/>
  <c r="P562" i="433" s="1"/>
  <c r="AJ561" i="433"/>
  <c r="V561" i="433"/>
  <c r="U561" i="433"/>
  <c r="S561" i="433"/>
  <c r="R561" i="433"/>
  <c r="Q561" i="433"/>
  <c r="C561" i="433"/>
  <c r="T561" i="433" s="1"/>
  <c r="B561" i="433"/>
  <c r="P561" i="433" s="1"/>
  <c r="AJ560" i="433"/>
  <c r="V560" i="433"/>
  <c r="U560" i="433"/>
  <c r="S560" i="433"/>
  <c r="R560" i="433"/>
  <c r="Q560" i="433"/>
  <c r="C560" i="433"/>
  <c r="T560" i="433" s="1"/>
  <c r="B560" i="433"/>
  <c r="P560" i="433" s="1"/>
  <c r="AJ559" i="433"/>
  <c r="V559" i="433"/>
  <c r="U559" i="433"/>
  <c r="T559" i="433"/>
  <c r="S559" i="433"/>
  <c r="R559" i="433"/>
  <c r="Q559" i="433"/>
  <c r="C559" i="433"/>
  <c r="B559" i="433"/>
  <c r="P559" i="433" s="1"/>
  <c r="AJ558" i="433"/>
  <c r="V558" i="433"/>
  <c r="U558" i="433"/>
  <c r="S558" i="433"/>
  <c r="R558" i="433"/>
  <c r="Q558" i="433"/>
  <c r="C558" i="433"/>
  <c r="T558" i="433" s="1"/>
  <c r="B558" i="433"/>
  <c r="P558" i="433" s="1"/>
  <c r="AJ557" i="433"/>
  <c r="V557" i="433"/>
  <c r="U557" i="433"/>
  <c r="S557" i="433"/>
  <c r="R557" i="433"/>
  <c r="Q557" i="433"/>
  <c r="C557" i="433"/>
  <c r="T557" i="433" s="1"/>
  <c r="B557" i="433"/>
  <c r="P557" i="433" s="1"/>
  <c r="AJ556" i="433"/>
  <c r="V556" i="433"/>
  <c r="U556" i="433"/>
  <c r="S556" i="433"/>
  <c r="R556" i="433"/>
  <c r="Q556" i="433"/>
  <c r="C556" i="433"/>
  <c r="T556" i="433" s="1"/>
  <c r="B556" i="433"/>
  <c r="P556" i="433" s="1"/>
  <c r="AJ555" i="433"/>
  <c r="V555" i="433"/>
  <c r="U555" i="433"/>
  <c r="S555" i="433"/>
  <c r="R555" i="433"/>
  <c r="Q555" i="433"/>
  <c r="C555" i="433"/>
  <c r="T555" i="433" s="1"/>
  <c r="B555" i="433"/>
  <c r="P555" i="433" s="1"/>
  <c r="AJ554" i="433"/>
  <c r="V554" i="433"/>
  <c r="U554" i="433"/>
  <c r="S554" i="433"/>
  <c r="R554" i="433"/>
  <c r="Q554" i="433"/>
  <c r="P554" i="433"/>
  <c r="C554" i="433"/>
  <c r="T554" i="433" s="1"/>
  <c r="B554" i="433"/>
  <c r="AJ553" i="433"/>
  <c r="V553" i="433"/>
  <c r="U553" i="433"/>
  <c r="S553" i="433"/>
  <c r="R553" i="433"/>
  <c r="Q553" i="433"/>
  <c r="C553" i="433"/>
  <c r="T553" i="433" s="1"/>
  <c r="B553" i="433"/>
  <c r="P553" i="433" s="1"/>
  <c r="AJ552" i="433"/>
  <c r="V552" i="433"/>
  <c r="U552" i="433"/>
  <c r="S552" i="433"/>
  <c r="R552" i="433"/>
  <c r="Q552" i="433"/>
  <c r="C552" i="433"/>
  <c r="T552" i="433" s="1"/>
  <c r="B552" i="433"/>
  <c r="P552" i="433" s="1"/>
  <c r="AJ551" i="433"/>
  <c r="V551" i="433"/>
  <c r="U551" i="433"/>
  <c r="S551" i="433"/>
  <c r="R551" i="433"/>
  <c r="Q551" i="433"/>
  <c r="C551" i="433"/>
  <c r="T551" i="433" s="1"/>
  <c r="B551" i="433"/>
  <c r="P551" i="433" s="1"/>
  <c r="AJ550" i="433"/>
  <c r="V550" i="433"/>
  <c r="U550" i="433"/>
  <c r="S550" i="433"/>
  <c r="R550" i="433"/>
  <c r="Q550" i="433"/>
  <c r="C550" i="433"/>
  <c r="T550" i="433" s="1"/>
  <c r="B550" i="433"/>
  <c r="P550" i="433" s="1"/>
  <c r="AJ549" i="433"/>
  <c r="V549" i="433"/>
  <c r="U549" i="433"/>
  <c r="S549" i="433"/>
  <c r="R549" i="433"/>
  <c r="Q549" i="433"/>
  <c r="C549" i="433"/>
  <c r="T549" i="433" s="1"/>
  <c r="B549" i="433"/>
  <c r="P549" i="433" s="1"/>
  <c r="AJ548" i="433"/>
  <c r="V548" i="433"/>
  <c r="U548" i="433"/>
  <c r="S548" i="433"/>
  <c r="R548" i="433"/>
  <c r="Q548" i="433"/>
  <c r="C548" i="433"/>
  <c r="T548" i="433" s="1"/>
  <c r="B548" i="433"/>
  <c r="P548" i="433" s="1"/>
  <c r="AJ547" i="433"/>
  <c r="V547" i="433"/>
  <c r="U547" i="433"/>
  <c r="S547" i="433"/>
  <c r="R547" i="433"/>
  <c r="Q547" i="433"/>
  <c r="P547" i="433"/>
  <c r="C547" i="433"/>
  <c r="T547" i="433" s="1"/>
  <c r="B547" i="433"/>
  <c r="AJ546" i="433"/>
  <c r="V546" i="433"/>
  <c r="U546" i="433"/>
  <c r="T546" i="433"/>
  <c r="S546" i="433"/>
  <c r="R546" i="433"/>
  <c r="Q546" i="433"/>
  <c r="P546" i="433"/>
  <c r="C546" i="433"/>
  <c r="B546" i="433"/>
  <c r="AJ545" i="433"/>
  <c r="V545" i="433"/>
  <c r="U545" i="433"/>
  <c r="S545" i="433"/>
  <c r="R545" i="433"/>
  <c r="Q545" i="433"/>
  <c r="C545" i="433"/>
  <c r="T545" i="433" s="1"/>
  <c r="B545" i="433"/>
  <c r="P545" i="433" s="1"/>
  <c r="AJ544" i="433"/>
  <c r="V544" i="433"/>
  <c r="U544" i="433"/>
  <c r="S544" i="433"/>
  <c r="R544" i="433"/>
  <c r="Q544" i="433"/>
  <c r="C544" i="433"/>
  <c r="T544" i="433" s="1"/>
  <c r="B544" i="433"/>
  <c r="P544" i="433" s="1"/>
  <c r="AJ543" i="433"/>
  <c r="V543" i="433"/>
  <c r="U543" i="433"/>
  <c r="S543" i="433"/>
  <c r="R543" i="433"/>
  <c r="Q543" i="433"/>
  <c r="C543" i="433"/>
  <c r="T543" i="433" s="1"/>
  <c r="B543" i="433"/>
  <c r="P543" i="433" s="1"/>
  <c r="AJ542" i="433"/>
  <c r="V542" i="433"/>
  <c r="U542" i="433"/>
  <c r="S542" i="433"/>
  <c r="R542" i="433"/>
  <c r="Q542" i="433"/>
  <c r="C542" i="433"/>
  <c r="T542" i="433" s="1"/>
  <c r="B542" i="433"/>
  <c r="P542" i="433" s="1"/>
  <c r="AJ541" i="433"/>
  <c r="V541" i="433"/>
  <c r="U541" i="433"/>
  <c r="S541" i="433"/>
  <c r="R541" i="433"/>
  <c r="Q541" i="433"/>
  <c r="C541" i="433"/>
  <c r="T541" i="433" s="1"/>
  <c r="B541" i="433"/>
  <c r="P541" i="433" s="1"/>
  <c r="AJ540" i="433"/>
  <c r="V540" i="433"/>
  <c r="U540" i="433"/>
  <c r="S540" i="433"/>
  <c r="R540" i="433"/>
  <c r="Q540" i="433"/>
  <c r="C540" i="433"/>
  <c r="T540" i="433" s="1"/>
  <c r="B540" i="433"/>
  <c r="P540" i="433" s="1"/>
  <c r="AJ539" i="433"/>
  <c r="V539" i="433"/>
  <c r="U539" i="433"/>
  <c r="T539" i="433"/>
  <c r="S539" i="433"/>
  <c r="R539" i="433"/>
  <c r="Q539" i="433"/>
  <c r="P539" i="433"/>
  <c r="C539" i="433"/>
  <c r="B539" i="433"/>
  <c r="AJ538" i="433"/>
  <c r="V538" i="433"/>
  <c r="U538" i="433"/>
  <c r="S538" i="433"/>
  <c r="R538" i="433"/>
  <c r="Q538" i="433"/>
  <c r="C538" i="433"/>
  <c r="T538" i="433" s="1"/>
  <c r="B538" i="433"/>
  <c r="P538" i="433" s="1"/>
  <c r="AJ537" i="433"/>
  <c r="V537" i="433"/>
  <c r="U537" i="433"/>
  <c r="S537" i="433"/>
  <c r="R537" i="433"/>
  <c r="Q537" i="433"/>
  <c r="C537" i="433"/>
  <c r="T537" i="433" s="1"/>
  <c r="B537" i="433"/>
  <c r="P537" i="433" s="1"/>
  <c r="AJ536" i="433"/>
  <c r="V536" i="433"/>
  <c r="U536" i="433"/>
  <c r="S536" i="433"/>
  <c r="R536" i="433"/>
  <c r="Q536" i="433"/>
  <c r="C536" i="433"/>
  <c r="T536" i="433" s="1"/>
  <c r="B536" i="433"/>
  <c r="P536" i="433" s="1"/>
  <c r="AJ535" i="433"/>
  <c r="V535" i="433"/>
  <c r="U535" i="433"/>
  <c r="S535" i="433"/>
  <c r="R535" i="433"/>
  <c r="Q535" i="433"/>
  <c r="C535" i="433"/>
  <c r="T535" i="433" s="1"/>
  <c r="B535" i="433"/>
  <c r="P535" i="433" s="1"/>
  <c r="AJ534" i="433"/>
  <c r="V534" i="433"/>
  <c r="U534" i="433"/>
  <c r="S534" i="433"/>
  <c r="R534" i="433"/>
  <c r="Q534" i="433"/>
  <c r="P534" i="433"/>
  <c r="C534" i="433"/>
  <c r="T534" i="433" s="1"/>
  <c r="B534" i="433"/>
  <c r="AJ533" i="433"/>
  <c r="V533" i="433"/>
  <c r="U533" i="433"/>
  <c r="S533" i="433"/>
  <c r="R533" i="433"/>
  <c r="Q533" i="433"/>
  <c r="C533" i="433"/>
  <c r="T533" i="433" s="1"/>
  <c r="B533" i="433"/>
  <c r="P533" i="433" s="1"/>
  <c r="AJ532" i="433"/>
  <c r="V532" i="433"/>
  <c r="U532" i="433"/>
  <c r="S532" i="433"/>
  <c r="R532" i="433"/>
  <c r="Q532" i="433"/>
  <c r="C532" i="433"/>
  <c r="T532" i="433" s="1"/>
  <c r="B532" i="433"/>
  <c r="P532" i="433" s="1"/>
  <c r="AJ531" i="433"/>
  <c r="V531" i="433"/>
  <c r="U531" i="433"/>
  <c r="T531" i="433"/>
  <c r="S531" i="433"/>
  <c r="R531" i="433"/>
  <c r="Q531" i="433"/>
  <c r="C531" i="433"/>
  <c r="B531" i="433"/>
  <c r="P531" i="433" s="1"/>
  <c r="AJ530" i="433"/>
  <c r="V530" i="433"/>
  <c r="U530" i="433"/>
  <c r="S530" i="433"/>
  <c r="R530" i="433"/>
  <c r="Q530" i="433"/>
  <c r="P530" i="433"/>
  <c r="C530" i="433"/>
  <c r="T530" i="433" s="1"/>
  <c r="B530" i="433"/>
  <c r="AJ529" i="433"/>
  <c r="V529" i="433"/>
  <c r="U529" i="433"/>
  <c r="S529" i="433"/>
  <c r="R529" i="433"/>
  <c r="Q529" i="433"/>
  <c r="P529" i="433"/>
  <c r="C529" i="433"/>
  <c r="T529" i="433" s="1"/>
  <c r="B529" i="433"/>
  <c r="AJ528" i="433"/>
  <c r="V528" i="433"/>
  <c r="U528" i="433"/>
  <c r="S528" i="433"/>
  <c r="R528" i="433"/>
  <c r="Q528" i="433"/>
  <c r="C528" i="433"/>
  <c r="T528" i="433" s="1"/>
  <c r="B528" i="433"/>
  <c r="P528" i="433" s="1"/>
  <c r="AJ527" i="433"/>
  <c r="V527" i="433"/>
  <c r="U527" i="433"/>
  <c r="S527" i="433"/>
  <c r="R527" i="433"/>
  <c r="Q527" i="433"/>
  <c r="C527" i="433"/>
  <c r="T527" i="433" s="1"/>
  <c r="B527" i="433"/>
  <c r="P527" i="433" s="1"/>
  <c r="AJ526" i="433"/>
  <c r="V526" i="433"/>
  <c r="U526" i="433"/>
  <c r="S526" i="433"/>
  <c r="R526" i="433"/>
  <c r="Q526" i="433"/>
  <c r="C526" i="433"/>
  <c r="T526" i="433" s="1"/>
  <c r="B526" i="433"/>
  <c r="P526" i="433" s="1"/>
  <c r="AJ525" i="433"/>
  <c r="V525" i="433"/>
  <c r="U525" i="433"/>
  <c r="S525" i="433"/>
  <c r="R525" i="433"/>
  <c r="Q525" i="433"/>
  <c r="P525" i="433"/>
  <c r="C525" i="433"/>
  <c r="T525" i="433" s="1"/>
  <c r="B525" i="433"/>
  <c r="AJ524" i="433"/>
  <c r="V524" i="433"/>
  <c r="U524" i="433"/>
  <c r="S524" i="433"/>
  <c r="R524" i="433"/>
  <c r="Q524" i="433"/>
  <c r="C524" i="433"/>
  <c r="T524" i="433" s="1"/>
  <c r="B524" i="433"/>
  <c r="P524" i="433" s="1"/>
  <c r="AJ523" i="433"/>
  <c r="V523" i="433"/>
  <c r="U523" i="433"/>
  <c r="S523" i="433"/>
  <c r="R523" i="433"/>
  <c r="Q523" i="433"/>
  <c r="C523" i="433"/>
  <c r="T523" i="433" s="1"/>
  <c r="B523" i="433"/>
  <c r="P523" i="433" s="1"/>
  <c r="AJ522" i="433"/>
  <c r="V522" i="433"/>
  <c r="U522" i="433"/>
  <c r="T522" i="433"/>
  <c r="S522" i="433"/>
  <c r="R522" i="433"/>
  <c r="Q522" i="433"/>
  <c r="C522" i="433"/>
  <c r="B522" i="433"/>
  <c r="P522" i="433" s="1"/>
  <c r="AJ521" i="433"/>
  <c r="V521" i="433"/>
  <c r="U521" i="433"/>
  <c r="S521" i="433"/>
  <c r="R521" i="433"/>
  <c r="Q521" i="433"/>
  <c r="C521" i="433"/>
  <c r="T521" i="433" s="1"/>
  <c r="B521" i="433"/>
  <c r="P521" i="433" s="1"/>
  <c r="AJ520" i="433"/>
  <c r="V520" i="433"/>
  <c r="U520" i="433"/>
  <c r="S520" i="433"/>
  <c r="R520" i="433"/>
  <c r="Q520" i="433"/>
  <c r="C520" i="433"/>
  <c r="T520" i="433" s="1"/>
  <c r="B520" i="433"/>
  <c r="P520" i="433" s="1"/>
  <c r="AJ519" i="433"/>
  <c r="V519" i="433"/>
  <c r="U519" i="433"/>
  <c r="T519" i="433"/>
  <c r="S519" i="433"/>
  <c r="R519" i="433"/>
  <c r="Q519" i="433"/>
  <c r="P519" i="433"/>
  <c r="C519" i="433"/>
  <c r="B519" i="433"/>
  <c r="AJ518" i="433"/>
  <c r="V518" i="433"/>
  <c r="U518" i="433"/>
  <c r="S518" i="433"/>
  <c r="R518" i="433"/>
  <c r="Q518" i="433"/>
  <c r="P518" i="433"/>
  <c r="C518" i="433"/>
  <c r="T518" i="433" s="1"/>
  <c r="B518" i="433"/>
  <c r="AJ517" i="433"/>
  <c r="V517" i="433"/>
  <c r="U517" i="433"/>
  <c r="S517" i="433"/>
  <c r="R517" i="433"/>
  <c r="Q517" i="433"/>
  <c r="C517" i="433"/>
  <c r="T517" i="433" s="1"/>
  <c r="B517" i="433"/>
  <c r="P517" i="433" s="1"/>
  <c r="AJ516" i="433"/>
  <c r="V516" i="433"/>
  <c r="U516" i="433"/>
  <c r="S516" i="433"/>
  <c r="R516" i="433"/>
  <c r="Q516" i="433"/>
  <c r="C516" i="433"/>
  <c r="T516" i="433" s="1"/>
  <c r="B516" i="433"/>
  <c r="P516" i="433" s="1"/>
  <c r="AJ515" i="433"/>
  <c r="V515" i="433"/>
  <c r="U515" i="433"/>
  <c r="S515" i="433"/>
  <c r="R515" i="433"/>
  <c r="Q515" i="433"/>
  <c r="P515" i="433"/>
  <c r="C515" i="433"/>
  <c r="T515" i="433" s="1"/>
  <c r="B515" i="433"/>
  <c r="AJ514" i="433"/>
  <c r="V514" i="433"/>
  <c r="U514" i="433"/>
  <c r="S514" i="433"/>
  <c r="R514" i="433"/>
  <c r="Q514" i="433"/>
  <c r="C514" i="433"/>
  <c r="T514" i="433" s="1"/>
  <c r="B514" i="433"/>
  <c r="P514" i="433" s="1"/>
  <c r="AJ513" i="433"/>
  <c r="V513" i="433"/>
  <c r="U513" i="433"/>
  <c r="S513" i="433"/>
  <c r="R513" i="433"/>
  <c r="Q513" i="433"/>
  <c r="C513" i="433"/>
  <c r="T513" i="433" s="1"/>
  <c r="B513" i="433"/>
  <c r="P513" i="433" s="1"/>
  <c r="AJ512" i="433"/>
  <c r="V512" i="433"/>
  <c r="U512" i="433"/>
  <c r="S512" i="433"/>
  <c r="R512" i="433"/>
  <c r="Q512" i="433"/>
  <c r="C512" i="433"/>
  <c r="T512" i="433" s="1"/>
  <c r="B512" i="433"/>
  <c r="P512" i="433" s="1"/>
  <c r="AJ511" i="433"/>
  <c r="V511" i="433"/>
  <c r="U511" i="433"/>
  <c r="S511" i="433"/>
  <c r="R511" i="433"/>
  <c r="Q511" i="433"/>
  <c r="C511" i="433"/>
  <c r="T511" i="433" s="1"/>
  <c r="B511" i="433"/>
  <c r="P511" i="433" s="1"/>
  <c r="AJ510" i="433"/>
  <c r="V510" i="433"/>
  <c r="U510" i="433"/>
  <c r="S510" i="433"/>
  <c r="R510" i="433"/>
  <c r="Q510" i="433"/>
  <c r="C510" i="433"/>
  <c r="T510" i="433" s="1"/>
  <c r="B510" i="433"/>
  <c r="P510" i="433" s="1"/>
  <c r="AJ509" i="433"/>
  <c r="V509" i="433"/>
  <c r="U509" i="433"/>
  <c r="S509" i="433"/>
  <c r="R509" i="433"/>
  <c r="Q509" i="433"/>
  <c r="C509" i="433"/>
  <c r="T509" i="433" s="1"/>
  <c r="B509" i="433"/>
  <c r="P509" i="433" s="1"/>
  <c r="AJ508" i="433"/>
  <c r="V508" i="433"/>
  <c r="U508" i="433"/>
  <c r="S508" i="433"/>
  <c r="R508" i="433"/>
  <c r="Q508" i="433"/>
  <c r="C508" i="433"/>
  <c r="T508" i="433" s="1"/>
  <c r="B508" i="433"/>
  <c r="P508" i="433" s="1"/>
  <c r="AJ507" i="433"/>
  <c r="V507" i="433"/>
  <c r="U507" i="433"/>
  <c r="T507" i="433"/>
  <c r="S507" i="433"/>
  <c r="R507" i="433"/>
  <c r="Q507" i="433"/>
  <c r="P507" i="433"/>
  <c r="C507" i="433"/>
  <c r="B507" i="433"/>
  <c r="AJ506" i="433"/>
  <c r="V506" i="433"/>
  <c r="U506" i="433"/>
  <c r="S506" i="433"/>
  <c r="R506" i="433"/>
  <c r="Q506" i="433"/>
  <c r="C506" i="433"/>
  <c r="T506" i="433" s="1"/>
  <c r="B506" i="433"/>
  <c r="P506" i="433" s="1"/>
  <c r="AJ505" i="433"/>
  <c r="V505" i="433"/>
  <c r="U505" i="433"/>
  <c r="S505" i="433"/>
  <c r="R505" i="433"/>
  <c r="Q505" i="433"/>
  <c r="C505" i="433"/>
  <c r="T505" i="433" s="1"/>
  <c r="B505" i="433"/>
  <c r="P505" i="433" s="1"/>
  <c r="AJ504" i="433"/>
  <c r="V504" i="433"/>
  <c r="U504" i="433"/>
  <c r="S504" i="433"/>
  <c r="R504" i="433"/>
  <c r="Q504" i="433"/>
  <c r="C504" i="433"/>
  <c r="T504" i="433" s="1"/>
  <c r="B504" i="433"/>
  <c r="P504" i="433" s="1"/>
  <c r="AJ503" i="433"/>
  <c r="V503" i="433"/>
  <c r="U503" i="433"/>
  <c r="S503" i="433"/>
  <c r="R503" i="433"/>
  <c r="Q503" i="433"/>
  <c r="C503" i="433"/>
  <c r="T503" i="433" s="1"/>
  <c r="B503" i="433"/>
  <c r="P503" i="433" s="1"/>
  <c r="AJ502" i="433"/>
  <c r="V502" i="433"/>
  <c r="U502" i="433"/>
  <c r="S502" i="433"/>
  <c r="R502" i="433"/>
  <c r="Q502" i="433"/>
  <c r="C502" i="433"/>
  <c r="T502" i="433" s="1"/>
  <c r="B502" i="433"/>
  <c r="P502" i="433" s="1"/>
  <c r="AJ501" i="433"/>
  <c r="V501" i="433"/>
  <c r="U501" i="433"/>
  <c r="S501" i="433"/>
  <c r="R501" i="433"/>
  <c r="Q501" i="433"/>
  <c r="C501" i="433"/>
  <c r="T501" i="433" s="1"/>
  <c r="B501" i="433"/>
  <c r="P501" i="433" s="1"/>
  <c r="AJ500" i="433"/>
  <c r="V500" i="433"/>
  <c r="U500" i="433"/>
  <c r="S500" i="433"/>
  <c r="R500" i="433"/>
  <c r="Q500" i="433"/>
  <c r="C500" i="433"/>
  <c r="T500" i="433" s="1"/>
  <c r="B500" i="433"/>
  <c r="P500" i="433" s="1"/>
  <c r="AJ499" i="433"/>
  <c r="V499" i="433"/>
  <c r="U499" i="433"/>
  <c r="S499" i="433"/>
  <c r="R499" i="433"/>
  <c r="Q499" i="433"/>
  <c r="C499" i="433"/>
  <c r="T499" i="433" s="1"/>
  <c r="B499" i="433"/>
  <c r="P499" i="433" s="1"/>
  <c r="AJ498" i="433"/>
  <c r="V498" i="433"/>
  <c r="U498" i="433"/>
  <c r="S498" i="433"/>
  <c r="R498" i="433"/>
  <c r="Q498" i="433"/>
  <c r="C498" i="433"/>
  <c r="T498" i="433" s="1"/>
  <c r="B498" i="433"/>
  <c r="P498" i="433" s="1"/>
  <c r="AJ497" i="433"/>
  <c r="V497" i="433"/>
  <c r="U497" i="433"/>
  <c r="S497" i="433"/>
  <c r="R497" i="433"/>
  <c r="Q497" i="433"/>
  <c r="C497" i="433"/>
  <c r="T497" i="433" s="1"/>
  <c r="B497" i="433"/>
  <c r="P497" i="433" s="1"/>
  <c r="AJ496" i="433"/>
  <c r="V496" i="433"/>
  <c r="U496" i="433"/>
  <c r="S496" i="433"/>
  <c r="R496" i="433"/>
  <c r="Q496" i="433"/>
  <c r="C496" i="433"/>
  <c r="T496" i="433" s="1"/>
  <c r="B496" i="433"/>
  <c r="P496" i="433" s="1"/>
  <c r="AJ495" i="433"/>
  <c r="V495" i="433"/>
  <c r="U495" i="433"/>
  <c r="S495" i="433"/>
  <c r="R495" i="433"/>
  <c r="Q495" i="433"/>
  <c r="C495" i="433"/>
  <c r="T495" i="433" s="1"/>
  <c r="B495" i="433"/>
  <c r="P495" i="433" s="1"/>
  <c r="AJ494" i="433"/>
  <c r="V494" i="433"/>
  <c r="U494" i="433"/>
  <c r="S494" i="433"/>
  <c r="R494" i="433"/>
  <c r="Q494" i="433"/>
  <c r="P494" i="433"/>
  <c r="C494" i="433"/>
  <c r="T494" i="433" s="1"/>
  <c r="B494" i="433"/>
  <c r="AJ493" i="433"/>
  <c r="V493" i="433"/>
  <c r="U493" i="433"/>
  <c r="S493" i="433"/>
  <c r="R493" i="433"/>
  <c r="Q493" i="433"/>
  <c r="C493" i="433"/>
  <c r="T493" i="433" s="1"/>
  <c r="B493" i="433"/>
  <c r="P493" i="433" s="1"/>
  <c r="AJ492" i="433"/>
  <c r="V492" i="433"/>
  <c r="U492" i="433"/>
  <c r="T492" i="433"/>
  <c r="S492" i="433"/>
  <c r="R492" i="433"/>
  <c r="Q492" i="433"/>
  <c r="C492" i="433"/>
  <c r="B492" i="433"/>
  <c r="P492" i="433" s="1"/>
  <c r="AJ491" i="433"/>
  <c r="V491" i="433"/>
  <c r="U491" i="433"/>
  <c r="S491" i="433"/>
  <c r="R491" i="433"/>
  <c r="Q491" i="433"/>
  <c r="C491" i="433"/>
  <c r="T491" i="433" s="1"/>
  <c r="B491" i="433"/>
  <c r="P491" i="433" s="1"/>
  <c r="AJ490" i="433"/>
  <c r="V490" i="433"/>
  <c r="U490" i="433"/>
  <c r="S490" i="433"/>
  <c r="R490" i="433"/>
  <c r="Q490" i="433"/>
  <c r="P490" i="433"/>
  <c r="C490" i="433"/>
  <c r="T490" i="433" s="1"/>
  <c r="B490" i="433"/>
  <c r="AJ489" i="433"/>
  <c r="V489" i="433"/>
  <c r="U489" i="433"/>
  <c r="S489" i="433"/>
  <c r="R489" i="433"/>
  <c r="Q489" i="433"/>
  <c r="C489" i="433"/>
  <c r="T489" i="433" s="1"/>
  <c r="B489" i="433"/>
  <c r="P489" i="433" s="1"/>
  <c r="AJ488" i="433"/>
  <c r="V488" i="433"/>
  <c r="U488" i="433"/>
  <c r="S488" i="433"/>
  <c r="R488" i="433"/>
  <c r="Q488" i="433"/>
  <c r="C488" i="433"/>
  <c r="T488" i="433" s="1"/>
  <c r="B488" i="433"/>
  <c r="P488" i="433" s="1"/>
  <c r="AJ487" i="433"/>
  <c r="V487" i="433"/>
  <c r="U487" i="433"/>
  <c r="S487" i="433"/>
  <c r="R487" i="433"/>
  <c r="Q487" i="433"/>
  <c r="C487" i="433"/>
  <c r="T487" i="433" s="1"/>
  <c r="B487" i="433"/>
  <c r="P487" i="433" s="1"/>
  <c r="AJ486" i="433"/>
  <c r="V486" i="433"/>
  <c r="U486" i="433"/>
  <c r="S486" i="433"/>
  <c r="R486" i="433"/>
  <c r="Q486" i="433"/>
  <c r="C486" i="433"/>
  <c r="T486" i="433" s="1"/>
  <c r="B486" i="433"/>
  <c r="P486" i="433" s="1"/>
  <c r="AJ485" i="433"/>
  <c r="V485" i="433"/>
  <c r="U485" i="433"/>
  <c r="S485" i="433"/>
  <c r="R485" i="433"/>
  <c r="Q485" i="433"/>
  <c r="C485" i="433"/>
  <c r="T485" i="433" s="1"/>
  <c r="B485" i="433"/>
  <c r="P485" i="433" s="1"/>
  <c r="AJ484" i="433"/>
  <c r="V484" i="433"/>
  <c r="U484" i="433"/>
  <c r="T484" i="433"/>
  <c r="S484" i="433"/>
  <c r="R484" i="433"/>
  <c r="Q484" i="433"/>
  <c r="C484" i="433"/>
  <c r="B484" i="433"/>
  <c r="P484" i="433" s="1"/>
  <c r="AJ483" i="433"/>
  <c r="V483" i="433"/>
  <c r="U483" i="433"/>
  <c r="S483" i="433"/>
  <c r="R483" i="433"/>
  <c r="Q483" i="433"/>
  <c r="C483" i="433"/>
  <c r="T483" i="433" s="1"/>
  <c r="B483" i="433"/>
  <c r="P483" i="433" s="1"/>
  <c r="AJ482" i="433"/>
  <c r="V482" i="433"/>
  <c r="U482" i="433"/>
  <c r="S482" i="433"/>
  <c r="R482" i="433"/>
  <c r="Q482" i="433"/>
  <c r="C482" i="433"/>
  <c r="T482" i="433" s="1"/>
  <c r="B482" i="433"/>
  <c r="P482" i="433" s="1"/>
  <c r="AJ481" i="433"/>
  <c r="V481" i="433"/>
  <c r="U481" i="433"/>
  <c r="S481" i="433"/>
  <c r="R481" i="433"/>
  <c r="Q481" i="433"/>
  <c r="C481" i="433"/>
  <c r="T481" i="433" s="1"/>
  <c r="B481" i="433"/>
  <c r="P481" i="433" s="1"/>
  <c r="AJ480" i="433"/>
  <c r="V480" i="433"/>
  <c r="U480" i="433"/>
  <c r="S480" i="433"/>
  <c r="R480" i="433"/>
  <c r="Q480" i="433"/>
  <c r="C480" i="433"/>
  <c r="T480" i="433" s="1"/>
  <c r="B480" i="433"/>
  <c r="P480" i="433" s="1"/>
  <c r="AJ479" i="433"/>
  <c r="V479" i="433"/>
  <c r="U479" i="433"/>
  <c r="S479" i="433"/>
  <c r="R479" i="433"/>
  <c r="Q479" i="433"/>
  <c r="P479" i="433"/>
  <c r="C479" i="433"/>
  <c r="T479" i="433" s="1"/>
  <c r="B479" i="433"/>
  <c r="AJ478" i="433"/>
  <c r="V478" i="433"/>
  <c r="U478" i="433"/>
  <c r="S478" i="433"/>
  <c r="R478" i="433"/>
  <c r="Q478" i="433"/>
  <c r="C478" i="433"/>
  <c r="T478" i="433" s="1"/>
  <c r="B478" i="433"/>
  <c r="P478" i="433" s="1"/>
  <c r="AJ477" i="433"/>
  <c r="V477" i="433"/>
  <c r="U477" i="433"/>
  <c r="S477" i="433"/>
  <c r="R477" i="433"/>
  <c r="Q477" i="433"/>
  <c r="C477" i="433"/>
  <c r="T477" i="433" s="1"/>
  <c r="B477" i="433"/>
  <c r="P477" i="433" s="1"/>
  <c r="AJ476" i="433"/>
  <c r="V476" i="433"/>
  <c r="U476" i="433"/>
  <c r="S476" i="433"/>
  <c r="R476" i="433"/>
  <c r="Q476" i="433"/>
  <c r="C476" i="433"/>
  <c r="T476" i="433" s="1"/>
  <c r="B476" i="433"/>
  <c r="P476" i="433" s="1"/>
  <c r="AJ475" i="433"/>
  <c r="V475" i="433"/>
  <c r="U475" i="433"/>
  <c r="S475" i="433"/>
  <c r="R475" i="433"/>
  <c r="Q475" i="433"/>
  <c r="C475" i="433"/>
  <c r="T475" i="433" s="1"/>
  <c r="B475" i="433"/>
  <c r="P475" i="433" s="1"/>
  <c r="AJ474" i="433"/>
  <c r="V474" i="433"/>
  <c r="U474" i="433"/>
  <c r="T474" i="433"/>
  <c r="S474" i="433"/>
  <c r="R474" i="433"/>
  <c r="Q474" i="433"/>
  <c r="C474" i="433"/>
  <c r="B474" i="433"/>
  <c r="P474" i="433" s="1"/>
  <c r="AJ473" i="433"/>
  <c r="V473" i="433"/>
  <c r="U473" i="433"/>
  <c r="S473" i="433"/>
  <c r="R473" i="433"/>
  <c r="Q473" i="433"/>
  <c r="C473" i="433"/>
  <c r="T473" i="433" s="1"/>
  <c r="B473" i="433"/>
  <c r="P473" i="433" s="1"/>
  <c r="AJ472" i="433"/>
  <c r="V472" i="433"/>
  <c r="U472" i="433"/>
  <c r="S472" i="433"/>
  <c r="R472" i="433"/>
  <c r="Q472" i="433"/>
  <c r="C472" i="433"/>
  <c r="T472" i="433" s="1"/>
  <c r="B472" i="433"/>
  <c r="P472" i="433" s="1"/>
  <c r="AJ471" i="433"/>
  <c r="V471" i="433"/>
  <c r="U471" i="433"/>
  <c r="T471" i="433"/>
  <c r="S471" i="433"/>
  <c r="R471" i="433"/>
  <c r="Q471" i="433"/>
  <c r="P471" i="433"/>
  <c r="C471" i="433"/>
  <c r="B471" i="433"/>
  <c r="AJ470" i="433"/>
  <c r="V470" i="433"/>
  <c r="U470" i="433"/>
  <c r="S470" i="433"/>
  <c r="R470" i="433"/>
  <c r="Q470" i="433"/>
  <c r="C470" i="433"/>
  <c r="T470" i="433" s="1"/>
  <c r="B470" i="433"/>
  <c r="P470" i="433" s="1"/>
  <c r="AJ469" i="433"/>
  <c r="V469" i="433"/>
  <c r="U469" i="433"/>
  <c r="S469" i="433"/>
  <c r="R469" i="433"/>
  <c r="Q469" i="433"/>
  <c r="C469" i="433"/>
  <c r="T469" i="433" s="1"/>
  <c r="B469" i="433"/>
  <c r="P469" i="433" s="1"/>
  <c r="AJ468" i="433"/>
  <c r="V468" i="433"/>
  <c r="U468" i="433"/>
  <c r="S468" i="433"/>
  <c r="R468" i="433"/>
  <c r="Q468" i="433"/>
  <c r="C468" i="433"/>
  <c r="T468" i="433" s="1"/>
  <c r="B468" i="433"/>
  <c r="P468" i="433" s="1"/>
  <c r="AJ467" i="433"/>
  <c r="V467" i="433"/>
  <c r="U467" i="433"/>
  <c r="S467" i="433"/>
  <c r="R467" i="433"/>
  <c r="Q467" i="433"/>
  <c r="C467" i="433"/>
  <c r="T467" i="433" s="1"/>
  <c r="B467" i="433"/>
  <c r="P467" i="433" s="1"/>
  <c r="AJ466" i="433"/>
  <c r="V466" i="433"/>
  <c r="U466" i="433"/>
  <c r="S466" i="433"/>
  <c r="R466" i="433"/>
  <c r="Q466" i="433"/>
  <c r="C466" i="433"/>
  <c r="T466" i="433" s="1"/>
  <c r="B466" i="433"/>
  <c r="P466" i="433" s="1"/>
  <c r="AJ465" i="433"/>
  <c r="V465" i="433"/>
  <c r="U465" i="433"/>
  <c r="S465" i="433"/>
  <c r="R465" i="433"/>
  <c r="Q465" i="433"/>
  <c r="C465" i="433"/>
  <c r="T465" i="433" s="1"/>
  <c r="B465" i="433"/>
  <c r="P465" i="433" s="1"/>
  <c r="AJ464" i="433"/>
  <c r="V464" i="433"/>
  <c r="U464" i="433"/>
  <c r="S464" i="433"/>
  <c r="R464" i="433"/>
  <c r="Q464" i="433"/>
  <c r="C464" i="433"/>
  <c r="T464" i="433" s="1"/>
  <c r="B464" i="433"/>
  <c r="P464" i="433" s="1"/>
  <c r="AJ463" i="433"/>
  <c r="V463" i="433"/>
  <c r="U463" i="433"/>
  <c r="S463" i="433"/>
  <c r="R463" i="433"/>
  <c r="Q463" i="433"/>
  <c r="C463" i="433"/>
  <c r="T463" i="433" s="1"/>
  <c r="B463" i="433"/>
  <c r="P463" i="433" s="1"/>
  <c r="AJ462" i="433"/>
  <c r="V462" i="433"/>
  <c r="U462" i="433"/>
  <c r="S462" i="433"/>
  <c r="R462" i="433"/>
  <c r="Q462" i="433"/>
  <c r="C462" i="433"/>
  <c r="T462" i="433" s="1"/>
  <c r="B462" i="433"/>
  <c r="P462" i="433" s="1"/>
  <c r="AJ461" i="433"/>
  <c r="V461" i="433"/>
  <c r="U461" i="433"/>
  <c r="S461" i="433"/>
  <c r="R461" i="433"/>
  <c r="Q461" i="433"/>
  <c r="C461" i="433"/>
  <c r="T461" i="433" s="1"/>
  <c r="B461" i="433"/>
  <c r="P461" i="433" s="1"/>
  <c r="AJ460" i="433"/>
  <c r="V460" i="433"/>
  <c r="U460" i="433"/>
  <c r="S460" i="433"/>
  <c r="R460" i="433"/>
  <c r="Q460" i="433"/>
  <c r="C460" i="433"/>
  <c r="T460" i="433" s="1"/>
  <c r="B460" i="433"/>
  <c r="P460" i="433" s="1"/>
  <c r="AJ459" i="433"/>
  <c r="V459" i="433"/>
  <c r="U459" i="433"/>
  <c r="S459" i="433"/>
  <c r="R459" i="433"/>
  <c r="Q459" i="433"/>
  <c r="P459" i="433"/>
  <c r="C459" i="433"/>
  <c r="T459" i="433" s="1"/>
  <c r="B459" i="433"/>
  <c r="AJ458" i="433"/>
  <c r="V458" i="433"/>
  <c r="U458" i="433"/>
  <c r="T458" i="433"/>
  <c r="S458" i="433"/>
  <c r="R458" i="433"/>
  <c r="Q458" i="433"/>
  <c r="P458" i="433"/>
  <c r="C458" i="433"/>
  <c r="B458" i="433"/>
  <c r="AJ457" i="433"/>
  <c r="V457" i="433"/>
  <c r="U457" i="433"/>
  <c r="S457" i="433"/>
  <c r="R457" i="433"/>
  <c r="Q457" i="433"/>
  <c r="C457" i="433"/>
  <c r="T457" i="433" s="1"/>
  <c r="B457" i="433"/>
  <c r="P457" i="433" s="1"/>
  <c r="AJ456" i="433"/>
  <c r="V456" i="433"/>
  <c r="U456" i="433"/>
  <c r="S456" i="433"/>
  <c r="R456" i="433"/>
  <c r="Q456" i="433"/>
  <c r="C456" i="433"/>
  <c r="T456" i="433" s="1"/>
  <c r="B456" i="433"/>
  <c r="P456" i="433" s="1"/>
  <c r="AJ455" i="433"/>
  <c r="V455" i="433"/>
  <c r="U455" i="433"/>
  <c r="S455" i="433"/>
  <c r="R455" i="433"/>
  <c r="Q455" i="433"/>
  <c r="C455" i="433"/>
  <c r="T455" i="433" s="1"/>
  <c r="B455" i="433"/>
  <c r="P455" i="433" s="1"/>
  <c r="AJ454" i="433"/>
  <c r="V454" i="433"/>
  <c r="U454" i="433"/>
  <c r="S454" i="433"/>
  <c r="R454" i="433"/>
  <c r="Q454" i="433"/>
  <c r="C454" i="433"/>
  <c r="T454" i="433" s="1"/>
  <c r="B454" i="433"/>
  <c r="P454" i="433" s="1"/>
  <c r="AJ453" i="433"/>
  <c r="V453" i="433"/>
  <c r="U453" i="433"/>
  <c r="S453" i="433"/>
  <c r="R453" i="433"/>
  <c r="Q453" i="433"/>
  <c r="C453" i="433"/>
  <c r="T453" i="433" s="1"/>
  <c r="B453" i="433"/>
  <c r="P453" i="433" s="1"/>
  <c r="AJ452" i="433"/>
  <c r="V452" i="433"/>
  <c r="U452" i="433"/>
  <c r="S452" i="433"/>
  <c r="R452" i="433"/>
  <c r="Q452" i="433"/>
  <c r="C452" i="433"/>
  <c r="T452" i="433" s="1"/>
  <c r="B452" i="433"/>
  <c r="P452" i="433" s="1"/>
  <c r="AJ451" i="433"/>
  <c r="V451" i="433"/>
  <c r="U451" i="433"/>
  <c r="S451" i="433"/>
  <c r="R451" i="433"/>
  <c r="Q451" i="433"/>
  <c r="C451" i="433"/>
  <c r="T451" i="433" s="1"/>
  <c r="B451" i="433"/>
  <c r="P451" i="433" s="1"/>
  <c r="AJ450" i="433"/>
  <c r="V450" i="433"/>
  <c r="U450" i="433"/>
  <c r="S450" i="433"/>
  <c r="R450" i="433"/>
  <c r="Q450" i="433"/>
  <c r="P450" i="433"/>
  <c r="C450" i="433"/>
  <c r="T450" i="433" s="1"/>
  <c r="B450" i="433"/>
  <c r="AJ449" i="433"/>
  <c r="V449" i="433"/>
  <c r="U449" i="433"/>
  <c r="S449" i="433"/>
  <c r="R449" i="433"/>
  <c r="Q449" i="433"/>
  <c r="C449" i="433"/>
  <c r="T449" i="433" s="1"/>
  <c r="B449" i="433"/>
  <c r="P449" i="433" s="1"/>
  <c r="AJ448" i="433"/>
  <c r="V448" i="433"/>
  <c r="U448" i="433"/>
  <c r="S448" i="433"/>
  <c r="R448" i="433"/>
  <c r="Q448" i="433"/>
  <c r="C448" i="433"/>
  <c r="T448" i="433" s="1"/>
  <c r="B448" i="433"/>
  <c r="P448" i="433" s="1"/>
  <c r="AJ447" i="433"/>
  <c r="V447" i="433"/>
  <c r="U447" i="433"/>
  <c r="S447" i="433"/>
  <c r="R447" i="433"/>
  <c r="Q447" i="433"/>
  <c r="C447" i="433"/>
  <c r="T447" i="433" s="1"/>
  <c r="B447" i="433"/>
  <c r="P447" i="433" s="1"/>
  <c r="AJ446" i="433"/>
  <c r="V446" i="433"/>
  <c r="U446" i="433"/>
  <c r="T446" i="433"/>
  <c r="S446" i="433"/>
  <c r="R446" i="433"/>
  <c r="Q446" i="433"/>
  <c r="C446" i="433"/>
  <c r="B446" i="433"/>
  <c r="P446" i="433" s="1"/>
  <c r="AJ445" i="433"/>
  <c r="V445" i="433"/>
  <c r="U445" i="433"/>
  <c r="S445" i="433"/>
  <c r="R445" i="433"/>
  <c r="Q445" i="433"/>
  <c r="C445" i="433"/>
  <c r="T445" i="433" s="1"/>
  <c r="B445" i="433"/>
  <c r="P445" i="433" s="1"/>
  <c r="AJ444" i="433"/>
  <c r="V444" i="433"/>
  <c r="U444" i="433"/>
  <c r="S444" i="433"/>
  <c r="R444" i="433"/>
  <c r="Q444" i="433"/>
  <c r="C444" i="433"/>
  <c r="T444" i="433" s="1"/>
  <c r="B444" i="433"/>
  <c r="P444" i="433" s="1"/>
  <c r="AJ443" i="433"/>
  <c r="V443" i="433"/>
  <c r="U443" i="433"/>
  <c r="S443" i="433"/>
  <c r="R443" i="433"/>
  <c r="Q443" i="433"/>
  <c r="C443" i="433"/>
  <c r="T443" i="433" s="1"/>
  <c r="B443" i="433"/>
  <c r="P443" i="433" s="1"/>
  <c r="AJ442" i="433"/>
  <c r="V442" i="433"/>
  <c r="U442" i="433"/>
  <c r="S442" i="433"/>
  <c r="R442" i="433"/>
  <c r="Q442" i="433"/>
  <c r="C442" i="433"/>
  <c r="T442" i="433" s="1"/>
  <c r="B442" i="433"/>
  <c r="P442" i="433" s="1"/>
  <c r="AJ441" i="433"/>
  <c r="V441" i="433"/>
  <c r="U441" i="433"/>
  <c r="S441" i="433"/>
  <c r="R441" i="433"/>
  <c r="Q441" i="433"/>
  <c r="C441" i="433"/>
  <c r="T441" i="433" s="1"/>
  <c r="B441" i="433"/>
  <c r="P441" i="433" s="1"/>
  <c r="AJ440" i="433"/>
  <c r="V440" i="433"/>
  <c r="U440" i="433"/>
  <c r="S440" i="433"/>
  <c r="R440" i="433"/>
  <c r="Q440" i="433"/>
  <c r="P440" i="433"/>
  <c r="C440" i="433"/>
  <c r="T440" i="433" s="1"/>
  <c r="B440" i="433"/>
  <c r="AJ439" i="433"/>
  <c r="V439" i="433"/>
  <c r="U439" i="433"/>
  <c r="S439" i="433"/>
  <c r="R439" i="433"/>
  <c r="Q439" i="433"/>
  <c r="C439" i="433"/>
  <c r="T439" i="433" s="1"/>
  <c r="B439" i="433"/>
  <c r="P439" i="433" s="1"/>
  <c r="AJ438" i="433"/>
  <c r="V438" i="433"/>
  <c r="U438" i="433"/>
  <c r="S438" i="433"/>
  <c r="R438" i="433"/>
  <c r="Q438" i="433"/>
  <c r="C438" i="433"/>
  <c r="T438" i="433" s="1"/>
  <c r="B438" i="433"/>
  <c r="P438" i="433" s="1"/>
  <c r="AJ437" i="433"/>
  <c r="V437" i="433"/>
  <c r="U437" i="433"/>
  <c r="S437" i="433"/>
  <c r="R437" i="433"/>
  <c r="Q437" i="433"/>
  <c r="C437" i="433"/>
  <c r="T437" i="433" s="1"/>
  <c r="B437" i="433"/>
  <c r="P437" i="433" s="1"/>
  <c r="AJ436" i="433"/>
  <c r="V436" i="433"/>
  <c r="U436" i="433"/>
  <c r="S436" i="433"/>
  <c r="R436" i="433"/>
  <c r="Q436" i="433"/>
  <c r="C436" i="433"/>
  <c r="T436" i="433" s="1"/>
  <c r="B436" i="433"/>
  <c r="P436" i="433" s="1"/>
  <c r="AJ435" i="433"/>
  <c r="V435" i="433"/>
  <c r="U435" i="433"/>
  <c r="S435" i="433"/>
  <c r="R435" i="433"/>
  <c r="Q435" i="433"/>
  <c r="C435" i="433"/>
  <c r="T435" i="433" s="1"/>
  <c r="B435" i="433"/>
  <c r="P435" i="433" s="1"/>
  <c r="AJ434" i="433"/>
  <c r="V434" i="433"/>
  <c r="U434" i="433"/>
  <c r="S434" i="433"/>
  <c r="R434" i="433"/>
  <c r="Q434" i="433"/>
  <c r="C434" i="433"/>
  <c r="T434" i="433" s="1"/>
  <c r="B434" i="433"/>
  <c r="P434" i="433" s="1"/>
  <c r="AJ433" i="433"/>
  <c r="V433" i="433"/>
  <c r="U433" i="433"/>
  <c r="S433" i="433"/>
  <c r="R433" i="433"/>
  <c r="Q433" i="433"/>
  <c r="C433" i="433"/>
  <c r="T433" i="433" s="1"/>
  <c r="B433" i="433"/>
  <c r="P433" i="433" s="1"/>
  <c r="AJ432" i="433"/>
  <c r="V432" i="433"/>
  <c r="U432" i="433"/>
  <c r="S432" i="433"/>
  <c r="R432" i="433"/>
  <c r="Q432" i="433"/>
  <c r="C432" i="433"/>
  <c r="T432" i="433" s="1"/>
  <c r="B432" i="433"/>
  <c r="P432" i="433" s="1"/>
  <c r="AJ431" i="433"/>
  <c r="V431" i="433"/>
  <c r="U431" i="433"/>
  <c r="S431" i="433"/>
  <c r="R431" i="433"/>
  <c r="Q431" i="433"/>
  <c r="C431" i="433"/>
  <c r="T431" i="433" s="1"/>
  <c r="B431" i="433"/>
  <c r="P431" i="433" s="1"/>
  <c r="AJ430" i="433"/>
  <c r="V430" i="433"/>
  <c r="U430" i="433"/>
  <c r="S430" i="433"/>
  <c r="R430" i="433"/>
  <c r="Q430" i="433"/>
  <c r="C430" i="433"/>
  <c r="T430" i="433" s="1"/>
  <c r="B430" i="433"/>
  <c r="P430" i="433" s="1"/>
  <c r="AJ429" i="433"/>
  <c r="V429" i="433"/>
  <c r="U429" i="433"/>
  <c r="S429" i="433"/>
  <c r="R429" i="433"/>
  <c r="Q429" i="433"/>
  <c r="C429" i="433"/>
  <c r="T429" i="433" s="1"/>
  <c r="B429" i="433"/>
  <c r="P429" i="433" s="1"/>
  <c r="AJ428" i="433"/>
  <c r="V428" i="433"/>
  <c r="U428" i="433"/>
  <c r="T428" i="433"/>
  <c r="S428" i="433"/>
  <c r="R428" i="433"/>
  <c r="Q428" i="433"/>
  <c r="C428" i="433"/>
  <c r="B428" i="433"/>
  <c r="P428" i="433" s="1"/>
  <c r="AJ427" i="433"/>
  <c r="V427" i="433"/>
  <c r="U427" i="433"/>
  <c r="S427" i="433"/>
  <c r="R427" i="433"/>
  <c r="Q427" i="433"/>
  <c r="C427" i="433"/>
  <c r="T427" i="433" s="1"/>
  <c r="B427" i="433"/>
  <c r="P427" i="433" s="1"/>
  <c r="AJ426" i="433"/>
  <c r="V426" i="433"/>
  <c r="U426" i="433"/>
  <c r="T426" i="433"/>
  <c r="S426" i="433"/>
  <c r="R426" i="433"/>
  <c r="Q426" i="433"/>
  <c r="P426" i="433"/>
  <c r="C426" i="433"/>
  <c r="B426" i="433"/>
  <c r="AJ425" i="433"/>
  <c r="V425" i="433"/>
  <c r="U425" i="433"/>
  <c r="S425" i="433"/>
  <c r="R425" i="433"/>
  <c r="Q425" i="433"/>
  <c r="C425" i="433"/>
  <c r="T425" i="433" s="1"/>
  <c r="B425" i="433"/>
  <c r="P425" i="433" s="1"/>
  <c r="AJ424" i="433"/>
  <c r="V424" i="433"/>
  <c r="U424" i="433"/>
  <c r="S424" i="433"/>
  <c r="R424" i="433"/>
  <c r="Q424" i="433"/>
  <c r="C424" i="433"/>
  <c r="T424" i="433" s="1"/>
  <c r="B424" i="433"/>
  <c r="P424" i="433" s="1"/>
  <c r="AJ423" i="433"/>
  <c r="V423" i="433"/>
  <c r="U423" i="433"/>
  <c r="S423" i="433"/>
  <c r="R423" i="433"/>
  <c r="Q423" i="433"/>
  <c r="C423" i="433"/>
  <c r="T423" i="433" s="1"/>
  <c r="B423" i="433"/>
  <c r="P423" i="433" s="1"/>
  <c r="AJ422" i="433"/>
  <c r="V422" i="433"/>
  <c r="U422" i="433"/>
  <c r="S422" i="433"/>
  <c r="R422" i="433"/>
  <c r="Q422" i="433"/>
  <c r="C422" i="433"/>
  <c r="T422" i="433" s="1"/>
  <c r="B422" i="433"/>
  <c r="P422" i="433" s="1"/>
  <c r="AJ421" i="433"/>
  <c r="V421" i="433"/>
  <c r="U421" i="433"/>
  <c r="S421" i="433"/>
  <c r="R421" i="433"/>
  <c r="Q421" i="433"/>
  <c r="C421" i="433"/>
  <c r="T421" i="433" s="1"/>
  <c r="B421" i="433"/>
  <c r="P421" i="433" s="1"/>
  <c r="AJ420" i="433"/>
  <c r="V420" i="433"/>
  <c r="U420" i="433"/>
  <c r="S420" i="433"/>
  <c r="R420" i="433"/>
  <c r="Q420" i="433"/>
  <c r="C420" i="433"/>
  <c r="T420" i="433" s="1"/>
  <c r="B420" i="433"/>
  <c r="P420" i="433" s="1"/>
  <c r="AJ419" i="433"/>
  <c r="V419" i="433"/>
  <c r="U419" i="433"/>
  <c r="S419" i="433"/>
  <c r="R419" i="433"/>
  <c r="Q419" i="433"/>
  <c r="P419" i="433"/>
  <c r="C419" i="433"/>
  <c r="T419" i="433" s="1"/>
  <c r="B419" i="433"/>
  <c r="AJ418" i="433"/>
  <c r="V418" i="433"/>
  <c r="U418" i="433"/>
  <c r="S418" i="433"/>
  <c r="R418" i="433"/>
  <c r="Q418" i="433"/>
  <c r="C418" i="433"/>
  <c r="T418" i="433" s="1"/>
  <c r="B418" i="433"/>
  <c r="P418" i="433" s="1"/>
  <c r="AJ417" i="433"/>
  <c r="V417" i="433"/>
  <c r="U417" i="433"/>
  <c r="S417" i="433"/>
  <c r="R417" i="433"/>
  <c r="Q417" i="433"/>
  <c r="C417" i="433"/>
  <c r="T417" i="433" s="1"/>
  <c r="B417" i="433"/>
  <c r="P417" i="433" s="1"/>
  <c r="AJ416" i="433"/>
  <c r="V416" i="433"/>
  <c r="U416" i="433"/>
  <c r="S416" i="433"/>
  <c r="R416" i="433"/>
  <c r="Q416" i="433"/>
  <c r="C416" i="433"/>
  <c r="T416" i="433" s="1"/>
  <c r="B416" i="433"/>
  <c r="P416" i="433" s="1"/>
  <c r="AJ415" i="433"/>
  <c r="V415" i="433"/>
  <c r="U415" i="433"/>
  <c r="T415" i="433"/>
  <c r="S415" i="433"/>
  <c r="R415" i="433"/>
  <c r="Q415" i="433"/>
  <c r="P415" i="433"/>
  <c r="C415" i="433"/>
  <c r="B415" i="433"/>
  <c r="AJ414" i="433"/>
  <c r="V414" i="433"/>
  <c r="U414" i="433"/>
  <c r="S414" i="433"/>
  <c r="R414" i="433"/>
  <c r="Q414" i="433"/>
  <c r="C414" i="433"/>
  <c r="T414" i="433" s="1"/>
  <c r="B414" i="433"/>
  <c r="P414" i="433" s="1"/>
  <c r="AJ413" i="433"/>
  <c r="V413" i="433"/>
  <c r="U413" i="433"/>
  <c r="S413" i="433"/>
  <c r="R413" i="433"/>
  <c r="Q413" i="433"/>
  <c r="C413" i="433"/>
  <c r="T413" i="433" s="1"/>
  <c r="B413" i="433"/>
  <c r="P413" i="433" s="1"/>
  <c r="AJ412" i="433"/>
  <c r="V412" i="433"/>
  <c r="U412" i="433"/>
  <c r="S412" i="433"/>
  <c r="R412" i="433"/>
  <c r="Q412" i="433"/>
  <c r="C412" i="433"/>
  <c r="T412" i="433" s="1"/>
  <c r="B412" i="433"/>
  <c r="P412" i="433" s="1"/>
  <c r="AJ411" i="433"/>
  <c r="V411" i="433"/>
  <c r="U411" i="433"/>
  <c r="S411" i="433"/>
  <c r="R411" i="433"/>
  <c r="Q411" i="433"/>
  <c r="C411" i="433"/>
  <c r="T411" i="433" s="1"/>
  <c r="B411" i="433"/>
  <c r="P411" i="433" s="1"/>
  <c r="AJ410" i="433"/>
  <c r="V410" i="433"/>
  <c r="U410" i="433"/>
  <c r="T410" i="433"/>
  <c r="S410" i="433"/>
  <c r="R410" i="433"/>
  <c r="Q410" i="433"/>
  <c r="P410" i="433"/>
  <c r="C410" i="433"/>
  <c r="B410" i="433"/>
  <c r="AJ409" i="433"/>
  <c r="V409" i="433"/>
  <c r="U409" i="433"/>
  <c r="S409" i="433"/>
  <c r="R409" i="433"/>
  <c r="Q409" i="433"/>
  <c r="C409" i="433"/>
  <c r="T409" i="433" s="1"/>
  <c r="B409" i="433"/>
  <c r="P409" i="433" s="1"/>
  <c r="AJ408" i="433"/>
  <c r="V408" i="433"/>
  <c r="U408" i="433"/>
  <c r="S408" i="433"/>
  <c r="R408" i="433"/>
  <c r="Q408" i="433"/>
  <c r="C408" i="433"/>
  <c r="T408" i="433" s="1"/>
  <c r="B408" i="433"/>
  <c r="P408" i="433" s="1"/>
  <c r="AJ407" i="433"/>
  <c r="V407" i="433"/>
  <c r="U407" i="433"/>
  <c r="T407" i="433"/>
  <c r="S407" i="433"/>
  <c r="R407" i="433"/>
  <c r="Q407" i="433"/>
  <c r="C407" i="433"/>
  <c r="B407" i="433"/>
  <c r="P407" i="433" s="1"/>
  <c r="AJ406" i="433"/>
  <c r="V406" i="433"/>
  <c r="U406" i="433"/>
  <c r="S406" i="433"/>
  <c r="R406" i="433"/>
  <c r="Q406" i="433"/>
  <c r="C406" i="433"/>
  <c r="T406" i="433" s="1"/>
  <c r="B406" i="433"/>
  <c r="P406" i="433" s="1"/>
  <c r="AJ405" i="433"/>
  <c r="V405" i="433"/>
  <c r="U405" i="433"/>
  <c r="S405" i="433"/>
  <c r="R405" i="433"/>
  <c r="Q405" i="433"/>
  <c r="C405" i="433"/>
  <c r="T405" i="433" s="1"/>
  <c r="B405" i="433"/>
  <c r="P405" i="433" s="1"/>
  <c r="AJ404" i="433"/>
  <c r="V404" i="433"/>
  <c r="U404" i="433"/>
  <c r="S404" i="433"/>
  <c r="R404" i="433"/>
  <c r="Q404" i="433"/>
  <c r="C404" i="433"/>
  <c r="T404" i="433" s="1"/>
  <c r="B404" i="433"/>
  <c r="P404" i="433" s="1"/>
  <c r="AJ403" i="433"/>
  <c r="V403" i="433"/>
  <c r="U403" i="433"/>
  <c r="S403" i="433"/>
  <c r="R403" i="433"/>
  <c r="Q403" i="433"/>
  <c r="P403" i="433"/>
  <c r="C403" i="433"/>
  <c r="T403" i="433" s="1"/>
  <c r="B403" i="433"/>
  <c r="AJ402" i="433"/>
  <c r="V402" i="433"/>
  <c r="U402" i="433"/>
  <c r="T402" i="433"/>
  <c r="S402" i="433"/>
  <c r="R402" i="433"/>
  <c r="Q402" i="433"/>
  <c r="P402" i="433"/>
  <c r="C402" i="433"/>
  <c r="B402" i="433"/>
  <c r="AJ401" i="433"/>
  <c r="V401" i="433"/>
  <c r="U401" i="433"/>
  <c r="S401" i="433"/>
  <c r="R401" i="433"/>
  <c r="Q401" i="433"/>
  <c r="C401" i="433"/>
  <c r="T401" i="433" s="1"/>
  <c r="B401" i="433"/>
  <c r="P401" i="433" s="1"/>
  <c r="AJ400" i="433"/>
  <c r="V400" i="433"/>
  <c r="U400" i="433"/>
  <c r="S400" i="433"/>
  <c r="R400" i="433"/>
  <c r="Q400" i="433"/>
  <c r="C400" i="433"/>
  <c r="T400" i="433" s="1"/>
  <c r="B400" i="433"/>
  <c r="P400" i="433" s="1"/>
  <c r="AJ399" i="433"/>
  <c r="V399" i="433"/>
  <c r="U399" i="433"/>
  <c r="S399" i="433"/>
  <c r="R399" i="433"/>
  <c r="Q399" i="433"/>
  <c r="C399" i="433"/>
  <c r="T399" i="433" s="1"/>
  <c r="B399" i="433"/>
  <c r="P399" i="433" s="1"/>
  <c r="AJ398" i="433"/>
  <c r="V398" i="433"/>
  <c r="U398" i="433"/>
  <c r="S398" i="433"/>
  <c r="R398" i="433"/>
  <c r="Q398" i="433"/>
  <c r="C398" i="433"/>
  <c r="T398" i="433" s="1"/>
  <c r="B398" i="433"/>
  <c r="P398" i="433" s="1"/>
  <c r="AJ397" i="433"/>
  <c r="V397" i="433"/>
  <c r="U397" i="433"/>
  <c r="S397" i="433"/>
  <c r="R397" i="433"/>
  <c r="Q397" i="433"/>
  <c r="C397" i="433"/>
  <c r="T397" i="433" s="1"/>
  <c r="B397" i="433"/>
  <c r="P397" i="433" s="1"/>
  <c r="AJ396" i="433"/>
  <c r="V396" i="433"/>
  <c r="U396" i="433"/>
  <c r="T396" i="433"/>
  <c r="S396" i="433"/>
  <c r="R396" i="433"/>
  <c r="Q396" i="433"/>
  <c r="C396" i="433"/>
  <c r="B396" i="433"/>
  <c r="P396" i="433" s="1"/>
  <c r="AJ395" i="433"/>
  <c r="V395" i="433"/>
  <c r="U395" i="433"/>
  <c r="T395" i="433"/>
  <c r="S395" i="433"/>
  <c r="R395" i="433"/>
  <c r="Q395" i="433"/>
  <c r="C395" i="433"/>
  <c r="B395" i="433"/>
  <c r="P395" i="433" s="1"/>
  <c r="AJ394" i="433"/>
  <c r="V394" i="433"/>
  <c r="U394" i="433"/>
  <c r="S394" i="433"/>
  <c r="R394" i="433"/>
  <c r="Q394" i="433"/>
  <c r="C394" i="433"/>
  <c r="T394" i="433" s="1"/>
  <c r="B394" i="433"/>
  <c r="P394" i="433" s="1"/>
  <c r="AJ393" i="433"/>
  <c r="V393" i="433"/>
  <c r="U393" i="433"/>
  <c r="S393" i="433"/>
  <c r="R393" i="433"/>
  <c r="Q393" i="433"/>
  <c r="C393" i="433"/>
  <c r="T393" i="433" s="1"/>
  <c r="B393" i="433"/>
  <c r="P393" i="433" s="1"/>
  <c r="AJ392" i="433"/>
  <c r="V392" i="433"/>
  <c r="U392" i="433"/>
  <c r="S392" i="433"/>
  <c r="R392" i="433"/>
  <c r="Q392" i="433"/>
  <c r="P392" i="433"/>
  <c r="C392" i="433"/>
  <c r="T392" i="433" s="1"/>
  <c r="B392" i="433"/>
  <c r="AJ391" i="433"/>
  <c r="V391" i="433"/>
  <c r="U391" i="433"/>
  <c r="S391" i="433"/>
  <c r="R391" i="433"/>
  <c r="Q391" i="433"/>
  <c r="C391" i="433"/>
  <c r="T391" i="433" s="1"/>
  <c r="B391" i="433"/>
  <c r="P391" i="433" s="1"/>
  <c r="AJ390" i="433"/>
  <c r="V390" i="433"/>
  <c r="U390" i="433"/>
  <c r="S390" i="433"/>
  <c r="R390" i="433"/>
  <c r="Q390" i="433"/>
  <c r="C390" i="433"/>
  <c r="T390" i="433" s="1"/>
  <c r="B390" i="433"/>
  <c r="P390" i="433" s="1"/>
  <c r="AJ389" i="433"/>
  <c r="V389" i="433"/>
  <c r="U389" i="433"/>
  <c r="S389" i="433"/>
  <c r="R389" i="433"/>
  <c r="Q389" i="433"/>
  <c r="C389" i="433"/>
  <c r="T389" i="433" s="1"/>
  <c r="B389" i="433"/>
  <c r="P389" i="433" s="1"/>
  <c r="AJ388" i="433"/>
  <c r="V388" i="433"/>
  <c r="U388" i="433"/>
  <c r="S388" i="433"/>
  <c r="R388" i="433"/>
  <c r="Q388" i="433"/>
  <c r="C388" i="433"/>
  <c r="T388" i="433" s="1"/>
  <c r="B388" i="433"/>
  <c r="P388" i="433" s="1"/>
  <c r="AJ387" i="433"/>
  <c r="V387" i="433"/>
  <c r="U387" i="433"/>
  <c r="T387" i="433"/>
  <c r="S387" i="433"/>
  <c r="R387" i="433"/>
  <c r="Q387" i="433"/>
  <c r="C387" i="433"/>
  <c r="B387" i="433"/>
  <c r="P387" i="433" s="1"/>
  <c r="AJ386" i="433"/>
  <c r="V386" i="433"/>
  <c r="U386" i="433"/>
  <c r="S386" i="433"/>
  <c r="R386" i="433"/>
  <c r="Q386" i="433"/>
  <c r="C386" i="433"/>
  <c r="T386" i="433" s="1"/>
  <c r="B386" i="433"/>
  <c r="P386" i="433" s="1"/>
  <c r="AJ385" i="433"/>
  <c r="V385" i="433"/>
  <c r="U385" i="433"/>
  <c r="T385" i="433"/>
  <c r="S385" i="433"/>
  <c r="R385" i="433"/>
  <c r="Q385" i="433"/>
  <c r="C385" i="433"/>
  <c r="B385" i="433"/>
  <c r="P385" i="433" s="1"/>
  <c r="AJ384" i="433"/>
  <c r="V384" i="433"/>
  <c r="U384" i="433"/>
  <c r="T384" i="433"/>
  <c r="S384" i="433"/>
  <c r="R384" i="433"/>
  <c r="Q384" i="433"/>
  <c r="C384" i="433"/>
  <c r="B384" i="433"/>
  <c r="P384" i="433" s="1"/>
  <c r="AJ383" i="433"/>
  <c r="V383" i="433"/>
  <c r="U383" i="433"/>
  <c r="S383" i="433"/>
  <c r="R383" i="433"/>
  <c r="Q383" i="433"/>
  <c r="C383" i="433"/>
  <c r="T383" i="433" s="1"/>
  <c r="B383" i="433"/>
  <c r="P383" i="433" s="1"/>
  <c r="AJ382" i="433"/>
  <c r="V382" i="433"/>
  <c r="U382" i="433"/>
  <c r="T382" i="433"/>
  <c r="S382" i="433"/>
  <c r="R382" i="433"/>
  <c r="Q382" i="433"/>
  <c r="P382" i="433"/>
  <c r="C382" i="433"/>
  <c r="B382" i="433"/>
  <c r="AJ381" i="433"/>
  <c r="V381" i="433"/>
  <c r="U381" i="433"/>
  <c r="T381" i="433"/>
  <c r="S381" i="433"/>
  <c r="R381" i="433"/>
  <c r="Q381" i="433"/>
  <c r="C381" i="433"/>
  <c r="B381" i="433"/>
  <c r="P381" i="433" s="1"/>
  <c r="AJ380" i="433"/>
  <c r="V380" i="433"/>
  <c r="U380" i="433"/>
  <c r="T380" i="433"/>
  <c r="S380" i="433"/>
  <c r="R380" i="433"/>
  <c r="Q380" i="433"/>
  <c r="C380" i="433"/>
  <c r="B380" i="433"/>
  <c r="P380" i="433" s="1"/>
  <c r="AJ379" i="433"/>
  <c r="V379" i="433"/>
  <c r="U379" i="433"/>
  <c r="S379" i="433"/>
  <c r="R379" i="433"/>
  <c r="Q379" i="433"/>
  <c r="C379" i="433"/>
  <c r="T379" i="433" s="1"/>
  <c r="B379" i="433"/>
  <c r="P379" i="433" s="1"/>
  <c r="AJ378" i="433"/>
  <c r="V378" i="433"/>
  <c r="U378" i="433"/>
  <c r="S378" i="433"/>
  <c r="R378" i="433"/>
  <c r="Q378" i="433"/>
  <c r="P378" i="433"/>
  <c r="C378" i="433"/>
  <c r="T378" i="433" s="1"/>
  <c r="B378" i="433"/>
  <c r="AJ377" i="433"/>
  <c r="V377" i="433"/>
  <c r="U377" i="433"/>
  <c r="S377" i="433"/>
  <c r="R377" i="433"/>
  <c r="Q377" i="433"/>
  <c r="C377" i="433"/>
  <c r="T377" i="433" s="1"/>
  <c r="B377" i="433"/>
  <c r="P377" i="433" s="1"/>
  <c r="AJ376" i="433"/>
  <c r="V376" i="433"/>
  <c r="U376" i="433"/>
  <c r="S376" i="433"/>
  <c r="R376" i="433"/>
  <c r="Q376" i="433"/>
  <c r="C376" i="433"/>
  <c r="T376" i="433" s="1"/>
  <c r="B376" i="433"/>
  <c r="P376" i="433" s="1"/>
  <c r="AJ375" i="433"/>
  <c r="V375" i="433"/>
  <c r="U375" i="433"/>
  <c r="S375" i="433"/>
  <c r="R375" i="433"/>
  <c r="Q375" i="433"/>
  <c r="P375" i="433"/>
  <c r="C375" i="433"/>
  <c r="T375" i="433" s="1"/>
  <c r="B375" i="433"/>
  <c r="AJ374" i="433"/>
  <c r="V374" i="433"/>
  <c r="U374" i="433"/>
  <c r="S374" i="433"/>
  <c r="R374" i="433"/>
  <c r="Q374" i="433"/>
  <c r="C374" i="433"/>
  <c r="T374" i="433" s="1"/>
  <c r="B374" i="433"/>
  <c r="P374" i="433" s="1"/>
  <c r="AJ373" i="433"/>
  <c r="V373" i="433"/>
  <c r="U373" i="433"/>
  <c r="S373" i="433"/>
  <c r="R373" i="433"/>
  <c r="Q373" i="433"/>
  <c r="C373" i="433"/>
  <c r="T373" i="433" s="1"/>
  <c r="B373" i="433"/>
  <c r="P373" i="433" s="1"/>
  <c r="AJ372" i="433"/>
  <c r="V372" i="433"/>
  <c r="U372" i="433"/>
  <c r="S372" i="433"/>
  <c r="R372" i="433"/>
  <c r="Q372" i="433"/>
  <c r="C372" i="433"/>
  <c r="T372" i="433" s="1"/>
  <c r="B372" i="433"/>
  <c r="P372" i="433" s="1"/>
  <c r="AJ371" i="433"/>
  <c r="V371" i="433"/>
  <c r="U371" i="433"/>
  <c r="S371" i="433"/>
  <c r="R371" i="433"/>
  <c r="Q371" i="433"/>
  <c r="C371" i="433"/>
  <c r="T371" i="433" s="1"/>
  <c r="B371" i="433"/>
  <c r="P371" i="433" s="1"/>
  <c r="AJ370" i="433"/>
  <c r="V370" i="433"/>
  <c r="U370" i="433"/>
  <c r="S370" i="433"/>
  <c r="R370" i="433"/>
  <c r="Q370" i="433"/>
  <c r="C370" i="433"/>
  <c r="T370" i="433" s="1"/>
  <c r="B370" i="433"/>
  <c r="P370" i="433" s="1"/>
  <c r="AJ369" i="433"/>
  <c r="V369" i="433"/>
  <c r="U369" i="433"/>
  <c r="S369" i="433"/>
  <c r="R369" i="433"/>
  <c r="Q369" i="433"/>
  <c r="C369" i="433"/>
  <c r="T369" i="433" s="1"/>
  <c r="B369" i="433"/>
  <c r="P369" i="433" s="1"/>
  <c r="AJ368" i="433"/>
  <c r="V368" i="433"/>
  <c r="U368" i="433"/>
  <c r="S368" i="433"/>
  <c r="R368" i="433"/>
  <c r="Q368" i="433"/>
  <c r="C368" i="433"/>
  <c r="T368" i="433" s="1"/>
  <c r="B368" i="433"/>
  <c r="P368" i="433" s="1"/>
  <c r="AJ367" i="433"/>
  <c r="V367" i="433"/>
  <c r="U367" i="433"/>
  <c r="S367" i="433"/>
  <c r="R367" i="433"/>
  <c r="Q367" i="433"/>
  <c r="P367" i="433"/>
  <c r="C367" i="433"/>
  <c r="T367" i="433" s="1"/>
  <c r="B367" i="433"/>
  <c r="AJ366" i="433"/>
  <c r="V366" i="433"/>
  <c r="U366" i="433"/>
  <c r="S366" i="433"/>
  <c r="R366" i="433"/>
  <c r="Q366" i="433"/>
  <c r="C366" i="433"/>
  <c r="T366" i="433" s="1"/>
  <c r="B366" i="433"/>
  <c r="P366" i="433" s="1"/>
  <c r="AJ365" i="433"/>
  <c r="V365" i="433"/>
  <c r="U365" i="433"/>
  <c r="S365" i="433"/>
  <c r="R365" i="433"/>
  <c r="Q365" i="433"/>
  <c r="C365" i="433"/>
  <c r="T365" i="433" s="1"/>
  <c r="B365" i="433"/>
  <c r="P365" i="433" s="1"/>
  <c r="AJ364" i="433"/>
  <c r="V364" i="433"/>
  <c r="U364" i="433"/>
  <c r="S364" i="433"/>
  <c r="R364" i="433"/>
  <c r="Q364" i="433"/>
  <c r="C364" i="433"/>
  <c r="T364" i="433" s="1"/>
  <c r="B364" i="433"/>
  <c r="P364" i="433" s="1"/>
  <c r="AJ363" i="433"/>
  <c r="V363" i="433"/>
  <c r="U363" i="433"/>
  <c r="S363" i="433"/>
  <c r="R363" i="433"/>
  <c r="Q363" i="433"/>
  <c r="C363" i="433"/>
  <c r="T363" i="433" s="1"/>
  <c r="B363" i="433"/>
  <c r="P363" i="433" s="1"/>
  <c r="AJ362" i="433"/>
  <c r="V362" i="433"/>
  <c r="U362" i="433"/>
  <c r="S362" i="433"/>
  <c r="R362" i="433"/>
  <c r="Q362" i="433"/>
  <c r="C362" i="433"/>
  <c r="T362" i="433" s="1"/>
  <c r="B362" i="433"/>
  <c r="P362" i="433" s="1"/>
  <c r="AJ361" i="433"/>
  <c r="V361" i="433"/>
  <c r="U361" i="433"/>
  <c r="S361" i="433"/>
  <c r="R361" i="433"/>
  <c r="Q361" i="433"/>
  <c r="C361" i="433"/>
  <c r="T361" i="433" s="1"/>
  <c r="B361" i="433"/>
  <c r="P361" i="433" s="1"/>
  <c r="AJ360" i="433"/>
  <c r="V360" i="433"/>
  <c r="U360" i="433"/>
  <c r="S360" i="433"/>
  <c r="R360" i="433"/>
  <c r="Q360" i="433"/>
  <c r="C360" i="433"/>
  <c r="T360" i="433" s="1"/>
  <c r="B360" i="433"/>
  <c r="P360" i="433" s="1"/>
  <c r="AJ359" i="433"/>
  <c r="V359" i="433"/>
  <c r="U359" i="433"/>
  <c r="T359" i="433"/>
  <c r="S359" i="433"/>
  <c r="R359" i="433"/>
  <c r="Q359" i="433"/>
  <c r="C359" i="433"/>
  <c r="B359" i="433"/>
  <c r="P359" i="433" s="1"/>
  <c r="AJ358" i="433"/>
  <c r="V358" i="433"/>
  <c r="U358" i="433"/>
  <c r="S358" i="433"/>
  <c r="R358" i="433"/>
  <c r="Q358" i="433"/>
  <c r="C358" i="433"/>
  <c r="T358" i="433" s="1"/>
  <c r="B358" i="433"/>
  <c r="P358" i="433" s="1"/>
  <c r="AJ357" i="433"/>
  <c r="V357" i="433"/>
  <c r="U357" i="433"/>
  <c r="S357" i="433"/>
  <c r="R357" i="433"/>
  <c r="Q357" i="433"/>
  <c r="C357" i="433"/>
  <c r="T357" i="433" s="1"/>
  <c r="B357" i="433"/>
  <c r="P357" i="433" s="1"/>
  <c r="AJ356" i="433"/>
  <c r="V356" i="433"/>
  <c r="U356" i="433"/>
  <c r="S356" i="433"/>
  <c r="R356" i="433"/>
  <c r="Q356" i="433"/>
  <c r="C356" i="433"/>
  <c r="T356" i="433" s="1"/>
  <c r="B356" i="433"/>
  <c r="P356" i="433" s="1"/>
  <c r="AJ355" i="433"/>
  <c r="V355" i="433"/>
  <c r="U355" i="433"/>
  <c r="S355" i="433"/>
  <c r="R355" i="433"/>
  <c r="Q355" i="433"/>
  <c r="P355" i="433"/>
  <c r="C355" i="433"/>
  <c r="T355" i="433" s="1"/>
  <c r="B355" i="433"/>
  <c r="AJ354" i="433"/>
  <c r="V354" i="433"/>
  <c r="U354" i="433"/>
  <c r="S354" i="433"/>
  <c r="R354" i="433"/>
  <c r="Q354" i="433"/>
  <c r="P354" i="433"/>
  <c r="C354" i="433"/>
  <c r="T354" i="433" s="1"/>
  <c r="B354" i="433"/>
  <c r="AJ353" i="433"/>
  <c r="V353" i="433"/>
  <c r="U353" i="433"/>
  <c r="S353" i="433"/>
  <c r="R353" i="433"/>
  <c r="Q353" i="433"/>
  <c r="C353" i="433"/>
  <c r="T353" i="433" s="1"/>
  <c r="B353" i="433"/>
  <c r="P353" i="433" s="1"/>
  <c r="AJ352" i="433"/>
  <c r="V352" i="433"/>
  <c r="U352" i="433"/>
  <c r="S352" i="433"/>
  <c r="R352" i="433"/>
  <c r="Q352" i="433"/>
  <c r="C352" i="433"/>
  <c r="T352" i="433" s="1"/>
  <c r="B352" i="433"/>
  <c r="P352" i="433" s="1"/>
  <c r="AJ351" i="433"/>
  <c r="V351" i="433"/>
  <c r="U351" i="433"/>
  <c r="S351" i="433"/>
  <c r="R351" i="433"/>
  <c r="Q351" i="433"/>
  <c r="C351" i="433"/>
  <c r="T351" i="433" s="1"/>
  <c r="B351" i="433"/>
  <c r="P351" i="433" s="1"/>
  <c r="AJ350" i="433"/>
  <c r="V350" i="433"/>
  <c r="U350" i="433"/>
  <c r="S350" i="433"/>
  <c r="R350" i="433"/>
  <c r="Q350" i="433"/>
  <c r="C350" i="433"/>
  <c r="T350" i="433" s="1"/>
  <c r="B350" i="433"/>
  <c r="P350" i="433" s="1"/>
  <c r="AJ349" i="433"/>
  <c r="V349" i="433"/>
  <c r="U349" i="433"/>
  <c r="S349" i="433"/>
  <c r="R349" i="433"/>
  <c r="Q349" i="433"/>
  <c r="C349" i="433"/>
  <c r="T349" i="433" s="1"/>
  <c r="B349" i="433"/>
  <c r="P349" i="433" s="1"/>
  <c r="AJ348" i="433"/>
  <c r="V348" i="433"/>
  <c r="U348" i="433"/>
  <c r="T348" i="433"/>
  <c r="S348" i="433"/>
  <c r="R348" i="433"/>
  <c r="Q348" i="433"/>
  <c r="C348" i="433"/>
  <c r="B348" i="433"/>
  <c r="P348" i="433" s="1"/>
  <c r="AJ347" i="433"/>
  <c r="V347" i="433"/>
  <c r="U347" i="433"/>
  <c r="T347" i="433"/>
  <c r="S347" i="433"/>
  <c r="R347" i="433"/>
  <c r="Q347" i="433"/>
  <c r="C347" i="433"/>
  <c r="B347" i="433"/>
  <c r="P347" i="433" s="1"/>
  <c r="AJ346" i="433"/>
  <c r="V346" i="433"/>
  <c r="U346" i="433"/>
  <c r="T346" i="433"/>
  <c r="S346" i="433"/>
  <c r="R346" i="433"/>
  <c r="Q346" i="433"/>
  <c r="C346" i="433"/>
  <c r="B346" i="433"/>
  <c r="P346" i="433" s="1"/>
  <c r="AJ345" i="433"/>
  <c r="V345" i="433"/>
  <c r="U345" i="433"/>
  <c r="S345" i="433"/>
  <c r="R345" i="433"/>
  <c r="Q345" i="433"/>
  <c r="C345" i="433"/>
  <c r="T345" i="433" s="1"/>
  <c r="B345" i="433"/>
  <c r="P345" i="433" s="1"/>
  <c r="AJ344" i="433"/>
  <c r="V344" i="433"/>
  <c r="U344" i="433"/>
  <c r="S344" i="433"/>
  <c r="R344" i="433"/>
  <c r="Q344" i="433"/>
  <c r="P344" i="433"/>
  <c r="C344" i="433"/>
  <c r="T344" i="433" s="1"/>
  <c r="B344" i="433"/>
  <c r="AJ343" i="433"/>
  <c r="V343" i="433"/>
  <c r="U343" i="433"/>
  <c r="S343" i="433"/>
  <c r="R343" i="433"/>
  <c r="Q343" i="433"/>
  <c r="C343" i="433"/>
  <c r="T343" i="433" s="1"/>
  <c r="B343" i="433"/>
  <c r="P343" i="433" s="1"/>
  <c r="AJ342" i="433"/>
  <c r="V342" i="433"/>
  <c r="U342" i="433"/>
  <c r="S342" i="433"/>
  <c r="R342" i="433"/>
  <c r="Q342" i="433"/>
  <c r="C342" i="433"/>
  <c r="T342" i="433" s="1"/>
  <c r="B342" i="433"/>
  <c r="P342" i="433" s="1"/>
  <c r="AJ341" i="433"/>
  <c r="V341" i="433"/>
  <c r="U341" i="433"/>
  <c r="S341" i="433"/>
  <c r="R341" i="433"/>
  <c r="Q341" i="433"/>
  <c r="C341" i="433"/>
  <c r="T341" i="433" s="1"/>
  <c r="B341" i="433"/>
  <c r="P341" i="433" s="1"/>
  <c r="AJ340" i="433"/>
  <c r="V340" i="433"/>
  <c r="U340" i="433"/>
  <c r="S340" i="433"/>
  <c r="R340" i="433"/>
  <c r="Q340" i="433"/>
  <c r="C340" i="433"/>
  <c r="T340" i="433" s="1"/>
  <c r="B340" i="433"/>
  <c r="P340" i="433" s="1"/>
  <c r="AJ339" i="433"/>
  <c r="V339" i="433"/>
  <c r="U339" i="433"/>
  <c r="S339" i="433"/>
  <c r="R339" i="433"/>
  <c r="Q339" i="433"/>
  <c r="C339" i="433"/>
  <c r="T339" i="433" s="1"/>
  <c r="B339" i="433"/>
  <c r="P339" i="433" s="1"/>
  <c r="AJ338" i="433"/>
  <c r="V338" i="433"/>
  <c r="U338" i="433"/>
  <c r="S338" i="433"/>
  <c r="R338" i="433"/>
  <c r="Q338" i="433"/>
  <c r="C338" i="433"/>
  <c r="T338" i="433" s="1"/>
  <c r="B338" i="433"/>
  <c r="P338" i="433" s="1"/>
  <c r="AJ337" i="433"/>
  <c r="V337" i="433"/>
  <c r="U337" i="433"/>
  <c r="T337" i="433"/>
  <c r="S337" i="433"/>
  <c r="R337" i="433"/>
  <c r="Q337" i="433"/>
  <c r="C337" i="433"/>
  <c r="B337" i="433"/>
  <c r="P337" i="433" s="1"/>
  <c r="AJ336" i="433"/>
  <c r="V336" i="433"/>
  <c r="U336" i="433"/>
  <c r="S336" i="433"/>
  <c r="R336" i="433"/>
  <c r="Q336" i="433"/>
  <c r="C336" i="433"/>
  <c r="T336" i="433" s="1"/>
  <c r="B336" i="433"/>
  <c r="P336" i="433" s="1"/>
  <c r="AJ335" i="433"/>
  <c r="V335" i="433"/>
  <c r="U335" i="433"/>
  <c r="S335" i="433"/>
  <c r="R335" i="433"/>
  <c r="Q335" i="433"/>
  <c r="C335" i="433"/>
  <c r="T335" i="433" s="1"/>
  <c r="B335" i="433"/>
  <c r="P335" i="433" s="1"/>
  <c r="AJ334" i="433"/>
  <c r="V334" i="433"/>
  <c r="U334" i="433"/>
  <c r="S334" i="433"/>
  <c r="R334" i="433"/>
  <c r="Q334" i="433"/>
  <c r="C334" i="433"/>
  <c r="T334" i="433" s="1"/>
  <c r="B334" i="433"/>
  <c r="P334" i="433" s="1"/>
  <c r="AJ333" i="433"/>
  <c r="V333" i="433"/>
  <c r="U333" i="433"/>
  <c r="T333" i="433"/>
  <c r="S333" i="433"/>
  <c r="R333" i="433"/>
  <c r="Q333" i="433"/>
  <c r="C333" i="433"/>
  <c r="B333" i="433"/>
  <c r="P333" i="433" s="1"/>
  <c r="AJ332" i="433"/>
  <c r="V332" i="433"/>
  <c r="U332" i="433"/>
  <c r="T332" i="433"/>
  <c r="S332" i="433"/>
  <c r="R332" i="433"/>
  <c r="Q332" i="433"/>
  <c r="C332" i="433"/>
  <c r="B332" i="433"/>
  <c r="P332" i="433" s="1"/>
  <c r="AJ331" i="433"/>
  <c r="V331" i="433"/>
  <c r="U331" i="433"/>
  <c r="S331" i="433"/>
  <c r="R331" i="433"/>
  <c r="Q331" i="433"/>
  <c r="C331" i="433"/>
  <c r="T331" i="433" s="1"/>
  <c r="B331" i="433"/>
  <c r="P331" i="433" s="1"/>
  <c r="AJ330" i="433"/>
  <c r="V330" i="433"/>
  <c r="U330" i="433"/>
  <c r="S330" i="433"/>
  <c r="R330" i="433"/>
  <c r="Q330" i="433"/>
  <c r="P330" i="433"/>
  <c r="C330" i="433"/>
  <c r="T330" i="433" s="1"/>
  <c r="B330" i="433"/>
  <c r="AJ329" i="433"/>
  <c r="V329" i="433"/>
  <c r="U329" i="433"/>
  <c r="S329" i="433"/>
  <c r="R329" i="433"/>
  <c r="Q329" i="433"/>
  <c r="C329" i="433"/>
  <c r="T329" i="433" s="1"/>
  <c r="B329" i="433"/>
  <c r="P329" i="433" s="1"/>
  <c r="AJ328" i="433"/>
  <c r="V328" i="433"/>
  <c r="U328" i="433"/>
  <c r="S328" i="433"/>
  <c r="R328" i="433"/>
  <c r="Q328" i="433"/>
  <c r="C328" i="433"/>
  <c r="T328" i="433" s="1"/>
  <c r="B328" i="433"/>
  <c r="P328" i="433" s="1"/>
  <c r="AJ327" i="433"/>
  <c r="V327" i="433"/>
  <c r="U327" i="433"/>
  <c r="S327" i="433"/>
  <c r="R327" i="433"/>
  <c r="Q327" i="433"/>
  <c r="C327" i="433"/>
  <c r="T327" i="433" s="1"/>
  <c r="B327" i="433"/>
  <c r="P327" i="433" s="1"/>
  <c r="AJ326" i="433"/>
  <c r="V326" i="433"/>
  <c r="U326" i="433"/>
  <c r="S326" i="433"/>
  <c r="R326" i="433"/>
  <c r="Q326" i="433"/>
  <c r="P326" i="433"/>
  <c r="C326" i="433"/>
  <c r="T326" i="433" s="1"/>
  <c r="B326" i="433"/>
  <c r="AJ325" i="433"/>
  <c r="V325" i="433"/>
  <c r="U325" i="433"/>
  <c r="S325" i="433"/>
  <c r="R325" i="433"/>
  <c r="Q325" i="433"/>
  <c r="C325" i="433"/>
  <c r="T325" i="433" s="1"/>
  <c r="B325" i="433"/>
  <c r="P325" i="433" s="1"/>
  <c r="AJ324" i="433"/>
  <c r="V324" i="433"/>
  <c r="U324" i="433"/>
  <c r="S324" i="433"/>
  <c r="R324" i="433"/>
  <c r="Q324" i="433"/>
  <c r="C324" i="433"/>
  <c r="T324" i="433" s="1"/>
  <c r="B324" i="433"/>
  <c r="P324" i="433" s="1"/>
  <c r="AJ323" i="433"/>
  <c r="V323" i="433"/>
  <c r="U323" i="433"/>
  <c r="S323" i="433"/>
  <c r="R323" i="433"/>
  <c r="Q323" i="433"/>
  <c r="C323" i="433"/>
  <c r="T323" i="433" s="1"/>
  <c r="B323" i="433"/>
  <c r="P323" i="433" s="1"/>
  <c r="AJ322" i="433"/>
  <c r="V322" i="433"/>
  <c r="U322" i="433"/>
  <c r="S322" i="433"/>
  <c r="R322" i="433"/>
  <c r="Q322" i="433"/>
  <c r="C322" i="433"/>
  <c r="T322" i="433" s="1"/>
  <c r="B322" i="433"/>
  <c r="P322" i="433" s="1"/>
  <c r="AJ321" i="433"/>
  <c r="V321" i="433"/>
  <c r="U321" i="433"/>
  <c r="S321" i="433"/>
  <c r="R321" i="433"/>
  <c r="Q321" i="433"/>
  <c r="C321" i="433"/>
  <c r="T321" i="433" s="1"/>
  <c r="B321" i="433"/>
  <c r="P321" i="433" s="1"/>
  <c r="AJ320" i="433"/>
  <c r="V320" i="433"/>
  <c r="U320" i="433"/>
  <c r="S320" i="433"/>
  <c r="R320" i="433"/>
  <c r="Q320" i="433"/>
  <c r="C320" i="433"/>
  <c r="T320" i="433" s="1"/>
  <c r="B320" i="433"/>
  <c r="P320" i="433" s="1"/>
  <c r="AJ319" i="433"/>
  <c r="V319" i="433"/>
  <c r="U319" i="433"/>
  <c r="S319" i="433"/>
  <c r="R319" i="433"/>
  <c r="Q319" i="433"/>
  <c r="P319" i="433"/>
  <c r="C319" i="433"/>
  <c r="T319" i="433" s="1"/>
  <c r="B319" i="433"/>
  <c r="AJ318" i="433"/>
  <c r="V318" i="433"/>
  <c r="U318" i="433"/>
  <c r="S318" i="433"/>
  <c r="R318" i="433"/>
  <c r="Q318" i="433"/>
  <c r="C318" i="433"/>
  <c r="T318" i="433" s="1"/>
  <c r="B318" i="433"/>
  <c r="P318" i="433" s="1"/>
  <c r="AJ317" i="433"/>
  <c r="V317" i="433"/>
  <c r="U317" i="433"/>
  <c r="S317" i="433"/>
  <c r="R317" i="433"/>
  <c r="Q317" i="433"/>
  <c r="C317" i="433"/>
  <c r="T317" i="433" s="1"/>
  <c r="B317" i="433"/>
  <c r="P317" i="433" s="1"/>
  <c r="AJ316" i="433"/>
  <c r="V316" i="433"/>
  <c r="U316" i="433"/>
  <c r="S316" i="433"/>
  <c r="R316" i="433"/>
  <c r="Q316" i="433"/>
  <c r="C316" i="433"/>
  <c r="T316" i="433" s="1"/>
  <c r="B316" i="433"/>
  <c r="P316" i="433" s="1"/>
  <c r="AJ315" i="433"/>
  <c r="V315" i="433"/>
  <c r="U315" i="433"/>
  <c r="S315" i="433"/>
  <c r="R315" i="433"/>
  <c r="Q315" i="433"/>
  <c r="P315" i="433"/>
  <c r="C315" i="433"/>
  <c r="T315" i="433" s="1"/>
  <c r="B315" i="433"/>
  <c r="AJ314" i="433"/>
  <c r="V314" i="433"/>
  <c r="U314" i="433"/>
  <c r="S314" i="433"/>
  <c r="R314" i="433"/>
  <c r="Q314" i="433"/>
  <c r="C314" i="433"/>
  <c r="T314" i="433" s="1"/>
  <c r="B314" i="433"/>
  <c r="P314" i="433" s="1"/>
  <c r="AJ313" i="433"/>
  <c r="V313" i="433"/>
  <c r="U313" i="433"/>
  <c r="S313" i="433"/>
  <c r="R313" i="433"/>
  <c r="Q313" i="433"/>
  <c r="C313" i="433"/>
  <c r="T313" i="433" s="1"/>
  <c r="B313" i="433"/>
  <c r="P313" i="433" s="1"/>
  <c r="AJ312" i="433"/>
  <c r="V312" i="433"/>
  <c r="U312" i="433"/>
  <c r="S312" i="433"/>
  <c r="R312" i="433"/>
  <c r="Q312" i="433"/>
  <c r="C312" i="433"/>
  <c r="T312" i="433" s="1"/>
  <c r="B312" i="433"/>
  <c r="P312" i="433" s="1"/>
  <c r="AJ311" i="433"/>
  <c r="V311" i="433"/>
  <c r="U311" i="433"/>
  <c r="T311" i="433"/>
  <c r="S311" i="433"/>
  <c r="R311" i="433"/>
  <c r="Q311" i="433"/>
  <c r="C311" i="433"/>
  <c r="B311" i="433"/>
  <c r="P311" i="433" s="1"/>
  <c r="AJ310" i="433"/>
  <c r="V310" i="433"/>
  <c r="U310" i="433"/>
  <c r="T310" i="433"/>
  <c r="S310" i="433"/>
  <c r="R310" i="433"/>
  <c r="Q310" i="433"/>
  <c r="C310" i="433"/>
  <c r="B310" i="433"/>
  <c r="P310" i="433" s="1"/>
  <c r="AJ309" i="433"/>
  <c r="V309" i="433"/>
  <c r="U309" i="433"/>
  <c r="S309" i="433"/>
  <c r="R309" i="433"/>
  <c r="Q309" i="433"/>
  <c r="C309" i="433"/>
  <c r="T309" i="433" s="1"/>
  <c r="B309" i="433"/>
  <c r="P309" i="433" s="1"/>
  <c r="AJ308" i="433"/>
  <c r="V308" i="433"/>
  <c r="U308" i="433"/>
  <c r="S308" i="433"/>
  <c r="R308" i="433"/>
  <c r="Q308" i="433"/>
  <c r="C308" i="433"/>
  <c r="T308" i="433" s="1"/>
  <c r="B308" i="433"/>
  <c r="P308" i="433" s="1"/>
  <c r="AJ307" i="433"/>
  <c r="V307" i="433"/>
  <c r="U307" i="433"/>
  <c r="S307" i="433"/>
  <c r="R307" i="433"/>
  <c r="Q307" i="433"/>
  <c r="C307" i="433"/>
  <c r="T307" i="433" s="1"/>
  <c r="B307" i="433"/>
  <c r="P307" i="433" s="1"/>
  <c r="AJ306" i="433"/>
  <c r="V306" i="433"/>
  <c r="U306" i="433"/>
  <c r="S306" i="433"/>
  <c r="R306" i="433"/>
  <c r="Q306" i="433"/>
  <c r="C306" i="433"/>
  <c r="T306" i="433" s="1"/>
  <c r="B306" i="433"/>
  <c r="P306" i="433" s="1"/>
  <c r="AJ305" i="433"/>
  <c r="V305" i="433"/>
  <c r="U305" i="433"/>
  <c r="S305" i="433"/>
  <c r="R305" i="433"/>
  <c r="Q305" i="433"/>
  <c r="C305" i="433"/>
  <c r="T305" i="433" s="1"/>
  <c r="B305" i="433"/>
  <c r="P305" i="433" s="1"/>
  <c r="AJ304" i="433"/>
  <c r="V304" i="433"/>
  <c r="U304" i="433"/>
  <c r="S304" i="433"/>
  <c r="R304" i="433"/>
  <c r="Q304" i="433"/>
  <c r="C304" i="433"/>
  <c r="T304" i="433" s="1"/>
  <c r="B304" i="433"/>
  <c r="P304" i="433" s="1"/>
  <c r="AJ303" i="433"/>
  <c r="V303" i="433"/>
  <c r="U303" i="433"/>
  <c r="S303" i="433"/>
  <c r="R303" i="433"/>
  <c r="Q303" i="433"/>
  <c r="C303" i="433"/>
  <c r="T303" i="433" s="1"/>
  <c r="B303" i="433"/>
  <c r="P303" i="433" s="1"/>
  <c r="AJ302" i="433"/>
  <c r="V302" i="433"/>
  <c r="U302" i="433"/>
  <c r="S302" i="433"/>
  <c r="R302" i="433"/>
  <c r="Q302" i="433"/>
  <c r="P302" i="433"/>
  <c r="C302" i="433"/>
  <c r="T302" i="433" s="1"/>
  <c r="B302" i="433"/>
  <c r="AJ301" i="433"/>
  <c r="V301" i="433"/>
  <c r="U301" i="433"/>
  <c r="S301" i="433"/>
  <c r="R301" i="433"/>
  <c r="Q301" i="433"/>
  <c r="C301" i="433"/>
  <c r="T301" i="433" s="1"/>
  <c r="B301" i="433"/>
  <c r="P301" i="433" s="1"/>
  <c r="AJ300" i="433"/>
  <c r="V300" i="433"/>
  <c r="U300" i="433"/>
  <c r="T300" i="433"/>
  <c r="S300" i="433"/>
  <c r="R300" i="433"/>
  <c r="Q300" i="433"/>
  <c r="C300" i="433"/>
  <c r="B300" i="433"/>
  <c r="P300" i="433" s="1"/>
  <c r="AJ299" i="433"/>
  <c r="V299" i="433"/>
  <c r="U299" i="433"/>
  <c r="T299" i="433"/>
  <c r="S299" i="433"/>
  <c r="R299" i="433"/>
  <c r="Q299" i="433"/>
  <c r="C299" i="433"/>
  <c r="B299" i="433"/>
  <c r="P299" i="433" s="1"/>
  <c r="AJ298" i="433"/>
  <c r="V298" i="433"/>
  <c r="U298" i="433"/>
  <c r="S298" i="433"/>
  <c r="R298" i="433"/>
  <c r="Q298" i="433"/>
  <c r="C298" i="433"/>
  <c r="T298" i="433" s="1"/>
  <c r="B298" i="433"/>
  <c r="P298" i="433" s="1"/>
  <c r="AJ297" i="433"/>
  <c r="V297" i="433"/>
  <c r="U297" i="433"/>
  <c r="S297" i="433"/>
  <c r="R297" i="433"/>
  <c r="Q297" i="433"/>
  <c r="C297" i="433"/>
  <c r="T297" i="433" s="1"/>
  <c r="B297" i="433"/>
  <c r="P297" i="433" s="1"/>
  <c r="AJ296" i="433"/>
  <c r="V296" i="433"/>
  <c r="U296" i="433"/>
  <c r="S296" i="433"/>
  <c r="R296" i="433"/>
  <c r="Q296" i="433"/>
  <c r="P296" i="433"/>
  <c r="C296" i="433"/>
  <c r="T296" i="433" s="1"/>
  <c r="B296" i="433"/>
  <c r="AJ295" i="433"/>
  <c r="V295" i="433"/>
  <c r="U295" i="433"/>
  <c r="S295" i="433"/>
  <c r="R295" i="433"/>
  <c r="Q295" i="433"/>
  <c r="C295" i="433"/>
  <c r="T295" i="433" s="1"/>
  <c r="B295" i="433"/>
  <c r="P295" i="433" s="1"/>
  <c r="AJ294" i="433"/>
  <c r="V294" i="433"/>
  <c r="U294" i="433"/>
  <c r="S294" i="433"/>
  <c r="R294" i="433"/>
  <c r="Q294" i="433"/>
  <c r="C294" i="433"/>
  <c r="T294" i="433" s="1"/>
  <c r="B294" i="433"/>
  <c r="P294" i="433" s="1"/>
  <c r="AJ293" i="433"/>
  <c r="V293" i="433"/>
  <c r="U293" i="433"/>
  <c r="S293" i="433"/>
  <c r="R293" i="433"/>
  <c r="Q293" i="433"/>
  <c r="C293" i="433"/>
  <c r="T293" i="433" s="1"/>
  <c r="B293" i="433"/>
  <c r="P293" i="433" s="1"/>
  <c r="AJ292" i="433"/>
  <c r="V292" i="433"/>
  <c r="U292" i="433"/>
  <c r="S292" i="433"/>
  <c r="R292" i="433"/>
  <c r="Q292" i="433"/>
  <c r="C292" i="433"/>
  <c r="T292" i="433" s="1"/>
  <c r="B292" i="433"/>
  <c r="P292" i="433" s="1"/>
  <c r="AJ291" i="433"/>
  <c r="V291" i="433"/>
  <c r="U291" i="433"/>
  <c r="S291" i="433"/>
  <c r="R291" i="433"/>
  <c r="Q291" i="433"/>
  <c r="C291" i="433"/>
  <c r="T291" i="433" s="1"/>
  <c r="B291" i="433"/>
  <c r="P291" i="433" s="1"/>
  <c r="AJ290" i="433"/>
  <c r="V290" i="433"/>
  <c r="U290" i="433"/>
  <c r="S290" i="433"/>
  <c r="R290" i="433"/>
  <c r="Q290" i="433"/>
  <c r="C290" i="433"/>
  <c r="T290" i="433" s="1"/>
  <c r="B290" i="433"/>
  <c r="P290" i="433" s="1"/>
  <c r="AJ289" i="433"/>
  <c r="V289" i="433"/>
  <c r="U289" i="433"/>
  <c r="T289" i="433"/>
  <c r="S289" i="433"/>
  <c r="R289" i="433"/>
  <c r="Q289" i="433"/>
  <c r="C289" i="433"/>
  <c r="B289" i="433"/>
  <c r="P289" i="433" s="1"/>
  <c r="AJ288" i="433"/>
  <c r="V288" i="433"/>
  <c r="U288" i="433"/>
  <c r="T288" i="433"/>
  <c r="S288" i="433"/>
  <c r="R288" i="433"/>
  <c r="Q288" i="433"/>
  <c r="C288" i="433"/>
  <c r="B288" i="433"/>
  <c r="P288" i="433" s="1"/>
  <c r="AJ287" i="433"/>
  <c r="V287" i="433"/>
  <c r="U287" i="433"/>
  <c r="S287" i="433"/>
  <c r="R287" i="433"/>
  <c r="Q287" i="433"/>
  <c r="C287" i="433"/>
  <c r="T287" i="433" s="1"/>
  <c r="B287" i="433"/>
  <c r="P287" i="433" s="1"/>
  <c r="AJ286" i="433"/>
  <c r="V286" i="433"/>
  <c r="U286" i="433"/>
  <c r="T286" i="433"/>
  <c r="S286" i="433"/>
  <c r="R286" i="433"/>
  <c r="Q286" i="433"/>
  <c r="C286" i="433"/>
  <c r="B286" i="433"/>
  <c r="P286" i="433" s="1"/>
  <c r="AJ285" i="433"/>
  <c r="V285" i="433"/>
  <c r="U285" i="433"/>
  <c r="S285" i="433"/>
  <c r="R285" i="433"/>
  <c r="Q285" i="433"/>
  <c r="C285" i="433"/>
  <c r="T285" i="433" s="1"/>
  <c r="B285" i="433"/>
  <c r="P285" i="433" s="1"/>
  <c r="AJ284" i="433"/>
  <c r="V284" i="433"/>
  <c r="U284" i="433"/>
  <c r="S284" i="433"/>
  <c r="R284" i="433"/>
  <c r="Q284" i="433"/>
  <c r="C284" i="433"/>
  <c r="T284" i="433" s="1"/>
  <c r="B284" i="433"/>
  <c r="P284" i="433" s="1"/>
  <c r="AJ283" i="433"/>
  <c r="V283" i="433"/>
  <c r="U283" i="433"/>
  <c r="S283" i="433"/>
  <c r="R283" i="433"/>
  <c r="Q283" i="433"/>
  <c r="C283" i="433"/>
  <c r="T283" i="433" s="1"/>
  <c r="B283" i="433"/>
  <c r="P283" i="433" s="1"/>
  <c r="AJ282" i="433"/>
  <c r="V282" i="433"/>
  <c r="U282" i="433"/>
  <c r="S282" i="433"/>
  <c r="R282" i="433"/>
  <c r="Q282" i="433"/>
  <c r="P282" i="433"/>
  <c r="C282" i="433"/>
  <c r="T282" i="433" s="1"/>
  <c r="B282" i="433"/>
  <c r="AJ281" i="433"/>
  <c r="V281" i="433"/>
  <c r="U281" i="433"/>
  <c r="S281" i="433"/>
  <c r="R281" i="433"/>
  <c r="Q281" i="433"/>
  <c r="P281" i="433"/>
  <c r="C281" i="433"/>
  <c r="T281" i="433" s="1"/>
  <c r="B281" i="433"/>
  <c r="AJ280" i="433"/>
  <c r="V280" i="433"/>
  <c r="U280" i="433"/>
  <c r="S280" i="433"/>
  <c r="R280" i="433"/>
  <c r="Q280" i="433"/>
  <c r="C280" i="433"/>
  <c r="T280" i="433" s="1"/>
  <c r="B280" i="433"/>
  <c r="P280" i="433" s="1"/>
  <c r="AJ279" i="433"/>
  <c r="V279" i="433"/>
  <c r="U279" i="433"/>
  <c r="T279" i="433"/>
  <c r="S279" i="433"/>
  <c r="R279" i="433"/>
  <c r="Q279" i="433"/>
  <c r="P279" i="433"/>
  <c r="C279" i="433"/>
  <c r="B279" i="433"/>
  <c r="AJ278" i="433"/>
  <c r="V278" i="433"/>
  <c r="U278" i="433"/>
  <c r="S278" i="433"/>
  <c r="R278" i="433"/>
  <c r="Q278" i="433"/>
  <c r="C278" i="433"/>
  <c r="T278" i="433" s="1"/>
  <c r="B278" i="433"/>
  <c r="P278" i="433" s="1"/>
  <c r="AJ277" i="433"/>
  <c r="V277" i="433"/>
  <c r="U277" i="433"/>
  <c r="T277" i="433"/>
  <c r="S277" i="433"/>
  <c r="R277" i="433"/>
  <c r="Q277" i="433"/>
  <c r="C277" i="433"/>
  <c r="B277" i="433"/>
  <c r="P277" i="433" s="1"/>
  <c r="AJ276" i="433"/>
  <c r="V276" i="433"/>
  <c r="U276" i="433"/>
  <c r="S276" i="433"/>
  <c r="R276" i="433"/>
  <c r="Q276" i="433"/>
  <c r="C276" i="433"/>
  <c r="T276" i="433" s="1"/>
  <c r="B276" i="433"/>
  <c r="P276" i="433" s="1"/>
  <c r="AJ275" i="433"/>
  <c r="V275" i="433"/>
  <c r="U275" i="433"/>
  <c r="S275" i="433"/>
  <c r="R275" i="433"/>
  <c r="Q275" i="433"/>
  <c r="P275" i="433"/>
  <c r="C275" i="433"/>
  <c r="T275" i="433" s="1"/>
  <c r="B275" i="433"/>
  <c r="AJ274" i="433"/>
  <c r="V274" i="433"/>
  <c r="U274" i="433"/>
  <c r="S274" i="433"/>
  <c r="R274" i="433"/>
  <c r="Q274" i="433"/>
  <c r="C274" i="433"/>
  <c r="T274" i="433" s="1"/>
  <c r="B274" i="433"/>
  <c r="P274" i="433" s="1"/>
  <c r="AJ273" i="433"/>
  <c r="V273" i="433"/>
  <c r="U273" i="433"/>
  <c r="S273" i="433"/>
  <c r="R273" i="433"/>
  <c r="Q273" i="433"/>
  <c r="P273" i="433"/>
  <c r="C273" i="433"/>
  <c r="T273" i="433" s="1"/>
  <c r="B273" i="433"/>
  <c r="AJ272" i="433"/>
  <c r="V272" i="433"/>
  <c r="U272" i="433"/>
  <c r="S272" i="433"/>
  <c r="R272" i="433"/>
  <c r="Q272" i="433"/>
  <c r="C272" i="433"/>
  <c r="T272" i="433" s="1"/>
  <c r="B272" i="433"/>
  <c r="P272" i="433" s="1"/>
  <c r="AJ271" i="433"/>
  <c r="V271" i="433"/>
  <c r="U271" i="433"/>
  <c r="S271" i="433"/>
  <c r="R271" i="433"/>
  <c r="Q271" i="433"/>
  <c r="C271" i="433"/>
  <c r="T271" i="433" s="1"/>
  <c r="B271" i="433"/>
  <c r="P271" i="433" s="1"/>
  <c r="AJ270" i="433"/>
  <c r="V270" i="433"/>
  <c r="U270" i="433"/>
  <c r="S270" i="433"/>
  <c r="R270" i="433"/>
  <c r="Q270" i="433"/>
  <c r="C270" i="433"/>
  <c r="T270" i="433" s="1"/>
  <c r="B270" i="433"/>
  <c r="P270" i="433" s="1"/>
  <c r="AJ269" i="433"/>
  <c r="V269" i="433"/>
  <c r="U269" i="433"/>
  <c r="S269" i="433"/>
  <c r="R269" i="433"/>
  <c r="Q269" i="433"/>
  <c r="C269" i="433"/>
  <c r="T269" i="433" s="1"/>
  <c r="B269" i="433"/>
  <c r="P269" i="433" s="1"/>
  <c r="AJ268" i="433"/>
  <c r="V268" i="433"/>
  <c r="U268" i="433"/>
  <c r="S268" i="433"/>
  <c r="R268" i="433"/>
  <c r="Q268" i="433"/>
  <c r="C268" i="433"/>
  <c r="T268" i="433" s="1"/>
  <c r="B268" i="433"/>
  <c r="P268" i="433" s="1"/>
  <c r="AJ267" i="433"/>
  <c r="V267" i="433"/>
  <c r="U267" i="433"/>
  <c r="S267" i="433"/>
  <c r="R267" i="433"/>
  <c r="Q267" i="433"/>
  <c r="P267" i="433"/>
  <c r="C267" i="433"/>
  <c r="T267" i="433" s="1"/>
  <c r="B267" i="433"/>
  <c r="AJ266" i="433"/>
  <c r="V266" i="433"/>
  <c r="U266" i="433"/>
  <c r="S266" i="433"/>
  <c r="R266" i="433"/>
  <c r="Q266" i="433"/>
  <c r="C266" i="433"/>
  <c r="T266" i="433" s="1"/>
  <c r="B266" i="433"/>
  <c r="P266" i="433" s="1"/>
  <c r="AJ265" i="433"/>
  <c r="V265" i="433"/>
  <c r="U265" i="433"/>
  <c r="S265" i="433"/>
  <c r="R265" i="433"/>
  <c r="Q265" i="433"/>
  <c r="C265" i="433"/>
  <c r="T265" i="433" s="1"/>
  <c r="B265" i="433"/>
  <c r="P265" i="433" s="1"/>
  <c r="AJ264" i="433"/>
  <c r="V264" i="433"/>
  <c r="U264" i="433"/>
  <c r="S264" i="433"/>
  <c r="R264" i="433"/>
  <c r="Q264" i="433"/>
  <c r="C264" i="433"/>
  <c r="T264" i="433" s="1"/>
  <c r="B264" i="433"/>
  <c r="P264" i="433" s="1"/>
  <c r="AJ263" i="433"/>
  <c r="V263" i="433"/>
  <c r="U263" i="433"/>
  <c r="S263" i="433"/>
  <c r="R263" i="433"/>
  <c r="Q263" i="433"/>
  <c r="C263" i="433"/>
  <c r="T263" i="433" s="1"/>
  <c r="B263" i="433"/>
  <c r="P263" i="433" s="1"/>
  <c r="AJ262" i="433"/>
  <c r="V262" i="433"/>
  <c r="U262" i="433"/>
  <c r="S262" i="433"/>
  <c r="R262" i="433"/>
  <c r="Q262" i="433"/>
  <c r="C262" i="433"/>
  <c r="T262" i="433" s="1"/>
  <c r="B262" i="433"/>
  <c r="P262" i="433" s="1"/>
  <c r="AJ261" i="433"/>
  <c r="V261" i="433"/>
  <c r="U261" i="433"/>
  <c r="S261" i="433"/>
  <c r="R261" i="433"/>
  <c r="Q261" i="433"/>
  <c r="C261" i="433"/>
  <c r="T261" i="433" s="1"/>
  <c r="B261" i="433"/>
  <c r="P261" i="433" s="1"/>
  <c r="AJ260" i="433"/>
  <c r="V260" i="433"/>
  <c r="U260" i="433"/>
  <c r="S260" i="433"/>
  <c r="R260" i="433"/>
  <c r="Q260" i="433"/>
  <c r="C260" i="433"/>
  <c r="T260" i="433" s="1"/>
  <c r="B260" i="433"/>
  <c r="P260" i="433" s="1"/>
  <c r="AJ259" i="433"/>
  <c r="V259" i="433"/>
  <c r="U259" i="433"/>
  <c r="S259" i="433"/>
  <c r="R259" i="433"/>
  <c r="Q259" i="433"/>
  <c r="P259" i="433"/>
  <c r="C259" i="433"/>
  <c r="T259" i="433" s="1"/>
  <c r="B259" i="433"/>
  <c r="AJ258" i="433"/>
  <c r="V258" i="433"/>
  <c r="U258" i="433"/>
  <c r="T258" i="433"/>
  <c r="S258" i="433"/>
  <c r="R258" i="433"/>
  <c r="Q258" i="433"/>
  <c r="P258" i="433"/>
  <c r="C258" i="433"/>
  <c r="B258" i="433"/>
  <c r="AJ257" i="433"/>
  <c r="V257" i="433"/>
  <c r="U257" i="433"/>
  <c r="S257" i="433"/>
  <c r="R257" i="433"/>
  <c r="Q257" i="433"/>
  <c r="C257" i="433"/>
  <c r="T257" i="433" s="1"/>
  <c r="B257" i="433"/>
  <c r="P257" i="433" s="1"/>
  <c r="AJ256" i="433"/>
  <c r="V256" i="433"/>
  <c r="U256" i="433"/>
  <c r="S256" i="433"/>
  <c r="R256" i="433"/>
  <c r="Q256" i="433"/>
  <c r="C256" i="433"/>
  <c r="T256" i="433" s="1"/>
  <c r="B256" i="433"/>
  <c r="P256" i="433" s="1"/>
  <c r="AJ255" i="433"/>
  <c r="V255" i="433"/>
  <c r="U255" i="433"/>
  <c r="T255" i="433"/>
  <c r="S255" i="433"/>
  <c r="R255" i="433"/>
  <c r="Q255" i="433"/>
  <c r="C255" i="433"/>
  <c r="B255" i="433"/>
  <c r="P255" i="433" s="1"/>
  <c r="AJ254" i="433"/>
  <c r="V254" i="433"/>
  <c r="U254" i="433"/>
  <c r="S254" i="433"/>
  <c r="R254" i="433"/>
  <c r="Q254" i="433"/>
  <c r="C254" i="433"/>
  <c r="T254" i="433" s="1"/>
  <c r="B254" i="433"/>
  <c r="P254" i="433" s="1"/>
  <c r="AJ253" i="433"/>
  <c r="V253" i="433"/>
  <c r="U253" i="433"/>
  <c r="S253" i="433"/>
  <c r="R253" i="433"/>
  <c r="Q253" i="433"/>
  <c r="C253" i="433"/>
  <c r="T253" i="433" s="1"/>
  <c r="B253" i="433"/>
  <c r="P253" i="433" s="1"/>
  <c r="AJ252" i="433"/>
  <c r="V252" i="433"/>
  <c r="U252" i="433"/>
  <c r="S252" i="433"/>
  <c r="R252" i="433"/>
  <c r="Q252" i="433"/>
  <c r="C252" i="433"/>
  <c r="T252" i="433" s="1"/>
  <c r="B252" i="433"/>
  <c r="P252" i="433" s="1"/>
  <c r="AJ251" i="433"/>
  <c r="V251" i="433"/>
  <c r="U251" i="433"/>
  <c r="T251" i="433"/>
  <c r="S251" i="433"/>
  <c r="R251" i="433"/>
  <c r="Q251" i="433"/>
  <c r="C251" i="433"/>
  <c r="B251" i="433"/>
  <c r="P251" i="433" s="1"/>
  <c r="AJ250" i="433"/>
  <c r="V250" i="433"/>
  <c r="U250" i="433"/>
  <c r="S250" i="433"/>
  <c r="R250" i="433"/>
  <c r="Q250" i="433"/>
  <c r="C250" i="433"/>
  <c r="T250" i="433" s="1"/>
  <c r="B250" i="433"/>
  <c r="P250" i="433" s="1"/>
  <c r="AJ249" i="433"/>
  <c r="V249" i="433"/>
  <c r="U249" i="433"/>
  <c r="S249" i="433"/>
  <c r="R249" i="433"/>
  <c r="Q249" i="433"/>
  <c r="C249" i="433"/>
  <c r="T249" i="433" s="1"/>
  <c r="B249" i="433"/>
  <c r="P249" i="433" s="1"/>
  <c r="AJ248" i="433"/>
  <c r="V248" i="433"/>
  <c r="U248" i="433"/>
  <c r="S248" i="433"/>
  <c r="R248" i="433"/>
  <c r="Q248" i="433"/>
  <c r="P248" i="433"/>
  <c r="C248" i="433"/>
  <c r="T248" i="433" s="1"/>
  <c r="B248" i="433"/>
  <c r="AJ247" i="433"/>
  <c r="V247" i="433"/>
  <c r="U247" i="433"/>
  <c r="S247" i="433"/>
  <c r="R247" i="433"/>
  <c r="Q247" i="433"/>
  <c r="C247" i="433"/>
  <c r="T247" i="433" s="1"/>
  <c r="B247" i="433"/>
  <c r="P247" i="433" s="1"/>
  <c r="AJ246" i="433"/>
  <c r="V246" i="433"/>
  <c r="U246" i="433"/>
  <c r="S246" i="433"/>
  <c r="R246" i="433"/>
  <c r="Q246" i="433"/>
  <c r="C246" i="433"/>
  <c r="T246" i="433" s="1"/>
  <c r="B246" i="433"/>
  <c r="P246" i="433" s="1"/>
  <c r="AJ245" i="433"/>
  <c r="V245" i="433"/>
  <c r="U245" i="433"/>
  <c r="S245" i="433"/>
  <c r="R245" i="433"/>
  <c r="Q245" i="433"/>
  <c r="C245" i="433"/>
  <c r="T245" i="433" s="1"/>
  <c r="B245" i="433"/>
  <c r="P245" i="433" s="1"/>
  <c r="AJ244" i="433"/>
  <c r="V244" i="433"/>
  <c r="U244" i="433"/>
  <c r="S244" i="433"/>
  <c r="R244" i="433"/>
  <c r="Q244" i="433"/>
  <c r="C244" i="433"/>
  <c r="T244" i="433" s="1"/>
  <c r="B244" i="433"/>
  <c r="P244" i="433" s="1"/>
  <c r="AJ243" i="433"/>
  <c r="V243" i="433"/>
  <c r="U243" i="433"/>
  <c r="S243" i="433"/>
  <c r="R243" i="433"/>
  <c r="Q243" i="433"/>
  <c r="C243" i="433"/>
  <c r="T243" i="433" s="1"/>
  <c r="B243" i="433"/>
  <c r="P243" i="433" s="1"/>
  <c r="AJ242" i="433"/>
  <c r="V242" i="433"/>
  <c r="U242" i="433"/>
  <c r="S242" i="433"/>
  <c r="R242" i="433"/>
  <c r="Q242" i="433"/>
  <c r="C242" i="433"/>
  <c r="T242" i="433" s="1"/>
  <c r="B242" i="433"/>
  <c r="P242" i="433" s="1"/>
  <c r="AJ241" i="433"/>
  <c r="V241" i="433"/>
  <c r="U241" i="433"/>
  <c r="S241" i="433"/>
  <c r="R241" i="433"/>
  <c r="Q241" i="433"/>
  <c r="C241" i="433"/>
  <c r="T241" i="433" s="1"/>
  <c r="B241" i="433"/>
  <c r="P241" i="433" s="1"/>
  <c r="AJ240" i="433"/>
  <c r="V240" i="433"/>
  <c r="U240" i="433"/>
  <c r="T240" i="433"/>
  <c r="S240" i="433"/>
  <c r="R240" i="433"/>
  <c r="Q240" i="433"/>
  <c r="C240" i="433"/>
  <c r="B240" i="433"/>
  <c r="P240" i="433" s="1"/>
  <c r="AJ239" i="433"/>
  <c r="V239" i="433"/>
  <c r="U239" i="433"/>
  <c r="S239" i="433"/>
  <c r="R239" i="433"/>
  <c r="Q239" i="433"/>
  <c r="C239" i="433"/>
  <c r="T239" i="433" s="1"/>
  <c r="B239" i="433"/>
  <c r="P239" i="433" s="1"/>
  <c r="AJ238" i="433"/>
  <c r="V238" i="433"/>
  <c r="U238" i="433"/>
  <c r="T238" i="433"/>
  <c r="S238" i="433"/>
  <c r="R238" i="433"/>
  <c r="Q238" i="433"/>
  <c r="C238" i="433"/>
  <c r="B238" i="433"/>
  <c r="P238" i="433" s="1"/>
  <c r="AJ237" i="433"/>
  <c r="V237" i="433"/>
  <c r="U237" i="433"/>
  <c r="S237" i="433"/>
  <c r="R237" i="433"/>
  <c r="Q237" i="433"/>
  <c r="C237" i="433"/>
  <c r="T237" i="433" s="1"/>
  <c r="B237" i="433"/>
  <c r="P237" i="433" s="1"/>
  <c r="AJ236" i="433"/>
  <c r="V236" i="433"/>
  <c r="U236" i="433"/>
  <c r="S236" i="433"/>
  <c r="R236" i="433"/>
  <c r="Q236" i="433"/>
  <c r="C236" i="433"/>
  <c r="T236" i="433" s="1"/>
  <c r="B236" i="433"/>
  <c r="P236" i="433" s="1"/>
  <c r="AJ235" i="433"/>
  <c r="V235" i="433"/>
  <c r="U235" i="433"/>
  <c r="S235" i="433"/>
  <c r="R235" i="433"/>
  <c r="Q235" i="433"/>
  <c r="C235" i="433"/>
  <c r="T235" i="433" s="1"/>
  <c r="B235" i="433"/>
  <c r="P235" i="433" s="1"/>
  <c r="AJ234" i="433"/>
  <c r="V234" i="433"/>
  <c r="U234" i="433"/>
  <c r="S234" i="433"/>
  <c r="R234" i="433"/>
  <c r="Q234" i="433"/>
  <c r="P234" i="433"/>
  <c r="C234" i="433"/>
  <c r="T234" i="433" s="1"/>
  <c r="B234" i="433"/>
  <c r="AJ233" i="433"/>
  <c r="V233" i="433"/>
  <c r="U233" i="433"/>
  <c r="S233" i="433"/>
  <c r="R233" i="433"/>
  <c r="Q233" i="433"/>
  <c r="P233" i="433"/>
  <c r="C233" i="433"/>
  <c r="T233" i="433" s="1"/>
  <c r="B233" i="433"/>
  <c r="AJ232" i="433"/>
  <c r="V232" i="433"/>
  <c r="U232" i="433"/>
  <c r="S232" i="433"/>
  <c r="R232" i="433"/>
  <c r="Q232" i="433"/>
  <c r="C232" i="433"/>
  <c r="T232" i="433" s="1"/>
  <c r="B232" i="433"/>
  <c r="P232" i="433" s="1"/>
  <c r="AJ231" i="433"/>
  <c r="V231" i="433"/>
  <c r="U231" i="433"/>
  <c r="T231" i="433"/>
  <c r="S231" i="433"/>
  <c r="R231" i="433"/>
  <c r="Q231" i="433"/>
  <c r="P231" i="433"/>
  <c r="C231" i="433"/>
  <c r="B231" i="433"/>
  <c r="AJ230" i="433"/>
  <c r="V230" i="433"/>
  <c r="U230" i="433"/>
  <c r="S230" i="433"/>
  <c r="R230" i="433"/>
  <c r="Q230" i="433"/>
  <c r="P230" i="433"/>
  <c r="C230" i="433"/>
  <c r="T230" i="433" s="1"/>
  <c r="B230" i="433"/>
  <c r="AJ229" i="433"/>
  <c r="V229" i="433"/>
  <c r="U229" i="433"/>
  <c r="T229" i="433"/>
  <c r="S229" i="433"/>
  <c r="R229" i="433"/>
  <c r="Q229" i="433"/>
  <c r="C229" i="433"/>
  <c r="B229" i="433"/>
  <c r="P229" i="433" s="1"/>
  <c r="AJ228" i="433"/>
  <c r="V228" i="433"/>
  <c r="U228" i="433"/>
  <c r="T228" i="433"/>
  <c r="S228" i="433"/>
  <c r="R228" i="433"/>
  <c r="Q228" i="433"/>
  <c r="C228" i="433"/>
  <c r="B228" i="433"/>
  <c r="P228" i="433" s="1"/>
  <c r="AJ227" i="433"/>
  <c r="V227" i="433"/>
  <c r="U227" i="433"/>
  <c r="S227" i="433"/>
  <c r="R227" i="433"/>
  <c r="Q227" i="433"/>
  <c r="C227" i="433"/>
  <c r="T227" i="433" s="1"/>
  <c r="B227" i="433"/>
  <c r="P227" i="433" s="1"/>
  <c r="AJ226" i="433"/>
  <c r="V226" i="433"/>
  <c r="U226" i="433"/>
  <c r="S226" i="433"/>
  <c r="R226" i="433"/>
  <c r="Q226" i="433"/>
  <c r="C226" i="433"/>
  <c r="T226" i="433" s="1"/>
  <c r="B226" i="433"/>
  <c r="P226" i="433" s="1"/>
  <c r="AJ225" i="433"/>
  <c r="V225" i="433"/>
  <c r="U225" i="433"/>
  <c r="S225" i="433"/>
  <c r="R225" i="433"/>
  <c r="Q225" i="433"/>
  <c r="P225" i="433"/>
  <c r="C225" i="433"/>
  <c r="T225" i="433" s="1"/>
  <c r="B225" i="433"/>
  <c r="AJ224" i="433"/>
  <c r="V224" i="433"/>
  <c r="U224" i="433"/>
  <c r="S224" i="433"/>
  <c r="R224" i="433"/>
  <c r="Q224" i="433"/>
  <c r="C224" i="433"/>
  <c r="T224" i="433" s="1"/>
  <c r="B224" i="433"/>
  <c r="P224" i="433" s="1"/>
  <c r="AJ223" i="433"/>
  <c r="V223" i="433"/>
  <c r="U223" i="433"/>
  <c r="T223" i="433"/>
  <c r="S223" i="433"/>
  <c r="R223" i="433"/>
  <c r="Q223" i="433"/>
  <c r="P223" i="433"/>
  <c r="C223" i="433"/>
  <c r="B223" i="433"/>
  <c r="AJ222" i="433"/>
  <c r="V222" i="433"/>
  <c r="U222" i="433"/>
  <c r="S222" i="433"/>
  <c r="R222" i="433"/>
  <c r="Q222" i="433"/>
  <c r="C222" i="433"/>
  <c r="T222" i="433" s="1"/>
  <c r="B222" i="433"/>
  <c r="P222" i="433" s="1"/>
  <c r="AJ221" i="433"/>
  <c r="V221" i="433"/>
  <c r="U221" i="433"/>
  <c r="S221" i="433"/>
  <c r="R221" i="433"/>
  <c r="Q221" i="433"/>
  <c r="C221" i="433"/>
  <c r="T221" i="433" s="1"/>
  <c r="B221" i="433"/>
  <c r="P221" i="433" s="1"/>
  <c r="AJ220" i="433"/>
  <c r="V220" i="433"/>
  <c r="U220" i="433"/>
  <c r="S220" i="433"/>
  <c r="R220" i="433"/>
  <c r="Q220" i="433"/>
  <c r="C220" i="433"/>
  <c r="T220" i="433" s="1"/>
  <c r="B220" i="433"/>
  <c r="P220" i="433" s="1"/>
  <c r="AJ219" i="433"/>
  <c r="V219" i="433"/>
  <c r="U219" i="433"/>
  <c r="T219" i="433"/>
  <c r="S219" i="433"/>
  <c r="R219" i="433"/>
  <c r="Q219" i="433"/>
  <c r="P219" i="433"/>
  <c r="C219" i="433"/>
  <c r="B219" i="433"/>
  <c r="AJ218" i="433"/>
  <c r="V218" i="433"/>
  <c r="U218" i="433"/>
  <c r="T218" i="433"/>
  <c r="S218" i="433"/>
  <c r="R218" i="433"/>
  <c r="Q218" i="433"/>
  <c r="P218" i="433"/>
  <c r="C218" i="433"/>
  <c r="B218" i="433"/>
  <c r="AJ217" i="433"/>
  <c r="V217" i="433"/>
  <c r="U217" i="433"/>
  <c r="S217" i="433"/>
  <c r="R217" i="433"/>
  <c r="Q217" i="433"/>
  <c r="C217" i="433"/>
  <c r="T217" i="433" s="1"/>
  <c r="B217" i="433"/>
  <c r="P217" i="433" s="1"/>
  <c r="AJ216" i="433"/>
  <c r="V216" i="433"/>
  <c r="U216" i="433"/>
  <c r="S216" i="433"/>
  <c r="R216" i="433"/>
  <c r="Q216" i="433"/>
  <c r="C216" i="433"/>
  <c r="T216" i="433" s="1"/>
  <c r="B216" i="433"/>
  <c r="P216" i="433" s="1"/>
  <c r="AJ215" i="433"/>
  <c r="V215" i="433"/>
  <c r="U215" i="433"/>
  <c r="S215" i="433"/>
  <c r="R215" i="433"/>
  <c r="Q215" i="433"/>
  <c r="P215" i="433"/>
  <c r="C215" i="433"/>
  <c r="T215" i="433" s="1"/>
  <c r="B215" i="433"/>
  <c r="AJ214" i="433"/>
  <c r="V214" i="433"/>
  <c r="U214" i="433"/>
  <c r="S214" i="433"/>
  <c r="R214" i="433"/>
  <c r="Q214" i="433"/>
  <c r="C214" i="433"/>
  <c r="T214" i="433" s="1"/>
  <c r="B214" i="433"/>
  <c r="P214" i="433" s="1"/>
  <c r="AJ213" i="433"/>
  <c r="V213" i="433"/>
  <c r="U213" i="433"/>
  <c r="S213" i="433"/>
  <c r="R213" i="433"/>
  <c r="Q213" i="433"/>
  <c r="C213" i="433"/>
  <c r="T213" i="433" s="1"/>
  <c r="B213" i="433"/>
  <c r="P213" i="433" s="1"/>
  <c r="AJ212" i="433"/>
  <c r="V212" i="433"/>
  <c r="U212" i="433"/>
  <c r="S212" i="433"/>
  <c r="R212" i="433"/>
  <c r="Q212" i="433"/>
  <c r="C212" i="433"/>
  <c r="T212" i="433" s="1"/>
  <c r="B212" i="433"/>
  <c r="P212" i="433" s="1"/>
  <c r="AJ211" i="433"/>
  <c r="V211" i="433"/>
  <c r="U211" i="433"/>
  <c r="T211" i="433"/>
  <c r="S211" i="433"/>
  <c r="R211" i="433"/>
  <c r="Q211" i="433"/>
  <c r="C211" i="433"/>
  <c r="B211" i="433"/>
  <c r="P211" i="433" s="1"/>
  <c r="AJ210" i="433"/>
  <c r="V210" i="433"/>
  <c r="U210" i="433"/>
  <c r="S210" i="433"/>
  <c r="R210" i="433"/>
  <c r="Q210" i="433"/>
  <c r="C210" i="433"/>
  <c r="T210" i="433" s="1"/>
  <c r="B210" i="433"/>
  <c r="P210" i="433" s="1"/>
  <c r="AJ209" i="433"/>
  <c r="V209" i="433"/>
  <c r="U209" i="433"/>
  <c r="S209" i="433"/>
  <c r="R209" i="433"/>
  <c r="Q209" i="433"/>
  <c r="C209" i="433"/>
  <c r="T209" i="433" s="1"/>
  <c r="B209" i="433"/>
  <c r="P209" i="433" s="1"/>
  <c r="AJ208" i="433"/>
  <c r="V208" i="433"/>
  <c r="U208" i="433"/>
  <c r="S208" i="433"/>
  <c r="R208" i="433"/>
  <c r="Q208" i="433"/>
  <c r="C208" i="433"/>
  <c r="T208" i="433" s="1"/>
  <c r="B208" i="433"/>
  <c r="P208" i="433" s="1"/>
  <c r="AJ207" i="433"/>
  <c r="V207" i="433"/>
  <c r="U207" i="433"/>
  <c r="T207" i="433"/>
  <c r="S207" i="433"/>
  <c r="R207" i="433"/>
  <c r="Q207" i="433"/>
  <c r="P207" i="433"/>
  <c r="C207" i="433"/>
  <c r="B207" i="433"/>
  <c r="AJ206" i="433"/>
  <c r="V206" i="433"/>
  <c r="U206" i="433"/>
  <c r="T206" i="433"/>
  <c r="S206" i="433"/>
  <c r="R206" i="433"/>
  <c r="Q206" i="433"/>
  <c r="P206" i="433"/>
  <c r="C206" i="433"/>
  <c r="B206" i="433"/>
  <c r="AJ205" i="433"/>
  <c r="V205" i="433"/>
  <c r="U205" i="433"/>
  <c r="S205" i="433"/>
  <c r="R205" i="433"/>
  <c r="Q205" i="433"/>
  <c r="C205" i="433"/>
  <c r="T205" i="433" s="1"/>
  <c r="B205" i="433"/>
  <c r="P205" i="433" s="1"/>
  <c r="AJ204" i="433"/>
  <c r="V204" i="433"/>
  <c r="U204" i="433"/>
  <c r="T204" i="433"/>
  <c r="S204" i="433"/>
  <c r="R204" i="433"/>
  <c r="Q204" i="433"/>
  <c r="C204" i="433"/>
  <c r="B204" i="433"/>
  <c r="P204" i="433" s="1"/>
  <c r="AJ203" i="433"/>
  <c r="V203" i="433"/>
  <c r="U203" i="433"/>
  <c r="T203" i="433"/>
  <c r="S203" i="433"/>
  <c r="R203" i="433"/>
  <c r="Q203" i="433"/>
  <c r="C203" i="433"/>
  <c r="B203" i="433"/>
  <c r="P203" i="433" s="1"/>
  <c r="AJ202" i="433"/>
  <c r="V202" i="433"/>
  <c r="U202" i="433"/>
  <c r="S202" i="433"/>
  <c r="R202" i="433"/>
  <c r="Q202" i="433"/>
  <c r="C202" i="433"/>
  <c r="T202" i="433" s="1"/>
  <c r="B202" i="433"/>
  <c r="P202" i="433" s="1"/>
  <c r="AJ201" i="433"/>
  <c r="V201" i="433"/>
  <c r="U201" i="433"/>
  <c r="S201" i="433"/>
  <c r="R201" i="433"/>
  <c r="Q201" i="433"/>
  <c r="C201" i="433"/>
  <c r="T201" i="433" s="1"/>
  <c r="B201" i="433"/>
  <c r="P201" i="433" s="1"/>
  <c r="AJ200" i="433"/>
  <c r="V200" i="433"/>
  <c r="U200" i="433"/>
  <c r="S200" i="433"/>
  <c r="R200" i="433"/>
  <c r="Q200" i="433"/>
  <c r="C200" i="433"/>
  <c r="T200" i="433" s="1"/>
  <c r="B200" i="433"/>
  <c r="P200" i="433" s="1"/>
  <c r="AJ199" i="433"/>
  <c r="V199" i="433"/>
  <c r="U199" i="433"/>
  <c r="S199" i="433"/>
  <c r="R199" i="433"/>
  <c r="Q199" i="433"/>
  <c r="C199" i="433"/>
  <c r="T199" i="433" s="1"/>
  <c r="B199" i="433"/>
  <c r="P199" i="433" s="1"/>
  <c r="AJ198" i="433"/>
  <c r="V198" i="433"/>
  <c r="U198" i="433"/>
  <c r="S198" i="433"/>
  <c r="R198" i="433"/>
  <c r="Q198" i="433"/>
  <c r="C198" i="433"/>
  <c r="T198" i="433" s="1"/>
  <c r="B198" i="433"/>
  <c r="P198" i="433" s="1"/>
  <c r="AJ197" i="433"/>
  <c r="V197" i="433"/>
  <c r="U197" i="433"/>
  <c r="S197" i="433"/>
  <c r="R197" i="433"/>
  <c r="Q197" i="433"/>
  <c r="C197" i="433"/>
  <c r="T197" i="433" s="1"/>
  <c r="B197" i="433"/>
  <c r="P197" i="433" s="1"/>
  <c r="AJ196" i="433"/>
  <c r="V196" i="433"/>
  <c r="U196" i="433"/>
  <c r="T196" i="433"/>
  <c r="S196" i="433"/>
  <c r="R196" i="433"/>
  <c r="Q196" i="433"/>
  <c r="C196" i="433"/>
  <c r="B196" i="433"/>
  <c r="P196" i="433" s="1"/>
  <c r="AJ195" i="433"/>
  <c r="V195" i="433"/>
  <c r="U195" i="433"/>
  <c r="S195" i="433"/>
  <c r="R195" i="433"/>
  <c r="Q195" i="433"/>
  <c r="C195" i="433"/>
  <c r="T195" i="433" s="1"/>
  <c r="B195" i="433"/>
  <c r="P195" i="433" s="1"/>
  <c r="AJ194" i="433"/>
  <c r="V194" i="433"/>
  <c r="U194" i="433"/>
  <c r="S194" i="433"/>
  <c r="R194" i="433"/>
  <c r="Q194" i="433"/>
  <c r="C194" i="433"/>
  <c r="T194" i="433" s="1"/>
  <c r="B194" i="433"/>
  <c r="P194" i="433" s="1"/>
  <c r="AJ193" i="433"/>
  <c r="V193" i="433"/>
  <c r="U193" i="433"/>
  <c r="T193" i="433"/>
  <c r="S193" i="433"/>
  <c r="R193" i="433"/>
  <c r="Q193" i="433"/>
  <c r="C193" i="433"/>
  <c r="B193" i="433"/>
  <c r="P193" i="433" s="1"/>
  <c r="AJ192" i="433"/>
  <c r="V192" i="433"/>
  <c r="U192" i="433"/>
  <c r="S192" i="433"/>
  <c r="R192" i="433"/>
  <c r="Q192" i="433"/>
  <c r="C192" i="433"/>
  <c r="T192" i="433" s="1"/>
  <c r="B192" i="433"/>
  <c r="P192" i="433" s="1"/>
  <c r="AJ191" i="433"/>
  <c r="V191" i="433"/>
  <c r="U191" i="433"/>
  <c r="T191" i="433"/>
  <c r="S191" i="433"/>
  <c r="R191" i="433"/>
  <c r="Q191" i="433"/>
  <c r="P191" i="433"/>
  <c r="C191" i="433"/>
  <c r="B191" i="433"/>
  <c r="AJ190" i="433"/>
  <c r="V190" i="433"/>
  <c r="U190" i="433"/>
  <c r="S190" i="433"/>
  <c r="R190" i="433"/>
  <c r="Q190" i="433"/>
  <c r="P190" i="433"/>
  <c r="C190" i="433"/>
  <c r="T190" i="433" s="1"/>
  <c r="B190" i="433"/>
  <c r="AJ189" i="433"/>
  <c r="V189" i="433"/>
  <c r="U189" i="433"/>
  <c r="S189" i="433"/>
  <c r="R189" i="433"/>
  <c r="Q189" i="433"/>
  <c r="C189" i="433"/>
  <c r="T189" i="433" s="1"/>
  <c r="B189" i="433"/>
  <c r="P189" i="433" s="1"/>
  <c r="AJ188" i="433"/>
  <c r="V188" i="433"/>
  <c r="U188" i="433"/>
  <c r="S188" i="433"/>
  <c r="R188" i="433"/>
  <c r="Q188" i="433"/>
  <c r="C188" i="433"/>
  <c r="T188" i="433" s="1"/>
  <c r="B188" i="433"/>
  <c r="P188" i="433" s="1"/>
  <c r="AJ187" i="433"/>
  <c r="V187" i="433"/>
  <c r="U187" i="433"/>
  <c r="S187" i="433"/>
  <c r="R187" i="433"/>
  <c r="Q187" i="433"/>
  <c r="C187" i="433"/>
  <c r="T187" i="433" s="1"/>
  <c r="B187" i="433"/>
  <c r="P187" i="433" s="1"/>
  <c r="AJ186" i="433"/>
  <c r="V186" i="433"/>
  <c r="U186" i="433"/>
  <c r="S186" i="433"/>
  <c r="R186" i="433"/>
  <c r="Q186" i="433"/>
  <c r="C186" i="433"/>
  <c r="T186" i="433" s="1"/>
  <c r="B186" i="433"/>
  <c r="P186" i="433" s="1"/>
  <c r="AJ185" i="433"/>
  <c r="V185" i="433"/>
  <c r="U185" i="433"/>
  <c r="S185" i="433"/>
  <c r="R185" i="433"/>
  <c r="Q185" i="433"/>
  <c r="C185" i="433"/>
  <c r="T185" i="433" s="1"/>
  <c r="B185" i="433"/>
  <c r="P185" i="433" s="1"/>
  <c r="AJ184" i="433"/>
  <c r="V184" i="433"/>
  <c r="U184" i="433"/>
  <c r="S184" i="433"/>
  <c r="R184" i="433"/>
  <c r="Q184" i="433"/>
  <c r="C184" i="433"/>
  <c r="T184" i="433" s="1"/>
  <c r="B184" i="433"/>
  <c r="P184" i="433" s="1"/>
  <c r="AJ183" i="433"/>
  <c r="V183" i="433"/>
  <c r="U183" i="433"/>
  <c r="S183" i="433"/>
  <c r="R183" i="433"/>
  <c r="Q183" i="433"/>
  <c r="C183" i="433"/>
  <c r="T183" i="433" s="1"/>
  <c r="B183" i="433"/>
  <c r="P183" i="433" s="1"/>
  <c r="AJ182" i="433"/>
  <c r="V182" i="433"/>
  <c r="U182" i="433"/>
  <c r="S182" i="433"/>
  <c r="R182" i="433"/>
  <c r="Q182" i="433"/>
  <c r="C182" i="433"/>
  <c r="T182" i="433" s="1"/>
  <c r="B182" i="433"/>
  <c r="P182" i="433" s="1"/>
  <c r="AJ181" i="433"/>
  <c r="V181" i="433"/>
  <c r="U181" i="433"/>
  <c r="T181" i="433"/>
  <c r="S181" i="433"/>
  <c r="R181" i="433"/>
  <c r="Q181" i="433"/>
  <c r="C181" i="433"/>
  <c r="B181" i="433"/>
  <c r="P181" i="433" s="1"/>
  <c r="AJ180" i="433"/>
  <c r="V180" i="433"/>
  <c r="U180" i="433"/>
  <c r="T180" i="433"/>
  <c r="S180" i="433"/>
  <c r="R180" i="433"/>
  <c r="Q180" i="433"/>
  <c r="C180" i="433"/>
  <c r="B180" i="433"/>
  <c r="P180" i="433" s="1"/>
  <c r="AJ179" i="433"/>
  <c r="V179" i="433"/>
  <c r="U179" i="433"/>
  <c r="S179" i="433"/>
  <c r="R179" i="433"/>
  <c r="Q179" i="433"/>
  <c r="C179" i="433"/>
  <c r="T179" i="433" s="1"/>
  <c r="B179" i="433"/>
  <c r="P179" i="433" s="1"/>
  <c r="AJ178" i="433"/>
  <c r="V178" i="433"/>
  <c r="U178" i="433"/>
  <c r="S178" i="433"/>
  <c r="R178" i="433"/>
  <c r="Q178" i="433"/>
  <c r="P178" i="433"/>
  <c r="C178" i="433"/>
  <c r="T178" i="433" s="1"/>
  <c r="B178" i="433"/>
  <c r="AJ177" i="433"/>
  <c r="V177" i="433"/>
  <c r="U177" i="433"/>
  <c r="S177" i="433"/>
  <c r="R177" i="433"/>
  <c r="Q177" i="433"/>
  <c r="P177" i="433"/>
  <c r="C177" i="433"/>
  <c r="T177" i="433" s="1"/>
  <c r="B177" i="433"/>
  <c r="AJ176" i="433"/>
  <c r="V176" i="433"/>
  <c r="U176" i="433"/>
  <c r="S176" i="433"/>
  <c r="R176" i="433"/>
  <c r="Q176" i="433"/>
  <c r="C176" i="433"/>
  <c r="T176" i="433" s="1"/>
  <c r="B176" i="433"/>
  <c r="P176" i="433" s="1"/>
  <c r="AJ175" i="433"/>
  <c r="V175" i="433"/>
  <c r="U175" i="433"/>
  <c r="T175" i="433"/>
  <c r="S175" i="433"/>
  <c r="R175" i="433"/>
  <c r="Q175" i="433"/>
  <c r="P175" i="433"/>
  <c r="C175" i="433"/>
  <c r="B175" i="433"/>
  <c r="AJ174" i="433"/>
  <c r="V174" i="433"/>
  <c r="U174" i="433"/>
  <c r="S174" i="433"/>
  <c r="R174" i="433"/>
  <c r="Q174" i="433"/>
  <c r="C174" i="433"/>
  <c r="T174" i="433" s="1"/>
  <c r="B174" i="433"/>
  <c r="P174" i="433" s="1"/>
  <c r="AJ173" i="433"/>
  <c r="V173" i="433"/>
  <c r="U173" i="433"/>
  <c r="S173" i="433"/>
  <c r="R173" i="433"/>
  <c r="Q173" i="433"/>
  <c r="C173" i="433"/>
  <c r="T173" i="433" s="1"/>
  <c r="B173" i="433"/>
  <c r="P173" i="433" s="1"/>
  <c r="AJ172" i="433"/>
  <c r="V172" i="433"/>
  <c r="U172" i="433"/>
  <c r="S172" i="433"/>
  <c r="R172" i="433"/>
  <c r="Q172" i="433"/>
  <c r="C172" i="433"/>
  <c r="T172" i="433" s="1"/>
  <c r="B172" i="433"/>
  <c r="P172" i="433" s="1"/>
  <c r="AJ171" i="433"/>
  <c r="V171" i="433"/>
  <c r="U171" i="433"/>
  <c r="S171" i="433"/>
  <c r="R171" i="433"/>
  <c r="Q171" i="433"/>
  <c r="C171" i="433"/>
  <c r="T171" i="433" s="1"/>
  <c r="B171" i="433"/>
  <c r="P171" i="433" s="1"/>
  <c r="AJ170" i="433"/>
  <c r="V170" i="433"/>
  <c r="U170" i="433"/>
  <c r="T170" i="433"/>
  <c r="S170" i="433"/>
  <c r="R170" i="433"/>
  <c r="Q170" i="433"/>
  <c r="C170" i="433"/>
  <c r="B170" i="433"/>
  <c r="P170" i="433" s="1"/>
  <c r="AJ169" i="433"/>
  <c r="V169" i="433"/>
  <c r="U169" i="433"/>
  <c r="S169" i="433"/>
  <c r="R169" i="433"/>
  <c r="Q169" i="433"/>
  <c r="C169" i="433"/>
  <c r="T169" i="433" s="1"/>
  <c r="B169" i="433"/>
  <c r="P169" i="433" s="1"/>
  <c r="AJ168" i="433"/>
  <c r="V168" i="433"/>
  <c r="U168" i="433"/>
  <c r="S168" i="433"/>
  <c r="R168" i="433"/>
  <c r="Q168" i="433"/>
  <c r="C168" i="433"/>
  <c r="T168" i="433" s="1"/>
  <c r="B168" i="433"/>
  <c r="P168" i="433" s="1"/>
  <c r="AJ167" i="433"/>
  <c r="V167" i="433"/>
  <c r="U167" i="433"/>
  <c r="T167" i="433"/>
  <c r="S167" i="433"/>
  <c r="R167" i="433"/>
  <c r="Q167" i="433"/>
  <c r="C167" i="433"/>
  <c r="B167" i="433"/>
  <c r="P167" i="433" s="1"/>
  <c r="AJ166" i="433"/>
  <c r="V166" i="433"/>
  <c r="U166" i="433"/>
  <c r="S166" i="433"/>
  <c r="R166" i="433"/>
  <c r="Q166" i="433"/>
  <c r="C166" i="433"/>
  <c r="T166" i="433" s="1"/>
  <c r="B166" i="433"/>
  <c r="P166" i="433" s="1"/>
  <c r="AJ165" i="433"/>
  <c r="V165" i="433"/>
  <c r="U165" i="433"/>
  <c r="S165" i="433"/>
  <c r="R165" i="433"/>
  <c r="Q165" i="433"/>
  <c r="C165" i="433"/>
  <c r="T165" i="433" s="1"/>
  <c r="B165" i="433"/>
  <c r="P165" i="433" s="1"/>
  <c r="AJ164" i="433"/>
  <c r="V164" i="433"/>
  <c r="U164" i="433"/>
  <c r="S164" i="433"/>
  <c r="R164" i="433"/>
  <c r="Q164" i="433"/>
  <c r="C164" i="433"/>
  <c r="T164" i="433" s="1"/>
  <c r="B164" i="433"/>
  <c r="P164" i="433" s="1"/>
  <c r="AJ163" i="433"/>
  <c r="V163" i="433"/>
  <c r="U163" i="433"/>
  <c r="T163" i="433"/>
  <c r="S163" i="433"/>
  <c r="R163" i="433"/>
  <c r="Q163" i="433"/>
  <c r="C163" i="433"/>
  <c r="B163" i="433"/>
  <c r="P163" i="433" s="1"/>
  <c r="AJ162" i="433"/>
  <c r="V162" i="433"/>
  <c r="U162" i="433"/>
  <c r="S162" i="433"/>
  <c r="R162" i="433"/>
  <c r="Q162" i="433"/>
  <c r="C162" i="433"/>
  <c r="T162" i="433" s="1"/>
  <c r="B162" i="433"/>
  <c r="P162" i="433" s="1"/>
  <c r="AJ161" i="433"/>
  <c r="V161" i="433"/>
  <c r="U161" i="433"/>
  <c r="S161" i="433"/>
  <c r="R161" i="433"/>
  <c r="Q161" i="433"/>
  <c r="C161" i="433"/>
  <c r="T161" i="433" s="1"/>
  <c r="B161" i="433"/>
  <c r="P161" i="433" s="1"/>
  <c r="AJ160" i="433"/>
  <c r="V160" i="433"/>
  <c r="U160" i="433"/>
  <c r="S160" i="433"/>
  <c r="R160" i="433"/>
  <c r="Q160" i="433"/>
  <c r="C160" i="433"/>
  <c r="T160" i="433" s="1"/>
  <c r="B160" i="433"/>
  <c r="P160" i="433" s="1"/>
  <c r="AJ159" i="433"/>
  <c r="V159" i="433"/>
  <c r="U159" i="433"/>
  <c r="T159" i="433"/>
  <c r="S159" i="433"/>
  <c r="R159" i="433"/>
  <c r="Q159" i="433"/>
  <c r="C159" i="433"/>
  <c r="B159" i="433"/>
  <c r="P159" i="433" s="1"/>
  <c r="AJ158" i="433"/>
  <c r="V158" i="433"/>
  <c r="U158" i="433"/>
  <c r="S158" i="433"/>
  <c r="R158" i="433"/>
  <c r="Q158" i="433"/>
  <c r="C158" i="433"/>
  <c r="T158" i="433" s="1"/>
  <c r="B158" i="433"/>
  <c r="P158" i="433" s="1"/>
  <c r="AJ157" i="433"/>
  <c r="V157" i="433"/>
  <c r="U157" i="433"/>
  <c r="S157" i="433"/>
  <c r="R157" i="433"/>
  <c r="Q157" i="433"/>
  <c r="C157" i="433"/>
  <c r="T157" i="433" s="1"/>
  <c r="B157" i="433"/>
  <c r="P157" i="433" s="1"/>
  <c r="AJ156" i="433"/>
  <c r="V156" i="433"/>
  <c r="U156" i="433"/>
  <c r="T156" i="433"/>
  <c r="S156" i="433"/>
  <c r="R156" i="433"/>
  <c r="Q156" i="433"/>
  <c r="C156" i="433"/>
  <c r="B156" i="433"/>
  <c r="P156" i="433" s="1"/>
  <c r="AJ155" i="433"/>
  <c r="V155" i="433"/>
  <c r="U155" i="433"/>
  <c r="T155" i="433"/>
  <c r="S155" i="433"/>
  <c r="R155" i="433"/>
  <c r="Q155" i="433"/>
  <c r="C155" i="433"/>
  <c r="B155" i="433"/>
  <c r="P155" i="433" s="1"/>
  <c r="AJ154" i="433"/>
  <c r="V154" i="433"/>
  <c r="U154" i="433"/>
  <c r="T154" i="433"/>
  <c r="S154" i="433"/>
  <c r="R154" i="433"/>
  <c r="Q154" i="433"/>
  <c r="P154" i="433"/>
  <c r="C154" i="433"/>
  <c r="B154" i="433"/>
  <c r="AJ153" i="433"/>
  <c r="V153" i="433"/>
  <c r="U153" i="433"/>
  <c r="S153" i="433"/>
  <c r="R153" i="433"/>
  <c r="Q153" i="433"/>
  <c r="C153" i="433"/>
  <c r="T153" i="433" s="1"/>
  <c r="B153" i="433"/>
  <c r="P153" i="433" s="1"/>
  <c r="AJ152" i="433"/>
  <c r="V152" i="433"/>
  <c r="U152" i="433"/>
  <c r="S152" i="433"/>
  <c r="R152" i="433"/>
  <c r="Q152" i="433"/>
  <c r="P152" i="433"/>
  <c r="C152" i="433"/>
  <c r="T152" i="433" s="1"/>
  <c r="B152" i="433"/>
  <c r="AJ151" i="433"/>
  <c r="V151" i="433"/>
  <c r="U151" i="433"/>
  <c r="S151" i="433"/>
  <c r="R151" i="433"/>
  <c r="Q151" i="433"/>
  <c r="C151" i="433"/>
  <c r="T151" i="433" s="1"/>
  <c r="B151" i="433"/>
  <c r="P151" i="433" s="1"/>
  <c r="AJ150" i="433"/>
  <c r="V150" i="433"/>
  <c r="U150" i="433"/>
  <c r="S150" i="433"/>
  <c r="R150" i="433"/>
  <c r="Q150" i="433"/>
  <c r="C150" i="433"/>
  <c r="T150" i="433" s="1"/>
  <c r="B150" i="433"/>
  <c r="P150" i="433" s="1"/>
  <c r="AJ149" i="433"/>
  <c r="V149" i="433"/>
  <c r="U149" i="433"/>
  <c r="S149" i="433"/>
  <c r="R149" i="433"/>
  <c r="Q149" i="433"/>
  <c r="C149" i="433"/>
  <c r="T149" i="433" s="1"/>
  <c r="B149" i="433"/>
  <c r="P149" i="433" s="1"/>
  <c r="AJ148" i="433"/>
  <c r="V148" i="433"/>
  <c r="U148" i="433"/>
  <c r="T148" i="433"/>
  <c r="S148" i="433"/>
  <c r="R148" i="433"/>
  <c r="Q148" i="433"/>
  <c r="C148" i="433"/>
  <c r="B148" i="433"/>
  <c r="P148" i="433" s="1"/>
  <c r="AJ147" i="433"/>
  <c r="V147" i="433"/>
  <c r="U147" i="433"/>
  <c r="T147" i="433"/>
  <c r="S147" i="433"/>
  <c r="R147" i="433"/>
  <c r="Q147" i="433"/>
  <c r="C147" i="433"/>
  <c r="B147" i="433"/>
  <c r="P147" i="433" s="1"/>
  <c r="AJ146" i="433"/>
  <c r="V146" i="433"/>
  <c r="U146" i="433"/>
  <c r="S146" i="433"/>
  <c r="R146" i="433"/>
  <c r="Q146" i="433"/>
  <c r="C146" i="433"/>
  <c r="T146" i="433" s="1"/>
  <c r="B146" i="433"/>
  <c r="P146" i="433" s="1"/>
  <c r="AJ145" i="433"/>
  <c r="V145" i="433"/>
  <c r="U145" i="433"/>
  <c r="T145" i="433"/>
  <c r="S145" i="433"/>
  <c r="R145" i="433"/>
  <c r="Q145" i="433"/>
  <c r="C145" i="433"/>
  <c r="B145" i="433"/>
  <c r="P145" i="433" s="1"/>
  <c r="AJ144" i="433"/>
  <c r="V144" i="433"/>
  <c r="U144" i="433"/>
  <c r="S144" i="433"/>
  <c r="R144" i="433"/>
  <c r="Q144" i="433"/>
  <c r="C144" i="433"/>
  <c r="T144" i="433" s="1"/>
  <c r="B144" i="433"/>
  <c r="P144" i="433" s="1"/>
  <c r="AJ143" i="433"/>
  <c r="V143" i="433"/>
  <c r="U143" i="433"/>
  <c r="T143" i="433"/>
  <c r="S143" i="433"/>
  <c r="R143" i="433"/>
  <c r="Q143" i="433"/>
  <c r="P143" i="433"/>
  <c r="C143" i="433"/>
  <c r="B143" i="433"/>
  <c r="AJ142" i="433"/>
  <c r="V142" i="433"/>
  <c r="U142" i="433"/>
  <c r="T142" i="433"/>
  <c r="S142" i="433"/>
  <c r="R142" i="433"/>
  <c r="Q142" i="433"/>
  <c r="C142" i="433"/>
  <c r="B142" i="433"/>
  <c r="P142" i="433" s="1"/>
  <c r="AJ141" i="433"/>
  <c r="V141" i="433"/>
  <c r="U141" i="433"/>
  <c r="T141" i="433"/>
  <c r="S141" i="433"/>
  <c r="R141" i="433"/>
  <c r="Q141" i="433"/>
  <c r="C141" i="433"/>
  <c r="B141" i="433"/>
  <c r="P141" i="433" s="1"/>
  <c r="AJ140" i="433"/>
  <c r="V140" i="433"/>
  <c r="U140" i="433"/>
  <c r="T140" i="433"/>
  <c r="S140" i="433"/>
  <c r="R140" i="433"/>
  <c r="Q140" i="433"/>
  <c r="C140" i="433"/>
  <c r="B140" i="433"/>
  <c r="P140" i="433" s="1"/>
  <c r="AJ139" i="433"/>
  <c r="V139" i="433"/>
  <c r="U139" i="433"/>
  <c r="S139" i="433"/>
  <c r="R139" i="433"/>
  <c r="Q139" i="433"/>
  <c r="C139" i="433"/>
  <c r="T139" i="433" s="1"/>
  <c r="B139" i="433"/>
  <c r="P139" i="433" s="1"/>
  <c r="AJ138" i="433"/>
  <c r="V138" i="433"/>
  <c r="U138" i="433"/>
  <c r="S138" i="433"/>
  <c r="R138" i="433"/>
  <c r="Q138" i="433"/>
  <c r="P138" i="433"/>
  <c r="C138" i="433"/>
  <c r="T138" i="433" s="1"/>
  <c r="B138" i="433"/>
  <c r="AJ137" i="433"/>
  <c r="V137" i="433"/>
  <c r="U137" i="433"/>
  <c r="S137" i="433"/>
  <c r="R137" i="433"/>
  <c r="Q137" i="433"/>
  <c r="C137" i="433"/>
  <c r="T137" i="433" s="1"/>
  <c r="B137" i="433"/>
  <c r="P137" i="433" s="1"/>
  <c r="AJ136" i="433"/>
  <c r="V136" i="433"/>
  <c r="U136" i="433"/>
  <c r="S136" i="433"/>
  <c r="R136" i="433"/>
  <c r="Q136" i="433"/>
  <c r="C136" i="433"/>
  <c r="T136" i="433" s="1"/>
  <c r="B136" i="433"/>
  <c r="P136" i="433" s="1"/>
  <c r="AJ135" i="433"/>
  <c r="V135" i="433"/>
  <c r="U135" i="433"/>
  <c r="S135" i="433"/>
  <c r="R135" i="433"/>
  <c r="Q135" i="433"/>
  <c r="C135" i="433"/>
  <c r="T135" i="433" s="1"/>
  <c r="B135" i="433"/>
  <c r="P135" i="433" s="1"/>
  <c r="AJ134" i="433"/>
  <c r="V134" i="433"/>
  <c r="U134" i="433"/>
  <c r="S134" i="433"/>
  <c r="R134" i="433"/>
  <c r="Q134" i="433"/>
  <c r="C134" i="433"/>
  <c r="T134" i="433" s="1"/>
  <c r="B134" i="433"/>
  <c r="P134" i="433" s="1"/>
  <c r="AJ133" i="433"/>
  <c r="V133" i="433"/>
  <c r="U133" i="433"/>
  <c r="S133" i="433"/>
  <c r="R133" i="433"/>
  <c r="Q133" i="433"/>
  <c r="C133" i="433"/>
  <c r="T133" i="433" s="1"/>
  <c r="B133" i="433"/>
  <c r="P133" i="433" s="1"/>
  <c r="AJ132" i="433"/>
  <c r="V132" i="433"/>
  <c r="U132" i="433"/>
  <c r="S132" i="433"/>
  <c r="R132" i="433"/>
  <c r="Q132" i="433"/>
  <c r="C132" i="433"/>
  <c r="T132" i="433" s="1"/>
  <c r="B132" i="433"/>
  <c r="P132" i="433" s="1"/>
  <c r="AJ131" i="433"/>
  <c r="V131" i="433"/>
  <c r="U131" i="433"/>
  <c r="S131" i="433"/>
  <c r="R131" i="433"/>
  <c r="Q131" i="433"/>
  <c r="P131" i="433"/>
  <c r="C131" i="433"/>
  <c r="T131" i="433" s="1"/>
  <c r="B131" i="433"/>
  <c r="AJ130" i="433"/>
  <c r="V130" i="433"/>
  <c r="U130" i="433"/>
  <c r="S130" i="433"/>
  <c r="R130" i="433"/>
  <c r="Q130" i="433"/>
  <c r="C130" i="433"/>
  <c r="T130" i="433" s="1"/>
  <c r="B130" i="433"/>
  <c r="P130" i="433" s="1"/>
  <c r="AJ129" i="433"/>
  <c r="V129" i="433"/>
  <c r="U129" i="433"/>
  <c r="S129" i="433"/>
  <c r="R129" i="433"/>
  <c r="Q129" i="433"/>
  <c r="C129" i="433"/>
  <c r="T129" i="433" s="1"/>
  <c r="B129" i="433"/>
  <c r="P129" i="433" s="1"/>
  <c r="AJ128" i="433"/>
  <c r="V128" i="433"/>
  <c r="U128" i="433"/>
  <c r="S128" i="433"/>
  <c r="R128" i="433"/>
  <c r="Q128" i="433"/>
  <c r="C128" i="433"/>
  <c r="T128" i="433" s="1"/>
  <c r="B128" i="433"/>
  <c r="P128" i="433" s="1"/>
  <c r="AJ127" i="433"/>
  <c r="V127" i="433"/>
  <c r="U127" i="433"/>
  <c r="T127" i="433"/>
  <c r="S127" i="433"/>
  <c r="R127" i="433"/>
  <c r="Q127" i="433"/>
  <c r="P127" i="433"/>
  <c r="C127" i="433"/>
  <c r="B127" i="433"/>
  <c r="AJ126" i="433"/>
  <c r="V126" i="433"/>
  <c r="U126" i="433"/>
  <c r="S126" i="433"/>
  <c r="R126" i="433"/>
  <c r="Q126" i="433"/>
  <c r="C126" i="433"/>
  <c r="T126" i="433" s="1"/>
  <c r="B126" i="433"/>
  <c r="P126" i="433" s="1"/>
  <c r="AJ125" i="433"/>
  <c r="V125" i="433"/>
  <c r="U125" i="433"/>
  <c r="S125" i="433"/>
  <c r="R125" i="433"/>
  <c r="Q125" i="433"/>
  <c r="C125" i="433"/>
  <c r="T125" i="433" s="1"/>
  <c r="B125" i="433"/>
  <c r="P125" i="433" s="1"/>
  <c r="AJ124" i="433"/>
  <c r="V124" i="433"/>
  <c r="U124" i="433"/>
  <c r="S124" i="433"/>
  <c r="R124" i="433"/>
  <c r="Q124" i="433"/>
  <c r="C124" i="433"/>
  <c r="T124" i="433" s="1"/>
  <c r="B124" i="433"/>
  <c r="P124" i="433" s="1"/>
  <c r="AJ123" i="433"/>
  <c r="V123" i="433"/>
  <c r="U123" i="433"/>
  <c r="S123" i="433"/>
  <c r="R123" i="433"/>
  <c r="Q123" i="433"/>
  <c r="P123" i="433"/>
  <c r="C123" i="433"/>
  <c r="T123" i="433" s="1"/>
  <c r="B123" i="433"/>
  <c r="AJ122" i="433"/>
  <c r="V122" i="433"/>
  <c r="U122" i="433"/>
  <c r="T122" i="433"/>
  <c r="S122" i="433"/>
  <c r="R122" i="433"/>
  <c r="Q122" i="433"/>
  <c r="C122" i="433"/>
  <c r="B122" i="433"/>
  <c r="P122" i="433" s="1"/>
  <c r="AJ121" i="433"/>
  <c r="V121" i="433"/>
  <c r="U121" i="433"/>
  <c r="S121" i="433"/>
  <c r="R121" i="433"/>
  <c r="Q121" i="433"/>
  <c r="C121" i="433"/>
  <c r="T121" i="433" s="1"/>
  <c r="B121" i="433"/>
  <c r="P121" i="433" s="1"/>
  <c r="AJ120" i="433"/>
  <c r="V120" i="433"/>
  <c r="U120" i="433"/>
  <c r="S120" i="433"/>
  <c r="R120" i="433"/>
  <c r="Q120" i="433"/>
  <c r="C120" i="433"/>
  <c r="T120" i="433" s="1"/>
  <c r="B120" i="433"/>
  <c r="P120" i="433" s="1"/>
  <c r="AJ119" i="433"/>
  <c r="V119" i="433"/>
  <c r="U119" i="433"/>
  <c r="T119" i="433"/>
  <c r="S119" i="433"/>
  <c r="R119" i="433"/>
  <c r="Q119" i="433"/>
  <c r="C119" i="433"/>
  <c r="B119" i="433"/>
  <c r="P119" i="433" s="1"/>
  <c r="AJ118" i="433"/>
  <c r="V118" i="433"/>
  <c r="U118" i="433"/>
  <c r="S118" i="433"/>
  <c r="R118" i="433"/>
  <c r="Q118" i="433"/>
  <c r="C118" i="433"/>
  <c r="T118" i="433" s="1"/>
  <c r="B118" i="433"/>
  <c r="P118" i="433" s="1"/>
  <c r="AJ117" i="433"/>
  <c r="V117" i="433"/>
  <c r="U117" i="433"/>
  <c r="S117" i="433"/>
  <c r="R117" i="433"/>
  <c r="Q117" i="433"/>
  <c r="C117" i="433"/>
  <c r="T117" i="433" s="1"/>
  <c r="B117" i="433"/>
  <c r="P117" i="433" s="1"/>
  <c r="AJ116" i="433"/>
  <c r="V116" i="433"/>
  <c r="U116" i="433"/>
  <c r="S116" i="433"/>
  <c r="R116" i="433"/>
  <c r="Q116" i="433"/>
  <c r="C116" i="433"/>
  <c r="T116" i="433" s="1"/>
  <c r="B116" i="433"/>
  <c r="P116" i="433" s="1"/>
  <c r="AJ115" i="433"/>
  <c r="V115" i="433"/>
  <c r="U115" i="433"/>
  <c r="T115" i="433"/>
  <c r="S115" i="433"/>
  <c r="R115" i="433"/>
  <c r="Q115" i="433"/>
  <c r="P115" i="433"/>
  <c r="C115" i="433"/>
  <c r="B115" i="433"/>
  <c r="AJ114" i="433"/>
  <c r="V114" i="433"/>
  <c r="U114" i="433"/>
  <c r="T114" i="433"/>
  <c r="S114" i="433"/>
  <c r="R114" i="433"/>
  <c r="Q114" i="433"/>
  <c r="P114" i="433"/>
  <c r="C114" i="433"/>
  <c r="B114" i="433"/>
  <c r="AJ113" i="433"/>
  <c r="V113" i="433"/>
  <c r="U113" i="433"/>
  <c r="S113" i="433"/>
  <c r="R113" i="433"/>
  <c r="Q113" i="433"/>
  <c r="C113" i="433"/>
  <c r="T113" i="433" s="1"/>
  <c r="B113" i="433"/>
  <c r="P113" i="433" s="1"/>
  <c r="AJ112" i="433"/>
  <c r="V112" i="433"/>
  <c r="U112" i="433"/>
  <c r="S112" i="433"/>
  <c r="R112" i="433"/>
  <c r="Q112" i="433"/>
  <c r="C112" i="433"/>
  <c r="T112" i="433" s="1"/>
  <c r="B112" i="433"/>
  <c r="P112" i="433" s="1"/>
  <c r="AJ111" i="433"/>
  <c r="V111" i="433"/>
  <c r="U111" i="433"/>
  <c r="S111" i="433"/>
  <c r="R111" i="433"/>
  <c r="Q111" i="433"/>
  <c r="C111" i="433"/>
  <c r="T111" i="433" s="1"/>
  <c r="B111" i="433"/>
  <c r="P111" i="433" s="1"/>
  <c r="AJ110" i="433"/>
  <c r="V110" i="433"/>
  <c r="U110" i="433"/>
  <c r="S110" i="433"/>
  <c r="R110" i="433"/>
  <c r="Q110" i="433"/>
  <c r="C110" i="433"/>
  <c r="T110" i="433" s="1"/>
  <c r="B110" i="433"/>
  <c r="P110" i="433" s="1"/>
  <c r="AJ109" i="433"/>
  <c r="V109" i="433"/>
  <c r="U109" i="433"/>
  <c r="S109" i="433"/>
  <c r="R109" i="433"/>
  <c r="Q109" i="433"/>
  <c r="C109" i="433"/>
  <c r="T109" i="433" s="1"/>
  <c r="B109" i="433"/>
  <c r="P109" i="433" s="1"/>
  <c r="AJ108" i="433"/>
  <c r="V108" i="433"/>
  <c r="U108" i="433"/>
  <c r="S108" i="433"/>
  <c r="R108" i="433"/>
  <c r="Q108" i="433"/>
  <c r="C108" i="433"/>
  <c r="T108" i="433" s="1"/>
  <c r="B108" i="433"/>
  <c r="P108" i="433" s="1"/>
  <c r="AJ107" i="433"/>
  <c r="V107" i="433"/>
  <c r="U107" i="433"/>
  <c r="S107" i="433"/>
  <c r="R107" i="433"/>
  <c r="Q107" i="433"/>
  <c r="C107" i="433"/>
  <c r="T107" i="433" s="1"/>
  <c r="B107" i="433"/>
  <c r="P107" i="433" s="1"/>
  <c r="AJ106" i="433"/>
  <c r="V106" i="433"/>
  <c r="U106" i="433"/>
  <c r="S106" i="433"/>
  <c r="R106" i="433"/>
  <c r="Q106" i="433"/>
  <c r="C106" i="433"/>
  <c r="T106" i="433" s="1"/>
  <c r="B106" i="433"/>
  <c r="P106" i="433" s="1"/>
  <c r="AJ105" i="433"/>
  <c r="V105" i="433"/>
  <c r="U105" i="433"/>
  <c r="S105" i="433"/>
  <c r="R105" i="433"/>
  <c r="Q105" i="433"/>
  <c r="C105" i="433"/>
  <c r="T105" i="433" s="1"/>
  <c r="B105" i="433"/>
  <c r="P105" i="433" s="1"/>
  <c r="AJ104" i="433"/>
  <c r="V104" i="433"/>
  <c r="U104" i="433"/>
  <c r="S104" i="433"/>
  <c r="R104" i="433"/>
  <c r="Q104" i="433"/>
  <c r="C104" i="433"/>
  <c r="T104" i="433" s="1"/>
  <c r="B104" i="433"/>
  <c r="P104" i="433" s="1"/>
  <c r="AJ103" i="433"/>
  <c r="V103" i="433"/>
  <c r="U103" i="433"/>
  <c r="S103" i="433"/>
  <c r="R103" i="433"/>
  <c r="Q103" i="433"/>
  <c r="C103" i="433"/>
  <c r="T103" i="433" s="1"/>
  <c r="B103" i="433"/>
  <c r="P103" i="433" s="1"/>
  <c r="AJ102" i="433"/>
  <c r="V102" i="433"/>
  <c r="U102" i="433"/>
  <c r="S102" i="433"/>
  <c r="R102" i="433"/>
  <c r="Q102" i="433"/>
  <c r="C102" i="433"/>
  <c r="T102" i="433" s="1"/>
  <c r="B102" i="433"/>
  <c r="P102" i="433" s="1"/>
  <c r="AJ101" i="433"/>
  <c r="V101" i="433"/>
  <c r="U101" i="433"/>
  <c r="S101" i="433"/>
  <c r="R101" i="433"/>
  <c r="Q101" i="433"/>
  <c r="C101" i="433"/>
  <c r="T101" i="433" s="1"/>
  <c r="B101" i="433"/>
  <c r="P101" i="433" s="1"/>
  <c r="AJ100" i="433"/>
  <c r="V100" i="433"/>
  <c r="U100" i="433"/>
  <c r="S100" i="433"/>
  <c r="R100" i="433"/>
  <c r="Q100" i="433"/>
  <c r="C100" i="433"/>
  <c r="T100" i="433" s="1"/>
  <c r="B100" i="433"/>
  <c r="P100" i="433" s="1"/>
  <c r="AJ99" i="433"/>
  <c r="V99" i="433"/>
  <c r="U99" i="433"/>
  <c r="S99" i="433"/>
  <c r="R99" i="433"/>
  <c r="Q99" i="433"/>
  <c r="C99" i="433"/>
  <c r="T99" i="433" s="1"/>
  <c r="B99" i="433"/>
  <c r="P99" i="433" s="1"/>
  <c r="AJ98" i="433"/>
  <c r="V98" i="433"/>
  <c r="U98" i="433"/>
  <c r="S98" i="433"/>
  <c r="R98" i="433"/>
  <c r="Q98" i="433"/>
  <c r="P98" i="433"/>
  <c r="C98" i="433"/>
  <c r="T98" i="433" s="1"/>
  <c r="B98" i="433"/>
  <c r="AJ97" i="433"/>
  <c r="V97" i="433"/>
  <c r="U97" i="433"/>
  <c r="S97" i="433"/>
  <c r="R97" i="433"/>
  <c r="Q97" i="433"/>
  <c r="C97" i="433"/>
  <c r="T97" i="433" s="1"/>
  <c r="B97" i="433"/>
  <c r="P97" i="433" s="1"/>
  <c r="AJ96" i="433"/>
  <c r="V96" i="433"/>
  <c r="U96" i="433"/>
  <c r="S96" i="433"/>
  <c r="R96" i="433"/>
  <c r="Q96" i="433"/>
  <c r="P96" i="433"/>
  <c r="C96" i="433"/>
  <c r="T96" i="433" s="1"/>
  <c r="B96" i="433"/>
  <c r="AJ95" i="433"/>
  <c r="V95" i="433"/>
  <c r="U95" i="433"/>
  <c r="S95" i="433"/>
  <c r="R95" i="433"/>
  <c r="Q95" i="433"/>
  <c r="C95" i="433"/>
  <c r="T95" i="433" s="1"/>
  <c r="B95" i="433"/>
  <c r="P95" i="433" s="1"/>
  <c r="AJ94" i="433"/>
  <c r="V94" i="433"/>
  <c r="U94" i="433"/>
  <c r="S94" i="433"/>
  <c r="R94" i="433"/>
  <c r="Q94" i="433"/>
  <c r="C94" i="433"/>
  <c r="T94" i="433" s="1"/>
  <c r="B94" i="433"/>
  <c r="P94" i="433" s="1"/>
  <c r="AJ93" i="433"/>
  <c r="V93" i="433"/>
  <c r="U93" i="433"/>
  <c r="S93" i="433"/>
  <c r="R93" i="433"/>
  <c r="Q93" i="433"/>
  <c r="P93" i="433"/>
  <c r="C93" i="433"/>
  <c r="T93" i="433" s="1"/>
  <c r="B93" i="433"/>
  <c r="AJ92" i="433"/>
  <c r="V92" i="433"/>
  <c r="U92" i="433"/>
  <c r="S92" i="433"/>
  <c r="R92" i="433"/>
  <c r="Q92" i="433"/>
  <c r="C92" i="433"/>
  <c r="T92" i="433" s="1"/>
  <c r="B92" i="433"/>
  <c r="P92" i="433" s="1"/>
  <c r="AJ91" i="433"/>
  <c r="V91" i="433"/>
  <c r="U91" i="433"/>
  <c r="S91" i="433"/>
  <c r="R91" i="433"/>
  <c r="Q91" i="433"/>
  <c r="C91" i="433"/>
  <c r="T91" i="433" s="1"/>
  <c r="B91" i="433"/>
  <c r="P91" i="433" s="1"/>
  <c r="AJ90" i="433"/>
  <c r="V90" i="433"/>
  <c r="U90" i="433"/>
  <c r="S90" i="433"/>
  <c r="R90" i="433"/>
  <c r="Q90" i="433"/>
  <c r="C90" i="433"/>
  <c r="T90" i="433" s="1"/>
  <c r="B90" i="433"/>
  <c r="P90" i="433" s="1"/>
  <c r="AJ89" i="433"/>
  <c r="V89" i="433"/>
  <c r="U89" i="433"/>
  <c r="S89" i="433"/>
  <c r="R89" i="433"/>
  <c r="Q89" i="433"/>
  <c r="P89" i="433"/>
  <c r="C89" i="433"/>
  <c r="T89" i="433" s="1"/>
  <c r="B89" i="433"/>
  <c r="AJ88" i="433"/>
  <c r="V88" i="433"/>
  <c r="U88" i="433"/>
  <c r="S88" i="433"/>
  <c r="R88" i="433"/>
  <c r="Q88" i="433"/>
  <c r="C88" i="433"/>
  <c r="T88" i="433" s="1"/>
  <c r="B88" i="433"/>
  <c r="P88" i="433" s="1"/>
  <c r="AJ87" i="433"/>
  <c r="V87" i="433"/>
  <c r="U87" i="433"/>
  <c r="T87" i="433"/>
  <c r="S87" i="433"/>
  <c r="R87" i="433"/>
  <c r="Q87" i="433"/>
  <c r="P87" i="433"/>
  <c r="C87" i="433"/>
  <c r="B87" i="433"/>
  <c r="AJ86" i="433"/>
  <c r="V86" i="433"/>
  <c r="U86" i="433"/>
  <c r="S86" i="433"/>
  <c r="R86" i="433"/>
  <c r="Q86" i="433"/>
  <c r="P86" i="433"/>
  <c r="C86" i="433"/>
  <c r="T86" i="433" s="1"/>
  <c r="B86" i="433"/>
  <c r="AJ85" i="433"/>
  <c r="V85" i="433"/>
  <c r="U85" i="433"/>
  <c r="S85" i="433"/>
  <c r="R85" i="433"/>
  <c r="Q85" i="433"/>
  <c r="C85" i="433"/>
  <c r="T85" i="433" s="1"/>
  <c r="B85" i="433"/>
  <c r="P85" i="433" s="1"/>
  <c r="AJ84" i="433"/>
  <c r="V84" i="433"/>
  <c r="U84" i="433"/>
  <c r="S84" i="433"/>
  <c r="R84" i="433"/>
  <c r="Q84" i="433"/>
  <c r="C84" i="433"/>
  <c r="T84" i="433" s="1"/>
  <c r="B84" i="433"/>
  <c r="P84" i="433" s="1"/>
  <c r="AJ83" i="433"/>
  <c r="V83" i="433"/>
  <c r="U83" i="433"/>
  <c r="S83" i="433"/>
  <c r="R83" i="433"/>
  <c r="Q83" i="433"/>
  <c r="P83" i="433"/>
  <c r="C83" i="433"/>
  <c r="T83" i="433" s="1"/>
  <c r="B83" i="433"/>
  <c r="AJ82" i="433"/>
  <c r="V82" i="433"/>
  <c r="U82" i="433"/>
  <c r="S82" i="433"/>
  <c r="R82" i="433"/>
  <c r="Q82" i="433"/>
  <c r="C82" i="433"/>
  <c r="T82" i="433" s="1"/>
  <c r="B82" i="433"/>
  <c r="P82" i="433" s="1"/>
  <c r="AJ81" i="433"/>
  <c r="V81" i="433"/>
  <c r="U81" i="433"/>
  <c r="S81" i="433"/>
  <c r="R81" i="433"/>
  <c r="Q81" i="433"/>
  <c r="C81" i="433"/>
  <c r="T81" i="433" s="1"/>
  <c r="B81" i="433"/>
  <c r="P81" i="433" s="1"/>
  <c r="AJ80" i="433"/>
  <c r="V80" i="433"/>
  <c r="U80" i="433"/>
  <c r="S80" i="433"/>
  <c r="R80" i="433"/>
  <c r="Q80" i="433"/>
  <c r="C80" i="433"/>
  <c r="T80" i="433" s="1"/>
  <c r="B80" i="433"/>
  <c r="P80" i="433" s="1"/>
  <c r="AJ79" i="433"/>
  <c r="V79" i="433"/>
  <c r="U79" i="433"/>
  <c r="T79" i="433"/>
  <c r="S79" i="433"/>
  <c r="R79" i="433"/>
  <c r="Q79" i="433"/>
  <c r="P79" i="433"/>
  <c r="C79" i="433"/>
  <c r="B79" i="433"/>
  <c r="AJ78" i="433"/>
  <c r="V78" i="433"/>
  <c r="U78" i="433"/>
  <c r="S78" i="433"/>
  <c r="R78" i="433"/>
  <c r="Q78" i="433"/>
  <c r="C78" i="433"/>
  <c r="T78" i="433" s="1"/>
  <c r="B78" i="433"/>
  <c r="P78" i="433" s="1"/>
  <c r="AJ77" i="433"/>
  <c r="V77" i="433"/>
  <c r="U77" i="433"/>
  <c r="S77" i="433"/>
  <c r="R77" i="433"/>
  <c r="Q77" i="433"/>
  <c r="C77" i="433"/>
  <c r="T77" i="433" s="1"/>
  <c r="B77" i="433"/>
  <c r="P77" i="433" s="1"/>
  <c r="AJ76" i="433"/>
  <c r="V76" i="433"/>
  <c r="U76" i="433"/>
  <c r="S76" i="433"/>
  <c r="R76" i="433"/>
  <c r="Q76" i="433"/>
  <c r="C76" i="433"/>
  <c r="T76" i="433" s="1"/>
  <c r="B76" i="433"/>
  <c r="P76" i="433" s="1"/>
  <c r="AJ75" i="433"/>
  <c r="V75" i="433"/>
  <c r="U75" i="433"/>
  <c r="S75" i="433"/>
  <c r="R75" i="433"/>
  <c r="Q75" i="433"/>
  <c r="C75" i="433"/>
  <c r="T75" i="433" s="1"/>
  <c r="B75" i="433"/>
  <c r="P75" i="433" s="1"/>
  <c r="AJ74" i="433"/>
  <c r="V74" i="433"/>
  <c r="U74" i="433"/>
  <c r="S74" i="433"/>
  <c r="R74" i="433"/>
  <c r="Q74" i="433"/>
  <c r="C74" i="433"/>
  <c r="T74" i="433" s="1"/>
  <c r="B74" i="433"/>
  <c r="P74" i="433" s="1"/>
  <c r="AJ73" i="433"/>
  <c r="V73" i="433"/>
  <c r="U73" i="433"/>
  <c r="S73" i="433"/>
  <c r="R73" i="433"/>
  <c r="Q73" i="433"/>
  <c r="C73" i="433"/>
  <c r="T73" i="433" s="1"/>
  <c r="B73" i="433"/>
  <c r="P73" i="433" s="1"/>
  <c r="AJ72" i="433"/>
  <c r="V72" i="433"/>
  <c r="U72" i="433"/>
  <c r="S72" i="433"/>
  <c r="R72" i="433"/>
  <c r="Q72" i="433"/>
  <c r="C72" i="433"/>
  <c r="T72" i="433" s="1"/>
  <c r="B72" i="433"/>
  <c r="P72" i="433" s="1"/>
  <c r="AJ71" i="433"/>
  <c r="V71" i="433"/>
  <c r="U71" i="433"/>
  <c r="S71" i="433"/>
  <c r="R71" i="433"/>
  <c r="Q71" i="433"/>
  <c r="P71" i="433"/>
  <c r="C71" i="433"/>
  <c r="T71" i="433" s="1"/>
  <c r="B71" i="433"/>
  <c r="AJ70" i="433"/>
  <c r="V70" i="433"/>
  <c r="U70" i="433"/>
  <c r="S70" i="433"/>
  <c r="R70" i="433"/>
  <c r="Q70" i="433"/>
  <c r="C70" i="433"/>
  <c r="T70" i="433" s="1"/>
  <c r="B70" i="433"/>
  <c r="P70" i="433" s="1"/>
  <c r="AJ69" i="433"/>
  <c r="V69" i="433"/>
  <c r="U69" i="433"/>
  <c r="S69" i="433"/>
  <c r="R69" i="433"/>
  <c r="Q69" i="433"/>
  <c r="C69" i="433"/>
  <c r="T69" i="433" s="1"/>
  <c r="B69" i="433"/>
  <c r="P69" i="433" s="1"/>
  <c r="AJ68" i="433"/>
  <c r="V68" i="433"/>
  <c r="U68" i="433"/>
  <c r="S68" i="433"/>
  <c r="R68" i="433"/>
  <c r="Q68" i="433"/>
  <c r="C68" i="433"/>
  <c r="T68" i="433" s="1"/>
  <c r="B68" i="433"/>
  <c r="P68" i="433" s="1"/>
  <c r="AJ67" i="433"/>
  <c r="V67" i="433"/>
  <c r="U67" i="433"/>
  <c r="T67" i="433"/>
  <c r="S67" i="433"/>
  <c r="R67" i="433"/>
  <c r="Q67" i="433"/>
  <c r="C67" i="433"/>
  <c r="B67" i="433"/>
  <c r="P67" i="433" s="1"/>
  <c r="AJ66" i="433"/>
  <c r="V66" i="433"/>
  <c r="U66" i="433"/>
  <c r="S66" i="433"/>
  <c r="R66" i="433"/>
  <c r="Q66" i="433"/>
  <c r="C66" i="433"/>
  <c r="T66" i="433" s="1"/>
  <c r="B66" i="433"/>
  <c r="P66" i="433" s="1"/>
  <c r="AJ65" i="433"/>
  <c r="V65" i="433"/>
  <c r="U65" i="433"/>
  <c r="S65" i="433"/>
  <c r="R65" i="433"/>
  <c r="Q65" i="433"/>
  <c r="C65" i="433"/>
  <c r="T65" i="433" s="1"/>
  <c r="B65" i="433"/>
  <c r="P65" i="433" s="1"/>
  <c r="AJ64" i="433"/>
  <c r="V64" i="433"/>
  <c r="U64" i="433"/>
  <c r="S64" i="433"/>
  <c r="R64" i="433"/>
  <c r="Q64" i="433"/>
  <c r="C64" i="433"/>
  <c r="T64" i="433" s="1"/>
  <c r="B64" i="433"/>
  <c r="P64" i="433" s="1"/>
  <c r="AJ63" i="433"/>
  <c r="V63" i="433"/>
  <c r="U63" i="433"/>
  <c r="S63" i="433"/>
  <c r="R63" i="433"/>
  <c r="Q63" i="433"/>
  <c r="C63" i="433"/>
  <c r="T63" i="433" s="1"/>
  <c r="B63" i="433"/>
  <c r="P63" i="433" s="1"/>
  <c r="AJ62" i="433"/>
  <c r="V62" i="433"/>
  <c r="U62" i="433"/>
  <c r="T62" i="433"/>
  <c r="S62" i="433"/>
  <c r="R62" i="433"/>
  <c r="Q62" i="433"/>
  <c r="P62" i="433"/>
  <c r="C62" i="433"/>
  <c r="B62" i="433"/>
  <c r="AJ61" i="433"/>
  <c r="V61" i="433"/>
  <c r="U61" i="433"/>
  <c r="S61" i="433"/>
  <c r="R61" i="433"/>
  <c r="Q61" i="433"/>
  <c r="C61" i="433"/>
  <c r="T61" i="433" s="1"/>
  <c r="B61" i="433"/>
  <c r="P61" i="433" s="1"/>
  <c r="AJ60" i="433"/>
  <c r="V60" i="433"/>
  <c r="U60" i="433"/>
  <c r="S60" i="433"/>
  <c r="R60" i="433"/>
  <c r="Q60" i="433"/>
  <c r="C60" i="433"/>
  <c r="T60" i="433" s="1"/>
  <c r="B60" i="433"/>
  <c r="P60" i="433" s="1"/>
  <c r="AJ59" i="433"/>
  <c r="V59" i="433"/>
  <c r="U59" i="433"/>
  <c r="S59" i="433"/>
  <c r="R59" i="433"/>
  <c r="Q59" i="433"/>
  <c r="C59" i="433"/>
  <c r="T59" i="433" s="1"/>
  <c r="B59" i="433"/>
  <c r="P59" i="433" s="1"/>
  <c r="AJ58" i="433"/>
  <c r="V58" i="433"/>
  <c r="U58" i="433"/>
  <c r="T58" i="433"/>
  <c r="S58" i="433"/>
  <c r="R58" i="433"/>
  <c r="Q58" i="433"/>
  <c r="P58" i="433"/>
  <c r="C58" i="433"/>
  <c r="B58" i="433"/>
  <c r="AJ57" i="433"/>
  <c r="V57" i="433"/>
  <c r="U57" i="433"/>
  <c r="S57" i="433"/>
  <c r="R57" i="433"/>
  <c r="Q57" i="433"/>
  <c r="C57" i="433"/>
  <c r="T57" i="433" s="1"/>
  <c r="B57" i="433"/>
  <c r="P57" i="433" s="1"/>
  <c r="AJ56" i="433"/>
  <c r="V56" i="433"/>
  <c r="U56" i="433"/>
  <c r="S56" i="433"/>
  <c r="R56" i="433"/>
  <c r="Q56" i="433"/>
  <c r="C56" i="433"/>
  <c r="T56" i="433" s="1"/>
  <c r="B56" i="433"/>
  <c r="P56" i="433" s="1"/>
  <c r="AJ55" i="433"/>
  <c r="V55" i="433"/>
  <c r="U55" i="433"/>
  <c r="S55" i="433"/>
  <c r="R55" i="433"/>
  <c r="Q55" i="433"/>
  <c r="C55" i="433"/>
  <c r="T55" i="433" s="1"/>
  <c r="B55" i="433"/>
  <c r="P55" i="433" s="1"/>
  <c r="AJ54" i="433"/>
  <c r="V54" i="433"/>
  <c r="U54" i="433"/>
  <c r="S54" i="433"/>
  <c r="R54" i="433"/>
  <c r="Q54" i="433"/>
  <c r="C54" i="433"/>
  <c r="T54" i="433" s="1"/>
  <c r="B54" i="433"/>
  <c r="P54" i="433" s="1"/>
  <c r="AJ53" i="433"/>
  <c r="V53" i="433"/>
  <c r="U53" i="433"/>
  <c r="S53" i="433"/>
  <c r="R53" i="433"/>
  <c r="Q53" i="433"/>
  <c r="C53" i="433"/>
  <c r="T53" i="433" s="1"/>
  <c r="B53" i="433"/>
  <c r="P53" i="433" s="1"/>
  <c r="AJ52" i="433"/>
  <c r="V52" i="433"/>
  <c r="U52" i="433"/>
  <c r="S52" i="433"/>
  <c r="R52" i="433"/>
  <c r="Q52" i="433"/>
  <c r="C52" i="433"/>
  <c r="T52" i="433" s="1"/>
  <c r="B52" i="433"/>
  <c r="P52" i="433" s="1"/>
  <c r="AJ51" i="433"/>
  <c r="V51" i="433"/>
  <c r="U51" i="433"/>
  <c r="S51" i="433"/>
  <c r="R51" i="433"/>
  <c r="Q51" i="433"/>
  <c r="C51" i="433"/>
  <c r="T51" i="433" s="1"/>
  <c r="B51" i="433"/>
  <c r="P51" i="433" s="1"/>
  <c r="AJ50" i="433"/>
  <c r="V50" i="433"/>
  <c r="U50" i="433"/>
  <c r="S50" i="433"/>
  <c r="R50" i="433"/>
  <c r="Q50" i="433"/>
  <c r="P50" i="433"/>
  <c r="C50" i="433"/>
  <c r="T50" i="433" s="1"/>
  <c r="B50" i="433"/>
  <c r="AJ49" i="433"/>
  <c r="V49" i="433"/>
  <c r="U49" i="433"/>
  <c r="S49" i="433"/>
  <c r="R49" i="433"/>
  <c r="Q49" i="433"/>
  <c r="C49" i="433"/>
  <c r="T49" i="433" s="1"/>
  <c r="B49" i="433"/>
  <c r="P49" i="433" s="1"/>
  <c r="AJ48" i="433"/>
  <c r="V48" i="433"/>
  <c r="U48" i="433"/>
  <c r="S48" i="433"/>
  <c r="R48" i="433"/>
  <c r="Q48" i="433"/>
  <c r="P48" i="433"/>
  <c r="C48" i="433"/>
  <c r="T48" i="433" s="1"/>
  <c r="B48" i="433"/>
  <c r="AJ47" i="433"/>
  <c r="V47" i="433"/>
  <c r="U47" i="433"/>
  <c r="S47" i="433"/>
  <c r="R47" i="433"/>
  <c r="Q47" i="433"/>
  <c r="C47" i="433"/>
  <c r="T47" i="433" s="1"/>
  <c r="B47" i="433"/>
  <c r="P47" i="433" s="1"/>
  <c r="AJ46" i="433"/>
  <c r="V46" i="433"/>
  <c r="U46" i="433"/>
  <c r="T46" i="433"/>
  <c r="S46" i="433"/>
  <c r="R46" i="433"/>
  <c r="Q46" i="433"/>
  <c r="P46" i="433"/>
  <c r="C46" i="433"/>
  <c r="B46" i="433"/>
  <c r="AJ45" i="433"/>
  <c r="V45" i="433"/>
  <c r="U45" i="433"/>
  <c r="S45" i="433"/>
  <c r="R45" i="433"/>
  <c r="Q45" i="433"/>
  <c r="C45" i="433"/>
  <c r="T45" i="433" s="1"/>
  <c r="B45" i="433"/>
  <c r="P45" i="433" s="1"/>
  <c r="AJ44" i="433"/>
  <c r="V44" i="433"/>
  <c r="U44" i="433"/>
  <c r="S44" i="433"/>
  <c r="R44" i="433"/>
  <c r="Q44" i="433"/>
  <c r="C44" i="433"/>
  <c r="T44" i="433" s="1"/>
  <c r="B44" i="433"/>
  <c r="P44" i="433" s="1"/>
  <c r="AJ43" i="433"/>
  <c r="V43" i="433"/>
  <c r="U43" i="433"/>
  <c r="S43" i="433"/>
  <c r="R43" i="433"/>
  <c r="Q43" i="433"/>
  <c r="C43" i="433"/>
  <c r="T43" i="433" s="1"/>
  <c r="B43" i="433"/>
  <c r="P43" i="433" s="1"/>
  <c r="AJ42" i="433"/>
  <c r="V42" i="433"/>
  <c r="U42" i="433"/>
  <c r="S42" i="433"/>
  <c r="R42" i="433"/>
  <c r="Q42" i="433"/>
  <c r="C42" i="433"/>
  <c r="T42" i="433" s="1"/>
  <c r="B42" i="433"/>
  <c r="P42" i="433" s="1"/>
  <c r="AJ41" i="433"/>
  <c r="V41" i="433"/>
  <c r="U41" i="433"/>
  <c r="S41" i="433"/>
  <c r="R41" i="433"/>
  <c r="Q41" i="433"/>
  <c r="P41" i="433"/>
  <c r="C41" i="433"/>
  <c r="T41" i="433" s="1"/>
  <c r="B41" i="433"/>
  <c r="AJ40" i="433"/>
  <c r="V40" i="433"/>
  <c r="U40" i="433"/>
  <c r="S40" i="433"/>
  <c r="R40" i="433"/>
  <c r="Q40" i="433"/>
  <c r="C40" i="433"/>
  <c r="T40" i="433" s="1"/>
  <c r="B40" i="433"/>
  <c r="P40" i="433" s="1"/>
  <c r="AJ39" i="433"/>
  <c r="V39" i="433"/>
  <c r="U39" i="433"/>
  <c r="T39" i="433"/>
  <c r="S39" i="433"/>
  <c r="R39" i="433"/>
  <c r="Q39" i="433"/>
  <c r="P39" i="433"/>
  <c r="C39" i="433"/>
  <c r="B39" i="433"/>
  <c r="AJ38" i="433"/>
  <c r="V38" i="433"/>
  <c r="U38" i="433"/>
  <c r="S38" i="433"/>
  <c r="R38" i="433"/>
  <c r="Q38" i="433"/>
  <c r="C38" i="433"/>
  <c r="T38" i="433" s="1"/>
  <c r="B38" i="433"/>
  <c r="P38" i="433" s="1"/>
  <c r="AJ37" i="433"/>
  <c r="V37" i="433"/>
  <c r="U37" i="433"/>
  <c r="S37" i="433"/>
  <c r="R37" i="433"/>
  <c r="Q37" i="433"/>
  <c r="C37" i="433"/>
  <c r="T37" i="433" s="1"/>
  <c r="B37" i="433"/>
  <c r="P37" i="433" s="1"/>
  <c r="AJ36" i="433"/>
  <c r="V36" i="433"/>
  <c r="U36" i="433"/>
  <c r="S36" i="433"/>
  <c r="R36" i="433"/>
  <c r="Q36" i="433"/>
  <c r="C36" i="433"/>
  <c r="T36" i="433" s="1"/>
  <c r="B36" i="433"/>
  <c r="P36" i="433" s="1"/>
  <c r="AJ35" i="433"/>
  <c r="V35" i="433"/>
  <c r="U35" i="433"/>
  <c r="S35" i="433"/>
  <c r="R35" i="433"/>
  <c r="Q35" i="433"/>
  <c r="C35" i="433"/>
  <c r="T35" i="433" s="1"/>
  <c r="B35" i="433"/>
  <c r="P35" i="433" s="1"/>
  <c r="AJ34" i="433"/>
  <c r="V34" i="433"/>
  <c r="U34" i="433"/>
  <c r="S34" i="433"/>
  <c r="R34" i="433"/>
  <c r="Q34" i="433"/>
  <c r="C34" i="433"/>
  <c r="T34" i="433" s="1"/>
  <c r="B34" i="433"/>
  <c r="P34" i="433" s="1"/>
  <c r="AJ33" i="433"/>
  <c r="V33" i="433"/>
  <c r="U33" i="433"/>
  <c r="S33" i="433"/>
  <c r="R33" i="433"/>
  <c r="Q33" i="433"/>
  <c r="C33" i="433"/>
  <c r="T33" i="433" s="1"/>
  <c r="B33" i="433"/>
  <c r="P33" i="433" s="1"/>
  <c r="AJ32" i="433"/>
  <c r="V32" i="433"/>
  <c r="U32" i="433"/>
  <c r="S32" i="433"/>
  <c r="R32" i="433"/>
  <c r="Q32" i="433"/>
  <c r="C32" i="433"/>
  <c r="T32" i="433" s="1"/>
  <c r="B32" i="433"/>
  <c r="P32" i="433" s="1"/>
  <c r="AJ31" i="433"/>
  <c r="V31" i="433"/>
  <c r="U31" i="433"/>
  <c r="T31" i="433"/>
  <c r="S31" i="433"/>
  <c r="R31" i="433"/>
  <c r="Q31" i="433"/>
  <c r="C31" i="433"/>
  <c r="B31" i="433"/>
  <c r="P31" i="433" s="1"/>
  <c r="AJ30" i="433"/>
  <c r="V30" i="433"/>
  <c r="U30" i="433"/>
  <c r="S30" i="433"/>
  <c r="R30" i="433"/>
  <c r="Q30" i="433"/>
  <c r="C30" i="433"/>
  <c r="T30" i="433" s="1"/>
  <c r="B30" i="433"/>
  <c r="P30" i="433" s="1"/>
  <c r="AJ29" i="433"/>
  <c r="V29" i="433"/>
  <c r="U29" i="433"/>
  <c r="S29" i="433"/>
  <c r="R29" i="433"/>
  <c r="Q29" i="433"/>
  <c r="C29" i="433"/>
  <c r="T29" i="433" s="1"/>
  <c r="B29" i="433"/>
  <c r="P29" i="433" s="1"/>
  <c r="AJ28" i="433"/>
  <c r="V28" i="433"/>
  <c r="U28" i="433"/>
  <c r="S28" i="433"/>
  <c r="R28" i="433"/>
  <c r="Q28" i="433"/>
  <c r="C28" i="433"/>
  <c r="T28" i="433" s="1"/>
  <c r="B28" i="433"/>
  <c r="P28" i="433" s="1"/>
  <c r="AJ27" i="433"/>
  <c r="V27" i="433"/>
  <c r="U27" i="433"/>
  <c r="S27" i="433"/>
  <c r="R27" i="433"/>
  <c r="Q27" i="433"/>
  <c r="C27" i="433"/>
  <c r="T27" i="433" s="1"/>
  <c r="B27" i="433"/>
  <c r="P27" i="433" s="1"/>
  <c r="AJ26" i="433"/>
  <c r="V26" i="433"/>
  <c r="U26" i="433"/>
  <c r="S26" i="433"/>
  <c r="R26" i="433"/>
  <c r="Q26" i="433"/>
  <c r="P26" i="433"/>
  <c r="C26" i="433"/>
  <c r="T26" i="433" s="1"/>
  <c r="B26" i="433"/>
  <c r="AJ25" i="433"/>
  <c r="V25" i="433"/>
  <c r="U25" i="433"/>
  <c r="S25" i="433"/>
  <c r="R25" i="433"/>
  <c r="Q25" i="433"/>
  <c r="C25" i="433"/>
  <c r="T25" i="433" s="1"/>
  <c r="B25" i="433"/>
  <c r="P25" i="433" s="1"/>
  <c r="AJ24" i="433"/>
  <c r="V24" i="433"/>
  <c r="U24" i="433"/>
  <c r="S24" i="433"/>
  <c r="R24" i="433"/>
  <c r="Q24" i="433"/>
  <c r="C24" i="433"/>
  <c r="T24" i="433" s="1"/>
  <c r="B24" i="433"/>
  <c r="P24" i="433" s="1"/>
  <c r="AJ23" i="433"/>
  <c r="V23" i="433"/>
  <c r="U23" i="433"/>
  <c r="T23" i="433"/>
  <c r="S23" i="433"/>
  <c r="R23" i="433"/>
  <c r="Q23" i="433"/>
  <c r="P23" i="433"/>
  <c r="C23" i="433"/>
  <c r="B23" i="433"/>
  <c r="AJ22" i="433"/>
  <c r="V22" i="433"/>
  <c r="U22" i="433"/>
  <c r="S22" i="433"/>
  <c r="R22" i="433"/>
  <c r="Q22" i="433"/>
  <c r="C22" i="433"/>
  <c r="T22" i="433" s="1"/>
  <c r="B22" i="433"/>
  <c r="P22" i="433" s="1"/>
  <c r="AJ21" i="433"/>
  <c r="V21" i="433"/>
  <c r="U21" i="433"/>
  <c r="S21" i="433"/>
  <c r="R21" i="433"/>
  <c r="Q21" i="433"/>
  <c r="C21" i="433"/>
  <c r="T21" i="433" s="1"/>
  <c r="B21" i="433"/>
  <c r="P21" i="433" s="1"/>
  <c r="AJ20" i="433"/>
  <c r="V20" i="433"/>
  <c r="U20" i="433"/>
  <c r="S20" i="433"/>
  <c r="R20" i="433"/>
  <c r="Q20" i="433"/>
  <c r="C20" i="433"/>
  <c r="T20" i="433" s="1"/>
  <c r="B20" i="433"/>
  <c r="P20" i="433" s="1"/>
  <c r="AJ19" i="433"/>
  <c r="V19" i="433"/>
  <c r="U19" i="433"/>
  <c r="S19" i="433"/>
  <c r="R19" i="433"/>
  <c r="Q19" i="433"/>
  <c r="C19" i="433"/>
  <c r="T19" i="433" s="1"/>
  <c r="B19" i="433"/>
  <c r="P19" i="433" s="1"/>
  <c r="C15" i="431"/>
  <c r="C16" i="431"/>
  <c r="C17" i="431"/>
  <c r="C18" i="431"/>
  <c r="C19" i="431"/>
  <c r="C20" i="431"/>
  <c r="C21" i="431"/>
  <c r="C22" i="431"/>
  <c r="C23" i="431"/>
  <c r="C24" i="431"/>
  <c r="C25" i="431"/>
  <c r="C26" i="431"/>
  <c r="C27" i="431"/>
  <c r="C28" i="431"/>
  <c r="C29" i="431"/>
  <c r="C30" i="431"/>
  <c r="C31" i="431"/>
  <c r="C32" i="431"/>
  <c r="C33" i="431"/>
  <c r="C34" i="431"/>
  <c r="C35" i="431"/>
  <c r="C36" i="431"/>
  <c r="C37" i="431"/>
  <c r="C38" i="431"/>
  <c r="C39" i="431"/>
  <c r="C40" i="431"/>
  <c r="C41" i="431"/>
  <c r="C42" i="431"/>
  <c r="C43" i="431"/>
  <c r="C44" i="431"/>
  <c r="C45" i="431"/>
  <c r="C46" i="431"/>
  <c r="C47" i="431"/>
  <c r="C48" i="431"/>
  <c r="C49" i="431"/>
  <c r="C50" i="431"/>
  <c r="C51" i="431"/>
  <c r="C52" i="431"/>
  <c r="C53" i="431"/>
  <c r="C54" i="431"/>
  <c r="C55" i="431"/>
  <c r="C56" i="431"/>
  <c r="C57" i="431"/>
  <c r="C58" i="431"/>
  <c r="C59" i="431"/>
  <c r="C60" i="431"/>
  <c r="C61" i="431"/>
  <c r="C62" i="431"/>
  <c r="C63" i="431"/>
  <c r="C64" i="431"/>
  <c r="C65" i="431"/>
  <c r="C66" i="431"/>
  <c r="C67" i="431"/>
  <c r="C68" i="431"/>
  <c r="C69" i="431"/>
  <c r="C70" i="431"/>
  <c r="C71" i="431"/>
  <c r="C72" i="431"/>
  <c r="C73" i="431"/>
  <c r="C74" i="431"/>
  <c r="C75" i="431"/>
  <c r="C76" i="431"/>
  <c r="C77" i="431"/>
  <c r="C78" i="431"/>
  <c r="C79" i="431"/>
  <c r="C80" i="431"/>
  <c r="C81" i="431"/>
  <c r="C82" i="431"/>
  <c r="C83" i="431"/>
  <c r="C84" i="431"/>
  <c r="C85" i="431"/>
  <c r="C86" i="431"/>
  <c r="C87" i="431"/>
  <c r="C88" i="431"/>
  <c r="C89" i="431"/>
  <c r="C90" i="431"/>
  <c r="C91" i="431"/>
  <c r="C92" i="431"/>
  <c r="C93" i="431"/>
  <c r="C94" i="431"/>
  <c r="C95" i="431"/>
  <c r="C96" i="431"/>
  <c r="C97" i="431"/>
  <c r="C98" i="431"/>
  <c r="C99" i="431"/>
  <c r="C100" i="431"/>
  <c r="C101" i="431"/>
  <c r="C102" i="431"/>
  <c r="C103" i="431"/>
  <c r="C104" i="431"/>
  <c r="C105" i="431"/>
  <c r="C106" i="431"/>
  <c r="C107" i="431"/>
  <c r="C108" i="431"/>
  <c r="C109" i="431"/>
  <c r="C110" i="431"/>
  <c r="C111" i="431"/>
  <c r="C112" i="431"/>
  <c r="C113" i="431"/>
  <c r="C114" i="431"/>
  <c r="C115" i="431"/>
  <c r="C116" i="431"/>
  <c r="C117" i="431"/>
  <c r="C118" i="431"/>
  <c r="C119" i="431"/>
  <c r="C120" i="431"/>
  <c r="C121" i="431"/>
  <c r="C122" i="431"/>
  <c r="C123" i="431"/>
  <c r="C124" i="431"/>
  <c r="C125" i="431"/>
  <c r="C126" i="431"/>
  <c r="C127" i="431"/>
  <c r="C128" i="431"/>
  <c r="C129" i="431"/>
  <c r="C130" i="431"/>
  <c r="C131" i="431"/>
  <c r="C132" i="431"/>
  <c r="C133" i="431"/>
  <c r="C134" i="431"/>
  <c r="C135" i="431"/>
  <c r="C136" i="431"/>
  <c r="C137" i="431"/>
  <c r="C138" i="431"/>
  <c r="C139" i="431"/>
  <c r="C140" i="431"/>
  <c r="C141" i="431"/>
  <c r="C142" i="431"/>
  <c r="C143" i="431"/>
  <c r="C144" i="431"/>
  <c r="C145" i="431"/>
  <c r="C146" i="431"/>
  <c r="C147" i="431"/>
  <c r="C148" i="431"/>
  <c r="C149" i="431"/>
  <c r="C150" i="431"/>
  <c r="C151" i="431"/>
  <c r="C152" i="431"/>
  <c r="C153" i="431"/>
  <c r="C154" i="431"/>
  <c r="C155" i="431"/>
  <c r="C156" i="431"/>
  <c r="C157" i="431"/>
  <c r="C158" i="431"/>
  <c r="C159" i="431"/>
  <c r="C160" i="431"/>
  <c r="C161" i="431"/>
  <c r="C162" i="431"/>
  <c r="C163" i="431"/>
  <c r="C164" i="431"/>
  <c r="C165" i="431"/>
  <c r="C166" i="431"/>
  <c r="C167" i="431"/>
  <c r="C168" i="431"/>
  <c r="C169" i="431"/>
  <c r="C170" i="431"/>
  <c r="C171" i="431"/>
  <c r="C172" i="431"/>
  <c r="C173" i="431"/>
  <c r="C174" i="431"/>
  <c r="C175" i="431"/>
  <c r="C176" i="431"/>
  <c r="C177" i="431"/>
  <c r="C178" i="431"/>
  <c r="C179" i="431"/>
  <c r="C180" i="431"/>
  <c r="C181" i="431"/>
  <c r="C182" i="431"/>
  <c r="C183" i="431"/>
  <c r="C184" i="431"/>
  <c r="C185" i="431"/>
  <c r="C186" i="431"/>
  <c r="C187" i="431"/>
  <c r="C188" i="431"/>
  <c r="C189" i="431"/>
  <c r="C190" i="431"/>
  <c r="C191" i="431"/>
  <c r="C192" i="431"/>
  <c r="C193" i="431"/>
  <c r="C194" i="431"/>
  <c r="C195" i="431"/>
  <c r="C196" i="431"/>
  <c r="C197" i="431"/>
  <c r="C198" i="431"/>
  <c r="C199" i="431"/>
  <c r="C200" i="431"/>
  <c r="C201" i="431"/>
  <c r="C202" i="431"/>
  <c r="C203" i="431"/>
  <c r="C204" i="431"/>
  <c r="C205" i="431"/>
  <c r="C206" i="431"/>
  <c r="C207" i="431"/>
  <c r="C208" i="431"/>
  <c r="C209" i="431"/>
  <c r="C210" i="431"/>
  <c r="C211" i="431"/>
  <c r="C212" i="431"/>
  <c r="C213" i="431"/>
  <c r="C214" i="431"/>
  <c r="C215" i="431"/>
  <c r="C216" i="431"/>
  <c r="C217" i="431"/>
  <c r="C218" i="431"/>
  <c r="C219" i="431"/>
  <c r="C220" i="431"/>
  <c r="C221" i="431"/>
  <c r="C222" i="431"/>
  <c r="C223" i="431"/>
  <c r="C224" i="431"/>
  <c r="C225" i="431"/>
  <c r="C226" i="431"/>
  <c r="C227" i="431"/>
  <c r="C228" i="431"/>
  <c r="C229" i="431"/>
  <c r="C230" i="431"/>
  <c r="C231" i="431"/>
  <c r="C232" i="431"/>
  <c r="C233" i="431"/>
  <c r="C234" i="431"/>
  <c r="C235" i="431"/>
  <c r="C236" i="431"/>
  <c r="C237" i="431"/>
  <c r="C238" i="431"/>
  <c r="C239" i="431"/>
  <c r="C240" i="431"/>
  <c r="C241" i="431"/>
  <c r="C242" i="431"/>
  <c r="C243" i="431"/>
  <c r="C244" i="431"/>
  <c r="C245" i="431"/>
  <c r="C246" i="431"/>
  <c r="C247" i="431"/>
  <c r="C248" i="431"/>
  <c r="C249" i="431"/>
  <c r="C250" i="431"/>
  <c r="C251" i="431"/>
  <c r="C252" i="431"/>
  <c r="C253" i="431"/>
  <c r="C254" i="431"/>
  <c r="C255" i="431"/>
  <c r="C256" i="431"/>
  <c r="C257" i="431"/>
  <c r="C258" i="431"/>
  <c r="C259" i="431"/>
  <c r="C260" i="431"/>
  <c r="C261" i="431"/>
  <c r="C262" i="431"/>
  <c r="C263" i="431"/>
  <c r="C264" i="431"/>
  <c r="C265" i="431"/>
  <c r="C266" i="431"/>
  <c r="C267" i="431"/>
  <c r="C268" i="431"/>
  <c r="C269" i="431"/>
  <c r="C270" i="431"/>
  <c r="C271" i="431"/>
  <c r="C272" i="431"/>
  <c r="C273" i="431"/>
  <c r="C274" i="431"/>
  <c r="C275" i="431"/>
  <c r="C276" i="431"/>
  <c r="C277" i="431"/>
  <c r="C278" i="431"/>
  <c r="C279" i="431"/>
  <c r="C280" i="431"/>
  <c r="C281" i="431"/>
  <c r="C282" i="431"/>
  <c r="C283" i="431"/>
  <c r="C284" i="431"/>
  <c r="C285" i="431"/>
  <c r="C286" i="431"/>
  <c r="C287" i="431"/>
  <c r="C288" i="431"/>
  <c r="C289" i="431"/>
  <c r="C290" i="431"/>
  <c r="C291" i="431"/>
  <c r="C292" i="431"/>
  <c r="C293" i="431"/>
  <c r="C294" i="431"/>
  <c r="C295" i="431"/>
  <c r="C296" i="431"/>
  <c r="C297" i="431"/>
  <c r="C298" i="431"/>
  <c r="C299" i="431"/>
  <c r="C300" i="431"/>
  <c r="C301" i="431"/>
  <c r="C302" i="431"/>
  <c r="C303" i="431"/>
  <c r="C304" i="431"/>
  <c r="C305" i="431"/>
  <c r="C306" i="431"/>
  <c r="C307" i="431"/>
  <c r="C308" i="431"/>
  <c r="C309" i="431"/>
  <c r="C310" i="431"/>
  <c r="C311" i="431"/>
  <c r="C312" i="431"/>
  <c r="C313" i="431"/>
  <c r="C314" i="431"/>
  <c r="C315" i="431"/>
  <c r="C316" i="431"/>
  <c r="C317" i="431"/>
  <c r="C318" i="431"/>
  <c r="C319" i="431"/>
  <c r="C320" i="431"/>
  <c r="C321" i="431"/>
  <c r="C322" i="431"/>
  <c r="C323" i="431"/>
  <c r="C324" i="431"/>
  <c r="C325" i="431"/>
  <c r="C326" i="431"/>
  <c r="C327" i="431"/>
  <c r="C328" i="431"/>
  <c r="C329" i="431"/>
  <c r="C330" i="431"/>
  <c r="C331" i="431"/>
  <c r="C332" i="431"/>
  <c r="C333" i="431"/>
  <c r="C334" i="431"/>
  <c r="C335" i="431"/>
  <c r="C336" i="431"/>
  <c r="C337" i="431"/>
  <c r="C338" i="431"/>
  <c r="C339" i="431"/>
  <c r="T339" i="431" s="1"/>
  <c r="C340" i="431"/>
  <c r="T340" i="431" s="1"/>
  <c r="C341" i="431"/>
  <c r="T341" i="431" s="1"/>
  <c r="C342" i="431"/>
  <c r="T342" i="431" s="1"/>
  <c r="C343" i="431"/>
  <c r="C344" i="431"/>
  <c r="C345" i="431"/>
  <c r="T345" i="431" s="1"/>
  <c r="C346" i="431"/>
  <c r="T346" i="431" s="1"/>
  <c r="C347" i="431"/>
  <c r="T347" i="431" s="1"/>
  <c r="C348" i="431"/>
  <c r="T348" i="431" s="1"/>
  <c r="C349" i="431"/>
  <c r="C350" i="431"/>
  <c r="T350" i="431" s="1"/>
  <c r="C351" i="431"/>
  <c r="C352" i="431"/>
  <c r="C353" i="431"/>
  <c r="C354" i="431"/>
  <c r="C355" i="431"/>
  <c r="C356" i="431"/>
  <c r="C357" i="431"/>
  <c r="C358" i="431"/>
  <c r="C359" i="431"/>
  <c r="C360" i="431"/>
  <c r="C361" i="431"/>
  <c r="C362" i="431"/>
  <c r="C363" i="431"/>
  <c r="C364" i="431"/>
  <c r="C365" i="431"/>
  <c r="C366" i="431"/>
  <c r="C367" i="431"/>
  <c r="C368" i="431"/>
  <c r="C369" i="431"/>
  <c r="C370" i="431"/>
  <c r="C371" i="431"/>
  <c r="C372" i="431"/>
  <c r="C373" i="431"/>
  <c r="C374" i="431"/>
  <c r="C375" i="431"/>
  <c r="C376" i="431"/>
  <c r="C377" i="431"/>
  <c r="C378" i="431"/>
  <c r="C379" i="431"/>
  <c r="C380" i="431"/>
  <c r="C381" i="431"/>
  <c r="C382" i="431"/>
  <c r="C383" i="431"/>
  <c r="C384" i="431"/>
  <c r="C385" i="431"/>
  <c r="C386" i="431"/>
  <c r="C387" i="431"/>
  <c r="T387" i="431" s="1"/>
  <c r="C388" i="431"/>
  <c r="T388" i="431" s="1"/>
  <c r="C389" i="431"/>
  <c r="T389" i="431" s="1"/>
  <c r="C390" i="431"/>
  <c r="T390" i="431" s="1"/>
  <c r="C391" i="431"/>
  <c r="C392" i="431"/>
  <c r="C393" i="431"/>
  <c r="T393" i="431" s="1"/>
  <c r="C394" i="431"/>
  <c r="T394" i="431" s="1"/>
  <c r="C395" i="431"/>
  <c r="T395" i="431" s="1"/>
  <c r="C396" i="431"/>
  <c r="T396" i="431" s="1"/>
  <c r="C397" i="431"/>
  <c r="C398" i="431"/>
  <c r="T398" i="431" s="1"/>
  <c r="C399" i="431"/>
  <c r="C400" i="431"/>
  <c r="C401" i="431"/>
  <c r="C402" i="431"/>
  <c r="C403" i="431"/>
  <c r="C404" i="431"/>
  <c r="C405" i="431"/>
  <c r="C406" i="431"/>
  <c r="C407" i="431"/>
  <c r="C408" i="431"/>
  <c r="C409" i="431"/>
  <c r="C410" i="431"/>
  <c r="C411" i="431"/>
  <c r="C412" i="431"/>
  <c r="C413" i="431"/>
  <c r="C414" i="431"/>
  <c r="C415" i="431"/>
  <c r="C416" i="431"/>
  <c r="C417" i="431"/>
  <c r="C418" i="431"/>
  <c r="C419" i="431"/>
  <c r="C420" i="431"/>
  <c r="C421" i="431"/>
  <c r="C422" i="431"/>
  <c r="C423" i="431"/>
  <c r="C424" i="431"/>
  <c r="C425" i="431"/>
  <c r="C426" i="431"/>
  <c r="C427" i="431"/>
  <c r="C428" i="431"/>
  <c r="C429" i="431"/>
  <c r="C430" i="431"/>
  <c r="C431" i="431"/>
  <c r="C432" i="431"/>
  <c r="C433" i="431"/>
  <c r="C434" i="431"/>
  <c r="C435" i="431"/>
  <c r="T435" i="431" s="1"/>
  <c r="C436" i="431"/>
  <c r="T436" i="431" s="1"/>
  <c r="C437" i="431"/>
  <c r="T437" i="431" s="1"/>
  <c r="C438" i="431"/>
  <c r="C439" i="431"/>
  <c r="C440" i="431"/>
  <c r="C441" i="431"/>
  <c r="T441" i="431" s="1"/>
  <c r="C442" i="431"/>
  <c r="T442" i="431" s="1"/>
  <c r="C443" i="431"/>
  <c r="T443" i="431" s="1"/>
  <c r="C444" i="431"/>
  <c r="C445" i="431"/>
  <c r="C446" i="431"/>
  <c r="T446" i="431" s="1"/>
  <c r="C447" i="431"/>
  <c r="C448" i="431"/>
  <c r="C449" i="431"/>
  <c r="C450" i="431"/>
  <c r="C451" i="431"/>
  <c r="C452" i="431"/>
  <c r="C453" i="431"/>
  <c r="C454" i="431"/>
  <c r="C455" i="431"/>
  <c r="C456" i="431"/>
  <c r="C457" i="431"/>
  <c r="C458" i="431"/>
  <c r="C459" i="431"/>
  <c r="C460" i="431"/>
  <c r="C461" i="431"/>
  <c r="C462" i="431"/>
  <c r="C463" i="431"/>
  <c r="C464" i="431"/>
  <c r="C465" i="431"/>
  <c r="C466" i="431"/>
  <c r="C467" i="431"/>
  <c r="C468" i="431"/>
  <c r="C469" i="431"/>
  <c r="C470" i="431"/>
  <c r="C471" i="431"/>
  <c r="C472" i="431"/>
  <c r="C473" i="431"/>
  <c r="C474" i="431"/>
  <c r="C475" i="431"/>
  <c r="C476" i="431"/>
  <c r="C477" i="431"/>
  <c r="C478" i="431"/>
  <c r="C479" i="431"/>
  <c r="C480" i="431"/>
  <c r="C481" i="431"/>
  <c r="C482" i="431"/>
  <c r="C483" i="431"/>
  <c r="T483" i="431" s="1"/>
  <c r="C484" i="431"/>
  <c r="T484" i="431" s="1"/>
  <c r="C485" i="431"/>
  <c r="T485" i="431" s="1"/>
  <c r="C486" i="431"/>
  <c r="C487" i="431"/>
  <c r="C488" i="431"/>
  <c r="C489" i="431"/>
  <c r="T489" i="431" s="1"/>
  <c r="C490" i="431"/>
  <c r="T490" i="431" s="1"/>
  <c r="C491" i="431"/>
  <c r="T491" i="431" s="1"/>
  <c r="C492" i="431"/>
  <c r="C493" i="431"/>
  <c r="C494" i="431"/>
  <c r="T494" i="431" s="1"/>
  <c r="C495" i="431"/>
  <c r="C496" i="431"/>
  <c r="C497" i="431"/>
  <c r="C498" i="431"/>
  <c r="C499" i="431"/>
  <c r="C500" i="431"/>
  <c r="C501" i="431"/>
  <c r="C502" i="431"/>
  <c r="C503" i="431"/>
  <c r="C504" i="431"/>
  <c r="C505" i="431"/>
  <c r="C506" i="431"/>
  <c r="C507" i="431"/>
  <c r="C508" i="431"/>
  <c r="C509" i="431"/>
  <c r="C510" i="431"/>
  <c r="C511" i="431"/>
  <c r="C512" i="431"/>
  <c r="C513" i="431"/>
  <c r="C514" i="431"/>
  <c r="C515" i="431"/>
  <c r="C516" i="431"/>
  <c r="C517" i="431"/>
  <c r="C518" i="431"/>
  <c r="C519" i="431"/>
  <c r="C520" i="431"/>
  <c r="C521" i="431"/>
  <c r="C522" i="431"/>
  <c r="C523" i="431"/>
  <c r="C524" i="431"/>
  <c r="C525" i="431"/>
  <c r="C526" i="431"/>
  <c r="C527" i="431"/>
  <c r="C528" i="431"/>
  <c r="C529" i="431"/>
  <c r="C530" i="431"/>
  <c r="C531" i="431"/>
  <c r="T531" i="431" s="1"/>
  <c r="C532" i="431"/>
  <c r="T532" i="431" s="1"/>
  <c r="C533" i="431"/>
  <c r="T533" i="431" s="1"/>
  <c r="C534" i="431"/>
  <c r="C535" i="431"/>
  <c r="C536" i="431"/>
  <c r="C537" i="431"/>
  <c r="T537" i="431" s="1"/>
  <c r="C538" i="431"/>
  <c r="T538" i="431" s="1"/>
  <c r="C539" i="431"/>
  <c r="T539" i="431" s="1"/>
  <c r="C540" i="431"/>
  <c r="C541" i="431"/>
  <c r="C542" i="431"/>
  <c r="T542" i="431" s="1"/>
  <c r="C543" i="431"/>
  <c r="C544" i="431"/>
  <c r="C545" i="431"/>
  <c r="C546" i="431"/>
  <c r="C547" i="431"/>
  <c r="C548" i="431"/>
  <c r="C549" i="431"/>
  <c r="C550" i="431"/>
  <c r="C551" i="431"/>
  <c r="C552" i="431"/>
  <c r="C553" i="431"/>
  <c r="C554" i="431"/>
  <c r="C555" i="431"/>
  <c r="C556" i="431"/>
  <c r="C557" i="431"/>
  <c r="C558" i="431"/>
  <c r="C559" i="431"/>
  <c r="C560" i="431"/>
  <c r="C561" i="431"/>
  <c r="C562" i="431"/>
  <c r="C563" i="431"/>
  <c r="C564" i="431"/>
  <c r="C565" i="431"/>
  <c r="C566" i="431"/>
  <c r="C567" i="431"/>
  <c r="C568" i="431"/>
  <c r="C569" i="431"/>
  <c r="C570" i="431"/>
  <c r="C571" i="431"/>
  <c r="C572" i="431"/>
  <c r="C573" i="431"/>
  <c r="C574" i="431"/>
  <c r="C575" i="431"/>
  <c r="C576" i="431"/>
  <c r="C577" i="431"/>
  <c r="C578" i="431"/>
  <c r="C579" i="431"/>
  <c r="T579" i="431" s="1"/>
  <c r="C580" i="431"/>
  <c r="T580" i="431" s="1"/>
  <c r="C581" i="431"/>
  <c r="T581" i="431" s="1"/>
  <c r="C582" i="431"/>
  <c r="C583" i="431"/>
  <c r="C584" i="431"/>
  <c r="C585" i="431"/>
  <c r="T585" i="431" s="1"/>
  <c r="C586" i="431"/>
  <c r="T586" i="431" s="1"/>
  <c r="C587" i="431"/>
  <c r="T587" i="431" s="1"/>
  <c r="C588" i="431"/>
  <c r="T588" i="431" s="1"/>
  <c r="C589" i="431"/>
  <c r="C590" i="431"/>
  <c r="T590" i="431" s="1"/>
  <c r="C591" i="431"/>
  <c r="C592" i="431"/>
  <c r="C593" i="431"/>
  <c r="C594" i="431"/>
  <c r="C595" i="431"/>
  <c r="C596" i="431"/>
  <c r="C597" i="431"/>
  <c r="C598" i="431"/>
  <c r="C599" i="431"/>
  <c r="C600" i="431"/>
  <c r="C601" i="431"/>
  <c r="C602" i="431"/>
  <c r="C603" i="431"/>
  <c r="C604" i="431"/>
  <c r="C605" i="431"/>
  <c r="C606" i="431"/>
  <c r="C607" i="431"/>
  <c r="C608" i="431"/>
  <c r="C609" i="431"/>
  <c r="C610" i="431"/>
  <c r="C611" i="431"/>
  <c r="C612" i="431"/>
  <c r="C613" i="431"/>
  <c r="C614" i="431"/>
  <c r="C615" i="431"/>
  <c r="C616" i="431"/>
  <c r="C617" i="431"/>
  <c r="C618" i="431"/>
  <c r="C619" i="431"/>
  <c r="C620" i="431"/>
  <c r="C621" i="431"/>
  <c r="C622" i="431"/>
  <c r="C623" i="431"/>
  <c r="C624" i="431"/>
  <c r="C625" i="431"/>
  <c r="C626" i="431"/>
  <c r="C627" i="431"/>
  <c r="T627" i="431" s="1"/>
  <c r="C628" i="431"/>
  <c r="T628" i="431" s="1"/>
  <c r="C629" i="431"/>
  <c r="T629" i="431" s="1"/>
  <c r="C630" i="431"/>
  <c r="T630" i="431" s="1"/>
  <c r="C631" i="431"/>
  <c r="C632" i="431"/>
  <c r="C633" i="431"/>
  <c r="T633" i="431" s="1"/>
  <c r="C634" i="431"/>
  <c r="T634" i="431" s="1"/>
  <c r="C635" i="431"/>
  <c r="T635" i="431" s="1"/>
  <c r="C636" i="431"/>
  <c r="T636" i="431" s="1"/>
  <c r="C637" i="431"/>
  <c r="C638" i="431"/>
  <c r="T638" i="431" s="1"/>
  <c r="C639" i="431"/>
  <c r="C640" i="431"/>
  <c r="C641" i="431"/>
  <c r="C642" i="431"/>
  <c r="C643" i="431"/>
  <c r="C644" i="431"/>
  <c r="C645" i="431"/>
  <c r="C646" i="431"/>
  <c r="C647" i="431"/>
  <c r="C648" i="431"/>
  <c r="C649" i="431"/>
  <c r="C650" i="431"/>
  <c r="C651" i="431"/>
  <c r="C652" i="431"/>
  <c r="C653" i="431"/>
  <c r="C654" i="431"/>
  <c r="C655" i="431"/>
  <c r="C656" i="431"/>
  <c r="C657" i="431"/>
  <c r="C658" i="431"/>
  <c r="C659" i="431"/>
  <c r="C660" i="431"/>
  <c r="C661" i="431"/>
  <c r="C662" i="431"/>
  <c r="C663" i="431"/>
  <c r="C664" i="431"/>
  <c r="C665" i="431"/>
  <c r="C666" i="431"/>
  <c r="C667" i="431"/>
  <c r="C668" i="431"/>
  <c r="C669" i="431"/>
  <c r="C670" i="431"/>
  <c r="C671" i="431"/>
  <c r="C672" i="431"/>
  <c r="C673" i="431"/>
  <c r="C674" i="431"/>
  <c r="C675" i="431"/>
  <c r="T675" i="431" s="1"/>
  <c r="C676" i="431"/>
  <c r="T676" i="431" s="1"/>
  <c r="C677" i="431"/>
  <c r="T677" i="431" s="1"/>
  <c r="C678" i="431"/>
  <c r="T678" i="431" s="1"/>
  <c r="C679" i="431"/>
  <c r="C680" i="431"/>
  <c r="C681" i="431"/>
  <c r="T681" i="431" s="1"/>
  <c r="C682" i="431"/>
  <c r="T682" i="431" s="1"/>
  <c r="C683" i="431"/>
  <c r="T683" i="431" s="1"/>
  <c r="C684" i="431"/>
  <c r="T684" i="431" s="1"/>
  <c r="C685" i="431"/>
  <c r="C686" i="431"/>
  <c r="T686" i="431" s="1"/>
  <c r="C687" i="431"/>
  <c r="C688" i="431"/>
  <c r="C689" i="431"/>
  <c r="C690" i="431"/>
  <c r="C691" i="431"/>
  <c r="C692" i="431"/>
  <c r="C693" i="431"/>
  <c r="C694" i="431"/>
  <c r="C695" i="431"/>
  <c r="C696" i="431"/>
  <c r="C697" i="431"/>
  <c r="C698" i="431"/>
  <c r="C699" i="431"/>
  <c r="C700" i="431"/>
  <c r="C701" i="431"/>
  <c r="C702" i="431"/>
  <c r="C703" i="431"/>
  <c r="C704" i="431"/>
  <c r="C705" i="431"/>
  <c r="C706" i="431"/>
  <c r="C707" i="431"/>
  <c r="C708" i="431"/>
  <c r="C709" i="431"/>
  <c r="C710" i="431"/>
  <c r="C711" i="431"/>
  <c r="C712" i="431"/>
  <c r="C713" i="431"/>
  <c r="C714" i="431"/>
  <c r="C715" i="431"/>
  <c r="C716" i="431"/>
  <c r="C717" i="431"/>
  <c r="C718" i="431"/>
  <c r="C719" i="431"/>
  <c r="C720" i="431"/>
  <c r="C721" i="431"/>
  <c r="C722" i="431"/>
  <c r="C723" i="431"/>
  <c r="T723" i="431" s="1"/>
  <c r="C724" i="431"/>
  <c r="T724" i="431" s="1"/>
  <c r="C725" i="431"/>
  <c r="T725" i="431" s="1"/>
  <c r="C726" i="431"/>
  <c r="T726" i="431" s="1"/>
  <c r="C727" i="431"/>
  <c r="C728" i="431"/>
  <c r="C729" i="431"/>
  <c r="T729" i="431" s="1"/>
  <c r="C730" i="431"/>
  <c r="T730" i="431" s="1"/>
  <c r="C731" i="431"/>
  <c r="T731" i="431" s="1"/>
  <c r="C732" i="431"/>
  <c r="T732" i="431" s="1"/>
  <c r="C733" i="431"/>
  <c r="C734" i="431"/>
  <c r="T734" i="431" s="1"/>
  <c r="C735" i="431"/>
  <c r="C736" i="431"/>
  <c r="C737" i="431"/>
  <c r="C738" i="431"/>
  <c r="C739" i="431"/>
  <c r="C740" i="431"/>
  <c r="C741" i="431"/>
  <c r="C742" i="431"/>
  <c r="C743" i="431"/>
  <c r="C744" i="431"/>
  <c r="C745" i="431"/>
  <c r="C746" i="431"/>
  <c r="C747" i="431"/>
  <c r="C748" i="431"/>
  <c r="C749" i="431"/>
  <c r="C750" i="431"/>
  <c r="C751" i="431"/>
  <c r="C752" i="431"/>
  <c r="C753" i="431"/>
  <c r="C754" i="431"/>
  <c r="C755" i="431"/>
  <c r="C756" i="431"/>
  <c r="C757" i="431"/>
  <c r="C758" i="431"/>
  <c r="C759" i="431"/>
  <c r="C760" i="431"/>
  <c r="C761" i="431"/>
  <c r="C762" i="431"/>
  <c r="C763" i="431"/>
  <c r="C764" i="431"/>
  <c r="C765" i="431"/>
  <c r="C766" i="431"/>
  <c r="C767" i="431"/>
  <c r="C768" i="431"/>
  <c r="C769" i="431"/>
  <c r="C770" i="431"/>
  <c r="C771" i="431"/>
  <c r="T771" i="431" s="1"/>
  <c r="C772" i="431"/>
  <c r="T772" i="431" s="1"/>
  <c r="C773" i="431"/>
  <c r="T773" i="431" s="1"/>
  <c r="C774" i="431"/>
  <c r="T774" i="431" s="1"/>
  <c r="C775" i="431"/>
  <c r="C776" i="431"/>
  <c r="C777" i="431"/>
  <c r="T777" i="431" s="1"/>
  <c r="C778" i="431"/>
  <c r="T778" i="431" s="1"/>
  <c r="C779" i="431"/>
  <c r="T779" i="431" s="1"/>
  <c r="C780" i="431"/>
  <c r="T780" i="431" s="1"/>
  <c r="C781" i="431"/>
  <c r="C782" i="431"/>
  <c r="T782" i="431" s="1"/>
  <c r="C783" i="431"/>
  <c r="C784" i="431"/>
  <c r="C785" i="431"/>
  <c r="C786" i="431"/>
  <c r="C787" i="431"/>
  <c r="C788" i="431"/>
  <c r="C789" i="431"/>
  <c r="C790" i="431"/>
  <c r="C791" i="431"/>
  <c r="C792" i="431"/>
  <c r="C793" i="431"/>
  <c r="C794" i="431"/>
  <c r="C795" i="431"/>
  <c r="C796" i="431"/>
  <c r="C797" i="431"/>
  <c r="C798" i="431"/>
  <c r="C799" i="431"/>
  <c r="C800" i="431"/>
  <c r="C801" i="431"/>
  <c r="C802" i="431"/>
  <c r="C803" i="431"/>
  <c r="C804" i="431"/>
  <c r="C805" i="431"/>
  <c r="C806" i="431"/>
  <c r="C807" i="431"/>
  <c r="C808" i="431"/>
  <c r="C809" i="431"/>
  <c r="C810" i="431"/>
  <c r="C811" i="431"/>
  <c r="C812" i="431"/>
  <c r="C813" i="431"/>
  <c r="C814" i="431"/>
  <c r="C815" i="431"/>
  <c r="C816" i="431"/>
  <c r="C817" i="431"/>
  <c r="C818" i="431"/>
  <c r="C819" i="431"/>
  <c r="T819" i="431" s="1"/>
  <c r="C820" i="431"/>
  <c r="C821" i="431"/>
  <c r="T821" i="431" s="1"/>
  <c r="C822" i="431"/>
  <c r="T822" i="431" s="1"/>
  <c r="C823" i="431"/>
  <c r="C824" i="431"/>
  <c r="T824" i="431" s="1"/>
  <c r="C825" i="431"/>
  <c r="T825" i="431" s="1"/>
  <c r="C826" i="431"/>
  <c r="C827" i="431"/>
  <c r="T827" i="431" s="1"/>
  <c r="C828" i="431"/>
  <c r="T828" i="431" s="1"/>
  <c r="C829" i="431"/>
  <c r="C830" i="431"/>
  <c r="T830" i="431" s="1"/>
  <c r="C831" i="431"/>
  <c r="C832" i="431"/>
  <c r="C833" i="431"/>
  <c r="C834" i="431"/>
  <c r="C835" i="431"/>
  <c r="C836" i="431"/>
  <c r="C837" i="431"/>
  <c r="C838" i="431"/>
  <c r="C839" i="431"/>
  <c r="C840" i="431"/>
  <c r="C841" i="431"/>
  <c r="C842" i="431"/>
  <c r="C843" i="431"/>
  <c r="C844" i="431"/>
  <c r="C845" i="431"/>
  <c r="C846" i="431"/>
  <c r="C847" i="431"/>
  <c r="C848" i="431"/>
  <c r="C849" i="431"/>
  <c r="C850" i="431"/>
  <c r="C851" i="431"/>
  <c r="C852" i="431"/>
  <c r="C853" i="431"/>
  <c r="C854" i="431"/>
  <c r="C855" i="431"/>
  <c r="C856" i="431"/>
  <c r="C857" i="431"/>
  <c r="C858" i="431"/>
  <c r="C859" i="431"/>
  <c r="C860" i="431"/>
  <c r="C861" i="431"/>
  <c r="C862" i="431"/>
  <c r="C863" i="431"/>
  <c r="C864" i="431"/>
  <c r="C865" i="431"/>
  <c r="C866" i="431"/>
  <c r="C867" i="431"/>
  <c r="T867" i="431" s="1"/>
  <c r="C868" i="431"/>
  <c r="T868" i="431" s="1"/>
  <c r="C869" i="431"/>
  <c r="T869" i="431" s="1"/>
  <c r="C870" i="431"/>
  <c r="T870" i="431" s="1"/>
  <c r="C871" i="431"/>
  <c r="C872" i="431"/>
  <c r="T872" i="431" s="1"/>
  <c r="C873" i="431"/>
  <c r="T873" i="431" s="1"/>
  <c r="C874" i="431"/>
  <c r="T874" i="431" s="1"/>
  <c r="C875" i="431"/>
  <c r="T875" i="431" s="1"/>
  <c r="C876" i="431"/>
  <c r="T876" i="431" s="1"/>
  <c r="C877" i="431"/>
  <c r="C878" i="431"/>
  <c r="T878" i="431" s="1"/>
  <c r="C879" i="431"/>
  <c r="C880" i="431"/>
  <c r="C881" i="431"/>
  <c r="C882" i="431"/>
  <c r="C883" i="431"/>
  <c r="C884" i="431"/>
  <c r="C885" i="431"/>
  <c r="C886" i="431"/>
  <c r="C887" i="431"/>
  <c r="C888" i="431"/>
  <c r="C889" i="431"/>
  <c r="C890" i="431"/>
  <c r="C891" i="431"/>
  <c r="C892" i="431"/>
  <c r="C893" i="431"/>
  <c r="C894" i="431"/>
  <c r="C895" i="431"/>
  <c r="C896" i="431"/>
  <c r="C897" i="431"/>
  <c r="C898" i="431"/>
  <c r="C899" i="431"/>
  <c r="C900" i="431"/>
  <c r="C901" i="431"/>
  <c r="C902" i="431"/>
  <c r="C903" i="431"/>
  <c r="C14" i="431"/>
  <c r="AJ908" i="432"/>
  <c r="V908" i="432"/>
  <c r="U908" i="432"/>
  <c r="T908" i="432"/>
  <c r="S908" i="432"/>
  <c r="R908" i="432"/>
  <c r="Q908" i="432"/>
  <c r="B908" i="432"/>
  <c r="P908" i="432" s="1"/>
  <c r="AJ907" i="432"/>
  <c r="V907" i="432"/>
  <c r="U907" i="432"/>
  <c r="T907" i="432"/>
  <c r="S907" i="432"/>
  <c r="R907" i="432"/>
  <c r="Q907" i="432"/>
  <c r="B907" i="432"/>
  <c r="P907" i="432" s="1"/>
  <c r="AJ906" i="432"/>
  <c r="V906" i="432"/>
  <c r="U906" i="432"/>
  <c r="T906" i="432"/>
  <c r="S906" i="432"/>
  <c r="R906" i="432"/>
  <c r="Q906" i="432"/>
  <c r="B906" i="432"/>
  <c r="P906" i="432" s="1"/>
  <c r="AJ905" i="432"/>
  <c r="V905" i="432"/>
  <c r="U905" i="432"/>
  <c r="T905" i="432"/>
  <c r="S905" i="432"/>
  <c r="R905" i="432"/>
  <c r="Q905" i="432"/>
  <c r="B905" i="432"/>
  <c r="P905" i="432" s="1"/>
  <c r="AJ904" i="432"/>
  <c r="V904" i="432"/>
  <c r="U904" i="432"/>
  <c r="T904" i="432"/>
  <c r="S904" i="432"/>
  <c r="R904" i="432"/>
  <c r="Q904" i="432"/>
  <c r="B904" i="432"/>
  <c r="P904" i="432" s="1"/>
  <c r="AJ903" i="432"/>
  <c r="V903" i="432"/>
  <c r="U903" i="432"/>
  <c r="T903" i="432"/>
  <c r="S903" i="432"/>
  <c r="R903" i="432"/>
  <c r="Q903" i="432"/>
  <c r="B903" i="432"/>
  <c r="P903" i="432" s="1"/>
  <c r="AJ902" i="432"/>
  <c r="V902" i="432"/>
  <c r="U902" i="432"/>
  <c r="T902" i="432"/>
  <c r="S902" i="432"/>
  <c r="R902" i="432"/>
  <c r="Q902" i="432"/>
  <c r="B902" i="432"/>
  <c r="P902" i="432" s="1"/>
  <c r="AJ901" i="432"/>
  <c r="V901" i="432"/>
  <c r="U901" i="432"/>
  <c r="T901" i="432"/>
  <c r="S901" i="432"/>
  <c r="R901" i="432"/>
  <c r="Q901" i="432"/>
  <c r="B901" i="432"/>
  <c r="P901" i="432" s="1"/>
  <c r="AJ900" i="432"/>
  <c r="V900" i="432"/>
  <c r="U900" i="432"/>
  <c r="T900" i="432"/>
  <c r="S900" i="432"/>
  <c r="R900" i="432"/>
  <c r="Q900" i="432"/>
  <c r="B900" i="432"/>
  <c r="P900" i="432" s="1"/>
  <c r="AJ899" i="432"/>
  <c r="V899" i="432"/>
  <c r="U899" i="432"/>
  <c r="T899" i="432"/>
  <c r="S899" i="432"/>
  <c r="R899" i="432"/>
  <c r="Q899" i="432"/>
  <c r="B899" i="432"/>
  <c r="P899" i="432" s="1"/>
  <c r="AJ898" i="432"/>
  <c r="V898" i="432"/>
  <c r="U898" i="432"/>
  <c r="T898" i="432"/>
  <c r="S898" i="432"/>
  <c r="R898" i="432"/>
  <c r="Q898" i="432"/>
  <c r="B898" i="432"/>
  <c r="P898" i="432" s="1"/>
  <c r="AJ897" i="432"/>
  <c r="V897" i="432"/>
  <c r="U897" i="432"/>
  <c r="T897" i="432"/>
  <c r="S897" i="432"/>
  <c r="R897" i="432"/>
  <c r="Q897" i="432"/>
  <c r="B897" i="432"/>
  <c r="P897" i="432" s="1"/>
  <c r="AJ896" i="432"/>
  <c r="V896" i="432"/>
  <c r="U896" i="432"/>
  <c r="T896" i="432"/>
  <c r="S896" i="432"/>
  <c r="R896" i="432"/>
  <c r="Q896" i="432"/>
  <c r="P896" i="432"/>
  <c r="B896" i="432"/>
  <c r="AJ895" i="432"/>
  <c r="V895" i="432"/>
  <c r="U895" i="432"/>
  <c r="T895" i="432"/>
  <c r="S895" i="432"/>
  <c r="R895" i="432"/>
  <c r="Q895" i="432"/>
  <c r="B895" i="432"/>
  <c r="P895" i="432" s="1"/>
  <c r="AJ894" i="432"/>
  <c r="V894" i="432"/>
  <c r="U894" i="432"/>
  <c r="T894" i="432"/>
  <c r="S894" i="432"/>
  <c r="R894" i="432"/>
  <c r="Q894" i="432"/>
  <c r="B894" i="432"/>
  <c r="P894" i="432" s="1"/>
  <c r="AJ893" i="432"/>
  <c r="V893" i="432"/>
  <c r="U893" i="432"/>
  <c r="T893" i="432"/>
  <c r="S893" i="432"/>
  <c r="R893" i="432"/>
  <c r="Q893" i="432"/>
  <c r="P893" i="432"/>
  <c r="B893" i="432"/>
  <c r="AJ892" i="432"/>
  <c r="V892" i="432"/>
  <c r="U892" i="432"/>
  <c r="T892" i="432"/>
  <c r="S892" i="432"/>
  <c r="R892" i="432"/>
  <c r="Q892" i="432"/>
  <c r="B892" i="432"/>
  <c r="P892" i="432" s="1"/>
  <c r="AJ891" i="432"/>
  <c r="V891" i="432"/>
  <c r="U891" i="432"/>
  <c r="T891" i="432"/>
  <c r="S891" i="432"/>
  <c r="R891" i="432"/>
  <c r="Q891" i="432"/>
  <c r="B891" i="432"/>
  <c r="P891" i="432" s="1"/>
  <c r="AJ890" i="432"/>
  <c r="V890" i="432"/>
  <c r="U890" i="432"/>
  <c r="T890" i="432"/>
  <c r="S890" i="432"/>
  <c r="R890" i="432"/>
  <c r="Q890" i="432"/>
  <c r="B890" i="432"/>
  <c r="P890" i="432" s="1"/>
  <c r="AJ889" i="432"/>
  <c r="V889" i="432"/>
  <c r="U889" i="432"/>
  <c r="T889" i="432"/>
  <c r="S889" i="432"/>
  <c r="R889" i="432"/>
  <c r="Q889" i="432"/>
  <c r="P889" i="432"/>
  <c r="B889" i="432"/>
  <c r="AJ888" i="432"/>
  <c r="V888" i="432"/>
  <c r="U888" i="432"/>
  <c r="T888" i="432"/>
  <c r="S888" i="432"/>
  <c r="R888" i="432"/>
  <c r="Q888" i="432"/>
  <c r="B888" i="432"/>
  <c r="P888" i="432" s="1"/>
  <c r="AJ887" i="432"/>
  <c r="V887" i="432"/>
  <c r="U887" i="432"/>
  <c r="T887" i="432"/>
  <c r="S887" i="432"/>
  <c r="R887" i="432"/>
  <c r="Q887" i="432"/>
  <c r="B887" i="432"/>
  <c r="P887" i="432" s="1"/>
  <c r="AJ886" i="432"/>
  <c r="V886" i="432"/>
  <c r="U886" i="432"/>
  <c r="T886" i="432"/>
  <c r="S886" i="432"/>
  <c r="R886" i="432"/>
  <c r="Q886" i="432"/>
  <c r="B886" i="432"/>
  <c r="P886" i="432" s="1"/>
  <c r="AJ885" i="432"/>
  <c r="V885" i="432"/>
  <c r="U885" i="432"/>
  <c r="T885" i="432"/>
  <c r="S885" i="432"/>
  <c r="R885" i="432"/>
  <c r="Q885" i="432"/>
  <c r="B885" i="432"/>
  <c r="P885" i="432" s="1"/>
  <c r="AJ884" i="432"/>
  <c r="V884" i="432"/>
  <c r="U884" i="432"/>
  <c r="T884" i="432"/>
  <c r="S884" i="432"/>
  <c r="R884" i="432"/>
  <c r="Q884" i="432"/>
  <c r="B884" i="432"/>
  <c r="P884" i="432" s="1"/>
  <c r="AJ883" i="432"/>
  <c r="V883" i="432"/>
  <c r="U883" i="432"/>
  <c r="T883" i="432"/>
  <c r="S883" i="432"/>
  <c r="R883" i="432"/>
  <c r="Q883" i="432"/>
  <c r="B883" i="432"/>
  <c r="P883" i="432" s="1"/>
  <c r="AJ882" i="432"/>
  <c r="V882" i="432"/>
  <c r="U882" i="432"/>
  <c r="T882" i="432"/>
  <c r="S882" i="432"/>
  <c r="R882" i="432"/>
  <c r="Q882" i="432"/>
  <c r="B882" i="432"/>
  <c r="P882" i="432" s="1"/>
  <c r="AJ881" i="432"/>
  <c r="V881" i="432"/>
  <c r="U881" i="432"/>
  <c r="T881" i="432"/>
  <c r="S881" i="432"/>
  <c r="R881" i="432"/>
  <c r="Q881" i="432"/>
  <c r="B881" i="432"/>
  <c r="P881" i="432" s="1"/>
  <c r="AJ880" i="432"/>
  <c r="V880" i="432"/>
  <c r="U880" i="432"/>
  <c r="T880" i="432"/>
  <c r="S880" i="432"/>
  <c r="R880" i="432"/>
  <c r="Q880" i="432"/>
  <c r="B880" i="432"/>
  <c r="P880" i="432" s="1"/>
  <c r="AJ879" i="432"/>
  <c r="V879" i="432"/>
  <c r="U879" i="432"/>
  <c r="T879" i="432"/>
  <c r="S879" i="432"/>
  <c r="R879" i="432"/>
  <c r="Q879" i="432"/>
  <c r="B879" i="432"/>
  <c r="P879" i="432" s="1"/>
  <c r="AJ878" i="432"/>
  <c r="V878" i="432"/>
  <c r="U878" i="432"/>
  <c r="T878" i="432"/>
  <c r="S878" i="432"/>
  <c r="R878" i="432"/>
  <c r="Q878" i="432"/>
  <c r="B878" i="432"/>
  <c r="P878" i="432" s="1"/>
  <c r="AJ877" i="432"/>
  <c r="V877" i="432"/>
  <c r="U877" i="432"/>
  <c r="T877" i="432"/>
  <c r="S877" i="432"/>
  <c r="R877" i="432"/>
  <c r="Q877" i="432"/>
  <c r="B877" i="432"/>
  <c r="P877" i="432" s="1"/>
  <c r="AJ876" i="432"/>
  <c r="V876" i="432"/>
  <c r="U876" i="432"/>
  <c r="T876" i="432"/>
  <c r="S876" i="432"/>
  <c r="R876" i="432"/>
  <c r="Q876" i="432"/>
  <c r="P876" i="432"/>
  <c r="B876" i="432"/>
  <c r="AJ875" i="432"/>
  <c r="V875" i="432"/>
  <c r="U875" i="432"/>
  <c r="T875" i="432"/>
  <c r="S875" i="432"/>
  <c r="R875" i="432"/>
  <c r="Q875" i="432"/>
  <c r="B875" i="432"/>
  <c r="P875" i="432" s="1"/>
  <c r="AJ874" i="432"/>
  <c r="V874" i="432"/>
  <c r="U874" i="432"/>
  <c r="T874" i="432"/>
  <c r="S874" i="432"/>
  <c r="R874" i="432"/>
  <c r="Q874" i="432"/>
  <c r="B874" i="432"/>
  <c r="P874" i="432" s="1"/>
  <c r="AJ873" i="432"/>
  <c r="V873" i="432"/>
  <c r="U873" i="432"/>
  <c r="T873" i="432"/>
  <c r="S873" i="432"/>
  <c r="R873" i="432"/>
  <c r="Q873" i="432"/>
  <c r="B873" i="432"/>
  <c r="P873" i="432" s="1"/>
  <c r="AJ872" i="432"/>
  <c r="V872" i="432"/>
  <c r="U872" i="432"/>
  <c r="T872" i="432"/>
  <c r="S872" i="432"/>
  <c r="R872" i="432"/>
  <c r="Q872" i="432"/>
  <c r="P872" i="432"/>
  <c r="B872" i="432"/>
  <c r="AJ871" i="432"/>
  <c r="V871" i="432"/>
  <c r="U871" i="432"/>
  <c r="T871" i="432"/>
  <c r="S871" i="432"/>
  <c r="R871" i="432"/>
  <c r="Q871" i="432"/>
  <c r="B871" i="432"/>
  <c r="P871" i="432" s="1"/>
  <c r="AJ870" i="432"/>
  <c r="V870" i="432"/>
  <c r="U870" i="432"/>
  <c r="T870" i="432"/>
  <c r="S870" i="432"/>
  <c r="R870" i="432"/>
  <c r="Q870" i="432"/>
  <c r="B870" i="432"/>
  <c r="P870" i="432" s="1"/>
  <c r="AJ869" i="432"/>
  <c r="V869" i="432"/>
  <c r="U869" i="432"/>
  <c r="T869" i="432"/>
  <c r="S869" i="432"/>
  <c r="R869" i="432"/>
  <c r="Q869" i="432"/>
  <c r="P869" i="432"/>
  <c r="B869" i="432"/>
  <c r="AJ868" i="432"/>
  <c r="V868" i="432"/>
  <c r="U868" i="432"/>
  <c r="T868" i="432"/>
  <c r="S868" i="432"/>
  <c r="R868" i="432"/>
  <c r="Q868" i="432"/>
  <c r="B868" i="432"/>
  <c r="P868" i="432" s="1"/>
  <c r="AJ867" i="432"/>
  <c r="V867" i="432"/>
  <c r="U867" i="432"/>
  <c r="T867" i="432"/>
  <c r="S867" i="432"/>
  <c r="R867" i="432"/>
  <c r="Q867" i="432"/>
  <c r="B867" i="432"/>
  <c r="P867" i="432" s="1"/>
  <c r="AJ866" i="432"/>
  <c r="V866" i="432"/>
  <c r="U866" i="432"/>
  <c r="T866" i="432"/>
  <c r="S866" i="432"/>
  <c r="R866" i="432"/>
  <c r="Q866" i="432"/>
  <c r="B866" i="432"/>
  <c r="P866" i="432" s="1"/>
  <c r="AJ865" i="432"/>
  <c r="V865" i="432"/>
  <c r="U865" i="432"/>
  <c r="T865" i="432"/>
  <c r="S865" i="432"/>
  <c r="R865" i="432"/>
  <c r="Q865" i="432"/>
  <c r="B865" i="432"/>
  <c r="P865" i="432" s="1"/>
  <c r="AJ864" i="432"/>
  <c r="V864" i="432"/>
  <c r="U864" i="432"/>
  <c r="T864" i="432"/>
  <c r="S864" i="432"/>
  <c r="R864" i="432"/>
  <c r="Q864" i="432"/>
  <c r="B864" i="432"/>
  <c r="P864" i="432" s="1"/>
  <c r="AJ863" i="432"/>
  <c r="V863" i="432"/>
  <c r="U863" i="432"/>
  <c r="T863" i="432"/>
  <c r="S863" i="432"/>
  <c r="R863" i="432"/>
  <c r="Q863" i="432"/>
  <c r="B863" i="432"/>
  <c r="P863" i="432" s="1"/>
  <c r="AJ862" i="432"/>
  <c r="V862" i="432"/>
  <c r="U862" i="432"/>
  <c r="T862" i="432"/>
  <c r="S862" i="432"/>
  <c r="R862" i="432"/>
  <c r="Q862" i="432"/>
  <c r="B862" i="432"/>
  <c r="P862" i="432" s="1"/>
  <c r="AJ861" i="432"/>
  <c r="V861" i="432"/>
  <c r="U861" i="432"/>
  <c r="T861" i="432"/>
  <c r="S861" i="432"/>
  <c r="R861" i="432"/>
  <c r="Q861" i="432"/>
  <c r="P861" i="432"/>
  <c r="B861" i="432"/>
  <c r="AJ860" i="432"/>
  <c r="V860" i="432"/>
  <c r="U860" i="432"/>
  <c r="T860" i="432"/>
  <c r="S860" i="432"/>
  <c r="R860" i="432"/>
  <c r="Q860" i="432"/>
  <c r="P860" i="432"/>
  <c r="B860" i="432"/>
  <c r="AJ859" i="432"/>
  <c r="V859" i="432"/>
  <c r="U859" i="432"/>
  <c r="T859" i="432"/>
  <c r="S859" i="432"/>
  <c r="R859" i="432"/>
  <c r="Q859" i="432"/>
  <c r="B859" i="432"/>
  <c r="P859" i="432" s="1"/>
  <c r="AJ858" i="432"/>
  <c r="V858" i="432"/>
  <c r="U858" i="432"/>
  <c r="T858" i="432"/>
  <c r="S858" i="432"/>
  <c r="R858" i="432"/>
  <c r="Q858" i="432"/>
  <c r="B858" i="432"/>
  <c r="P858" i="432" s="1"/>
  <c r="AJ857" i="432"/>
  <c r="V857" i="432"/>
  <c r="U857" i="432"/>
  <c r="T857" i="432"/>
  <c r="S857" i="432"/>
  <c r="R857" i="432"/>
  <c r="Q857" i="432"/>
  <c r="B857" i="432"/>
  <c r="P857" i="432" s="1"/>
  <c r="AJ856" i="432"/>
  <c r="V856" i="432"/>
  <c r="U856" i="432"/>
  <c r="T856" i="432"/>
  <c r="S856" i="432"/>
  <c r="R856" i="432"/>
  <c r="Q856" i="432"/>
  <c r="P856" i="432"/>
  <c r="B856" i="432"/>
  <c r="AJ855" i="432"/>
  <c r="V855" i="432"/>
  <c r="U855" i="432"/>
  <c r="T855" i="432"/>
  <c r="S855" i="432"/>
  <c r="R855" i="432"/>
  <c r="Q855" i="432"/>
  <c r="B855" i="432"/>
  <c r="P855" i="432" s="1"/>
  <c r="AJ854" i="432"/>
  <c r="V854" i="432"/>
  <c r="U854" i="432"/>
  <c r="T854" i="432"/>
  <c r="S854" i="432"/>
  <c r="R854" i="432"/>
  <c r="Q854" i="432"/>
  <c r="B854" i="432"/>
  <c r="P854" i="432" s="1"/>
  <c r="AJ853" i="432"/>
  <c r="V853" i="432"/>
  <c r="U853" i="432"/>
  <c r="T853" i="432"/>
  <c r="S853" i="432"/>
  <c r="R853" i="432"/>
  <c r="Q853" i="432"/>
  <c r="B853" i="432"/>
  <c r="P853" i="432" s="1"/>
  <c r="AJ852" i="432"/>
  <c r="V852" i="432"/>
  <c r="U852" i="432"/>
  <c r="T852" i="432"/>
  <c r="S852" i="432"/>
  <c r="R852" i="432"/>
  <c r="Q852" i="432"/>
  <c r="B852" i="432"/>
  <c r="P852" i="432" s="1"/>
  <c r="AJ851" i="432"/>
  <c r="V851" i="432"/>
  <c r="U851" i="432"/>
  <c r="T851" i="432"/>
  <c r="S851" i="432"/>
  <c r="R851" i="432"/>
  <c r="Q851" i="432"/>
  <c r="B851" i="432"/>
  <c r="P851" i="432" s="1"/>
  <c r="AJ850" i="432"/>
  <c r="V850" i="432"/>
  <c r="U850" i="432"/>
  <c r="T850" i="432"/>
  <c r="S850" i="432"/>
  <c r="R850" i="432"/>
  <c r="Q850" i="432"/>
  <c r="B850" i="432"/>
  <c r="P850" i="432" s="1"/>
  <c r="AJ849" i="432"/>
  <c r="V849" i="432"/>
  <c r="U849" i="432"/>
  <c r="T849" i="432"/>
  <c r="S849" i="432"/>
  <c r="R849" i="432"/>
  <c r="Q849" i="432"/>
  <c r="B849" i="432"/>
  <c r="P849" i="432" s="1"/>
  <c r="AJ848" i="432"/>
  <c r="V848" i="432"/>
  <c r="U848" i="432"/>
  <c r="T848" i="432"/>
  <c r="S848" i="432"/>
  <c r="R848" i="432"/>
  <c r="Q848" i="432"/>
  <c r="B848" i="432"/>
  <c r="P848" i="432" s="1"/>
  <c r="AJ847" i="432"/>
  <c r="V847" i="432"/>
  <c r="U847" i="432"/>
  <c r="T847" i="432"/>
  <c r="S847" i="432"/>
  <c r="R847" i="432"/>
  <c r="Q847" i="432"/>
  <c r="B847" i="432"/>
  <c r="P847" i="432" s="1"/>
  <c r="AJ846" i="432"/>
  <c r="V846" i="432"/>
  <c r="U846" i="432"/>
  <c r="T846" i="432"/>
  <c r="S846" i="432"/>
  <c r="R846" i="432"/>
  <c r="Q846" i="432"/>
  <c r="B846" i="432"/>
  <c r="P846" i="432" s="1"/>
  <c r="AJ845" i="432"/>
  <c r="V845" i="432"/>
  <c r="U845" i="432"/>
  <c r="T845" i="432"/>
  <c r="S845" i="432"/>
  <c r="R845" i="432"/>
  <c r="Q845" i="432"/>
  <c r="P845" i="432"/>
  <c r="B845" i="432"/>
  <c r="AJ844" i="432"/>
  <c r="V844" i="432"/>
  <c r="U844" i="432"/>
  <c r="T844" i="432"/>
  <c r="S844" i="432"/>
  <c r="R844" i="432"/>
  <c r="Q844" i="432"/>
  <c r="B844" i="432"/>
  <c r="P844" i="432" s="1"/>
  <c r="AJ843" i="432"/>
  <c r="V843" i="432"/>
  <c r="U843" i="432"/>
  <c r="T843" i="432"/>
  <c r="S843" i="432"/>
  <c r="R843" i="432"/>
  <c r="Q843" i="432"/>
  <c r="B843" i="432"/>
  <c r="P843" i="432" s="1"/>
  <c r="AJ842" i="432"/>
  <c r="V842" i="432"/>
  <c r="U842" i="432"/>
  <c r="T842" i="432"/>
  <c r="S842" i="432"/>
  <c r="R842" i="432"/>
  <c r="Q842" i="432"/>
  <c r="B842" i="432"/>
  <c r="P842" i="432" s="1"/>
  <c r="AJ841" i="432"/>
  <c r="V841" i="432"/>
  <c r="U841" i="432"/>
  <c r="T841" i="432"/>
  <c r="S841" i="432"/>
  <c r="R841" i="432"/>
  <c r="Q841" i="432"/>
  <c r="P841" i="432"/>
  <c r="B841" i="432"/>
  <c r="AJ840" i="432"/>
  <c r="V840" i="432"/>
  <c r="U840" i="432"/>
  <c r="T840" i="432"/>
  <c r="S840" i="432"/>
  <c r="R840" i="432"/>
  <c r="Q840" i="432"/>
  <c r="B840" i="432"/>
  <c r="P840" i="432" s="1"/>
  <c r="AJ839" i="432"/>
  <c r="V839" i="432"/>
  <c r="U839" i="432"/>
  <c r="T839" i="432"/>
  <c r="S839" i="432"/>
  <c r="R839" i="432"/>
  <c r="Q839" i="432"/>
  <c r="B839" i="432"/>
  <c r="P839" i="432" s="1"/>
  <c r="AJ838" i="432"/>
  <c r="V838" i="432"/>
  <c r="U838" i="432"/>
  <c r="T838" i="432"/>
  <c r="S838" i="432"/>
  <c r="R838" i="432"/>
  <c r="Q838" i="432"/>
  <c r="B838" i="432"/>
  <c r="P838" i="432" s="1"/>
  <c r="AJ837" i="432"/>
  <c r="V837" i="432"/>
  <c r="U837" i="432"/>
  <c r="T837" i="432"/>
  <c r="S837" i="432"/>
  <c r="R837" i="432"/>
  <c r="Q837" i="432"/>
  <c r="B837" i="432"/>
  <c r="P837" i="432" s="1"/>
  <c r="AJ836" i="432"/>
  <c r="V836" i="432"/>
  <c r="U836" i="432"/>
  <c r="T836" i="432"/>
  <c r="S836" i="432"/>
  <c r="R836" i="432"/>
  <c r="Q836" i="432"/>
  <c r="B836" i="432"/>
  <c r="P836" i="432" s="1"/>
  <c r="AJ835" i="432"/>
  <c r="V835" i="432"/>
  <c r="U835" i="432"/>
  <c r="T835" i="432"/>
  <c r="S835" i="432"/>
  <c r="R835" i="432"/>
  <c r="Q835" i="432"/>
  <c r="P835" i="432"/>
  <c r="B835" i="432"/>
  <c r="AJ834" i="432"/>
  <c r="V834" i="432"/>
  <c r="U834" i="432"/>
  <c r="T834" i="432"/>
  <c r="S834" i="432"/>
  <c r="R834" i="432"/>
  <c r="Q834" i="432"/>
  <c r="B834" i="432"/>
  <c r="P834" i="432" s="1"/>
  <c r="AJ833" i="432"/>
  <c r="V833" i="432"/>
  <c r="U833" i="432"/>
  <c r="T833" i="432"/>
  <c r="S833" i="432"/>
  <c r="R833" i="432"/>
  <c r="Q833" i="432"/>
  <c r="B833" i="432"/>
  <c r="P833" i="432" s="1"/>
  <c r="AJ832" i="432"/>
  <c r="V832" i="432"/>
  <c r="U832" i="432"/>
  <c r="T832" i="432"/>
  <c r="S832" i="432"/>
  <c r="R832" i="432"/>
  <c r="Q832" i="432"/>
  <c r="B832" i="432"/>
  <c r="P832" i="432" s="1"/>
  <c r="AJ831" i="432"/>
  <c r="V831" i="432"/>
  <c r="U831" i="432"/>
  <c r="T831" i="432"/>
  <c r="S831" i="432"/>
  <c r="R831" i="432"/>
  <c r="Q831" i="432"/>
  <c r="B831" i="432"/>
  <c r="P831" i="432" s="1"/>
  <c r="AJ830" i="432"/>
  <c r="V830" i="432"/>
  <c r="U830" i="432"/>
  <c r="T830" i="432"/>
  <c r="S830" i="432"/>
  <c r="R830" i="432"/>
  <c r="Q830" i="432"/>
  <c r="B830" i="432"/>
  <c r="P830" i="432" s="1"/>
  <c r="AJ829" i="432"/>
  <c r="V829" i="432"/>
  <c r="U829" i="432"/>
  <c r="T829" i="432"/>
  <c r="S829" i="432"/>
  <c r="R829" i="432"/>
  <c r="Q829" i="432"/>
  <c r="B829" i="432"/>
  <c r="P829" i="432" s="1"/>
  <c r="AJ828" i="432"/>
  <c r="V828" i="432"/>
  <c r="U828" i="432"/>
  <c r="T828" i="432"/>
  <c r="S828" i="432"/>
  <c r="R828" i="432"/>
  <c r="Q828" i="432"/>
  <c r="B828" i="432"/>
  <c r="P828" i="432" s="1"/>
  <c r="AJ827" i="432"/>
  <c r="V827" i="432"/>
  <c r="U827" i="432"/>
  <c r="T827" i="432"/>
  <c r="S827" i="432"/>
  <c r="R827" i="432"/>
  <c r="Q827" i="432"/>
  <c r="B827" i="432"/>
  <c r="P827" i="432" s="1"/>
  <c r="AJ826" i="432"/>
  <c r="V826" i="432"/>
  <c r="U826" i="432"/>
  <c r="T826" i="432"/>
  <c r="S826" i="432"/>
  <c r="R826" i="432"/>
  <c r="Q826" i="432"/>
  <c r="B826" i="432"/>
  <c r="P826" i="432" s="1"/>
  <c r="AJ825" i="432"/>
  <c r="V825" i="432"/>
  <c r="U825" i="432"/>
  <c r="T825" i="432"/>
  <c r="S825" i="432"/>
  <c r="R825" i="432"/>
  <c r="Q825" i="432"/>
  <c r="B825" i="432"/>
  <c r="P825" i="432" s="1"/>
  <c r="AJ824" i="432"/>
  <c r="V824" i="432"/>
  <c r="U824" i="432"/>
  <c r="T824" i="432"/>
  <c r="S824" i="432"/>
  <c r="R824" i="432"/>
  <c r="Q824" i="432"/>
  <c r="P824" i="432"/>
  <c r="B824" i="432"/>
  <c r="AJ823" i="432"/>
  <c r="V823" i="432"/>
  <c r="U823" i="432"/>
  <c r="T823" i="432"/>
  <c r="S823" i="432"/>
  <c r="R823" i="432"/>
  <c r="Q823" i="432"/>
  <c r="P823" i="432"/>
  <c r="B823" i="432"/>
  <c r="AJ822" i="432"/>
  <c r="V822" i="432"/>
  <c r="U822" i="432"/>
  <c r="T822" i="432"/>
  <c r="S822" i="432"/>
  <c r="R822" i="432"/>
  <c r="Q822" i="432"/>
  <c r="B822" i="432"/>
  <c r="P822" i="432" s="1"/>
  <c r="AJ821" i="432"/>
  <c r="V821" i="432"/>
  <c r="U821" i="432"/>
  <c r="T821" i="432"/>
  <c r="S821" i="432"/>
  <c r="R821" i="432"/>
  <c r="Q821" i="432"/>
  <c r="B821" i="432"/>
  <c r="P821" i="432" s="1"/>
  <c r="AJ820" i="432"/>
  <c r="V820" i="432"/>
  <c r="U820" i="432"/>
  <c r="T820" i="432"/>
  <c r="S820" i="432"/>
  <c r="R820" i="432"/>
  <c r="Q820" i="432"/>
  <c r="B820" i="432"/>
  <c r="P820" i="432" s="1"/>
  <c r="AJ819" i="432"/>
  <c r="V819" i="432"/>
  <c r="U819" i="432"/>
  <c r="T819" i="432"/>
  <c r="S819" i="432"/>
  <c r="R819" i="432"/>
  <c r="Q819" i="432"/>
  <c r="B819" i="432"/>
  <c r="P819" i="432" s="1"/>
  <c r="AJ818" i="432"/>
  <c r="V818" i="432"/>
  <c r="U818" i="432"/>
  <c r="T818" i="432"/>
  <c r="S818" i="432"/>
  <c r="R818" i="432"/>
  <c r="Q818" i="432"/>
  <c r="P818" i="432"/>
  <c r="B818" i="432"/>
  <c r="AJ817" i="432"/>
  <c r="V817" i="432"/>
  <c r="U817" i="432"/>
  <c r="T817" i="432"/>
  <c r="S817" i="432"/>
  <c r="R817" i="432"/>
  <c r="Q817" i="432"/>
  <c r="B817" i="432"/>
  <c r="P817" i="432" s="1"/>
  <c r="AJ816" i="432"/>
  <c r="V816" i="432"/>
  <c r="U816" i="432"/>
  <c r="T816" i="432"/>
  <c r="S816" i="432"/>
  <c r="R816" i="432"/>
  <c r="Q816" i="432"/>
  <c r="B816" i="432"/>
  <c r="P816" i="432" s="1"/>
  <c r="AJ815" i="432"/>
  <c r="V815" i="432"/>
  <c r="U815" i="432"/>
  <c r="T815" i="432"/>
  <c r="S815" i="432"/>
  <c r="R815" i="432"/>
  <c r="Q815" i="432"/>
  <c r="B815" i="432"/>
  <c r="P815" i="432" s="1"/>
  <c r="AJ814" i="432"/>
  <c r="V814" i="432"/>
  <c r="U814" i="432"/>
  <c r="T814" i="432"/>
  <c r="S814" i="432"/>
  <c r="R814" i="432"/>
  <c r="Q814" i="432"/>
  <c r="B814" i="432"/>
  <c r="P814" i="432" s="1"/>
  <c r="AJ813" i="432"/>
  <c r="V813" i="432"/>
  <c r="U813" i="432"/>
  <c r="T813" i="432"/>
  <c r="S813" i="432"/>
  <c r="R813" i="432"/>
  <c r="Q813" i="432"/>
  <c r="P813" i="432"/>
  <c r="B813" i="432"/>
  <c r="AJ812" i="432"/>
  <c r="V812" i="432"/>
  <c r="U812" i="432"/>
  <c r="T812" i="432"/>
  <c r="S812" i="432"/>
  <c r="R812" i="432"/>
  <c r="Q812" i="432"/>
  <c r="B812" i="432"/>
  <c r="P812" i="432" s="1"/>
  <c r="AJ811" i="432"/>
  <c r="V811" i="432"/>
  <c r="U811" i="432"/>
  <c r="T811" i="432"/>
  <c r="S811" i="432"/>
  <c r="R811" i="432"/>
  <c r="Q811" i="432"/>
  <c r="B811" i="432"/>
  <c r="P811" i="432" s="1"/>
  <c r="AJ810" i="432"/>
  <c r="V810" i="432"/>
  <c r="U810" i="432"/>
  <c r="T810" i="432"/>
  <c r="S810" i="432"/>
  <c r="R810" i="432"/>
  <c r="Q810" i="432"/>
  <c r="B810" i="432"/>
  <c r="P810" i="432" s="1"/>
  <c r="AJ809" i="432"/>
  <c r="V809" i="432"/>
  <c r="U809" i="432"/>
  <c r="T809" i="432"/>
  <c r="S809" i="432"/>
  <c r="R809" i="432"/>
  <c r="Q809" i="432"/>
  <c r="B809" i="432"/>
  <c r="P809" i="432" s="1"/>
  <c r="AJ808" i="432"/>
  <c r="V808" i="432"/>
  <c r="U808" i="432"/>
  <c r="T808" i="432"/>
  <c r="S808" i="432"/>
  <c r="R808" i="432"/>
  <c r="Q808" i="432"/>
  <c r="B808" i="432"/>
  <c r="P808" i="432" s="1"/>
  <c r="AJ807" i="432"/>
  <c r="V807" i="432"/>
  <c r="U807" i="432"/>
  <c r="T807" i="432"/>
  <c r="S807" i="432"/>
  <c r="R807" i="432"/>
  <c r="Q807" i="432"/>
  <c r="B807" i="432"/>
  <c r="P807" i="432" s="1"/>
  <c r="AJ806" i="432"/>
  <c r="V806" i="432"/>
  <c r="U806" i="432"/>
  <c r="T806" i="432"/>
  <c r="S806" i="432"/>
  <c r="R806" i="432"/>
  <c r="Q806" i="432"/>
  <c r="B806" i="432"/>
  <c r="P806" i="432" s="1"/>
  <c r="AJ805" i="432"/>
  <c r="V805" i="432"/>
  <c r="U805" i="432"/>
  <c r="T805" i="432"/>
  <c r="S805" i="432"/>
  <c r="R805" i="432"/>
  <c r="Q805" i="432"/>
  <c r="B805" i="432"/>
  <c r="P805" i="432" s="1"/>
  <c r="AJ804" i="432"/>
  <c r="V804" i="432"/>
  <c r="U804" i="432"/>
  <c r="T804" i="432"/>
  <c r="S804" i="432"/>
  <c r="R804" i="432"/>
  <c r="Q804" i="432"/>
  <c r="B804" i="432"/>
  <c r="P804" i="432" s="1"/>
  <c r="AJ803" i="432"/>
  <c r="V803" i="432"/>
  <c r="U803" i="432"/>
  <c r="T803" i="432"/>
  <c r="S803" i="432"/>
  <c r="R803" i="432"/>
  <c r="Q803" i="432"/>
  <c r="B803" i="432"/>
  <c r="P803" i="432" s="1"/>
  <c r="AJ802" i="432"/>
  <c r="V802" i="432"/>
  <c r="U802" i="432"/>
  <c r="T802" i="432"/>
  <c r="S802" i="432"/>
  <c r="R802" i="432"/>
  <c r="Q802" i="432"/>
  <c r="B802" i="432"/>
  <c r="P802" i="432" s="1"/>
  <c r="AJ801" i="432"/>
  <c r="V801" i="432"/>
  <c r="U801" i="432"/>
  <c r="T801" i="432"/>
  <c r="S801" i="432"/>
  <c r="R801" i="432"/>
  <c r="Q801" i="432"/>
  <c r="B801" i="432"/>
  <c r="P801" i="432" s="1"/>
  <c r="AJ800" i="432"/>
  <c r="V800" i="432"/>
  <c r="U800" i="432"/>
  <c r="T800" i="432"/>
  <c r="S800" i="432"/>
  <c r="R800" i="432"/>
  <c r="Q800" i="432"/>
  <c r="B800" i="432"/>
  <c r="P800" i="432" s="1"/>
  <c r="AJ799" i="432"/>
  <c r="V799" i="432"/>
  <c r="U799" i="432"/>
  <c r="T799" i="432"/>
  <c r="S799" i="432"/>
  <c r="R799" i="432"/>
  <c r="Q799" i="432"/>
  <c r="B799" i="432"/>
  <c r="P799" i="432" s="1"/>
  <c r="AJ798" i="432"/>
  <c r="V798" i="432"/>
  <c r="U798" i="432"/>
  <c r="T798" i="432"/>
  <c r="S798" i="432"/>
  <c r="R798" i="432"/>
  <c r="Q798" i="432"/>
  <c r="B798" i="432"/>
  <c r="P798" i="432" s="1"/>
  <c r="AJ797" i="432"/>
  <c r="V797" i="432"/>
  <c r="U797" i="432"/>
  <c r="T797" i="432"/>
  <c r="S797" i="432"/>
  <c r="R797" i="432"/>
  <c r="Q797" i="432"/>
  <c r="B797" i="432"/>
  <c r="P797" i="432" s="1"/>
  <c r="AJ796" i="432"/>
  <c r="V796" i="432"/>
  <c r="U796" i="432"/>
  <c r="T796" i="432"/>
  <c r="S796" i="432"/>
  <c r="R796" i="432"/>
  <c r="Q796" i="432"/>
  <c r="P796" i="432"/>
  <c r="B796" i="432"/>
  <c r="AJ795" i="432"/>
  <c r="V795" i="432"/>
  <c r="U795" i="432"/>
  <c r="T795" i="432"/>
  <c r="S795" i="432"/>
  <c r="R795" i="432"/>
  <c r="Q795" i="432"/>
  <c r="B795" i="432"/>
  <c r="P795" i="432" s="1"/>
  <c r="AJ794" i="432"/>
  <c r="V794" i="432"/>
  <c r="U794" i="432"/>
  <c r="T794" i="432"/>
  <c r="S794" i="432"/>
  <c r="R794" i="432"/>
  <c r="Q794" i="432"/>
  <c r="P794" i="432"/>
  <c r="B794" i="432"/>
  <c r="AJ793" i="432"/>
  <c r="V793" i="432"/>
  <c r="U793" i="432"/>
  <c r="T793" i="432"/>
  <c r="S793" i="432"/>
  <c r="R793" i="432"/>
  <c r="Q793" i="432"/>
  <c r="B793" i="432"/>
  <c r="P793" i="432" s="1"/>
  <c r="AJ792" i="432"/>
  <c r="V792" i="432"/>
  <c r="U792" i="432"/>
  <c r="T792" i="432"/>
  <c r="S792" i="432"/>
  <c r="R792" i="432"/>
  <c r="Q792" i="432"/>
  <c r="B792" i="432"/>
  <c r="P792" i="432" s="1"/>
  <c r="AJ791" i="432"/>
  <c r="V791" i="432"/>
  <c r="U791" i="432"/>
  <c r="T791" i="432"/>
  <c r="S791" i="432"/>
  <c r="R791" i="432"/>
  <c r="Q791" i="432"/>
  <c r="B791" i="432"/>
  <c r="P791" i="432" s="1"/>
  <c r="AJ790" i="432"/>
  <c r="V790" i="432"/>
  <c r="U790" i="432"/>
  <c r="T790" i="432"/>
  <c r="S790" i="432"/>
  <c r="R790" i="432"/>
  <c r="Q790" i="432"/>
  <c r="B790" i="432"/>
  <c r="P790" i="432" s="1"/>
  <c r="AJ789" i="432"/>
  <c r="V789" i="432"/>
  <c r="U789" i="432"/>
  <c r="T789" i="432"/>
  <c r="S789" i="432"/>
  <c r="R789" i="432"/>
  <c r="Q789" i="432"/>
  <c r="B789" i="432"/>
  <c r="P789" i="432" s="1"/>
  <c r="AJ788" i="432"/>
  <c r="V788" i="432"/>
  <c r="U788" i="432"/>
  <c r="T788" i="432"/>
  <c r="S788" i="432"/>
  <c r="R788" i="432"/>
  <c r="Q788" i="432"/>
  <c r="B788" i="432"/>
  <c r="P788" i="432" s="1"/>
  <c r="AJ787" i="432"/>
  <c r="V787" i="432"/>
  <c r="U787" i="432"/>
  <c r="T787" i="432"/>
  <c r="S787" i="432"/>
  <c r="R787" i="432"/>
  <c r="Q787" i="432"/>
  <c r="B787" i="432"/>
  <c r="P787" i="432" s="1"/>
  <c r="AJ786" i="432"/>
  <c r="V786" i="432"/>
  <c r="U786" i="432"/>
  <c r="T786" i="432"/>
  <c r="S786" i="432"/>
  <c r="R786" i="432"/>
  <c r="Q786" i="432"/>
  <c r="B786" i="432"/>
  <c r="P786" i="432" s="1"/>
  <c r="AJ785" i="432"/>
  <c r="V785" i="432"/>
  <c r="U785" i="432"/>
  <c r="T785" i="432"/>
  <c r="S785" i="432"/>
  <c r="R785" i="432"/>
  <c r="Q785" i="432"/>
  <c r="P785" i="432"/>
  <c r="B785" i="432"/>
  <c r="AJ784" i="432"/>
  <c r="V784" i="432"/>
  <c r="U784" i="432"/>
  <c r="T784" i="432"/>
  <c r="S784" i="432"/>
  <c r="R784" i="432"/>
  <c r="Q784" i="432"/>
  <c r="B784" i="432"/>
  <c r="P784" i="432" s="1"/>
  <c r="AJ783" i="432"/>
  <c r="V783" i="432"/>
  <c r="U783" i="432"/>
  <c r="T783" i="432"/>
  <c r="S783" i="432"/>
  <c r="R783" i="432"/>
  <c r="Q783" i="432"/>
  <c r="B783" i="432"/>
  <c r="P783" i="432" s="1"/>
  <c r="AJ782" i="432"/>
  <c r="V782" i="432"/>
  <c r="U782" i="432"/>
  <c r="T782" i="432"/>
  <c r="S782" i="432"/>
  <c r="R782" i="432"/>
  <c r="Q782" i="432"/>
  <c r="B782" i="432"/>
  <c r="P782" i="432" s="1"/>
  <c r="AJ781" i="432"/>
  <c r="V781" i="432"/>
  <c r="U781" i="432"/>
  <c r="T781" i="432"/>
  <c r="S781" i="432"/>
  <c r="R781" i="432"/>
  <c r="Q781" i="432"/>
  <c r="B781" i="432"/>
  <c r="P781" i="432" s="1"/>
  <c r="AJ780" i="432"/>
  <c r="V780" i="432"/>
  <c r="U780" i="432"/>
  <c r="T780" i="432"/>
  <c r="S780" i="432"/>
  <c r="R780" i="432"/>
  <c r="Q780" i="432"/>
  <c r="B780" i="432"/>
  <c r="P780" i="432" s="1"/>
  <c r="AJ779" i="432"/>
  <c r="V779" i="432"/>
  <c r="U779" i="432"/>
  <c r="T779" i="432"/>
  <c r="S779" i="432"/>
  <c r="R779" i="432"/>
  <c r="Q779" i="432"/>
  <c r="B779" i="432"/>
  <c r="P779" i="432" s="1"/>
  <c r="AJ778" i="432"/>
  <c r="V778" i="432"/>
  <c r="U778" i="432"/>
  <c r="T778" i="432"/>
  <c r="S778" i="432"/>
  <c r="R778" i="432"/>
  <c r="Q778" i="432"/>
  <c r="B778" i="432"/>
  <c r="P778" i="432" s="1"/>
  <c r="AJ777" i="432"/>
  <c r="V777" i="432"/>
  <c r="U777" i="432"/>
  <c r="T777" i="432"/>
  <c r="S777" i="432"/>
  <c r="R777" i="432"/>
  <c r="Q777" i="432"/>
  <c r="B777" i="432"/>
  <c r="P777" i="432" s="1"/>
  <c r="AJ776" i="432"/>
  <c r="V776" i="432"/>
  <c r="U776" i="432"/>
  <c r="T776" i="432"/>
  <c r="S776" i="432"/>
  <c r="R776" i="432"/>
  <c r="Q776" i="432"/>
  <c r="B776" i="432"/>
  <c r="P776" i="432" s="1"/>
  <c r="AJ775" i="432"/>
  <c r="V775" i="432"/>
  <c r="U775" i="432"/>
  <c r="T775" i="432"/>
  <c r="S775" i="432"/>
  <c r="R775" i="432"/>
  <c r="Q775" i="432"/>
  <c r="B775" i="432"/>
  <c r="P775" i="432" s="1"/>
  <c r="AJ774" i="432"/>
  <c r="V774" i="432"/>
  <c r="U774" i="432"/>
  <c r="T774" i="432"/>
  <c r="S774" i="432"/>
  <c r="R774" i="432"/>
  <c r="Q774" i="432"/>
  <c r="B774" i="432"/>
  <c r="P774" i="432" s="1"/>
  <c r="AJ773" i="432"/>
  <c r="V773" i="432"/>
  <c r="U773" i="432"/>
  <c r="T773" i="432"/>
  <c r="S773" i="432"/>
  <c r="R773" i="432"/>
  <c r="Q773" i="432"/>
  <c r="P773" i="432"/>
  <c r="B773" i="432"/>
  <c r="AJ772" i="432"/>
  <c r="V772" i="432"/>
  <c r="U772" i="432"/>
  <c r="T772" i="432"/>
  <c r="S772" i="432"/>
  <c r="R772" i="432"/>
  <c r="Q772" i="432"/>
  <c r="B772" i="432"/>
  <c r="P772" i="432" s="1"/>
  <c r="AJ771" i="432"/>
  <c r="V771" i="432"/>
  <c r="U771" i="432"/>
  <c r="T771" i="432"/>
  <c r="S771" i="432"/>
  <c r="R771" i="432"/>
  <c r="Q771" i="432"/>
  <c r="B771" i="432"/>
  <c r="P771" i="432" s="1"/>
  <c r="AJ770" i="432"/>
  <c r="V770" i="432"/>
  <c r="U770" i="432"/>
  <c r="T770" i="432"/>
  <c r="S770" i="432"/>
  <c r="R770" i="432"/>
  <c r="Q770" i="432"/>
  <c r="B770" i="432"/>
  <c r="P770" i="432" s="1"/>
  <c r="AJ769" i="432"/>
  <c r="V769" i="432"/>
  <c r="U769" i="432"/>
  <c r="T769" i="432"/>
  <c r="S769" i="432"/>
  <c r="R769" i="432"/>
  <c r="Q769" i="432"/>
  <c r="P769" i="432"/>
  <c r="B769" i="432"/>
  <c r="AJ768" i="432"/>
  <c r="V768" i="432"/>
  <c r="U768" i="432"/>
  <c r="T768" i="432"/>
  <c r="S768" i="432"/>
  <c r="R768" i="432"/>
  <c r="Q768" i="432"/>
  <c r="B768" i="432"/>
  <c r="P768" i="432" s="1"/>
  <c r="AJ767" i="432"/>
  <c r="V767" i="432"/>
  <c r="U767" i="432"/>
  <c r="T767" i="432"/>
  <c r="S767" i="432"/>
  <c r="R767" i="432"/>
  <c r="Q767" i="432"/>
  <c r="B767" i="432"/>
  <c r="P767" i="432" s="1"/>
  <c r="AJ766" i="432"/>
  <c r="V766" i="432"/>
  <c r="U766" i="432"/>
  <c r="T766" i="432"/>
  <c r="S766" i="432"/>
  <c r="R766" i="432"/>
  <c r="Q766" i="432"/>
  <c r="B766" i="432"/>
  <c r="P766" i="432" s="1"/>
  <c r="AJ765" i="432"/>
  <c r="V765" i="432"/>
  <c r="U765" i="432"/>
  <c r="T765" i="432"/>
  <c r="S765" i="432"/>
  <c r="R765" i="432"/>
  <c r="Q765" i="432"/>
  <c r="B765" i="432"/>
  <c r="P765" i="432" s="1"/>
  <c r="AJ764" i="432"/>
  <c r="V764" i="432"/>
  <c r="U764" i="432"/>
  <c r="T764" i="432"/>
  <c r="S764" i="432"/>
  <c r="R764" i="432"/>
  <c r="Q764" i="432"/>
  <c r="B764" i="432"/>
  <c r="P764" i="432" s="1"/>
  <c r="AJ763" i="432"/>
  <c r="V763" i="432"/>
  <c r="U763" i="432"/>
  <c r="T763" i="432"/>
  <c r="S763" i="432"/>
  <c r="R763" i="432"/>
  <c r="Q763" i="432"/>
  <c r="B763" i="432"/>
  <c r="P763" i="432" s="1"/>
  <c r="AJ762" i="432"/>
  <c r="V762" i="432"/>
  <c r="U762" i="432"/>
  <c r="T762" i="432"/>
  <c r="S762" i="432"/>
  <c r="R762" i="432"/>
  <c r="Q762" i="432"/>
  <c r="B762" i="432"/>
  <c r="P762" i="432" s="1"/>
  <c r="AJ761" i="432"/>
  <c r="V761" i="432"/>
  <c r="U761" i="432"/>
  <c r="T761" i="432"/>
  <c r="S761" i="432"/>
  <c r="R761" i="432"/>
  <c r="Q761" i="432"/>
  <c r="B761" i="432"/>
  <c r="P761" i="432" s="1"/>
  <c r="AJ760" i="432"/>
  <c r="V760" i="432"/>
  <c r="U760" i="432"/>
  <c r="T760" i="432"/>
  <c r="S760" i="432"/>
  <c r="R760" i="432"/>
  <c r="Q760" i="432"/>
  <c r="P760" i="432"/>
  <c r="B760" i="432"/>
  <c r="AJ759" i="432"/>
  <c r="V759" i="432"/>
  <c r="U759" i="432"/>
  <c r="T759" i="432"/>
  <c r="S759" i="432"/>
  <c r="R759" i="432"/>
  <c r="Q759" i="432"/>
  <c r="B759" i="432"/>
  <c r="P759" i="432" s="1"/>
  <c r="AJ758" i="432"/>
  <c r="V758" i="432"/>
  <c r="U758" i="432"/>
  <c r="T758" i="432"/>
  <c r="S758" i="432"/>
  <c r="R758" i="432"/>
  <c r="Q758" i="432"/>
  <c r="B758" i="432"/>
  <c r="P758" i="432" s="1"/>
  <c r="AJ757" i="432"/>
  <c r="V757" i="432"/>
  <c r="U757" i="432"/>
  <c r="T757" i="432"/>
  <c r="S757" i="432"/>
  <c r="R757" i="432"/>
  <c r="Q757" i="432"/>
  <c r="B757" i="432"/>
  <c r="P757" i="432" s="1"/>
  <c r="AJ756" i="432"/>
  <c r="V756" i="432"/>
  <c r="U756" i="432"/>
  <c r="T756" i="432"/>
  <c r="S756" i="432"/>
  <c r="R756" i="432"/>
  <c r="Q756" i="432"/>
  <c r="B756" i="432"/>
  <c r="P756" i="432" s="1"/>
  <c r="AJ755" i="432"/>
  <c r="V755" i="432"/>
  <c r="U755" i="432"/>
  <c r="T755" i="432"/>
  <c r="S755" i="432"/>
  <c r="R755" i="432"/>
  <c r="Q755" i="432"/>
  <c r="B755" i="432"/>
  <c r="P755" i="432" s="1"/>
  <c r="AJ754" i="432"/>
  <c r="V754" i="432"/>
  <c r="U754" i="432"/>
  <c r="T754" i="432"/>
  <c r="S754" i="432"/>
  <c r="R754" i="432"/>
  <c r="Q754" i="432"/>
  <c r="B754" i="432"/>
  <c r="P754" i="432" s="1"/>
  <c r="AJ753" i="432"/>
  <c r="V753" i="432"/>
  <c r="U753" i="432"/>
  <c r="T753" i="432"/>
  <c r="S753" i="432"/>
  <c r="R753" i="432"/>
  <c r="Q753" i="432"/>
  <c r="B753" i="432"/>
  <c r="P753" i="432" s="1"/>
  <c r="AJ752" i="432"/>
  <c r="V752" i="432"/>
  <c r="U752" i="432"/>
  <c r="T752" i="432"/>
  <c r="S752" i="432"/>
  <c r="R752" i="432"/>
  <c r="Q752" i="432"/>
  <c r="B752" i="432"/>
  <c r="P752" i="432" s="1"/>
  <c r="AJ751" i="432"/>
  <c r="V751" i="432"/>
  <c r="U751" i="432"/>
  <c r="T751" i="432"/>
  <c r="S751" i="432"/>
  <c r="R751" i="432"/>
  <c r="Q751" i="432"/>
  <c r="B751" i="432"/>
  <c r="P751" i="432" s="1"/>
  <c r="AJ750" i="432"/>
  <c r="V750" i="432"/>
  <c r="U750" i="432"/>
  <c r="T750" i="432"/>
  <c r="S750" i="432"/>
  <c r="R750" i="432"/>
  <c r="Q750" i="432"/>
  <c r="P750" i="432"/>
  <c r="B750" i="432"/>
  <c r="AJ749" i="432"/>
  <c r="V749" i="432"/>
  <c r="U749" i="432"/>
  <c r="T749" i="432"/>
  <c r="S749" i="432"/>
  <c r="R749" i="432"/>
  <c r="Q749" i="432"/>
  <c r="P749" i="432"/>
  <c r="B749" i="432"/>
  <c r="AJ748" i="432"/>
  <c r="V748" i="432"/>
  <c r="U748" i="432"/>
  <c r="T748" i="432"/>
  <c r="S748" i="432"/>
  <c r="R748" i="432"/>
  <c r="Q748" i="432"/>
  <c r="B748" i="432"/>
  <c r="P748" i="432" s="1"/>
  <c r="AJ747" i="432"/>
  <c r="V747" i="432"/>
  <c r="U747" i="432"/>
  <c r="T747" i="432"/>
  <c r="S747" i="432"/>
  <c r="R747" i="432"/>
  <c r="Q747" i="432"/>
  <c r="B747" i="432"/>
  <c r="P747" i="432" s="1"/>
  <c r="AJ746" i="432"/>
  <c r="V746" i="432"/>
  <c r="U746" i="432"/>
  <c r="T746" i="432"/>
  <c r="S746" i="432"/>
  <c r="R746" i="432"/>
  <c r="Q746" i="432"/>
  <c r="B746" i="432"/>
  <c r="P746" i="432" s="1"/>
  <c r="AJ745" i="432"/>
  <c r="V745" i="432"/>
  <c r="U745" i="432"/>
  <c r="T745" i="432"/>
  <c r="S745" i="432"/>
  <c r="R745" i="432"/>
  <c r="Q745" i="432"/>
  <c r="P745" i="432"/>
  <c r="B745" i="432"/>
  <c r="AJ744" i="432"/>
  <c r="V744" i="432"/>
  <c r="U744" i="432"/>
  <c r="T744" i="432"/>
  <c r="S744" i="432"/>
  <c r="R744" i="432"/>
  <c r="Q744" i="432"/>
  <c r="B744" i="432"/>
  <c r="P744" i="432" s="1"/>
  <c r="AJ743" i="432"/>
  <c r="V743" i="432"/>
  <c r="U743" i="432"/>
  <c r="T743" i="432"/>
  <c r="S743" i="432"/>
  <c r="R743" i="432"/>
  <c r="Q743" i="432"/>
  <c r="B743" i="432"/>
  <c r="P743" i="432" s="1"/>
  <c r="AJ742" i="432"/>
  <c r="V742" i="432"/>
  <c r="U742" i="432"/>
  <c r="T742" i="432"/>
  <c r="S742" i="432"/>
  <c r="R742" i="432"/>
  <c r="Q742" i="432"/>
  <c r="B742" i="432"/>
  <c r="P742" i="432" s="1"/>
  <c r="AJ741" i="432"/>
  <c r="V741" i="432"/>
  <c r="U741" i="432"/>
  <c r="T741" i="432"/>
  <c r="S741" i="432"/>
  <c r="R741" i="432"/>
  <c r="Q741" i="432"/>
  <c r="B741" i="432"/>
  <c r="P741" i="432" s="1"/>
  <c r="AJ740" i="432"/>
  <c r="V740" i="432"/>
  <c r="U740" i="432"/>
  <c r="T740" i="432"/>
  <c r="S740" i="432"/>
  <c r="R740" i="432"/>
  <c r="Q740" i="432"/>
  <c r="B740" i="432"/>
  <c r="P740" i="432" s="1"/>
  <c r="AJ739" i="432"/>
  <c r="V739" i="432"/>
  <c r="U739" i="432"/>
  <c r="T739" i="432"/>
  <c r="S739" i="432"/>
  <c r="R739" i="432"/>
  <c r="Q739" i="432"/>
  <c r="B739" i="432"/>
  <c r="P739" i="432" s="1"/>
  <c r="AJ738" i="432"/>
  <c r="V738" i="432"/>
  <c r="U738" i="432"/>
  <c r="T738" i="432"/>
  <c r="S738" i="432"/>
  <c r="R738" i="432"/>
  <c r="Q738" i="432"/>
  <c r="B738" i="432"/>
  <c r="P738" i="432" s="1"/>
  <c r="AJ737" i="432"/>
  <c r="V737" i="432"/>
  <c r="U737" i="432"/>
  <c r="T737" i="432"/>
  <c r="S737" i="432"/>
  <c r="R737" i="432"/>
  <c r="Q737" i="432"/>
  <c r="B737" i="432"/>
  <c r="P737" i="432" s="1"/>
  <c r="AJ736" i="432"/>
  <c r="V736" i="432"/>
  <c r="U736" i="432"/>
  <c r="T736" i="432"/>
  <c r="S736" i="432"/>
  <c r="R736" i="432"/>
  <c r="Q736" i="432"/>
  <c r="B736" i="432"/>
  <c r="P736" i="432" s="1"/>
  <c r="AJ735" i="432"/>
  <c r="V735" i="432"/>
  <c r="U735" i="432"/>
  <c r="T735" i="432"/>
  <c r="S735" i="432"/>
  <c r="R735" i="432"/>
  <c r="Q735" i="432"/>
  <c r="B735" i="432"/>
  <c r="P735" i="432" s="1"/>
  <c r="AJ734" i="432"/>
  <c r="V734" i="432"/>
  <c r="U734" i="432"/>
  <c r="T734" i="432"/>
  <c r="S734" i="432"/>
  <c r="R734" i="432"/>
  <c r="Q734" i="432"/>
  <c r="B734" i="432"/>
  <c r="P734" i="432" s="1"/>
  <c r="AJ733" i="432"/>
  <c r="V733" i="432"/>
  <c r="U733" i="432"/>
  <c r="T733" i="432"/>
  <c r="S733" i="432"/>
  <c r="R733" i="432"/>
  <c r="Q733" i="432"/>
  <c r="B733" i="432"/>
  <c r="P733" i="432" s="1"/>
  <c r="AJ732" i="432"/>
  <c r="V732" i="432"/>
  <c r="U732" i="432"/>
  <c r="T732" i="432"/>
  <c r="S732" i="432"/>
  <c r="R732" i="432"/>
  <c r="Q732" i="432"/>
  <c r="B732" i="432"/>
  <c r="P732" i="432" s="1"/>
  <c r="AJ731" i="432"/>
  <c r="V731" i="432"/>
  <c r="U731" i="432"/>
  <c r="T731" i="432"/>
  <c r="S731" i="432"/>
  <c r="R731" i="432"/>
  <c r="Q731" i="432"/>
  <c r="B731" i="432"/>
  <c r="P731" i="432" s="1"/>
  <c r="AJ730" i="432"/>
  <c r="V730" i="432"/>
  <c r="U730" i="432"/>
  <c r="T730" i="432"/>
  <c r="S730" i="432"/>
  <c r="R730" i="432"/>
  <c r="Q730" i="432"/>
  <c r="B730" i="432"/>
  <c r="P730" i="432" s="1"/>
  <c r="AJ729" i="432"/>
  <c r="V729" i="432"/>
  <c r="U729" i="432"/>
  <c r="T729" i="432"/>
  <c r="S729" i="432"/>
  <c r="R729" i="432"/>
  <c r="Q729" i="432"/>
  <c r="B729" i="432"/>
  <c r="P729" i="432" s="1"/>
  <c r="AJ728" i="432"/>
  <c r="V728" i="432"/>
  <c r="U728" i="432"/>
  <c r="T728" i="432"/>
  <c r="S728" i="432"/>
  <c r="R728" i="432"/>
  <c r="Q728" i="432"/>
  <c r="P728" i="432"/>
  <c r="B728" i="432"/>
  <c r="AJ727" i="432"/>
  <c r="V727" i="432"/>
  <c r="U727" i="432"/>
  <c r="T727" i="432"/>
  <c r="S727" i="432"/>
  <c r="R727" i="432"/>
  <c r="Q727" i="432"/>
  <c r="B727" i="432"/>
  <c r="P727" i="432" s="1"/>
  <c r="AJ726" i="432"/>
  <c r="V726" i="432"/>
  <c r="U726" i="432"/>
  <c r="T726" i="432"/>
  <c r="S726" i="432"/>
  <c r="R726" i="432"/>
  <c r="Q726" i="432"/>
  <c r="P726" i="432"/>
  <c r="B726" i="432"/>
  <c r="AJ725" i="432"/>
  <c r="V725" i="432"/>
  <c r="U725" i="432"/>
  <c r="T725" i="432"/>
  <c r="S725" i="432"/>
  <c r="R725" i="432"/>
  <c r="Q725" i="432"/>
  <c r="B725" i="432"/>
  <c r="P725" i="432" s="1"/>
  <c r="AJ724" i="432"/>
  <c r="V724" i="432"/>
  <c r="U724" i="432"/>
  <c r="T724" i="432"/>
  <c r="S724" i="432"/>
  <c r="R724" i="432"/>
  <c r="Q724" i="432"/>
  <c r="B724" i="432"/>
  <c r="P724" i="432" s="1"/>
  <c r="AJ723" i="432"/>
  <c r="V723" i="432"/>
  <c r="U723" i="432"/>
  <c r="T723" i="432"/>
  <c r="S723" i="432"/>
  <c r="R723" i="432"/>
  <c r="Q723" i="432"/>
  <c r="B723" i="432"/>
  <c r="P723" i="432" s="1"/>
  <c r="AJ722" i="432"/>
  <c r="V722" i="432"/>
  <c r="U722" i="432"/>
  <c r="T722" i="432"/>
  <c r="S722" i="432"/>
  <c r="R722" i="432"/>
  <c r="Q722" i="432"/>
  <c r="B722" i="432"/>
  <c r="P722" i="432" s="1"/>
  <c r="AJ721" i="432"/>
  <c r="V721" i="432"/>
  <c r="U721" i="432"/>
  <c r="T721" i="432"/>
  <c r="S721" i="432"/>
  <c r="R721" i="432"/>
  <c r="Q721" i="432"/>
  <c r="B721" i="432"/>
  <c r="P721" i="432" s="1"/>
  <c r="AJ720" i="432"/>
  <c r="V720" i="432"/>
  <c r="U720" i="432"/>
  <c r="T720" i="432"/>
  <c r="S720" i="432"/>
  <c r="R720" i="432"/>
  <c r="Q720" i="432"/>
  <c r="B720" i="432"/>
  <c r="P720" i="432" s="1"/>
  <c r="AJ719" i="432"/>
  <c r="V719" i="432"/>
  <c r="U719" i="432"/>
  <c r="T719" i="432"/>
  <c r="S719" i="432"/>
  <c r="R719" i="432"/>
  <c r="Q719" i="432"/>
  <c r="B719" i="432"/>
  <c r="P719" i="432" s="1"/>
  <c r="AJ718" i="432"/>
  <c r="V718" i="432"/>
  <c r="U718" i="432"/>
  <c r="T718" i="432"/>
  <c r="S718" i="432"/>
  <c r="R718" i="432"/>
  <c r="Q718" i="432"/>
  <c r="B718" i="432"/>
  <c r="P718" i="432" s="1"/>
  <c r="AJ717" i="432"/>
  <c r="V717" i="432"/>
  <c r="U717" i="432"/>
  <c r="T717" i="432"/>
  <c r="S717" i="432"/>
  <c r="R717" i="432"/>
  <c r="Q717" i="432"/>
  <c r="B717" i="432"/>
  <c r="P717" i="432" s="1"/>
  <c r="AJ716" i="432"/>
  <c r="V716" i="432"/>
  <c r="U716" i="432"/>
  <c r="T716" i="432"/>
  <c r="S716" i="432"/>
  <c r="R716" i="432"/>
  <c r="Q716" i="432"/>
  <c r="B716" i="432"/>
  <c r="P716" i="432" s="1"/>
  <c r="AJ715" i="432"/>
  <c r="V715" i="432"/>
  <c r="U715" i="432"/>
  <c r="T715" i="432"/>
  <c r="S715" i="432"/>
  <c r="R715" i="432"/>
  <c r="Q715" i="432"/>
  <c r="B715" i="432"/>
  <c r="P715" i="432" s="1"/>
  <c r="AJ714" i="432"/>
  <c r="V714" i="432"/>
  <c r="U714" i="432"/>
  <c r="T714" i="432"/>
  <c r="S714" i="432"/>
  <c r="R714" i="432"/>
  <c r="Q714" i="432"/>
  <c r="P714" i="432"/>
  <c r="B714" i="432"/>
  <c r="AJ713" i="432"/>
  <c r="V713" i="432"/>
  <c r="U713" i="432"/>
  <c r="T713" i="432"/>
  <c r="S713" i="432"/>
  <c r="R713" i="432"/>
  <c r="Q713" i="432"/>
  <c r="B713" i="432"/>
  <c r="P713" i="432" s="1"/>
  <c r="AJ712" i="432"/>
  <c r="V712" i="432"/>
  <c r="U712" i="432"/>
  <c r="T712" i="432"/>
  <c r="S712" i="432"/>
  <c r="R712" i="432"/>
  <c r="Q712" i="432"/>
  <c r="B712" i="432"/>
  <c r="P712" i="432" s="1"/>
  <c r="AJ711" i="432"/>
  <c r="V711" i="432"/>
  <c r="U711" i="432"/>
  <c r="T711" i="432"/>
  <c r="S711" i="432"/>
  <c r="R711" i="432"/>
  <c r="Q711" i="432"/>
  <c r="B711" i="432"/>
  <c r="P711" i="432" s="1"/>
  <c r="AJ710" i="432"/>
  <c r="V710" i="432"/>
  <c r="U710" i="432"/>
  <c r="T710" i="432"/>
  <c r="S710" i="432"/>
  <c r="R710" i="432"/>
  <c r="Q710" i="432"/>
  <c r="B710" i="432"/>
  <c r="P710" i="432" s="1"/>
  <c r="AJ709" i="432"/>
  <c r="V709" i="432"/>
  <c r="U709" i="432"/>
  <c r="T709" i="432"/>
  <c r="S709" i="432"/>
  <c r="R709" i="432"/>
  <c r="Q709" i="432"/>
  <c r="B709" i="432"/>
  <c r="P709" i="432" s="1"/>
  <c r="AJ708" i="432"/>
  <c r="V708" i="432"/>
  <c r="U708" i="432"/>
  <c r="T708" i="432"/>
  <c r="S708" i="432"/>
  <c r="R708" i="432"/>
  <c r="Q708" i="432"/>
  <c r="B708" i="432"/>
  <c r="P708" i="432" s="1"/>
  <c r="AJ707" i="432"/>
  <c r="V707" i="432"/>
  <c r="U707" i="432"/>
  <c r="T707" i="432"/>
  <c r="S707" i="432"/>
  <c r="R707" i="432"/>
  <c r="Q707" i="432"/>
  <c r="B707" i="432"/>
  <c r="P707" i="432" s="1"/>
  <c r="AJ706" i="432"/>
  <c r="V706" i="432"/>
  <c r="U706" i="432"/>
  <c r="T706" i="432"/>
  <c r="S706" i="432"/>
  <c r="R706" i="432"/>
  <c r="Q706" i="432"/>
  <c r="B706" i="432"/>
  <c r="P706" i="432" s="1"/>
  <c r="AJ705" i="432"/>
  <c r="V705" i="432"/>
  <c r="U705" i="432"/>
  <c r="T705" i="432"/>
  <c r="S705" i="432"/>
  <c r="R705" i="432"/>
  <c r="Q705" i="432"/>
  <c r="B705" i="432"/>
  <c r="P705" i="432" s="1"/>
  <c r="AJ704" i="432"/>
  <c r="V704" i="432"/>
  <c r="U704" i="432"/>
  <c r="T704" i="432"/>
  <c r="S704" i="432"/>
  <c r="R704" i="432"/>
  <c r="Q704" i="432"/>
  <c r="B704" i="432"/>
  <c r="P704" i="432" s="1"/>
  <c r="AJ703" i="432"/>
  <c r="V703" i="432"/>
  <c r="U703" i="432"/>
  <c r="T703" i="432"/>
  <c r="S703" i="432"/>
  <c r="R703" i="432"/>
  <c r="Q703" i="432"/>
  <c r="B703" i="432"/>
  <c r="P703" i="432" s="1"/>
  <c r="AJ702" i="432"/>
  <c r="V702" i="432"/>
  <c r="U702" i="432"/>
  <c r="T702" i="432"/>
  <c r="S702" i="432"/>
  <c r="R702" i="432"/>
  <c r="Q702" i="432"/>
  <c r="B702" i="432"/>
  <c r="P702" i="432" s="1"/>
  <c r="AJ701" i="432"/>
  <c r="V701" i="432"/>
  <c r="U701" i="432"/>
  <c r="T701" i="432"/>
  <c r="S701" i="432"/>
  <c r="R701" i="432"/>
  <c r="Q701" i="432"/>
  <c r="P701" i="432"/>
  <c r="B701" i="432"/>
  <c r="AJ700" i="432"/>
  <c r="V700" i="432"/>
  <c r="U700" i="432"/>
  <c r="T700" i="432"/>
  <c r="S700" i="432"/>
  <c r="R700" i="432"/>
  <c r="Q700" i="432"/>
  <c r="B700" i="432"/>
  <c r="P700" i="432" s="1"/>
  <c r="AJ699" i="432"/>
  <c r="V699" i="432"/>
  <c r="U699" i="432"/>
  <c r="T699" i="432"/>
  <c r="S699" i="432"/>
  <c r="R699" i="432"/>
  <c r="Q699" i="432"/>
  <c r="B699" i="432"/>
  <c r="P699" i="432" s="1"/>
  <c r="AJ698" i="432"/>
  <c r="V698" i="432"/>
  <c r="U698" i="432"/>
  <c r="T698" i="432"/>
  <c r="S698" i="432"/>
  <c r="R698" i="432"/>
  <c r="Q698" i="432"/>
  <c r="P698" i="432"/>
  <c r="B698" i="432"/>
  <c r="AJ697" i="432"/>
  <c r="V697" i="432"/>
  <c r="U697" i="432"/>
  <c r="T697" i="432"/>
  <c r="S697" i="432"/>
  <c r="R697" i="432"/>
  <c r="Q697" i="432"/>
  <c r="B697" i="432"/>
  <c r="P697" i="432" s="1"/>
  <c r="AJ696" i="432"/>
  <c r="V696" i="432"/>
  <c r="U696" i="432"/>
  <c r="T696" i="432"/>
  <c r="S696" i="432"/>
  <c r="R696" i="432"/>
  <c r="Q696" i="432"/>
  <c r="B696" i="432"/>
  <c r="P696" i="432" s="1"/>
  <c r="AJ695" i="432"/>
  <c r="V695" i="432"/>
  <c r="U695" i="432"/>
  <c r="T695" i="432"/>
  <c r="S695" i="432"/>
  <c r="R695" i="432"/>
  <c r="Q695" i="432"/>
  <c r="B695" i="432"/>
  <c r="P695" i="432" s="1"/>
  <c r="AJ694" i="432"/>
  <c r="V694" i="432"/>
  <c r="U694" i="432"/>
  <c r="T694" i="432"/>
  <c r="S694" i="432"/>
  <c r="R694" i="432"/>
  <c r="Q694" i="432"/>
  <c r="B694" i="432"/>
  <c r="P694" i="432" s="1"/>
  <c r="AJ693" i="432"/>
  <c r="V693" i="432"/>
  <c r="U693" i="432"/>
  <c r="T693" i="432"/>
  <c r="S693" i="432"/>
  <c r="R693" i="432"/>
  <c r="Q693" i="432"/>
  <c r="B693" i="432"/>
  <c r="P693" i="432" s="1"/>
  <c r="AJ692" i="432"/>
  <c r="V692" i="432"/>
  <c r="U692" i="432"/>
  <c r="T692" i="432"/>
  <c r="S692" i="432"/>
  <c r="R692" i="432"/>
  <c r="Q692" i="432"/>
  <c r="P692" i="432"/>
  <c r="B692" i="432"/>
  <c r="AJ691" i="432"/>
  <c r="V691" i="432"/>
  <c r="U691" i="432"/>
  <c r="T691" i="432"/>
  <c r="S691" i="432"/>
  <c r="R691" i="432"/>
  <c r="Q691" i="432"/>
  <c r="B691" i="432"/>
  <c r="P691" i="432" s="1"/>
  <c r="AJ690" i="432"/>
  <c r="V690" i="432"/>
  <c r="U690" i="432"/>
  <c r="T690" i="432"/>
  <c r="S690" i="432"/>
  <c r="R690" i="432"/>
  <c r="Q690" i="432"/>
  <c r="B690" i="432"/>
  <c r="P690" i="432" s="1"/>
  <c r="AJ689" i="432"/>
  <c r="V689" i="432"/>
  <c r="U689" i="432"/>
  <c r="T689" i="432"/>
  <c r="S689" i="432"/>
  <c r="R689" i="432"/>
  <c r="Q689" i="432"/>
  <c r="B689" i="432"/>
  <c r="P689" i="432" s="1"/>
  <c r="AJ688" i="432"/>
  <c r="V688" i="432"/>
  <c r="U688" i="432"/>
  <c r="T688" i="432"/>
  <c r="S688" i="432"/>
  <c r="R688" i="432"/>
  <c r="Q688" i="432"/>
  <c r="B688" i="432"/>
  <c r="P688" i="432" s="1"/>
  <c r="AJ687" i="432"/>
  <c r="V687" i="432"/>
  <c r="U687" i="432"/>
  <c r="T687" i="432"/>
  <c r="S687" i="432"/>
  <c r="R687" i="432"/>
  <c r="Q687" i="432"/>
  <c r="B687" i="432"/>
  <c r="P687" i="432" s="1"/>
  <c r="AJ686" i="432"/>
  <c r="V686" i="432"/>
  <c r="U686" i="432"/>
  <c r="T686" i="432"/>
  <c r="S686" i="432"/>
  <c r="R686" i="432"/>
  <c r="Q686" i="432"/>
  <c r="B686" i="432"/>
  <c r="P686" i="432" s="1"/>
  <c r="AJ685" i="432"/>
  <c r="V685" i="432"/>
  <c r="U685" i="432"/>
  <c r="T685" i="432"/>
  <c r="S685" i="432"/>
  <c r="R685" i="432"/>
  <c r="Q685" i="432"/>
  <c r="B685" i="432"/>
  <c r="P685" i="432" s="1"/>
  <c r="AJ684" i="432"/>
  <c r="V684" i="432"/>
  <c r="U684" i="432"/>
  <c r="T684" i="432"/>
  <c r="S684" i="432"/>
  <c r="R684" i="432"/>
  <c r="Q684" i="432"/>
  <c r="B684" i="432"/>
  <c r="P684" i="432" s="1"/>
  <c r="AJ683" i="432"/>
  <c r="V683" i="432"/>
  <c r="U683" i="432"/>
  <c r="T683" i="432"/>
  <c r="S683" i="432"/>
  <c r="R683" i="432"/>
  <c r="Q683" i="432"/>
  <c r="B683" i="432"/>
  <c r="P683" i="432" s="1"/>
  <c r="AJ682" i="432"/>
  <c r="V682" i="432"/>
  <c r="U682" i="432"/>
  <c r="T682" i="432"/>
  <c r="S682" i="432"/>
  <c r="R682" i="432"/>
  <c r="Q682" i="432"/>
  <c r="B682" i="432"/>
  <c r="P682" i="432" s="1"/>
  <c r="AJ681" i="432"/>
  <c r="V681" i="432"/>
  <c r="U681" i="432"/>
  <c r="T681" i="432"/>
  <c r="S681" i="432"/>
  <c r="R681" i="432"/>
  <c r="Q681" i="432"/>
  <c r="B681" i="432"/>
  <c r="P681" i="432" s="1"/>
  <c r="AJ680" i="432"/>
  <c r="V680" i="432"/>
  <c r="U680" i="432"/>
  <c r="T680" i="432"/>
  <c r="S680" i="432"/>
  <c r="R680" i="432"/>
  <c r="Q680" i="432"/>
  <c r="B680" i="432"/>
  <c r="P680" i="432" s="1"/>
  <c r="AJ679" i="432"/>
  <c r="V679" i="432"/>
  <c r="U679" i="432"/>
  <c r="T679" i="432"/>
  <c r="S679" i="432"/>
  <c r="R679" i="432"/>
  <c r="Q679" i="432"/>
  <c r="P679" i="432"/>
  <c r="B679" i="432"/>
  <c r="AJ678" i="432"/>
  <c r="V678" i="432"/>
  <c r="U678" i="432"/>
  <c r="T678" i="432"/>
  <c r="S678" i="432"/>
  <c r="R678" i="432"/>
  <c r="Q678" i="432"/>
  <c r="B678" i="432"/>
  <c r="P678" i="432" s="1"/>
  <c r="AJ677" i="432"/>
  <c r="V677" i="432"/>
  <c r="U677" i="432"/>
  <c r="T677" i="432"/>
  <c r="S677" i="432"/>
  <c r="R677" i="432"/>
  <c r="Q677" i="432"/>
  <c r="P677" i="432"/>
  <c r="B677" i="432"/>
  <c r="AJ676" i="432"/>
  <c r="V676" i="432"/>
  <c r="U676" i="432"/>
  <c r="T676" i="432"/>
  <c r="S676" i="432"/>
  <c r="R676" i="432"/>
  <c r="Q676" i="432"/>
  <c r="B676" i="432"/>
  <c r="P676" i="432" s="1"/>
  <c r="AJ675" i="432"/>
  <c r="V675" i="432"/>
  <c r="U675" i="432"/>
  <c r="T675" i="432"/>
  <c r="S675" i="432"/>
  <c r="R675" i="432"/>
  <c r="Q675" i="432"/>
  <c r="B675" i="432"/>
  <c r="P675" i="432" s="1"/>
  <c r="AJ674" i="432"/>
  <c r="V674" i="432"/>
  <c r="U674" i="432"/>
  <c r="T674" i="432"/>
  <c r="S674" i="432"/>
  <c r="R674" i="432"/>
  <c r="Q674" i="432"/>
  <c r="P674" i="432"/>
  <c r="B674" i="432"/>
  <c r="AJ673" i="432"/>
  <c r="V673" i="432"/>
  <c r="U673" i="432"/>
  <c r="T673" i="432"/>
  <c r="S673" i="432"/>
  <c r="R673" i="432"/>
  <c r="Q673" i="432"/>
  <c r="B673" i="432"/>
  <c r="P673" i="432" s="1"/>
  <c r="AJ672" i="432"/>
  <c r="V672" i="432"/>
  <c r="U672" i="432"/>
  <c r="T672" i="432"/>
  <c r="S672" i="432"/>
  <c r="R672" i="432"/>
  <c r="Q672" i="432"/>
  <c r="B672" i="432"/>
  <c r="P672" i="432" s="1"/>
  <c r="AJ671" i="432"/>
  <c r="V671" i="432"/>
  <c r="U671" i="432"/>
  <c r="T671" i="432"/>
  <c r="S671" i="432"/>
  <c r="R671" i="432"/>
  <c r="Q671" i="432"/>
  <c r="B671" i="432"/>
  <c r="P671" i="432" s="1"/>
  <c r="AJ670" i="432"/>
  <c r="V670" i="432"/>
  <c r="U670" i="432"/>
  <c r="T670" i="432"/>
  <c r="S670" i="432"/>
  <c r="R670" i="432"/>
  <c r="Q670" i="432"/>
  <c r="B670" i="432"/>
  <c r="P670" i="432" s="1"/>
  <c r="AJ669" i="432"/>
  <c r="V669" i="432"/>
  <c r="U669" i="432"/>
  <c r="T669" i="432"/>
  <c r="S669" i="432"/>
  <c r="R669" i="432"/>
  <c r="Q669" i="432"/>
  <c r="B669" i="432"/>
  <c r="P669" i="432" s="1"/>
  <c r="AJ668" i="432"/>
  <c r="V668" i="432"/>
  <c r="U668" i="432"/>
  <c r="T668" i="432"/>
  <c r="S668" i="432"/>
  <c r="R668" i="432"/>
  <c r="Q668" i="432"/>
  <c r="B668" i="432"/>
  <c r="P668" i="432" s="1"/>
  <c r="AJ667" i="432"/>
  <c r="V667" i="432"/>
  <c r="U667" i="432"/>
  <c r="T667" i="432"/>
  <c r="S667" i="432"/>
  <c r="R667" i="432"/>
  <c r="Q667" i="432"/>
  <c r="B667" i="432"/>
  <c r="P667" i="432" s="1"/>
  <c r="AJ666" i="432"/>
  <c r="V666" i="432"/>
  <c r="U666" i="432"/>
  <c r="T666" i="432"/>
  <c r="S666" i="432"/>
  <c r="R666" i="432"/>
  <c r="Q666" i="432"/>
  <c r="P666" i="432"/>
  <c r="B666" i="432"/>
  <c r="AJ665" i="432"/>
  <c r="V665" i="432"/>
  <c r="U665" i="432"/>
  <c r="T665" i="432"/>
  <c r="S665" i="432"/>
  <c r="R665" i="432"/>
  <c r="Q665" i="432"/>
  <c r="B665" i="432"/>
  <c r="P665" i="432" s="1"/>
  <c r="AJ664" i="432"/>
  <c r="V664" i="432"/>
  <c r="U664" i="432"/>
  <c r="T664" i="432"/>
  <c r="S664" i="432"/>
  <c r="R664" i="432"/>
  <c r="Q664" i="432"/>
  <c r="B664" i="432"/>
  <c r="P664" i="432" s="1"/>
  <c r="AJ663" i="432"/>
  <c r="V663" i="432"/>
  <c r="U663" i="432"/>
  <c r="T663" i="432"/>
  <c r="S663" i="432"/>
  <c r="R663" i="432"/>
  <c r="Q663" i="432"/>
  <c r="B663" i="432"/>
  <c r="P663" i="432" s="1"/>
  <c r="AJ662" i="432"/>
  <c r="V662" i="432"/>
  <c r="U662" i="432"/>
  <c r="T662" i="432"/>
  <c r="S662" i="432"/>
  <c r="R662" i="432"/>
  <c r="Q662" i="432"/>
  <c r="B662" i="432"/>
  <c r="P662" i="432" s="1"/>
  <c r="AJ661" i="432"/>
  <c r="V661" i="432"/>
  <c r="U661" i="432"/>
  <c r="T661" i="432"/>
  <c r="S661" i="432"/>
  <c r="R661" i="432"/>
  <c r="Q661" i="432"/>
  <c r="B661" i="432"/>
  <c r="P661" i="432" s="1"/>
  <c r="AJ660" i="432"/>
  <c r="V660" i="432"/>
  <c r="U660" i="432"/>
  <c r="T660" i="432"/>
  <c r="S660" i="432"/>
  <c r="R660" i="432"/>
  <c r="Q660" i="432"/>
  <c r="P660" i="432"/>
  <c r="B660" i="432"/>
  <c r="AJ659" i="432"/>
  <c r="V659" i="432"/>
  <c r="U659" i="432"/>
  <c r="T659" i="432"/>
  <c r="S659" i="432"/>
  <c r="R659" i="432"/>
  <c r="Q659" i="432"/>
  <c r="B659" i="432"/>
  <c r="P659" i="432" s="1"/>
  <c r="AJ658" i="432"/>
  <c r="V658" i="432"/>
  <c r="U658" i="432"/>
  <c r="T658" i="432"/>
  <c r="S658" i="432"/>
  <c r="R658" i="432"/>
  <c r="Q658" i="432"/>
  <c r="B658" i="432"/>
  <c r="P658" i="432" s="1"/>
  <c r="AJ657" i="432"/>
  <c r="V657" i="432"/>
  <c r="U657" i="432"/>
  <c r="T657" i="432"/>
  <c r="S657" i="432"/>
  <c r="R657" i="432"/>
  <c r="Q657" i="432"/>
  <c r="B657" i="432"/>
  <c r="P657" i="432" s="1"/>
  <c r="AJ656" i="432"/>
  <c r="V656" i="432"/>
  <c r="U656" i="432"/>
  <c r="T656" i="432"/>
  <c r="S656" i="432"/>
  <c r="R656" i="432"/>
  <c r="Q656" i="432"/>
  <c r="B656" i="432"/>
  <c r="P656" i="432" s="1"/>
  <c r="AJ655" i="432"/>
  <c r="V655" i="432"/>
  <c r="U655" i="432"/>
  <c r="T655" i="432"/>
  <c r="S655" i="432"/>
  <c r="R655" i="432"/>
  <c r="Q655" i="432"/>
  <c r="B655" i="432"/>
  <c r="P655" i="432" s="1"/>
  <c r="AJ654" i="432"/>
  <c r="V654" i="432"/>
  <c r="U654" i="432"/>
  <c r="T654" i="432"/>
  <c r="S654" i="432"/>
  <c r="R654" i="432"/>
  <c r="Q654" i="432"/>
  <c r="B654" i="432"/>
  <c r="P654" i="432" s="1"/>
  <c r="AJ653" i="432"/>
  <c r="V653" i="432"/>
  <c r="U653" i="432"/>
  <c r="T653" i="432"/>
  <c r="S653" i="432"/>
  <c r="R653" i="432"/>
  <c r="Q653" i="432"/>
  <c r="B653" i="432"/>
  <c r="P653" i="432" s="1"/>
  <c r="AJ652" i="432"/>
  <c r="V652" i="432"/>
  <c r="U652" i="432"/>
  <c r="T652" i="432"/>
  <c r="S652" i="432"/>
  <c r="R652" i="432"/>
  <c r="Q652" i="432"/>
  <c r="B652" i="432"/>
  <c r="P652" i="432" s="1"/>
  <c r="AJ651" i="432"/>
  <c r="V651" i="432"/>
  <c r="U651" i="432"/>
  <c r="T651" i="432"/>
  <c r="S651" i="432"/>
  <c r="R651" i="432"/>
  <c r="Q651" i="432"/>
  <c r="B651" i="432"/>
  <c r="P651" i="432" s="1"/>
  <c r="AJ650" i="432"/>
  <c r="V650" i="432"/>
  <c r="U650" i="432"/>
  <c r="T650" i="432"/>
  <c r="S650" i="432"/>
  <c r="R650" i="432"/>
  <c r="Q650" i="432"/>
  <c r="P650" i="432"/>
  <c r="B650" i="432"/>
  <c r="AJ649" i="432"/>
  <c r="V649" i="432"/>
  <c r="U649" i="432"/>
  <c r="T649" i="432"/>
  <c r="S649" i="432"/>
  <c r="R649" i="432"/>
  <c r="Q649" i="432"/>
  <c r="P649" i="432"/>
  <c r="B649" i="432"/>
  <c r="AJ648" i="432"/>
  <c r="V648" i="432"/>
  <c r="U648" i="432"/>
  <c r="T648" i="432"/>
  <c r="S648" i="432"/>
  <c r="R648" i="432"/>
  <c r="Q648" i="432"/>
  <c r="B648" i="432"/>
  <c r="P648" i="432" s="1"/>
  <c r="AJ647" i="432"/>
  <c r="V647" i="432"/>
  <c r="U647" i="432"/>
  <c r="T647" i="432"/>
  <c r="S647" i="432"/>
  <c r="R647" i="432"/>
  <c r="Q647" i="432"/>
  <c r="B647" i="432"/>
  <c r="P647" i="432" s="1"/>
  <c r="AJ646" i="432"/>
  <c r="V646" i="432"/>
  <c r="U646" i="432"/>
  <c r="T646" i="432"/>
  <c r="S646" i="432"/>
  <c r="R646" i="432"/>
  <c r="Q646" i="432"/>
  <c r="B646" i="432"/>
  <c r="P646" i="432" s="1"/>
  <c r="AJ645" i="432"/>
  <c r="V645" i="432"/>
  <c r="U645" i="432"/>
  <c r="T645" i="432"/>
  <c r="S645" i="432"/>
  <c r="R645" i="432"/>
  <c r="Q645" i="432"/>
  <c r="P645" i="432"/>
  <c r="B645" i="432"/>
  <c r="AJ644" i="432"/>
  <c r="V644" i="432"/>
  <c r="U644" i="432"/>
  <c r="T644" i="432"/>
  <c r="S644" i="432"/>
  <c r="R644" i="432"/>
  <c r="Q644" i="432"/>
  <c r="P644" i="432"/>
  <c r="B644" i="432"/>
  <c r="AJ643" i="432"/>
  <c r="V643" i="432"/>
  <c r="U643" i="432"/>
  <c r="T643" i="432"/>
  <c r="S643" i="432"/>
  <c r="R643" i="432"/>
  <c r="Q643" i="432"/>
  <c r="B643" i="432"/>
  <c r="P643" i="432" s="1"/>
  <c r="AJ642" i="432"/>
  <c r="V642" i="432"/>
  <c r="U642" i="432"/>
  <c r="T642" i="432"/>
  <c r="S642" i="432"/>
  <c r="R642" i="432"/>
  <c r="Q642" i="432"/>
  <c r="P642" i="432"/>
  <c r="B642" i="432"/>
  <c r="AJ641" i="432"/>
  <c r="V641" i="432"/>
  <c r="U641" i="432"/>
  <c r="T641" i="432"/>
  <c r="S641" i="432"/>
  <c r="R641" i="432"/>
  <c r="Q641" i="432"/>
  <c r="B641" i="432"/>
  <c r="P641" i="432" s="1"/>
  <c r="AJ640" i="432"/>
  <c r="V640" i="432"/>
  <c r="U640" i="432"/>
  <c r="T640" i="432"/>
  <c r="S640" i="432"/>
  <c r="R640" i="432"/>
  <c r="Q640" i="432"/>
  <c r="B640" i="432"/>
  <c r="P640" i="432" s="1"/>
  <c r="AJ639" i="432"/>
  <c r="V639" i="432"/>
  <c r="U639" i="432"/>
  <c r="T639" i="432"/>
  <c r="S639" i="432"/>
  <c r="R639" i="432"/>
  <c r="Q639" i="432"/>
  <c r="B639" i="432"/>
  <c r="P639" i="432" s="1"/>
  <c r="AJ638" i="432"/>
  <c r="V638" i="432"/>
  <c r="U638" i="432"/>
  <c r="T638" i="432"/>
  <c r="S638" i="432"/>
  <c r="R638" i="432"/>
  <c r="Q638" i="432"/>
  <c r="B638" i="432"/>
  <c r="P638" i="432" s="1"/>
  <c r="AJ637" i="432"/>
  <c r="V637" i="432"/>
  <c r="U637" i="432"/>
  <c r="T637" i="432"/>
  <c r="S637" i="432"/>
  <c r="R637" i="432"/>
  <c r="Q637" i="432"/>
  <c r="B637" i="432"/>
  <c r="P637" i="432" s="1"/>
  <c r="AJ636" i="432"/>
  <c r="V636" i="432"/>
  <c r="U636" i="432"/>
  <c r="T636" i="432"/>
  <c r="S636" i="432"/>
  <c r="R636" i="432"/>
  <c r="Q636" i="432"/>
  <c r="B636" i="432"/>
  <c r="P636" i="432" s="1"/>
  <c r="AJ635" i="432"/>
  <c r="V635" i="432"/>
  <c r="U635" i="432"/>
  <c r="T635" i="432"/>
  <c r="S635" i="432"/>
  <c r="R635" i="432"/>
  <c r="Q635" i="432"/>
  <c r="B635" i="432"/>
  <c r="P635" i="432" s="1"/>
  <c r="AJ634" i="432"/>
  <c r="V634" i="432"/>
  <c r="U634" i="432"/>
  <c r="T634" i="432"/>
  <c r="S634" i="432"/>
  <c r="R634" i="432"/>
  <c r="Q634" i="432"/>
  <c r="B634" i="432"/>
  <c r="P634" i="432" s="1"/>
  <c r="AJ633" i="432"/>
  <c r="V633" i="432"/>
  <c r="U633" i="432"/>
  <c r="T633" i="432"/>
  <c r="S633" i="432"/>
  <c r="R633" i="432"/>
  <c r="Q633" i="432"/>
  <c r="B633" i="432"/>
  <c r="P633" i="432" s="1"/>
  <c r="AJ632" i="432"/>
  <c r="V632" i="432"/>
  <c r="U632" i="432"/>
  <c r="T632" i="432"/>
  <c r="S632" i="432"/>
  <c r="R632" i="432"/>
  <c r="Q632" i="432"/>
  <c r="P632" i="432"/>
  <c r="B632" i="432"/>
  <c r="AJ631" i="432"/>
  <c r="V631" i="432"/>
  <c r="U631" i="432"/>
  <c r="T631" i="432"/>
  <c r="S631" i="432"/>
  <c r="R631" i="432"/>
  <c r="Q631" i="432"/>
  <c r="B631" i="432"/>
  <c r="P631" i="432" s="1"/>
  <c r="AJ630" i="432"/>
  <c r="V630" i="432"/>
  <c r="U630" i="432"/>
  <c r="T630" i="432"/>
  <c r="S630" i="432"/>
  <c r="R630" i="432"/>
  <c r="Q630" i="432"/>
  <c r="P630" i="432"/>
  <c r="B630" i="432"/>
  <c r="AJ629" i="432"/>
  <c r="V629" i="432"/>
  <c r="U629" i="432"/>
  <c r="T629" i="432"/>
  <c r="S629" i="432"/>
  <c r="R629" i="432"/>
  <c r="Q629" i="432"/>
  <c r="P629" i="432"/>
  <c r="B629" i="432"/>
  <c r="AJ628" i="432"/>
  <c r="V628" i="432"/>
  <c r="U628" i="432"/>
  <c r="T628" i="432"/>
  <c r="S628" i="432"/>
  <c r="R628" i="432"/>
  <c r="Q628" i="432"/>
  <c r="B628" i="432"/>
  <c r="P628" i="432" s="1"/>
  <c r="AJ627" i="432"/>
  <c r="V627" i="432"/>
  <c r="U627" i="432"/>
  <c r="T627" i="432"/>
  <c r="S627" i="432"/>
  <c r="R627" i="432"/>
  <c r="Q627" i="432"/>
  <c r="B627" i="432"/>
  <c r="P627" i="432" s="1"/>
  <c r="AJ626" i="432"/>
  <c r="V626" i="432"/>
  <c r="U626" i="432"/>
  <c r="T626" i="432"/>
  <c r="S626" i="432"/>
  <c r="R626" i="432"/>
  <c r="Q626" i="432"/>
  <c r="P626" i="432"/>
  <c r="B626" i="432"/>
  <c r="AJ625" i="432"/>
  <c r="V625" i="432"/>
  <c r="U625" i="432"/>
  <c r="T625" i="432"/>
  <c r="S625" i="432"/>
  <c r="R625" i="432"/>
  <c r="Q625" i="432"/>
  <c r="P625" i="432"/>
  <c r="B625" i="432"/>
  <c r="AJ624" i="432"/>
  <c r="V624" i="432"/>
  <c r="U624" i="432"/>
  <c r="T624" i="432"/>
  <c r="S624" i="432"/>
  <c r="R624" i="432"/>
  <c r="Q624" i="432"/>
  <c r="P624" i="432"/>
  <c r="B624" i="432"/>
  <c r="AJ623" i="432"/>
  <c r="V623" i="432"/>
  <c r="U623" i="432"/>
  <c r="T623" i="432"/>
  <c r="S623" i="432"/>
  <c r="R623" i="432"/>
  <c r="Q623" i="432"/>
  <c r="B623" i="432"/>
  <c r="P623" i="432" s="1"/>
  <c r="AJ622" i="432"/>
  <c r="V622" i="432"/>
  <c r="U622" i="432"/>
  <c r="T622" i="432"/>
  <c r="S622" i="432"/>
  <c r="R622" i="432"/>
  <c r="Q622" i="432"/>
  <c r="B622" i="432"/>
  <c r="P622" i="432" s="1"/>
  <c r="AJ621" i="432"/>
  <c r="V621" i="432"/>
  <c r="U621" i="432"/>
  <c r="T621" i="432"/>
  <c r="S621" i="432"/>
  <c r="R621" i="432"/>
  <c r="Q621" i="432"/>
  <c r="P621" i="432"/>
  <c r="B621" i="432"/>
  <c r="AJ620" i="432"/>
  <c r="V620" i="432"/>
  <c r="U620" i="432"/>
  <c r="T620" i="432"/>
  <c r="S620" i="432"/>
  <c r="R620" i="432"/>
  <c r="Q620" i="432"/>
  <c r="B620" i="432"/>
  <c r="P620" i="432" s="1"/>
  <c r="AJ619" i="432"/>
  <c r="V619" i="432"/>
  <c r="U619" i="432"/>
  <c r="T619" i="432"/>
  <c r="S619" i="432"/>
  <c r="R619" i="432"/>
  <c r="Q619" i="432"/>
  <c r="B619" i="432"/>
  <c r="P619" i="432" s="1"/>
  <c r="AJ618" i="432"/>
  <c r="V618" i="432"/>
  <c r="U618" i="432"/>
  <c r="T618" i="432"/>
  <c r="S618" i="432"/>
  <c r="R618" i="432"/>
  <c r="Q618" i="432"/>
  <c r="B618" i="432"/>
  <c r="P618" i="432" s="1"/>
  <c r="AJ617" i="432"/>
  <c r="V617" i="432"/>
  <c r="U617" i="432"/>
  <c r="T617" i="432"/>
  <c r="S617" i="432"/>
  <c r="R617" i="432"/>
  <c r="Q617" i="432"/>
  <c r="B617" i="432"/>
  <c r="P617" i="432" s="1"/>
  <c r="AJ616" i="432"/>
  <c r="V616" i="432"/>
  <c r="U616" i="432"/>
  <c r="T616" i="432"/>
  <c r="S616" i="432"/>
  <c r="R616" i="432"/>
  <c r="Q616" i="432"/>
  <c r="B616" i="432"/>
  <c r="P616" i="432" s="1"/>
  <c r="AJ615" i="432"/>
  <c r="V615" i="432"/>
  <c r="U615" i="432"/>
  <c r="T615" i="432"/>
  <c r="S615" i="432"/>
  <c r="R615" i="432"/>
  <c r="Q615" i="432"/>
  <c r="B615" i="432"/>
  <c r="P615" i="432" s="1"/>
  <c r="AJ614" i="432"/>
  <c r="V614" i="432"/>
  <c r="U614" i="432"/>
  <c r="T614" i="432"/>
  <c r="S614" i="432"/>
  <c r="R614" i="432"/>
  <c r="Q614" i="432"/>
  <c r="B614" i="432"/>
  <c r="P614" i="432" s="1"/>
  <c r="AJ613" i="432"/>
  <c r="V613" i="432"/>
  <c r="U613" i="432"/>
  <c r="T613" i="432"/>
  <c r="S613" i="432"/>
  <c r="R613" i="432"/>
  <c r="Q613" i="432"/>
  <c r="B613" i="432"/>
  <c r="P613" i="432" s="1"/>
  <c r="AJ612" i="432"/>
  <c r="V612" i="432"/>
  <c r="U612" i="432"/>
  <c r="T612" i="432"/>
  <c r="S612" i="432"/>
  <c r="R612" i="432"/>
  <c r="Q612" i="432"/>
  <c r="P612" i="432"/>
  <c r="B612" i="432"/>
  <c r="AJ611" i="432"/>
  <c r="V611" i="432"/>
  <c r="U611" i="432"/>
  <c r="T611" i="432"/>
  <c r="S611" i="432"/>
  <c r="R611" i="432"/>
  <c r="Q611" i="432"/>
  <c r="B611" i="432"/>
  <c r="P611" i="432" s="1"/>
  <c r="AJ610" i="432"/>
  <c r="V610" i="432"/>
  <c r="U610" i="432"/>
  <c r="T610" i="432"/>
  <c r="S610" i="432"/>
  <c r="R610" i="432"/>
  <c r="Q610" i="432"/>
  <c r="B610" i="432"/>
  <c r="P610" i="432" s="1"/>
  <c r="AJ609" i="432"/>
  <c r="V609" i="432"/>
  <c r="U609" i="432"/>
  <c r="T609" i="432"/>
  <c r="S609" i="432"/>
  <c r="R609" i="432"/>
  <c r="Q609" i="432"/>
  <c r="B609" i="432"/>
  <c r="P609" i="432" s="1"/>
  <c r="AJ608" i="432"/>
  <c r="V608" i="432"/>
  <c r="U608" i="432"/>
  <c r="T608" i="432"/>
  <c r="S608" i="432"/>
  <c r="R608" i="432"/>
  <c r="Q608" i="432"/>
  <c r="P608" i="432"/>
  <c r="B608" i="432"/>
  <c r="AJ607" i="432"/>
  <c r="V607" i="432"/>
  <c r="U607" i="432"/>
  <c r="T607" i="432"/>
  <c r="S607" i="432"/>
  <c r="R607" i="432"/>
  <c r="Q607" i="432"/>
  <c r="B607" i="432"/>
  <c r="P607" i="432" s="1"/>
  <c r="AJ606" i="432"/>
  <c r="V606" i="432"/>
  <c r="U606" i="432"/>
  <c r="T606" i="432"/>
  <c r="S606" i="432"/>
  <c r="R606" i="432"/>
  <c r="Q606" i="432"/>
  <c r="B606" i="432"/>
  <c r="P606" i="432" s="1"/>
  <c r="AJ605" i="432"/>
  <c r="V605" i="432"/>
  <c r="U605" i="432"/>
  <c r="T605" i="432"/>
  <c r="S605" i="432"/>
  <c r="R605" i="432"/>
  <c r="Q605" i="432"/>
  <c r="P605" i="432"/>
  <c r="B605" i="432"/>
  <c r="AJ604" i="432"/>
  <c r="V604" i="432"/>
  <c r="U604" i="432"/>
  <c r="T604" i="432"/>
  <c r="S604" i="432"/>
  <c r="R604" i="432"/>
  <c r="Q604" i="432"/>
  <c r="B604" i="432"/>
  <c r="P604" i="432" s="1"/>
  <c r="AJ603" i="432"/>
  <c r="V603" i="432"/>
  <c r="U603" i="432"/>
  <c r="T603" i="432"/>
  <c r="S603" i="432"/>
  <c r="R603" i="432"/>
  <c r="Q603" i="432"/>
  <c r="B603" i="432"/>
  <c r="P603" i="432" s="1"/>
  <c r="AJ602" i="432"/>
  <c r="V602" i="432"/>
  <c r="U602" i="432"/>
  <c r="T602" i="432"/>
  <c r="S602" i="432"/>
  <c r="R602" i="432"/>
  <c r="Q602" i="432"/>
  <c r="P602" i="432"/>
  <c r="B602" i="432"/>
  <c r="AJ601" i="432"/>
  <c r="V601" i="432"/>
  <c r="U601" i="432"/>
  <c r="T601" i="432"/>
  <c r="S601" i="432"/>
  <c r="R601" i="432"/>
  <c r="Q601" i="432"/>
  <c r="B601" i="432"/>
  <c r="P601" i="432" s="1"/>
  <c r="AJ600" i="432"/>
  <c r="V600" i="432"/>
  <c r="U600" i="432"/>
  <c r="T600" i="432"/>
  <c r="S600" i="432"/>
  <c r="R600" i="432"/>
  <c r="Q600" i="432"/>
  <c r="B600" i="432"/>
  <c r="P600" i="432" s="1"/>
  <c r="AJ599" i="432"/>
  <c r="V599" i="432"/>
  <c r="U599" i="432"/>
  <c r="T599" i="432"/>
  <c r="S599" i="432"/>
  <c r="R599" i="432"/>
  <c r="Q599" i="432"/>
  <c r="B599" i="432"/>
  <c r="P599" i="432" s="1"/>
  <c r="AJ598" i="432"/>
  <c r="V598" i="432"/>
  <c r="U598" i="432"/>
  <c r="T598" i="432"/>
  <c r="S598" i="432"/>
  <c r="R598" i="432"/>
  <c r="Q598" i="432"/>
  <c r="B598" i="432"/>
  <c r="P598" i="432" s="1"/>
  <c r="AJ597" i="432"/>
  <c r="V597" i="432"/>
  <c r="U597" i="432"/>
  <c r="T597" i="432"/>
  <c r="S597" i="432"/>
  <c r="R597" i="432"/>
  <c r="Q597" i="432"/>
  <c r="B597" i="432"/>
  <c r="P597" i="432" s="1"/>
  <c r="AJ596" i="432"/>
  <c r="V596" i="432"/>
  <c r="U596" i="432"/>
  <c r="T596" i="432"/>
  <c r="S596" i="432"/>
  <c r="R596" i="432"/>
  <c r="Q596" i="432"/>
  <c r="P596" i="432"/>
  <c r="B596" i="432"/>
  <c r="AJ595" i="432"/>
  <c r="V595" i="432"/>
  <c r="U595" i="432"/>
  <c r="T595" i="432"/>
  <c r="S595" i="432"/>
  <c r="R595" i="432"/>
  <c r="Q595" i="432"/>
  <c r="B595" i="432"/>
  <c r="P595" i="432" s="1"/>
  <c r="AJ594" i="432"/>
  <c r="V594" i="432"/>
  <c r="U594" i="432"/>
  <c r="T594" i="432"/>
  <c r="S594" i="432"/>
  <c r="R594" i="432"/>
  <c r="Q594" i="432"/>
  <c r="B594" i="432"/>
  <c r="P594" i="432" s="1"/>
  <c r="AJ593" i="432"/>
  <c r="V593" i="432"/>
  <c r="U593" i="432"/>
  <c r="T593" i="432"/>
  <c r="S593" i="432"/>
  <c r="R593" i="432"/>
  <c r="Q593" i="432"/>
  <c r="B593" i="432"/>
  <c r="P593" i="432" s="1"/>
  <c r="AJ592" i="432"/>
  <c r="V592" i="432"/>
  <c r="U592" i="432"/>
  <c r="T592" i="432"/>
  <c r="S592" i="432"/>
  <c r="R592" i="432"/>
  <c r="Q592" i="432"/>
  <c r="B592" i="432"/>
  <c r="P592" i="432" s="1"/>
  <c r="AJ591" i="432"/>
  <c r="V591" i="432"/>
  <c r="U591" i="432"/>
  <c r="T591" i="432"/>
  <c r="S591" i="432"/>
  <c r="R591" i="432"/>
  <c r="Q591" i="432"/>
  <c r="B591" i="432"/>
  <c r="P591" i="432" s="1"/>
  <c r="AJ590" i="432"/>
  <c r="V590" i="432"/>
  <c r="U590" i="432"/>
  <c r="T590" i="432"/>
  <c r="S590" i="432"/>
  <c r="R590" i="432"/>
  <c r="Q590" i="432"/>
  <c r="B590" i="432"/>
  <c r="P590" i="432" s="1"/>
  <c r="AJ589" i="432"/>
  <c r="V589" i="432"/>
  <c r="U589" i="432"/>
  <c r="T589" i="432"/>
  <c r="S589" i="432"/>
  <c r="R589" i="432"/>
  <c r="Q589" i="432"/>
  <c r="B589" i="432"/>
  <c r="P589" i="432" s="1"/>
  <c r="AJ588" i="432"/>
  <c r="V588" i="432"/>
  <c r="U588" i="432"/>
  <c r="T588" i="432"/>
  <c r="S588" i="432"/>
  <c r="R588" i="432"/>
  <c r="Q588" i="432"/>
  <c r="B588" i="432"/>
  <c r="P588" i="432" s="1"/>
  <c r="AJ587" i="432"/>
  <c r="V587" i="432"/>
  <c r="U587" i="432"/>
  <c r="T587" i="432"/>
  <c r="S587" i="432"/>
  <c r="R587" i="432"/>
  <c r="Q587" i="432"/>
  <c r="B587" i="432"/>
  <c r="P587" i="432" s="1"/>
  <c r="AJ586" i="432"/>
  <c r="V586" i="432"/>
  <c r="U586" i="432"/>
  <c r="T586" i="432"/>
  <c r="S586" i="432"/>
  <c r="R586" i="432"/>
  <c r="Q586" i="432"/>
  <c r="B586" i="432"/>
  <c r="P586" i="432" s="1"/>
  <c r="AJ585" i="432"/>
  <c r="V585" i="432"/>
  <c r="U585" i="432"/>
  <c r="T585" i="432"/>
  <c r="S585" i="432"/>
  <c r="R585" i="432"/>
  <c r="Q585" i="432"/>
  <c r="B585" i="432"/>
  <c r="P585" i="432" s="1"/>
  <c r="AJ584" i="432"/>
  <c r="V584" i="432"/>
  <c r="U584" i="432"/>
  <c r="T584" i="432"/>
  <c r="S584" i="432"/>
  <c r="R584" i="432"/>
  <c r="Q584" i="432"/>
  <c r="B584" i="432"/>
  <c r="P584" i="432" s="1"/>
  <c r="AJ583" i="432"/>
  <c r="V583" i="432"/>
  <c r="U583" i="432"/>
  <c r="T583" i="432"/>
  <c r="S583" i="432"/>
  <c r="R583" i="432"/>
  <c r="Q583" i="432"/>
  <c r="P583" i="432"/>
  <c r="B583" i="432"/>
  <c r="AJ582" i="432"/>
  <c r="V582" i="432"/>
  <c r="U582" i="432"/>
  <c r="T582" i="432"/>
  <c r="S582" i="432"/>
  <c r="R582" i="432"/>
  <c r="Q582" i="432"/>
  <c r="B582" i="432"/>
  <c r="P582" i="432" s="1"/>
  <c r="AJ581" i="432"/>
  <c r="V581" i="432"/>
  <c r="U581" i="432"/>
  <c r="T581" i="432"/>
  <c r="S581" i="432"/>
  <c r="R581" i="432"/>
  <c r="Q581" i="432"/>
  <c r="P581" i="432"/>
  <c r="B581" i="432"/>
  <c r="AJ580" i="432"/>
  <c r="V580" i="432"/>
  <c r="U580" i="432"/>
  <c r="T580" i="432"/>
  <c r="S580" i="432"/>
  <c r="R580" i="432"/>
  <c r="Q580" i="432"/>
  <c r="B580" i="432"/>
  <c r="P580" i="432" s="1"/>
  <c r="AJ579" i="432"/>
  <c r="V579" i="432"/>
  <c r="U579" i="432"/>
  <c r="T579" i="432"/>
  <c r="S579" i="432"/>
  <c r="R579" i="432"/>
  <c r="Q579" i="432"/>
  <c r="B579" i="432"/>
  <c r="P579" i="432" s="1"/>
  <c r="AJ578" i="432"/>
  <c r="V578" i="432"/>
  <c r="U578" i="432"/>
  <c r="T578" i="432"/>
  <c r="S578" i="432"/>
  <c r="R578" i="432"/>
  <c r="Q578" i="432"/>
  <c r="P578" i="432"/>
  <c r="B578" i="432"/>
  <c r="AJ577" i="432"/>
  <c r="V577" i="432"/>
  <c r="U577" i="432"/>
  <c r="T577" i="432"/>
  <c r="S577" i="432"/>
  <c r="R577" i="432"/>
  <c r="Q577" i="432"/>
  <c r="B577" i="432"/>
  <c r="P577" i="432" s="1"/>
  <c r="AJ576" i="432"/>
  <c r="V576" i="432"/>
  <c r="U576" i="432"/>
  <c r="T576" i="432"/>
  <c r="S576" i="432"/>
  <c r="R576" i="432"/>
  <c r="Q576" i="432"/>
  <c r="B576" i="432"/>
  <c r="P576" i="432" s="1"/>
  <c r="AJ575" i="432"/>
  <c r="V575" i="432"/>
  <c r="U575" i="432"/>
  <c r="T575" i="432"/>
  <c r="S575" i="432"/>
  <c r="R575" i="432"/>
  <c r="Q575" i="432"/>
  <c r="B575" i="432"/>
  <c r="P575" i="432" s="1"/>
  <c r="AJ574" i="432"/>
  <c r="V574" i="432"/>
  <c r="U574" i="432"/>
  <c r="T574" i="432"/>
  <c r="S574" i="432"/>
  <c r="R574" i="432"/>
  <c r="Q574" i="432"/>
  <c r="B574" i="432"/>
  <c r="P574" i="432" s="1"/>
  <c r="AJ573" i="432"/>
  <c r="V573" i="432"/>
  <c r="U573" i="432"/>
  <c r="T573" i="432"/>
  <c r="S573" i="432"/>
  <c r="R573" i="432"/>
  <c r="Q573" i="432"/>
  <c r="B573" i="432"/>
  <c r="P573" i="432" s="1"/>
  <c r="AJ572" i="432"/>
  <c r="V572" i="432"/>
  <c r="U572" i="432"/>
  <c r="T572" i="432"/>
  <c r="S572" i="432"/>
  <c r="R572" i="432"/>
  <c r="Q572" i="432"/>
  <c r="B572" i="432"/>
  <c r="P572" i="432" s="1"/>
  <c r="AJ571" i="432"/>
  <c r="V571" i="432"/>
  <c r="U571" i="432"/>
  <c r="T571" i="432"/>
  <c r="S571" i="432"/>
  <c r="R571" i="432"/>
  <c r="Q571" i="432"/>
  <c r="B571" i="432"/>
  <c r="P571" i="432" s="1"/>
  <c r="AJ570" i="432"/>
  <c r="V570" i="432"/>
  <c r="U570" i="432"/>
  <c r="T570" i="432"/>
  <c r="S570" i="432"/>
  <c r="R570" i="432"/>
  <c r="Q570" i="432"/>
  <c r="P570" i="432"/>
  <c r="B570" i="432"/>
  <c r="AJ569" i="432"/>
  <c r="V569" i="432"/>
  <c r="U569" i="432"/>
  <c r="T569" i="432"/>
  <c r="S569" i="432"/>
  <c r="R569" i="432"/>
  <c r="Q569" i="432"/>
  <c r="B569" i="432"/>
  <c r="P569" i="432" s="1"/>
  <c r="AJ568" i="432"/>
  <c r="V568" i="432"/>
  <c r="U568" i="432"/>
  <c r="T568" i="432"/>
  <c r="S568" i="432"/>
  <c r="R568" i="432"/>
  <c r="Q568" i="432"/>
  <c r="B568" i="432"/>
  <c r="P568" i="432" s="1"/>
  <c r="AJ567" i="432"/>
  <c r="V567" i="432"/>
  <c r="U567" i="432"/>
  <c r="T567" i="432"/>
  <c r="S567" i="432"/>
  <c r="R567" i="432"/>
  <c r="Q567" i="432"/>
  <c r="B567" i="432"/>
  <c r="P567" i="432" s="1"/>
  <c r="AJ566" i="432"/>
  <c r="V566" i="432"/>
  <c r="U566" i="432"/>
  <c r="T566" i="432"/>
  <c r="S566" i="432"/>
  <c r="R566" i="432"/>
  <c r="Q566" i="432"/>
  <c r="B566" i="432"/>
  <c r="P566" i="432" s="1"/>
  <c r="AJ565" i="432"/>
  <c r="V565" i="432"/>
  <c r="U565" i="432"/>
  <c r="T565" i="432"/>
  <c r="S565" i="432"/>
  <c r="R565" i="432"/>
  <c r="Q565" i="432"/>
  <c r="B565" i="432"/>
  <c r="P565" i="432" s="1"/>
  <c r="AJ564" i="432"/>
  <c r="V564" i="432"/>
  <c r="U564" i="432"/>
  <c r="T564" i="432"/>
  <c r="S564" i="432"/>
  <c r="R564" i="432"/>
  <c r="Q564" i="432"/>
  <c r="P564" i="432"/>
  <c r="B564" i="432"/>
  <c r="AJ563" i="432"/>
  <c r="V563" i="432"/>
  <c r="U563" i="432"/>
  <c r="T563" i="432"/>
  <c r="S563" i="432"/>
  <c r="R563" i="432"/>
  <c r="Q563" i="432"/>
  <c r="B563" i="432"/>
  <c r="P563" i="432" s="1"/>
  <c r="AJ562" i="432"/>
  <c r="V562" i="432"/>
  <c r="U562" i="432"/>
  <c r="T562" i="432"/>
  <c r="S562" i="432"/>
  <c r="R562" i="432"/>
  <c r="Q562" i="432"/>
  <c r="B562" i="432"/>
  <c r="P562" i="432" s="1"/>
  <c r="AJ561" i="432"/>
  <c r="V561" i="432"/>
  <c r="U561" i="432"/>
  <c r="T561" i="432"/>
  <c r="S561" i="432"/>
  <c r="R561" i="432"/>
  <c r="Q561" i="432"/>
  <c r="B561" i="432"/>
  <c r="P561" i="432" s="1"/>
  <c r="AJ560" i="432"/>
  <c r="V560" i="432"/>
  <c r="U560" i="432"/>
  <c r="T560" i="432"/>
  <c r="S560" i="432"/>
  <c r="R560" i="432"/>
  <c r="Q560" i="432"/>
  <c r="B560" i="432"/>
  <c r="P560" i="432" s="1"/>
  <c r="AJ559" i="432"/>
  <c r="V559" i="432"/>
  <c r="U559" i="432"/>
  <c r="T559" i="432"/>
  <c r="S559" i="432"/>
  <c r="R559" i="432"/>
  <c r="Q559" i="432"/>
  <c r="B559" i="432"/>
  <c r="P559" i="432" s="1"/>
  <c r="AJ558" i="432"/>
  <c r="V558" i="432"/>
  <c r="U558" i="432"/>
  <c r="T558" i="432"/>
  <c r="S558" i="432"/>
  <c r="R558" i="432"/>
  <c r="Q558" i="432"/>
  <c r="P558" i="432"/>
  <c r="B558" i="432"/>
  <c r="AJ557" i="432"/>
  <c r="V557" i="432"/>
  <c r="U557" i="432"/>
  <c r="T557" i="432"/>
  <c r="S557" i="432"/>
  <c r="R557" i="432"/>
  <c r="Q557" i="432"/>
  <c r="P557" i="432"/>
  <c r="B557" i="432"/>
  <c r="AJ556" i="432"/>
  <c r="V556" i="432"/>
  <c r="U556" i="432"/>
  <c r="T556" i="432"/>
  <c r="S556" i="432"/>
  <c r="R556" i="432"/>
  <c r="Q556" i="432"/>
  <c r="B556" i="432"/>
  <c r="P556" i="432" s="1"/>
  <c r="AJ555" i="432"/>
  <c r="V555" i="432"/>
  <c r="U555" i="432"/>
  <c r="T555" i="432"/>
  <c r="S555" i="432"/>
  <c r="R555" i="432"/>
  <c r="Q555" i="432"/>
  <c r="B555" i="432"/>
  <c r="P555" i="432" s="1"/>
  <c r="AJ554" i="432"/>
  <c r="V554" i="432"/>
  <c r="U554" i="432"/>
  <c r="T554" i="432"/>
  <c r="S554" i="432"/>
  <c r="R554" i="432"/>
  <c r="Q554" i="432"/>
  <c r="P554" i="432"/>
  <c r="B554" i="432"/>
  <c r="AJ553" i="432"/>
  <c r="V553" i="432"/>
  <c r="U553" i="432"/>
  <c r="T553" i="432"/>
  <c r="S553" i="432"/>
  <c r="R553" i="432"/>
  <c r="Q553" i="432"/>
  <c r="B553" i="432"/>
  <c r="P553" i="432" s="1"/>
  <c r="AJ552" i="432"/>
  <c r="V552" i="432"/>
  <c r="U552" i="432"/>
  <c r="T552" i="432"/>
  <c r="S552" i="432"/>
  <c r="R552" i="432"/>
  <c r="Q552" i="432"/>
  <c r="B552" i="432"/>
  <c r="P552" i="432" s="1"/>
  <c r="AJ551" i="432"/>
  <c r="V551" i="432"/>
  <c r="U551" i="432"/>
  <c r="T551" i="432"/>
  <c r="S551" i="432"/>
  <c r="R551" i="432"/>
  <c r="Q551" i="432"/>
  <c r="B551" i="432"/>
  <c r="P551" i="432" s="1"/>
  <c r="AJ550" i="432"/>
  <c r="V550" i="432"/>
  <c r="U550" i="432"/>
  <c r="T550" i="432"/>
  <c r="S550" i="432"/>
  <c r="R550" i="432"/>
  <c r="Q550" i="432"/>
  <c r="B550" i="432"/>
  <c r="P550" i="432" s="1"/>
  <c r="AJ549" i="432"/>
  <c r="V549" i="432"/>
  <c r="U549" i="432"/>
  <c r="T549" i="432"/>
  <c r="S549" i="432"/>
  <c r="R549" i="432"/>
  <c r="Q549" i="432"/>
  <c r="B549" i="432"/>
  <c r="P549" i="432" s="1"/>
  <c r="AJ548" i="432"/>
  <c r="V548" i="432"/>
  <c r="U548" i="432"/>
  <c r="T548" i="432"/>
  <c r="S548" i="432"/>
  <c r="R548" i="432"/>
  <c r="Q548" i="432"/>
  <c r="B548" i="432"/>
  <c r="P548" i="432" s="1"/>
  <c r="AJ547" i="432"/>
  <c r="V547" i="432"/>
  <c r="U547" i="432"/>
  <c r="T547" i="432"/>
  <c r="S547" i="432"/>
  <c r="R547" i="432"/>
  <c r="Q547" i="432"/>
  <c r="B547" i="432"/>
  <c r="P547" i="432" s="1"/>
  <c r="AJ546" i="432"/>
  <c r="V546" i="432"/>
  <c r="U546" i="432"/>
  <c r="T546" i="432"/>
  <c r="S546" i="432"/>
  <c r="R546" i="432"/>
  <c r="Q546" i="432"/>
  <c r="P546" i="432"/>
  <c r="B546" i="432"/>
  <c r="AJ545" i="432"/>
  <c r="V545" i="432"/>
  <c r="U545" i="432"/>
  <c r="T545" i="432"/>
  <c r="S545" i="432"/>
  <c r="R545" i="432"/>
  <c r="Q545" i="432"/>
  <c r="P545" i="432"/>
  <c r="B545" i="432"/>
  <c r="AJ544" i="432"/>
  <c r="V544" i="432"/>
  <c r="U544" i="432"/>
  <c r="T544" i="432"/>
  <c r="S544" i="432"/>
  <c r="R544" i="432"/>
  <c r="Q544" i="432"/>
  <c r="P544" i="432"/>
  <c r="B544" i="432"/>
  <c r="AJ543" i="432"/>
  <c r="V543" i="432"/>
  <c r="U543" i="432"/>
  <c r="T543" i="432"/>
  <c r="S543" i="432"/>
  <c r="R543" i="432"/>
  <c r="Q543" i="432"/>
  <c r="B543" i="432"/>
  <c r="P543" i="432" s="1"/>
  <c r="AJ542" i="432"/>
  <c r="V542" i="432"/>
  <c r="U542" i="432"/>
  <c r="T542" i="432"/>
  <c r="S542" i="432"/>
  <c r="R542" i="432"/>
  <c r="Q542" i="432"/>
  <c r="B542" i="432"/>
  <c r="P542" i="432" s="1"/>
  <c r="AJ541" i="432"/>
  <c r="V541" i="432"/>
  <c r="U541" i="432"/>
  <c r="T541" i="432"/>
  <c r="S541" i="432"/>
  <c r="R541" i="432"/>
  <c r="Q541" i="432"/>
  <c r="B541" i="432"/>
  <c r="P541" i="432" s="1"/>
  <c r="AJ540" i="432"/>
  <c r="V540" i="432"/>
  <c r="U540" i="432"/>
  <c r="T540" i="432"/>
  <c r="S540" i="432"/>
  <c r="R540" i="432"/>
  <c r="Q540" i="432"/>
  <c r="P540" i="432"/>
  <c r="B540" i="432"/>
  <c r="AJ539" i="432"/>
  <c r="V539" i="432"/>
  <c r="U539" i="432"/>
  <c r="T539" i="432"/>
  <c r="S539" i="432"/>
  <c r="R539" i="432"/>
  <c r="Q539" i="432"/>
  <c r="B539" i="432"/>
  <c r="P539" i="432" s="1"/>
  <c r="AJ538" i="432"/>
  <c r="V538" i="432"/>
  <c r="U538" i="432"/>
  <c r="T538" i="432"/>
  <c r="S538" i="432"/>
  <c r="R538" i="432"/>
  <c r="Q538" i="432"/>
  <c r="B538" i="432"/>
  <c r="P538" i="432" s="1"/>
  <c r="AJ537" i="432"/>
  <c r="V537" i="432"/>
  <c r="U537" i="432"/>
  <c r="T537" i="432"/>
  <c r="S537" i="432"/>
  <c r="R537" i="432"/>
  <c r="Q537" i="432"/>
  <c r="B537" i="432"/>
  <c r="P537" i="432" s="1"/>
  <c r="AJ536" i="432"/>
  <c r="V536" i="432"/>
  <c r="U536" i="432"/>
  <c r="T536" i="432"/>
  <c r="S536" i="432"/>
  <c r="R536" i="432"/>
  <c r="Q536" i="432"/>
  <c r="P536" i="432"/>
  <c r="B536" i="432"/>
  <c r="AJ535" i="432"/>
  <c r="V535" i="432"/>
  <c r="U535" i="432"/>
  <c r="T535" i="432"/>
  <c r="S535" i="432"/>
  <c r="R535" i="432"/>
  <c r="Q535" i="432"/>
  <c r="B535" i="432"/>
  <c r="P535" i="432" s="1"/>
  <c r="AJ534" i="432"/>
  <c r="V534" i="432"/>
  <c r="U534" i="432"/>
  <c r="T534" i="432"/>
  <c r="S534" i="432"/>
  <c r="R534" i="432"/>
  <c r="Q534" i="432"/>
  <c r="B534" i="432"/>
  <c r="P534" i="432" s="1"/>
  <c r="AJ533" i="432"/>
  <c r="V533" i="432"/>
  <c r="U533" i="432"/>
  <c r="T533" i="432"/>
  <c r="S533" i="432"/>
  <c r="R533" i="432"/>
  <c r="Q533" i="432"/>
  <c r="B533" i="432"/>
  <c r="P533" i="432" s="1"/>
  <c r="AJ532" i="432"/>
  <c r="V532" i="432"/>
  <c r="U532" i="432"/>
  <c r="T532" i="432"/>
  <c r="S532" i="432"/>
  <c r="R532" i="432"/>
  <c r="Q532" i="432"/>
  <c r="B532" i="432"/>
  <c r="P532" i="432" s="1"/>
  <c r="AJ531" i="432"/>
  <c r="V531" i="432"/>
  <c r="U531" i="432"/>
  <c r="T531" i="432"/>
  <c r="S531" i="432"/>
  <c r="R531" i="432"/>
  <c r="Q531" i="432"/>
  <c r="B531" i="432"/>
  <c r="P531" i="432" s="1"/>
  <c r="AJ530" i="432"/>
  <c r="V530" i="432"/>
  <c r="U530" i="432"/>
  <c r="T530" i="432"/>
  <c r="S530" i="432"/>
  <c r="R530" i="432"/>
  <c r="Q530" i="432"/>
  <c r="B530" i="432"/>
  <c r="P530" i="432" s="1"/>
  <c r="AJ529" i="432"/>
  <c r="V529" i="432"/>
  <c r="U529" i="432"/>
  <c r="T529" i="432"/>
  <c r="S529" i="432"/>
  <c r="R529" i="432"/>
  <c r="Q529" i="432"/>
  <c r="B529" i="432"/>
  <c r="P529" i="432" s="1"/>
  <c r="AJ528" i="432"/>
  <c r="V528" i="432"/>
  <c r="U528" i="432"/>
  <c r="T528" i="432"/>
  <c r="S528" i="432"/>
  <c r="R528" i="432"/>
  <c r="Q528" i="432"/>
  <c r="P528" i="432"/>
  <c r="B528" i="432"/>
  <c r="AJ527" i="432"/>
  <c r="V527" i="432"/>
  <c r="U527" i="432"/>
  <c r="T527" i="432"/>
  <c r="S527" i="432"/>
  <c r="R527" i="432"/>
  <c r="Q527" i="432"/>
  <c r="B527" i="432"/>
  <c r="P527" i="432" s="1"/>
  <c r="AJ526" i="432"/>
  <c r="V526" i="432"/>
  <c r="U526" i="432"/>
  <c r="T526" i="432"/>
  <c r="S526" i="432"/>
  <c r="R526" i="432"/>
  <c r="Q526" i="432"/>
  <c r="B526" i="432"/>
  <c r="P526" i="432" s="1"/>
  <c r="AJ525" i="432"/>
  <c r="V525" i="432"/>
  <c r="U525" i="432"/>
  <c r="T525" i="432"/>
  <c r="S525" i="432"/>
  <c r="R525" i="432"/>
  <c r="Q525" i="432"/>
  <c r="B525" i="432"/>
  <c r="P525" i="432" s="1"/>
  <c r="AJ524" i="432"/>
  <c r="V524" i="432"/>
  <c r="U524" i="432"/>
  <c r="T524" i="432"/>
  <c r="S524" i="432"/>
  <c r="R524" i="432"/>
  <c r="Q524" i="432"/>
  <c r="B524" i="432"/>
  <c r="P524" i="432" s="1"/>
  <c r="AJ523" i="432"/>
  <c r="V523" i="432"/>
  <c r="U523" i="432"/>
  <c r="T523" i="432"/>
  <c r="S523" i="432"/>
  <c r="R523" i="432"/>
  <c r="Q523" i="432"/>
  <c r="B523" i="432"/>
  <c r="P523" i="432" s="1"/>
  <c r="AJ522" i="432"/>
  <c r="V522" i="432"/>
  <c r="U522" i="432"/>
  <c r="T522" i="432"/>
  <c r="S522" i="432"/>
  <c r="R522" i="432"/>
  <c r="Q522" i="432"/>
  <c r="B522" i="432"/>
  <c r="P522" i="432" s="1"/>
  <c r="AJ521" i="432"/>
  <c r="V521" i="432"/>
  <c r="U521" i="432"/>
  <c r="T521" i="432"/>
  <c r="S521" i="432"/>
  <c r="R521" i="432"/>
  <c r="Q521" i="432"/>
  <c r="B521" i="432"/>
  <c r="P521" i="432" s="1"/>
  <c r="AJ520" i="432"/>
  <c r="V520" i="432"/>
  <c r="U520" i="432"/>
  <c r="T520" i="432"/>
  <c r="S520" i="432"/>
  <c r="R520" i="432"/>
  <c r="Q520" i="432"/>
  <c r="B520" i="432"/>
  <c r="P520" i="432" s="1"/>
  <c r="AJ519" i="432"/>
  <c r="V519" i="432"/>
  <c r="U519" i="432"/>
  <c r="T519" i="432"/>
  <c r="S519" i="432"/>
  <c r="R519" i="432"/>
  <c r="Q519" i="432"/>
  <c r="B519" i="432"/>
  <c r="P519" i="432" s="1"/>
  <c r="AJ518" i="432"/>
  <c r="V518" i="432"/>
  <c r="U518" i="432"/>
  <c r="T518" i="432"/>
  <c r="S518" i="432"/>
  <c r="R518" i="432"/>
  <c r="Q518" i="432"/>
  <c r="B518" i="432"/>
  <c r="P518" i="432" s="1"/>
  <c r="AJ517" i="432"/>
  <c r="V517" i="432"/>
  <c r="U517" i="432"/>
  <c r="T517" i="432"/>
  <c r="S517" i="432"/>
  <c r="R517" i="432"/>
  <c r="Q517" i="432"/>
  <c r="B517" i="432"/>
  <c r="P517" i="432" s="1"/>
  <c r="AJ516" i="432"/>
  <c r="V516" i="432"/>
  <c r="U516" i="432"/>
  <c r="T516" i="432"/>
  <c r="S516" i="432"/>
  <c r="R516" i="432"/>
  <c r="Q516" i="432"/>
  <c r="B516" i="432"/>
  <c r="P516" i="432" s="1"/>
  <c r="AJ515" i="432"/>
  <c r="V515" i="432"/>
  <c r="U515" i="432"/>
  <c r="T515" i="432"/>
  <c r="S515" i="432"/>
  <c r="R515" i="432"/>
  <c r="Q515" i="432"/>
  <c r="B515" i="432"/>
  <c r="P515" i="432" s="1"/>
  <c r="AJ514" i="432"/>
  <c r="V514" i="432"/>
  <c r="U514" i="432"/>
  <c r="T514" i="432"/>
  <c r="S514" i="432"/>
  <c r="R514" i="432"/>
  <c r="Q514" i="432"/>
  <c r="B514" i="432"/>
  <c r="P514" i="432" s="1"/>
  <c r="AJ513" i="432"/>
  <c r="V513" i="432"/>
  <c r="U513" i="432"/>
  <c r="T513" i="432"/>
  <c r="S513" i="432"/>
  <c r="R513" i="432"/>
  <c r="Q513" i="432"/>
  <c r="B513" i="432"/>
  <c r="P513" i="432" s="1"/>
  <c r="AJ512" i="432"/>
  <c r="V512" i="432"/>
  <c r="U512" i="432"/>
  <c r="T512" i="432"/>
  <c r="S512" i="432"/>
  <c r="R512" i="432"/>
  <c r="Q512" i="432"/>
  <c r="B512" i="432"/>
  <c r="P512" i="432" s="1"/>
  <c r="AJ511" i="432"/>
  <c r="V511" i="432"/>
  <c r="U511" i="432"/>
  <c r="T511" i="432"/>
  <c r="S511" i="432"/>
  <c r="R511" i="432"/>
  <c r="Q511" i="432"/>
  <c r="B511" i="432"/>
  <c r="P511" i="432" s="1"/>
  <c r="AJ510" i="432"/>
  <c r="V510" i="432"/>
  <c r="U510" i="432"/>
  <c r="T510" i="432"/>
  <c r="S510" i="432"/>
  <c r="R510" i="432"/>
  <c r="Q510" i="432"/>
  <c r="B510" i="432"/>
  <c r="P510" i="432" s="1"/>
  <c r="AJ509" i="432"/>
  <c r="V509" i="432"/>
  <c r="U509" i="432"/>
  <c r="T509" i="432"/>
  <c r="S509" i="432"/>
  <c r="R509" i="432"/>
  <c r="Q509" i="432"/>
  <c r="B509" i="432"/>
  <c r="P509" i="432" s="1"/>
  <c r="AJ508" i="432"/>
  <c r="V508" i="432"/>
  <c r="U508" i="432"/>
  <c r="T508" i="432"/>
  <c r="S508" i="432"/>
  <c r="R508" i="432"/>
  <c r="Q508" i="432"/>
  <c r="B508" i="432"/>
  <c r="P508" i="432" s="1"/>
  <c r="AJ507" i="432"/>
  <c r="V507" i="432"/>
  <c r="U507" i="432"/>
  <c r="T507" i="432"/>
  <c r="S507" i="432"/>
  <c r="R507" i="432"/>
  <c r="Q507" i="432"/>
  <c r="B507" i="432"/>
  <c r="P507" i="432" s="1"/>
  <c r="AJ506" i="432"/>
  <c r="V506" i="432"/>
  <c r="U506" i="432"/>
  <c r="T506" i="432"/>
  <c r="S506" i="432"/>
  <c r="R506" i="432"/>
  <c r="Q506" i="432"/>
  <c r="P506" i="432"/>
  <c r="B506" i="432"/>
  <c r="AJ505" i="432"/>
  <c r="V505" i="432"/>
  <c r="U505" i="432"/>
  <c r="T505" i="432"/>
  <c r="S505" i="432"/>
  <c r="R505" i="432"/>
  <c r="Q505" i="432"/>
  <c r="B505" i="432"/>
  <c r="P505" i="432" s="1"/>
  <c r="AJ504" i="432"/>
  <c r="V504" i="432"/>
  <c r="U504" i="432"/>
  <c r="T504" i="432"/>
  <c r="S504" i="432"/>
  <c r="R504" i="432"/>
  <c r="Q504" i="432"/>
  <c r="B504" i="432"/>
  <c r="P504" i="432" s="1"/>
  <c r="AJ503" i="432"/>
  <c r="V503" i="432"/>
  <c r="U503" i="432"/>
  <c r="T503" i="432"/>
  <c r="S503" i="432"/>
  <c r="R503" i="432"/>
  <c r="Q503" i="432"/>
  <c r="B503" i="432"/>
  <c r="P503" i="432" s="1"/>
  <c r="AJ502" i="432"/>
  <c r="V502" i="432"/>
  <c r="U502" i="432"/>
  <c r="T502" i="432"/>
  <c r="S502" i="432"/>
  <c r="R502" i="432"/>
  <c r="Q502" i="432"/>
  <c r="B502" i="432"/>
  <c r="P502" i="432" s="1"/>
  <c r="AJ501" i="432"/>
  <c r="V501" i="432"/>
  <c r="U501" i="432"/>
  <c r="T501" i="432"/>
  <c r="S501" i="432"/>
  <c r="R501" i="432"/>
  <c r="Q501" i="432"/>
  <c r="B501" i="432"/>
  <c r="P501" i="432" s="1"/>
  <c r="AJ500" i="432"/>
  <c r="V500" i="432"/>
  <c r="U500" i="432"/>
  <c r="T500" i="432"/>
  <c r="S500" i="432"/>
  <c r="R500" i="432"/>
  <c r="Q500" i="432"/>
  <c r="P500" i="432"/>
  <c r="B500" i="432"/>
  <c r="AJ499" i="432"/>
  <c r="V499" i="432"/>
  <c r="U499" i="432"/>
  <c r="T499" i="432"/>
  <c r="S499" i="432"/>
  <c r="R499" i="432"/>
  <c r="Q499" i="432"/>
  <c r="B499" i="432"/>
  <c r="P499" i="432" s="1"/>
  <c r="AJ498" i="432"/>
  <c r="V498" i="432"/>
  <c r="U498" i="432"/>
  <c r="T498" i="432"/>
  <c r="S498" i="432"/>
  <c r="R498" i="432"/>
  <c r="Q498" i="432"/>
  <c r="P498" i="432"/>
  <c r="B498" i="432"/>
  <c r="AJ497" i="432"/>
  <c r="V497" i="432"/>
  <c r="U497" i="432"/>
  <c r="T497" i="432"/>
  <c r="S497" i="432"/>
  <c r="R497" i="432"/>
  <c r="Q497" i="432"/>
  <c r="B497" i="432"/>
  <c r="P497" i="432" s="1"/>
  <c r="AJ496" i="432"/>
  <c r="V496" i="432"/>
  <c r="U496" i="432"/>
  <c r="T496" i="432"/>
  <c r="S496" i="432"/>
  <c r="R496" i="432"/>
  <c r="Q496" i="432"/>
  <c r="P496" i="432"/>
  <c r="B496" i="432"/>
  <c r="AJ495" i="432"/>
  <c r="V495" i="432"/>
  <c r="U495" i="432"/>
  <c r="T495" i="432"/>
  <c r="S495" i="432"/>
  <c r="R495" i="432"/>
  <c r="Q495" i="432"/>
  <c r="B495" i="432"/>
  <c r="P495" i="432" s="1"/>
  <c r="AJ494" i="432"/>
  <c r="V494" i="432"/>
  <c r="U494" i="432"/>
  <c r="T494" i="432"/>
  <c r="S494" i="432"/>
  <c r="R494" i="432"/>
  <c r="Q494" i="432"/>
  <c r="B494" i="432"/>
  <c r="P494" i="432" s="1"/>
  <c r="AJ493" i="432"/>
  <c r="V493" i="432"/>
  <c r="U493" i="432"/>
  <c r="T493" i="432"/>
  <c r="S493" i="432"/>
  <c r="R493" i="432"/>
  <c r="Q493" i="432"/>
  <c r="B493" i="432"/>
  <c r="P493" i="432" s="1"/>
  <c r="AJ492" i="432"/>
  <c r="V492" i="432"/>
  <c r="U492" i="432"/>
  <c r="T492" i="432"/>
  <c r="S492" i="432"/>
  <c r="R492" i="432"/>
  <c r="Q492" i="432"/>
  <c r="B492" i="432"/>
  <c r="P492" i="432" s="1"/>
  <c r="AJ491" i="432"/>
  <c r="V491" i="432"/>
  <c r="U491" i="432"/>
  <c r="T491" i="432"/>
  <c r="S491" i="432"/>
  <c r="R491" i="432"/>
  <c r="Q491" i="432"/>
  <c r="B491" i="432"/>
  <c r="P491" i="432" s="1"/>
  <c r="AJ490" i="432"/>
  <c r="V490" i="432"/>
  <c r="U490" i="432"/>
  <c r="T490" i="432"/>
  <c r="S490" i="432"/>
  <c r="R490" i="432"/>
  <c r="Q490" i="432"/>
  <c r="B490" i="432"/>
  <c r="P490" i="432" s="1"/>
  <c r="AJ489" i="432"/>
  <c r="V489" i="432"/>
  <c r="U489" i="432"/>
  <c r="T489" i="432"/>
  <c r="S489" i="432"/>
  <c r="R489" i="432"/>
  <c r="Q489" i="432"/>
  <c r="B489" i="432"/>
  <c r="P489" i="432" s="1"/>
  <c r="AJ488" i="432"/>
  <c r="V488" i="432"/>
  <c r="U488" i="432"/>
  <c r="T488" i="432"/>
  <c r="S488" i="432"/>
  <c r="R488" i="432"/>
  <c r="Q488" i="432"/>
  <c r="B488" i="432"/>
  <c r="P488" i="432" s="1"/>
  <c r="AJ487" i="432"/>
  <c r="V487" i="432"/>
  <c r="U487" i="432"/>
  <c r="T487" i="432"/>
  <c r="S487" i="432"/>
  <c r="R487" i="432"/>
  <c r="Q487" i="432"/>
  <c r="P487" i="432"/>
  <c r="B487" i="432"/>
  <c r="AJ486" i="432"/>
  <c r="V486" i="432"/>
  <c r="U486" i="432"/>
  <c r="T486" i="432"/>
  <c r="S486" i="432"/>
  <c r="R486" i="432"/>
  <c r="Q486" i="432"/>
  <c r="B486" i="432"/>
  <c r="P486" i="432" s="1"/>
  <c r="AJ485" i="432"/>
  <c r="V485" i="432"/>
  <c r="U485" i="432"/>
  <c r="T485" i="432"/>
  <c r="S485" i="432"/>
  <c r="R485" i="432"/>
  <c r="Q485" i="432"/>
  <c r="B485" i="432"/>
  <c r="P485" i="432" s="1"/>
  <c r="AJ484" i="432"/>
  <c r="V484" i="432"/>
  <c r="U484" i="432"/>
  <c r="T484" i="432"/>
  <c r="S484" i="432"/>
  <c r="R484" i="432"/>
  <c r="Q484" i="432"/>
  <c r="P484" i="432"/>
  <c r="B484" i="432"/>
  <c r="AJ483" i="432"/>
  <c r="V483" i="432"/>
  <c r="U483" i="432"/>
  <c r="T483" i="432"/>
  <c r="S483" i="432"/>
  <c r="R483" i="432"/>
  <c r="Q483" i="432"/>
  <c r="B483" i="432"/>
  <c r="P483" i="432" s="1"/>
  <c r="AJ482" i="432"/>
  <c r="V482" i="432"/>
  <c r="U482" i="432"/>
  <c r="T482" i="432"/>
  <c r="S482" i="432"/>
  <c r="R482" i="432"/>
  <c r="Q482" i="432"/>
  <c r="B482" i="432"/>
  <c r="P482" i="432" s="1"/>
  <c r="AJ481" i="432"/>
  <c r="V481" i="432"/>
  <c r="U481" i="432"/>
  <c r="T481" i="432"/>
  <c r="S481" i="432"/>
  <c r="R481" i="432"/>
  <c r="Q481" i="432"/>
  <c r="B481" i="432"/>
  <c r="P481" i="432" s="1"/>
  <c r="AJ480" i="432"/>
  <c r="V480" i="432"/>
  <c r="U480" i="432"/>
  <c r="T480" i="432"/>
  <c r="S480" i="432"/>
  <c r="R480" i="432"/>
  <c r="Q480" i="432"/>
  <c r="B480" i="432"/>
  <c r="P480" i="432" s="1"/>
  <c r="AJ479" i="432"/>
  <c r="V479" i="432"/>
  <c r="U479" i="432"/>
  <c r="T479" i="432"/>
  <c r="S479" i="432"/>
  <c r="R479" i="432"/>
  <c r="Q479" i="432"/>
  <c r="B479" i="432"/>
  <c r="P479" i="432" s="1"/>
  <c r="AJ478" i="432"/>
  <c r="V478" i="432"/>
  <c r="U478" i="432"/>
  <c r="T478" i="432"/>
  <c r="S478" i="432"/>
  <c r="R478" i="432"/>
  <c r="Q478" i="432"/>
  <c r="B478" i="432"/>
  <c r="P478" i="432" s="1"/>
  <c r="AJ477" i="432"/>
  <c r="V477" i="432"/>
  <c r="U477" i="432"/>
  <c r="T477" i="432"/>
  <c r="S477" i="432"/>
  <c r="R477" i="432"/>
  <c r="Q477" i="432"/>
  <c r="B477" i="432"/>
  <c r="P477" i="432" s="1"/>
  <c r="AJ476" i="432"/>
  <c r="V476" i="432"/>
  <c r="U476" i="432"/>
  <c r="T476" i="432"/>
  <c r="S476" i="432"/>
  <c r="R476" i="432"/>
  <c r="Q476" i="432"/>
  <c r="P476" i="432"/>
  <c r="B476" i="432"/>
  <c r="AJ475" i="432"/>
  <c r="V475" i="432"/>
  <c r="U475" i="432"/>
  <c r="T475" i="432"/>
  <c r="S475" i="432"/>
  <c r="R475" i="432"/>
  <c r="Q475" i="432"/>
  <c r="B475" i="432"/>
  <c r="P475" i="432" s="1"/>
  <c r="AJ474" i="432"/>
  <c r="V474" i="432"/>
  <c r="U474" i="432"/>
  <c r="T474" i="432"/>
  <c r="S474" i="432"/>
  <c r="R474" i="432"/>
  <c r="Q474" i="432"/>
  <c r="B474" i="432"/>
  <c r="P474" i="432" s="1"/>
  <c r="AJ473" i="432"/>
  <c r="V473" i="432"/>
  <c r="U473" i="432"/>
  <c r="T473" i="432"/>
  <c r="S473" i="432"/>
  <c r="R473" i="432"/>
  <c r="Q473" i="432"/>
  <c r="B473" i="432"/>
  <c r="P473" i="432" s="1"/>
  <c r="AJ472" i="432"/>
  <c r="V472" i="432"/>
  <c r="U472" i="432"/>
  <c r="T472" i="432"/>
  <c r="S472" i="432"/>
  <c r="R472" i="432"/>
  <c r="Q472" i="432"/>
  <c r="P472" i="432"/>
  <c r="B472" i="432"/>
  <c r="AJ471" i="432"/>
  <c r="V471" i="432"/>
  <c r="U471" i="432"/>
  <c r="T471" i="432"/>
  <c r="S471" i="432"/>
  <c r="R471" i="432"/>
  <c r="Q471" i="432"/>
  <c r="B471" i="432"/>
  <c r="P471" i="432" s="1"/>
  <c r="AJ470" i="432"/>
  <c r="V470" i="432"/>
  <c r="U470" i="432"/>
  <c r="T470" i="432"/>
  <c r="S470" i="432"/>
  <c r="R470" i="432"/>
  <c r="Q470" i="432"/>
  <c r="B470" i="432"/>
  <c r="P470" i="432" s="1"/>
  <c r="AJ469" i="432"/>
  <c r="V469" i="432"/>
  <c r="U469" i="432"/>
  <c r="T469" i="432"/>
  <c r="S469" i="432"/>
  <c r="R469" i="432"/>
  <c r="Q469" i="432"/>
  <c r="B469" i="432"/>
  <c r="P469" i="432" s="1"/>
  <c r="AJ468" i="432"/>
  <c r="V468" i="432"/>
  <c r="U468" i="432"/>
  <c r="T468" i="432"/>
  <c r="S468" i="432"/>
  <c r="R468" i="432"/>
  <c r="Q468" i="432"/>
  <c r="B468" i="432"/>
  <c r="P468" i="432" s="1"/>
  <c r="AJ467" i="432"/>
  <c r="V467" i="432"/>
  <c r="U467" i="432"/>
  <c r="T467" i="432"/>
  <c r="S467" i="432"/>
  <c r="R467" i="432"/>
  <c r="Q467" i="432"/>
  <c r="B467" i="432"/>
  <c r="P467" i="432" s="1"/>
  <c r="AJ466" i="432"/>
  <c r="V466" i="432"/>
  <c r="U466" i="432"/>
  <c r="T466" i="432"/>
  <c r="S466" i="432"/>
  <c r="R466" i="432"/>
  <c r="Q466" i="432"/>
  <c r="B466" i="432"/>
  <c r="P466" i="432" s="1"/>
  <c r="AJ465" i="432"/>
  <c r="V465" i="432"/>
  <c r="U465" i="432"/>
  <c r="T465" i="432"/>
  <c r="S465" i="432"/>
  <c r="R465" i="432"/>
  <c r="Q465" i="432"/>
  <c r="B465" i="432"/>
  <c r="P465" i="432" s="1"/>
  <c r="AJ464" i="432"/>
  <c r="V464" i="432"/>
  <c r="U464" i="432"/>
  <c r="T464" i="432"/>
  <c r="S464" i="432"/>
  <c r="R464" i="432"/>
  <c r="Q464" i="432"/>
  <c r="P464" i="432"/>
  <c r="B464" i="432"/>
  <c r="AJ463" i="432"/>
  <c r="V463" i="432"/>
  <c r="U463" i="432"/>
  <c r="T463" i="432"/>
  <c r="S463" i="432"/>
  <c r="R463" i="432"/>
  <c r="Q463" i="432"/>
  <c r="B463" i="432"/>
  <c r="P463" i="432" s="1"/>
  <c r="AJ462" i="432"/>
  <c r="V462" i="432"/>
  <c r="U462" i="432"/>
  <c r="T462" i="432"/>
  <c r="S462" i="432"/>
  <c r="R462" i="432"/>
  <c r="Q462" i="432"/>
  <c r="P462" i="432"/>
  <c r="B462" i="432"/>
  <c r="AJ461" i="432"/>
  <c r="V461" i="432"/>
  <c r="U461" i="432"/>
  <c r="T461" i="432"/>
  <c r="S461" i="432"/>
  <c r="R461" i="432"/>
  <c r="Q461" i="432"/>
  <c r="B461" i="432"/>
  <c r="P461" i="432" s="1"/>
  <c r="AJ460" i="432"/>
  <c r="V460" i="432"/>
  <c r="U460" i="432"/>
  <c r="T460" i="432"/>
  <c r="S460" i="432"/>
  <c r="R460" i="432"/>
  <c r="Q460" i="432"/>
  <c r="B460" i="432"/>
  <c r="P460" i="432" s="1"/>
  <c r="AJ459" i="432"/>
  <c r="V459" i="432"/>
  <c r="U459" i="432"/>
  <c r="T459" i="432"/>
  <c r="S459" i="432"/>
  <c r="R459" i="432"/>
  <c r="Q459" i="432"/>
  <c r="B459" i="432"/>
  <c r="P459" i="432" s="1"/>
  <c r="AJ458" i="432"/>
  <c r="V458" i="432"/>
  <c r="U458" i="432"/>
  <c r="T458" i="432"/>
  <c r="S458" i="432"/>
  <c r="R458" i="432"/>
  <c r="Q458" i="432"/>
  <c r="P458" i="432"/>
  <c r="B458" i="432"/>
  <c r="AJ457" i="432"/>
  <c r="V457" i="432"/>
  <c r="U457" i="432"/>
  <c r="T457" i="432"/>
  <c r="S457" i="432"/>
  <c r="R457" i="432"/>
  <c r="Q457" i="432"/>
  <c r="B457" i="432"/>
  <c r="P457" i="432" s="1"/>
  <c r="AJ456" i="432"/>
  <c r="V456" i="432"/>
  <c r="U456" i="432"/>
  <c r="T456" i="432"/>
  <c r="S456" i="432"/>
  <c r="R456" i="432"/>
  <c r="Q456" i="432"/>
  <c r="B456" i="432"/>
  <c r="P456" i="432" s="1"/>
  <c r="AJ455" i="432"/>
  <c r="V455" i="432"/>
  <c r="U455" i="432"/>
  <c r="T455" i="432"/>
  <c r="S455" i="432"/>
  <c r="R455" i="432"/>
  <c r="Q455" i="432"/>
  <c r="B455" i="432"/>
  <c r="P455" i="432" s="1"/>
  <c r="AJ454" i="432"/>
  <c r="V454" i="432"/>
  <c r="U454" i="432"/>
  <c r="T454" i="432"/>
  <c r="S454" i="432"/>
  <c r="R454" i="432"/>
  <c r="Q454" i="432"/>
  <c r="B454" i="432"/>
  <c r="P454" i="432" s="1"/>
  <c r="AJ453" i="432"/>
  <c r="V453" i="432"/>
  <c r="U453" i="432"/>
  <c r="T453" i="432"/>
  <c r="S453" i="432"/>
  <c r="R453" i="432"/>
  <c r="Q453" i="432"/>
  <c r="P453" i="432"/>
  <c r="B453" i="432"/>
  <c r="AJ452" i="432"/>
  <c r="V452" i="432"/>
  <c r="U452" i="432"/>
  <c r="T452" i="432"/>
  <c r="S452" i="432"/>
  <c r="R452" i="432"/>
  <c r="Q452" i="432"/>
  <c r="B452" i="432"/>
  <c r="P452" i="432" s="1"/>
  <c r="AJ451" i="432"/>
  <c r="V451" i="432"/>
  <c r="U451" i="432"/>
  <c r="T451" i="432"/>
  <c r="S451" i="432"/>
  <c r="R451" i="432"/>
  <c r="Q451" i="432"/>
  <c r="B451" i="432"/>
  <c r="P451" i="432" s="1"/>
  <c r="AJ450" i="432"/>
  <c r="V450" i="432"/>
  <c r="U450" i="432"/>
  <c r="T450" i="432"/>
  <c r="S450" i="432"/>
  <c r="R450" i="432"/>
  <c r="Q450" i="432"/>
  <c r="B450" i="432"/>
  <c r="P450" i="432" s="1"/>
  <c r="AJ449" i="432"/>
  <c r="V449" i="432"/>
  <c r="U449" i="432"/>
  <c r="T449" i="432"/>
  <c r="S449" i="432"/>
  <c r="R449" i="432"/>
  <c r="Q449" i="432"/>
  <c r="P449" i="432"/>
  <c r="B449" i="432"/>
  <c r="AJ448" i="432"/>
  <c r="V448" i="432"/>
  <c r="U448" i="432"/>
  <c r="T448" i="432"/>
  <c r="S448" i="432"/>
  <c r="R448" i="432"/>
  <c r="Q448" i="432"/>
  <c r="P448" i="432"/>
  <c r="B448" i="432"/>
  <c r="AJ447" i="432"/>
  <c r="V447" i="432"/>
  <c r="U447" i="432"/>
  <c r="T447" i="432"/>
  <c r="S447" i="432"/>
  <c r="R447" i="432"/>
  <c r="Q447" i="432"/>
  <c r="B447" i="432"/>
  <c r="P447" i="432" s="1"/>
  <c r="AJ446" i="432"/>
  <c r="V446" i="432"/>
  <c r="U446" i="432"/>
  <c r="T446" i="432"/>
  <c r="S446" i="432"/>
  <c r="R446" i="432"/>
  <c r="Q446" i="432"/>
  <c r="B446" i="432"/>
  <c r="P446" i="432" s="1"/>
  <c r="AJ445" i="432"/>
  <c r="V445" i="432"/>
  <c r="U445" i="432"/>
  <c r="T445" i="432"/>
  <c r="S445" i="432"/>
  <c r="R445" i="432"/>
  <c r="Q445" i="432"/>
  <c r="B445" i="432"/>
  <c r="P445" i="432" s="1"/>
  <c r="AJ444" i="432"/>
  <c r="V444" i="432"/>
  <c r="U444" i="432"/>
  <c r="T444" i="432"/>
  <c r="S444" i="432"/>
  <c r="R444" i="432"/>
  <c r="Q444" i="432"/>
  <c r="P444" i="432"/>
  <c r="B444" i="432"/>
  <c r="AJ443" i="432"/>
  <c r="V443" i="432"/>
  <c r="U443" i="432"/>
  <c r="T443" i="432"/>
  <c r="S443" i="432"/>
  <c r="R443" i="432"/>
  <c r="Q443" i="432"/>
  <c r="B443" i="432"/>
  <c r="P443" i="432" s="1"/>
  <c r="AJ442" i="432"/>
  <c r="V442" i="432"/>
  <c r="U442" i="432"/>
  <c r="T442" i="432"/>
  <c r="S442" i="432"/>
  <c r="R442" i="432"/>
  <c r="Q442" i="432"/>
  <c r="B442" i="432"/>
  <c r="P442" i="432" s="1"/>
  <c r="AJ441" i="432"/>
  <c r="V441" i="432"/>
  <c r="U441" i="432"/>
  <c r="T441" i="432"/>
  <c r="S441" i="432"/>
  <c r="R441" i="432"/>
  <c r="Q441" i="432"/>
  <c r="B441" i="432"/>
  <c r="P441" i="432" s="1"/>
  <c r="AJ440" i="432"/>
  <c r="V440" i="432"/>
  <c r="U440" i="432"/>
  <c r="T440" i="432"/>
  <c r="S440" i="432"/>
  <c r="R440" i="432"/>
  <c r="Q440" i="432"/>
  <c r="B440" i="432"/>
  <c r="P440" i="432" s="1"/>
  <c r="AJ439" i="432"/>
  <c r="V439" i="432"/>
  <c r="U439" i="432"/>
  <c r="T439" i="432"/>
  <c r="S439" i="432"/>
  <c r="R439" i="432"/>
  <c r="Q439" i="432"/>
  <c r="B439" i="432"/>
  <c r="P439" i="432" s="1"/>
  <c r="AJ438" i="432"/>
  <c r="V438" i="432"/>
  <c r="U438" i="432"/>
  <c r="T438" i="432"/>
  <c r="S438" i="432"/>
  <c r="R438" i="432"/>
  <c r="Q438" i="432"/>
  <c r="B438" i="432"/>
  <c r="P438" i="432" s="1"/>
  <c r="AJ437" i="432"/>
  <c r="V437" i="432"/>
  <c r="U437" i="432"/>
  <c r="T437" i="432"/>
  <c r="S437" i="432"/>
  <c r="R437" i="432"/>
  <c r="Q437" i="432"/>
  <c r="P437" i="432"/>
  <c r="B437" i="432"/>
  <c r="AJ436" i="432"/>
  <c r="V436" i="432"/>
  <c r="U436" i="432"/>
  <c r="T436" i="432"/>
  <c r="S436" i="432"/>
  <c r="R436" i="432"/>
  <c r="Q436" i="432"/>
  <c r="B436" i="432"/>
  <c r="P436" i="432" s="1"/>
  <c r="AJ435" i="432"/>
  <c r="V435" i="432"/>
  <c r="U435" i="432"/>
  <c r="T435" i="432"/>
  <c r="S435" i="432"/>
  <c r="R435" i="432"/>
  <c r="Q435" i="432"/>
  <c r="B435" i="432"/>
  <c r="P435" i="432" s="1"/>
  <c r="AJ434" i="432"/>
  <c r="V434" i="432"/>
  <c r="U434" i="432"/>
  <c r="T434" i="432"/>
  <c r="S434" i="432"/>
  <c r="R434" i="432"/>
  <c r="Q434" i="432"/>
  <c r="B434" i="432"/>
  <c r="P434" i="432" s="1"/>
  <c r="AJ433" i="432"/>
  <c r="V433" i="432"/>
  <c r="U433" i="432"/>
  <c r="T433" i="432"/>
  <c r="S433" i="432"/>
  <c r="R433" i="432"/>
  <c r="Q433" i="432"/>
  <c r="B433" i="432"/>
  <c r="P433" i="432" s="1"/>
  <c r="AJ432" i="432"/>
  <c r="V432" i="432"/>
  <c r="U432" i="432"/>
  <c r="T432" i="432"/>
  <c r="S432" i="432"/>
  <c r="R432" i="432"/>
  <c r="Q432" i="432"/>
  <c r="B432" i="432"/>
  <c r="P432" i="432" s="1"/>
  <c r="AJ431" i="432"/>
  <c r="V431" i="432"/>
  <c r="U431" i="432"/>
  <c r="T431" i="432"/>
  <c r="S431" i="432"/>
  <c r="R431" i="432"/>
  <c r="Q431" i="432"/>
  <c r="B431" i="432"/>
  <c r="P431" i="432" s="1"/>
  <c r="AJ430" i="432"/>
  <c r="V430" i="432"/>
  <c r="U430" i="432"/>
  <c r="T430" i="432"/>
  <c r="S430" i="432"/>
  <c r="R430" i="432"/>
  <c r="Q430" i="432"/>
  <c r="B430" i="432"/>
  <c r="P430" i="432" s="1"/>
  <c r="AJ429" i="432"/>
  <c r="V429" i="432"/>
  <c r="U429" i="432"/>
  <c r="T429" i="432"/>
  <c r="S429" i="432"/>
  <c r="R429" i="432"/>
  <c r="Q429" i="432"/>
  <c r="B429" i="432"/>
  <c r="P429" i="432" s="1"/>
  <c r="AJ428" i="432"/>
  <c r="V428" i="432"/>
  <c r="U428" i="432"/>
  <c r="T428" i="432"/>
  <c r="S428" i="432"/>
  <c r="R428" i="432"/>
  <c r="Q428" i="432"/>
  <c r="B428" i="432"/>
  <c r="P428" i="432" s="1"/>
  <c r="AJ427" i="432"/>
  <c r="V427" i="432"/>
  <c r="U427" i="432"/>
  <c r="T427" i="432"/>
  <c r="S427" i="432"/>
  <c r="R427" i="432"/>
  <c r="Q427" i="432"/>
  <c r="B427" i="432"/>
  <c r="P427" i="432" s="1"/>
  <c r="AJ426" i="432"/>
  <c r="V426" i="432"/>
  <c r="U426" i="432"/>
  <c r="T426" i="432"/>
  <c r="S426" i="432"/>
  <c r="R426" i="432"/>
  <c r="Q426" i="432"/>
  <c r="B426" i="432"/>
  <c r="P426" i="432" s="1"/>
  <c r="AJ425" i="432"/>
  <c r="V425" i="432"/>
  <c r="U425" i="432"/>
  <c r="T425" i="432"/>
  <c r="S425" i="432"/>
  <c r="R425" i="432"/>
  <c r="Q425" i="432"/>
  <c r="B425" i="432"/>
  <c r="P425" i="432" s="1"/>
  <c r="AJ424" i="432"/>
  <c r="V424" i="432"/>
  <c r="U424" i="432"/>
  <c r="T424" i="432"/>
  <c r="S424" i="432"/>
  <c r="R424" i="432"/>
  <c r="Q424" i="432"/>
  <c r="B424" i="432"/>
  <c r="P424" i="432" s="1"/>
  <c r="AJ423" i="432"/>
  <c r="V423" i="432"/>
  <c r="U423" i="432"/>
  <c r="T423" i="432"/>
  <c r="S423" i="432"/>
  <c r="R423" i="432"/>
  <c r="Q423" i="432"/>
  <c r="B423" i="432"/>
  <c r="P423" i="432" s="1"/>
  <c r="AJ422" i="432"/>
  <c r="V422" i="432"/>
  <c r="U422" i="432"/>
  <c r="T422" i="432"/>
  <c r="S422" i="432"/>
  <c r="R422" i="432"/>
  <c r="Q422" i="432"/>
  <c r="B422" i="432"/>
  <c r="P422" i="432" s="1"/>
  <c r="AJ421" i="432"/>
  <c r="V421" i="432"/>
  <c r="U421" i="432"/>
  <c r="T421" i="432"/>
  <c r="S421" i="432"/>
  <c r="R421" i="432"/>
  <c r="Q421" i="432"/>
  <c r="B421" i="432"/>
  <c r="P421" i="432" s="1"/>
  <c r="AJ420" i="432"/>
  <c r="V420" i="432"/>
  <c r="U420" i="432"/>
  <c r="T420" i="432"/>
  <c r="S420" i="432"/>
  <c r="R420" i="432"/>
  <c r="Q420" i="432"/>
  <c r="B420" i="432"/>
  <c r="P420" i="432" s="1"/>
  <c r="AJ419" i="432"/>
  <c r="V419" i="432"/>
  <c r="U419" i="432"/>
  <c r="T419" i="432"/>
  <c r="S419" i="432"/>
  <c r="R419" i="432"/>
  <c r="Q419" i="432"/>
  <c r="B419" i="432"/>
  <c r="P419" i="432" s="1"/>
  <c r="AJ418" i="432"/>
  <c r="V418" i="432"/>
  <c r="U418" i="432"/>
  <c r="T418" i="432"/>
  <c r="S418" i="432"/>
  <c r="R418" i="432"/>
  <c r="Q418" i="432"/>
  <c r="B418" i="432"/>
  <c r="P418" i="432" s="1"/>
  <c r="AJ417" i="432"/>
  <c r="V417" i="432"/>
  <c r="U417" i="432"/>
  <c r="T417" i="432"/>
  <c r="S417" i="432"/>
  <c r="R417" i="432"/>
  <c r="Q417" i="432"/>
  <c r="B417" i="432"/>
  <c r="P417" i="432" s="1"/>
  <c r="AJ416" i="432"/>
  <c r="V416" i="432"/>
  <c r="U416" i="432"/>
  <c r="T416" i="432"/>
  <c r="S416" i="432"/>
  <c r="R416" i="432"/>
  <c r="Q416" i="432"/>
  <c r="P416" i="432"/>
  <c r="B416" i="432"/>
  <c r="AJ415" i="432"/>
  <c r="V415" i="432"/>
  <c r="U415" i="432"/>
  <c r="T415" i="432"/>
  <c r="S415" i="432"/>
  <c r="R415" i="432"/>
  <c r="Q415" i="432"/>
  <c r="B415" i="432"/>
  <c r="P415" i="432" s="1"/>
  <c r="AJ414" i="432"/>
  <c r="V414" i="432"/>
  <c r="U414" i="432"/>
  <c r="T414" i="432"/>
  <c r="S414" i="432"/>
  <c r="R414" i="432"/>
  <c r="Q414" i="432"/>
  <c r="P414" i="432"/>
  <c r="B414" i="432"/>
  <c r="AJ413" i="432"/>
  <c r="V413" i="432"/>
  <c r="U413" i="432"/>
  <c r="T413" i="432"/>
  <c r="S413" i="432"/>
  <c r="R413" i="432"/>
  <c r="Q413" i="432"/>
  <c r="P413" i="432"/>
  <c r="B413" i="432"/>
  <c r="AJ412" i="432"/>
  <c r="V412" i="432"/>
  <c r="U412" i="432"/>
  <c r="T412" i="432"/>
  <c r="S412" i="432"/>
  <c r="R412" i="432"/>
  <c r="Q412" i="432"/>
  <c r="B412" i="432"/>
  <c r="P412" i="432" s="1"/>
  <c r="AJ411" i="432"/>
  <c r="V411" i="432"/>
  <c r="U411" i="432"/>
  <c r="T411" i="432"/>
  <c r="S411" i="432"/>
  <c r="R411" i="432"/>
  <c r="Q411" i="432"/>
  <c r="B411" i="432"/>
  <c r="P411" i="432" s="1"/>
  <c r="AJ410" i="432"/>
  <c r="V410" i="432"/>
  <c r="U410" i="432"/>
  <c r="T410" i="432"/>
  <c r="S410" i="432"/>
  <c r="R410" i="432"/>
  <c r="Q410" i="432"/>
  <c r="B410" i="432"/>
  <c r="P410" i="432" s="1"/>
  <c r="AJ409" i="432"/>
  <c r="V409" i="432"/>
  <c r="U409" i="432"/>
  <c r="T409" i="432"/>
  <c r="S409" i="432"/>
  <c r="R409" i="432"/>
  <c r="Q409" i="432"/>
  <c r="B409" i="432"/>
  <c r="P409" i="432" s="1"/>
  <c r="AJ408" i="432"/>
  <c r="V408" i="432"/>
  <c r="U408" i="432"/>
  <c r="T408" i="432"/>
  <c r="S408" i="432"/>
  <c r="R408" i="432"/>
  <c r="Q408" i="432"/>
  <c r="B408" i="432"/>
  <c r="P408" i="432" s="1"/>
  <c r="AJ407" i="432"/>
  <c r="V407" i="432"/>
  <c r="U407" i="432"/>
  <c r="T407" i="432"/>
  <c r="S407" i="432"/>
  <c r="R407" i="432"/>
  <c r="Q407" i="432"/>
  <c r="B407" i="432"/>
  <c r="P407" i="432" s="1"/>
  <c r="AJ406" i="432"/>
  <c r="V406" i="432"/>
  <c r="U406" i="432"/>
  <c r="T406" i="432"/>
  <c r="S406" i="432"/>
  <c r="R406" i="432"/>
  <c r="Q406" i="432"/>
  <c r="B406" i="432"/>
  <c r="P406" i="432" s="1"/>
  <c r="AJ405" i="432"/>
  <c r="V405" i="432"/>
  <c r="U405" i="432"/>
  <c r="T405" i="432"/>
  <c r="S405" i="432"/>
  <c r="R405" i="432"/>
  <c r="Q405" i="432"/>
  <c r="B405" i="432"/>
  <c r="P405" i="432" s="1"/>
  <c r="AJ404" i="432"/>
  <c r="V404" i="432"/>
  <c r="U404" i="432"/>
  <c r="T404" i="432"/>
  <c r="S404" i="432"/>
  <c r="R404" i="432"/>
  <c r="Q404" i="432"/>
  <c r="B404" i="432"/>
  <c r="P404" i="432" s="1"/>
  <c r="AJ403" i="432"/>
  <c r="V403" i="432"/>
  <c r="U403" i="432"/>
  <c r="T403" i="432"/>
  <c r="S403" i="432"/>
  <c r="R403" i="432"/>
  <c r="Q403" i="432"/>
  <c r="B403" i="432"/>
  <c r="P403" i="432" s="1"/>
  <c r="AJ402" i="432"/>
  <c r="V402" i="432"/>
  <c r="U402" i="432"/>
  <c r="T402" i="432"/>
  <c r="S402" i="432"/>
  <c r="R402" i="432"/>
  <c r="Q402" i="432"/>
  <c r="B402" i="432"/>
  <c r="P402" i="432" s="1"/>
  <c r="AJ401" i="432"/>
  <c r="V401" i="432"/>
  <c r="U401" i="432"/>
  <c r="T401" i="432"/>
  <c r="S401" i="432"/>
  <c r="R401" i="432"/>
  <c r="Q401" i="432"/>
  <c r="P401" i="432"/>
  <c r="B401" i="432"/>
  <c r="AJ400" i="432"/>
  <c r="V400" i="432"/>
  <c r="U400" i="432"/>
  <c r="T400" i="432"/>
  <c r="S400" i="432"/>
  <c r="R400" i="432"/>
  <c r="Q400" i="432"/>
  <c r="B400" i="432"/>
  <c r="P400" i="432" s="1"/>
  <c r="AJ399" i="432"/>
  <c r="V399" i="432"/>
  <c r="U399" i="432"/>
  <c r="T399" i="432"/>
  <c r="S399" i="432"/>
  <c r="R399" i="432"/>
  <c r="Q399" i="432"/>
  <c r="B399" i="432"/>
  <c r="P399" i="432" s="1"/>
  <c r="AJ398" i="432"/>
  <c r="V398" i="432"/>
  <c r="U398" i="432"/>
  <c r="T398" i="432"/>
  <c r="S398" i="432"/>
  <c r="R398" i="432"/>
  <c r="Q398" i="432"/>
  <c r="B398" i="432"/>
  <c r="P398" i="432" s="1"/>
  <c r="AJ397" i="432"/>
  <c r="V397" i="432"/>
  <c r="U397" i="432"/>
  <c r="T397" i="432"/>
  <c r="S397" i="432"/>
  <c r="R397" i="432"/>
  <c r="Q397" i="432"/>
  <c r="B397" i="432"/>
  <c r="P397" i="432" s="1"/>
  <c r="AJ396" i="432"/>
  <c r="V396" i="432"/>
  <c r="U396" i="432"/>
  <c r="T396" i="432"/>
  <c r="S396" i="432"/>
  <c r="R396" i="432"/>
  <c r="Q396" i="432"/>
  <c r="B396" i="432"/>
  <c r="P396" i="432" s="1"/>
  <c r="AJ395" i="432"/>
  <c r="V395" i="432"/>
  <c r="U395" i="432"/>
  <c r="T395" i="432"/>
  <c r="S395" i="432"/>
  <c r="R395" i="432"/>
  <c r="Q395" i="432"/>
  <c r="B395" i="432"/>
  <c r="P395" i="432" s="1"/>
  <c r="AJ394" i="432"/>
  <c r="V394" i="432"/>
  <c r="U394" i="432"/>
  <c r="T394" i="432"/>
  <c r="S394" i="432"/>
  <c r="R394" i="432"/>
  <c r="Q394" i="432"/>
  <c r="B394" i="432"/>
  <c r="P394" i="432" s="1"/>
  <c r="AJ393" i="432"/>
  <c r="V393" i="432"/>
  <c r="U393" i="432"/>
  <c r="T393" i="432"/>
  <c r="S393" i="432"/>
  <c r="R393" i="432"/>
  <c r="Q393" i="432"/>
  <c r="B393" i="432"/>
  <c r="P393" i="432" s="1"/>
  <c r="AJ392" i="432"/>
  <c r="V392" i="432"/>
  <c r="U392" i="432"/>
  <c r="T392" i="432"/>
  <c r="S392" i="432"/>
  <c r="R392" i="432"/>
  <c r="Q392" i="432"/>
  <c r="P392" i="432"/>
  <c r="B392" i="432"/>
  <c r="AJ391" i="432"/>
  <c r="V391" i="432"/>
  <c r="U391" i="432"/>
  <c r="T391" i="432"/>
  <c r="S391" i="432"/>
  <c r="R391" i="432"/>
  <c r="Q391" i="432"/>
  <c r="P391" i="432"/>
  <c r="B391" i="432"/>
  <c r="AJ390" i="432"/>
  <c r="V390" i="432"/>
  <c r="U390" i="432"/>
  <c r="T390" i="432"/>
  <c r="S390" i="432"/>
  <c r="R390" i="432"/>
  <c r="Q390" i="432"/>
  <c r="P390" i="432"/>
  <c r="B390" i="432"/>
  <c r="AJ389" i="432"/>
  <c r="V389" i="432"/>
  <c r="U389" i="432"/>
  <c r="T389" i="432"/>
  <c r="S389" i="432"/>
  <c r="R389" i="432"/>
  <c r="Q389" i="432"/>
  <c r="B389" i="432"/>
  <c r="P389" i="432" s="1"/>
  <c r="AJ388" i="432"/>
  <c r="V388" i="432"/>
  <c r="U388" i="432"/>
  <c r="T388" i="432"/>
  <c r="S388" i="432"/>
  <c r="R388" i="432"/>
  <c r="Q388" i="432"/>
  <c r="B388" i="432"/>
  <c r="P388" i="432" s="1"/>
  <c r="AJ387" i="432"/>
  <c r="V387" i="432"/>
  <c r="U387" i="432"/>
  <c r="T387" i="432"/>
  <c r="S387" i="432"/>
  <c r="R387" i="432"/>
  <c r="Q387" i="432"/>
  <c r="B387" i="432"/>
  <c r="P387" i="432" s="1"/>
  <c r="AJ386" i="432"/>
  <c r="V386" i="432"/>
  <c r="U386" i="432"/>
  <c r="T386" i="432"/>
  <c r="S386" i="432"/>
  <c r="R386" i="432"/>
  <c r="Q386" i="432"/>
  <c r="B386" i="432"/>
  <c r="P386" i="432" s="1"/>
  <c r="AJ385" i="432"/>
  <c r="V385" i="432"/>
  <c r="U385" i="432"/>
  <c r="T385" i="432"/>
  <c r="S385" i="432"/>
  <c r="R385" i="432"/>
  <c r="Q385" i="432"/>
  <c r="B385" i="432"/>
  <c r="P385" i="432" s="1"/>
  <c r="AJ384" i="432"/>
  <c r="V384" i="432"/>
  <c r="U384" i="432"/>
  <c r="T384" i="432"/>
  <c r="S384" i="432"/>
  <c r="R384" i="432"/>
  <c r="Q384" i="432"/>
  <c r="B384" i="432"/>
  <c r="P384" i="432" s="1"/>
  <c r="AJ383" i="432"/>
  <c r="V383" i="432"/>
  <c r="U383" i="432"/>
  <c r="T383" i="432"/>
  <c r="S383" i="432"/>
  <c r="R383" i="432"/>
  <c r="Q383" i="432"/>
  <c r="B383" i="432"/>
  <c r="P383" i="432" s="1"/>
  <c r="AJ382" i="432"/>
  <c r="V382" i="432"/>
  <c r="U382" i="432"/>
  <c r="T382" i="432"/>
  <c r="S382" i="432"/>
  <c r="R382" i="432"/>
  <c r="Q382" i="432"/>
  <c r="B382" i="432"/>
  <c r="P382" i="432" s="1"/>
  <c r="AJ381" i="432"/>
  <c r="V381" i="432"/>
  <c r="U381" i="432"/>
  <c r="T381" i="432"/>
  <c r="S381" i="432"/>
  <c r="R381" i="432"/>
  <c r="Q381" i="432"/>
  <c r="B381" i="432"/>
  <c r="P381" i="432" s="1"/>
  <c r="AJ380" i="432"/>
  <c r="V380" i="432"/>
  <c r="U380" i="432"/>
  <c r="T380" i="432"/>
  <c r="S380" i="432"/>
  <c r="R380" i="432"/>
  <c r="Q380" i="432"/>
  <c r="P380" i="432"/>
  <c r="B380" i="432"/>
  <c r="AJ379" i="432"/>
  <c r="V379" i="432"/>
  <c r="U379" i="432"/>
  <c r="T379" i="432"/>
  <c r="S379" i="432"/>
  <c r="R379" i="432"/>
  <c r="Q379" i="432"/>
  <c r="B379" i="432"/>
  <c r="P379" i="432" s="1"/>
  <c r="AJ378" i="432"/>
  <c r="V378" i="432"/>
  <c r="U378" i="432"/>
  <c r="T378" i="432"/>
  <c r="S378" i="432"/>
  <c r="R378" i="432"/>
  <c r="Q378" i="432"/>
  <c r="B378" i="432"/>
  <c r="P378" i="432" s="1"/>
  <c r="AJ377" i="432"/>
  <c r="V377" i="432"/>
  <c r="U377" i="432"/>
  <c r="T377" i="432"/>
  <c r="S377" i="432"/>
  <c r="R377" i="432"/>
  <c r="Q377" i="432"/>
  <c r="B377" i="432"/>
  <c r="P377" i="432" s="1"/>
  <c r="AJ376" i="432"/>
  <c r="V376" i="432"/>
  <c r="U376" i="432"/>
  <c r="T376" i="432"/>
  <c r="S376" i="432"/>
  <c r="R376" i="432"/>
  <c r="Q376" i="432"/>
  <c r="P376" i="432"/>
  <c r="B376" i="432"/>
  <c r="AJ375" i="432"/>
  <c r="V375" i="432"/>
  <c r="U375" i="432"/>
  <c r="T375" i="432"/>
  <c r="S375" i="432"/>
  <c r="R375" i="432"/>
  <c r="Q375" i="432"/>
  <c r="B375" i="432"/>
  <c r="P375" i="432" s="1"/>
  <c r="AJ374" i="432"/>
  <c r="V374" i="432"/>
  <c r="U374" i="432"/>
  <c r="T374" i="432"/>
  <c r="S374" i="432"/>
  <c r="R374" i="432"/>
  <c r="Q374" i="432"/>
  <c r="P374" i="432"/>
  <c r="B374" i="432"/>
  <c r="AJ373" i="432"/>
  <c r="V373" i="432"/>
  <c r="U373" i="432"/>
  <c r="T373" i="432"/>
  <c r="S373" i="432"/>
  <c r="R373" i="432"/>
  <c r="Q373" i="432"/>
  <c r="B373" i="432"/>
  <c r="P373" i="432" s="1"/>
  <c r="AJ372" i="432"/>
  <c r="V372" i="432"/>
  <c r="U372" i="432"/>
  <c r="T372" i="432"/>
  <c r="S372" i="432"/>
  <c r="R372" i="432"/>
  <c r="Q372" i="432"/>
  <c r="B372" i="432"/>
  <c r="P372" i="432" s="1"/>
  <c r="AJ371" i="432"/>
  <c r="V371" i="432"/>
  <c r="U371" i="432"/>
  <c r="T371" i="432"/>
  <c r="S371" i="432"/>
  <c r="R371" i="432"/>
  <c r="Q371" i="432"/>
  <c r="B371" i="432"/>
  <c r="P371" i="432" s="1"/>
  <c r="AJ370" i="432"/>
  <c r="V370" i="432"/>
  <c r="U370" i="432"/>
  <c r="T370" i="432"/>
  <c r="S370" i="432"/>
  <c r="R370" i="432"/>
  <c r="Q370" i="432"/>
  <c r="B370" i="432"/>
  <c r="P370" i="432" s="1"/>
  <c r="AJ369" i="432"/>
  <c r="V369" i="432"/>
  <c r="U369" i="432"/>
  <c r="T369" i="432"/>
  <c r="S369" i="432"/>
  <c r="R369" i="432"/>
  <c r="Q369" i="432"/>
  <c r="B369" i="432"/>
  <c r="P369" i="432" s="1"/>
  <c r="AJ368" i="432"/>
  <c r="V368" i="432"/>
  <c r="U368" i="432"/>
  <c r="T368" i="432"/>
  <c r="S368" i="432"/>
  <c r="R368" i="432"/>
  <c r="Q368" i="432"/>
  <c r="P368" i="432"/>
  <c r="B368" i="432"/>
  <c r="AJ367" i="432"/>
  <c r="V367" i="432"/>
  <c r="U367" i="432"/>
  <c r="T367" i="432"/>
  <c r="S367" i="432"/>
  <c r="R367" i="432"/>
  <c r="Q367" i="432"/>
  <c r="P367" i="432"/>
  <c r="B367" i="432"/>
  <c r="AJ366" i="432"/>
  <c r="V366" i="432"/>
  <c r="U366" i="432"/>
  <c r="T366" i="432"/>
  <c r="S366" i="432"/>
  <c r="R366" i="432"/>
  <c r="Q366" i="432"/>
  <c r="B366" i="432"/>
  <c r="P366" i="432" s="1"/>
  <c r="AJ365" i="432"/>
  <c r="V365" i="432"/>
  <c r="U365" i="432"/>
  <c r="T365" i="432"/>
  <c r="S365" i="432"/>
  <c r="R365" i="432"/>
  <c r="Q365" i="432"/>
  <c r="B365" i="432"/>
  <c r="P365" i="432" s="1"/>
  <c r="AJ364" i="432"/>
  <c r="V364" i="432"/>
  <c r="U364" i="432"/>
  <c r="T364" i="432"/>
  <c r="S364" i="432"/>
  <c r="R364" i="432"/>
  <c r="Q364" i="432"/>
  <c r="B364" i="432"/>
  <c r="P364" i="432" s="1"/>
  <c r="AJ363" i="432"/>
  <c r="V363" i="432"/>
  <c r="U363" i="432"/>
  <c r="T363" i="432"/>
  <c r="S363" i="432"/>
  <c r="R363" i="432"/>
  <c r="Q363" i="432"/>
  <c r="B363" i="432"/>
  <c r="P363" i="432" s="1"/>
  <c r="AJ362" i="432"/>
  <c r="V362" i="432"/>
  <c r="U362" i="432"/>
  <c r="T362" i="432"/>
  <c r="S362" i="432"/>
  <c r="R362" i="432"/>
  <c r="Q362" i="432"/>
  <c r="B362" i="432"/>
  <c r="P362" i="432" s="1"/>
  <c r="AJ361" i="432"/>
  <c r="V361" i="432"/>
  <c r="U361" i="432"/>
  <c r="T361" i="432"/>
  <c r="S361" i="432"/>
  <c r="R361" i="432"/>
  <c r="Q361" i="432"/>
  <c r="B361" i="432"/>
  <c r="P361" i="432" s="1"/>
  <c r="AJ360" i="432"/>
  <c r="V360" i="432"/>
  <c r="U360" i="432"/>
  <c r="T360" i="432"/>
  <c r="S360" i="432"/>
  <c r="R360" i="432"/>
  <c r="Q360" i="432"/>
  <c r="B360" i="432"/>
  <c r="P360" i="432" s="1"/>
  <c r="AJ359" i="432"/>
  <c r="V359" i="432"/>
  <c r="U359" i="432"/>
  <c r="T359" i="432"/>
  <c r="S359" i="432"/>
  <c r="R359" i="432"/>
  <c r="Q359" i="432"/>
  <c r="B359" i="432"/>
  <c r="P359" i="432" s="1"/>
  <c r="AJ358" i="432"/>
  <c r="V358" i="432"/>
  <c r="U358" i="432"/>
  <c r="T358" i="432"/>
  <c r="S358" i="432"/>
  <c r="R358" i="432"/>
  <c r="Q358" i="432"/>
  <c r="B358" i="432"/>
  <c r="P358" i="432" s="1"/>
  <c r="AJ357" i="432"/>
  <c r="V357" i="432"/>
  <c r="U357" i="432"/>
  <c r="T357" i="432"/>
  <c r="S357" i="432"/>
  <c r="R357" i="432"/>
  <c r="Q357" i="432"/>
  <c r="B357" i="432"/>
  <c r="P357" i="432" s="1"/>
  <c r="AJ356" i="432"/>
  <c r="V356" i="432"/>
  <c r="U356" i="432"/>
  <c r="T356" i="432"/>
  <c r="S356" i="432"/>
  <c r="R356" i="432"/>
  <c r="Q356" i="432"/>
  <c r="P356" i="432"/>
  <c r="B356" i="432"/>
  <c r="AJ355" i="432"/>
  <c r="V355" i="432"/>
  <c r="U355" i="432"/>
  <c r="T355" i="432"/>
  <c r="S355" i="432"/>
  <c r="R355" i="432"/>
  <c r="Q355" i="432"/>
  <c r="B355" i="432"/>
  <c r="P355" i="432" s="1"/>
  <c r="AJ354" i="432"/>
  <c r="V354" i="432"/>
  <c r="U354" i="432"/>
  <c r="T354" i="432"/>
  <c r="S354" i="432"/>
  <c r="R354" i="432"/>
  <c r="Q354" i="432"/>
  <c r="B354" i="432"/>
  <c r="P354" i="432" s="1"/>
  <c r="AJ353" i="432"/>
  <c r="V353" i="432"/>
  <c r="U353" i="432"/>
  <c r="T353" i="432"/>
  <c r="S353" i="432"/>
  <c r="R353" i="432"/>
  <c r="Q353" i="432"/>
  <c r="B353" i="432"/>
  <c r="P353" i="432" s="1"/>
  <c r="AJ352" i="432"/>
  <c r="V352" i="432"/>
  <c r="U352" i="432"/>
  <c r="T352" i="432"/>
  <c r="S352" i="432"/>
  <c r="R352" i="432"/>
  <c r="Q352" i="432"/>
  <c r="P352" i="432"/>
  <c r="B352" i="432"/>
  <c r="AJ351" i="432"/>
  <c r="V351" i="432"/>
  <c r="U351" i="432"/>
  <c r="T351" i="432"/>
  <c r="S351" i="432"/>
  <c r="R351" i="432"/>
  <c r="Q351" i="432"/>
  <c r="B351" i="432"/>
  <c r="P351" i="432" s="1"/>
  <c r="AJ350" i="432"/>
  <c r="V350" i="432"/>
  <c r="U350" i="432"/>
  <c r="T350" i="432"/>
  <c r="S350" i="432"/>
  <c r="R350" i="432"/>
  <c r="Q350" i="432"/>
  <c r="B350" i="432"/>
  <c r="P350" i="432" s="1"/>
  <c r="AJ349" i="432"/>
  <c r="V349" i="432"/>
  <c r="U349" i="432"/>
  <c r="T349" i="432"/>
  <c r="S349" i="432"/>
  <c r="R349" i="432"/>
  <c r="Q349" i="432"/>
  <c r="B349" i="432"/>
  <c r="P349" i="432" s="1"/>
  <c r="AJ348" i="432"/>
  <c r="V348" i="432"/>
  <c r="U348" i="432"/>
  <c r="T348" i="432"/>
  <c r="S348" i="432"/>
  <c r="R348" i="432"/>
  <c r="Q348" i="432"/>
  <c r="B348" i="432"/>
  <c r="P348" i="432" s="1"/>
  <c r="AJ347" i="432"/>
  <c r="V347" i="432"/>
  <c r="U347" i="432"/>
  <c r="T347" i="432"/>
  <c r="S347" i="432"/>
  <c r="R347" i="432"/>
  <c r="Q347" i="432"/>
  <c r="B347" i="432"/>
  <c r="P347" i="432" s="1"/>
  <c r="AJ346" i="432"/>
  <c r="V346" i="432"/>
  <c r="U346" i="432"/>
  <c r="T346" i="432"/>
  <c r="S346" i="432"/>
  <c r="R346" i="432"/>
  <c r="Q346" i="432"/>
  <c r="B346" i="432"/>
  <c r="P346" i="432" s="1"/>
  <c r="AJ345" i="432"/>
  <c r="V345" i="432"/>
  <c r="U345" i="432"/>
  <c r="T345" i="432"/>
  <c r="S345" i="432"/>
  <c r="R345" i="432"/>
  <c r="Q345" i="432"/>
  <c r="B345" i="432"/>
  <c r="P345" i="432" s="1"/>
  <c r="AJ344" i="432"/>
  <c r="V344" i="432"/>
  <c r="U344" i="432"/>
  <c r="T344" i="432"/>
  <c r="S344" i="432"/>
  <c r="R344" i="432"/>
  <c r="Q344" i="432"/>
  <c r="B344" i="432"/>
  <c r="P344" i="432" s="1"/>
  <c r="AJ343" i="432"/>
  <c r="V343" i="432"/>
  <c r="U343" i="432"/>
  <c r="T343" i="432"/>
  <c r="S343" i="432"/>
  <c r="R343" i="432"/>
  <c r="Q343" i="432"/>
  <c r="P343" i="432"/>
  <c r="B343" i="432"/>
  <c r="AJ342" i="432"/>
  <c r="V342" i="432"/>
  <c r="U342" i="432"/>
  <c r="T342" i="432"/>
  <c r="S342" i="432"/>
  <c r="R342" i="432"/>
  <c r="Q342" i="432"/>
  <c r="P342" i="432"/>
  <c r="B342" i="432"/>
  <c r="AJ341" i="432"/>
  <c r="V341" i="432"/>
  <c r="U341" i="432"/>
  <c r="T341" i="432"/>
  <c r="S341" i="432"/>
  <c r="R341" i="432"/>
  <c r="Q341" i="432"/>
  <c r="B341" i="432"/>
  <c r="P341" i="432" s="1"/>
  <c r="AJ340" i="432"/>
  <c r="V340" i="432"/>
  <c r="U340" i="432"/>
  <c r="T340" i="432"/>
  <c r="S340" i="432"/>
  <c r="R340" i="432"/>
  <c r="Q340" i="432"/>
  <c r="B340" i="432"/>
  <c r="P340" i="432" s="1"/>
  <c r="AJ339" i="432"/>
  <c r="V339" i="432"/>
  <c r="U339" i="432"/>
  <c r="T339" i="432"/>
  <c r="S339" i="432"/>
  <c r="R339" i="432"/>
  <c r="Q339" i="432"/>
  <c r="B339" i="432"/>
  <c r="P339" i="432" s="1"/>
  <c r="AJ338" i="432"/>
  <c r="V338" i="432"/>
  <c r="U338" i="432"/>
  <c r="T338" i="432"/>
  <c r="S338" i="432"/>
  <c r="R338" i="432"/>
  <c r="Q338" i="432"/>
  <c r="P338" i="432"/>
  <c r="B338" i="432"/>
  <c r="AJ337" i="432"/>
  <c r="V337" i="432"/>
  <c r="U337" i="432"/>
  <c r="T337" i="432"/>
  <c r="S337" i="432"/>
  <c r="R337" i="432"/>
  <c r="Q337" i="432"/>
  <c r="B337" i="432"/>
  <c r="P337" i="432" s="1"/>
  <c r="AJ336" i="432"/>
  <c r="V336" i="432"/>
  <c r="U336" i="432"/>
  <c r="T336" i="432"/>
  <c r="S336" i="432"/>
  <c r="R336" i="432"/>
  <c r="Q336" i="432"/>
  <c r="B336" i="432"/>
  <c r="P336" i="432" s="1"/>
  <c r="AJ335" i="432"/>
  <c r="V335" i="432"/>
  <c r="U335" i="432"/>
  <c r="T335" i="432"/>
  <c r="S335" i="432"/>
  <c r="R335" i="432"/>
  <c r="Q335" i="432"/>
  <c r="B335" i="432"/>
  <c r="P335" i="432" s="1"/>
  <c r="AJ334" i="432"/>
  <c r="V334" i="432"/>
  <c r="U334" i="432"/>
  <c r="T334" i="432"/>
  <c r="S334" i="432"/>
  <c r="R334" i="432"/>
  <c r="Q334" i="432"/>
  <c r="B334" i="432"/>
  <c r="P334" i="432" s="1"/>
  <c r="AJ333" i="432"/>
  <c r="V333" i="432"/>
  <c r="U333" i="432"/>
  <c r="T333" i="432"/>
  <c r="S333" i="432"/>
  <c r="R333" i="432"/>
  <c r="Q333" i="432"/>
  <c r="B333" i="432"/>
  <c r="P333" i="432" s="1"/>
  <c r="AJ332" i="432"/>
  <c r="V332" i="432"/>
  <c r="U332" i="432"/>
  <c r="T332" i="432"/>
  <c r="S332" i="432"/>
  <c r="R332" i="432"/>
  <c r="Q332" i="432"/>
  <c r="B332" i="432"/>
  <c r="P332" i="432" s="1"/>
  <c r="AJ331" i="432"/>
  <c r="V331" i="432"/>
  <c r="U331" i="432"/>
  <c r="T331" i="432"/>
  <c r="S331" i="432"/>
  <c r="R331" i="432"/>
  <c r="Q331" i="432"/>
  <c r="B331" i="432"/>
  <c r="P331" i="432" s="1"/>
  <c r="AJ330" i="432"/>
  <c r="V330" i="432"/>
  <c r="U330" i="432"/>
  <c r="T330" i="432"/>
  <c r="S330" i="432"/>
  <c r="R330" i="432"/>
  <c r="Q330" i="432"/>
  <c r="P330" i="432"/>
  <c r="B330" i="432"/>
  <c r="AJ329" i="432"/>
  <c r="V329" i="432"/>
  <c r="U329" i="432"/>
  <c r="T329" i="432"/>
  <c r="S329" i="432"/>
  <c r="R329" i="432"/>
  <c r="Q329" i="432"/>
  <c r="P329" i="432"/>
  <c r="B329" i="432"/>
  <c r="AJ328" i="432"/>
  <c r="V328" i="432"/>
  <c r="U328" i="432"/>
  <c r="T328" i="432"/>
  <c r="S328" i="432"/>
  <c r="R328" i="432"/>
  <c r="Q328" i="432"/>
  <c r="P328" i="432"/>
  <c r="B328" i="432"/>
  <c r="AJ327" i="432"/>
  <c r="V327" i="432"/>
  <c r="U327" i="432"/>
  <c r="T327" i="432"/>
  <c r="S327" i="432"/>
  <c r="R327" i="432"/>
  <c r="Q327" i="432"/>
  <c r="B327" i="432"/>
  <c r="P327" i="432" s="1"/>
  <c r="AJ326" i="432"/>
  <c r="V326" i="432"/>
  <c r="U326" i="432"/>
  <c r="T326" i="432"/>
  <c r="S326" i="432"/>
  <c r="R326" i="432"/>
  <c r="Q326" i="432"/>
  <c r="P326" i="432"/>
  <c r="B326" i="432"/>
  <c r="AJ325" i="432"/>
  <c r="V325" i="432"/>
  <c r="U325" i="432"/>
  <c r="T325" i="432"/>
  <c r="S325" i="432"/>
  <c r="R325" i="432"/>
  <c r="Q325" i="432"/>
  <c r="B325" i="432"/>
  <c r="P325" i="432" s="1"/>
  <c r="AJ324" i="432"/>
  <c r="V324" i="432"/>
  <c r="U324" i="432"/>
  <c r="T324" i="432"/>
  <c r="S324" i="432"/>
  <c r="R324" i="432"/>
  <c r="Q324" i="432"/>
  <c r="P324" i="432"/>
  <c r="B324" i="432"/>
  <c r="AJ323" i="432"/>
  <c r="V323" i="432"/>
  <c r="U323" i="432"/>
  <c r="T323" i="432"/>
  <c r="S323" i="432"/>
  <c r="R323" i="432"/>
  <c r="Q323" i="432"/>
  <c r="B323" i="432"/>
  <c r="P323" i="432" s="1"/>
  <c r="AJ322" i="432"/>
  <c r="V322" i="432"/>
  <c r="U322" i="432"/>
  <c r="T322" i="432"/>
  <c r="S322" i="432"/>
  <c r="R322" i="432"/>
  <c r="Q322" i="432"/>
  <c r="B322" i="432"/>
  <c r="P322" i="432" s="1"/>
  <c r="AJ321" i="432"/>
  <c r="V321" i="432"/>
  <c r="U321" i="432"/>
  <c r="T321" i="432"/>
  <c r="S321" i="432"/>
  <c r="R321" i="432"/>
  <c r="Q321" i="432"/>
  <c r="B321" i="432"/>
  <c r="P321" i="432" s="1"/>
  <c r="AJ320" i="432"/>
  <c r="V320" i="432"/>
  <c r="U320" i="432"/>
  <c r="T320" i="432"/>
  <c r="S320" i="432"/>
  <c r="R320" i="432"/>
  <c r="Q320" i="432"/>
  <c r="B320" i="432"/>
  <c r="P320" i="432" s="1"/>
  <c r="AJ319" i="432"/>
  <c r="V319" i="432"/>
  <c r="U319" i="432"/>
  <c r="T319" i="432"/>
  <c r="S319" i="432"/>
  <c r="R319" i="432"/>
  <c r="Q319" i="432"/>
  <c r="B319" i="432"/>
  <c r="P319" i="432" s="1"/>
  <c r="AJ318" i="432"/>
  <c r="V318" i="432"/>
  <c r="U318" i="432"/>
  <c r="T318" i="432"/>
  <c r="S318" i="432"/>
  <c r="R318" i="432"/>
  <c r="Q318" i="432"/>
  <c r="P318" i="432"/>
  <c r="B318" i="432"/>
  <c r="AJ317" i="432"/>
  <c r="V317" i="432"/>
  <c r="U317" i="432"/>
  <c r="T317" i="432"/>
  <c r="S317" i="432"/>
  <c r="R317" i="432"/>
  <c r="Q317" i="432"/>
  <c r="B317" i="432"/>
  <c r="P317" i="432" s="1"/>
  <c r="AJ316" i="432"/>
  <c r="V316" i="432"/>
  <c r="U316" i="432"/>
  <c r="T316" i="432"/>
  <c r="S316" i="432"/>
  <c r="R316" i="432"/>
  <c r="Q316" i="432"/>
  <c r="B316" i="432"/>
  <c r="P316" i="432" s="1"/>
  <c r="AJ315" i="432"/>
  <c r="V315" i="432"/>
  <c r="U315" i="432"/>
  <c r="T315" i="432"/>
  <c r="S315" i="432"/>
  <c r="R315" i="432"/>
  <c r="Q315" i="432"/>
  <c r="B315" i="432"/>
  <c r="P315" i="432" s="1"/>
  <c r="AJ314" i="432"/>
  <c r="V314" i="432"/>
  <c r="U314" i="432"/>
  <c r="T314" i="432"/>
  <c r="S314" i="432"/>
  <c r="R314" i="432"/>
  <c r="Q314" i="432"/>
  <c r="B314" i="432"/>
  <c r="P314" i="432" s="1"/>
  <c r="AJ313" i="432"/>
  <c r="V313" i="432"/>
  <c r="U313" i="432"/>
  <c r="T313" i="432"/>
  <c r="S313" i="432"/>
  <c r="R313" i="432"/>
  <c r="Q313" i="432"/>
  <c r="B313" i="432"/>
  <c r="P313" i="432" s="1"/>
  <c r="AJ312" i="432"/>
  <c r="V312" i="432"/>
  <c r="U312" i="432"/>
  <c r="T312" i="432"/>
  <c r="S312" i="432"/>
  <c r="R312" i="432"/>
  <c r="Q312" i="432"/>
  <c r="P312" i="432"/>
  <c r="B312" i="432"/>
  <c r="AJ311" i="432"/>
  <c r="V311" i="432"/>
  <c r="U311" i="432"/>
  <c r="T311" i="432"/>
  <c r="S311" i="432"/>
  <c r="R311" i="432"/>
  <c r="Q311" i="432"/>
  <c r="B311" i="432"/>
  <c r="P311" i="432" s="1"/>
  <c r="AJ310" i="432"/>
  <c r="V310" i="432"/>
  <c r="U310" i="432"/>
  <c r="T310" i="432"/>
  <c r="S310" i="432"/>
  <c r="R310" i="432"/>
  <c r="Q310" i="432"/>
  <c r="B310" i="432"/>
  <c r="P310" i="432" s="1"/>
  <c r="AJ309" i="432"/>
  <c r="V309" i="432"/>
  <c r="U309" i="432"/>
  <c r="T309" i="432"/>
  <c r="S309" i="432"/>
  <c r="R309" i="432"/>
  <c r="Q309" i="432"/>
  <c r="B309" i="432"/>
  <c r="P309" i="432" s="1"/>
  <c r="AJ308" i="432"/>
  <c r="V308" i="432"/>
  <c r="U308" i="432"/>
  <c r="T308" i="432"/>
  <c r="S308" i="432"/>
  <c r="R308" i="432"/>
  <c r="Q308" i="432"/>
  <c r="B308" i="432"/>
  <c r="P308" i="432" s="1"/>
  <c r="AJ307" i="432"/>
  <c r="V307" i="432"/>
  <c r="U307" i="432"/>
  <c r="T307" i="432"/>
  <c r="S307" i="432"/>
  <c r="R307" i="432"/>
  <c r="Q307" i="432"/>
  <c r="B307" i="432"/>
  <c r="P307" i="432" s="1"/>
  <c r="AJ306" i="432"/>
  <c r="V306" i="432"/>
  <c r="U306" i="432"/>
  <c r="T306" i="432"/>
  <c r="S306" i="432"/>
  <c r="R306" i="432"/>
  <c r="Q306" i="432"/>
  <c r="B306" i="432"/>
  <c r="P306" i="432" s="1"/>
  <c r="AJ305" i="432"/>
  <c r="V305" i="432"/>
  <c r="U305" i="432"/>
  <c r="T305" i="432"/>
  <c r="S305" i="432"/>
  <c r="R305" i="432"/>
  <c r="Q305" i="432"/>
  <c r="B305" i="432"/>
  <c r="P305" i="432" s="1"/>
  <c r="AJ304" i="432"/>
  <c r="V304" i="432"/>
  <c r="U304" i="432"/>
  <c r="T304" i="432"/>
  <c r="S304" i="432"/>
  <c r="R304" i="432"/>
  <c r="Q304" i="432"/>
  <c r="P304" i="432"/>
  <c r="B304" i="432"/>
  <c r="AJ303" i="432"/>
  <c r="V303" i="432"/>
  <c r="U303" i="432"/>
  <c r="T303" i="432"/>
  <c r="S303" i="432"/>
  <c r="R303" i="432"/>
  <c r="Q303" i="432"/>
  <c r="B303" i="432"/>
  <c r="P303" i="432" s="1"/>
  <c r="AJ302" i="432"/>
  <c r="V302" i="432"/>
  <c r="U302" i="432"/>
  <c r="T302" i="432"/>
  <c r="S302" i="432"/>
  <c r="R302" i="432"/>
  <c r="Q302" i="432"/>
  <c r="B302" i="432"/>
  <c r="P302" i="432" s="1"/>
  <c r="AJ301" i="432"/>
  <c r="V301" i="432"/>
  <c r="U301" i="432"/>
  <c r="T301" i="432"/>
  <c r="S301" i="432"/>
  <c r="R301" i="432"/>
  <c r="Q301" i="432"/>
  <c r="B301" i="432"/>
  <c r="P301" i="432" s="1"/>
  <c r="AJ300" i="432"/>
  <c r="V300" i="432"/>
  <c r="U300" i="432"/>
  <c r="T300" i="432"/>
  <c r="S300" i="432"/>
  <c r="R300" i="432"/>
  <c r="Q300" i="432"/>
  <c r="P300" i="432"/>
  <c r="B300" i="432"/>
  <c r="AJ299" i="432"/>
  <c r="V299" i="432"/>
  <c r="U299" i="432"/>
  <c r="T299" i="432"/>
  <c r="S299" i="432"/>
  <c r="R299" i="432"/>
  <c r="Q299" i="432"/>
  <c r="B299" i="432"/>
  <c r="P299" i="432" s="1"/>
  <c r="AJ298" i="432"/>
  <c r="V298" i="432"/>
  <c r="U298" i="432"/>
  <c r="T298" i="432"/>
  <c r="S298" i="432"/>
  <c r="R298" i="432"/>
  <c r="Q298" i="432"/>
  <c r="B298" i="432"/>
  <c r="P298" i="432" s="1"/>
  <c r="AJ297" i="432"/>
  <c r="V297" i="432"/>
  <c r="U297" i="432"/>
  <c r="T297" i="432"/>
  <c r="S297" i="432"/>
  <c r="R297" i="432"/>
  <c r="Q297" i="432"/>
  <c r="B297" i="432"/>
  <c r="P297" i="432" s="1"/>
  <c r="AJ296" i="432"/>
  <c r="V296" i="432"/>
  <c r="U296" i="432"/>
  <c r="T296" i="432"/>
  <c r="S296" i="432"/>
  <c r="R296" i="432"/>
  <c r="Q296" i="432"/>
  <c r="B296" i="432"/>
  <c r="P296" i="432" s="1"/>
  <c r="AJ295" i="432"/>
  <c r="V295" i="432"/>
  <c r="U295" i="432"/>
  <c r="T295" i="432"/>
  <c r="S295" i="432"/>
  <c r="R295" i="432"/>
  <c r="Q295" i="432"/>
  <c r="B295" i="432"/>
  <c r="P295" i="432" s="1"/>
  <c r="AJ294" i="432"/>
  <c r="V294" i="432"/>
  <c r="U294" i="432"/>
  <c r="T294" i="432"/>
  <c r="S294" i="432"/>
  <c r="R294" i="432"/>
  <c r="Q294" i="432"/>
  <c r="P294" i="432"/>
  <c r="B294" i="432"/>
  <c r="AJ293" i="432"/>
  <c r="V293" i="432"/>
  <c r="U293" i="432"/>
  <c r="T293" i="432"/>
  <c r="S293" i="432"/>
  <c r="R293" i="432"/>
  <c r="Q293" i="432"/>
  <c r="B293" i="432"/>
  <c r="P293" i="432" s="1"/>
  <c r="AJ292" i="432"/>
  <c r="V292" i="432"/>
  <c r="U292" i="432"/>
  <c r="T292" i="432"/>
  <c r="S292" i="432"/>
  <c r="R292" i="432"/>
  <c r="Q292" i="432"/>
  <c r="B292" i="432"/>
  <c r="P292" i="432" s="1"/>
  <c r="AJ291" i="432"/>
  <c r="V291" i="432"/>
  <c r="U291" i="432"/>
  <c r="T291" i="432"/>
  <c r="S291" i="432"/>
  <c r="R291" i="432"/>
  <c r="Q291" i="432"/>
  <c r="B291" i="432"/>
  <c r="P291" i="432" s="1"/>
  <c r="AJ290" i="432"/>
  <c r="V290" i="432"/>
  <c r="U290" i="432"/>
  <c r="T290" i="432"/>
  <c r="S290" i="432"/>
  <c r="R290" i="432"/>
  <c r="Q290" i="432"/>
  <c r="P290" i="432"/>
  <c r="B290" i="432"/>
  <c r="AJ289" i="432"/>
  <c r="V289" i="432"/>
  <c r="U289" i="432"/>
  <c r="T289" i="432"/>
  <c r="S289" i="432"/>
  <c r="R289" i="432"/>
  <c r="Q289" i="432"/>
  <c r="B289" i="432"/>
  <c r="P289" i="432" s="1"/>
  <c r="AJ288" i="432"/>
  <c r="V288" i="432"/>
  <c r="U288" i="432"/>
  <c r="T288" i="432"/>
  <c r="S288" i="432"/>
  <c r="R288" i="432"/>
  <c r="Q288" i="432"/>
  <c r="B288" i="432"/>
  <c r="P288" i="432" s="1"/>
  <c r="AJ287" i="432"/>
  <c r="V287" i="432"/>
  <c r="U287" i="432"/>
  <c r="T287" i="432"/>
  <c r="S287" i="432"/>
  <c r="R287" i="432"/>
  <c r="Q287" i="432"/>
  <c r="B287" i="432"/>
  <c r="P287" i="432" s="1"/>
  <c r="AJ286" i="432"/>
  <c r="V286" i="432"/>
  <c r="U286" i="432"/>
  <c r="T286" i="432"/>
  <c r="S286" i="432"/>
  <c r="R286" i="432"/>
  <c r="Q286" i="432"/>
  <c r="B286" i="432"/>
  <c r="P286" i="432" s="1"/>
  <c r="AJ285" i="432"/>
  <c r="V285" i="432"/>
  <c r="U285" i="432"/>
  <c r="T285" i="432"/>
  <c r="S285" i="432"/>
  <c r="R285" i="432"/>
  <c r="Q285" i="432"/>
  <c r="B285" i="432"/>
  <c r="P285" i="432" s="1"/>
  <c r="AJ284" i="432"/>
  <c r="V284" i="432"/>
  <c r="U284" i="432"/>
  <c r="T284" i="432"/>
  <c r="S284" i="432"/>
  <c r="R284" i="432"/>
  <c r="Q284" i="432"/>
  <c r="P284" i="432"/>
  <c r="B284" i="432"/>
  <c r="AJ283" i="432"/>
  <c r="V283" i="432"/>
  <c r="U283" i="432"/>
  <c r="T283" i="432"/>
  <c r="S283" i="432"/>
  <c r="R283" i="432"/>
  <c r="Q283" i="432"/>
  <c r="B283" i="432"/>
  <c r="P283" i="432" s="1"/>
  <c r="AJ282" i="432"/>
  <c r="V282" i="432"/>
  <c r="U282" i="432"/>
  <c r="T282" i="432"/>
  <c r="S282" i="432"/>
  <c r="R282" i="432"/>
  <c r="Q282" i="432"/>
  <c r="B282" i="432"/>
  <c r="P282" i="432" s="1"/>
  <c r="AJ281" i="432"/>
  <c r="V281" i="432"/>
  <c r="U281" i="432"/>
  <c r="T281" i="432"/>
  <c r="S281" i="432"/>
  <c r="R281" i="432"/>
  <c r="Q281" i="432"/>
  <c r="P281" i="432"/>
  <c r="B281" i="432"/>
  <c r="AJ280" i="432"/>
  <c r="V280" i="432"/>
  <c r="U280" i="432"/>
  <c r="T280" i="432"/>
  <c r="S280" i="432"/>
  <c r="R280" i="432"/>
  <c r="Q280" i="432"/>
  <c r="B280" i="432"/>
  <c r="P280" i="432" s="1"/>
  <c r="AJ279" i="432"/>
  <c r="V279" i="432"/>
  <c r="U279" i="432"/>
  <c r="T279" i="432"/>
  <c r="S279" i="432"/>
  <c r="R279" i="432"/>
  <c r="Q279" i="432"/>
  <c r="B279" i="432"/>
  <c r="P279" i="432" s="1"/>
  <c r="AJ278" i="432"/>
  <c r="V278" i="432"/>
  <c r="U278" i="432"/>
  <c r="T278" i="432"/>
  <c r="S278" i="432"/>
  <c r="R278" i="432"/>
  <c r="Q278" i="432"/>
  <c r="B278" i="432"/>
  <c r="P278" i="432" s="1"/>
  <c r="AJ277" i="432"/>
  <c r="V277" i="432"/>
  <c r="U277" i="432"/>
  <c r="T277" i="432"/>
  <c r="S277" i="432"/>
  <c r="R277" i="432"/>
  <c r="Q277" i="432"/>
  <c r="B277" i="432"/>
  <c r="P277" i="432" s="1"/>
  <c r="AJ276" i="432"/>
  <c r="V276" i="432"/>
  <c r="U276" i="432"/>
  <c r="T276" i="432"/>
  <c r="S276" i="432"/>
  <c r="R276" i="432"/>
  <c r="Q276" i="432"/>
  <c r="P276" i="432"/>
  <c r="B276" i="432"/>
  <c r="AJ275" i="432"/>
  <c r="V275" i="432"/>
  <c r="U275" i="432"/>
  <c r="T275" i="432"/>
  <c r="S275" i="432"/>
  <c r="R275" i="432"/>
  <c r="Q275" i="432"/>
  <c r="B275" i="432"/>
  <c r="P275" i="432" s="1"/>
  <c r="AJ274" i="432"/>
  <c r="V274" i="432"/>
  <c r="U274" i="432"/>
  <c r="T274" i="432"/>
  <c r="S274" i="432"/>
  <c r="R274" i="432"/>
  <c r="Q274" i="432"/>
  <c r="B274" i="432"/>
  <c r="P274" i="432" s="1"/>
  <c r="AJ273" i="432"/>
  <c r="V273" i="432"/>
  <c r="U273" i="432"/>
  <c r="T273" i="432"/>
  <c r="S273" i="432"/>
  <c r="R273" i="432"/>
  <c r="Q273" i="432"/>
  <c r="P273" i="432"/>
  <c r="B273" i="432"/>
  <c r="AJ272" i="432"/>
  <c r="V272" i="432"/>
  <c r="U272" i="432"/>
  <c r="T272" i="432"/>
  <c r="S272" i="432"/>
  <c r="R272" i="432"/>
  <c r="Q272" i="432"/>
  <c r="P272" i="432"/>
  <c r="B272" i="432"/>
  <c r="AJ271" i="432"/>
  <c r="V271" i="432"/>
  <c r="U271" i="432"/>
  <c r="T271" i="432"/>
  <c r="S271" i="432"/>
  <c r="R271" i="432"/>
  <c r="Q271" i="432"/>
  <c r="P271" i="432"/>
  <c r="B271" i="432"/>
  <c r="AJ270" i="432"/>
  <c r="V270" i="432"/>
  <c r="U270" i="432"/>
  <c r="T270" i="432"/>
  <c r="S270" i="432"/>
  <c r="R270" i="432"/>
  <c r="Q270" i="432"/>
  <c r="P270" i="432"/>
  <c r="B270" i="432"/>
  <c r="AJ269" i="432"/>
  <c r="V269" i="432"/>
  <c r="U269" i="432"/>
  <c r="T269" i="432"/>
  <c r="S269" i="432"/>
  <c r="R269" i="432"/>
  <c r="Q269" i="432"/>
  <c r="B269" i="432"/>
  <c r="P269" i="432" s="1"/>
  <c r="AJ268" i="432"/>
  <c r="V268" i="432"/>
  <c r="U268" i="432"/>
  <c r="T268" i="432"/>
  <c r="S268" i="432"/>
  <c r="R268" i="432"/>
  <c r="Q268" i="432"/>
  <c r="P268" i="432"/>
  <c r="B268" i="432"/>
  <c r="AJ267" i="432"/>
  <c r="V267" i="432"/>
  <c r="U267" i="432"/>
  <c r="T267" i="432"/>
  <c r="S267" i="432"/>
  <c r="R267" i="432"/>
  <c r="Q267" i="432"/>
  <c r="B267" i="432"/>
  <c r="P267" i="432" s="1"/>
  <c r="AJ266" i="432"/>
  <c r="V266" i="432"/>
  <c r="U266" i="432"/>
  <c r="T266" i="432"/>
  <c r="S266" i="432"/>
  <c r="R266" i="432"/>
  <c r="Q266" i="432"/>
  <c r="B266" i="432"/>
  <c r="P266" i="432" s="1"/>
  <c r="AJ265" i="432"/>
  <c r="V265" i="432"/>
  <c r="U265" i="432"/>
  <c r="T265" i="432"/>
  <c r="S265" i="432"/>
  <c r="R265" i="432"/>
  <c r="Q265" i="432"/>
  <c r="B265" i="432"/>
  <c r="P265" i="432" s="1"/>
  <c r="AJ264" i="432"/>
  <c r="V264" i="432"/>
  <c r="U264" i="432"/>
  <c r="T264" i="432"/>
  <c r="S264" i="432"/>
  <c r="R264" i="432"/>
  <c r="Q264" i="432"/>
  <c r="P264" i="432"/>
  <c r="B264" i="432"/>
  <c r="AJ263" i="432"/>
  <c r="V263" i="432"/>
  <c r="U263" i="432"/>
  <c r="T263" i="432"/>
  <c r="S263" i="432"/>
  <c r="R263" i="432"/>
  <c r="Q263" i="432"/>
  <c r="B263" i="432"/>
  <c r="P263" i="432" s="1"/>
  <c r="AJ262" i="432"/>
  <c r="V262" i="432"/>
  <c r="U262" i="432"/>
  <c r="T262" i="432"/>
  <c r="S262" i="432"/>
  <c r="R262" i="432"/>
  <c r="Q262" i="432"/>
  <c r="B262" i="432"/>
  <c r="P262" i="432" s="1"/>
  <c r="AJ261" i="432"/>
  <c r="V261" i="432"/>
  <c r="U261" i="432"/>
  <c r="T261" i="432"/>
  <c r="S261" i="432"/>
  <c r="R261" i="432"/>
  <c r="Q261" i="432"/>
  <c r="P261" i="432"/>
  <c r="B261" i="432"/>
  <c r="AJ260" i="432"/>
  <c r="V260" i="432"/>
  <c r="U260" i="432"/>
  <c r="T260" i="432"/>
  <c r="S260" i="432"/>
  <c r="R260" i="432"/>
  <c r="Q260" i="432"/>
  <c r="B260" i="432"/>
  <c r="P260" i="432" s="1"/>
  <c r="AJ259" i="432"/>
  <c r="V259" i="432"/>
  <c r="U259" i="432"/>
  <c r="T259" i="432"/>
  <c r="S259" i="432"/>
  <c r="R259" i="432"/>
  <c r="Q259" i="432"/>
  <c r="B259" i="432"/>
  <c r="P259" i="432" s="1"/>
  <c r="AJ258" i="432"/>
  <c r="V258" i="432"/>
  <c r="U258" i="432"/>
  <c r="T258" i="432"/>
  <c r="S258" i="432"/>
  <c r="R258" i="432"/>
  <c r="Q258" i="432"/>
  <c r="B258" i="432"/>
  <c r="P258" i="432" s="1"/>
  <c r="AJ257" i="432"/>
  <c r="V257" i="432"/>
  <c r="U257" i="432"/>
  <c r="T257" i="432"/>
  <c r="S257" i="432"/>
  <c r="R257" i="432"/>
  <c r="Q257" i="432"/>
  <c r="B257" i="432"/>
  <c r="P257" i="432" s="1"/>
  <c r="AJ256" i="432"/>
  <c r="V256" i="432"/>
  <c r="U256" i="432"/>
  <c r="T256" i="432"/>
  <c r="S256" i="432"/>
  <c r="R256" i="432"/>
  <c r="Q256" i="432"/>
  <c r="P256" i="432"/>
  <c r="B256" i="432"/>
  <c r="AJ255" i="432"/>
  <c r="V255" i="432"/>
  <c r="U255" i="432"/>
  <c r="T255" i="432"/>
  <c r="S255" i="432"/>
  <c r="R255" i="432"/>
  <c r="Q255" i="432"/>
  <c r="B255" i="432"/>
  <c r="P255" i="432" s="1"/>
  <c r="AJ254" i="432"/>
  <c r="V254" i="432"/>
  <c r="U254" i="432"/>
  <c r="T254" i="432"/>
  <c r="S254" i="432"/>
  <c r="R254" i="432"/>
  <c r="Q254" i="432"/>
  <c r="B254" i="432"/>
  <c r="P254" i="432" s="1"/>
  <c r="AJ253" i="432"/>
  <c r="V253" i="432"/>
  <c r="U253" i="432"/>
  <c r="T253" i="432"/>
  <c r="S253" i="432"/>
  <c r="R253" i="432"/>
  <c r="Q253" i="432"/>
  <c r="B253" i="432"/>
  <c r="P253" i="432" s="1"/>
  <c r="AJ252" i="432"/>
  <c r="V252" i="432"/>
  <c r="U252" i="432"/>
  <c r="T252" i="432"/>
  <c r="S252" i="432"/>
  <c r="R252" i="432"/>
  <c r="Q252" i="432"/>
  <c r="B252" i="432"/>
  <c r="P252" i="432" s="1"/>
  <c r="AJ251" i="432"/>
  <c r="V251" i="432"/>
  <c r="U251" i="432"/>
  <c r="T251" i="432"/>
  <c r="S251" i="432"/>
  <c r="R251" i="432"/>
  <c r="Q251" i="432"/>
  <c r="B251" i="432"/>
  <c r="P251" i="432" s="1"/>
  <c r="AJ250" i="432"/>
  <c r="V250" i="432"/>
  <c r="U250" i="432"/>
  <c r="T250" i="432"/>
  <c r="S250" i="432"/>
  <c r="R250" i="432"/>
  <c r="Q250" i="432"/>
  <c r="B250" i="432"/>
  <c r="P250" i="432" s="1"/>
  <c r="AJ249" i="432"/>
  <c r="V249" i="432"/>
  <c r="U249" i="432"/>
  <c r="T249" i="432"/>
  <c r="S249" i="432"/>
  <c r="R249" i="432"/>
  <c r="Q249" i="432"/>
  <c r="B249" i="432"/>
  <c r="P249" i="432" s="1"/>
  <c r="AJ248" i="432"/>
  <c r="V248" i="432"/>
  <c r="U248" i="432"/>
  <c r="T248" i="432"/>
  <c r="S248" i="432"/>
  <c r="R248" i="432"/>
  <c r="Q248" i="432"/>
  <c r="B248" i="432"/>
  <c r="P248" i="432" s="1"/>
  <c r="AJ247" i="432"/>
  <c r="V247" i="432"/>
  <c r="U247" i="432"/>
  <c r="T247" i="432"/>
  <c r="S247" i="432"/>
  <c r="R247" i="432"/>
  <c r="Q247" i="432"/>
  <c r="B247" i="432"/>
  <c r="P247" i="432" s="1"/>
  <c r="AJ246" i="432"/>
  <c r="V246" i="432"/>
  <c r="U246" i="432"/>
  <c r="T246" i="432"/>
  <c r="S246" i="432"/>
  <c r="R246" i="432"/>
  <c r="Q246" i="432"/>
  <c r="B246" i="432"/>
  <c r="P246" i="432" s="1"/>
  <c r="AJ245" i="432"/>
  <c r="V245" i="432"/>
  <c r="U245" i="432"/>
  <c r="T245" i="432"/>
  <c r="S245" i="432"/>
  <c r="R245" i="432"/>
  <c r="Q245" i="432"/>
  <c r="B245" i="432"/>
  <c r="P245" i="432" s="1"/>
  <c r="AJ244" i="432"/>
  <c r="V244" i="432"/>
  <c r="U244" i="432"/>
  <c r="T244" i="432"/>
  <c r="S244" i="432"/>
  <c r="R244" i="432"/>
  <c r="Q244" i="432"/>
  <c r="B244" i="432"/>
  <c r="P244" i="432" s="1"/>
  <c r="AJ243" i="432"/>
  <c r="V243" i="432"/>
  <c r="U243" i="432"/>
  <c r="T243" i="432"/>
  <c r="S243" i="432"/>
  <c r="R243" i="432"/>
  <c r="Q243" i="432"/>
  <c r="B243" i="432"/>
  <c r="P243" i="432" s="1"/>
  <c r="AJ242" i="432"/>
  <c r="V242" i="432"/>
  <c r="U242" i="432"/>
  <c r="T242" i="432"/>
  <c r="S242" i="432"/>
  <c r="R242" i="432"/>
  <c r="Q242" i="432"/>
  <c r="B242" i="432"/>
  <c r="P242" i="432" s="1"/>
  <c r="AJ241" i="432"/>
  <c r="V241" i="432"/>
  <c r="U241" i="432"/>
  <c r="T241" i="432"/>
  <c r="S241" i="432"/>
  <c r="R241" i="432"/>
  <c r="Q241" i="432"/>
  <c r="B241" i="432"/>
  <c r="P241" i="432" s="1"/>
  <c r="AJ240" i="432"/>
  <c r="V240" i="432"/>
  <c r="U240" i="432"/>
  <c r="T240" i="432"/>
  <c r="S240" i="432"/>
  <c r="R240" i="432"/>
  <c r="Q240" i="432"/>
  <c r="B240" i="432"/>
  <c r="P240" i="432" s="1"/>
  <c r="AJ239" i="432"/>
  <c r="V239" i="432"/>
  <c r="U239" i="432"/>
  <c r="T239" i="432"/>
  <c r="S239" i="432"/>
  <c r="R239" i="432"/>
  <c r="Q239" i="432"/>
  <c r="B239" i="432"/>
  <c r="P239" i="432" s="1"/>
  <c r="AJ238" i="432"/>
  <c r="V238" i="432"/>
  <c r="U238" i="432"/>
  <c r="T238" i="432"/>
  <c r="S238" i="432"/>
  <c r="R238" i="432"/>
  <c r="Q238" i="432"/>
  <c r="B238" i="432"/>
  <c r="P238" i="432" s="1"/>
  <c r="AJ237" i="432"/>
  <c r="V237" i="432"/>
  <c r="U237" i="432"/>
  <c r="T237" i="432"/>
  <c r="S237" i="432"/>
  <c r="R237" i="432"/>
  <c r="Q237" i="432"/>
  <c r="P237" i="432"/>
  <c r="B237" i="432"/>
  <c r="AJ236" i="432"/>
  <c r="V236" i="432"/>
  <c r="U236" i="432"/>
  <c r="T236" i="432"/>
  <c r="S236" i="432"/>
  <c r="R236" i="432"/>
  <c r="Q236" i="432"/>
  <c r="P236" i="432"/>
  <c r="B236" i="432"/>
  <c r="AJ235" i="432"/>
  <c r="V235" i="432"/>
  <c r="U235" i="432"/>
  <c r="T235" i="432"/>
  <c r="S235" i="432"/>
  <c r="R235" i="432"/>
  <c r="Q235" i="432"/>
  <c r="B235" i="432"/>
  <c r="P235" i="432" s="1"/>
  <c r="AJ234" i="432"/>
  <c r="V234" i="432"/>
  <c r="U234" i="432"/>
  <c r="T234" i="432"/>
  <c r="S234" i="432"/>
  <c r="R234" i="432"/>
  <c r="Q234" i="432"/>
  <c r="B234" i="432"/>
  <c r="P234" i="432" s="1"/>
  <c r="AJ233" i="432"/>
  <c r="V233" i="432"/>
  <c r="U233" i="432"/>
  <c r="T233" i="432"/>
  <c r="S233" i="432"/>
  <c r="R233" i="432"/>
  <c r="Q233" i="432"/>
  <c r="P233" i="432"/>
  <c r="B233" i="432"/>
  <c r="AJ232" i="432"/>
  <c r="V232" i="432"/>
  <c r="U232" i="432"/>
  <c r="T232" i="432"/>
  <c r="S232" i="432"/>
  <c r="R232" i="432"/>
  <c r="Q232" i="432"/>
  <c r="B232" i="432"/>
  <c r="P232" i="432" s="1"/>
  <c r="AJ231" i="432"/>
  <c r="V231" i="432"/>
  <c r="U231" i="432"/>
  <c r="T231" i="432"/>
  <c r="S231" i="432"/>
  <c r="R231" i="432"/>
  <c r="Q231" i="432"/>
  <c r="B231" i="432"/>
  <c r="P231" i="432" s="1"/>
  <c r="AJ230" i="432"/>
  <c r="V230" i="432"/>
  <c r="U230" i="432"/>
  <c r="T230" i="432"/>
  <c r="S230" i="432"/>
  <c r="R230" i="432"/>
  <c r="Q230" i="432"/>
  <c r="B230" i="432"/>
  <c r="P230" i="432" s="1"/>
  <c r="AJ229" i="432"/>
  <c r="V229" i="432"/>
  <c r="U229" i="432"/>
  <c r="T229" i="432"/>
  <c r="S229" i="432"/>
  <c r="R229" i="432"/>
  <c r="Q229" i="432"/>
  <c r="B229" i="432"/>
  <c r="P229" i="432" s="1"/>
  <c r="AJ228" i="432"/>
  <c r="V228" i="432"/>
  <c r="U228" i="432"/>
  <c r="T228" i="432"/>
  <c r="S228" i="432"/>
  <c r="R228" i="432"/>
  <c r="Q228" i="432"/>
  <c r="B228" i="432"/>
  <c r="P228" i="432" s="1"/>
  <c r="AJ227" i="432"/>
  <c r="V227" i="432"/>
  <c r="U227" i="432"/>
  <c r="T227" i="432"/>
  <c r="S227" i="432"/>
  <c r="R227" i="432"/>
  <c r="Q227" i="432"/>
  <c r="B227" i="432"/>
  <c r="P227" i="432" s="1"/>
  <c r="AJ226" i="432"/>
  <c r="V226" i="432"/>
  <c r="U226" i="432"/>
  <c r="T226" i="432"/>
  <c r="S226" i="432"/>
  <c r="R226" i="432"/>
  <c r="Q226" i="432"/>
  <c r="B226" i="432"/>
  <c r="P226" i="432" s="1"/>
  <c r="AJ225" i="432"/>
  <c r="V225" i="432"/>
  <c r="U225" i="432"/>
  <c r="T225" i="432"/>
  <c r="S225" i="432"/>
  <c r="R225" i="432"/>
  <c r="Q225" i="432"/>
  <c r="B225" i="432"/>
  <c r="P225" i="432" s="1"/>
  <c r="AJ224" i="432"/>
  <c r="V224" i="432"/>
  <c r="U224" i="432"/>
  <c r="T224" i="432"/>
  <c r="S224" i="432"/>
  <c r="R224" i="432"/>
  <c r="Q224" i="432"/>
  <c r="P224" i="432"/>
  <c r="B224" i="432"/>
  <c r="AJ223" i="432"/>
  <c r="V223" i="432"/>
  <c r="U223" i="432"/>
  <c r="T223" i="432"/>
  <c r="S223" i="432"/>
  <c r="R223" i="432"/>
  <c r="Q223" i="432"/>
  <c r="P223" i="432"/>
  <c r="B223" i="432"/>
  <c r="AJ222" i="432"/>
  <c r="V222" i="432"/>
  <c r="U222" i="432"/>
  <c r="T222" i="432"/>
  <c r="S222" i="432"/>
  <c r="R222" i="432"/>
  <c r="Q222" i="432"/>
  <c r="P222" i="432"/>
  <c r="B222" i="432"/>
  <c r="AJ221" i="432"/>
  <c r="V221" i="432"/>
  <c r="U221" i="432"/>
  <c r="T221" i="432"/>
  <c r="S221" i="432"/>
  <c r="R221" i="432"/>
  <c r="Q221" i="432"/>
  <c r="B221" i="432"/>
  <c r="P221" i="432" s="1"/>
  <c r="AJ220" i="432"/>
  <c r="V220" i="432"/>
  <c r="U220" i="432"/>
  <c r="T220" i="432"/>
  <c r="S220" i="432"/>
  <c r="R220" i="432"/>
  <c r="Q220" i="432"/>
  <c r="B220" i="432"/>
  <c r="P220" i="432" s="1"/>
  <c r="AJ219" i="432"/>
  <c r="V219" i="432"/>
  <c r="U219" i="432"/>
  <c r="T219" i="432"/>
  <c r="S219" i="432"/>
  <c r="R219" i="432"/>
  <c r="Q219" i="432"/>
  <c r="B219" i="432"/>
  <c r="P219" i="432" s="1"/>
  <c r="AJ218" i="432"/>
  <c r="V218" i="432"/>
  <c r="U218" i="432"/>
  <c r="T218" i="432"/>
  <c r="S218" i="432"/>
  <c r="R218" i="432"/>
  <c r="Q218" i="432"/>
  <c r="B218" i="432"/>
  <c r="P218" i="432" s="1"/>
  <c r="AJ217" i="432"/>
  <c r="V217" i="432"/>
  <c r="U217" i="432"/>
  <c r="T217" i="432"/>
  <c r="S217" i="432"/>
  <c r="R217" i="432"/>
  <c r="Q217" i="432"/>
  <c r="B217" i="432"/>
  <c r="P217" i="432" s="1"/>
  <c r="AJ216" i="432"/>
  <c r="V216" i="432"/>
  <c r="U216" i="432"/>
  <c r="T216" i="432"/>
  <c r="S216" i="432"/>
  <c r="R216" i="432"/>
  <c r="Q216" i="432"/>
  <c r="B216" i="432"/>
  <c r="P216" i="432" s="1"/>
  <c r="AJ215" i="432"/>
  <c r="V215" i="432"/>
  <c r="U215" i="432"/>
  <c r="T215" i="432"/>
  <c r="S215" i="432"/>
  <c r="R215" i="432"/>
  <c r="Q215" i="432"/>
  <c r="B215" i="432"/>
  <c r="P215" i="432" s="1"/>
  <c r="AJ214" i="432"/>
  <c r="V214" i="432"/>
  <c r="U214" i="432"/>
  <c r="T214" i="432"/>
  <c r="S214" i="432"/>
  <c r="R214" i="432"/>
  <c r="Q214" i="432"/>
  <c r="B214" i="432"/>
  <c r="P214" i="432" s="1"/>
  <c r="AJ213" i="432"/>
  <c r="V213" i="432"/>
  <c r="U213" i="432"/>
  <c r="T213" i="432"/>
  <c r="S213" i="432"/>
  <c r="R213" i="432"/>
  <c r="Q213" i="432"/>
  <c r="P213" i="432"/>
  <c r="B213" i="432"/>
  <c r="AJ212" i="432"/>
  <c r="V212" i="432"/>
  <c r="U212" i="432"/>
  <c r="T212" i="432"/>
  <c r="S212" i="432"/>
  <c r="R212" i="432"/>
  <c r="Q212" i="432"/>
  <c r="B212" i="432"/>
  <c r="P212" i="432" s="1"/>
  <c r="AJ211" i="432"/>
  <c r="V211" i="432"/>
  <c r="U211" i="432"/>
  <c r="T211" i="432"/>
  <c r="S211" i="432"/>
  <c r="R211" i="432"/>
  <c r="Q211" i="432"/>
  <c r="B211" i="432"/>
  <c r="P211" i="432" s="1"/>
  <c r="AJ210" i="432"/>
  <c r="V210" i="432"/>
  <c r="U210" i="432"/>
  <c r="T210" i="432"/>
  <c r="S210" i="432"/>
  <c r="R210" i="432"/>
  <c r="Q210" i="432"/>
  <c r="B210" i="432"/>
  <c r="P210" i="432" s="1"/>
  <c r="AJ209" i="432"/>
  <c r="V209" i="432"/>
  <c r="U209" i="432"/>
  <c r="T209" i="432"/>
  <c r="S209" i="432"/>
  <c r="R209" i="432"/>
  <c r="Q209" i="432"/>
  <c r="B209" i="432"/>
  <c r="P209" i="432" s="1"/>
  <c r="AJ208" i="432"/>
  <c r="V208" i="432"/>
  <c r="U208" i="432"/>
  <c r="T208" i="432"/>
  <c r="S208" i="432"/>
  <c r="R208" i="432"/>
  <c r="Q208" i="432"/>
  <c r="B208" i="432"/>
  <c r="P208" i="432" s="1"/>
  <c r="AJ207" i="432"/>
  <c r="V207" i="432"/>
  <c r="U207" i="432"/>
  <c r="T207" i="432"/>
  <c r="S207" i="432"/>
  <c r="R207" i="432"/>
  <c r="Q207" i="432"/>
  <c r="B207" i="432"/>
  <c r="P207" i="432" s="1"/>
  <c r="AJ206" i="432"/>
  <c r="V206" i="432"/>
  <c r="U206" i="432"/>
  <c r="T206" i="432"/>
  <c r="S206" i="432"/>
  <c r="R206" i="432"/>
  <c r="Q206" i="432"/>
  <c r="B206" i="432"/>
  <c r="P206" i="432" s="1"/>
  <c r="AJ205" i="432"/>
  <c r="V205" i="432"/>
  <c r="U205" i="432"/>
  <c r="T205" i="432"/>
  <c r="S205" i="432"/>
  <c r="R205" i="432"/>
  <c r="Q205" i="432"/>
  <c r="B205" i="432"/>
  <c r="P205" i="432" s="1"/>
  <c r="AJ204" i="432"/>
  <c r="V204" i="432"/>
  <c r="U204" i="432"/>
  <c r="T204" i="432"/>
  <c r="S204" i="432"/>
  <c r="R204" i="432"/>
  <c r="Q204" i="432"/>
  <c r="P204" i="432"/>
  <c r="B204" i="432"/>
  <c r="AJ203" i="432"/>
  <c r="V203" i="432"/>
  <c r="U203" i="432"/>
  <c r="T203" i="432"/>
  <c r="S203" i="432"/>
  <c r="R203" i="432"/>
  <c r="Q203" i="432"/>
  <c r="B203" i="432"/>
  <c r="P203" i="432" s="1"/>
  <c r="AJ202" i="432"/>
  <c r="V202" i="432"/>
  <c r="U202" i="432"/>
  <c r="T202" i="432"/>
  <c r="S202" i="432"/>
  <c r="R202" i="432"/>
  <c r="Q202" i="432"/>
  <c r="B202" i="432"/>
  <c r="P202" i="432" s="1"/>
  <c r="AJ201" i="432"/>
  <c r="V201" i="432"/>
  <c r="U201" i="432"/>
  <c r="T201" i="432"/>
  <c r="S201" i="432"/>
  <c r="R201" i="432"/>
  <c r="Q201" i="432"/>
  <c r="B201" i="432"/>
  <c r="P201" i="432" s="1"/>
  <c r="AJ200" i="432"/>
  <c r="V200" i="432"/>
  <c r="U200" i="432"/>
  <c r="T200" i="432"/>
  <c r="S200" i="432"/>
  <c r="R200" i="432"/>
  <c r="Q200" i="432"/>
  <c r="B200" i="432"/>
  <c r="P200" i="432" s="1"/>
  <c r="AJ199" i="432"/>
  <c r="V199" i="432"/>
  <c r="U199" i="432"/>
  <c r="T199" i="432"/>
  <c r="S199" i="432"/>
  <c r="R199" i="432"/>
  <c r="Q199" i="432"/>
  <c r="B199" i="432"/>
  <c r="P199" i="432" s="1"/>
  <c r="AJ198" i="432"/>
  <c r="V198" i="432"/>
  <c r="U198" i="432"/>
  <c r="T198" i="432"/>
  <c r="S198" i="432"/>
  <c r="R198" i="432"/>
  <c r="Q198" i="432"/>
  <c r="B198" i="432"/>
  <c r="P198" i="432" s="1"/>
  <c r="AJ197" i="432"/>
  <c r="V197" i="432"/>
  <c r="U197" i="432"/>
  <c r="T197" i="432"/>
  <c r="S197" i="432"/>
  <c r="R197" i="432"/>
  <c r="Q197" i="432"/>
  <c r="B197" i="432"/>
  <c r="P197" i="432" s="1"/>
  <c r="AJ196" i="432"/>
  <c r="V196" i="432"/>
  <c r="U196" i="432"/>
  <c r="T196" i="432"/>
  <c r="S196" i="432"/>
  <c r="R196" i="432"/>
  <c r="Q196" i="432"/>
  <c r="P196" i="432"/>
  <c r="B196" i="432"/>
  <c r="AJ195" i="432"/>
  <c r="V195" i="432"/>
  <c r="U195" i="432"/>
  <c r="T195" i="432"/>
  <c r="S195" i="432"/>
  <c r="R195" i="432"/>
  <c r="Q195" i="432"/>
  <c r="B195" i="432"/>
  <c r="P195" i="432" s="1"/>
  <c r="AJ194" i="432"/>
  <c r="V194" i="432"/>
  <c r="U194" i="432"/>
  <c r="T194" i="432"/>
  <c r="S194" i="432"/>
  <c r="R194" i="432"/>
  <c r="Q194" i="432"/>
  <c r="P194" i="432"/>
  <c r="B194" i="432"/>
  <c r="AJ193" i="432"/>
  <c r="V193" i="432"/>
  <c r="U193" i="432"/>
  <c r="T193" i="432"/>
  <c r="S193" i="432"/>
  <c r="R193" i="432"/>
  <c r="Q193" i="432"/>
  <c r="B193" i="432"/>
  <c r="P193" i="432" s="1"/>
  <c r="AJ192" i="432"/>
  <c r="V192" i="432"/>
  <c r="U192" i="432"/>
  <c r="T192" i="432"/>
  <c r="S192" i="432"/>
  <c r="R192" i="432"/>
  <c r="Q192" i="432"/>
  <c r="B192" i="432"/>
  <c r="P192" i="432" s="1"/>
  <c r="AJ191" i="432"/>
  <c r="V191" i="432"/>
  <c r="U191" i="432"/>
  <c r="T191" i="432"/>
  <c r="S191" i="432"/>
  <c r="R191" i="432"/>
  <c r="Q191" i="432"/>
  <c r="B191" i="432"/>
  <c r="P191" i="432" s="1"/>
  <c r="AJ190" i="432"/>
  <c r="V190" i="432"/>
  <c r="U190" i="432"/>
  <c r="T190" i="432"/>
  <c r="S190" i="432"/>
  <c r="R190" i="432"/>
  <c r="Q190" i="432"/>
  <c r="B190" i="432"/>
  <c r="P190" i="432" s="1"/>
  <c r="AJ189" i="432"/>
  <c r="V189" i="432"/>
  <c r="U189" i="432"/>
  <c r="T189" i="432"/>
  <c r="S189" i="432"/>
  <c r="R189" i="432"/>
  <c r="Q189" i="432"/>
  <c r="B189" i="432"/>
  <c r="P189" i="432" s="1"/>
  <c r="AJ188" i="432"/>
  <c r="V188" i="432"/>
  <c r="U188" i="432"/>
  <c r="T188" i="432"/>
  <c r="S188" i="432"/>
  <c r="R188" i="432"/>
  <c r="Q188" i="432"/>
  <c r="B188" i="432"/>
  <c r="P188" i="432" s="1"/>
  <c r="AJ187" i="432"/>
  <c r="V187" i="432"/>
  <c r="U187" i="432"/>
  <c r="T187" i="432"/>
  <c r="S187" i="432"/>
  <c r="R187" i="432"/>
  <c r="Q187" i="432"/>
  <c r="B187" i="432"/>
  <c r="P187" i="432" s="1"/>
  <c r="AJ186" i="432"/>
  <c r="V186" i="432"/>
  <c r="U186" i="432"/>
  <c r="T186" i="432"/>
  <c r="S186" i="432"/>
  <c r="R186" i="432"/>
  <c r="Q186" i="432"/>
  <c r="P186" i="432"/>
  <c r="B186" i="432"/>
  <c r="AJ185" i="432"/>
  <c r="V185" i="432"/>
  <c r="U185" i="432"/>
  <c r="T185" i="432"/>
  <c r="S185" i="432"/>
  <c r="R185" i="432"/>
  <c r="Q185" i="432"/>
  <c r="P185" i="432"/>
  <c r="B185" i="432"/>
  <c r="AJ184" i="432"/>
  <c r="V184" i="432"/>
  <c r="U184" i="432"/>
  <c r="T184" i="432"/>
  <c r="S184" i="432"/>
  <c r="R184" i="432"/>
  <c r="Q184" i="432"/>
  <c r="B184" i="432"/>
  <c r="P184" i="432" s="1"/>
  <c r="AJ183" i="432"/>
  <c r="V183" i="432"/>
  <c r="U183" i="432"/>
  <c r="T183" i="432"/>
  <c r="S183" i="432"/>
  <c r="R183" i="432"/>
  <c r="Q183" i="432"/>
  <c r="B183" i="432"/>
  <c r="P183" i="432" s="1"/>
  <c r="AJ182" i="432"/>
  <c r="V182" i="432"/>
  <c r="U182" i="432"/>
  <c r="T182" i="432"/>
  <c r="S182" i="432"/>
  <c r="R182" i="432"/>
  <c r="Q182" i="432"/>
  <c r="P182" i="432"/>
  <c r="B182" i="432"/>
  <c r="AJ181" i="432"/>
  <c r="V181" i="432"/>
  <c r="U181" i="432"/>
  <c r="T181" i="432"/>
  <c r="S181" i="432"/>
  <c r="R181" i="432"/>
  <c r="Q181" i="432"/>
  <c r="B181" i="432"/>
  <c r="P181" i="432" s="1"/>
  <c r="AJ180" i="432"/>
  <c r="V180" i="432"/>
  <c r="U180" i="432"/>
  <c r="T180" i="432"/>
  <c r="S180" i="432"/>
  <c r="R180" i="432"/>
  <c r="Q180" i="432"/>
  <c r="B180" i="432"/>
  <c r="P180" i="432" s="1"/>
  <c r="AJ179" i="432"/>
  <c r="V179" i="432"/>
  <c r="U179" i="432"/>
  <c r="T179" i="432"/>
  <c r="S179" i="432"/>
  <c r="R179" i="432"/>
  <c r="Q179" i="432"/>
  <c r="B179" i="432"/>
  <c r="P179" i="432" s="1"/>
  <c r="AJ178" i="432"/>
  <c r="V178" i="432"/>
  <c r="U178" i="432"/>
  <c r="T178" i="432"/>
  <c r="S178" i="432"/>
  <c r="R178" i="432"/>
  <c r="Q178" i="432"/>
  <c r="B178" i="432"/>
  <c r="P178" i="432" s="1"/>
  <c r="AJ177" i="432"/>
  <c r="V177" i="432"/>
  <c r="U177" i="432"/>
  <c r="T177" i="432"/>
  <c r="S177" i="432"/>
  <c r="R177" i="432"/>
  <c r="Q177" i="432"/>
  <c r="P177" i="432"/>
  <c r="B177" i="432"/>
  <c r="AJ176" i="432"/>
  <c r="V176" i="432"/>
  <c r="U176" i="432"/>
  <c r="T176" i="432"/>
  <c r="S176" i="432"/>
  <c r="R176" i="432"/>
  <c r="Q176" i="432"/>
  <c r="P176" i="432"/>
  <c r="B176" i="432"/>
  <c r="AJ175" i="432"/>
  <c r="V175" i="432"/>
  <c r="U175" i="432"/>
  <c r="T175" i="432"/>
  <c r="S175" i="432"/>
  <c r="R175" i="432"/>
  <c r="Q175" i="432"/>
  <c r="B175" i="432"/>
  <c r="P175" i="432" s="1"/>
  <c r="AJ174" i="432"/>
  <c r="V174" i="432"/>
  <c r="U174" i="432"/>
  <c r="T174" i="432"/>
  <c r="S174" i="432"/>
  <c r="R174" i="432"/>
  <c r="Q174" i="432"/>
  <c r="B174" i="432"/>
  <c r="P174" i="432" s="1"/>
  <c r="AJ173" i="432"/>
  <c r="V173" i="432"/>
  <c r="U173" i="432"/>
  <c r="T173" i="432"/>
  <c r="S173" i="432"/>
  <c r="R173" i="432"/>
  <c r="Q173" i="432"/>
  <c r="B173" i="432"/>
  <c r="P173" i="432" s="1"/>
  <c r="AJ172" i="432"/>
  <c r="V172" i="432"/>
  <c r="U172" i="432"/>
  <c r="T172" i="432"/>
  <c r="S172" i="432"/>
  <c r="R172" i="432"/>
  <c r="Q172" i="432"/>
  <c r="B172" i="432"/>
  <c r="P172" i="432" s="1"/>
  <c r="AJ171" i="432"/>
  <c r="V171" i="432"/>
  <c r="U171" i="432"/>
  <c r="T171" i="432"/>
  <c r="S171" i="432"/>
  <c r="R171" i="432"/>
  <c r="Q171" i="432"/>
  <c r="B171" i="432"/>
  <c r="P171" i="432" s="1"/>
  <c r="AJ170" i="432"/>
  <c r="V170" i="432"/>
  <c r="U170" i="432"/>
  <c r="T170" i="432"/>
  <c r="S170" i="432"/>
  <c r="R170" i="432"/>
  <c r="Q170" i="432"/>
  <c r="P170" i="432"/>
  <c r="B170" i="432"/>
  <c r="AJ169" i="432"/>
  <c r="V169" i="432"/>
  <c r="U169" i="432"/>
  <c r="T169" i="432"/>
  <c r="S169" i="432"/>
  <c r="R169" i="432"/>
  <c r="Q169" i="432"/>
  <c r="B169" i="432"/>
  <c r="P169" i="432" s="1"/>
  <c r="AJ168" i="432"/>
  <c r="V168" i="432"/>
  <c r="U168" i="432"/>
  <c r="T168" i="432"/>
  <c r="S168" i="432"/>
  <c r="R168" i="432"/>
  <c r="Q168" i="432"/>
  <c r="B168" i="432"/>
  <c r="P168" i="432" s="1"/>
  <c r="AJ167" i="432"/>
  <c r="V167" i="432"/>
  <c r="U167" i="432"/>
  <c r="T167" i="432"/>
  <c r="S167" i="432"/>
  <c r="R167" i="432"/>
  <c r="Q167" i="432"/>
  <c r="B167" i="432"/>
  <c r="P167" i="432" s="1"/>
  <c r="AJ166" i="432"/>
  <c r="V166" i="432"/>
  <c r="U166" i="432"/>
  <c r="T166" i="432"/>
  <c r="S166" i="432"/>
  <c r="R166" i="432"/>
  <c r="Q166" i="432"/>
  <c r="B166" i="432"/>
  <c r="P166" i="432" s="1"/>
  <c r="AJ165" i="432"/>
  <c r="V165" i="432"/>
  <c r="U165" i="432"/>
  <c r="T165" i="432"/>
  <c r="S165" i="432"/>
  <c r="R165" i="432"/>
  <c r="Q165" i="432"/>
  <c r="B165" i="432"/>
  <c r="P165" i="432" s="1"/>
  <c r="AJ164" i="432"/>
  <c r="V164" i="432"/>
  <c r="U164" i="432"/>
  <c r="T164" i="432"/>
  <c r="S164" i="432"/>
  <c r="R164" i="432"/>
  <c r="Q164" i="432"/>
  <c r="P164" i="432"/>
  <c r="B164" i="432"/>
  <c r="AJ163" i="432"/>
  <c r="V163" i="432"/>
  <c r="U163" i="432"/>
  <c r="T163" i="432"/>
  <c r="S163" i="432"/>
  <c r="R163" i="432"/>
  <c r="Q163" i="432"/>
  <c r="B163" i="432"/>
  <c r="P163" i="432" s="1"/>
  <c r="AJ162" i="432"/>
  <c r="V162" i="432"/>
  <c r="U162" i="432"/>
  <c r="T162" i="432"/>
  <c r="S162" i="432"/>
  <c r="R162" i="432"/>
  <c r="Q162" i="432"/>
  <c r="B162" i="432"/>
  <c r="P162" i="432" s="1"/>
  <c r="AJ161" i="432"/>
  <c r="V161" i="432"/>
  <c r="U161" i="432"/>
  <c r="T161" i="432"/>
  <c r="S161" i="432"/>
  <c r="R161" i="432"/>
  <c r="Q161" i="432"/>
  <c r="B161" i="432"/>
  <c r="P161" i="432" s="1"/>
  <c r="AJ160" i="432"/>
  <c r="V160" i="432"/>
  <c r="U160" i="432"/>
  <c r="T160" i="432"/>
  <c r="S160" i="432"/>
  <c r="R160" i="432"/>
  <c r="Q160" i="432"/>
  <c r="B160" i="432"/>
  <c r="P160" i="432" s="1"/>
  <c r="AJ159" i="432"/>
  <c r="V159" i="432"/>
  <c r="U159" i="432"/>
  <c r="T159" i="432"/>
  <c r="S159" i="432"/>
  <c r="R159" i="432"/>
  <c r="Q159" i="432"/>
  <c r="B159" i="432"/>
  <c r="P159" i="432" s="1"/>
  <c r="AJ158" i="432"/>
  <c r="V158" i="432"/>
  <c r="U158" i="432"/>
  <c r="T158" i="432"/>
  <c r="S158" i="432"/>
  <c r="R158" i="432"/>
  <c r="Q158" i="432"/>
  <c r="B158" i="432"/>
  <c r="P158" i="432" s="1"/>
  <c r="AJ157" i="432"/>
  <c r="V157" i="432"/>
  <c r="U157" i="432"/>
  <c r="T157" i="432"/>
  <c r="S157" i="432"/>
  <c r="R157" i="432"/>
  <c r="Q157" i="432"/>
  <c r="B157" i="432"/>
  <c r="P157" i="432" s="1"/>
  <c r="AJ156" i="432"/>
  <c r="V156" i="432"/>
  <c r="U156" i="432"/>
  <c r="T156" i="432"/>
  <c r="S156" i="432"/>
  <c r="R156" i="432"/>
  <c r="Q156" i="432"/>
  <c r="P156" i="432"/>
  <c r="B156" i="432"/>
  <c r="AJ155" i="432"/>
  <c r="V155" i="432"/>
  <c r="U155" i="432"/>
  <c r="T155" i="432"/>
  <c r="S155" i="432"/>
  <c r="R155" i="432"/>
  <c r="Q155" i="432"/>
  <c r="B155" i="432"/>
  <c r="P155" i="432" s="1"/>
  <c r="AJ154" i="432"/>
  <c r="V154" i="432"/>
  <c r="U154" i="432"/>
  <c r="T154" i="432"/>
  <c r="S154" i="432"/>
  <c r="R154" i="432"/>
  <c r="Q154" i="432"/>
  <c r="P154" i="432"/>
  <c r="B154" i="432"/>
  <c r="AJ153" i="432"/>
  <c r="V153" i="432"/>
  <c r="U153" i="432"/>
  <c r="T153" i="432"/>
  <c r="S153" i="432"/>
  <c r="R153" i="432"/>
  <c r="Q153" i="432"/>
  <c r="B153" i="432"/>
  <c r="P153" i="432" s="1"/>
  <c r="AJ152" i="432"/>
  <c r="V152" i="432"/>
  <c r="U152" i="432"/>
  <c r="T152" i="432"/>
  <c r="S152" i="432"/>
  <c r="R152" i="432"/>
  <c r="Q152" i="432"/>
  <c r="B152" i="432"/>
  <c r="P152" i="432" s="1"/>
  <c r="AJ151" i="432"/>
  <c r="V151" i="432"/>
  <c r="U151" i="432"/>
  <c r="T151" i="432"/>
  <c r="S151" i="432"/>
  <c r="R151" i="432"/>
  <c r="Q151" i="432"/>
  <c r="B151" i="432"/>
  <c r="P151" i="432" s="1"/>
  <c r="AJ150" i="432"/>
  <c r="V150" i="432"/>
  <c r="U150" i="432"/>
  <c r="T150" i="432"/>
  <c r="S150" i="432"/>
  <c r="R150" i="432"/>
  <c r="Q150" i="432"/>
  <c r="P150" i="432"/>
  <c r="B150" i="432"/>
  <c r="AJ149" i="432"/>
  <c r="V149" i="432"/>
  <c r="U149" i="432"/>
  <c r="T149" i="432"/>
  <c r="S149" i="432"/>
  <c r="R149" i="432"/>
  <c r="Q149" i="432"/>
  <c r="B149" i="432"/>
  <c r="P149" i="432" s="1"/>
  <c r="AJ148" i="432"/>
  <c r="V148" i="432"/>
  <c r="U148" i="432"/>
  <c r="T148" i="432"/>
  <c r="S148" i="432"/>
  <c r="R148" i="432"/>
  <c r="Q148" i="432"/>
  <c r="B148" i="432"/>
  <c r="P148" i="432" s="1"/>
  <c r="AJ147" i="432"/>
  <c r="V147" i="432"/>
  <c r="U147" i="432"/>
  <c r="T147" i="432"/>
  <c r="S147" i="432"/>
  <c r="R147" i="432"/>
  <c r="Q147" i="432"/>
  <c r="B147" i="432"/>
  <c r="P147" i="432" s="1"/>
  <c r="AJ146" i="432"/>
  <c r="V146" i="432"/>
  <c r="U146" i="432"/>
  <c r="T146" i="432"/>
  <c r="S146" i="432"/>
  <c r="R146" i="432"/>
  <c r="Q146" i="432"/>
  <c r="P146" i="432"/>
  <c r="B146" i="432"/>
  <c r="AJ145" i="432"/>
  <c r="V145" i="432"/>
  <c r="U145" i="432"/>
  <c r="T145" i="432"/>
  <c r="S145" i="432"/>
  <c r="R145" i="432"/>
  <c r="Q145" i="432"/>
  <c r="B145" i="432"/>
  <c r="P145" i="432" s="1"/>
  <c r="AJ144" i="432"/>
  <c r="V144" i="432"/>
  <c r="U144" i="432"/>
  <c r="T144" i="432"/>
  <c r="S144" i="432"/>
  <c r="R144" i="432"/>
  <c r="Q144" i="432"/>
  <c r="B144" i="432"/>
  <c r="P144" i="432" s="1"/>
  <c r="AJ143" i="432"/>
  <c r="V143" i="432"/>
  <c r="U143" i="432"/>
  <c r="T143" i="432"/>
  <c r="S143" i="432"/>
  <c r="R143" i="432"/>
  <c r="Q143" i="432"/>
  <c r="B143" i="432"/>
  <c r="P143" i="432" s="1"/>
  <c r="AJ142" i="432"/>
  <c r="V142" i="432"/>
  <c r="U142" i="432"/>
  <c r="T142" i="432"/>
  <c r="S142" i="432"/>
  <c r="R142" i="432"/>
  <c r="Q142" i="432"/>
  <c r="B142" i="432"/>
  <c r="P142" i="432" s="1"/>
  <c r="AJ141" i="432"/>
  <c r="V141" i="432"/>
  <c r="U141" i="432"/>
  <c r="T141" i="432"/>
  <c r="S141" i="432"/>
  <c r="R141" i="432"/>
  <c r="Q141" i="432"/>
  <c r="P141" i="432"/>
  <c r="B141" i="432"/>
  <c r="AJ140" i="432"/>
  <c r="V140" i="432"/>
  <c r="U140" i="432"/>
  <c r="T140" i="432"/>
  <c r="S140" i="432"/>
  <c r="R140" i="432"/>
  <c r="Q140" i="432"/>
  <c r="P140" i="432"/>
  <c r="B140" i="432"/>
  <c r="AJ139" i="432"/>
  <c r="V139" i="432"/>
  <c r="U139" i="432"/>
  <c r="T139" i="432"/>
  <c r="S139" i="432"/>
  <c r="R139" i="432"/>
  <c r="Q139" i="432"/>
  <c r="B139" i="432"/>
  <c r="P139" i="432" s="1"/>
  <c r="AJ138" i="432"/>
  <c r="V138" i="432"/>
  <c r="U138" i="432"/>
  <c r="T138" i="432"/>
  <c r="S138" i="432"/>
  <c r="R138" i="432"/>
  <c r="Q138" i="432"/>
  <c r="P138" i="432"/>
  <c r="B138" i="432"/>
  <c r="AJ137" i="432"/>
  <c r="V137" i="432"/>
  <c r="U137" i="432"/>
  <c r="T137" i="432"/>
  <c r="S137" i="432"/>
  <c r="R137" i="432"/>
  <c r="Q137" i="432"/>
  <c r="B137" i="432"/>
  <c r="P137" i="432" s="1"/>
  <c r="AJ136" i="432"/>
  <c r="V136" i="432"/>
  <c r="U136" i="432"/>
  <c r="T136" i="432"/>
  <c r="S136" i="432"/>
  <c r="R136" i="432"/>
  <c r="Q136" i="432"/>
  <c r="B136" i="432"/>
  <c r="P136" i="432" s="1"/>
  <c r="AJ135" i="432"/>
  <c r="V135" i="432"/>
  <c r="U135" i="432"/>
  <c r="T135" i="432"/>
  <c r="S135" i="432"/>
  <c r="R135" i="432"/>
  <c r="Q135" i="432"/>
  <c r="B135" i="432"/>
  <c r="P135" i="432" s="1"/>
  <c r="AJ134" i="432"/>
  <c r="V134" i="432"/>
  <c r="U134" i="432"/>
  <c r="T134" i="432"/>
  <c r="S134" i="432"/>
  <c r="R134" i="432"/>
  <c r="Q134" i="432"/>
  <c r="B134" i="432"/>
  <c r="P134" i="432" s="1"/>
  <c r="AJ133" i="432"/>
  <c r="V133" i="432"/>
  <c r="U133" i="432"/>
  <c r="T133" i="432"/>
  <c r="S133" i="432"/>
  <c r="R133" i="432"/>
  <c r="Q133" i="432"/>
  <c r="B133" i="432"/>
  <c r="P133" i="432" s="1"/>
  <c r="AJ132" i="432"/>
  <c r="V132" i="432"/>
  <c r="U132" i="432"/>
  <c r="T132" i="432"/>
  <c r="S132" i="432"/>
  <c r="R132" i="432"/>
  <c r="Q132" i="432"/>
  <c r="B132" i="432"/>
  <c r="P132" i="432" s="1"/>
  <c r="AJ131" i="432"/>
  <c r="V131" i="432"/>
  <c r="U131" i="432"/>
  <c r="T131" i="432"/>
  <c r="S131" i="432"/>
  <c r="R131" i="432"/>
  <c r="Q131" i="432"/>
  <c r="B131" i="432"/>
  <c r="P131" i="432" s="1"/>
  <c r="AJ130" i="432"/>
  <c r="V130" i="432"/>
  <c r="U130" i="432"/>
  <c r="T130" i="432"/>
  <c r="S130" i="432"/>
  <c r="R130" i="432"/>
  <c r="Q130" i="432"/>
  <c r="B130" i="432"/>
  <c r="P130" i="432" s="1"/>
  <c r="AJ129" i="432"/>
  <c r="V129" i="432"/>
  <c r="U129" i="432"/>
  <c r="T129" i="432"/>
  <c r="S129" i="432"/>
  <c r="R129" i="432"/>
  <c r="Q129" i="432"/>
  <c r="B129" i="432"/>
  <c r="P129" i="432" s="1"/>
  <c r="AJ128" i="432"/>
  <c r="V128" i="432"/>
  <c r="U128" i="432"/>
  <c r="T128" i="432"/>
  <c r="S128" i="432"/>
  <c r="R128" i="432"/>
  <c r="Q128" i="432"/>
  <c r="P128" i="432"/>
  <c r="B128" i="432"/>
  <c r="AJ127" i="432"/>
  <c r="V127" i="432"/>
  <c r="U127" i="432"/>
  <c r="T127" i="432"/>
  <c r="S127" i="432"/>
  <c r="R127" i="432"/>
  <c r="Q127" i="432"/>
  <c r="B127" i="432"/>
  <c r="P127" i="432" s="1"/>
  <c r="AJ126" i="432"/>
  <c r="V126" i="432"/>
  <c r="U126" i="432"/>
  <c r="T126" i="432"/>
  <c r="S126" i="432"/>
  <c r="R126" i="432"/>
  <c r="Q126" i="432"/>
  <c r="B126" i="432"/>
  <c r="P126" i="432" s="1"/>
  <c r="AJ125" i="432"/>
  <c r="V125" i="432"/>
  <c r="U125" i="432"/>
  <c r="T125" i="432"/>
  <c r="S125" i="432"/>
  <c r="R125" i="432"/>
  <c r="Q125" i="432"/>
  <c r="B125" i="432"/>
  <c r="P125" i="432" s="1"/>
  <c r="AJ124" i="432"/>
  <c r="V124" i="432"/>
  <c r="U124" i="432"/>
  <c r="T124" i="432"/>
  <c r="S124" i="432"/>
  <c r="R124" i="432"/>
  <c r="Q124" i="432"/>
  <c r="B124" i="432"/>
  <c r="P124" i="432" s="1"/>
  <c r="AJ123" i="432"/>
  <c r="V123" i="432"/>
  <c r="U123" i="432"/>
  <c r="T123" i="432"/>
  <c r="S123" i="432"/>
  <c r="R123" i="432"/>
  <c r="Q123" i="432"/>
  <c r="B123" i="432"/>
  <c r="P123" i="432" s="1"/>
  <c r="AJ122" i="432"/>
  <c r="V122" i="432"/>
  <c r="U122" i="432"/>
  <c r="T122" i="432"/>
  <c r="S122" i="432"/>
  <c r="R122" i="432"/>
  <c r="Q122" i="432"/>
  <c r="B122" i="432"/>
  <c r="P122" i="432" s="1"/>
  <c r="AJ121" i="432"/>
  <c r="V121" i="432"/>
  <c r="U121" i="432"/>
  <c r="T121" i="432"/>
  <c r="S121" i="432"/>
  <c r="R121" i="432"/>
  <c r="Q121" i="432"/>
  <c r="B121" i="432"/>
  <c r="P121" i="432" s="1"/>
  <c r="AJ120" i="432"/>
  <c r="V120" i="432"/>
  <c r="U120" i="432"/>
  <c r="T120" i="432"/>
  <c r="S120" i="432"/>
  <c r="R120" i="432"/>
  <c r="Q120" i="432"/>
  <c r="B120" i="432"/>
  <c r="P120" i="432" s="1"/>
  <c r="AJ119" i="432"/>
  <c r="V119" i="432"/>
  <c r="U119" i="432"/>
  <c r="T119" i="432"/>
  <c r="S119" i="432"/>
  <c r="R119" i="432"/>
  <c r="Q119" i="432"/>
  <c r="B119" i="432"/>
  <c r="P119" i="432" s="1"/>
  <c r="AJ118" i="432"/>
  <c r="V118" i="432"/>
  <c r="U118" i="432"/>
  <c r="T118" i="432"/>
  <c r="S118" i="432"/>
  <c r="R118" i="432"/>
  <c r="Q118" i="432"/>
  <c r="B118" i="432"/>
  <c r="P118" i="432" s="1"/>
  <c r="AJ117" i="432"/>
  <c r="V117" i="432"/>
  <c r="U117" i="432"/>
  <c r="T117" i="432"/>
  <c r="S117" i="432"/>
  <c r="R117" i="432"/>
  <c r="Q117" i="432"/>
  <c r="B117" i="432"/>
  <c r="P117" i="432" s="1"/>
  <c r="AJ116" i="432"/>
  <c r="V116" i="432"/>
  <c r="U116" i="432"/>
  <c r="T116" i="432"/>
  <c r="S116" i="432"/>
  <c r="R116" i="432"/>
  <c r="Q116" i="432"/>
  <c r="P116" i="432"/>
  <c r="B116" i="432"/>
  <c r="AJ115" i="432"/>
  <c r="V115" i="432"/>
  <c r="U115" i="432"/>
  <c r="T115" i="432"/>
  <c r="S115" i="432"/>
  <c r="R115" i="432"/>
  <c r="Q115" i="432"/>
  <c r="B115" i="432"/>
  <c r="P115" i="432" s="1"/>
  <c r="AJ114" i="432"/>
  <c r="V114" i="432"/>
  <c r="U114" i="432"/>
  <c r="T114" i="432"/>
  <c r="S114" i="432"/>
  <c r="R114" i="432"/>
  <c r="Q114" i="432"/>
  <c r="B114" i="432"/>
  <c r="P114" i="432" s="1"/>
  <c r="AJ113" i="432"/>
  <c r="V113" i="432"/>
  <c r="U113" i="432"/>
  <c r="T113" i="432"/>
  <c r="S113" i="432"/>
  <c r="R113" i="432"/>
  <c r="Q113" i="432"/>
  <c r="B113" i="432"/>
  <c r="P113" i="432" s="1"/>
  <c r="AJ112" i="432"/>
  <c r="V112" i="432"/>
  <c r="U112" i="432"/>
  <c r="T112" i="432"/>
  <c r="S112" i="432"/>
  <c r="R112" i="432"/>
  <c r="Q112" i="432"/>
  <c r="B112" i="432"/>
  <c r="P112" i="432" s="1"/>
  <c r="AJ111" i="432"/>
  <c r="V111" i="432"/>
  <c r="U111" i="432"/>
  <c r="T111" i="432"/>
  <c r="S111" i="432"/>
  <c r="R111" i="432"/>
  <c r="Q111" i="432"/>
  <c r="B111" i="432"/>
  <c r="P111" i="432" s="1"/>
  <c r="AJ110" i="432"/>
  <c r="V110" i="432"/>
  <c r="U110" i="432"/>
  <c r="T110" i="432"/>
  <c r="S110" i="432"/>
  <c r="R110" i="432"/>
  <c r="Q110" i="432"/>
  <c r="B110" i="432"/>
  <c r="P110" i="432" s="1"/>
  <c r="AJ109" i="432"/>
  <c r="V109" i="432"/>
  <c r="U109" i="432"/>
  <c r="T109" i="432"/>
  <c r="S109" i="432"/>
  <c r="R109" i="432"/>
  <c r="Q109" i="432"/>
  <c r="B109" i="432"/>
  <c r="P109" i="432" s="1"/>
  <c r="AJ108" i="432"/>
  <c r="V108" i="432"/>
  <c r="U108" i="432"/>
  <c r="T108" i="432"/>
  <c r="S108" i="432"/>
  <c r="R108" i="432"/>
  <c r="Q108" i="432"/>
  <c r="B108" i="432"/>
  <c r="P108" i="432" s="1"/>
  <c r="AJ107" i="432"/>
  <c r="V107" i="432"/>
  <c r="U107" i="432"/>
  <c r="T107" i="432"/>
  <c r="S107" i="432"/>
  <c r="R107" i="432"/>
  <c r="Q107" i="432"/>
  <c r="B107" i="432"/>
  <c r="P107" i="432" s="1"/>
  <c r="AJ106" i="432"/>
  <c r="V106" i="432"/>
  <c r="U106" i="432"/>
  <c r="T106" i="432"/>
  <c r="S106" i="432"/>
  <c r="R106" i="432"/>
  <c r="Q106" i="432"/>
  <c r="B106" i="432"/>
  <c r="P106" i="432" s="1"/>
  <c r="AJ105" i="432"/>
  <c r="V105" i="432"/>
  <c r="U105" i="432"/>
  <c r="T105" i="432"/>
  <c r="S105" i="432"/>
  <c r="R105" i="432"/>
  <c r="Q105" i="432"/>
  <c r="B105" i="432"/>
  <c r="P105" i="432" s="1"/>
  <c r="AJ104" i="432"/>
  <c r="V104" i="432"/>
  <c r="U104" i="432"/>
  <c r="T104" i="432"/>
  <c r="S104" i="432"/>
  <c r="R104" i="432"/>
  <c r="Q104" i="432"/>
  <c r="B104" i="432"/>
  <c r="P104" i="432" s="1"/>
  <c r="AJ103" i="432"/>
  <c r="V103" i="432"/>
  <c r="U103" i="432"/>
  <c r="T103" i="432"/>
  <c r="S103" i="432"/>
  <c r="R103" i="432"/>
  <c r="Q103" i="432"/>
  <c r="B103" i="432"/>
  <c r="P103" i="432" s="1"/>
  <c r="AJ102" i="432"/>
  <c r="V102" i="432"/>
  <c r="U102" i="432"/>
  <c r="T102" i="432"/>
  <c r="S102" i="432"/>
  <c r="R102" i="432"/>
  <c r="Q102" i="432"/>
  <c r="P102" i="432"/>
  <c r="B102" i="432"/>
  <c r="AJ101" i="432"/>
  <c r="V101" i="432"/>
  <c r="U101" i="432"/>
  <c r="T101" i="432"/>
  <c r="S101" i="432"/>
  <c r="R101" i="432"/>
  <c r="Q101" i="432"/>
  <c r="B101" i="432"/>
  <c r="P101" i="432" s="1"/>
  <c r="AJ100" i="432"/>
  <c r="V100" i="432"/>
  <c r="U100" i="432"/>
  <c r="T100" i="432"/>
  <c r="S100" i="432"/>
  <c r="R100" i="432"/>
  <c r="Q100" i="432"/>
  <c r="B100" i="432"/>
  <c r="P100" i="432" s="1"/>
  <c r="AJ99" i="432"/>
  <c r="V99" i="432"/>
  <c r="U99" i="432"/>
  <c r="T99" i="432"/>
  <c r="S99" i="432"/>
  <c r="R99" i="432"/>
  <c r="Q99" i="432"/>
  <c r="B99" i="432"/>
  <c r="P99" i="432" s="1"/>
  <c r="AJ98" i="432"/>
  <c r="V98" i="432"/>
  <c r="U98" i="432"/>
  <c r="T98" i="432"/>
  <c r="S98" i="432"/>
  <c r="R98" i="432"/>
  <c r="Q98" i="432"/>
  <c r="B98" i="432"/>
  <c r="P98" i="432" s="1"/>
  <c r="AJ97" i="432"/>
  <c r="V97" i="432"/>
  <c r="U97" i="432"/>
  <c r="T97" i="432"/>
  <c r="S97" i="432"/>
  <c r="R97" i="432"/>
  <c r="Q97" i="432"/>
  <c r="B97" i="432"/>
  <c r="P97" i="432" s="1"/>
  <c r="AJ96" i="432"/>
  <c r="V96" i="432"/>
  <c r="U96" i="432"/>
  <c r="T96" i="432"/>
  <c r="S96" i="432"/>
  <c r="R96" i="432"/>
  <c r="Q96" i="432"/>
  <c r="B96" i="432"/>
  <c r="P96" i="432" s="1"/>
  <c r="AJ95" i="432"/>
  <c r="V95" i="432"/>
  <c r="U95" i="432"/>
  <c r="T95" i="432"/>
  <c r="S95" i="432"/>
  <c r="R95" i="432"/>
  <c r="Q95" i="432"/>
  <c r="B95" i="432"/>
  <c r="P95" i="432" s="1"/>
  <c r="AJ94" i="432"/>
  <c r="V94" i="432"/>
  <c r="U94" i="432"/>
  <c r="T94" i="432"/>
  <c r="S94" i="432"/>
  <c r="R94" i="432"/>
  <c r="Q94" i="432"/>
  <c r="B94" i="432"/>
  <c r="P94" i="432" s="1"/>
  <c r="AJ93" i="432"/>
  <c r="V93" i="432"/>
  <c r="U93" i="432"/>
  <c r="T93" i="432"/>
  <c r="S93" i="432"/>
  <c r="R93" i="432"/>
  <c r="Q93" i="432"/>
  <c r="B93" i="432"/>
  <c r="P93" i="432" s="1"/>
  <c r="AJ92" i="432"/>
  <c r="V92" i="432"/>
  <c r="U92" i="432"/>
  <c r="T92" i="432"/>
  <c r="S92" i="432"/>
  <c r="R92" i="432"/>
  <c r="Q92" i="432"/>
  <c r="P92" i="432"/>
  <c r="B92" i="432"/>
  <c r="AJ91" i="432"/>
  <c r="V91" i="432"/>
  <c r="U91" i="432"/>
  <c r="T91" i="432"/>
  <c r="S91" i="432"/>
  <c r="R91" i="432"/>
  <c r="Q91" i="432"/>
  <c r="B91" i="432"/>
  <c r="P91" i="432" s="1"/>
  <c r="AJ90" i="432"/>
  <c r="V90" i="432"/>
  <c r="U90" i="432"/>
  <c r="T90" i="432"/>
  <c r="S90" i="432"/>
  <c r="R90" i="432"/>
  <c r="Q90" i="432"/>
  <c r="B90" i="432"/>
  <c r="P90" i="432" s="1"/>
  <c r="AJ89" i="432"/>
  <c r="V89" i="432"/>
  <c r="U89" i="432"/>
  <c r="T89" i="432"/>
  <c r="S89" i="432"/>
  <c r="R89" i="432"/>
  <c r="Q89" i="432"/>
  <c r="B89" i="432"/>
  <c r="P89" i="432" s="1"/>
  <c r="AJ88" i="432"/>
  <c r="V88" i="432"/>
  <c r="U88" i="432"/>
  <c r="T88" i="432"/>
  <c r="S88" i="432"/>
  <c r="R88" i="432"/>
  <c r="Q88" i="432"/>
  <c r="B88" i="432"/>
  <c r="P88" i="432" s="1"/>
  <c r="AJ87" i="432"/>
  <c r="V87" i="432"/>
  <c r="U87" i="432"/>
  <c r="T87" i="432"/>
  <c r="S87" i="432"/>
  <c r="R87" i="432"/>
  <c r="Q87" i="432"/>
  <c r="B87" i="432"/>
  <c r="P87" i="432" s="1"/>
  <c r="AJ86" i="432"/>
  <c r="V86" i="432"/>
  <c r="U86" i="432"/>
  <c r="T86" i="432"/>
  <c r="S86" i="432"/>
  <c r="R86" i="432"/>
  <c r="Q86" i="432"/>
  <c r="B86" i="432"/>
  <c r="P86" i="432" s="1"/>
  <c r="AJ85" i="432"/>
  <c r="V85" i="432"/>
  <c r="U85" i="432"/>
  <c r="T85" i="432"/>
  <c r="S85" i="432"/>
  <c r="R85" i="432"/>
  <c r="Q85" i="432"/>
  <c r="B85" i="432"/>
  <c r="P85" i="432" s="1"/>
  <c r="AJ84" i="432"/>
  <c r="V84" i="432"/>
  <c r="U84" i="432"/>
  <c r="T84" i="432"/>
  <c r="S84" i="432"/>
  <c r="R84" i="432"/>
  <c r="Q84" i="432"/>
  <c r="B84" i="432"/>
  <c r="P84" i="432" s="1"/>
  <c r="AJ83" i="432"/>
  <c r="V83" i="432"/>
  <c r="U83" i="432"/>
  <c r="T83" i="432"/>
  <c r="S83" i="432"/>
  <c r="R83" i="432"/>
  <c r="Q83" i="432"/>
  <c r="B83" i="432"/>
  <c r="P83" i="432" s="1"/>
  <c r="AJ82" i="432"/>
  <c r="V82" i="432"/>
  <c r="U82" i="432"/>
  <c r="T82" i="432"/>
  <c r="S82" i="432"/>
  <c r="R82" i="432"/>
  <c r="Q82" i="432"/>
  <c r="B82" i="432"/>
  <c r="P82" i="432" s="1"/>
  <c r="AJ81" i="432"/>
  <c r="V81" i="432"/>
  <c r="U81" i="432"/>
  <c r="T81" i="432"/>
  <c r="S81" i="432"/>
  <c r="R81" i="432"/>
  <c r="Q81" i="432"/>
  <c r="B81" i="432"/>
  <c r="P81" i="432" s="1"/>
  <c r="AJ80" i="432"/>
  <c r="V80" i="432"/>
  <c r="U80" i="432"/>
  <c r="T80" i="432"/>
  <c r="S80" i="432"/>
  <c r="R80" i="432"/>
  <c r="Q80" i="432"/>
  <c r="B80" i="432"/>
  <c r="P80" i="432" s="1"/>
  <c r="AJ79" i="432"/>
  <c r="V79" i="432"/>
  <c r="U79" i="432"/>
  <c r="T79" i="432"/>
  <c r="S79" i="432"/>
  <c r="R79" i="432"/>
  <c r="Q79" i="432"/>
  <c r="B79" i="432"/>
  <c r="P79" i="432" s="1"/>
  <c r="AJ78" i="432"/>
  <c r="V78" i="432"/>
  <c r="U78" i="432"/>
  <c r="T78" i="432"/>
  <c r="S78" i="432"/>
  <c r="R78" i="432"/>
  <c r="Q78" i="432"/>
  <c r="P78" i="432"/>
  <c r="B78" i="432"/>
  <c r="AJ77" i="432"/>
  <c r="V77" i="432"/>
  <c r="U77" i="432"/>
  <c r="T77" i="432"/>
  <c r="S77" i="432"/>
  <c r="R77" i="432"/>
  <c r="Q77" i="432"/>
  <c r="B77" i="432"/>
  <c r="P77" i="432" s="1"/>
  <c r="AJ76" i="432"/>
  <c r="V76" i="432"/>
  <c r="U76" i="432"/>
  <c r="T76" i="432"/>
  <c r="S76" i="432"/>
  <c r="R76" i="432"/>
  <c r="Q76" i="432"/>
  <c r="B76" i="432"/>
  <c r="P76" i="432" s="1"/>
  <c r="AJ75" i="432"/>
  <c r="V75" i="432"/>
  <c r="U75" i="432"/>
  <c r="T75" i="432"/>
  <c r="S75" i="432"/>
  <c r="R75" i="432"/>
  <c r="Q75" i="432"/>
  <c r="B75" i="432"/>
  <c r="P75" i="432" s="1"/>
  <c r="AJ74" i="432"/>
  <c r="V74" i="432"/>
  <c r="U74" i="432"/>
  <c r="T74" i="432"/>
  <c r="S74" i="432"/>
  <c r="R74" i="432"/>
  <c r="Q74" i="432"/>
  <c r="B74" i="432"/>
  <c r="P74" i="432" s="1"/>
  <c r="AJ73" i="432"/>
  <c r="V73" i="432"/>
  <c r="U73" i="432"/>
  <c r="T73" i="432"/>
  <c r="S73" i="432"/>
  <c r="R73" i="432"/>
  <c r="Q73" i="432"/>
  <c r="P73" i="432"/>
  <c r="B73" i="432"/>
  <c r="AJ72" i="432"/>
  <c r="V72" i="432"/>
  <c r="U72" i="432"/>
  <c r="T72" i="432"/>
  <c r="S72" i="432"/>
  <c r="R72" i="432"/>
  <c r="Q72" i="432"/>
  <c r="B72" i="432"/>
  <c r="P72" i="432" s="1"/>
  <c r="AJ71" i="432"/>
  <c r="V71" i="432"/>
  <c r="U71" i="432"/>
  <c r="T71" i="432"/>
  <c r="S71" i="432"/>
  <c r="R71" i="432"/>
  <c r="Q71" i="432"/>
  <c r="B71" i="432"/>
  <c r="P71" i="432" s="1"/>
  <c r="AJ70" i="432"/>
  <c r="V70" i="432"/>
  <c r="U70" i="432"/>
  <c r="T70" i="432"/>
  <c r="S70" i="432"/>
  <c r="R70" i="432"/>
  <c r="Q70" i="432"/>
  <c r="B70" i="432"/>
  <c r="P70" i="432" s="1"/>
  <c r="AJ69" i="432"/>
  <c r="V69" i="432"/>
  <c r="U69" i="432"/>
  <c r="T69" i="432"/>
  <c r="S69" i="432"/>
  <c r="R69" i="432"/>
  <c r="Q69" i="432"/>
  <c r="B69" i="432"/>
  <c r="P69" i="432" s="1"/>
  <c r="AJ68" i="432"/>
  <c r="V68" i="432"/>
  <c r="U68" i="432"/>
  <c r="T68" i="432"/>
  <c r="S68" i="432"/>
  <c r="R68" i="432"/>
  <c r="Q68" i="432"/>
  <c r="B68" i="432"/>
  <c r="P68" i="432" s="1"/>
  <c r="AJ67" i="432"/>
  <c r="V67" i="432"/>
  <c r="U67" i="432"/>
  <c r="T67" i="432"/>
  <c r="S67" i="432"/>
  <c r="R67" i="432"/>
  <c r="Q67" i="432"/>
  <c r="B67" i="432"/>
  <c r="P67" i="432" s="1"/>
  <c r="AJ66" i="432"/>
  <c r="V66" i="432"/>
  <c r="U66" i="432"/>
  <c r="T66" i="432"/>
  <c r="S66" i="432"/>
  <c r="R66" i="432"/>
  <c r="Q66" i="432"/>
  <c r="B66" i="432"/>
  <c r="P66" i="432" s="1"/>
  <c r="AJ65" i="432"/>
  <c r="V65" i="432"/>
  <c r="U65" i="432"/>
  <c r="T65" i="432"/>
  <c r="S65" i="432"/>
  <c r="R65" i="432"/>
  <c r="Q65" i="432"/>
  <c r="B65" i="432"/>
  <c r="P65" i="432" s="1"/>
  <c r="AJ64" i="432"/>
  <c r="V64" i="432"/>
  <c r="U64" i="432"/>
  <c r="T64" i="432"/>
  <c r="S64" i="432"/>
  <c r="R64" i="432"/>
  <c r="Q64" i="432"/>
  <c r="B64" i="432"/>
  <c r="P64" i="432" s="1"/>
  <c r="AJ63" i="432"/>
  <c r="V63" i="432"/>
  <c r="U63" i="432"/>
  <c r="T63" i="432"/>
  <c r="S63" i="432"/>
  <c r="R63" i="432"/>
  <c r="Q63" i="432"/>
  <c r="B63" i="432"/>
  <c r="P63" i="432" s="1"/>
  <c r="AJ62" i="432"/>
  <c r="V62" i="432"/>
  <c r="U62" i="432"/>
  <c r="T62" i="432"/>
  <c r="S62" i="432"/>
  <c r="R62" i="432"/>
  <c r="Q62" i="432"/>
  <c r="B62" i="432"/>
  <c r="P62" i="432" s="1"/>
  <c r="AJ61" i="432"/>
  <c r="V61" i="432"/>
  <c r="U61" i="432"/>
  <c r="T61" i="432"/>
  <c r="S61" i="432"/>
  <c r="R61" i="432"/>
  <c r="Q61" i="432"/>
  <c r="B61" i="432"/>
  <c r="P61" i="432" s="1"/>
  <c r="AJ60" i="432"/>
  <c r="V60" i="432"/>
  <c r="U60" i="432"/>
  <c r="T60" i="432"/>
  <c r="S60" i="432"/>
  <c r="R60" i="432"/>
  <c r="Q60" i="432"/>
  <c r="B60" i="432"/>
  <c r="P60" i="432" s="1"/>
  <c r="AJ59" i="432"/>
  <c r="V59" i="432"/>
  <c r="U59" i="432"/>
  <c r="T59" i="432"/>
  <c r="S59" i="432"/>
  <c r="R59" i="432"/>
  <c r="Q59" i="432"/>
  <c r="B59" i="432"/>
  <c r="P59" i="432" s="1"/>
  <c r="AJ58" i="432"/>
  <c r="V58" i="432"/>
  <c r="U58" i="432"/>
  <c r="T58" i="432"/>
  <c r="S58" i="432"/>
  <c r="R58" i="432"/>
  <c r="Q58" i="432"/>
  <c r="B58" i="432"/>
  <c r="P58" i="432" s="1"/>
  <c r="AJ57" i="432"/>
  <c r="V57" i="432"/>
  <c r="U57" i="432"/>
  <c r="T57" i="432"/>
  <c r="S57" i="432"/>
  <c r="R57" i="432"/>
  <c r="Q57" i="432"/>
  <c r="B57" i="432"/>
  <c r="P57" i="432" s="1"/>
  <c r="AJ56" i="432"/>
  <c r="V56" i="432"/>
  <c r="U56" i="432"/>
  <c r="T56" i="432"/>
  <c r="S56" i="432"/>
  <c r="R56" i="432"/>
  <c r="Q56" i="432"/>
  <c r="B56" i="432"/>
  <c r="P56" i="432" s="1"/>
  <c r="AJ55" i="432"/>
  <c r="V55" i="432"/>
  <c r="U55" i="432"/>
  <c r="T55" i="432"/>
  <c r="S55" i="432"/>
  <c r="R55" i="432"/>
  <c r="Q55" i="432"/>
  <c r="B55" i="432"/>
  <c r="P55" i="432" s="1"/>
  <c r="AJ54" i="432"/>
  <c r="V54" i="432"/>
  <c r="U54" i="432"/>
  <c r="T54" i="432"/>
  <c r="S54" i="432"/>
  <c r="R54" i="432"/>
  <c r="Q54" i="432"/>
  <c r="P54" i="432"/>
  <c r="B54" i="432"/>
  <c r="AJ53" i="432"/>
  <c r="V53" i="432"/>
  <c r="U53" i="432"/>
  <c r="T53" i="432"/>
  <c r="S53" i="432"/>
  <c r="R53" i="432"/>
  <c r="Q53" i="432"/>
  <c r="B53" i="432"/>
  <c r="P53" i="432" s="1"/>
  <c r="AJ52" i="432"/>
  <c r="V52" i="432"/>
  <c r="U52" i="432"/>
  <c r="T52" i="432"/>
  <c r="S52" i="432"/>
  <c r="R52" i="432"/>
  <c r="Q52" i="432"/>
  <c r="B52" i="432"/>
  <c r="P52" i="432" s="1"/>
  <c r="AJ51" i="432"/>
  <c r="V51" i="432"/>
  <c r="U51" i="432"/>
  <c r="T51" i="432"/>
  <c r="S51" i="432"/>
  <c r="R51" i="432"/>
  <c r="Q51" i="432"/>
  <c r="B51" i="432"/>
  <c r="P51" i="432" s="1"/>
  <c r="AJ50" i="432"/>
  <c r="V50" i="432"/>
  <c r="U50" i="432"/>
  <c r="T50" i="432"/>
  <c r="S50" i="432"/>
  <c r="R50" i="432"/>
  <c r="Q50" i="432"/>
  <c r="B50" i="432"/>
  <c r="P50" i="432" s="1"/>
  <c r="AJ49" i="432"/>
  <c r="V49" i="432"/>
  <c r="U49" i="432"/>
  <c r="T49" i="432"/>
  <c r="S49" i="432"/>
  <c r="R49" i="432"/>
  <c r="Q49" i="432"/>
  <c r="B49" i="432"/>
  <c r="P49" i="432" s="1"/>
  <c r="AJ48" i="432"/>
  <c r="V48" i="432"/>
  <c r="U48" i="432"/>
  <c r="T48" i="432"/>
  <c r="S48" i="432"/>
  <c r="R48" i="432"/>
  <c r="Q48" i="432"/>
  <c r="B48" i="432"/>
  <c r="P48" i="432" s="1"/>
  <c r="AJ47" i="432"/>
  <c r="V47" i="432"/>
  <c r="U47" i="432"/>
  <c r="T47" i="432"/>
  <c r="S47" i="432"/>
  <c r="R47" i="432"/>
  <c r="Q47" i="432"/>
  <c r="B47" i="432"/>
  <c r="P47" i="432" s="1"/>
  <c r="AJ46" i="432"/>
  <c r="V46" i="432"/>
  <c r="U46" i="432"/>
  <c r="T46" i="432"/>
  <c r="S46" i="432"/>
  <c r="R46" i="432"/>
  <c r="Q46" i="432"/>
  <c r="B46" i="432"/>
  <c r="P46" i="432" s="1"/>
  <c r="AJ45" i="432"/>
  <c r="V45" i="432"/>
  <c r="U45" i="432"/>
  <c r="T45" i="432"/>
  <c r="S45" i="432"/>
  <c r="R45" i="432"/>
  <c r="Q45" i="432"/>
  <c r="B45" i="432"/>
  <c r="P45" i="432" s="1"/>
  <c r="AJ44" i="432"/>
  <c r="V44" i="432"/>
  <c r="U44" i="432"/>
  <c r="T44" i="432"/>
  <c r="S44" i="432"/>
  <c r="R44" i="432"/>
  <c r="Q44" i="432"/>
  <c r="B44" i="432"/>
  <c r="P44" i="432" s="1"/>
  <c r="AJ43" i="432"/>
  <c r="V43" i="432"/>
  <c r="U43" i="432"/>
  <c r="T43" i="432"/>
  <c r="S43" i="432"/>
  <c r="R43" i="432"/>
  <c r="Q43" i="432"/>
  <c r="B43" i="432"/>
  <c r="P43" i="432" s="1"/>
  <c r="AJ42" i="432"/>
  <c r="V42" i="432"/>
  <c r="U42" i="432"/>
  <c r="T42" i="432"/>
  <c r="S42" i="432"/>
  <c r="R42" i="432"/>
  <c r="Q42" i="432"/>
  <c r="B42" i="432"/>
  <c r="P42" i="432" s="1"/>
  <c r="AJ41" i="432"/>
  <c r="V41" i="432"/>
  <c r="U41" i="432"/>
  <c r="T41" i="432"/>
  <c r="S41" i="432"/>
  <c r="R41" i="432"/>
  <c r="Q41" i="432"/>
  <c r="B41" i="432"/>
  <c r="P41" i="432" s="1"/>
  <c r="AJ40" i="432"/>
  <c r="V40" i="432"/>
  <c r="U40" i="432"/>
  <c r="T40" i="432"/>
  <c r="S40" i="432"/>
  <c r="R40" i="432"/>
  <c r="Q40" i="432"/>
  <c r="B40" i="432"/>
  <c r="P40" i="432" s="1"/>
  <c r="AJ39" i="432"/>
  <c r="V39" i="432"/>
  <c r="U39" i="432"/>
  <c r="T39" i="432"/>
  <c r="S39" i="432"/>
  <c r="R39" i="432"/>
  <c r="Q39" i="432"/>
  <c r="B39" i="432"/>
  <c r="P39" i="432" s="1"/>
  <c r="AJ38" i="432"/>
  <c r="V38" i="432"/>
  <c r="U38" i="432"/>
  <c r="T38" i="432"/>
  <c r="S38" i="432"/>
  <c r="R38" i="432"/>
  <c r="Q38" i="432"/>
  <c r="B38" i="432"/>
  <c r="P38" i="432" s="1"/>
  <c r="AJ37" i="432"/>
  <c r="V37" i="432"/>
  <c r="U37" i="432"/>
  <c r="T37" i="432"/>
  <c r="S37" i="432"/>
  <c r="R37" i="432"/>
  <c r="Q37" i="432"/>
  <c r="B37" i="432"/>
  <c r="P37" i="432" s="1"/>
  <c r="AJ36" i="432"/>
  <c r="V36" i="432"/>
  <c r="U36" i="432"/>
  <c r="T36" i="432"/>
  <c r="S36" i="432"/>
  <c r="R36" i="432"/>
  <c r="Q36" i="432"/>
  <c r="B36" i="432"/>
  <c r="P36" i="432" s="1"/>
  <c r="AJ35" i="432"/>
  <c r="V35" i="432"/>
  <c r="U35" i="432"/>
  <c r="T35" i="432"/>
  <c r="S35" i="432"/>
  <c r="R35" i="432"/>
  <c r="Q35" i="432"/>
  <c r="B35" i="432"/>
  <c r="P35" i="432" s="1"/>
  <c r="AJ34" i="432"/>
  <c r="V34" i="432"/>
  <c r="U34" i="432"/>
  <c r="T34" i="432"/>
  <c r="S34" i="432"/>
  <c r="R34" i="432"/>
  <c r="Q34" i="432"/>
  <c r="B34" i="432"/>
  <c r="P34" i="432" s="1"/>
  <c r="AJ33" i="432"/>
  <c r="V33" i="432"/>
  <c r="U33" i="432"/>
  <c r="T33" i="432"/>
  <c r="S33" i="432"/>
  <c r="R33" i="432"/>
  <c r="Q33" i="432"/>
  <c r="B33" i="432"/>
  <c r="P33" i="432" s="1"/>
  <c r="AJ32" i="432"/>
  <c r="V32" i="432"/>
  <c r="U32" i="432"/>
  <c r="T32" i="432"/>
  <c r="S32" i="432"/>
  <c r="R32" i="432"/>
  <c r="Q32" i="432"/>
  <c r="P32" i="432"/>
  <c r="B32" i="432"/>
  <c r="AJ31" i="432"/>
  <c r="V31" i="432"/>
  <c r="U31" i="432"/>
  <c r="T31" i="432"/>
  <c r="S31" i="432"/>
  <c r="R31" i="432"/>
  <c r="Q31" i="432"/>
  <c r="B31" i="432"/>
  <c r="P31" i="432" s="1"/>
  <c r="AJ30" i="432"/>
  <c r="V30" i="432"/>
  <c r="U30" i="432"/>
  <c r="T30" i="432"/>
  <c r="S30" i="432"/>
  <c r="R30" i="432"/>
  <c r="Q30" i="432"/>
  <c r="P30" i="432"/>
  <c r="B30" i="432"/>
  <c r="AJ29" i="432"/>
  <c r="V29" i="432"/>
  <c r="U29" i="432"/>
  <c r="T29" i="432"/>
  <c r="S29" i="432"/>
  <c r="R29" i="432"/>
  <c r="Q29" i="432"/>
  <c r="B29" i="432"/>
  <c r="P29" i="432" s="1"/>
  <c r="AJ28" i="432"/>
  <c r="V28" i="432"/>
  <c r="U28" i="432"/>
  <c r="T28" i="432"/>
  <c r="S28" i="432"/>
  <c r="R28" i="432"/>
  <c r="Q28" i="432"/>
  <c r="B28" i="432"/>
  <c r="P28" i="432" s="1"/>
  <c r="AJ27" i="432"/>
  <c r="V27" i="432"/>
  <c r="U27" i="432"/>
  <c r="T27" i="432"/>
  <c r="S27" i="432"/>
  <c r="R27" i="432"/>
  <c r="Q27" i="432"/>
  <c r="B27" i="432"/>
  <c r="P27" i="432" s="1"/>
  <c r="AJ26" i="432"/>
  <c r="V26" i="432"/>
  <c r="U26" i="432"/>
  <c r="T26" i="432"/>
  <c r="S26" i="432"/>
  <c r="R26" i="432"/>
  <c r="Q26" i="432"/>
  <c r="P26" i="432"/>
  <c r="B26" i="432"/>
  <c r="AJ25" i="432"/>
  <c r="V25" i="432"/>
  <c r="U25" i="432"/>
  <c r="T25" i="432"/>
  <c r="S25" i="432"/>
  <c r="R25" i="432"/>
  <c r="Q25" i="432"/>
  <c r="B25" i="432"/>
  <c r="P25" i="432" s="1"/>
  <c r="AJ24" i="432"/>
  <c r="V24" i="432"/>
  <c r="U24" i="432"/>
  <c r="T24" i="432"/>
  <c r="S24" i="432"/>
  <c r="R24" i="432"/>
  <c r="Q24" i="432"/>
  <c r="B24" i="432"/>
  <c r="P24" i="432" s="1"/>
  <c r="AJ23" i="432"/>
  <c r="V23" i="432"/>
  <c r="U23" i="432"/>
  <c r="T23" i="432"/>
  <c r="S23" i="432"/>
  <c r="R23" i="432"/>
  <c r="Q23" i="432"/>
  <c r="B23" i="432"/>
  <c r="P23" i="432" s="1"/>
  <c r="AJ22" i="432"/>
  <c r="V22" i="432"/>
  <c r="U22" i="432"/>
  <c r="T22" i="432"/>
  <c r="S22" i="432"/>
  <c r="R22" i="432"/>
  <c r="Q22" i="432"/>
  <c r="B22" i="432"/>
  <c r="P22" i="432" s="1"/>
  <c r="AJ21" i="432"/>
  <c r="V21" i="432"/>
  <c r="U21" i="432"/>
  <c r="T21" i="432"/>
  <c r="S21" i="432"/>
  <c r="R21" i="432"/>
  <c r="Q21" i="432"/>
  <c r="B21" i="432"/>
  <c r="P21" i="432" s="1"/>
  <c r="AJ20" i="432"/>
  <c r="V20" i="432"/>
  <c r="U20" i="432"/>
  <c r="T20" i="432"/>
  <c r="S20" i="432"/>
  <c r="R20" i="432"/>
  <c r="Q20" i="432"/>
  <c r="B20" i="432"/>
  <c r="P20" i="432" s="1"/>
  <c r="AJ19" i="432"/>
  <c r="V19" i="432"/>
  <c r="U19" i="432"/>
  <c r="T19" i="432"/>
  <c r="S19" i="432"/>
  <c r="R19" i="432"/>
  <c r="Q19" i="432"/>
  <c r="B19" i="432"/>
  <c r="P19" i="432" s="1"/>
  <c r="AJ902" i="431"/>
  <c r="V902" i="431"/>
  <c r="U902" i="431"/>
  <c r="T902" i="431"/>
  <c r="S902" i="431"/>
  <c r="R902" i="431"/>
  <c r="Q902" i="431"/>
  <c r="B902" i="431"/>
  <c r="P902" i="431" s="1"/>
  <c r="AJ901" i="431"/>
  <c r="V901" i="431"/>
  <c r="U901" i="431"/>
  <c r="T901" i="431"/>
  <c r="S901" i="431"/>
  <c r="R901" i="431"/>
  <c r="Q901" i="431"/>
  <c r="B901" i="431"/>
  <c r="P901" i="431" s="1"/>
  <c r="AJ900" i="431"/>
  <c r="V900" i="431"/>
  <c r="U900" i="431"/>
  <c r="T900" i="431"/>
  <c r="S900" i="431"/>
  <c r="R900" i="431"/>
  <c r="Q900" i="431"/>
  <c r="B900" i="431"/>
  <c r="P900" i="431" s="1"/>
  <c r="AJ899" i="431"/>
  <c r="V899" i="431"/>
  <c r="U899" i="431"/>
  <c r="T899" i="431"/>
  <c r="S899" i="431"/>
  <c r="R899" i="431"/>
  <c r="Q899" i="431"/>
  <c r="B899" i="431"/>
  <c r="P899" i="431" s="1"/>
  <c r="AJ898" i="431"/>
  <c r="V898" i="431"/>
  <c r="U898" i="431"/>
  <c r="T898" i="431"/>
  <c r="S898" i="431"/>
  <c r="R898" i="431"/>
  <c r="Q898" i="431"/>
  <c r="B898" i="431"/>
  <c r="P898" i="431" s="1"/>
  <c r="AJ897" i="431"/>
  <c r="V897" i="431"/>
  <c r="U897" i="431"/>
  <c r="T897" i="431"/>
  <c r="S897" i="431"/>
  <c r="R897" i="431"/>
  <c r="Q897" i="431"/>
  <c r="B897" i="431"/>
  <c r="P897" i="431" s="1"/>
  <c r="AJ896" i="431"/>
  <c r="V896" i="431"/>
  <c r="U896" i="431"/>
  <c r="T896" i="431"/>
  <c r="S896" i="431"/>
  <c r="R896" i="431"/>
  <c r="Q896" i="431"/>
  <c r="B896" i="431"/>
  <c r="P896" i="431" s="1"/>
  <c r="AJ895" i="431"/>
  <c r="V895" i="431"/>
  <c r="U895" i="431"/>
  <c r="T895" i="431"/>
  <c r="S895" i="431"/>
  <c r="R895" i="431"/>
  <c r="Q895" i="431"/>
  <c r="B895" i="431"/>
  <c r="P895" i="431" s="1"/>
  <c r="AJ894" i="431"/>
  <c r="V894" i="431"/>
  <c r="U894" i="431"/>
  <c r="T894" i="431"/>
  <c r="S894" i="431"/>
  <c r="R894" i="431"/>
  <c r="Q894" i="431"/>
  <c r="B894" i="431"/>
  <c r="P894" i="431" s="1"/>
  <c r="AJ893" i="431"/>
  <c r="V893" i="431"/>
  <c r="U893" i="431"/>
  <c r="T893" i="431"/>
  <c r="S893" i="431"/>
  <c r="R893" i="431"/>
  <c r="Q893" i="431"/>
  <c r="B893" i="431"/>
  <c r="P893" i="431" s="1"/>
  <c r="AJ892" i="431"/>
  <c r="V892" i="431"/>
  <c r="U892" i="431"/>
  <c r="T892" i="431"/>
  <c r="S892" i="431"/>
  <c r="R892" i="431"/>
  <c r="Q892" i="431"/>
  <c r="B892" i="431"/>
  <c r="P892" i="431" s="1"/>
  <c r="AJ891" i="431"/>
  <c r="V891" i="431"/>
  <c r="U891" i="431"/>
  <c r="T891" i="431"/>
  <c r="S891" i="431"/>
  <c r="R891" i="431"/>
  <c r="Q891" i="431"/>
  <c r="B891" i="431"/>
  <c r="P891" i="431" s="1"/>
  <c r="AJ890" i="431"/>
  <c r="V890" i="431"/>
  <c r="U890" i="431"/>
  <c r="T890" i="431"/>
  <c r="S890" i="431"/>
  <c r="R890" i="431"/>
  <c r="Q890" i="431"/>
  <c r="B890" i="431"/>
  <c r="P890" i="431" s="1"/>
  <c r="AJ889" i="431"/>
  <c r="V889" i="431"/>
  <c r="U889" i="431"/>
  <c r="T889" i="431"/>
  <c r="S889" i="431"/>
  <c r="R889" i="431"/>
  <c r="Q889" i="431"/>
  <c r="B889" i="431"/>
  <c r="P889" i="431" s="1"/>
  <c r="AJ888" i="431"/>
  <c r="V888" i="431"/>
  <c r="U888" i="431"/>
  <c r="T888" i="431"/>
  <c r="S888" i="431"/>
  <c r="R888" i="431"/>
  <c r="Q888" i="431"/>
  <c r="B888" i="431"/>
  <c r="P888" i="431" s="1"/>
  <c r="AJ887" i="431"/>
  <c r="V887" i="431"/>
  <c r="U887" i="431"/>
  <c r="T887" i="431"/>
  <c r="S887" i="431"/>
  <c r="R887" i="431"/>
  <c r="Q887" i="431"/>
  <c r="B887" i="431"/>
  <c r="P887" i="431" s="1"/>
  <c r="AJ886" i="431"/>
  <c r="V886" i="431"/>
  <c r="U886" i="431"/>
  <c r="T886" i="431"/>
  <c r="S886" i="431"/>
  <c r="R886" i="431"/>
  <c r="Q886" i="431"/>
  <c r="B886" i="431"/>
  <c r="P886" i="431" s="1"/>
  <c r="AJ885" i="431"/>
  <c r="V885" i="431"/>
  <c r="U885" i="431"/>
  <c r="T885" i="431"/>
  <c r="S885" i="431"/>
  <c r="R885" i="431"/>
  <c r="Q885" i="431"/>
  <c r="B885" i="431"/>
  <c r="P885" i="431" s="1"/>
  <c r="AJ884" i="431"/>
  <c r="V884" i="431"/>
  <c r="U884" i="431"/>
  <c r="T884" i="431"/>
  <c r="S884" i="431"/>
  <c r="R884" i="431"/>
  <c r="Q884" i="431"/>
  <c r="B884" i="431"/>
  <c r="P884" i="431" s="1"/>
  <c r="AJ883" i="431"/>
  <c r="V883" i="431"/>
  <c r="U883" i="431"/>
  <c r="T883" i="431"/>
  <c r="S883" i="431"/>
  <c r="R883" i="431"/>
  <c r="Q883" i="431"/>
  <c r="B883" i="431"/>
  <c r="P883" i="431" s="1"/>
  <c r="AJ882" i="431"/>
  <c r="V882" i="431"/>
  <c r="U882" i="431"/>
  <c r="T882" i="431"/>
  <c r="S882" i="431"/>
  <c r="R882" i="431"/>
  <c r="Q882" i="431"/>
  <c r="B882" i="431"/>
  <c r="P882" i="431" s="1"/>
  <c r="AJ881" i="431"/>
  <c r="V881" i="431"/>
  <c r="U881" i="431"/>
  <c r="T881" i="431"/>
  <c r="S881" i="431"/>
  <c r="R881" i="431"/>
  <c r="Q881" i="431"/>
  <c r="B881" i="431"/>
  <c r="P881" i="431" s="1"/>
  <c r="AJ880" i="431"/>
  <c r="V880" i="431"/>
  <c r="U880" i="431"/>
  <c r="T880" i="431"/>
  <c r="S880" i="431"/>
  <c r="R880" i="431"/>
  <c r="Q880" i="431"/>
  <c r="B880" i="431"/>
  <c r="P880" i="431" s="1"/>
  <c r="AJ879" i="431"/>
  <c r="V879" i="431"/>
  <c r="U879" i="431"/>
  <c r="T879" i="431"/>
  <c r="S879" i="431"/>
  <c r="R879" i="431"/>
  <c r="Q879" i="431"/>
  <c r="B879" i="431"/>
  <c r="P879" i="431" s="1"/>
  <c r="AJ878" i="431"/>
  <c r="V878" i="431"/>
  <c r="U878" i="431"/>
  <c r="S878" i="431"/>
  <c r="R878" i="431"/>
  <c r="Q878" i="431"/>
  <c r="P878" i="431"/>
  <c r="B878" i="431"/>
  <c r="AJ877" i="431"/>
  <c r="V877" i="431"/>
  <c r="U877" i="431"/>
  <c r="T877" i="431"/>
  <c r="S877" i="431"/>
  <c r="R877" i="431"/>
  <c r="Q877" i="431"/>
  <c r="B877" i="431"/>
  <c r="P877" i="431" s="1"/>
  <c r="AJ876" i="431"/>
  <c r="V876" i="431"/>
  <c r="U876" i="431"/>
  <c r="S876" i="431"/>
  <c r="R876" i="431"/>
  <c r="Q876" i="431"/>
  <c r="B876" i="431"/>
  <c r="P876" i="431" s="1"/>
  <c r="AJ875" i="431"/>
  <c r="V875" i="431"/>
  <c r="U875" i="431"/>
  <c r="S875" i="431"/>
  <c r="R875" i="431"/>
  <c r="Q875" i="431"/>
  <c r="B875" i="431"/>
  <c r="P875" i="431" s="1"/>
  <c r="AJ874" i="431"/>
  <c r="V874" i="431"/>
  <c r="U874" i="431"/>
  <c r="S874" i="431"/>
  <c r="R874" i="431"/>
  <c r="Q874" i="431"/>
  <c r="B874" i="431"/>
  <c r="P874" i="431" s="1"/>
  <c r="AJ873" i="431"/>
  <c r="V873" i="431"/>
  <c r="U873" i="431"/>
  <c r="S873" i="431"/>
  <c r="R873" i="431"/>
  <c r="Q873" i="431"/>
  <c r="B873" i="431"/>
  <c r="P873" i="431" s="1"/>
  <c r="AJ872" i="431"/>
  <c r="V872" i="431"/>
  <c r="U872" i="431"/>
  <c r="S872" i="431"/>
  <c r="R872" i="431"/>
  <c r="Q872" i="431"/>
  <c r="B872" i="431"/>
  <c r="P872" i="431" s="1"/>
  <c r="AJ871" i="431"/>
  <c r="V871" i="431"/>
  <c r="U871" i="431"/>
  <c r="T871" i="431"/>
  <c r="S871" i="431"/>
  <c r="R871" i="431"/>
  <c r="Q871" i="431"/>
  <c r="B871" i="431"/>
  <c r="P871" i="431" s="1"/>
  <c r="AJ870" i="431"/>
  <c r="V870" i="431"/>
  <c r="U870" i="431"/>
  <c r="S870" i="431"/>
  <c r="R870" i="431"/>
  <c r="Q870" i="431"/>
  <c r="B870" i="431"/>
  <c r="P870" i="431" s="1"/>
  <c r="AJ869" i="431"/>
  <c r="V869" i="431"/>
  <c r="U869" i="431"/>
  <c r="S869" i="431"/>
  <c r="R869" i="431"/>
  <c r="Q869" i="431"/>
  <c r="B869" i="431"/>
  <c r="P869" i="431" s="1"/>
  <c r="AJ868" i="431"/>
  <c r="V868" i="431"/>
  <c r="U868" i="431"/>
  <c r="S868" i="431"/>
  <c r="R868" i="431"/>
  <c r="Q868" i="431"/>
  <c r="B868" i="431"/>
  <c r="P868" i="431" s="1"/>
  <c r="AJ867" i="431"/>
  <c r="V867" i="431"/>
  <c r="U867" i="431"/>
  <c r="S867" i="431"/>
  <c r="R867" i="431"/>
  <c r="Q867" i="431"/>
  <c r="P867" i="431"/>
  <c r="B867" i="431"/>
  <c r="AJ866" i="431"/>
  <c r="V866" i="431"/>
  <c r="U866" i="431"/>
  <c r="T866" i="431"/>
  <c r="S866" i="431"/>
  <c r="R866" i="431"/>
  <c r="Q866" i="431"/>
  <c r="B866" i="431"/>
  <c r="P866" i="431" s="1"/>
  <c r="AJ865" i="431"/>
  <c r="V865" i="431"/>
  <c r="U865" i="431"/>
  <c r="T865" i="431"/>
  <c r="S865" i="431"/>
  <c r="R865" i="431"/>
  <c r="Q865" i="431"/>
  <c r="B865" i="431"/>
  <c r="P865" i="431" s="1"/>
  <c r="AJ864" i="431"/>
  <c r="V864" i="431"/>
  <c r="U864" i="431"/>
  <c r="T864" i="431"/>
  <c r="S864" i="431"/>
  <c r="R864" i="431"/>
  <c r="Q864" i="431"/>
  <c r="B864" i="431"/>
  <c r="P864" i="431" s="1"/>
  <c r="AJ863" i="431"/>
  <c r="V863" i="431"/>
  <c r="U863" i="431"/>
  <c r="T863" i="431"/>
  <c r="S863" i="431"/>
  <c r="R863" i="431"/>
  <c r="Q863" i="431"/>
  <c r="B863" i="431"/>
  <c r="P863" i="431" s="1"/>
  <c r="AJ862" i="431"/>
  <c r="V862" i="431"/>
  <c r="U862" i="431"/>
  <c r="T862" i="431"/>
  <c r="S862" i="431"/>
  <c r="R862" i="431"/>
  <c r="Q862" i="431"/>
  <c r="B862" i="431"/>
  <c r="P862" i="431" s="1"/>
  <c r="AJ861" i="431"/>
  <c r="V861" i="431"/>
  <c r="U861" i="431"/>
  <c r="T861" i="431"/>
  <c r="S861" i="431"/>
  <c r="R861" i="431"/>
  <c r="Q861" i="431"/>
  <c r="B861" i="431"/>
  <c r="P861" i="431" s="1"/>
  <c r="AJ860" i="431"/>
  <c r="V860" i="431"/>
  <c r="U860" i="431"/>
  <c r="T860" i="431"/>
  <c r="S860" i="431"/>
  <c r="R860" i="431"/>
  <c r="Q860" i="431"/>
  <c r="B860" i="431"/>
  <c r="P860" i="431" s="1"/>
  <c r="AJ859" i="431"/>
  <c r="V859" i="431"/>
  <c r="U859" i="431"/>
  <c r="T859" i="431"/>
  <c r="S859" i="431"/>
  <c r="R859" i="431"/>
  <c r="Q859" i="431"/>
  <c r="B859" i="431"/>
  <c r="P859" i="431" s="1"/>
  <c r="AJ858" i="431"/>
  <c r="V858" i="431"/>
  <c r="U858" i="431"/>
  <c r="T858" i="431"/>
  <c r="S858" i="431"/>
  <c r="R858" i="431"/>
  <c r="Q858" i="431"/>
  <c r="B858" i="431"/>
  <c r="P858" i="431" s="1"/>
  <c r="AJ857" i="431"/>
  <c r="V857" i="431"/>
  <c r="U857" i="431"/>
  <c r="T857" i="431"/>
  <c r="S857" i="431"/>
  <c r="R857" i="431"/>
  <c r="Q857" i="431"/>
  <c r="B857" i="431"/>
  <c r="P857" i="431" s="1"/>
  <c r="AJ856" i="431"/>
  <c r="V856" i="431"/>
  <c r="U856" i="431"/>
  <c r="T856" i="431"/>
  <c r="S856" i="431"/>
  <c r="R856" i="431"/>
  <c r="Q856" i="431"/>
  <c r="B856" i="431"/>
  <c r="P856" i="431" s="1"/>
  <c r="AJ855" i="431"/>
  <c r="V855" i="431"/>
  <c r="U855" i="431"/>
  <c r="T855" i="431"/>
  <c r="S855" i="431"/>
  <c r="R855" i="431"/>
  <c r="Q855" i="431"/>
  <c r="B855" i="431"/>
  <c r="P855" i="431" s="1"/>
  <c r="AJ854" i="431"/>
  <c r="V854" i="431"/>
  <c r="U854" i="431"/>
  <c r="T854" i="431"/>
  <c r="S854" i="431"/>
  <c r="R854" i="431"/>
  <c r="Q854" i="431"/>
  <c r="B854" i="431"/>
  <c r="P854" i="431" s="1"/>
  <c r="AJ853" i="431"/>
  <c r="V853" i="431"/>
  <c r="U853" i="431"/>
  <c r="T853" i="431"/>
  <c r="S853" i="431"/>
  <c r="R853" i="431"/>
  <c r="Q853" i="431"/>
  <c r="B853" i="431"/>
  <c r="P853" i="431" s="1"/>
  <c r="AJ852" i="431"/>
  <c r="V852" i="431"/>
  <c r="U852" i="431"/>
  <c r="T852" i="431"/>
  <c r="S852" i="431"/>
  <c r="R852" i="431"/>
  <c r="Q852" i="431"/>
  <c r="B852" i="431"/>
  <c r="P852" i="431" s="1"/>
  <c r="AJ851" i="431"/>
  <c r="V851" i="431"/>
  <c r="U851" i="431"/>
  <c r="T851" i="431"/>
  <c r="S851" i="431"/>
  <c r="R851" i="431"/>
  <c r="Q851" i="431"/>
  <c r="B851" i="431"/>
  <c r="P851" i="431" s="1"/>
  <c r="AJ850" i="431"/>
  <c r="V850" i="431"/>
  <c r="U850" i="431"/>
  <c r="T850" i="431"/>
  <c r="S850" i="431"/>
  <c r="R850" i="431"/>
  <c r="Q850" i="431"/>
  <c r="B850" i="431"/>
  <c r="P850" i="431" s="1"/>
  <c r="AJ849" i="431"/>
  <c r="V849" i="431"/>
  <c r="U849" i="431"/>
  <c r="T849" i="431"/>
  <c r="S849" i="431"/>
  <c r="R849" i="431"/>
  <c r="Q849" i="431"/>
  <c r="B849" i="431"/>
  <c r="P849" i="431" s="1"/>
  <c r="AJ848" i="431"/>
  <c r="V848" i="431"/>
  <c r="U848" i="431"/>
  <c r="T848" i="431"/>
  <c r="S848" i="431"/>
  <c r="R848" i="431"/>
  <c r="Q848" i="431"/>
  <c r="B848" i="431"/>
  <c r="P848" i="431" s="1"/>
  <c r="AJ847" i="431"/>
  <c r="V847" i="431"/>
  <c r="U847" i="431"/>
  <c r="T847" i="431"/>
  <c r="S847" i="431"/>
  <c r="R847" i="431"/>
  <c r="Q847" i="431"/>
  <c r="B847" i="431"/>
  <c r="P847" i="431" s="1"/>
  <c r="AJ846" i="431"/>
  <c r="V846" i="431"/>
  <c r="U846" i="431"/>
  <c r="T846" i="431"/>
  <c r="S846" i="431"/>
  <c r="R846" i="431"/>
  <c r="Q846" i="431"/>
  <c r="B846" i="431"/>
  <c r="P846" i="431" s="1"/>
  <c r="AJ845" i="431"/>
  <c r="V845" i="431"/>
  <c r="U845" i="431"/>
  <c r="T845" i="431"/>
  <c r="S845" i="431"/>
  <c r="R845" i="431"/>
  <c r="Q845" i="431"/>
  <c r="B845" i="431"/>
  <c r="P845" i="431" s="1"/>
  <c r="AJ844" i="431"/>
  <c r="V844" i="431"/>
  <c r="U844" i="431"/>
  <c r="T844" i="431"/>
  <c r="S844" i="431"/>
  <c r="R844" i="431"/>
  <c r="Q844" i="431"/>
  <c r="B844" i="431"/>
  <c r="P844" i="431" s="1"/>
  <c r="AJ843" i="431"/>
  <c r="V843" i="431"/>
  <c r="U843" i="431"/>
  <c r="T843" i="431"/>
  <c r="S843" i="431"/>
  <c r="R843" i="431"/>
  <c r="Q843" i="431"/>
  <c r="B843" i="431"/>
  <c r="P843" i="431" s="1"/>
  <c r="AJ842" i="431"/>
  <c r="V842" i="431"/>
  <c r="U842" i="431"/>
  <c r="T842" i="431"/>
  <c r="S842" i="431"/>
  <c r="R842" i="431"/>
  <c r="Q842" i="431"/>
  <c r="B842" i="431"/>
  <c r="P842" i="431" s="1"/>
  <c r="AJ841" i="431"/>
  <c r="V841" i="431"/>
  <c r="U841" i="431"/>
  <c r="T841" i="431"/>
  <c r="S841" i="431"/>
  <c r="R841" i="431"/>
  <c r="Q841" i="431"/>
  <c r="B841" i="431"/>
  <c r="P841" i="431" s="1"/>
  <c r="AJ840" i="431"/>
  <c r="V840" i="431"/>
  <c r="U840" i="431"/>
  <c r="T840" i="431"/>
  <c r="S840" i="431"/>
  <c r="R840" i="431"/>
  <c r="Q840" i="431"/>
  <c r="B840" i="431"/>
  <c r="P840" i="431" s="1"/>
  <c r="AJ839" i="431"/>
  <c r="V839" i="431"/>
  <c r="U839" i="431"/>
  <c r="T839" i="431"/>
  <c r="S839" i="431"/>
  <c r="R839" i="431"/>
  <c r="Q839" i="431"/>
  <c r="P839" i="431"/>
  <c r="B839" i="431"/>
  <c r="AJ838" i="431"/>
  <c r="V838" i="431"/>
  <c r="U838" i="431"/>
  <c r="T838" i="431"/>
  <c r="S838" i="431"/>
  <c r="R838" i="431"/>
  <c r="Q838" i="431"/>
  <c r="B838" i="431"/>
  <c r="P838" i="431" s="1"/>
  <c r="AJ837" i="431"/>
  <c r="V837" i="431"/>
  <c r="U837" i="431"/>
  <c r="T837" i="431"/>
  <c r="S837" i="431"/>
  <c r="R837" i="431"/>
  <c r="Q837" i="431"/>
  <c r="B837" i="431"/>
  <c r="P837" i="431" s="1"/>
  <c r="AJ836" i="431"/>
  <c r="V836" i="431"/>
  <c r="U836" i="431"/>
  <c r="T836" i="431"/>
  <c r="S836" i="431"/>
  <c r="R836" i="431"/>
  <c r="Q836" i="431"/>
  <c r="B836" i="431"/>
  <c r="P836" i="431" s="1"/>
  <c r="AJ835" i="431"/>
  <c r="V835" i="431"/>
  <c r="U835" i="431"/>
  <c r="T835" i="431"/>
  <c r="S835" i="431"/>
  <c r="R835" i="431"/>
  <c r="Q835" i="431"/>
  <c r="B835" i="431"/>
  <c r="P835" i="431" s="1"/>
  <c r="AJ834" i="431"/>
  <c r="V834" i="431"/>
  <c r="U834" i="431"/>
  <c r="T834" i="431"/>
  <c r="S834" i="431"/>
  <c r="R834" i="431"/>
  <c r="Q834" i="431"/>
  <c r="B834" i="431"/>
  <c r="P834" i="431" s="1"/>
  <c r="AJ833" i="431"/>
  <c r="V833" i="431"/>
  <c r="U833" i="431"/>
  <c r="T833" i="431"/>
  <c r="S833" i="431"/>
  <c r="R833" i="431"/>
  <c r="Q833" i="431"/>
  <c r="B833" i="431"/>
  <c r="P833" i="431" s="1"/>
  <c r="AJ832" i="431"/>
  <c r="V832" i="431"/>
  <c r="U832" i="431"/>
  <c r="T832" i="431"/>
  <c r="S832" i="431"/>
  <c r="R832" i="431"/>
  <c r="Q832" i="431"/>
  <c r="B832" i="431"/>
  <c r="P832" i="431" s="1"/>
  <c r="AJ831" i="431"/>
  <c r="V831" i="431"/>
  <c r="U831" i="431"/>
  <c r="T831" i="431"/>
  <c r="S831" i="431"/>
  <c r="R831" i="431"/>
  <c r="Q831" i="431"/>
  <c r="B831" i="431"/>
  <c r="P831" i="431" s="1"/>
  <c r="AJ830" i="431"/>
  <c r="V830" i="431"/>
  <c r="U830" i="431"/>
  <c r="S830" i="431"/>
  <c r="R830" i="431"/>
  <c r="Q830" i="431"/>
  <c r="B830" i="431"/>
  <c r="P830" i="431" s="1"/>
  <c r="AJ829" i="431"/>
  <c r="V829" i="431"/>
  <c r="U829" i="431"/>
  <c r="T829" i="431"/>
  <c r="S829" i="431"/>
  <c r="R829" i="431"/>
  <c r="Q829" i="431"/>
  <c r="B829" i="431"/>
  <c r="P829" i="431" s="1"/>
  <c r="AJ828" i="431"/>
  <c r="V828" i="431"/>
  <c r="U828" i="431"/>
  <c r="S828" i="431"/>
  <c r="R828" i="431"/>
  <c r="Q828" i="431"/>
  <c r="B828" i="431"/>
  <c r="P828" i="431" s="1"/>
  <c r="AJ827" i="431"/>
  <c r="V827" i="431"/>
  <c r="U827" i="431"/>
  <c r="S827" i="431"/>
  <c r="R827" i="431"/>
  <c r="Q827" i="431"/>
  <c r="B827" i="431"/>
  <c r="P827" i="431" s="1"/>
  <c r="AJ826" i="431"/>
  <c r="V826" i="431"/>
  <c r="U826" i="431"/>
  <c r="T826" i="431"/>
  <c r="S826" i="431"/>
  <c r="R826" i="431"/>
  <c r="Q826" i="431"/>
  <c r="B826" i="431"/>
  <c r="P826" i="431" s="1"/>
  <c r="AJ825" i="431"/>
  <c r="V825" i="431"/>
  <c r="U825" i="431"/>
  <c r="S825" i="431"/>
  <c r="R825" i="431"/>
  <c r="Q825" i="431"/>
  <c r="B825" i="431"/>
  <c r="P825" i="431" s="1"/>
  <c r="AJ824" i="431"/>
  <c r="V824" i="431"/>
  <c r="U824" i="431"/>
  <c r="S824" i="431"/>
  <c r="R824" i="431"/>
  <c r="Q824" i="431"/>
  <c r="B824" i="431"/>
  <c r="P824" i="431" s="1"/>
  <c r="AJ823" i="431"/>
  <c r="V823" i="431"/>
  <c r="U823" i="431"/>
  <c r="T823" i="431"/>
  <c r="S823" i="431"/>
  <c r="R823" i="431"/>
  <c r="Q823" i="431"/>
  <c r="B823" i="431"/>
  <c r="P823" i="431" s="1"/>
  <c r="AJ822" i="431"/>
  <c r="V822" i="431"/>
  <c r="U822" i="431"/>
  <c r="S822" i="431"/>
  <c r="R822" i="431"/>
  <c r="Q822" i="431"/>
  <c r="B822" i="431"/>
  <c r="P822" i="431" s="1"/>
  <c r="AJ821" i="431"/>
  <c r="V821" i="431"/>
  <c r="U821" i="431"/>
  <c r="S821" i="431"/>
  <c r="R821" i="431"/>
  <c r="Q821" i="431"/>
  <c r="B821" i="431"/>
  <c r="P821" i="431" s="1"/>
  <c r="AJ820" i="431"/>
  <c r="V820" i="431"/>
  <c r="U820" i="431"/>
  <c r="T820" i="431"/>
  <c r="S820" i="431"/>
  <c r="R820" i="431"/>
  <c r="Q820" i="431"/>
  <c r="B820" i="431"/>
  <c r="P820" i="431" s="1"/>
  <c r="AJ819" i="431"/>
  <c r="V819" i="431"/>
  <c r="U819" i="431"/>
  <c r="S819" i="431"/>
  <c r="R819" i="431"/>
  <c r="Q819" i="431"/>
  <c r="B819" i="431"/>
  <c r="P819" i="431" s="1"/>
  <c r="AJ818" i="431"/>
  <c r="V818" i="431"/>
  <c r="U818" i="431"/>
  <c r="T818" i="431"/>
  <c r="S818" i="431"/>
  <c r="R818" i="431"/>
  <c r="Q818" i="431"/>
  <c r="B818" i="431"/>
  <c r="P818" i="431" s="1"/>
  <c r="AJ817" i="431"/>
  <c r="V817" i="431"/>
  <c r="U817" i="431"/>
  <c r="T817" i="431"/>
  <c r="S817" i="431"/>
  <c r="R817" i="431"/>
  <c r="Q817" i="431"/>
  <c r="B817" i="431"/>
  <c r="P817" i="431" s="1"/>
  <c r="AJ816" i="431"/>
  <c r="V816" i="431"/>
  <c r="U816" i="431"/>
  <c r="T816" i="431"/>
  <c r="S816" i="431"/>
  <c r="R816" i="431"/>
  <c r="Q816" i="431"/>
  <c r="B816" i="431"/>
  <c r="P816" i="431" s="1"/>
  <c r="AJ815" i="431"/>
  <c r="V815" i="431"/>
  <c r="U815" i="431"/>
  <c r="T815" i="431"/>
  <c r="S815" i="431"/>
  <c r="R815" i="431"/>
  <c r="Q815" i="431"/>
  <c r="B815" i="431"/>
  <c r="P815" i="431" s="1"/>
  <c r="AJ814" i="431"/>
  <c r="V814" i="431"/>
  <c r="U814" i="431"/>
  <c r="T814" i="431"/>
  <c r="S814" i="431"/>
  <c r="R814" i="431"/>
  <c r="Q814" i="431"/>
  <c r="B814" i="431"/>
  <c r="P814" i="431" s="1"/>
  <c r="AJ813" i="431"/>
  <c r="V813" i="431"/>
  <c r="U813" i="431"/>
  <c r="T813" i="431"/>
  <c r="S813" i="431"/>
  <c r="R813" i="431"/>
  <c r="Q813" i="431"/>
  <c r="B813" i="431"/>
  <c r="P813" i="431" s="1"/>
  <c r="AJ812" i="431"/>
  <c r="V812" i="431"/>
  <c r="U812" i="431"/>
  <c r="T812" i="431"/>
  <c r="S812" i="431"/>
  <c r="R812" i="431"/>
  <c r="Q812" i="431"/>
  <c r="B812" i="431"/>
  <c r="P812" i="431" s="1"/>
  <c r="AJ811" i="431"/>
  <c r="V811" i="431"/>
  <c r="U811" i="431"/>
  <c r="T811" i="431"/>
  <c r="S811" i="431"/>
  <c r="R811" i="431"/>
  <c r="Q811" i="431"/>
  <c r="B811" i="431"/>
  <c r="P811" i="431" s="1"/>
  <c r="AJ810" i="431"/>
  <c r="V810" i="431"/>
  <c r="U810" i="431"/>
  <c r="T810" i="431"/>
  <c r="S810" i="431"/>
  <c r="R810" i="431"/>
  <c r="Q810" i="431"/>
  <c r="B810" i="431"/>
  <c r="P810" i="431" s="1"/>
  <c r="AJ809" i="431"/>
  <c r="V809" i="431"/>
  <c r="U809" i="431"/>
  <c r="T809" i="431"/>
  <c r="S809" i="431"/>
  <c r="R809" i="431"/>
  <c r="Q809" i="431"/>
  <c r="B809" i="431"/>
  <c r="P809" i="431" s="1"/>
  <c r="AJ808" i="431"/>
  <c r="V808" i="431"/>
  <c r="U808" i="431"/>
  <c r="T808" i="431"/>
  <c r="S808" i="431"/>
  <c r="R808" i="431"/>
  <c r="Q808" i="431"/>
  <c r="B808" i="431"/>
  <c r="P808" i="431" s="1"/>
  <c r="AJ807" i="431"/>
  <c r="V807" i="431"/>
  <c r="U807" i="431"/>
  <c r="T807" i="431"/>
  <c r="S807" i="431"/>
  <c r="R807" i="431"/>
  <c r="Q807" i="431"/>
  <c r="B807" i="431"/>
  <c r="P807" i="431" s="1"/>
  <c r="AJ806" i="431"/>
  <c r="V806" i="431"/>
  <c r="U806" i="431"/>
  <c r="T806" i="431"/>
  <c r="S806" i="431"/>
  <c r="R806" i="431"/>
  <c r="Q806" i="431"/>
  <c r="B806" i="431"/>
  <c r="P806" i="431" s="1"/>
  <c r="AJ805" i="431"/>
  <c r="V805" i="431"/>
  <c r="U805" i="431"/>
  <c r="T805" i="431"/>
  <c r="S805" i="431"/>
  <c r="R805" i="431"/>
  <c r="Q805" i="431"/>
  <c r="B805" i="431"/>
  <c r="P805" i="431" s="1"/>
  <c r="AJ804" i="431"/>
  <c r="V804" i="431"/>
  <c r="U804" i="431"/>
  <c r="T804" i="431"/>
  <c r="S804" i="431"/>
  <c r="R804" i="431"/>
  <c r="Q804" i="431"/>
  <c r="B804" i="431"/>
  <c r="P804" i="431" s="1"/>
  <c r="AJ803" i="431"/>
  <c r="V803" i="431"/>
  <c r="U803" i="431"/>
  <c r="T803" i="431"/>
  <c r="S803" i="431"/>
  <c r="R803" i="431"/>
  <c r="Q803" i="431"/>
  <c r="B803" i="431"/>
  <c r="P803" i="431" s="1"/>
  <c r="AJ802" i="431"/>
  <c r="V802" i="431"/>
  <c r="U802" i="431"/>
  <c r="T802" i="431"/>
  <c r="S802" i="431"/>
  <c r="R802" i="431"/>
  <c r="Q802" i="431"/>
  <c r="P802" i="431"/>
  <c r="B802" i="431"/>
  <c r="AJ801" i="431"/>
  <c r="V801" i="431"/>
  <c r="U801" i="431"/>
  <c r="T801" i="431"/>
  <c r="S801" i="431"/>
  <c r="R801" i="431"/>
  <c r="Q801" i="431"/>
  <c r="B801" i="431"/>
  <c r="P801" i="431" s="1"/>
  <c r="AJ800" i="431"/>
  <c r="V800" i="431"/>
  <c r="U800" i="431"/>
  <c r="T800" i="431"/>
  <c r="S800" i="431"/>
  <c r="R800" i="431"/>
  <c r="Q800" i="431"/>
  <c r="B800" i="431"/>
  <c r="P800" i="431" s="1"/>
  <c r="AJ799" i="431"/>
  <c r="V799" i="431"/>
  <c r="U799" i="431"/>
  <c r="T799" i="431"/>
  <c r="S799" i="431"/>
  <c r="R799" i="431"/>
  <c r="Q799" i="431"/>
  <c r="B799" i="431"/>
  <c r="P799" i="431" s="1"/>
  <c r="AJ798" i="431"/>
  <c r="V798" i="431"/>
  <c r="U798" i="431"/>
  <c r="T798" i="431"/>
  <c r="S798" i="431"/>
  <c r="R798" i="431"/>
  <c r="Q798" i="431"/>
  <c r="B798" i="431"/>
  <c r="P798" i="431" s="1"/>
  <c r="AJ797" i="431"/>
  <c r="V797" i="431"/>
  <c r="U797" i="431"/>
  <c r="T797" i="431"/>
  <c r="S797" i="431"/>
  <c r="R797" i="431"/>
  <c r="Q797" i="431"/>
  <c r="B797" i="431"/>
  <c r="P797" i="431" s="1"/>
  <c r="AJ796" i="431"/>
  <c r="V796" i="431"/>
  <c r="U796" i="431"/>
  <c r="T796" i="431"/>
  <c r="S796" i="431"/>
  <c r="R796" i="431"/>
  <c r="Q796" i="431"/>
  <c r="B796" i="431"/>
  <c r="P796" i="431" s="1"/>
  <c r="AJ795" i="431"/>
  <c r="V795" i="431"/>
  <c r="U795" i="431"/>
  <c r="T795" i="431"/>
  <c r="S795" i="431"/>
  <c r="R795" i="431"/>
  <c r="Q795" i="431"/>
  <c r="B795" i="431"/>
  <c r="P795" i="431" s="1"/>
  <c r="AJ794" i="431"/>
  <c r="V794" i="431"/>
  <c r="U794" i="431"/>
  <c r="T794" i="431"/>
  <c r="S794" i="431"/>
  <c r="R794" i="431"/>
  <c r="Q794" i="431"/>
  <c r="B794" i="431"/>
  <c r="P794" i="431" s="1"/>
  <c r="AJ793" i="431"/>
  <c r="V793" i="431"/>
  <c r="U793" i="431"/>
  <c r="T793" i="431"/>
  <c r="S793" i="431"/>
  <c r="R793" i="431"/>
  <c r="Q793" i="431"/>
  <c r="B793" i="431"/>
  <c r="P793" i="431" s="1"/>
  <c r="AJ792" i="431"/>
  <c r="V792" i="431"/>
  <c r="U792" i="431"/>
  <c r="T792" i="431"/>
  <c r="S792" i="431"/>
  <c r="R792" i="431"/>
  <c r="Q792" i="431"/>
  <c r="P792" i="431"/>
  <c r="B792" i="431"/>
  <c r="AJ791" i="431"/>
  <c r="V791" i="431"/>
  <c r="U791" i="431"/>
  <c r="T791" i="431"/>
  <c r="S791" i="431"/>
  <c r="R791" i="431"/>
  <c r="Q791" i="431"/>
  <c r="B791" i="431"/>
  <c r="P791" i="431" s="1"/>
  <c r="AJ790" i="431"/>
  <c r="V790" i="431"/>
  <c r="U790" i="431"/>
  <c r="T790" i="431"/>
  <c r="S790" i="431"/>
  <c r="R790" i="431"/>
  <c r="Q790" i="431"/>
  <c r="B790" i="431"/>
  <c r="P790" i="431" s="1"/>
  <c r="AJ789" i="431"/>
  <c r="V789" i="431"/>
  <c r="U789" i="431"/>
  <c r="T789" i="431"/>
  <c r="S789" i="431"/>
  <c r="R789" i="431"/>
  <c r="Q789" i="431"/>
  <c r="B789" i="431"/>
  <c r="P789" i="431" s="1"/>
  <c r="AJ788" i="431"/>
  <c r="V788" i="431"/>
  <c r="U788" i="431"/>
  <c r="T788" i="431"/>
  <c r="S788" i="431"/>
  <c r="R788" i="431"/>
  <c r="Q788" i="431"/>
  <c r="B788" i="431"/>
  <c r="P788" i="431" s="1"/>
  <c r="AJ787" i="431"/>
  <c r="V787" i="431"/>
  <c r="U787" i="431"/>
  <c r="T787" i="431"/>
  <c r="S787" i="431"/>
  <c r="R787" i="431"/>
  <c r="Q787" i="431"/>
  <c r="B787" i="431"/>
  <c r="P787" i="431" s="1"/>
  <c r="AJ786" i="431"/>
  <c r="V786" i="431"/>
  <c r="U786" i="431"/>
  <c r="T786" i="431"/>
  <c r="S786" i="431"/>
  <c r="R786" i="431"/>
  <c r="Q786" i="431"/>
  <c r="B786" i="431"/>
  <c r="P786" i="431" s="1"/>
  <c r="AJ785" i="431"/>
  <c r="V785" i="431"/>
  <c r="U785" i="431"/>
  <c r="T785" i="431"/>
  <c r="S785" i="431"/>
  <c r="R785" i="431"/>
  <c r="Q785" i="431"/>
  <c r="B785" i="431"/>
  <c r="P785" i="431" s="1"/>
  <c r="AJ784" i="431"/>
  <c r="V784" i="431"/>
  <c r="U784" i="431"/>
  <c r="T784" i="431"/>
  <c r="S784" i="431"/>
  <c r="R784" i="431"/>
  <c r="Q784" i="431"/>
  <c r="B784" i="431"/>
  <c r="P784" i="431" s="1"/>
  <c r="AJ783" i="431"/>
  <c r="V783" i="431"/>
  <c r="U783" i="431"/>
  <c r="T783" i="431"/>
  <c r="S783" i="431"/>
  <c r="R783" i="431"/>
  <c r="Q783" i="431"/>
  <c r="B783" i="431"/>
  <c r="P783" i="431" s="1"/>
  <c r="AJ782" i="431"/>
  <c r="V782" i="431"/>
  <c r="U782" i="431"/>
  <c r="S782" i="431"/>
  <c r="R782" i="431"/>
  <c r="Q782" i="431"/>
  <c r="B782" i="431"/>
  <c r="P782" i="431" s="1"/>
  <c r="AJ781" i="431"/>
  <c r="V781" i="431"/>
  <c r="U781" i="431"/>
  <c r="T781" i="431"/>
  <c r="S781" i="431"/>
  <c r="R781" i="431"/>
  <c r="Q781" i="431"/>
  <c r="B781" i="431"/>
  <c r="P781" i="431" s="1"/>
  <c r="AJ780" i="431"/>
  <c r="V780" i="431"/>
  <c r="U780" i="431"/>
  <c r="S780" i="431"/>
  <c r="R780" i="431"/>
  <c r="Q780" i="431"/>
  <c r="B780" i="431"/>
  <c r="P780" i="431" s="1"/>
  <c r="AJ779" i="431"/>
  <c r="V779" i="431"/>
  <c r="U779" i="431"/>
  <c r="S779" i="431"/>
  <c r="R779" i="431"/>
  <c r="Q779" i="431"/>
  <c r="B779" i="431"/>
  <c r="P779" i="431" s="1"/>
  <c r="AJ778" i="431"/>
  <c r="V778" i="431"/>
  <c r="U778" i="431"/>
  <c r="S778" i="431"/>
  <c r="R778" i="431"/>
  <c r="Q778" i="431"/>
  <c r="B778" i="431"/>
  <c r="P778" i="431" s="1"/>
  <c r="AJ777" i="431"/>
  <c r="V777" i="431"/>
  <c r="U777" i="431"/>
  <c r="S777" i="431"/>
  <c r="R777" i="431"/>
  <c r="Q777" i="431"/>
  <c r="B777" i="431"/>
  <c r="P777" i="431" s="1"/>
  <c r="AJ776" i="431"/>
  <c r="V776" i="431"/>
  <c r="U776" i="431"/>
  <c r="T776" i="431"/>
  <c r="S776" i="431"/>
  <c r="R776" i="431"/>
  <c r="Q776" i="431"/>
  <c r="B776" i="431"/>
  <c r="P776" i="431" s="1"/>
  <c r="AJ775" i="431"/>
  <c r="V775" i="431"/>
  <c r="U775" i="431"/>
  <c r="T775" i="431"/>
  <c r="S775" i="431"/>
  <c r="R775" i="431"/>
  <c r="Q775" i="431"/>
  <c r="B775" i="431"/>
  <c r="P775" i="431" s="1"/>
  <c r="AJ774" i="431"/>
  <c r="V774" i="431"/>
  <c r="U774" i="431"/>
  <c r="S774" i="431"/>
  <c r="R774" i="431"/>
  <c r="Q774" i="431"/>
  <c r="B774" i="431"/>
  <c r="P774" i="431" s="1"/>
  <c r="AJ773" i="431"/>
  <c r="V773" i="431"/>
  <c r="U773" i="431"/>
  <c r="S773" i="431"/>
  <c r="R773" i="431"/>
  <c r="Q773" i="431"/>
  <c r="B773" i="431"/>
  <c r="P773" i="431" s="1"/>
  <c r="AJ772" i="431"/>
  <c r="V772" i="431"/>
  <c r="U772" i="431"/>
  <c r="S772" i="431"/>
  <c r="R772" i="431"/>
  <c r="Q772" i="431"/>
  <c r="B772" i="431"/>
  <c r="P772" i="431" s="1"/>
  <c r="AJ771" i="431"/>
  <c r="V771" i="431"/>
  <c r="U771" i="431"/>
  <c r="S771" i="431"/>
  <c r="R771" i="431"/>
  <c r="Q771" i="431"/>
  <c r="B771" i="431"/>
  <c r="P771" i="431" s="1"/>
  <c r="AJ770" i="431"/>
  <c r="V770" i="431"/>
  <c r="U770" i="431"/>
  <c r="T770" i="431"/>
  <c r="S770" i="431"/>
  <c r="R770" i="431"/>
  <c r="Q770" i="431"/>
  <c r="B770" i="431"/>
  <c r="P770" i="431" s="1"/>
  <c r="AJ769" i="431"/>
  <c r="V769" i="431"/>
  <c r="U769" i="431"/>
  <c r="T769" i="431"/>
  <c r="S769" i="431"/>
  <c r="R769" i="431"/>
  <c r="Q769" i="431"/>
  <c r="B769" i="431"/>
  <c r="P769" i="431" s="1"/>
  <c r="AJ768" i="431"/>
  <c r="V768" i="431"/>
  <c r="U768" i="431"/>
  <c r="T768" i="431"/>
  <c r="S768" i="431"/>
  <c r="R768" i="431"/>
  <c r="Q768" i="431"/>
  <c r="B768" i="431"/>
  <c r="P768" i="431" s="1"/>
  <c r="AJ767" i="431"/>
  <c r="V767" i="431"/>
  <c r="U767" i="431"/>
  <c r="T767" i="431"/>
  <c r="S767" i="431"/>
  <c r="R767" i="431"/>
  <c r="Q767" i="431"/>
  <c r="B767" i="431"/>
  <c r="P767" i="431" s="1"/>
  <c r="AJ766" i="431"/>
  <c r="V766" i="431"/>
  <c r="U766" i="431"/>
  <c r="T766" i="431"/>
  <c r="S766" i="431"/>
  <c r="R766" i="431"/>
  <c r="Q766" i="431"/>
  <c r="B766" i="431"/>
  <c r="P766" i="431" s="1"/>
  <c r="AJ765" i="431"/>
  <c r="V765" i="431"/>
  <c r="U765" i="431"/>
  <c r="T765" i="431"/>
  <c r="S765" i="431"/>
  <c r="R765" i="431"/>
  <c r="Q765" i="431"/>
  <c r="B765" i="431"/>
  <c r="P765" i="431" s="1"/>
  <c r="AJ764" i="431"/>
  <c r="V764" i="431"/>
  <c r="U764" i="431"/>
  <c r="T764" i="431"/>
  <c r="S764" i="431"/>
  <c r="R764" i="431"/>
  <c r="Q764" i="431"/>
  <c r="B764" i="431"/>
  <c r="P764" i="431" s="1"/>
  <c r="AJ763" i="431"/>
  <c r="V763" i="431"/>
  <c r="U763" i="431"/>
  <c r="T763" i="431"/>
  <c r="S763" i="431"/>
  <c r="R763" i="431"/>
  <c r="Q763" i="431"/>
  <c r="P763" i="431"/>
  <c r="B763" i="431"/>
  <c r="AJ762" i="431"/>
  <c r="V762" i="431"/>
  <c r="U762" i="431"/>
  <c r="T762" i="431"/>
  <c r="S762" i="431"/>
  <c r="R762" i="431"/>
  <c r="Q762" i="431"/>
  <c r="B762" i="431"/>
  <c r="P762" i="431" s="1"/>
  <c r="AJ761" i="431"/>
  <c r="V761" i="431"/>
  <c r="U761" i="431"/>
  <c r="T761" i="431"/>
  <c r="S761" i="431"/>
  <c r="R761" i="431"/>
  <c r="Q761" i="431"/>
  <c r="B761" i="431"/>
  <c r="P761" i="431" s="1"/>
  <c r="AJ760" i="431"/>
  <c r="V760" i="431"/>
  <c r="U760" i="431"/>
  <c r="T760" i="431"/>
  <c r="S760" i="431"/>
  <c r="R760" i="431"/>
  <c r="Q760" i="431"/>
  <c r="B760" i="431"/>
  <c r="P760" i="431" s="1"/>
  <c r="AJ759" i="431"/>
  <c r="V759" i="431"/>
  <c r="U759" i="431"/>
  <c r="T759" i="431"/>
  <c r="S759" i="431"/>
  <c r="R759" i="431"/>
  <c r="Q759" i="431"/>
  <c r="B759" i="431"/>
  <c r="P759" i="431" s="1"/>
  <c r="AJ758" i="431"/>
  <c r="V758" i="431"/>
  <c r="U758" i="431"/>
  <c r="T758" i="431"/>
  <c r="S758" i="431"/>
  <c r="R758" i="431"/>
  <c r="Q758" i="431"/>
  <c r="B758" i="431"/>
  <c r="P758" i="431" s="1"/>
  <c r="AJ757" i="431"/>
  <c r="V757" i="431"/>
  <c r="U757" i="431"/>
  <c r="T757" i="431"/>
  <c r="S757" i="431"/>
  <c r="R757" i="431"/>
  <c r="Q757" i="431"/>
  <c r="B757" i="431"/>
  <c r="P757" i="431" s="1"/>
  <c r="AJ756" i="431"/>
  <c r="V756" i="431"/>
  <c r="U756" i="431"/>
  <c r="T756" i="431"/>
  <c r="S756" i="431"/>
  <c r="R756" i="431"/>
  <c r="Q756" i="431"/>
  <c r="B756" i="431"/>
  <c r="P756" i="431" s="1"/>
  <c r="AJ755" i="431"/>
  <c r="V755" i="431"/>
  <c r="U755" i="431"/>
  <c r="T755" i="431"/>
  <c r="S755" i="431"/>
  <c r="R755" i="431"/>
  <c r="Q755" i="431"/>
  <c r="B755" i="431"/>
  <c r="P755" i="431" s="1"/>
  <c r="AJ754" i="431"/>
  <c r="V754" i="431"/>
  <c r="U754" i="431"/>
  <c r="T754" i="431"/>
  <c r="S754" i="431"/>
  <c r="R754" i="431"/>
  <c r="Q754" i="431"/>
  <c r="B754" i="431"/>
  <c r="P754" i="431" s="1"/>
  <c r="AJ753" i="431"/>
  <c r="V753" i="431"/>
  <c r="U753" i="431"/>
  <c r="T753" i="431"/>
  <c r="S753" i="431"/>
  <c r="R753" i="431"/>
  <c r="Q753" i="431"/>
  <c r="B753" i="431"/>
  <c r="P753" i="431" s="1"/>
  <c r="AJ752" i="431"/>
  <c r="V752" i="431"/>
  <c r="U752" i="431"/>
  <c r="T752" i="431"/>
  <c r="S752" i="431"/>
  <c r="R752" i="431"/>
  <c r="Q752" i="431"/>
  <c r="B752" i="431"/>
  <c r="P752" i="431" s="1"/>
  <c r="AJ751" i="431"/>
  <c r="V751" i="431"/>
  <c r="U751" i="431"/>
  <c r="T751" i="431"/>
  <c r="S751" i="431"/>
  <c r="R751" i="431"/>
  <c r="Q751" i="431"/>
  <c r="B751" i="431"/>
  <c r="P751" i="431" s="1"/>
  <c r="AJ750" i="431"/>
  <c r="V750" i="431"/>
  <c r="U750" i="431"/>
  <c r="T750" i="431"/>
  <c r="S750" i="431"/>
  <c r="R750" i="431"/>
  <c r="Q750" i="431"/>
  <c r="B750" i="431"/>
  <c r="P750" i="431" s="1"/>
  <c r="AJ749" i="431"/>
  <c r="V749" i="431"/>
  <c r="U749" i="431"/>
  <c r="T749" i="431"/>
  <c r="S749" i="431"/>
  <c r="R749" i="431"/>
  <c r="Q749" i="431"/>
  <c r="B749" i="431"/>
  <c r="P749" i="431" s="1"/>
  <c r="AJ748" i="431"/>
  <c r="V748" i="431"/>
  <c r="U748" i="431"/>
  <c r="T748" i="431"/>
  <c r="S748" i="431"/>
  <c r="R748" i="431"/>
  <c r="Q748" i="431"/>
  <c r="B748" i="431"/>
  <c r="P748" i="431" s="1"/>
  <c r="AJ747" i="431"/>
  <c r="V747" i="431"/>
  <c r="U747" i="431"/>
  <c r="T747" i="431"/>
  <c r="S747" i="431"/>
  <c r="R747" i="431"/>
  <c r="Q747" i="431"/>
  <c r="B747" i="431"/>
  <c r="P747" i="431" s="1"/>
  <c r="AJ746" i="431"/>
  <c r="V746" i="431"/>
  <c r="U746" i="431"/>
  <c r="T746" i="431"/>
  <c r="S746" i="431"/>
  <c r="R746" i="431"/>
  <c r="Q746" i="431"/>
  <c r="P746" i="431"/>
  <c r="B746" i="431"/>
  <c r="AJ745" i="431"/>
  <c r="V745" i="431"/>
  <c r="U745" i="431"/>
  <c r="T745" i="431"/>
  <c r="S745" i="431"/>
  <c r="R745" i="431"/>
  <c r="Q745" i="431"/>
  <c r="B745" i="431"/>
  <c r="P745" i="431" s="1"/>
  <c r="AJ744" i="431"/>
  <c r="V744" i="431"/>
  <c r="U744" i="431"/>
  <c r="T744" i="431"/>
  <c r="S744" i="431"/>
  <c r="R744" i="431"/>
  <c r="Q744" i="431"/>
  <c r="P744" i="431"/>
  <c r="B744" i="431"/>
  <c r="AJ743" i="431"/>
  <c r="V743" i="431"/>
  <c r="U743" i="431"/>
  <c r="T743" i="431"/>
  <c r="S743" i="431"/>
  <c r="R743" i="431"/>
  <c r="Q743" i="431"/>
  <c r="P743" i="431"/>
  <c r="B743" i="431"/>
  <c r="AJ742" i="431"/>
  <c r="V742" i="431"/>
  <c r="U742" i="431"/>
  <c r="T742" i="431"/>
  <c r="S742" i="431"/>
  <c r="R742" i="431"/>
  <c r="Q742" i="431"/>
  <c r="B742" i="431"/>
  <c r="P742" i="431" s="1"/>
  <c r="AJ741" i="431"/>
  <c r="V741" i="431"/>
  <c r="U741" i="431"/>
  <c r="T741" i="431"/>
  <c r="S741" i="431"/>
  <c r="R741" i="431"/>
  <c r="Q741" i="431"/>
  <c r="B741" i="431"/>
  <c r="P741" i="431" s="1"/>
  <c r="AJ740" i="431"/>
  <c r="V740" i="431"/>
  <c r="U740" i="431"/>
  <c r="T740" i="431"/>
  <c r="S740" i="431"/>
  <c r="R740" i="431"/>
  <c r="Q740" i="431"/>
  <c r="B740" i="431"/>
  <c r="P740" i="431" s="1"/>
  <c r="AJ739" i="431"/>
  <c r="V739" i="431"/>
  <c r="U739" i="431"/>
  <c r="T739" i="431"/>
  <c r="S739" i="431"/>
  <c r="R739" i="431"/>
  <c r="Q739" i="431"/>
  <c r="B739" i="431"/>
  <c r="P739" i="431" s="1"/>
  <c r="AJ738" i="431"/>
  <c r="V738" i="431"/>
  <c r="U738" i="431"/>
  <c r="T738" i="431"/>
  <c r="S738" i="431"/>
  <c r="R738" i="431"/>
  <c r="Q738" i="431"/>
  <c r="B738" i="431"/>
  <c r="P738" i="431" s="1"/>
  <c r="AJ737" i="431"/>
  <c r="V737" i="431"/>
  <c r="U737" i="431"/>
  <c r="T737" i="431"/>
  <c r="S737" i="431"/>
  <c r="R737" i="431"/>
  <c r="Q737" i="431"/>
  <c r="B737" i="431"/>
  <c r="P737" i="431" s="1"/>
  <c r="AJ736" i="431"/>
  <c r="V736" i="431"/>
  <c r="U736" i="431"/>
  <c r="T736" i="431"/>
  <c r="S736" i="431"/>
  <c r="R736" i="431"/>
  <c r="Q736" i="431"/>
  <c r="B736" i="431"/>
  <c r="P736" i="431" s="1"/>
  <c r="AJ735" i="431"/>
  <c r="V735" i="431"/>
  <c r="U735" i="431"/>
  <c r="T735" i="431"/>
  <c r="S735" i="431"/>
  <c r="R735" i="431"/>
  <c r="Q735" i="431"/>
  <c r="B735" i="431"/>
  <c r="P735" i="431" s="1"/>
  <c r="AJ734" i="431"/>
  <c r="V734" i="431"/>
  <c r="U734" i="431"/>
  <c r="S734" i="431"/>
  <c r="R734" i="431"/>
  <c r="Q734" i="431"/>
  <c r="B734" i="431"/>
  <c r="P734" i="431" s="1"/>
  <c r="AJ733" i="431"/>
  <c r="V733" i="431"/>
  <c r="U733" i="431"/>
  <c r="T733" i="431"/>
  <c r="S733" i="431"/>
  <c r="R733" i="431"/>
  <c r="Q733" i="431"/>
  <c r="B733" i="431"/>
  <c r="P733" i="431" s="1"/>
  <c r="AJ732" i="431"/>
  <c r="V732" i="431"/>
  <c r="U732" i="431"/>
  <c r="S732" i="431"/>
  <c r="R732" i="431"/>
  <c r="Q732" i="431"/>
  <c r="B732" i="431"/>
  <c r="P732" i="431" s="1"/>
  <c r="AJ731" i="431"/>
  <c r="V731" i="431"/>
  <c r="U731" i="431"/>
  <c r="S731" i="431"/>
  <c r="R731" i="431"/>
  <c r="Q731" i="431"/>
  <c r="B731" i="431"/>
  <c r="P731" i="431" s="1"/>
  <c r="AJ730" i="431"/>
  <c r="V730" i="431"/>
  <c r="U730" i="431"/>
  <c r="S730" i="431"/>
  <c r="R730" i="431"/>
  <c r="Q730" i="431"/>
  <c r="B730" i="431"/>
  <c r="P730" i="431" s="1"/>
  <c r="AJ729" i="431"/>
  <c r="V729" i="431"/>
  <c r="U729" i="431"/>
  <c r="S729" i="431"/>
  <c r="R729" i="431"/>
  <c r="Q729" i="431"/>
  <c r="B729" i="431"/>
  <c r="P729" i="431" s="1"/>
  <c r="AJ728" i="431"/>
  <c r="V728" i="431"/>
  <c r="U728" i="431"/>
  <c r="T728" i="431"/>
  <c r="S728" i="431"/>
  <c r="R728" i="431"/>
  <c r="Q728" i="431"/>
  <c r="B728" i="431"/>
  <c r="P728" i="431" s="1"/>
  <c r="AJ727" i="431"/>
  <c r="V727" i="431"/>
  <c r="U727" i="431"/>
  <c r="T727" i="431"/>
  <c r="S727" i="431"/>
  <c r="R727" i="431"/>
  <c r="Q727" i="431"/>
  <c r="B727" i="431"/>
  <c r="P727" i="431" s="1"/>
  <c r="AJ726" i="431"/>
  <c r="V726" i="431"/>
  <c r="U726" i="431"/>
  <c r="S726" i="431"/>
  <c r="R726" i="431"/>
  <c r="Q726" i="431"/>
  <c r="B726" i="431"/>
  <c r="P726" i="431" s="1"/>
  <c r="AJ725" i="431"/>
  <c r="V725" i="431"/>
  <c r="U725" i="431"/>
  <c r="S725" i="431"/>
  <c r="R725" i="431"/>
  <c r="Q725" i="431"/>
  <c r="B725" i="431"/>
  <c r="P725" i="431" s="1"/>
  <c r="AJ724" i="431"/>
  <c r="V724" i="431"/>
  <c r="U724" i="431"/>
  <c r="S724" i="431"/>
  <c r="R724" i="431"/>
  <c r="Q724" i="431"/>
  <c r="B724" i="431"/>
  <c r="P724" i="431" s="1"/>
  <c r="AJ723" i="431"/>
  <c r="V723" i="431"/>
  <c r="U723" i="431"/>
  <c r="S723" i="431"/>
  <c r="R723" i="431"/>
  <c r="Q723" i="431"/>
  <c r="B723" i="431"/>
  <c r="P723" i="431" s="1"/>
  <c r="AJ722" i="431"/>
  <c r="V722" i="431"/>
  <c r="U722" i="431"/>
  <c r="T722" i="431"/>
  <c r="S722" i="431"/>
  <c r="R722" i="431"/>
  <c r="Q722" i="431"/>
  <c r="B722" i="431"/>
  <c r="P722" i="431" s="1"/>
  <c r="AJ721" i="431"/>
  <c r="V721" i="431"/>
  <c r="U721" i="431"/>
  <c r="T721" i="431"/>
  <c r="S721" i="431"/>
  <c r="R721" i="431"/>
  <c r="Q721" i="431"/>
  <c r="B721" i="431"/>
  <c r="P721" i="431" s="1"/>
  <c r="AJ720" i="431"/>
  <c r="V720" i="431"/>
  <c r="U720" i="431"/>
  <c r="T720" i="431"/>
  <c r="S720" i="431"/>
  <c r="R720" i="431"/>
  <c r="Q720" i="431"/>
  <c r="P720" i="431"/>
  <c r="B720" i="431"/>
  <c r="AJ719" i="431"/>
  <c r="V719" i="431"/>
  <c r="U719" i="431"/>
  <c r="T719" i="431"/>
  <c r="S719" i="431"/>
  <c r="R719" i="431"/>
  <c r="Q719" i="431"/>
  <c r="B719" i="431"/>
  <c r="P719" i="431" s="1"/>
  <c r="AJ718" i="431"/>
  <c r="V718" i="431"/>
  <c r="U718" i="431"/>
  <c r="T718" i="431"/>
  <c r="S718" i="431"/>
  <c r="R718" i="431"/>
  <c r="Q718" i="431"/>
  <c r="B718" i="431"/>
  <c r="P718" i="431" s="1"/>
  <c r="AJ717" i="431"/>
  <c r="V717" i="431"/>
  <c r="U717" i="431"/>
  <c r="T717" i="431"/>
  <c r="S717" i="431"/>
  <c r="R717" i="431"/>
  <c r="Q717" i="431"/>
  <c r="B717" i="431"/>
  <c r="P717" i="431" s="1"/>
  <c r="AJ716" i="431"/>
  <c r="V716" i="431"/>
  <c r="U716" i="431"/>
  <c r="T716" i="431"/>
  <c r="S716" i="431"/>
  <c r="R716" i="431"/>
  <c r="Q716" i="431"/>
  <c r="P716" i="431"/>
  <c r="B716" i="431"/>
  <c r="AJ715" i="431"/>
  <c r="V715" i="431"/>
  <c r="U715" i="431"/>
  <c r="T715" i="431"/>
  <c r="S715" i="431"/>
  <c r="R715" i="431"/>
  <c r="Q715" i="431"/>
  <c r="B715" i="431"/>
  <c r="P715" i="431" s="1"/>
  <c r="AJ714" i="431"/>
  <c r="V714" i="431"/>
  <c r="U714" i="431"/>
  <c r="T714" i="431"/>
  <c r="S714" i="431"/>
  <c r="R714" i="431"/>
  <c r="Q714" i="431"/>
  <c r="B714" i="431"/>
  <c r="P714" i="431" s="1"/>
  <c r="AJ713" i="431"/>
  <c r="V713" i="431"/>
  <c r="U713" i="431"/>
  <c r="T713" i="431"/>
  <c r="S713" i="431"/>
  <c r="R713" i="431"/>
  <c r="Q713" i="431"/>
  <c r="B713" i="431"/>
  <c r="P713" i="431" s="1"/>
  <c r="AJ712" i="431"/>
  <c r="V712" i="431"/>
  <c r="U712" i="431"/>
  <c r="T712" i="431"/>
  <c r="S712" i="431"/>
  <c r="R712" i="431"/>
  <c r="Q712" i="431"/>
  <c r="B712" i="431"/>
  <c r="P712" i="431" s="1"/>
  <c r="AJ711" i="431"/>
  <c r="V711" i="431"/>
  <c r="U711" i="431"/>
  <c r="T711" i="431"/>
  <c r="S711" i="431"/>
  <c r="R711" i="431"/>
  <c r="Q711" i="431"/>
  <c r="B711" i="431"/>
  <c r="P711" i="431" s="1"/>
  <c r="AJ710" i="431"/>
  <c r="V710" i="431"/>
  <c r="U710" i="431"/>
  <c r="T710" i="431"/>
  <c r="S710" i="431"/>
  <c r="R710" i="431"/>
  <c r="Q710" i="431"/>
  <c r="P710" i="431"/>
  <c r="B710" i="431"/>
  <c r="AJ709" i="431"/>
  <c r="V709" i="431"/>
  <c r="U709" i="431"/>
  <c r="T709" i="431"/>
  <c r="S709" i="431"/>
  <c r="R709" i="431"/>
  <c r="Q709" i="431"/>
  <c r="B709" i="431"/>
  <c r="P709" i="431" s="1"/>
  <c r="AJ708" i="431"/>
  <c r="V708" i="431"/>
  <c r="U708" i="431"/>
  <c r="T708" i="431"/>
  <c r="S708" i="431"/>
  <c r="R708" i="431"/>
  <c r="Q708" i="431"/>
  <c r="B708" i="431"/>
  <c r="P708" i="431" s="1"/>
  <c r="AJ707" i="431"/>
  <c r="V707" i="431"/>
  <c r="U707" i="431"/>
  <c r="T707" i="431"/>
  <c r="S707" i="431"/>
  <c r="R707" i="431"/>
  <c r="Q707" i="431"/>
  <c r="B707" i="431"/>
  <c r="P707" i="431" s="1"/>
  <c r="AJ706" i="431"/>
  <c r="V706" i="431"/>
  <c r="U706" i="431"/>
  <c r="T706" i="431"/>
  <c r="S706" i="431"/>
  <c r="R706" i="431"/>
  <c r="Q706" i="431"/>
  <c r="B706" i="431"/>
  <c r="P706" i="431" s="1"/>
  <c r="AJ705" i="431"/>
  <c r="V705" i="431"/>
  <c r="U705" i="431"/>
  <c r="T705" i="431"/>
  <c r="S705" i="431"/>
  <c r="R705" i="431"/>
  <c r="Q705" i="431"/>
  <c r="B705" i="431"/>
  <c r="P705" i="431" s="1"/>
  <c r="AJ704" i="431"/>
  <c r="V704" i="431"/>
  <c r="U704" i="431"/>
  <c r="T704" i="431"/>
  <c r="S704" i="431"/>
  <c r="R704" i="431"/>
  <c r="Q704" i="431"/>
  <c r="B704" i="431"/>
  <c r="P704" i="431" s="1"/>
  <c r="AJ703" i="431"/>
  <c r="V703" i="431"/>
  <c r="U703" i="431"/>
  <c r="T703" i="431"/>
  <c r="S703" i="431"/>
  <c r="R703" i="431"/>
  <c r="Q703" i="431"/>
  <c r="B703" i="431"/>
  <c r="P703" i="431" s="1"/>
  <c r="AJ702" i="431"/>
  <c r="V702" i="431"/>
  <c r="U702" i="431"/>
  <c r="T702" i="431"/>
  <c r="S702" i="431"/>
  <c r="R702" i="431"/>
  <c r="Q702" i="431"/>
  <c r="B702" i="431"/>
  <c r="P702" i="431" s="1"/>
  <c r="AJ701" i="431"/>
  <c r="V701" i="431"/>
  <c r="U701" i="431"/>
  <c r="T701" i="431"/>
  <c r="S701" i="431"/>
  <c r="R701" i="431"/>
  <c r="Q701" i="431"/>
  <c r="B701" i="431"/>
  <c r="P701" i="431" s="1"/>
  <c r="AJ700" i="431"/>
  <c r="V700" i="431"/>
  <c r="U700" i="431"/>
  <c r="T700" i="431"/>
  <c r="S700" i="431"/>
  <c r="R700" i="431"/>
  <c r="Q700" i="431"/>
  <c r="B700" i="431"/>
  <c r="P700" i="431" s="1"/>
  <c r="AJ699" i="431"/>
  <c r="V699" i="431"/>
  <c r="U699" i="431"/>
  <c r="T699" i="431"/>
  <c r="S699" i="431"/>
  <c r="R699" i="431"/>
  <c r="Q699" i="431"/>
  <c r="B699" i="431"/>
  <c r="P699" i="431" s="1"/>
  <c r="AJ698" i="431"/>
  <c r="V698" i="431"/>
  <c r="U698" i="431"/>
  <c r="T698" i="431"/>
  <c r="S698" i="431"/>
  <c r="R698" i="431"/>
  <c r="Q698" i="431"/>
  <c r="B698" i="431"/>
  <c r="P698" i="431" s="1"/>
  <c r="AJ697" i="431"/>
  <c r="V697" i="431"/>
  <c r="U697" i="431"/>
  <c r="T697" i="431"/>
  <c r="S697" i="431"/>
  <c r="R697" i="431"/>
  <c r="Q697" i="431"/>
  <c r="P697" i="431"/>
  <c r="B697" i="431"/>
  <c r="AJ696" i="431"/>
  <c r="V696" i="431"/>
  <c r="U696" i="431"/>
  <c r="T696" i="431"/>
  <c r="S696" i="431"/>
  <c r="R696" i="431"/>
  <c r="Q696" i="431"/>
  <c r="B696" i="431"/>
  <c r="P696" i="431" s="1"/>
  <c r="AJ695" i="431"/>
  <c r="V695" i="431"/>
  <c r="U695" i="431"/>
  <c r="T695" i="431"/>
  <c r="S695" i="431"/>
  <c r="R695" i="431"/>
  <c r="Q695" i="431"/>
  <c r="P695" i="431"/>
  <c r="B695" i="431"/>
  <c r="AJ694" i="431"/>
  <c r="V694" i="431"/>
  <c r="U694" i="431"/>
  <c r="T694" i="431"/>
  <c r="S694" i="431"/>
  <c r="R694" i="431"/>
  <c r="Q694" i="431"/>
  <c r="B694" i="431"/>
  <c r="P694" i="431" s="1"/>
  <c r="AJ693" i="431"/>
  <c r="V693" i="431"/>
  <c r="U693" i="431"/>
  <c r="T693" i="431"/>
  <c r="S693" i="431"/>
  <c r="R693" i="431"/>
  <c r="Q693" i="431"/>
  <c r="B693" i="431"/>
  <c r="P693" i="431" s="1"/>
  <c r="AJ692" i="431"/>
  <c r="V692" i="431"/>
  <c r="U692" i="431"/>
  <c r="T692" i="431"/>
  <c r="S692" i="431"/>
  <c r="R692" i="431"/>
  <c r="Q692" i="431"/>
  <c r="B692" i="431"/>
  <c r="P692" i="431" s="1"/>
  <c r="AJ691" i="431"/>
  <c r="V691" i="431"/>
  <c r="U691" i="431"/>
  <c r="T691" i="431"/>
  <c r="S691" i="431"/>
  <c r="R691" i="431"/>
  <c r="Q691" i="431"/>
  <c r="P691" i="431"/>
  <c r="B691" i="431"/>
  <c r="AJ690" i="431"/>
  <c r="V690" i="431"/>
  <c r="U690" i="431"/>
  <c r="T690" i="431"/>
  <c r="S690" i="431"/>
  <c r="R690" i="431"/>
  <c r="Q690" i="431"/>
  <c r="B690" i="431"/>
  <c r="P690" i="431" s="1"/>
  <c r="AJ689" i="431"/>
  <c r="V689" i="431"/>
  <c r="U689" i="431"/>
  <c r="T689" i="431"/>
  <c r="S689" i="431"/>
  <c r="R689" i="431"/>
  <c r="Q689" i="431"/>
  <c r="B689" i="431"/>
  <c r="P689" i="431" s="1"/>
  <c r="AJ688" i="431"/>
  <c r="V688" i="431"/>
  <c r="U688" i="431"/>
  <c r="T688" i="431"/>
  <c r="S688" i="431"/>
  <c r="R688" i="431"/>
  <c r="Q688" i="431"/>
  <c r="B688" i="431"/>
  <c r="P688" i="431" s="1"/>
  <c r="AJ687" i="431"/>
  <c r="V687" i="431"/>
  <c r="U687" i="431"/>
  <c r="T687" i="431"/>
  <c r="S687" i="431"/>
  <c r="R687" i="431"/>
  <c r="Q687" i="431"/>
  <c r="B687" i="431"/>
  <c r="P687" i="431" s="1"/>
  <c r="AJ686" i="431"/>
  <c r="V686" i="431"/>
  <c r="U686" i="431"/>
  <c r="S686" i="431"/>
  <c r="R686" i="431"/>
  <c r="Q686" i="431"/>
  <c r="B686" i="431"/>
  <c r="P686" i="431" s="1"/>
  <c r="AJ685" i="431"/>
  <c r="V685" i="431"/>
  <c r="U685" i="431"/>
  <c r="T685" i="431"/>
  <c r="S685" i="431"/>
  <c r="R685" i="431"/>
  <c r="Q685" i="431"/>
  <c r="B685" i="431"/>
  <c r="P685" i="431" s="1"/>
  <c r="AJ684" i="431"/>
  <c r="V684" i="431"/>
  <c r="U684" i="431"/>
  <c r="S684" i="431"/>
  <c r="R684" i="431"/>
  <c r="Q684" i="431"/>
  <c r="B684" i="431"/>
  <c r="P684" i="431" s="1"/>
  <c r="AJ683" i="431"/>
  <c r="V683" i="431"/>
  <c r="U683" i="431"/>
  <c r="S683" i="431"/>
  <c r="R683" i="431"/>
  <c r="Q683" i="431"/>
  <c r="B683" i="431"/>
  <c r="P683" i="431" s="1"/>
  <c r="AJ682" i="431"/>
  <c r="V682" i="431"/>
  <c r="U682" i="431"/>
  <c r="S682" i="431"/>
  <c r="R682" i="431"/>
  <c r="Q682" i="431"/>
  <c r="P682" i="431"/>
  <c r="B682" i="431"/>
  <c r="AJ681" i="431"/>
  <c r="V681" i="431"/>
  <c r="U681" i="431"/>
  <c r="S681" i="431"/>
  <c r="R681" i="431"/>
  <c r="Q681" i="431"/>
  <c r="B681" i="431"/>
  <c r="P681" i="431" s="1"/>
  <c r="AJ680" i="431"/>
  <c r="V680" i="431"/>
  <c r="U680" i="431"/>
  <c r="T680" i="431"/>
  <c r="S680" i="431"/>
  <c r="R680" i="431"/>
  <c r="Q680" i="431"/>
  <c r="B680" i="431"/>
  <c r="P680" i="431" s="1"/>
  <c r="AJ679" i="431"/>
  <c r="V679" i="431"/>
  <c r="U679" i="431"/>
  <c r="T679" i="431"/>
  <c r="S679" i="431"/>
  <c r="R679" i="431"/>
  <c r="Q679" i="431"/>
  <c r="B679" i="431"/>
  <c r="P679" i="431" s="1"/>
  <c r="AJ678" i="431"/>
  <c r="V678" i="431"/>
  <c r="U678" i="431"/>
  <c r="S678" i="431"/>
  <c r="R678" i="431"/>
  <c r="Q678" i="431"/>
  <c r="B678" i="431"/>
  <c r="P678" i="431" s="1"/>
  <c r="AJ677" i="431"/>
  <c r="V677" i="431"/>
  <c r="U677" i="431"/>
  <c r="S677" i="431"/>
  <c r="R677" i="431"/>
  <c r="Q677" i="431"/>
  <c r="B677" i="431"/>
  <c r="P677" i="431" s="1"/>
  <c r="AJ676" i="431"/>
  <c r="V676" i="431"/>
  <c r="U676" i="431"/>
  <c r="S676" i="431"/>
  <c r="R676" i="431"/>
  <c r="Q676" i="431"/>
  <c r="B676" i="431"/>
  <c r="P676" i="431" s="1"/>
  <c r="AJ675" i="431"/>
  <c r="V675" i="431"/>
  <c r="U675" i="431"/>
  <c r="S675" i="431"/>
  <c r="R675" i="431"/>
  <c r="Q675" i="431"/>
  <c r="B675" i="431"/>
  <c r="P675" i="431" s="1"/>
  <c r="AJ674" i="431"/>
  <c r="V674" i="431"/>
  <c r="U674" i="431"/>
  <c r="T674" i="431"/>
  <c r="S674" i="431"/>
  <c r="R674" i="431"/>
  <c r="Q674" i="431"/>
  <c r="B674" i="431"/>
  <c r="P674" i="431" s="1"/>
  <c r="AJ673" i="431"/>
  <c r="V673" i="431"/>
  <c r="U673" i="431"/>
  <c r="T673" i="431"/>
  <c r="S673" i="431"/>
  <c r="R673" i="431"/>
  <c r="Q673" i="431"/>
  <c r="B673" i="431"/>
  <c r="P673" i="431" s="1"/>
  <c r="AJ672" i="431"/>
  <c r="V672" i="431"/>
  <c r="U672" i="431"/>
  <c r="T672" i="431"/>
  <c r="S672" i="431"/>
  <c r="R672" i="431"/>
  <c r="Q672" i="431"/>
  <c r="B672" i="431"/>
  <c r="P672" i="431" s="1"/>
  <c r="AJ671" i="431"/>
  <c r="V671" i="431"/>
  <c r="U671" i="431"/>
  <c r="T671" i="431"/>
  <c r="S671" i="431"/>
  <c r="R671" i="431"/>
  <c r="Q671" i="431"/>
  <c r="B671" i="431"/>
  <c r="P671" i="431" s="1"/>
  <c r="AJ670" i="431"/>
  <c r="V670" i="431"/>
  <c r="U670" i="431"/>
  <c r="T670" i="431"/>
  <c r="S670" i="431"/>
  <c r="R670" i="431"/>
  <c r="Q670" i="431"/>
  <c r="B670" i="431"/>
  <c r="P670" i="431" s="1"/>
  <c r="AJ669" i="431"/>
  <c r="V669" i="431"/>
  <c r="U669" i="431"/>
  <c r="T669" i="431"/>
  <c r="S669" i="431"/>
  <c r="R669" i="431"/>
  <c r="Q669" i="431"/>
  <c r="B669" i="431"/>
  <c r="P669" i="431" s="1"/>
  <c r="AJ668" i="431"/>
  <c r="V668" i="431"/>
  <c r="U668" i="431"/>
  <c r="T668" i="431"/>
  <c r="S668" i="431"/>
  <c r="R668" i="431"/>
  <c r="Q668" i="431"/>
  <c r="B668" i="431"/>
  <c r="P668" i="431" s="1"/>
  <c r="AJ667" i="431"/>
  <c r="V667" i="431"/>
  <c r="U667" i="431"/>
  <c r="T667" i="431"/>
  <c r="S667" i="431"/>
  <c r="R667" i="431"/>
  <c r="Q667" i="431"/>
  <c r="B667" i="431"/>
  <c r="P667" i="431" s="1"/>
  <c r="AJ666" i="431"/>
  <c r="V666" i="431"/>
  <c r="U666" i="431"/>
  <c r="T666" i="431"/>
  <c r="S666" i="431"/>
  <c r="R666" i="431"/>
  <c r="Q666" i="431"/>
  <c r="B666" i="431"/>
  <c r="P666" i="431" s="1"/>
  <c r="AJ665" i="431"/>
  <c r="V665" i="431"/>
  <c r="U665" i="431"/>
  <c r="T665" i="431"/>
  <c r="S665" i="431"/>
  <c r="R665" i="431"/>
  <c r="Q665" i="431"/>
  <c r="B665" i="431"/>
  <c r="P665" i="431" s="1"/>
  <c r="AJ664" i="431"/>
  <c r="V664" i="431"/>
  <c r="U664" i="431"/>
  <c r="T664" i="431"/>
  <c r="S664" i="431"/>
  <c r="R664" i="431"/>
  <c r="Q664" i="431"/>
  <c r="B664" i="431"/>
  <c r="P664" i="431" s="1"/>
  <c r="AJ663" i="431"/>
  <c r="V663" i="431"/>
  <c r="U663" i="431"/>
  <c r="T663" i="431"/>
  <c r="S663" i="431"/>
  <c r="R663" i="431"/>
  <c r="Q663" i="431"/>
  <c r="B663" i="431"/>
  <c r="P663" i="431" s="1"/>
  <c r="AJ662" i="431"/>
  <c r="V662" i="431"/>
  <c r="U662" i="431"/>
  <c r="T662" i="431"/>
  <c r="S662" i="431"/>
  <c r="R662" i="431"/>
  <c r="Q662" i="431"/>
  <c r="B662" i="431"/>
  <c r="P662" i="431" s="1"/>
  <c r="AJ661" i="431"/>
  <c r="V661" i="431"/>
  <c r="U661" i="431"/>
  <c r="T661" i="431"/>
  <c r="S661" i="431"/>
  <c r="R661" i="431"/>
  <c r="Q661" i="431"/>
  <c r="B661" i="431"/>
  <c r="P661" i="431" s="1"/>
  <c r="AJ660" i="431"/>
  <c r="V660" i="431"/>
  <c r="U660" i="431"/>
  <c r="T660" i="431"/>
  <c r="S660" i="431"/>
  <c r="R660" i="431"/>
  <c r="Q660" i="431"/>
  <c r="B660" i="431"/>
  <c r="P660" i="431" s="1"/>
  <c r="AJ659" i="431"/>
  <c r="V659" i="431"/>
  <c r="U659" i="431"/>
  <c r="T659" i="431"/>
  <c r="S659" i="431"/>
  <c r="R659" i="431"/>
  <c r="Q659" i="431"/>
  <c r="B659" i="431"/>
  <c r="P659" i="431" s="1"/>
  <c r="AJ658" i="431"/>
  <c r="V658" i="431"/>
  <c r="U658" i="431"/>
  <c r="T658" i="431"/>
  <c r="S658" i="431"/>
  <c r="R658" i="431"/>
  <c r="Q658" i="431"/>
  <c r="B658" i="431"/>
  <c r="P658" i="431" s="1"/>
  <c r="AJ657" i="431"/>
  <c r="V657" i="431"/>
  <c r="U657" i="431"/>
  <c r="T657" i="431"/>
  <c r="S657" i="431"/>
  <c r="R657" i="431"/>
  <c r="Q657" i="431"/>
  <c r="B657" i="431"/>
  <c r="P657" i="431" s="1"/>
  <c r="AJ656" i="431"/>
  <c r="V656" i="431"/>
  <c r="U656" i="431"/>
  <c r="T656" i="431"/>
  <c r="S656" i="431"/>
  <c r="R656" i="431"/>
  <c r="Q656" i="431"/>
  <c r="B656" i="431"/>
  <c r="P656" i="431" s="1"/>
  <c r="AJ655" i="431"/>
  <c r="V655" i="431"/>
  <c r="U655" i="431"/>
  <c r="T655" i="431"/>
  <c r="S655" i="431"/>
  <c r="R655" i="431"/>
  <c r="Q655" i="431"/>
  <c r="B655" i="431"/>
  <c r="P655" i="431" s="1"/>
  <c r="AJ654" i="431"/>
  <c r="V654" i="431"/>
  <c r="U654" i="431"/>
  <c r="T654" i="431"/>
  <c r="S654" i="431"/>
  <c r="R654" i="431"/>
  <c r="Q654" i="431"/>
  <c r="B654" i="431"/>
  <c r="P654" i="431" s="1"/>
  <c r="AJ653" i="431"/>
  <c r="V653" i="431"/>
  <c r="U653" i="431"/>
  <c r="T653" i="431"/>
  <c r="S653" i="431"/>
  <c r="R653" i="431"/>
  <c r="Q653" i="431"/>
  <c r="B653" i="431"/>
  <c r="P653" i="431" s="1"/>
  <c r="AJ652" i="431"/>
  <c r="V652" i="431"/>
  <c r="U652" i="431"/>
  <c r="T652" i="431"/>
  <c r="S652" i="431"/>
  <c r="R652" i="431"/>
  <c r="Q652" i="431"/>
  <c r="B652" i="431"/>
  <c r="P652" i="431" s="1"/>
  <c r="AJ651" i="431"/>
  <c r="V651" i="431"/>
  <c r="U651" i="431"/>
  <c r="T651" i="431"/>
  <c r="S651" i="431"/>
  <c r="R651" i="431"/>
  <c r="Q651" i="431"/>
  <c r="B651" i="431"/>
  <c r="P651" i="431" s="1"/>
  <c r="AJ650" i="431"/>
  <c r="V650" i="431"/>
  <c r="U650" i="431"/>
  <c r="T650" i="431"/>
  <c r="S650" i="431"/>
  <c r="R650" i="431"/>
  <c r="Q650" i="431"/>
  <c r="B650" i="431"/>
  <c r="P650" i="431" s="1"/>
  <c r="AJ649" i="431"/>
  <c r="V649" i="431"/>
  <c r="U649" i="431"/>
  <c r="T649" i="431"/>
  <c r="S649" i="431"/>
  <c r="R649" i="431"/>
  <c r="Q649" i="431"/>
  <c r="P649" i="431"/>
  <c r="B649" i="431"/>
  <c r="AJ648" i="431"/>
  <c r="V648" i="431"/>
  <c r="U648" i="431"/>
  <c r="T648" i="431"/>
  <c r="S648" i="431"/>
  <c r="R648" i="431"/>
  <c r="Q648" i="431"/>
  <c r="B648" i="431"/>
  <c r="P648" i="431" s="1"/>
  <c r="AJ647" i="431"/>
  <c r="V647" i="431"/>
  <c r="U647" i="431"/>
  <c r="T647" i="431"/>
  <c r="S647" i="431"/>
  <c r="R647" i="431"/>
  <c r="Q647" i="431"/>
  <c r="B647" i="431"/>
  <c r="P647" i="431" s="1"/>
  <c r="AJ646" i="431"/>
  <c r="V646" i="431"/>
  <c r="U646" i="431"/>
  <c r="T646" i="431"/>
  <c r="S646" i="431"/>
  <c r="R646" i="431"/>
  <c r="Q646" i="431"/>
  <c r="B646" i="431"/>
  <c r="P646" i="431" s="1"/>
  <c r="AJ645" i="431"/>
  <c r="V645" i="431"/>
  <c r="U645" i="431"/>
  <c r="T645" i="431"/>
  <c r="S645" i="431"/>
  <c r="R645" i="431"/>
  <c r="Q645" i="431"/>
  <c r="B645" i="431"/>
  <c r="P645" i="431" s="1"/>
  <c r="AJ644" i="431"/>
  <c r="V644" i="431"/>
  <c r="U644" i="431"/>
  <c r="T644" i="431"/>
  <c r="S644" i="431"/>
  <c r="R644" i="431"/>
  <c r="Q644" i="431"/>
  <c r="B644" i="431"/>
  <c r="P644" i="431" s="1"/>
  <c r="AJ643" i="431"/>
  <c r="V643" i="431"/>
  <c r="U643" i="431"/>
  <c r="T643" i="431"/>
  <c r="S643" i="431"/>
  <c r="R643" i="431"/>
  <c r="Q643" i="431"/>
  <c r="B643" i="431"/>
  <c r="P643" i="431" s="1"/>
  <c r="AJ642" i="431"/>
  <c r="V642" i="431"/>
  <c r="U642" i="431"/>
  <c r="T642" i="431"/>
  <c r="S642" i="431"/>
  <c r="R642" i="431"/>
  <c r="Q642" i="431"/>
  <c r="B642" i="431"/>
  <c r="P642" i="431" s="1"/>
  <c r="AJ641" i="431"/>
  <c r="V641" i="431"/>
  <c r="U641" i="431"/>
  <c r="T641" i="431"/>
  <c r="S641" i="431"/>
  <c r="R641" i="431"/>
  <c r="Q641" i="431"/>
  <c r="B641" i="431"/>
  <c r="P641" i="431" s="1"/>
  <c r="AJ640" i="431"/>
  <c r="V640" i="431"/>
  <c r="U640" i="431"/>
  <c r="T640" i="431"/>
  <c r="S640" i="431"/>
  <c r="R640" i="431"/>
  <c r="Q640" i="431"/>
  <c r="B640" i="431"/>
  <c r="P640" i="431" s="1"/>
  <c r="AJ639" i="431"/>
  <c r="V639" i="431"/>
  <c r="U639" i="431"/>
  <c r="T639" i="431"/>
  <c r="S639" i="431"/>
  <c r="R639" i="431"/>
  <c r="Q639" i="431"/>
  <c r="B639" i="431"/>
  <c r="P639" i="431" s="1"/>
  <c r="AJ638" i="431"/>
  <c r="V638" i="431"/>
  <c r="U638" i="431"/>
  <c r="S638" i="431"/>
  <c r="R638" i="431"/>
  <c r="Q638" i="431"/>
  <c r="B638" i="431"/>
  <c r="P638" i="431" s="1"/>
  <c r="AJ637" i="431"/>
  <c r="V637" i="431"/>
  <c r="U637" i="431"/>
  <c r="T637" i="431"/>
  <c r="S637" i="431"/>
  <c r="R637" i="431"/>
  <c r="Q637" i="431"/>
  <c r="B637" i="431"/>
  <c r="P637" i="431" s="1"/>
  <c r="AJ636" i="431"/>
  <c r="V636" i="431"/>
  <c r="U636" i="431"/>
  <c r="S636" i="431"/>
  <c r="R636" i="431"/>
  <c r="Q636" i="431"/>
  <c r="B636" i="431"/>
  <c r="P636" i="431" s="1"/>
  <c r="AJ635" i="431"/>
  <c r="V635" i="431"/>
  <c r="U635" i="431"/>
  <c r="S635" i="431"/>
  <c r="R635" i="431"/>
  <c r="Q635" i="431"/>
  <c r="B635" i="431"/>
  <c r="P635" i="431" s="1"/>
  <c r="AJ634" i="431"/>
  <c r="V634" i="431"/>
  <c r="U634" i="431"/>
  <c r="S634" i="431"/>
  <c r="R634" i="431"/>
  <c r="Q634" i="431"/>
  <c r="B634" i="431"/>
  <c r="P634" i="431" s="1"/>
  <c r="AJ633" i="431"/>
  <c r="V633" i="431"/>
  <c r="U633" i="431"/>
  <c r="S633" i="431"/>
  <c r="R633" i="431"/>
  <c r="Q633" i="431"/>
  <c r="B633" i="431"/>
  <c r="P633" i="431" s="1"/>
  <c r="AJ632" i="431"/>
  <c r="V632" i="431"/>
  <c r="U632" i="431"/>
  <c r="T632" i="431"/>
  <c r="S632" i="431"/>
  <c r="R632" i="431"/>
  <c r="Q632" i="431"/>
  <c r="B632" i="431"/>
  <c r="P632" i="431" s="1"/>
  <c r="AJ631" i="431"/>
  <c r="V631" i="431"/>
  <c r="U631" i="431"/>
  <c r="T631" i="431"/>
  <c r="S631" i="431"/>
  <c r="R631" i="431"/>
  <c r="Q631" i="431"/>
  <c r="B631" i="431"/>
  <c r="P631" i="431" s="1"/>
  <c r="AJ630" i="431"/>
  <c r="V630" i="431"/>
  <c r="U630" i="431"/>
  <c r="S630" i="431"/>
  <c r="R630" i="431"/>
  <c r="Q630" i="431"/>
  <c r="B630" i="431"/>
  <c r="P630" i="431" s="1"/>
  <c r="AJ629" i="431"/>
  <c r="V629" i="431"/>
  <c r="U629" i="431"/>
  <c r="S629" i="431"/>
  <c r="R629" i="431"/>
  <c r="Q629" i="431"/>
  <c r="B629" i="431"/>
  <c r="P629" i="431" s="1"/>
  <c r="AJ628" i="431"/>
  <c r="V628" i="431"/>
  <c r="U628" i="431"/>
  <c r="S628" i="431"/>
  <c r="R628" i="431"/>
  <c r="Q628" i="431"/>
  <c r="B628" i="431"/>
  <c r="P628" i="431" s="1"/>
  <c r="AJ627" i="431"/>
  <c r="V627" i="431"/>
  <c r="U627" i="431"/>
  <c r="S627" i="431"/>
  <c r="R627" i="431"/>
  <c r="Q627" i="431"/>
  <c r="B627" i="431"/>
  <c r="P627" i="431" s="1"/>
  <c r="AJ626" i="431"/>
  <c r="V626" i="431"/>
  <c r="U626" i="431"/>
  <c r="T626" i="431"/>
  <c r="S626" i="431"/>
  <c r="R626" i="431"/>
  <c r="Q626" i="431"/>
  <c r="P626" i="431"/>
  <c r="B626" i="431"/>
  <c r="AJ625" i="431"/>
  <c r="V625" i="431"/>
  <c r="U625" i="431"/>
  <c r="T625" i="431"/>
  <c r="S625" i="431"/>
  <c r="R625" i="431"/>
  <c r="Q625" i="431"/>
  <c r="B625" i="431"/>
  <c r="P625" i="431" s="1"/>
  <c r="AJ624" i="431"/>
  <c r="V624" i="431"/>
  <c r="U624" i="431"/>
  <c r="T624" i="431"/>
  <c r="S624" i="431"/>
  <c r="R624" i="431"/>
  <c r="Q624" i="431"/>
  <c r="B624" i="431"/>
  <c r="P624" i="431" s="1"/>
  <c r="AJ623" i="431"/>
  <c r="V623" i="431"/>
  <c r="U623" i="431"/>
  <c r="T623" i="431"/>
  <c r="S623" i="431"/>
  <c r="R623" i="431"/>
  <c r="Q623" i="431"/>
  <c r="B623" i="431"/>
  <c r="P623" i="431" s="1"/>
  <c r="AJ622" i="431"/>
  <c r="V622" i="431"/>
  <c r="U622" i="431"/>
  <c r="T622" i="431"/>
  <c r="S622" i="431"/>
  <c r="R622" i="431"/>
  <c r="Q622" i="431"/>
  <c r="B622" i="431"/>
  <c r="P622" i="431" s="1"/>
  <c r="AJ621" i="431"/>
  <c r="V621" i="431"/>
  <c r="U621" i="431"/>
  <c r="T621" i="431"/>
  <c r="S621" i="431"/>
  <c r="R621" i="431"/>
  <c r="Q621" i="431"/>
  <c r="B621" i="431"/>
  <c r="P621" i="431" s="1"/>
  <c r="AJ620" i="431"/>
  <c r="V620" i="431"/>
  <c r="U620" i="431"/>
  <c r="T620" i="431"/>
  <c r="S620" i="431"/>
  <c r="R620" i="431"/>
  <c r="Q620" i="431"/>
  <c r="B620" i="431"/>
  <c r="P620" i="431" s="1"/>
  <c r="AJ619" i="431"/>
  <c r="V619" i="431"/>
  <c r="U619" i="431"/>
  <c r="T619" i="431"/>
  <c r="S619" i="431"/>
  <c r="R619" i="431"/>
  <c r="Q619" i="431"/>
  <c r="B619" i="431"/>
  <c r="P619" i="431" s="1"/>
  <c r="AJ618" i="431"/>
  <c r="V618" i="431"/>
  <c r="U618" i="431"/>
  <c r="T618" i="431"/>
  <c r="S618" i="431"/>
  <c r="R618" i="431"/>
  <c r="Q618" i="431"/>
  <c r="B618" i="431"/>
  <c r="P618" i="431" s="1"/>
  <c r="AJ617" i="431"/>
  <c r="V617" i="431"/>
  <c r="U617" i="431"/>
  <c r="T617" i="431"/>
  <c r="S617" i="431"/>
  <c r="R617" i="431"/>
  <c r="Q617" i="431"/>
  <c r="B617" i="431"/>
  <c r="P617" i="431" s="1"/>
  <c r="AJ616" i="431"/>
  <c r="V616" i="431"/>
  <c r="U616" i="431"/>
  <c r="T616" i="431"/>
  <c r="S616" i="431"/>
  <c r="R616" i="431"/>
  <c r="Q616" i="431"/>
  <c r="B616" i="431"/>
  <c r="P616" i="431" s="1"/>
  <c r="AJ615" i="431"/>
  <c r="V615" i="431"/>
  <c r="U615" i="431"/>
  <c r="T615" i="431"/>
  <c r="S615" i="431"/>
  <c r="R615" i="431"/>
  <c r="Q615" i="431"/>
  <c r="B615" i="431"/>
  <c r="P615" i="431" s="1"/>
  <c r="AJ614" i="431"/>
  <c r="V614" i="431"/>
  <c r="U614" i="431"/>
  <c r="T614" i="431"/>
  <c r="S614" i="431"/>
  <c r="R614" i="431"/>
  <c r="Q614" i="431"/>
  <c r="B614" i="431"/>
  <c r="P614" i="431" s="1"/>
  <c r="AJ613" i="431"/>
  <c r="V613" i="431"/>
  <c r="U613" i="431"/>
  <c r="T613" i="431"/>
  <c r="S613" i="431"/>
  <c r="R613" i="431"/>
  <c r="Q613" i="431"/>
  <c r="B613" i="431"/>
  <c r="P613" i="431" s="1"/>
  <c r="AJ612" i="431"/>
  <c r="V612" i="431"/>
  <c r="U612" i="431"/>
  <c r="T612" i="431"/>
  <c r="S612" i="431"/>
  <c r="R612" i="431"/>
  <c r="Q612" i="431"/>
  <c r="B612" i="431"/>
  <c r="P612" i="431" s="1"/>
  <c r="AJ611" i="431"/>
  <c r="V611" i="431"/>
  <c r="U611" i="431"/>
  <c r="T611" i="431"/>
  <c r="S611" i="431"/>
  <c r="R611" i="431"/>
  <c r="Q611" i="431"/>
  <c r="B611" i="431"/>
  <c r="P611" i="431" s="1"/>
  <c r="AJ610" i="431"/>
  <c r="V610" i="431"/>
  <c r="U610" i="431"/>
  <c r="T610" i="431"/>
  <c r="S610" i="431"/>
  <c r="R610" i="431"/>
  <c r="Q610" i="431"/>
  <c r="P610" i="431"/>
  <c r="B610" i="431"/>
  <c r="AJ609" i="431"/>
  <c r="V609" i="431"/>
  <c r="U609" i="431"/>
  <c r="T609" i="431"/>
  <c r="S609" i="431"/>
  <c r="R609" i="431"/>
  <c r="Q609" i="431"/>
  <c r="B609" i="431"/>
  <c r="P609" i="431" s="1"/>
  <c r="AJ608" i="431"/>
  <c r="V608" i="431"/>
  <c r="U608" i="431"/>
  <c r="T608" i="431"/>
  <c r="S608" i="431"/>
  <c r="R608" i="431"/>
  <c r="Q608" i="431"/>
  <c r="B608" i="431"/>
  <c r="P608" i="431" s="1"/>
  <c r="AJ607" i="431"/>
  <c r="V607" i="431"/>
  <c r="U607" i="431"/>
  <c r="T607" i="431"/>
  <c r="S607" i="431"/>
  <c r="R607" i="431"/>
  <c r="Q607" i="431"/>
  <c r="B607" i="431"/>
  <c r="P607" i="431" s="1"/>
  <c r="AJ606" i="431"/>
  <c r="V606" i="431"/>
  <c r="U606" i="431"/>
  <c r="T606" i="431"/>
  <c r="S606" i="431"/>
  <c r="R606" i="431"/>
  <c r="Q606" i="431"/>
  <c r="B606" i="431"/>
  <c r="P606" i="431" s="1"/>
  <c r="AJ605" i="431"/>
  <c r="V605" i="431"/>
  <c r="U605" i="431"/>
  <c r="T605" i="431"/>
  <c r="S605" i="431"/>
  <c r="R605" i="431"/>
  <c r="Q605" i="431"/>
  <c r="B605" i="431"/>
  <c r="P605" i="431" s="1"/>
  <c r="AJ604" i="431"/>
  <c r="V604" i="431"/>
  <c r="U604" i="431"/>
  <c r="T604" i="431"/>
  <c r="S604" i="431"/>
  <c r="R604" i="431"/>
  <c r="Q604" i="431"/>
  <c r="B604" i="431"/>
  <c r="P604" i="431" s="1"/>
  <c r="AJ603" i="431"/>
  <c r="V603" i="431"/>
  <c r="U603" i="431"/>
  <c r="T603" i="431"/>
  <c r="S603" i="431"/>
  <c r="R603" i="431"/>
  <c r="Q603" i="431"/>
  <c r="B603" i="431"/>
  <c r="P603" i="431" s="1"/>
  <c r="AJ602" i="431"/>
  <c r="V602" i="431"/>
  <c r="U602" i="431"/>
  <c r="T602" i="431"/>
  <c r="S602" i="431"/>
  <c r="R602" i="431"/>
  <c r="Q602" i="431"/>
  <c r="B602" i="431"/>
  <c r="P602" i="431" s="1"/>
  <c r="AJ601" i="431"/>
  <c r="V601" i="431"/>
  <c r="U601" i="431"/>
  <c r="T601" i="431"/>
  <c r="S601" i="431"/>
  <c r="R601" i="431"/>
  <c r="Q601" i="431"/>
  <c r="B601" i="431"/>
  <c r="P601" i="431" s="1"/>
  <c r="AJ600" i="431"/>
  <c r="V600" i="431"/>
  <c r="U600" i="431"/>
  <c r="T600" i="431"/>
  <c r="S600" i="431"/>
  <c r="R600" i="431"/>
  <c r="Q600" i="431"/>
  <c r="B600" i="431"/>
  <c r="P600" i="431" s="1"/>
  <c r="AJ599" i="431"/>
  <c r="V599" i="431"/>
  <c r="U599" i="431"/>
  <c r="T599" i="431"/>
  <c r="S599" i="431"/>
  <c r="R599" i="431"/>
  <c r="Q599" i="431"/>
  <c r="B599" i="431"/>
  <c r="P599" i="431" s="1"/>
  <c r="AJ598" i="431"/>
  <c r="V598" i="431"/>
  <c r="U598" i="431"/>
  <c r="T598" i="431"/>
  <c r="S598" i="431"/>
  <c r="R598" i="431"/>
  <c r="Q598" i="431"/>
  <c r="B598" i="431"/>
  <c r="P598" i="431" s="1"/>
  <c r="AJ597" i="431"/>
  <c r="V597" i="431"/>
  <c r="U597" i="431"/>
  <c r="T597" i="431"/>
  <c r="S597" i="431"/>
  <c r="R597" i="431"/>
  <c r="Q597" i="431"/>
  <c r="B597" i="431"/>
  <c r="P597" i="431" s="1"/>
  <c r="AJ596" i="431"/>
  <c r="V596" i="431"/>
  <c r="U596" i="431"/>
  <c r="T596" i="431"/>
  <c r="S596" i="431"/>
  <c r="R596" i="431"/>
  <c r="Q596" i="431"/>
  <c r="B596" i="431"/>
  <c r="P596" i="431" s="1"/>
  <c r="AJ595" i="431"/>
  <c r="V595" i="431"/>
  <c r="U595" i="431"/>
  <c r="T595" i="431"/>
  <c r="S595" i="431"/>
  <c r="R595" i="431"/>
  <c r="Q595" i="431"/>
  <c r="B595" i="431"/>
  <c r="P595" i="431" s="1"/>
  <c r="AJ594" i="431"/>
  <c r="V594" i="431"/>
  <c r="U594" i="431"/>
  <c r="T594" i="431"/>
  <c r="S594" i="431"/>
  <c r="R594" i="431"/>
  <c r="Q594" i="431"/>
  <c r="B594" i="431"/>
  <c r="P594" i="431" s="1"/>
  <c r="AJ593" i="431"/>
  <c r="V593" i="431"/>
  <c r="U593" i="431"/>
  <c r="T593" i="431"/>
  <c r="S593" i="431"/>
  <c r="R593" i="431"/>
  <c r="Q593" i="431"/>
  <c r="B593" i="431"/>
  <c r="P593" i="431" s="1"/>
  <c r="AJ592" i="431"/>
  <c r="V592" i="431"/>
  <c r="U592" i="431"/>
  <c r="T592" i="431"/>
  <c r="S592" i="431"/>
  <c r="R592" i="431"/>
  <c r="Q592" i="431"/>
  <c r="B592" i="431"/>
  <c r="P592" i="431" s="1"/>
  <c r="AJ591" i="431"/>
  <c r="V591" i="431"/>
  <c r="U591" i="431"/>
  <c r="T591" i="431"/>
  <c r="S591" i="431"/>
  <c r="R591" i="431"/>
  <c r="Q591" i="431"/>
  <c r="B591" i="431"/>
  <c r="P591" i="431" s="1"/>
  <c r="AJ590" i="431"/>
  <c r="V590" i="431"/>
  <c r="U590" i="431"/>
  <c r="S590" i="431"/>
  <c r="R590" i="431"/>
  <c r="Q590" i="431"/>
  <c r="B590" i="431"/>
  <c r="P590" i="431" s="1"/>
  <c r="AJ589" i="431"/>
  <c r="V589" i="431"/>
  <c r="U589" i="431"/>
  <c r="T589" i="431"/>
  <c r="S589" i="431"/>
  <c r="R589" i="431"/>
  <c r="Q589" i="431"/>
  <c r="B589" i="431"/>
  <c r="P589" i="431" s="1"/>
  <c r="AJ588" i="431"/>
  <c r="V588" i="431"/>
  <c r="U588" i="431"/>
  <c r="S588" i="431"/>
  <c r="R588" i="431"/>
  <c r="Q588" i="431"/>
  <c r="B588" i="431"/>
  <c r="P588" i="431" s="1"/>
  <c r="AJ587" i="431"/>
  <c r="V587" i="431"/>
  <c r="U587" i="431"/>
  <c r="S587" i="431"/>
  <c r="R587" i="431"/>
  <c r="Q587" i="431"/>
  <c r="B587" i="431"/>
  <c r="P587" i="431" s="1"/>
  <c r="AJ586" i="431"/>
  <c r="V586" i="431"/>
  <c r="U586" i="431"/>
  <c r="S586" i="431"/>
  <c r="R586" i="431"/>
  <c r="Q586" i="431"/>
  <c r="B586" i="431"/>
  <c r="P586" i="431" s="1"/>
  <c r="AJ585" i="431"/>
  <c r="V585" i="431"/>
  <c r="U585" i="431"/>
  <c r="S585" i="431"/>
  <c r="R585" i="431"/>
  <c r="Q585" i="431"/>
  <c r="B585" i="431"/>
  <c r="P585" i="431" s="1"/>
  <c r="AJ584" i="431"/>
  <c r="V584" i="431"/>
  <c r="U584" i="431"/>
  <c r="T584" i="431"/>
  <c r="S584" i="431"/>
  <c r="R584" i="431"/>
  <c r="Q584" i="431"/>
  <c r="B584" i="431"/>
  <c r="P584" i="431" s="1"/>
  <c r="AJ583" i="431"/>
  <c r="V583" i="431"/>
  <c r="U583" i="431"/>
  <c r="T583" i="431"/>
  <c r="S583" i="431"/>
  <c r="R583" i="431"/>
  <c r="Q583" i="431"/>
  <c r="B583" i="431"/>
  <c r="P583" i="431" s="1"/>
  <c r="AJ582" i="431"/>
  <c r="V582" i="431"/>
  <c r="U582" i="431"/>
  <c r="T582" i="431"/>
  <c r="S582" i="431"/>
  <c r="R582" i="431"/>
  <c r="Q582" i="431"/>
  <c r="B582" i="431"/>
  <c r="P582" i="431" s="1"/>
  <c r="AJ581" i="431"/>
  <c r="V581" i="431"/>
  <c r="U581" i="431"/>
  <c r="S581" i="431"/>
  <c r="R581" i="431"/>
  <c r="Q581" i="431"/>
  <c r="B581" i="431"/>
  <c r="P581" i="431" s="1"/>
  <c r="AJ580" i="431"/>
  <c r="V580" i="431"/>
  <c r="U580" i="431"/>
  <c r="S580" i="431"/>
  <c r="R580" i="431"/>
  <c r="Q580" i="431"/>
  <c r="B580" i="431"/>
  <c r="P580" i="431" s="1"/>
  <c r="AJ579" i="431"/>
  <c r="V579" i="431"/>
  <c r="U579" i="431"/>
  <c r="S579" i="431"/>
  <c r="R579" i="431"/>
  <c r="Q579" i="431"/>
  <c r="B579" i="431"/>
  <c r="P579" i="431" s="1"/>
  <c r="AJ578" i="431"/>
  <c r="V578" i="431"/>
  <c r="U578" i="431"/>
  <c r="T578" i="431"/>
  <c r="S578" i="431"/>
  <c r="R578" i="431"/>
  <c r="Q578" i="431"/>
  <c r="B578" i="431"/>
  <c r="P578" i="431" s="1"/>
  <c r="AJ577" i="431"/>
  <c r="V577" i="431"/>
  <c r="U577" i="431"/>
  <c r="T577" i="431"/>
  <c r="S577" i="431"/>
  <c r="R577" i="431"/>
  <c r="Q577" i="431"/>
  <c r="B577" i="431"/>
  <c r="P577" i="431" s="1"/>
  <c r="AJ576" i="431"/>
  <c r="V576" i="431"/>
  <c r="U576" i="431"/>
  <c r="T576" i="431"/>
  <c r="S576" i="431"/>
  <c r="R576" i="431"/>
  <c r="Q576" i="431"/>
  <c r="B576" i="431"/>
  <c r="P576" i="431" s="1"/>
  <c r="AJ575" i="431"/>
  <c r="V575" i="431"/>
  <c r="U575" i="431"/>
  <c r="T575" i="431"/>
  <c r="S575" i="431"/>
  <c r="R575" i="431"/>
  <c r="Q575" i="431"/>
  <c r="B575" i="431"/>
  <c r="P575" i="431" s="1"/>
  <c r="AJ574" i="431"/>
  <c r="V574" i="431"/>
  <c r="U574" i="431"/>
  <c r="T574" i="431"/>
  <c r="S574" i="431"/>
  <c r="R574" i="431"/>
  <c r="Q574" i="431"/>
  <c r="B574" i="431"/>
  <c r="P574" i="431" s="1"/>
  <c r="AJ573" i="431"/>
  <c r="V573" i="431"/>
  <c r="U573" i="431"/>
  <c r="T573" i="431"/>
  <c r="S573" i="431"/>
  <c r="R573" i="431"/>
  <c r="Q573" i="431"/>
  <c r="B573" i="431"/>
  <c r="P573" i="431" s="1"/>
  <c r="AJ572" i="431"/>
  <c r="V572" i="431"/>
  <c r="U572" i="431"/>
  <c r="T572" i="431"/>
  <c r="S572" i="431"/>
  <c r="R572" i="431"/>
  <c r="Q572" i="431"/>
  <c r="B572" i="431"/>
  <c r="P572" i="431" s="1"/>
  <c r="AJ571" i="431"/>
  <c r="V571" i="431"/>
  <c r="U571" i="431"/>
  <c r="T571" i="431"/>
  <c r="S571" i="431"/>
  <c r="R571" i="431"/>
  <c r="Q571" i="431"/>
  <c r="B571" i="431"/>
  <c r="P571" i="431" s="1"/>
  <c r="AJ570" i="431"/>
  <c r="V570" i="431"/>
  <c r="U570" i="431"/>
  <c r="T570" i="431"/>
  <c r="S570" i="431"/>
  <c r="R570" i="431"/>
  <c r="Q570" i="431"/>
  <c r="B570" i="431"/>
  <c r="P570" i="431" s="1"/>
  <c r="AJ569" i="431"/>
  <c r="V569" i="431"/>
  <c r="U569" i="431"/>
  <c r="T569" i="431"/>
  <c r="S569" i="431"/>
  <c r="R569" i="431"/>
  <c r="Q569" i="431"/>
  <c r="B569" i="431"/>
  <c r="P569" i="431" s="1"/>
  <c r="AJ568" i="431"/>
  <c r="V568" i="431"/>
  <c r="U568" i="431"/>
  <c r="T568" i="431"/>
  <c r="S568" i="431"/>
  <c r="R568" i="431"/>
  <c r="Q568" i="431"/>
  <c r="B568" i="431"/>
  <c r="P568" i="431" s="1"/>
  <c r="AJ567" i="431"/>
  <c r="V567" i="431"/>
  <c r="U567" i="431"/>
  <c r="T567" i="431"/>
  <c r="S567" i="431"/>
  <c r="R567" i="431"/>
  <c r="Q567" i="431"/>
  <c r="B567" i="431"/>
  <c r="P567" i="431" s="1"/>
  <c r="AJ566" i="431"/>
  <c r="V566" i="431"/>
  <c r="U566" i="431"/>
  <c r="T566" i="431"/>
  <c r="S566" i="431"/>
  <c r="R566" i="431"/>
  <c r="Q566" i="431"/>
  <c r="B566" i="431"/>
  <c r="P566" i="431" s="1"/>
  <c r="AJ565" i="431"/>
  <c r="V565" i="431"/>
  <c r="U565" i="431"/>
  <c r="T565" i="431"/>
  <c r="S565" i="431"/>
  <c r="R565" i="431"/>
  <c r="Q565" i="431"/>
  <c r="B565" i="431"/>
  <c r="P565" i="431" s="1"/>
  <c r="AJ564" i="431"/>
  <c r="V564" i="431"/>
  <c r="U564" i="431"/>
  <c r="T564" i="431"/>
  <c r="S564" i="431"/>
  <c r="R564" i="431"/>
  <c r="Q564" i="431"/>
  <c r="B564" i="431"/>
  <c r="P564" i="431" s="1"/>
  <c r="AJ563" i="431"/>
  <c r="V563" i="431"/>
  <c r="U563" i="431"/>
  <c r="T563" i="431"/>
  <c r="S563" i="431"/>
  <c r="R563" i="431"/>
  <c r="Q563" i="431"/>
  <c r="B563" i="431"/>
  <c r="P563" i="431" s="1"/>
  <c r="AJ562" i="431"/>
  <c r="V562" i="431"/>
  <c r="U562" i="431"/>
  <c r="T562" i="431"/>
  <c r="S562" i="431"/>
  <c r="R562" i="431"/>
  <c r="Q562" i="431"/>
  <c r="B562" i="431"/>
  <c r="P562" i="431" s="1"/>
  <c r="AJ561" i="431"/>
  <c r="V561" i="431"/>
  <c r="U561" i="431"/>
  <c r="T561" i="431"/>
  <c r="S561" i="431"/>
  <c r="R561" i="431"/>
  <c r="Q561" i="431"/>
  <c r="B561" i="431"/>
  <c r="P561" i="431" s="1"/>
  <c r="AJ560" i="431"/>
  <c r="V560" i="431"/>
  <c r="U560" i="431"/>
  <c r="T560" i="431"/>
  <c r="S560" i="431"/>
  <c r="R560" i="431"/>
  <c r="Q560" i="431"/>
  <c r="B560" i="431"/>
  <c r="P560" i="431" s="1"/>
  <c r="AJ559" i="431"/>
  <c r="V559" i="431"/>
  <c r="U559" i="431"/>
  <c r="T559" i="431"/>
  <c r="S559" i="431"/>
  <c r="R559" i="431"/>
  <c r="Q559" i="431"/>
  <c r="B559" i="431"/>
  <c r="P559" i="431" s="1"/>
  <c r="AJ558" i="431"/>
  <c r="V558" i="431"/>
  <c r="U558" i="431"/>
  <c r="T558" i="431"/>
  <c r="S558" i="431"/>
  <c r="R558" i="431"/>
  <c r="Q558" i="431"/>
  <c r="B558" i="431"/>
  <c r="P558" i="431" s="1"/>
  <c r="AJ557" i="431"/>
  <c r="V557" i="431"/>
  <c r="U557" i="431"/>
  <c r="T557" i="431"/>
  <c r="S557" i="431"/>
  <c r="R557" i="431"/>
  <c r="Q557" i="431"/>
  <c r="B557" i="431"/>
  <c r="P557" i="431" s="1"/>
  <c r="AJ556" i="431"/>
  <c r="V556" i="431"/>
  <c r="U556" i="431"/>
  <c r="T556" i="431"/>
  <c r="S556" i="431"/>
  <c r="R556" i="431"/>
  <c r="Q556" i="431"/>
  <c r="B556" i="431"/>
  <c r="P556" i="431" s="1"/>
  <c r="AJ555" i="431"/>
  <c r="V555" i="431"/>
  <c r="U555" i="431"/>
  <c r="T555" i="431"/>
  <c r="S555" i="431"/>
  <c r="R555" i="431"/>
  <c r="Q555" i="431"/>
  <c r="B555" i="431"/>
  <c r="P555" i="431" s="1"/>
  <c r="AJ554" i="431"/>
  <c r="V554" i="431"/>
  <c r="U554" i="431"/>
  <c r="T554" i="431"/>
  <c r="S554" i="431"/>
  <c r="R554" i="431"/>
  <c r="Q554" i="431"/>
  <c r="B554" i="431"/>
  <c r="P554" i="431" s="1"/>
  <c r="AJ553" i="431"/>
  <c r="V553" i="431"/>
  <c r="U553" i="431"/>
  <c r="T553" i="431"/>
  <c r="S553" i="431"/>
  <c r="R553" i="431"/>
  <c r="Q553" i="431"/>
  <c r="B553" i="431"/>
  <c r="P553" i="431" s="1"/>
  <c r="AJ552" i="431"/>
  <c r="V552" i="431"/>
  <c r="U552" i="431"/>
  <c r="T552" i="431"/>
  <c r="S552" i="431"/>
  <c r="R552" i="431"/>
  <c r="Q552" i="431"/>
  <c r="B552" i="431"/>
  <c r="P552" i="431" s="1"/>
  <c r="AJ551" i="431"/>
  <c r="V551" i="431"/>
  <c r="U551" i="431"/>
  <c r="T551" i="431"/>
  <c r="S551" i="431"/>
  <c r="R551" i="431"/>
  <c r="Q551" i="431"/>
  <c r="B551" i="431"/>
  <c r="P551" i="431" s="1"/>
  <c r="AJ550" i="431"/>
  <c r="V550" i="431"/>
  <c r="U550" i="431"/>
  <c r="T550" i="431"/>
  <c r="S550" i="431"/>
  <c r="R550" i="431"/>
  <c r="Q550" i="431"/>
  <c r="P550" i="431"/>
  <c r="B550" i="431"/>
  <c r="AJ549" i="431"/>
  <c r="V549" i="431"/>
  <c r="U549" i="431"/>
  <c r="T549" i="431"/>
  <c r="S549" i="431"/>
  <c r="R549" i="431"/>
  <c r="Q549" i="431"/>
  <c r="B549" i="431"/>
  <c r="P549" i="431" s="1"/>
  <c r="AJ548" i="431"/>
  <c r="V548" i="431"/>
  <c r="U548" i="431"/>
  <c r="T548" i="431"/>
  <c r="S548" i="431"/>
  <c r="R548" i="431"/>
  <c r="Q548" i="431"/>
  <c r="B548" i="431"/>
  <c r="P548" i="431" s="1"/>
  <c r="AJ547" i="431"/>
  <c r="V547" i="431"/>
  <c r="U547" i="431"/>
  <c r="T547" i="431"/>
  <c r="S547" i="431"/>
  <c r="R547" i="431"/>
  <c r="Q547" i="431"/>
  <c r="B547" i="431"/>
  <c r="P547" i="431" s="1"/>
  <c r="AJ546" i="431"/>
  <c r="V546" i="431"/>
  <c r="U546" i="431"/>
  <c r="T546" i="431"/>
  <c r="S546" i="431"/>
  <c r="R546" i="431"/>
  <c r="Q546" i="431"/>
  <c r="B546" i="431"/>
  <c r="P546" i="431" s="1"/>
  <c r="AJ545" i="431"/>
  <c r="V545" i="431"/>
  <c r="U545" i="431"/>
  <c r="T545" i="431"/>
  <c r="S545" i="431"/>
  <c r="R545" i="431"/>
  <c r="Q545" i="431"/>
  <c r="B545" i="431"/>
  <c r="P545" i="431" s="1"/>
  <c r="AJ544" i="431"/>
  <c r="V544" i="431"/>
  <c r="U544" i="431"/>
  <c r="T544" i="431"/>
  <c r="S544" i="431"/>
  <c r="R544" i="431"/>
  <c r="Q544" i="431"/>
  <c r="B544" i="431"/>
  <c r="P544" i="431" s="1"/>
  <c r="AJ543" i="431"/>
  <c r="V543" i="431"/>
  <c r="U543" i="431"/>
  <c r="T543" i="431"/>
  <c r="S543" i="431"/>
  <c r="R543" i="431"/>
  <c r="Q543" i="431"/>
  <c r="B543" i="431"/>
  <c r="P543" i="431" s="1"/>
  <c r="AJ542" i="431"/>
  <c r="V542" i="431"/>
  <c r="U542" i="431"/>
  <c r="S542" i="431"/>
  <c r="R542" i="431"/>
  <c r="Q542" i="431"/>
  <c r="B542" i="431"/>
  <c r="P542" i="431" s="1"/>
  <c r="AJ541" i="431"/>
  <c r="V541" i="431"/>
  <c r="U541" i="431"/>
  <c r="T541" i="431"/>
  <c r="S541" i="431"/>
  <c r="R541" i="431"/>
  <c r="Q541" i="431"/>
  <c r="B541" i="431"/>
  <c r="P541" i="431" s="1"/>
  <c r="AJ540" i="431"/>
  <c r="V540" i="431"/>
  <c r="U540" i="431"/>
  <c r="T540" i="431"/>
  <c r="S540" i="431"/>
  <c r="R540" i="431"/>
  <c r="Q540" i="431"/>
  <c r="B540" i="431"/>
  <c r="P540" i="431" s="1"/>
  <c r="AJ539" i="431"/>
  <c r="V539" i="431"/>
  <c r="U539" i="431"/>
  <c r="S539" i="431"/>
  <c r="R539" i="431"/>
  <c r="Q539" i="431"/>
  <c r="B539" i="431"/>
  <c r="P539" i="431" s="1"/>
  <c r="AJ538" i="431"/>
  <c r="V538" i="431"/>
  <c r="U538" i="431"/>
  <c r="S538" i="431"/>
  <c r="R538" i="431"/>
  <c r="Q538" i="431"/>
  <c r="B538" i="431"/>
  <c r="P538" i="431" s="1"/>
  <c r="AJ537" i="431"/>
  <c r="V537" i="431"/>
  <c r="U537" i="431"/>
  <c r="S537" i="431"/>
  <c r="R537" i="431"/>
  <c r="Q537" i="431"/>
  <c r="B537" i="431"/>
  <c r="P537" i="431" s="1"/>
  <c r="AJ536" i="431"/>
  <c r="V536" i="431"/>
  <c r="U536" i="431"/>
  <c r="T536" i="431"/>
  <c r="S536" i="431"/>
  <c r="R536" i="431"/>
  <c r="Q536" i="431"/>
  <c r="B536" i="431"/>
  <c r="P536" i="431" s="1"/>
  <c r="AJ535" i="431"/>
  <c r="V535" i="431"/>
  <c r="U535" i="431"/>
  <c r="T535" i="431"/>
  <c r="S535" i="431"/>
  <c r="R535" i="431"/>
  <c r="Q535" i="431"/>
  <c r="B535" i="431"/>
  <c r="P535" i="431" s="1"/>
  <c r="AJ534" i="431"/>
  <c r="V534" i="431"/>
  <c r="U534" i="431"/>
  <c r="T534" i="431"/>
  <c r="S534" i="431"/>
  <c r="R534" i="431"/>
  <c r="Q534" i="431"/>
  <c r="B534" i="431"/>
  <c r="P534" i="431" s="1"/>
  <c r="AJ533" i="431"/>
  <c r="V533" i="431"/>
  <c r="U533" i="431"/>
  <c r="S533" i="431"/>
  <c r="R533" i="431"/>
  <c r="Q533" i="431"/>
  <c r="B533" i="431"/>
  <c r="P533" i="431" s="1"/>
  <c r="AJ532" i="431"/>
  <c r="V532" i="431"/>
  <c r="U532" i="431"/>
  <c r="S532" i="431"/>
  <c r="R532" i="431"/>
  <c r="Q532" i="431"/>
  <c r="B532" i="431"/>
  <c r="P532" i="431" s="1"/>
  <c r="AJ531" i="431"/>
  <c r="V531" i="431"/>
  <c r="U531" i="431"/>
  <c r="S531" i="431"/>
  <c r="R531" i="431"/>
  <c r="Q531" i="431"/>
  <c r="B531" i="431"/>
  <c r="P531" i="431" s="1"/>
  <c r="AJ530" i="431"/>
  <c r="V530" i="431"/>
  <c r="U530" i="431"/>
  <c r="T530" i="431"/>
  <c r="S530" i="431"/>
  <c r="R530" i="431"/>
  <c r="Q530" i="431"/>
  <c r="B530" i="431"/>
  <c r="P530" i="431" s="1"/>
  <c r="AJ529" i="431"/>
  <c r="V529" i="431"/>
  <c r="U529" i="431"/>
  <c r="T529" i="431"/>
  <c r="S529" i="431"/>
  <c r="R529" i="431"/>
  <c r="Q529" i="431"/>
  <c r="B529" i="431"/>
  <c r="P529" i="431" s="1"/>
  <c r="AJ528" i="431"/>
  <c r="V528" i="431"/>
  <c r="U528" i="431"/>
  <c r="T528" i="431"/>
  <c r="S528" i="431"/>
  <c r="R528" i="431"/>
  <c r="Q528" i="431"/>
  <c r="B528" i="431"/>
  <c r="P528" i="431" s="1"/>
  <c r="AJ527" i="431"/>
  <c r="V527" i="431"/>
  <c r="U527" i="431"/>
  <c r="T527" i="431"/>
  <c r="S527" i="431"/>
  <c r="R527" i="431"/>
  <c r="Q527" i="431"/>
  <c r="B527" i="431"/>
  <c r="P527" i="431" s="1"/>
  <c r="AJ526" i="431"/>
  <c r="V526" i="431"/>
  <c r="U526" i="431"/>
  <c r="T526" i="431"/>
  <c r="S526" i="431"/>
  <c r="R526" i="431"/>
  <c r="Q526" i="431"/>
  <c r="B526" i="431"/>
  <c r="P526" i="431" s="1"/>
  <c r="AJ525" i="431"/>
  <c r="V525" i="431"/>
  <c r="U525" i="431"/>
  <c r="T525" i="431"/>
  <c r="S525" i="431"/>
  <c r="R525" i="431"/>
  <c r="Q525" i="431"/>
  <c r="B525" i="431"/>
  <c r="P525" i="431" s="1"/>
  <c r="AJ524" i="431"/>
  <c r="V524" i="431"/>
  <c r="U524" i="431"/>
  <c r="T524" i="431"/>
  <c r="S524" i="431"/>
  <c r="R524" i="431"/>
  <c r="Q524" i="431"/>
  <c r="B524" i="431"/>
  <c r="P524" i="431" s="1"/>
  <c r="AJ523" i="431"/>
  <c r="V523" i="431"/>
  <c r="U523" i="431"/>
  <c r="T523" i="431"/>
  <c r="S523" i="431"/>
  <c r="R523" i="431"/>
  <c r="Q523" i="431"/>
  <c r="B523" i="431"/>
  <c r="P523" i="431" s="1"/>
  <c r="AJ522" i="431"/>
  <c r="V522" i="431"/>
  <c r="U522" i="431"/>
  <c r="T522" i="431"/>
  <c r="S522" i="431"/>
  <c r="R522" i="431"/>
  <c r="Q522" i="431"/>
  <c r="B522" i="431"/>
  <c r="P522" i="431" s="1"/>
  <c r="AJ521" i="431"/>
  <c r="V521" i="431"/>
  <c r="U521" i="431"/>
  <c r="T521" i="431"/>
  <c r="S521" i="431"/>
  <c r="R521" i="431"/>
  <c r="Q521" i="431"/>
  <c r="B521" i="431"/>
  <c r="P521" i="431" s="1"/>
  <c r="AJ520" i="431"/>
  <c r="V520" i="431"/>
  <c r="U520" i="431"/>
  <c r="T520" i="431"/>
  <c r="S520" i="431"/>
  <c r="R520" i="431"/>
  <c r="Q520" i="431"/>
  <c r="B520" i="431"/>
  <c r="P520" i="431" s="1"/>
  <c r="AJ519" i="431"/>
  <c r="V519" i="431"/>
  <c r="U519" i="431"/>
  <c r="T519" i="431"/>
  <c r="S519" i="431"/>
  <c r="R519" i="431"/>
  <c r="Q519" i="431"/>
  <c r="B519" i="431"/>
  <c r="P519" i="431" s="1"/>
  <c r="AJ518" i="431"/>
  <c r="V518" i="431"/>
  <c r="U518" i="431"/>
  <c r="T518" i="431"/>
  <c r="S518" i="431"/>
  <c r="R518" i="431"/>
  <c r="Q518" i="431"/>
  <c r="B518" i="431"/>
  <c r="P518" i="431" s="1"/>
  <c r="AJ517" i="431"/>
  <c r="V517" i="431"/>
  <c r="U517" i="431"/>
  <c r="T517" i="431"/>
  <c r="S517" i="431"/>
  <c r="R517" i="431"/>
  <c r="Q517" i="431"/>
  <c r="B517" i="431"/>
  <c r="P517" i="431" s="1"/>
  <c r="AJ516" i="431"/>
  <c r="V516" i="431"/>
  <c r="U516" i="431"/>
  <c r="T516" i="431"/>
  <c r="S516" i="431"/>
  <c r="R516" i="431"/>
  <c r="Q516" i="431"/>
  <c r="B516" i="431"/>
  <c r="P516" i="431" s="1"/>
  <c r="AJ515" i="431"/>
  <c r="V515" i="431"/>
  <c r="U515" i="431"/>
  <c r="T515" i="431"/>
  <c r="S515" i="431"/>
  <c r="R515" i="431"/>
  <c r="Q515" i="431"/>
  <c r="B515" i="431"/>
  <c r="P515" i="431" s="1"/>
  <c r="AJ514" i="431"/>
  <c r="V514" i="431"/>
  <c r="U514" i="431"/>
  <c r="T514" i="431"/>
  <c r="S514" i="431"/>
  <c r="R514" i="431"/>
  <c r="Q514" i="431"/>
  <c r="B514" i="431"/>
  <c r="P514" i="431" s="1"/>
  <c r="AJ513" i="431"/>
  <c r="V513" i="431"/>
  <c r="U513" i="431"/>
  <c r="T513" i="431"/>
  <c r="S513" i="431"/>
  <c r="R513" i="431"/>
  <c r="Q513" i="431"/>
  <c r="B513" i="431"/>
  <c r="P513" i="431" s="1"/>
  <c r="AJ512" i="431"/>
  <c r="V512" i="431"/>
  <c r="U512" i="431"/>
  <c r="T512" i="431"/>
  <c r="S512" i="431"/>
  <c r="R512" i="431"/>
  <c r="Q512" i="431"/>
  <c r="B512" i="431"/>
  <c r="P512" i="431" s="1"/>
  <c r="AJ511" i="431"/>
  <c r="V511" i="431"/>
  <c r="U511" i="431"/>
  <c r="T511" i="431"/>
  <c r="S511" i="431"/>
  <c r="R511" i="431"/>
  <c r="Q511" i="431"/>
  <c r="B511" i="431"/>
  <c r="P511" i="431" s="1"/>
  <c r="AJ510" i="431"/>
  <c r="V510" i="431"/>
  <c r="U510" i="431"/>
  <c r="T510" i="431"/>
  <c r="S510" i="431"/>
  <c r="R510" i="431"/>
  <c r="Q510" i="431"/>
  <c r="B510" i="431"/>
  <c r="P510" i="431" s="1"/>
  <c r="AJ509" i="431"/>
  <c r="V509" i="431"/>
  <c r="U509" i="431"/>
  <c r="T509" i="431"/>
  <c r="S509" i="431"/>
  <c r="R509" i="431"/>
  <c r="Q509" i="431"/>
  <c r="B509" i="431"/>
  <c r="P509" i="431" s="1"/>
  <c r="AJ508" i="431"/>
  <c r="V508" i="431"/>
  <c r="U508" i="431"/>
  <c r="T508" i="431"/>
  <c r="S508" i="431"/>
  <c r="R508" i="431"/>
  <c r="Q508" i="431"/>
  <c r="B508" i="431"/>
  <c r="P508" i="431" s="1"/>
  <c r="AJ507" i="431"/>
  <c r="V507" i="431"/>
  <c r="U507" i="431"/>
  <c r="T507" i="431"/>
  <c r="S507" i="431"/>
  <c r="R507" i="431"/>
  <c r="Q507" i="431"/>
  <c r="B507" i="431"/>
  <c r="P507" i="431" s="1"/>
  <c r="AJ506" i="431"/>
  <c r="V506" i="431"/>
  <c r="U506" i="431"/>
  <c r="T506" i="431"/>
  <c r="S506" i="431"/>
  <c r="R506" i="431"/>
  <c r="Q506" i="431"/>
  <c r="B506" i="431"/>
  <c r="P506" i="431" s="1"/>
  <c r="AJ505" i="431"/>
  <c r="V505" i="431"/>
  <c r="U505" i="431"/>
  <c r="T505" i="431"/>
  <c r="S505" i="431"/>
  <c r="R505" i="431"/>
  <c r="Q505" i="431"/>
  <c r="B505" i="431"/>
  <c r="P505" i="431" s="1"/>
  <c r="AJ504" i="431"/>
  <c r="V504" i="431"/>
  <c r="U504" i="431"/>
  <c r="T504" i="431"/>
  <c r="S504" i="431"/>
  <c r="R504" i="431"/>
  <c r="Q504" i="431"/>
  <c r="B504" i="431"/>
  <c r="P504" i="431" s="1"/>
  <c r="AJ503" i="431"/>
  <c r="V503" i="431"/>
  <c r="U503" i="431"/>
  <c r="T503" i="431"/>
  <c r="S503" i="431"/>
  <c r="R503" i="431"/>
  <c r="Q503" i="431"/>
  <c r="B503" i="431"/>
  <c r="P503" i="431" s="1"/>
  <c r="AJ502" i="431"/>
  <c r="V502" i="431"/>
  <c r="U502" i="431"/>
  <c r="T502" i="431"/>
  <c r="S502" i="431"/>
  <c r="R502" i="431"/>
  <c r="Q502" i="431"/>
  <c r="B502" i="431"/>
  <c r="P502" i="431" s="1"/>
  <c r="AJ501" i="431"/>
  <c r="V501" i="431"/>
  <c r="U501" i="431"/>
  <c r="T501" i="431"/>
  <c r="S501" i="431"/>
  <c r="R501" i="431"/>
  <c r="Q501" i="431"/>
  <c r="B501" i="431"/>
  <c r="P501" i="431" s="1"/>
  <c r="AJ500" i="431"/>
  <c r="V500" i="431"/>
  <c r="U500" i="431"/>
  <c r="T500" i="431"/>
  <c r="S500" i="431"/>
  <c r="R500" i="431"/>
  <c r="Q500" i="431"/>
  <c r="B500" i="431"/>
  <c r="P500" i="431" s="1"/>
  <c r="AJ499" i="431"/>
  <c r="V499" i="431"/>
  <c r="U499" i="431"/>
  <c r="T499" i="431"/>
  <c r="S499" i="431"/>
  <c r="R499" i="431"/>
  <c r="Q499" i="431"/>
  <c r="B499" i="431"/>
  <c r="P499" i="431" s="1"/>
  <c r="AJ498" i="431"/>
  <c r="V498" i="431"/>
  <c r="U498" i="431"/>
  <c r="T498" i="431"/>
  <c r="S498" i="431"/>
  <c r="R498" i="431"/>
  <c r="Q498" i="431"/>
  <c r="B498" i="431"/>
  <c r="P498" i="431" s="1"/>
  <c r="AJ497" i="431"/>
  <c r="V497" i="431"/>
  <c r="U497" i="431"/>
  <c r="T497" i="431"/>
  <c r="S497" i="431"/>
  <c r="R497" i="431"/>
  <c r="Q497" i="431"/>
  <c r="B497" i="431"/>
  <c r="P497" i="431" s="1"/>
  <c r="AJ496" i="431"/>
  <c r="V496" i="431"/>
  <c r="U496" i="431"/>
  <c r="T496" i="431"/>
  <c r="S496" i="431"/>
  <c r="R496" i="431"/>
  <c r="Q496" i="431"/>
  <c r="B496" i="431"/>
  <c r="P496" i="431" s="1"/>
  <c r="AJ495" i="431"/>
  <c r="V495" i="431"/>
  <c r="U495" i="431"/>
  <c r="T495" i="431"/>
  <c r="S495" i="431"/>
  <c r="R495" i="431"/>
  <c r="Q495" i="431"/>
  <c r="B495" i="431"/>
  <c r="P495" i="431" s="1"/>
  <c r="AJ494" i="431"/>
  <c r="V494" i="431"/>
  <c r="U494" i="431"/>
  <c r="S494" i="431"/>
  <c r="R494" i="431"/>
  <c r="Q494" i="431"/>
  <c r="B494" i="431"/>
  <c r="P494" i="431" s="1"/>
  <c r="AJ493" i="431"/>
  <c r="V493" i="431"/>
  <c r="U493" i="431"/>
  <c r="T493" i="431"/>
  <c r="S493" i="431"/>
  <c r="R493" i="431"/>
  <c r="Q493" i="431"/>
  <c r="B493" i="431"/>
  <c r="P493" i="431" s="1"/>
  <c r="AJ492" i="431"/>
  <c r="V492" i="431"/>
  <c r="U492" i="431"/>
  <c r="T492" i="431"/>
  <c r="S492" i="431"/>
  <c r="R492" i="431"/>
  <c r="Q492" i="431"/>
  <c r="B492" i="431"/>
  <c r="P492" i="431" s="1"/>
  <c r="AJ491" i="431"/>
  <c r="V491" i="431"/>
  <c r="U491" i="431"/>
  <c r="S491" i="431"/>
  <c r="R491" i="431"/>
  <c r="Q491" i="431"/>
  <c r="B491" i="431"/>
  <c r="P491" i="431" s="1"/>
  <c r="AJ490" i="431"/>
  <c r="V490" i="431"/>
  <c r="U490" i="431"/>
  <c r="S490" i="431"/>
  <c r="R490" i="431"/>
  <c r="Q490" i="431"/>
  <c r="B490" i="431"/>
  <c r="P490" i="431" s="1"/>
  <c r="AJ489" i="431"/>
  <c r="V489" i="431"/>
  <c r="U489" i="431"/>
  <c r="S489" i="431"/>
  <c r="R489" i="431"/>
  <c r="Q489" i="431"/>
  <c r="B489" i="431"/>
  <c r="P489" i="431" s="1"/>
  <c r="AJ488" i="431"/>
  <c r="V488" i="431"/>
  <c r="U488" i="431"/>
  <c r="T488" i="431"/>
  <c r="S488" i="431"/>
  <c r="R488" i="431"/>
  <c r="Q488" i="431"/>
  <c r="B488" i="431"/>
  <c r="P488" i="431" s="1"/>
  <c r="AJ487" i="431"/>
  <c r="V487" i="431"/>
  <c r="U487" i="431"/>
  <c r="T487" i="431"/>
  <c r="S487" i="431"/>
  <c r="R487" i="431"/>
  <c r="Q487" i="431"/>
  <c r="B487" i="431"/>
  <c r="P487" i="431" s="1"/>
  <c r="AJ486" i="431"/>
  <c r="V486" i="431"/>
  <c r="U486" i="431"/>
  <c r="T486" i="431"/>
  <c r="S486" i="431"/>
  <c r="R486" i="431"/>
  <c r="Q486" i="431"/>
  <c r="B486" i="431"/>
  <c r="P486" i="431" s="1"/>
  <c r="AJ485" i="431"/>
  <c r="V485" i="431"/>
  <c r="U485" i="431"/>
  <c r="S485" i="431"/>
  <c r="R485" i="431"/>
  <c r="Q485" i="431"/>
  <c r="B485" i="431"/>
  <c r="P485" i="431" s="1"/>
  <c r="AJ484" i="431"/>
  <c r="V484" i="431"/>
  <c r="U484" i="431"/>
  <c r="S484" i="431"/>
  <c r="R484" i="431"/>
  <c r="Q484" i="431"/>
  <c r="B484" i="431"/>
  <c r="P484" i="431" s="1"/>
  <c r="AJ483" i="431"/>
  <c r="V483" i="431"/>
  <c r="U483" i="431"/>
  <c r="S483" i="431"/>
  <c r="R483" i="431"/>
  <c r="Q483" i="431"/>
  <c r="B483" i="431"/>
  <c r="P483" i="431" s="1"/>
  <c r="AJ482" i="431"/>
  <c r="V482" i="431"/>
  <c r="U482" i="431"/>
  <c r="T482" i="431"/>
  <c r="S482" i="431"/>
  <c r="R482" i="431"/>
  <c r="Q482" i="431"/>
  <c r="B482" i="431"/>
  <c r="P482" i="431" s="1"/>
  <c r="AJ481" i="431"/>
  <c r="V481" i="431"/>
  <c r="U481" i="431"/>
  <c r="T481" i="431"/>
  <c r="S481" i="431"/>
  <c r="R481" i="431"/>
  <c r="Q481" i="431"/>
  <c r="B481" i="431"/>
  <c r="P481" i="431" s="1"/>
  <c r="AJ480" i="431"/>
  <c r="V480" i="431"/>
  <c r="U480" i="431"/>
  <c r="T480" i="431"/>
  <c r="S480" i="431"/>
  <c r="R480" i="431"/>
  <c r="Q480" i="431"/>
  <c r="B480" i="431"/>
  <c r="P480" i="431" s="1"/>
  <c r="AJ479" i="431"/>
  <c r="V479" i="431"/>
  <c r="U479" i="431"/>
  <c r="T479" i="431"/>
  <c r="S479" i="431"/>
  <c r="R479" i="431"/>
  <c r="Q479" i="431"/>
  <c r="B479" i="431"/>
  <c r="P479" i="431" s="1"/>
  <c r="AJ478" i="431"/>
  <c r="V478" i="431"/>
  <c r="U478" i="431"/>
  <c r="T478" i="431"/>
  <c r="S478" i="431"/>
  <c r="R478" i="431"/>
  <c r="Q478" i="431"/>
  <c r="B478" i="431"/>
  <c r="P478" i="431" s="1"/>
  <c r="AJ477" i="431"/>
  <c r="V477" i="431"/>
  <c r="U477" i="431"/>
  <c r="T477" i="431"/>
  <c r="S477" i="431"/>
  <c r="R477" i="431"/>
  <c r="Q477" i="431"/>
  <c r="B477" i="431"/>
  <c r="P477" i="431" s="1"/>
  <c r="AJ476" i="431"/>
  <c r="V476" i="431"/>
  <c r="U476" i="431"/>
  <c r="T476" i="431"/>
  <c r="S476" i="431"/>
  <c r="R476" i="431"/>
  <c r="Q476" i="431"/>
  <c r="B476" i="431"/>
  <c r="P476" i="431" s="1"/>
  <c r="AJ475" i="431"/>
  <c r="V475" i="431"/>
  <c r="U475" i="431"/>
  <c r="T475" i="431"/>
  <c r="S475" i="431"/>
  <c r="R475" i="431"/>
  <c r="Q475" i="431"/>
  <c r="B475" i="431"/>
  <c r="P475" i="431" s="1"/>
  <c r="AJ474" i="431"/>
  <c r="V474" i="431"/>
  <c r="U474" i="431"/>
  <c r="T474" i="431"/>
  <c r="S474" i="431"/>
  <c r="R474" i="431"/>
  <c r="Q474" i="431"/>
  <c r="B474" i="431"/>
  <c r="P474" i="431" s="1"/>
  <c r="AJ473" i="431"/>
  <c r="V473" i="431"/>
  <c r="U473" i="431"/>
  <c r="T473" i="431"/>
  <c r="S473" i="431"/>
  <c r="R473" i="431"/>
  <c r="Q473" i="431"/>
  <c r="B473" i="431"/>
  <c r="P473" i="431" s="1"/>
  <c r="AJ472" i="431"/>
  <c r="V472" i="431"/>
  <c r="U472" i="431"/>
  <c r="T472" i="431"/>
  <c r="S472" i="431"/>
  <c r="R472" i="431"/>
  <c r="Q472" i="431"/>
  <c r="B472" i="431"/>
  <c r="P472" i="431" s="1"/>
  <c r="AJ471" i="431"/>
  <c r="V471" i="431"/>
  <c r="U471" i="431"/>
  <c r="T471" i="431"/>
  <c r="S471" i="431"/>
  <c r="R471" i="431"/>
  <c r="Q471" i="431"/>
  <c r="B471" i="431"/>
  <c r="P471" i="431" s="1"/>
  <c r="AJ470" i="431"/>
  <c r="V470" i="431"/>
  <c r="U470" i="431"/>
  <c r="T470" i="431"/>
  <c r="S470" i="431"/>
  <c r="R470" i="431"/>
  <c r="Q470" i="431"/>
  <c r="B470" i="431"/>
  <c r="P470" i="431" s="1"/>
  <c r="AJ469" i="431"/>
  <c r="V469" i="431"/>
  <c r="U469" i="431"/>
  <c r="T469" i="431"/>
  <c r="S469" i="431"/>
  <c r="R469" i="431"/>
  <c r="Q469" i="431"/>
  <c r="B469" i="431"/>
  <c r="P469" i="431" s="1"/>
  <c r="AJ468" i="431"/>
  <c r="V468" i="431"/>
  <c r="U468" i="431"/>
  <c r="T468" i="431"/>
  <c r="S468" i="431"/>
  <c r="R468" i="431"/>
  <c r="Q468" i="431"/>
  <c r="B468" i="431"/>
  <c r="P468" i="431" s="1"/>
  <c r="AJ467" i="431"/>
  <c r="V467" i="431"/>
  <c r="U467" i="431"/>
  <c r="T467" i="431"/>
  <c r="S467" i="431"/>
  <c r="R467" i="431"/>
  <c r="Q467" i="431"/>
  <c r="B467" i="431"/>
  <c r="P467" i="431" s="1"/>
  <c r="AJ466" i="431"/>
  <c r="V466" i="431"/>
  <c r="U466" i="431"/>
  <c r="T466" i="431"/>
  <c r="S466" i="431"/>
  <c r="R466" i="431"/>
  <c r="Q466" i="431"/>
  <c r="B466" i="431"/>
  <c r="P466" i="431" s="1"/>
  <c r="AJ465" i="431"/>
  <c r="V465" i="431"/>
  <c r="U465" i="431"/>
  <c r="T465" i="431"/>
  <c r="S465" i="431"/>
  <c r="R465" i="431"/>
  <c r="Q465" i="431"/>
  <c r="B465" i="431"/>
  <c r="P465" i="431" s="1"/>
  <c r="AJ464" i="431"/>
  <c r="V464" i="431"/>
  <c r="U464" i="431"/>
  <c r="T464" i="431"/>
  <c r="S464" i="431"/>
  <c r="R464" i="431"/>
  <c r="Q464" i="431"/>
  <c r="B464" i="431"/>
  <c r="P464" i="431" s="1"/>
  <c r="AJ463" i="431"/>
  <c r="V463" i="431"/>
  <c r="U463" i="431"/>
  <c r="T463" i="431"/>
  <c r="S463" i="431"/>
  <c r="R463" i="431"/>
  <c r="Q463" i="431"/>
  <c r="B463" i="431"/>
  <c r="P463" i="431" s="1"/>
  <c r="AJ462" i="431"/>
  <c r="V462" i="431"/>
  <c r="U462" i="431"/>
  <c r="T462" i="431"/>
  <c r="S462" i="431"/>
  <c r="R462" i="431"/>
  <c r="Q462" i="431"/>
  <c r="B462" i="431"/>
  <c r="P462" i="431" s="1"/>
  <c r="AJ461" i="431"/>
  <c r="V461" i="431"/>
  <c r="U461" i="431"/>
  <c r="T461" i="431"/>
  <c r="S461" i="431"/>
  <c r="R461" i="431"/>
  <c r="Q461" i="431"/>
  <c r="B461" i="431"/>
  <c r="P461" i="431" s="1"/>
  <c r="AJ460" i="431"/>
  <c r="V460" i="431"/>
  <c r="U460" i="431"/>
  <c r="T460" i="431"/>
  <c r="S460" i="431"/>
  <c r="R460" i="431"/>
  <c r="Q460" i="431"/>
  <c r="B460" i="431"/>
  <c r="P460" i="431" s="1"/>
  <c r="AJ459" i="431"/>
  <c r="V459" i="431"/>
  <c r="U459" i="431"/>
  <c r="T459" i="431"/>
  <c r="S459" i="431"/>
  <c r="R459" i="431"/>
  <c r="Q459" i="431"/>
  <c r="B459" i="431"/>
  <c r="P459" i="431" s="1"/>
  <c r="AJ458" i="431"/>
  <c r="V458" i="431"/>
  <c r="U458" i="431"/>
  <c r="T458" i="431"/>
  <c r="S458" i="431"/>
  <c r="R458" i="431"/>
  <c r="Q458" i="431"/>
  <c r="B458" i="431"/>
  <c r="P458" i="431" s="1"/>
  <c r="AJ457" i="431"/>
  <c r="V457" i="431"/>
  <c r="U457" i="431"/>
  <c r="T457" i="431"/>
  <c r="S457" i="431"/>
  <c r="R457" i="431"/>
  <c r="Q457" i="431"/>
  <c r="B457" i="431"/>
  <c r="P457" i="431" s="1"/>
  <c r="AJ456" i="431"/>
  <c r="V456" i="431"/>
  <c r="U456" i="431"/>
  <c r="T456" i="431"/>
  <c r="S456" i="431"/>
  <c r="R456" i="431"/>
  <c r="Q456" i="431"/>
  <c r="B456" i="431"/>
  <c r="P456" i="431" s="1"/>
  <c r="AJ455" i="431"/>
  <c r="V455" i="431"/>
  <c r="U455" i="431"/>
  <c r="T455" i="431"/>
  <c r="S455" i="431"/>
  <c r="R455" i="431"/>
  <c r="Q455" i="431"/>
  <c r="B455" i="431"/>
  <c r="P455" i="431" s="1"/>
  <c r="AJ454" i="431"/>
  <c r="V454" i="431"/>
  <c r="U454" i="431"/>
  <c r="T454" i="431"/>
  <c r="S454" i="431"/>
  <c r="R454" i="431"/>
  <c r="Q454" i="431"/>
  <c r="B454" i="431"/>
  <c r="P454" i="431" s="1"/>
  <c r="AJ453" i="431"/>
  <c r="V453" i="431"/>
  <c r="U453" i="431"/>
  <c r="T453" i="431"/>
  <c r="S453" i="431"/>
  <c r="R453" i="431"/>
  <c r="Q453" i="431"/>
  <c r="B453" i="431"/>
  <c r="P453" i="431" s="1"/>
  <c r="AJ452" i="431"/>
  <c r="V452" i="431"/>
  <c r="U452" i="431"/>
  <c r="T452" i="431"/>
  <c r="S452" i="431"/>
  <c r="R452" i="431"/>
  <c r="Q452" i="431"/>
  <c r="B452" i="431"/>
  <c r="P452" i="431" s="1"/>
  <c r="AJ451" i="431"/>
  <c r="V451" i="431"/>
  <c r="U451" i="431"/>
  <c r="T451" i="431"/>
  <c r="S451" i="431"/>
  <c r="R451" i="431"/>
  <c r="Q451" i="431"/>
  <c r="B451" i="431"/>
  <c r="P451" i="431" s="1"/>
  <c r="AJ450" i="431"/>
  <c r="V450" i="431"/>
  <c r="U450" i="431"/>
  <c r="T450" i="431"/>
  <c r="S450" i="431"/>
  <c r="R450" i="431"/>
  <c r="Q450" i="431"/>
  <c r="B450" i="431"/>
  <c r="P450" i="431" s="1"/>
  <c r="AJ449" i="431"/>
  <c r="V449" i="431"/>
  <c r="U449" i="431"/>
  <c r="T449" i="431"/>
  <c r="S449" i="431"/>
  <c r="R449" i="431"/>
  <c r="Q449" i="431"/>
  <c r="B449" i="431"/>
  <c r="P449" i="431" s="1"/>
  <c r="AJ448" i="431"/>
  <c r="V448" i="431"/>
  <c r="U448" i="431"/>
  <c r="T448" i="431"/>
  <c r="S448" i="431"/>
  <c r="R448" i="431"/>
  <c r="Q448" i="431"/>
  <c r="B448" i="431"/>
  <c r="P448" i="431" s="1"/>
  <c r="AJ447" i="431"/>
  <c r="V447" i="431"/>
  <c r="U447" i="431"/>
  <c r="T447" i="431"/>
  <c r="S447" i="431"/>
  <c r="R447" i="431"/>
  <c r="Q447" i="431"/>
  <c r="B447" i="431"/>
  <c r="P447" i="431" s="1"/>
  <c r="AJ446" i="431"/>
  <c r="V446" i="431"/>
  <c r="U446" i="431"/>
  <c r="S446" i="431"/>
  <c r="R446" i="431"/>
  <c r="Q446" i="431"/>
  <c r="B446" i="431"/>
  <c r="P446" i="431" s="1"/>
  <c r="AJ445" i="431"/>
  <c r="V445" i="431"/>
  <c r="U445" i="431"/>
  <c r="T445" i="431"/>
  <c r="S445" i="431"/>
  <c r="R445" i="431"/>
  <c r="Q445" i="431"/>
  <c r="B445" i="431"/>
  <c r="P445" i="431" s="1"/>
  <c r="AJ444" i="431"/>
  <c r="V444" i="431"/>
  <c r="U444" i="431"/>
  <c r="T444" i="431"/>
  <c r="S444" i="431"/>
  <c r="R444" i="431"/>
  <c r="Q444" i="431"/>
  <c r="B444" i="431"/>
  <c r="P444" i="431" s="1"/>
  <c r="AJ443" i="431"/>
  <c r="V443" i="431"/>
  <c r="U443" i="431"/>
  <c r="S443" i="431"/>
  <c r="R443" i="431"/>
  <c r="Q443" i="431"/>
  <c r="B443" i="431"/>
  <c r="P443" i="431" s="1"/>
  <c r="AJ442" i="431"/>
  <c r="V442" i="431"/>
  <c r="U442" i="431"/>
  <c r="S442" i="431"/>
  <c r="R442" i="431"/>
  <c r="Q442" i="431"/>
  <c r="B442" i="431"/>
  <c r="P442" i="431" s="1"/>
  <c r="AJ441" i="431"/>
  <c r="V441" i="431"/>
  <c r="U441" i="431"/>
  <c r="S441" i="431"/>
  <c r="R441" i="431"/>
  <c r="Q441" i="431"/>
  <c r="B441" i="431"/>
  <c r="P441" i="431" s="1"/>
  <c r="AJ440" i="431"/>
  <c r="V440" i="431"/>
  <c r="U440" i="431"/>
  <c r="T440" i="431"/>
  <c r="S440" i="431"/>
  <c r="R440" i="431"/>
  <c r="Q440" i="431"/>
  <c r="B440" i="431"/>
  <c r="P440" i="431" s="1"/>
  <c r="AJ439" i="431"/>
  <c r="V439" i="431"/>
  <c r="U439" i="431"/>
  <c r="T439" i="431"/>
  <c r="S439" i="431"/>
  <c r="R439" i="431"/>
  <c r="Q439" i="431"/>
  <c r="B439" i="431"/>
  <c r="P439" i="431" s="1"/>
  <c r="AJ438" i="431"/>
  <c r="V438" i="431"/>
  <c r="U438" i="431"/>
  <c r="T438" i="431"/>
  <c r="S438" i="431"/>
  <c r="R438" i="431"/>
  <c r="Q438" i="431"/>
  <c r="B438" i="431"/>
  <c r="P438" i="431" s="1"/>
  <c r="AJ437" i="431"/>
  <c r="V437" i="431"/>
  <c r="U437" i="431"/>
  <c r="S437" i="431"/>
  <c r="R437" i="431"/>
  <c r="Q437" i="431"/>
  <c r="B437" i="431"/>
  <c r="P437" i="431" s="1"/>
  <c r="AJ436" i="431"/>
  <c r="V436" i="431"/>
  <c r="U436" i="431"/>
  <c r="S436" i="431"/>
  <c r="R436" i="431"/>
  <c r="Q436" i="431"/>
  <c r="B436" i="431"/>
  <c r="P436" i="431" s="1"/>
  <c r="AJ435" i="431"/>
  <c r="V435" i="431"/>
  <c r="U435" i="431"/>
  <c r="S435" i="431"/>
  <c r="R435" i="431"/>
  <c r="Q435" i="431"/>
  <c r="B435" i="431"/>
  <c r="P435" i="431" s="1"/>
  <c r="AJ434" i="431"/>
  <c r="V434" i="431"/>
  <c r="U434" i="431"/>
  <c r="T434" i="431"/>
  <c r="S434" i="431"/>
  <c r="R434" i="431"/>
  <c r="Q434" i="431"/>
  <c r="B434" i="431"/>
  <c r="P434" i="431" s="1"/>
  <c r="AJ433" i="431"/>
  <c r="V433" i="431"/>
  <c r="U433" i="431"/>
  <c r="T433" i="431"/>
  <c r="S433" i="431"/>
  <c r="R433" i="431"/>
  <c r="Q433" i="431"/>
  <c r="B433" i="431"/>
  <c r="P433" i="431" s="1"/>
  <c r="AJ432" i="431"/>
  <c r="V432" i="431"/>
  <c r="U432" i="431"/>
  <c r="T432" i="431"/>
  <c r="S432" i="431"/>
  <c r="R432" i="431"/>
  <c r="Q432" i="431"/>
  <c r="B432" i="431"/>
  <c r="P432" i="431" s="1"/>
  <c r="AJ431" i="431"/>
  <c r="V431" i="431"/>
  <c r="U431" i="431"/>
  <c r="T431" i="431"/>
  <c r="S431" i="431"/>
  <c r="R431" i="431"/>
  <c r="Q431" i="431"/>
  <c r="B431" i="431"/>
  <c r="P431" i="431" s="1"/>
  <c r="AJ430" i="431"/>
  <c r="V430" i="431"/>
  <c r="U430" i="431"/>
  <c r="T430" i="431"/>
  <c r="S430" i="431"/>
  <c r="R430" i="431"/>
  <c r="Q430" i="431"/>
  <c r="B430" i="431"/>
  <c r="P430" i="431" s="1"/>
  <c r="AJ429" i="431"/>
  <c r="V429" i="431"/>
  <c r="U429" i="431"/>
  <c r="T429" i="431"/>
  <c r="S429" i="431"/>
  <c r="R429" i="431"/>
  <c r="Q429" i="431"/>
  <c r="B429" i="431"/>
  <c r="P429" i="431" s="1"/>
  <c r="AJ428" i="431"/>
  <c r="V428" i="431"/>
  <c r="U428" i="431"/>
  <c r="T428" i="431"/>
  <c r="S428" i="431"/>
  <c r="R428" i="431"/>
  <c r="Q428" i="431"/>
  <c r="B428" i="431"/>
  <c r="P428" i="431" s="1"/>
  <c r="AJ427" i="431"/>
  <c r="V427" i="431"/>
  <c r="U427" i="431"/>
  <c r="T427" i="431"/>
  <c r="S427" i="431"/>
  <c r="R427" i="431"/>
  <c r="Q427" i="431"/>
  <c r="B427" i="431"/>
  <c r="P427" i="431" s="1"/>
  <c r="AJ426" i="431"/>
  <c r="V426" i="431"/>
  <c r="U426" i="431"/>
  <c r="T426" i="431"/>
  <c r="S426" i="431"/>
  <c r="R426" i="431"/>
  <c r="Q426" i="431"/>
  <c r="B426" i="431"/>
  <c r="P426" i="431" s="1"/>
  <c r="AJ425" i="431"/>
  <c r="V425" i="431"/>
  <c r="U425" i="431"/>
  <c r="T425" i="431"/>
  <c r="S425" i="431"/>
  <c r="R425" i="431"/>
  <c r="Q425" i="431"/>
  <c r="B425" i="431"/>
  <c r="P425" i="431" s="1"/>
  <c r="AJ424" i="431"/>
  <c r="V424" i="431"/>
  <c r="U424" i="431"/>
  <c r="T424" i="431"/>
  <c r="S424" i="431"/>
  <c r="R424" i="431"/>
  <c r="Q424" i="431"/>
  <c r="B424" i="431"/>
  <c r="P424" i="431" s="1"/>
  <c r="AJ423" i="431"/>
  <c r="V423" i="431"/>
  <c r="U423" i="431"/>
  <c r="T423" i="431"/>
  <c r="S423" i="431"/>
  <c r="R423" i="431"/>
  <c r="Q423" i="431"/>
  <c r="B423" i="431"/>
  <c r="P423" i="431" s="1"/>
  <c r="AJ422" i="431"/>
  <c r="V422" i="431"/>
  <c r="U422" i="431"/>
  <c r="T422" i="431"/>
  <c r="S422" i="431"/>
  <c r="R422" i="431"/>
  <c r="Q422" i="431"/>
  <c r="B422" i="431"/>
  <c r="P422" i="431" s="1"/>
  <c r="AJ421" i="431"/>
  <c r="V421" i="431"/>
  <c r="U421" i="431"/>
  <c r="T421" i="431"/>
  <c r="S421" i="431"/>
  <c r="R421" i="431"/>
  <c r="Q421" i="431"/>
  <c r="P421" i="431"/>
  <c r="B421" i="431"/>
  <c r="AJ420" i="431"/>
  <c r="V420" i="431"/>
  <c r="U420" i="431"/>
  <c r="T420" i="431"/>
  <c r="S420" i="431"/>
  <c r="R420" i="431"/>
  <c r="Q420" i="431"/>
  <c r="B420" i="431"/>
  <c r="P420" i="431" s="1"/>
  <c r="AJ419" i="431"/>
  <c r="V419" i="431"/>
  <c r="U419" i="431"/>
  <c r="T419" i="431"/>
  <c r="S419" i="431"/>
  <c r="R419" i="431"/>
  <c r="Q419" i="431"/>
  <c r="B419" i="431"/>
  <c r="P419" i="431" s="1"/>
  <c r="AJ418" i="431"/>
  <c r="V418" i="431"/>
  <c r="U418" i="431"/>
  <c r="T418" i="431"/>
  <c r="S418" i="431"/>
  <c r="R418" i="431"/>
  <c r="Q418" i="431"/>
  <c r="B418" i="431"/>
  <c r="P418" i="431" s="1"/>
  <c r="AJ417" i="431"/>
  <c r="V417" i="431"/>
  <c r="U417" i="431"/>
  <c r="T417" i="431"/>
  <c r="S417" i="431"/>
  <c r="R417" i="431"/>
  <c r="Q417" i="431"/>
  <c r="B417" i="431"/>
  <c r="P417" i="431" s="1"/>
  <c r="AJ416" i="431"/>
  <c r="V416" i="431"/>
  <c r="U416" i="431"/>
  <c r="T416" i="431"/>
  <c r="S416" i="431"/>
  <c r="R416" i="431"/>
  <c r="Q416" i="431"/>
  <c r="B416" i="431"/>
  <c r="P416" i="431" s="1"/>
  <c r="AJ415" i="431"/>
  <c r="V415" i="431"/>
  <c r="U415" i="431"/>
  <c r="T415" i="431"/>
  <c r="S415" i="431"/>
  <c r="R415" i="431"/>
  <c r="Q415" i="431"/>
  <c r="B415" i="431"/>
  <c r="P415" i="431" s="1"/>
  <c r="AJ414" i="431"/>
  <c r="V414" i="431"/>
  <c r="U414" i="431"/>
  <c r="T414" i="431"/>
  <c r="S414" i="431"/>
  <c r="R414" i="431"/>
  <c r="Q414" i="431"/>
  <c r="B414" i="431"/>
  <c r="P414" i="431" s="1"/>
  <c r="AJ413" i="431"/>
  <c r="V413" i="431"/>
  <c r="U413" i="431"/>
  <c r="T413" i="431"/>
  <c r="S413" i="431"/>
  <c r="R413" i="431"/>
  <c r="Q413" i="431"/>
  <c r="B413" i="431"/>
  <c r="P413" i="431" s="1"/>
  <c r="AJ412" i="431"/>
  <c r="V412" i="431"/>
  <c r="U412" i="431"/>
  <c r="T412" i="431"/>
  <c r="S412" i="431"/>
  <c r="R412" i="431"/>
  <c r="Q412" i="431"/>
  <c r="B412" i="431"/>
  <c r="P412" i="431" s="1"/>
  <c r="AJ411" i="431"/>
  <c r="V411" i="431"/>
  <c r="U411" i="431"/>
  <c r="T411" i="431"/>
  <c r="S411" i="431"/>
  <c r="R411" i="431"/>
  <c r="Q411" i="431"/>
  <c r="B411" i="431"/>
  <c r="P411" i="431" s="1"/>
  <c r="AJ410" i="431"/>
  <c r="V410" i="431"/>
  <c r="U410" i="431"/>
  <c r="T410" i="431"/>
  <c r="S410" i="431"/>
  <c r="R410" i="431"/>
  <c r="Q410" i="431"/>
  <c r="B410" i="431"/>
  <c r="P410" i="431" s="1"/>
  <c r="AJ409" i="431"/>
  <c r="V409" i="431"/>
  <c r="U409" i="431"/>
  <c r="T409" i="431"/>
  <c r="S409" i="431"/>
  <c r="R409" i="431"/>
  <c r="Q409" i="431"/>
  <c r="B409" i="431"/>
  <c r="P409" i="431" s="1"/>
  <c r="AJ408" i="431"/>
  <c r="V408" i="431"/>
  <c r="U408" i="431"/>
  <c r="T408" i="431"/>
  <c r="S408" i="431"/>
  <c r="R408" i="431"/>
  <c r="Q408" i="431"/>
  <c r="B408" i="431"/>
  <c r="P408" i="431" s="1"/>
  <c r="AJ407" i="431"/>
  <c r="V407" i="431"/>
  <c r="U407" i="431"/>
  <c r="T407" i="431"/>
  <c r="S407" i="431"/>
  <c r="R407" i="431"/>
  <c r="Q407" i="431"/>
  <c r="B407" i="431"/>
  <c r="P407" i="431" s="1"/>
  <c r="AJ406" i="431"/>
  <c r="V406" i="431"/>
  <c r="U406" i="431"/>
  <c r="T406" i="431"/>
  <c r="S406" i="431"/>
  <c r="R406" i="431"/>
  <c r="Q406" i="431"/>
  <c r="B406" i="431"/>
  <c r="P406" i="431" s="1"/>
  <c r="AJ405" i="431"/>
  <c r="V405" i="431"/>
  <c r="U405" i="431"/>
  <c r="T405" i="431"/>
  <c r="S405" i="431"/>
  <c r="R405" i="431"/>
  <c r="Q405" i="431"/>
  <c r="B405" i="431"/>
  <c r="P405" i="431" s="1"/>
  <c r="AJ404" i="431"/>
  <c r="V404" i="431"/>
  <c r="U404" i="431"/>
  <c r="T404" i="431"/>
  <c r="S404" i="431"/>
  <c r="R404" i="431"/>
  <c r="Q404" i="431"/>
  <c r="B404" i="431"/>
  <c r="P404" i="431" s="1"/>
  <c r="AJ403" i="431"/>
  <c r="V403" i="431"/>
  <c r="U403" i="431"/>
  <c r="T403" i="431"/>
  <c r="S403" i="431"/>
  <c r="R403" i="431"/>
  <c r="Q403" i="431"/>
  <c r="B403" i="431"/>
  <c r="P403" i="431" s="1"/>
  <c r="AJ402" i="431"/>
  <c r="V402" i="431"/>
  <c r="U402" i="431"/>
  <c r="T402" i="431"/>
  <c r="S402" i="431"/>
  <c r="R402" i="431"/>
  <c r="Q402" i="431"/>
  <c r="B402" i="431"/>
  <c r="P402" i="431" s="1"/>
  <c r="AJ401" i="431"/>
  <c r="V401" i="431"/>
  <c r="U401" i="431"/>
  <c r="T401" i="431"/>
  <c r="S401" i="431"/>
  <c r="R401" i="431"/>
  <c r="Q401" i="431"/>
  <c r="B401" i="431"/>
  <c r="P401" i="431" s="1"/>
  <c r="AJ400" i="431"/>
  <c r="V400" i="431"/>
  <c r="U400" i="431"/>
  <c r="T400" i="431"/>
  <c r="S400" i="431"/>
  <c r="R400" i="431"/>
  <c r="Q400" i="431"/>
  <c r="P400" i="431"/>
  <c r="B400" i="431"/>
  <c r="AJ399" i="431"/>
  <c r="V399" i="431"/>
  <c r="U399" i="431"/>
  <c r="T399" i="431"/>
  <c r="S399" i="431"/>
  <c r="R399" i="431"/>
  <c r="Q399" i="431"/>
  <c r="B399" i="431"/>
  <c r="P399" i="431" s="1"/>
  <c r="AJ398" i="431"/>
  <c r="V398" i="431"/>
  <c r="U398" i="431"/>
  <c r="S398" i="431"/>
  <c r="R398" i="431"/>
  <c r="Q398" i="431"/>
  <c r="B398" i="431"/>
  <c r="P398" i="431" s="1"/>
  <c r="AJ397" i="431"/>
  <c r="V397" i="431"/>
  <c r="U397" i="431"/>
  <c r="T397" i="431"/>
  <c r="S397" i="431"/>
  <c r="R397" i="431"/>
  <c r="Q397" i="431"/>
  <c r="B397" i="431"/>
  <c r="P397" i="431" s="1"/>
  <c r="AJ396" i="431"/>
  <c r="V396" i="431"/>
  <c r="U396" i="431"/>
  <c r="S396" i="431"/>
  <c r="R396" i="431"/>
  <c r="Q396" i="431"/>
  <c r="B396" i="431"/>
  <c r="P396" i="431" s="1"/>
  <c r="AJ395" i="431"/>
  <c r="V395" i="431"/>
  <c r="U395" i="431"/>
  <c r="S395" i="431"/>
  <c r="R395" i="431"/>
  <c r="Q395" i="431"/>
  <c r="B395" i="431"/>
  <c r="P395" i="431" s="1"/>
  <c r="AJ394" i="431"/>
  <c r="V394" i="431"/>
  <c r="U394" i="431"/>
  <c r="S394" i="431"/>
  <c r="R394" i="431"/>
  <c r="Q394" i="431"/>
  <c r="P394" i="431"/>
  <c r="B394" i="431"/>
  <c r="AJ393" i="431"/>
  <c r="V393" i="431"/>
  <c r="U393" i="431"/>
  <c r="S393" i="431"/>
  <c r="R393" i="431"/>
  <c r="Q393" i="431"/>
  <c r="B393" i="431"/>
  <c r="P393" i="431" s="1"/>
  <c r="AJ392" i="431"/>
  <c r="V392" i="431"/>
  <c r="U392" i="431"/>
  <c r="T392" i="431"/>
  <c r="S392" i="431"/>
  <c r="R392" i="431"/>
  <c r="Q392" i="431"/>
  <c r="B392" i="431"/>
  <c r="P392" i="431" s="1"/>
  <c r="AJ391" i="431"/>
  <c r="V391" i="431"/>
  <c r="U391" i="431"/>
  <c r="T391" i="431"/>
  <c r="S391" i="431"/>
  <c r="R391" i="431"/>
  <c r="Q391" i="431"/>
  <c r="B391" i="431"/>
  <c r="P391" i="431" s="1"/>
  <c r="AJ390" i="431"/>
  <c r="V390" i="431"/>
  <c r="U390" i="431"/>
  <c r="S390" i="431"/>
  <c r="R390" i="431"/>
  <c r="Q390" i="431"/>
  <c r="B390" i="431"/>
  <c r="P390" i="431" s="1"/>
  <c r="AJ389" i="431"/>
  <c r="V389" i="431"/>
  <c r="U389" i="431"/>
  <c r="S389" i="431"/>
  <c r="R389" i="431"/>
  <c r="Q389" i="431"/>
  <c r="B389" i="431"/>
  <c r="P389" i="431" s="1"/>
  <c r="AJ388" i="431"/>
  <c r="V388" i="431"/>
  <c r="U388" i="431"/>
  <c r="S388" i="431"/>
  <c r="R388" i="431"/>
  <c r="Q388" i="431"/>
  <c r="B388" i="431"/>
  <c r="P388" i="431" s="1"/>
  <c r="AJ387" i="431"/>
  <c r="V387" i="431"/>
  <c r="U387" i="431"/>
  <c r="S387" i="431"/>
  <c r="R387" i="431"/>
  <c r="Q387" i="431"/>
  <c r="B387" i="431"/>
  <c r="P387" i="431" s="1"/>
  <c r="AJ386" i="431"/>
  <c r="V386" i="431"/>
  <c r="U386" i="431"/>
  <c r="T386" i="431"/>
  <c r="S386" i="431"/>
  <c r="R386" i="431"/>
  <c r="Q386" i="431"/>
  <c r="B386" i="431"/>
  <c r="P386" i="431" s="1"/>
  <c r="AJ385" i="431"/>
  <c r="V385" i="431"/>
  <c r="U385" i="431"/>
  <c r="T385" i="431"/>
  <c r="S385" i="431"/>
  <c r="R385" i="431"/>
  <c r="Q385" i="431"/>
  <c r="B385" i="431"/>
  <c r="P385" i="431" s="1"/>
  <c r="AJ384" i="431"/>
  <c r="V384" i="431"/>
  <c r="U384" i="431"/>
  <c r="T384" i="431"/>
  <c r="S384" i="431"/>
  <c r="R384" i="431"/>
  <c r="Q384" i="431"/>
  <c r="B384" i="431"/>
  <c r="P384" i="431" s="1"/>
  <c r="AJ383" i="431"/>
  <c r="V383" i="431"/>
  <c r="U383" i="431"/>
  <c r="T383" i="431"/>
  <c r="S383" i="431"/>
  <c r="R383" i="431"/>
  <c r="Q383" i="431"/>
  <c r="B383" i="431"/>
  <c r="P383" i="431" s="1"/>
  <c r="AJ382" i="431"/>
  <c r="V382" i="431"/>
  <c r="U382" i="431"/>
  <c r="T382" i="431"/>
  <c r="S382" i="431"/>
  <c r="R382" i="431"/>
  <c r="Q382" i="431"/>
  <c r="B382" i="431"/>
  <c r="P382" i="431" s="1"/>
  <c r="AJ381" i="431"/>
  <c r="V381" i="431"/>
  <c r="U381" i="431"/>
  <c r="T381" i="431"/>
  <c r="S381" i="431"/>
  <c r="R381" i="431"/>
  <c r="Q381" i="431"/>
  <c r="B381" i="431"/>
  <c r="P381" i="431" s="1"/>
  <c r="AJ380" i="431"/>
  <c r="V380" i="431"/>
  <c r="U380" i="431"/>
  <c r="T380" i="431"/>
  <c r="S380" i="431"/>
  <c r="R380" i="431"/>
  <c r="Q380" i="431"/>
  <c r="B380" i="431"/>
  <c r="P380" i="431" s="1"/>
  <c r="AJ379" i="431"/>
  <c r="V379" i="431"/>
  <c r="U379" i="431"/>
  <c r="T379" i="431"/>
  <c r="S379" i="431"/>
  <c r="R379" i="431"/>
  <c r="Q379" i="431"/>
  <c r="B379" i="431"/>
  <c r="P379" i="431" s="1"/>
  <c r="AJ378" i="431"/>
  <c r="V378" i="431"/>
  <c r="U378" i="431"/>
  <c r="T378" i="431"/>
  <c r="S378" i="431"/>
  <c r="R378" i="431"/>
  <c r="Q378" i="431"/>
  <c r="B378" i="431"/>
  <c r="P378" i="431" s="1"/>
  <c r="AJ377" i="431"/>
  <c r="V377" i="431"/>
  <c r="U377" i="431"/>
  <c r="T377" i="431"/>
  <c r="S377" i="431"/>
  <c r="R377" i="431"/>
  <c r="Q377" i="431"/>
  <c r="B377" i="431"/>
  <c r="P377" i="431" s="1"/>
  <c r="AJ376" i="431"/>
  <c r="V376" i="431"/>
  <c r="U376" i="431"/>
  <c r="T376" i="431"/>
  <c r="S376" i="431"/>
  <c r="R376" i="431"/>
  <c r="Q376" i="431"/>
  <c r="B376" i="431"/>
  <c r="P376" i="431" s="1"/>
  <c r="AJ375" i="431"/>
  <c r="V375" i="431"/>
  <c r="U375" i="431"/>
  <c r="T375" i="431"/>
  <c r="S375" i="431"/>
  <c r="R375" i="431"/>
  <c r="Q375" i="431"/>
  <c r="B375" i="431"/>
  <c r="P375" i="431" s="1"/>
  <c r="AJ374" i="431"/>
  <c r="V374" i="431"/>
  <c r="U374" i="431"/>
  <c r="T374" i="431"/>
  <c r="S374" i="431"/>
  <c r="R374" i="431"/>
  <c r="Q374" i="431"/>
  <c r="B374" i="431"/>
  <c r="P374" i="431" s="1"/>
  <c r="AJ373" i="431"/>
  <c r="V373" i="431"/>
  <c r="U373" i="431"/>
  <c r="T373" i="431"/>
  <c r="S373" i="431"/>
  <c r="R373" i="431"/>
  <c r="Q373" i="431"/>
  <c r="B373" i="431"/>
  <c r="P373" i="431" s="1"/>
  <c r="AJ372" i="431"/>
  <c r="V372" i="431"/>
  <c r="U372" i="431"/>
  <c r="T372" i="431"/>
  <c r="S372" i="431"/>
  <c r="R372" i="431"/>
  <c r="Q372" i="431"/>
  <c r="B372" i="431"/>
  <c r="P372" i="431" s="1"/>
  <c r="AJ371" i="431"/>
  <c r="V371" i="431"/>
  <c r="U371" i="431"/>
  <c r="T371" i="431"/>
  <c r="S371" i="431"/>
  <c r="R371" i="431"/>
  <c r="Q371" i="431"/>
  <c r="B371" i="431"/>
  <c r="P371" i="431" s="1"/>
  <c r="AJ370" i="431"/>
  <c r="V370" i="431"/>
  <c r="U370" i="431"/>
  <c r="T370" i="431"/>
  <c r="S370" i="431"/>
  <c r="R370" i="431"/>
  <c r="Q370" i="431"/>
  <c r="B370" i="431"/>
  <c r="P370" i="431" s="1"/>
  <c r="AJ369" i="431"/>
  <c r="V369" i="431"/>
  <c r="U369" i="431"/>
  <c r="T369" i="431"/>
  <c r="S369" i="431"/>
  <c r="R369" i="431"/>
  <c r="Q369" i="431"/>
  <c r="B369" i="431"/>
  <c r="P369" i="431" s="1"/>
  <c r="AJ368" i="431"/>
  <c r="V368" i="431"/>
  <c r="U368" i="431"/>
  <c r="T368" i="431"/>
  <c r="S368" i="431"/>
  <c r="R368" i="431"/>
  <c r="Q368" i="431"/>
  <c r="B368" i="431"/>
  <c r="P368" i="431" s="1"/>
  <c r="AJ367" i="431"/>
  <c r="V367" i="431"/>
  <c r="U367" i="431"/>
  <c r="T367" i="431"/>
  <c r="S367" i="431"/>
  <c r="R367" i="431"/>
  <c r="Q367" i="431"/>
  <c r="B367" i="431"/>
  <c r="P367" i="431" s="1"/>
  <c r="AJ366" i="431"/>
  <c r="V366" i="431"/>
  <c r="U366" i="431"/>
  <c r="T366" i="431"/>
  <c r="S366" i="431"/>
  <c r="R366" i="431"/>
  <c r="Q366" i="431"/>
  <c r="B366" i="431"/>
  <c r="P366" i="431" s="1"/>
  <c r="AJ365" i="431"/>
  <c r="V365" i="431"/>
  <c r="U365" i="431"/>
  <c r="T365" i="431"/>
  <c r="S365" i="431"/>
  <c r="R365" i="431"/>
  <c r="Q365" i="431"/>
  <c r="B365" i="431"/>
  <c r="P365" i="431" s="1"/>
  <c r="AJ364" i="431"/>
  <c r="V364" i="431"/>
  <c r="U364" i="431"/>
  <c r="T364" i="431"/>
  <c r="S364" i="431"/>
  <c r="R364" i="431"/>
  <c r="Q364" i="431"/>
  <c r="B364" i="431"/>
  <c r="P364" i="431" s="1"/>
  <c r="AJ363" i="431"/>
  <c r="V363" i="431"/>
  <c r="U363" i="431"/>
  <c r="T363" i="431"/>
  <c r="S363" i="431"/>
  <c r="R363" i="431"/>
  <c r="Q363" i="431"/>
  <c r="B363" i="431"/>
  <c r="P363" i="431" s="1"/>
  <c r="AJ362" i="431"/>
  <c r="V362" i="431"/>
  <c r="U362" i="431"/>
  <c r="T362" i="431"/>
  <c r="S362" i="431"/>
  <c r="R362" i="431"/>
  <c r="Q362" i="431"/>
  <c r="B362" i="431"/>
  <c r="P362" i="431" s="1"/>
  <c r="AJ361" i="431"/>
  <c r="V361" i="431"/>
  <c r="U361" i="431"/>
  <c r="T361" i="431"/>
  <c r="S361" i="431"/>
  <c r="R361" i="431"/>
  <c r="Q361" i="431"/>
  <c r="B361" i="431"/>
  <c r="P361" i="431" s="1"/>
  <c r="AJ360" i="431"/>
  <c r="V360" i="431"/>
  <c r="U360" i="431"/>
  <c r="T360" i="431"/>
  <c r="S360" i="431"/>
  <c r="R360" i="431"/>
  <c r="Q360" i="431"/>
  <c r="B360" i="431"/>
  <c r="P360" i="431" s="1"/>
  <c r="AJ359" i="431"/>
  <c r="V359" i="431"/>
  <c r="U359" i="431"/>
  <c r="T359" i="431"/>
  <c r="S359" i="431"/>
  <c r="R359" i="431"/>
  <c r="Q359" i="431"/>
  <c r="B359" i="431"/>
  <c r="P359" i="431" s="1"/>
  <c r="AJ358" i="431"/>
  <c r="V358" i="431"/>
  <c r="U358" i="431"/>
  <c r="T358" i="431"/>
  <c r="S358" i="431"/>
  <c r="R358" i="431"/>
  <c r="Q358" i="431"/>
  <c r="B358" i="431"/>
  <c r="P358" i="431" s="1"/>
  <c r="AJ357" i="431"/>
  <c r="V357" i="431"/>
  <c r="U357" i="431"/>
  <c r="T357" i="431"/>
  <c r="S357" i="431"/>
  <c r="R357" i="431"/>
  <c r="Q357" i="431"/>
  <c r="P357" i="431"/>
  <c r="B357" i="431"/>
  <c r="AJ356" i="431"/>
  <c r="V356" i="431"/>
  <c r="U356" i="431"/>
  <c r="T356" i="431"/>
  <c r="S356" i="431"/>
  <c r="R356" i="431"/>
  <c r="Q356" i="431"/>
  <c r="P356" i="431"/>
  <c r="B356" i="431"/>
  <c r="AJ355" i="431"/>
  <c r="V355" i="431"/>
  <c r="U355" i="431"/>
  <c r="T355" i="431"/>
  <c r="S355" i="431"/>
  <c r="R355" i="431"/>
  <c r="Q355" i="431"/>
  <c r="B355" i="431"/>
  <c r="P355" i="431" s="1"/>
  <c r="AJ354" i="431"/>
  <c r="V354" i="431"/>
  <c r="U354" i="431"/>
  <c r="T354" i="431"/>
  <c r="S354" i="431"/>
  <c r="R354" i="431"/>
  <c r="Q354" i="431"/>
  <c r="B354" i="431"/>
  <c r="P354" i="431" s="1"/>
  <c r="AJ353" i="431"/>
  <c r="V353" i="431"/>
  <c r="U353" i="431"/>
  <c r="T353" i="431"/>
  <c r="S353" i="431"/>
  <c r="R353" i="431"/>
  <c r="Q353" i="431"/>
  <c r="B353" i="431"/>
  <c r="P353" i="431" s="1"/>
  <c r="AJ352" i="431"/>
  <c r="V352" i="431"/>
  <c r="U352" i="431"/>
  <c r="T352" i="431"/>
  <c r="S352" i="431"/>
  <c r="R352" i="431"/>
  <c r="Q352" i="431"/>
  <c r="B352" i="431"/>
  <c r="P352" i="431" s="1"/>
  <c r="AJ351" i="431"/>
  <c r="V351" i="431"/>
  <c r="U351" i="431"/>
  <c r="T351" i="431"/>
  <c r="S351" i="431"/>
  <c r="R351" i="431"/>
  <c r="Q351" i="431"/>
  <c r="B351" i="431"/>
  <c r="P351" i="431" s="1"/>
  <c r="AJ350" i="431"/>
  <c r="V350" i="431"/>
  <c r="U350" i="431"/>
  <c r="S350" i="431"/>
  <c r="R350" i="431"/>
  <c r="Q350" i="431"/>
  <c r="B350" i="431"/>
  <c r="P350" i="431" s="1"/>
  <c r="AJ349" i="431"/>
  <c r="V349" i="431"/>
  <c r="U349" i="431"/>
  <c r="T349" i="431"/>
  <c r="S349" i="431"/>
  <c r="R349" i="431"/>
  <c r="Q349" i="431"/>
  <c r="P349" i="431"/>
  <c r="B349" i="431"/>
  <c r="AJ348" i="431"/>
  <c r="V348" i="431"/>
  <c r="U348" i="431"/>
  <c r="S348" i="431"/>
  <c r="R348" i="431"/>
  <c r="Q348" i="431"/>
  <c r="B348" i="431"/>
  <c r="P348" i="431" s="1"/>
  <c r="AJ347" i="431"/>
  <c r="V347" i="431"/>
  <c r="U347" i="431"/>
  <c r="S347" i="431"/>
  <c r="R347" i="431"/>
  <c r="Q347" i="431"/>
  <c r="B347" i="431"/>
  <c r="P347" i="431" s="1"/>
  <c r="AJ346" i="431"/>
  <c r="V346" i="431"/>
  <c r="U346" i="431"/>
  <c r="S346" i="431"/>
  <c r="R346" i="431"/>
  <c r="Q346" i="431"/>
  <c r="B346" i="431"/>
  <c r="P346" i="431" s="1"/>
  <c r="AJ345" i="431"/>
  <c r="V345" i="431"/>
  <c r="U345" i="431"/>
  <c r="S345" i="431"/>
  <c r="R345" i="431"/>
  <c r="Q345" i="431"/>
  <c r="B345" i="431"/>
  <c r="P345" i="431" s="1"/>
  <c r="AJ344" i="431"/>
  <c r="V344" i="431"/>
  <c r="U344" i="431"/>
  <c r="T344" i="431"/>
  <c r="S344" i="431"/>
  <c r="R344" i="431"/>
  <c r="Q344" i="431"/>
  <c r="B344" i="431"/>
  <c r="P344" i="431" s="1"/>
  <c r="AJ343" i="431"/>
  <c r="V343" i="431"/>
  <c r="U343" i="431"/>
  <c r="T343" i="431"/>
  <c r="S343" i="431"/>
  <c r="R343" i="431"/>
  <c r="Q343" i="431"/>
  <c r="B343" i="431"/>
  <c r="P343" i="431" s="1"/>
  <c r="AJ342" i="431"/>
  <c r="V342" i="431"/>
  <c r="U342" i="431"/>
  <c r="S342" i="431"/>
  <c r="R342" i="431"/>
  <c r="Q342" i="431"/>
  <c r="B342" i="431"/>
  <c r="P342" i="431" s="1"/>
  <c r="AJ341" i="431"/>
  <c r="V341" i="431"/>
  <c r="U341" i="431"/>
  <c r="S341" i="431"/>
  <c r="R341" i="431"/>
  <c r="Q341" i="431"/>
  <c r="P341" i="431"/>
  <c r="B341" i="431"/>
  <c r="AJ340" i="431"/>
  <c r="V340" i="431"/>
  <c r="U340" i="431"/>
  <c r="S340" i="431"/>
  <c r="R340" i="431"/>
  <c r="Q340" i="431"/>
  <c r="B340" i="431"/>
  <c r="P340" i="431" s="1"/>
  <c r="AJ339" i="431"/>
  <c r="V339" i="431"/>
  <c r="U339" i="431"/>
  <c r="S339" i="431"/>
  <c r="R339" i="431"/>
  <c r="Q339" i="431"/>
  <c r="B339" i="431"/>
  <c r="P339" i="431" s="1"/>
  <c r="AJ338" i="431"/>
  <c r="V338" i="431"/>
  <c r="U338" i="431"/>
  <c r="T338" i="431"/>
  <c r="S338" i="431"/>
  <c r="R338" i="431"/>
  <c r="Q338" i="431"/>
  <c r="B338" i="431"/>
  <c r="P338" i="431" s="1"/>
  <c r="AJ337" i="431"/>
  <c r="V337" i="431"/>
  <c r="U337" i="431"/>
  <c r="T337" i="431"/>
  <c r="S337" i="431"/>
  <c r="R337" i="431"/>
  <c r="Q337" i="431"/>
  <c r="B337" i="431"/>
  <c r="P337" i="431" s="1"/>
  <c r="AJ336" i="431"/>
  <c r="V336" i="431"/>
  <c r="U336" i="431"/>
  <c r="T336" i="431"/>
  <c r="S336" i="431"/>
  <c r="R336" i="431"/>
  <c r="Q336" i="431"/>
  <c r="B336" i="431"/>
  <c r="P336" i="431" s="1"/>
  <c r="AJ335" i="431"/>
  <c r="V335" i="431"/>
  <c r="U335" i="431"/>
  <c r="T335" i="431"/>
  <c r="S335" i="431"/>
  <c r="R335" i="431"/>
  <c r="Q335" i="431"/>
  <c r="B335" i="431"/>
  <c r="P335" i="431" s="1"/>
  <c r="AJ334" i="431"/>
  <c r="V334" i="431"/>
  <c r="U334" i="431"/>
  <c r="T334" i="431"/>
  <c r="S334" i="431"/>
  <c r="R334" i="431"/>
  <c r="Q334" i="431"/>
  <c r="B334" i="431"/>
  <c r="P334" i="431" s="1"/>
  <c r="AJ333" i="431"/>
  <c r="V333" i="431"/>
  <c r="U333" i="431"/>
  <c r="T333" i="431"/>
  <c r="S333" i="431"/>
  <c r="R333" i="431"/>
  <c r="Q333" i="431"/>
  <c r="B333" i="431"/>
  <c r="P333" i="431" s="1"/>
  <c r="AJ332" i="431"/>
  <c r="V332" i="431"/>
  <c r="U332" i="431"/>
  <c r="T332" i="431"/>
  <c r="S332" i="431"/>
  <c r="R332" i="431"/>
  <c r="Q332" i="431"/>
  <c r="B332" i="431"/>
  <c r="P332" i="431" s="1"/>
  <c r="AJ331" i="431"/>
  <c r="V331" i="431"/>
  <c r="U331" i="431"/>
  <c r="T331" i="431"/>
  <c r="S331" i="431"/>
  <c r="R331" i="431"/>
  <c r="Q331" i="431"/>
  <c r="B331" i="431"/>
  <c r="P331" i="431" s="1"/>
  <c r="AJ330" i="431"/>
  <c r="V330" i="431"/>
  <c r="U330" i="431"/>
  <c r="T330" i="431"/>
  <c r="S330" i="431"/>
  <c r="R330" i="431"/>
  <c r="Q330" i="431"/>
  <c r="B330" i="431"/>
  <c r="P330" i="431" s="1"/>
  <c r="AJ329" i="431"/>
  <c r="V329" i="431"/>
  <c r="U329" i="431"/>
  <c r="T329" i="431"/>
  <c r="S329" i="431"/>
  <c r="R329" i="431"/>
  <c r="Q329" i="431"/>
  <c r="P329" i="431"/>
  <c r="B329" i="431"/>
  <c r="AJ328" i="431"/>
  <c r="V328" i="431"/>
  <c r="U328" i="431"/>
  <c r="T328" i="431"/>
  <c r="S328" i="431"/>
  <c r="R328" i="431"/>
  <c r="Q328" i="431"/>
  <c r="B328" i="431"/>
  <c r="P328" i="431" s="1"/>
  <c r="AJ327" i="431"/>
  <c r="V327" i="431"/>
  <c r="U327" i="431"/>
  <c r="T327" i="431"/>
  <c r="S327" i="431"/>
  <c r="R327" i="431"/>
  <c r="Q327" i="431"/>
  <c r="B327" i="431"/>
  <c r="P327" i="431" s="1"/>
  <c r="AJ326" i="431"/>
  <c r="V326" i="431"/>
  <c r="U326" i="431"/>
  <c r="T326" i="431"/>
  <c r="S326" i="431"/>
  <c r="R326" i="431"/>
  <c r="Q326" i="431"/>
  <c r="B326" i="431"/>
  <c r="P326" i="431" s="1"/>
  <c r="AJ325" i="431"/>
  <c r="V325" i="431"/>
  <c r="U325" i="431"/>
  <c r="T325" i="431"/>
  <c r="S325" i="431"/>
  <c r="R325" i="431"/>
  <c r="Q325" i="431"/>
  <c r="B325" i="431"/>
  <c r="P325" i="431" s="1"/>
  <c r="AJ324" i="431"/>
  <c r="V324" i="431"/>
  <c r="U324" i="431"/>
  <c r="T324" i="431"/>
  <c r="S324" i="431"/>
  <c r="R324" i="431"/>
  <c r="Q324" i="431"/>
  <c r="B324" i="431"/>
  <c r="P324" i="431" s="1"/>
  <c r="AJ323" i="431"/>
  <c r="V323" i="431"/>
  <c r="U323" i="431"/>
  <c r="T323" i="431"/>
  <c r="S323" i="431"/>
  <c r="R323" i="431"/>
  <c r="Q323" i="431"/>
  <c r="B323" i="431"/>
  <c r="P323" i="431" s="1"/>
  <c r="AJ322" i="431"/>
  <c r="V322" i="431"/>
  <c r="U322" i="431"/>
  <c r="T322" i="431"/>
  <c r="S322" i="431"/>
  <c r="R322" i="431"/>
  <c r="Q322" i="431"/>
  <c r="B322" i="431"/>
  <c r="P322" i="431" s="1"/>
  <c r="AJ321" i="431"/>
  <c r="V321" i="431"/>
  <c r="U321" i="431"/>
  <c r="T321" i="431"/>
  <c r="S321" i="431"/>
  <c r="R321" i="431"/>
  <c r="Q321" i="431"/>
  <c r="B321" i="431"/>
  <c r="P321" i="431" s="1"/>
  <c r="AJ320" i="431"/>
  <c r="V320" i="431"/>
  <c r="U320" i="431"/>
  <c r="T320" i="431"/>
  <c r="S320" i="431"/>
  <c r="R320" i="431"/>
  <c r="Q320" i="431"/>
  <c r="B320" i="431"/>
  <c r="P320" i="431" s="1"/>
  <c r="AJ319" i="431"/>
  <c r="V319" i="431"/>
  <c r="U319" i="431"/>
  <c r="T319" i="431"/>
  <c r="S319" i="431"/>
  <c r="R319" i="431"/>
  <c r="Q319" i="431"/>
  <c r="B319" i="431"/>
  <c r="P319" i="431" s="1"/>
  <c r="AJ318" i="431"/>
  <c r="V318" i="431"/>
  <c r="U318" i="431"/>
  <c r="T318" i="431"/>
  <c r="S318" i="431"/>
  <c r="R318" i="431"/>
  <c r="Q318" i="431"/>
  <c r="B318" i="431"/>
  <c r="P318" i="431" s="1"/>
  <c r="AJ317" i="431"/>
  <c r="V317" i="431"/>
  <c r="U317" i="431"/>
  <c r="T317" i="431"/>
  <c r="S317" i="431"/>
  <c r="R317" i="431"/>
  <c r="Q317" i="431"/>
  <c r="B317" i="431"/>
  <c r="P317" i="431" s="1"/>
  <c r="AJ316" i="431"/>
  <c r="V316" i="431"/>
  <c r="U316" i="431"/>
  <c r="T316" i="431"/>
  <c r="S316" i="431"/>
  <c r="R316" i="431"/>
  <c r="Q316" i="431"/>
  <c r="B316" i="431"/>
  <c r="P316" i="431" s="1"/>
  <c r="AJ315" i="431"/>
  <c r="V315" i="431"/>
  <c r="U315" i="431"/>
  <c r="T315" i="431"/>
  <c r="S315" i="431"/>
  <c r="R315" i="431"/>
  <c r="Q315" i="431"/>
  <c r="B315" i="431"/>
  <c r="P315" i="431" s="1"/>
  <c r="AJ314" i="431"/>
  <c r="V314" i="431"/>
  <c r="U314" i="431"/>
  <c r="T314" i="431"/>
  <c r="S314" i="431"/>
  <c r="R314" i="431"/>
  <c r="Q314" i="431"/>
  <c r="B314" i="431"/>
  <c r="P314" i="431" s="1"/>
  <c r="AJ313" i="431"/>
  <c r="V313" i="431"/>
  <c r="U313" i="431"/>
  <c r="T313" i="431"/>
  <c r="S313" i="431"/>
  <c r="R313" i="431"/>
  <c r="Q313" i="431"/>
  <c r="B313" i="431"/>
  <c r="P313" i="431" s="1"/>
  <c r="AJ312" i="431"/>
  <c r="V312" i="431"/>
  <c r="U312" i="431"/>
  <c r="T312" i="431"/>
  <c r="S312" i="431"/>
  <c r="R312" i="431"/>
  <c r="Q312" i="431"/>
  <c r="B312" i="431"/>
  <c r="P312" i="431" s="1"/>
  <c r="AJ311" i="431"/>
  <c r="V311" i="431"/>
  <c r="U311" i="431"/>
  <c r="T311" i="431"/>
  <c r="S311" i="431"/>
  <c r="R311" i="431"/>
  <c r="Q311" i="431"/>
  <c r="B311" i="431"/>
  <c r="P311" i="431" s="1"/>
  <c r="AJ310" i="431"/>
  <c r="V310" i="431"/>
  <c r="U310" i="431"/>
  <c r="T310" i="431"/>
  <c r="S310" i="431"/>
  <c r="R310" i="431"/>
  <c r="Q310" i="431"/>
  <c r="B310" i="431"/>
  <c r="P310" i="431" s="1"/>
  <c r="AJ309" i="431"/>
  <c r="V309" i="431"/>
  <c r="U309" i="431"/>
  <c r="T309" i="431"/>
  <c r="S309" i="431"/>
  <c r="R309" i="431"/>
  <c r="Q309" i="431"/>
  <c r="B309" i="431"/>
  <c r="P309" i="431" s="1"/>
  <c r="AJ308" i="431"/>
  <c r="V308" i="431"/>
  <c r="U308" i="431"/>
  <c r="T308" i="431"/>
  <c r="S308" i="431"/>
  <c r="R308" i="431"/>
  <c r="Q308" i="431"/>
  <c r="B308" i="431"/>
  <c r="P308" i="431" s="1"/>
  <c r="AJ307" i="431"/>
  <c r="V307" i="431"/>
  <c r="U307" i="431"/>
  <c r="T307" i="431"/>
  <c r="S307" i="431"/>
  <c r="R307" i="431"/>
  <c r="Q307" i="431"/>
  <c r="B307" i="431"/>
  <c r="P307" i="431" s="1"/>
  <c r="AJ306" i="431"/>
  <c r="V306" i="431"/>
  <c r="U306" i="431"/>
  <c r="T306" i="431"/>
  <c r="S306" i="431"/>
  <c r="R306" i="431"/>
  <c r="Q306" i="431"/>
  <c r="B306" i="431"/>
  <c r="P306" i="431" s="1"/>
  <c r="AJ305" i="431"/>
  <c r="V305" i="431"/>
  <c r="U305" i="431"/>
  <c r="T305" i="431"/>
  <c r="S305" i="431"/>
  <c r="R305" i="431"/>
  <c r="Q305" i="431"/>
  <c r="B305" i="431"/>
  <c r="P305" i="431" s="1"/>
  <c r="AJ304" i="431"/>
  <c r="V304" i="431"/>
  <c r="U304" i="431"/>
  <c r="T304" i="431"/>
  <c r="S304" i="431"/>
  <c r="R304" i="431"/>
  <c r="Q304" i="431"/>
  <c r="B304" i="431"/>
  <c r="P304" i="431" s="1"/>
  <c r="AJ303" i="431"/>
  <c r="V303" i="431"/>
  <c r="U303" i="431"/>
  <c r="T303" i="431"/>
  <c r="S303" i="431"/>
  <c r="R303" i="431"/>
  <c r="Q303" i="431"/>
  <c r="B303" i="431"/>
  <c r="P303" i="431" s="1"/>
  <c r="AJ302" i="431"/>
  <c r="V302" i="431"/>
  <c r="U302" i="431"/>
  <c r="T302" i="431"/>
  <c r="S302" i="431"/>
  <c r="R302" i="431"/>
  <c r="Q302" i="431"/>
  <c r="B302" i="431"/>
  <c r="P302" i="431" s="1"/>
  <c r="P744" i="434" l="1"/>
  <c r="U545" i="434"/>
  <c r="V545" i="434" s="1"/>
  <c r="U881" i="434"/>
  <c r="V881" i="434" s="1"/>
  <c r="U17" i="434"/>
  <c r="V17" i="434" s="1"/>
  <c r="P501" i="434"/>
  <c r="U739" i="434"/>
  <c r="U741" i="434"/>
  <c r="V741" i="434" s="1"/>
  <c r="U742" i="434"/>
  <c r="V742" i="434" s="1"/>
  <c r="U502" i="434"/>
  <c r="V502" i="434" s="1"/>
  <c r="U743" i="434"/>
  <c r="V743" i="434" s="1"/>
  <c r="P785" i="434"/>
  <c r="U454" i="434"/>
  <c r="V454" i="434" s="1"/>
  <c r="P209" i="434"/>
  <c r="U305" i="434"/>
  <c r="V305" i="434" s="1"/>
  <c r="U113" i="434"/>
  <c r="V113" i="434" s="1"/>
  <c r="U357" i="434"/>
  <c r="V357" i="434" s="1"/>
  <c r="U689" i="434"/>
  <c r="V689" i="434" s="1"/>
  <c r="U401" i="434"/>
  <c r="V401" i="434" s="1"/>
  <c r="P210" i="434"/>
  <c r="U497" i="434"/>
  <c r="V497" i="434" s="1"/>
  <c r="U499" i="434"/>
  <c r="V499" i="434" s="1"/>
  <c r="U358" i="434"/>
  <c r="V358" i="434" s="1"/>
  <c r="U832" i="434"/>
  <c r="V832" i="434" s="1"/>
  <c r="U166" i="434"/>
  <c r="V166" i="434" s="1"/>
  <c r="U595" i="434"/>
  <c r="V595" i="434" s="1"/>
  <c r="U713" i="434"/>
  <c r="V713" i="434" s="1"/>
  <c r="U796" i="434"/>
  <c r="V796" i="434" s="1"/>
  <c r="U248" i="434"/>
  <c r="V248" i="434" s="1"/>
  <c r="V739" i="434"/>
  <c r="V45" i="434"/>
  <c r="U86" i="434"/>
  <c r="V86" i="434" s="1"/>
  <c r="U127" i="434"/>
  <c r="V127" i="434" s="1"/>
  <c r="U249" i="434"/>
  <c r="V249" i="434" s="1"/>
  <c r="U290" i="434"/>
  <c r="V290" i="434" s="1"/>
  <c r="V331" i="434"/>
  <c r="V740" i="434"/>
  <c r="U780" i="434"/>
  <c r="V780" i="434" s="1"/>
  <c r="P142" i="434"/>
  <c r="P220" i="434"/>
  <c r="P254" i="434"/>
  <c r="P352" i="434"/>
  <c r="P469" i="434"/>
  <c r="P489" i="434"/>
  <c r="P541" i="434"/>
  <c r="P733" i="434"/>
  <c r="P766" i="434"/>
  <c r="P848" i="434"/>
  <c r="U46" i="434"/>
  <c r="V46" i="434" s="1"/>
  <c r="V128" i="434"/>
  <c r="V496" i="434"/>
  <c r="V821" i="434"/>
  <c r="T31" i="434"/>
  <c r="T306" i="434"/>
  <c r="T410" i="434"/>
  <c r="P607" i="434"/>
  <c r="P641" i="434"/>
  <c r="P727" i="434"/>
  <c r="U130" i="434"/>
  <c r="V130" i="434" s="1"/>
  <c r="U171" i="434"/>
  <c r="V171" i="434" s="1"/>
  <c r="U211" i="434"/>
  <c r="V211" i="434" s="1"/>
  <c r="U293" i="434"/>
  <c r="V293" i="434" s="1"/>
  <c r="U334" i="434"/>
  <c r="V334" i="434" s="1"/>
  <c r="U375" i="434"/>
  <c r="V375" i="434" s="1"/>
  <c r="U457" i="434"/>
  <c r="V457" i="434" s="1"/>
  <c r="U498" i="434"/>
  <c r="V498" i="434" s="1"/>
  <c r="U581" i="434"/>
  <c r="V581" i="434" s="1"/>
  <c r="U622" i="434"/>
  <c r="V622" i="434" s="1"/>
  <c r="U663" i="434"/>
  <c r="V663" i="434" s="1"/>
  <c r="U783" i="434"/>
  <c r="V783" i="434" s="1"/>
  <c r="AS38" i="434"/>
  <c r="P52" i="434"/>
  <c r="T116" i="434"/>
  <c r="P267" i="434"/>
  <c r="P333" i="434"/>
  <c r="T404" i="434"/>
  <c r="T437" i="434"/>
  <c r="T514" i="434"/>
  <c r="T628" i="434"/>
  <c r="P681" i="434"/>
  <c r="U417" i="434"/>
  <c r="V417" i="434" s="1"/>
  <c r="V863" i="434"/>
  <c r="P97" i="434"/>
  <c r="P110" i="434"/>
  <c r="T122" i="434"/>
  <c r="T168" i="434"/>
  <c r="T174" i="434"/>
  <c r="AS214" i="434"/>
  <c r="P313" i="434"/>
  <c r="AS358" i="434"/>
  <c r="P385" i="434"/>
  <c r="P398" i="434"/>
  <c r="T541" i="434"/>
  <c r="T594" i="434"/>
  <c r="P601" i="434"/>
  <c r="T733" i="434"/>
  <c r="P800" i="434"/>
  <c r="T807" i="434"/>
  <c r="P814" i="434"/>
  <c r="P877" i="434"/>
  <c r="U49" i="434"/>
  <c r="V49" i="434" s="1"/>
  <c r="U90" i="434"/>
  <c r="V90" i="434" s="1"/>
  <c r="U173" i="434"/>
  <c r="V173" i="434" s="1"/>
  <c r="U253" i="434"/>
  <c r="V253" i="434" s="1"/>
  <c r="U336" i="434"/>
  <c r="V336" i="434" s="1"/>
  <c r="U418" i="434"/>
  <c r="V418" i="434" s="1"/>
  <c r="U459" i="434"/>
  <c r="V459" i="434" s="1"/>
  <c r="U500" i="434"/>
  <c r="V500" i="434" s="1"/>
  <c r="U624" i="434"/>
  <c r="V624" i="434" s="1"/>
  <c r="U705" i="434"/>
  <c r="V705" i="434" s="1"/>
  <c r="U864" i="434"/>
  <c r="V864" i="434" s="1"/>
  <c r="AS25" i="434"/>
  <c r="P32" i="434"/>
  <c r="T162" i="434"/>
  <c r="AS181" i="434"/>
  <c r="T241" i="434"/>
  <c r="P274" i="434"/>
  <c r="AS280" i="434"/>
  <c r="T287" i="434"/>
  <c r="P392" i="434"/>
  <c r="T450" i="434"/>
  <c r="P477" i="434"/>
  <c r="P529" i="434"/>
  <c r="T554" i="434"/>
  <c r="AS568" i="434"/>
  <c r="T641" i="434"/>
  <c r="P694" i="434"/>
  <c r="P721" i="434"/>
  <c r="AS793" i="434"/>
  <c r="U11" i="434"/>
  <c r="V11" i="434" s="1"/>
  <c r="U51" i="434"/>
  <c r="V51" i="434" s="1"/>
  <c r="U92" i="434"/>
  <c r="V92" i="434" s="1"/>
  <c r="U133" i="434"/>
  <c r="V133" i="434" s="1"/>
  <c r="U215" i="434"/>
  <c r="V215" i="434" s="1"/>
  <c r="U255" i="434"/>
  <c r="V255" i="434" s="1"/>
  <c r="U378" i="434"/>
  <c r="V378" i="434" s="1"/>
  <c r="U461" i="434"/>
  <c r="V461" i="434" s="1"/>
  <c r="U543" i="434"/>
  <c r="V543" i="434" s="1"/>
  <c r="U625" i="434"/>
  <c r="V625" i="434" s="1"/>
  <c r="U666" i="434"/>
  <c r="V666" i="434" s="1"/>
  <c r="U707" i="434"/>
  <c r="V707" i="434" s="1"/>
  <c r="U746" i="434"/>
  <c r="V746" i="434" s="1"/>
  <c r="U826" i="434"/>
  <c r="V826" i="434" s="1"/>
  <c r="U865" i="434"/>
  <c r="V865" i="434" s="1"/>
  <c r="P20" i="434"/>
  <c r="T52" i="434"/>
  <c r="AS149" i="434"/>
  <c r="P189" i="434"/>
  <c r="T248" i="434"/>
  <c r="T261" i="434"/>
  <c r="T267" i="434"/>
  <c r="T326" i="434"/>
  <c r="T333" i="434"/>
  <c r="P340" i="434"/>
  <c r="P353" i="434"/>
  <c r="P405" i="434"/>
  <c r="T444" i="434"/>
  <c r="P490" i="434"/>
  <c r="T548" i="434"/>
  <c r="T561" i="434"/>
  <c r="AS575" i="434"/>
  <c r="AS588" i="434"/>
  <c r="T654" i="434"/>
  <c r="T746" i="434"/>
  <c r="AS780" i="434"/>
  <c r="T828" i="434"/>
  <c r="U93" i="434"/>
  <c r="V93" i="434" s="1"/>
  <c r="U134" i="434"/>
  <c r="V134" i="434" s="1"/>
  <c r="U175" i="434"/>
  <c r="V175" i="434" s="1"/>
  <c r="U216" i="434"/>
  <c r="V216" i="434" s="1"/>
  <c r="U297" i="434"/>
  <c r="V297" i="434" s="1"/>
  <c r="U338" i="434"/>
  <c r="V338" i="434" s="1"/>
  <c r="U379" i="434"/>
  <c r="V379" i="434" s="1"/>
  <c r="U420" i="434"/>
  <c r="V420" i="434" s="1"/>
  <c r="U462" i="434"/>
  <c r="V462" i="434" s="1"/>
  <c r="U503" i="434"/>
  <c r="V503" i="434" s="1"/>
  <c r="U585" i="434"/>
  <c r="V585" i="434" s="1"/>
  <c r="U667" i="434"/>
  <c r="V667" i="434" s="1"/>
  <c r="U747" i="434"/>
  <c r="V747" i="434" s="1"/>
  <c r="U786" i="434"/>
  <c r="V786" i="434" s="1"/>
  <c r="U866" i="434"/>
  <c r="V866" i="434" s="1"/>
  <c r="T97" i="434"/>
  <c r="T385" i="434"/>
  <c r="AS424" i="434"/>
  <c r="T635" i="434"/>
  <c r="AS863" i="434"/>
  <c r="T877" i="434"/>
  <c r="U12" i="434"/>
  <c r="V12" i="434" s="1"/>
  <c r="U94" i="434"/>
  <c r="V94" i="434" s="1"/>
  <c r="U135" i="434"/>
  <c r="V135" i="434" s="1"/>
  <c r="U176" i="434"/>
  <c r="V176" i="434" s="1"/>
  <c r="U298" i="434"/>
  <c r="V298" i="434" s="1"/>
  <c r="U339" i="434"/>
  <c r="V339" i="434" s="1"/>
  <c r="U380" i="434"/>
  <c r="V380" i="434" s="1"/>
  <c r="U421" i="434"/>
  <c r="V421" i="434" s="1"/>
  <c r="U504" i="434"/>
  <c r="V504" i="434" s="1"/>
  <c r="U586" i="434"/>
  <c r="V586" i="434" s="1"/>
  <c r="U627" i="434"/>
  <c r="V627" i="434" s="1"/>
  <c r="U668" i="434"/>
  <c r="V668" i="434" s="1"/>
  <c r="U708" i="434"/>
  <c r="V708" i="434" s="1"/>
  <c r="U787" i="434"/>
  <c r="V787" i="434" s="1"/>
  <c r="T65" i="434"/>
  <c r="AS136" i="434"/>
  <c r="P281" i="434"/>
  <c r="AS313" i="434"/>
  <c r="P320" i="434"/>
  <c r="AS431" i="434"/>
  <c r="AS601" i="434"/>
  <c r="P608" i="434"/>
  <c r="P669" i="434"/>
  <c r="P728" i="434"/>
  <c r="P734" i="434"/>
  <c r="T740" i="434"/>
  <c r="U13" i="434"/>
  <c r="V13" i="434" s="1"/>
  <c r="U54" i="434"/>
  <c r="V54" i="434" s="1"/>
  <c r="U95" i="434"/>
  <c r="V95" i="434" s="1"/>
  <c r="U136" i="434"/>
  <c r="V136" i="434" s="1"/>
  <c r="U177" i="434"/>
  <c r="V177" i="434" s="1"/>
  <c r="U257" i="434"/>
  <c r="V257" i="434" s="1"/>
  <c r="U299" i="434"/>
  <c r="V299" i="434" s="1"/>
  <c r="U381" i="434"/>
  <c r="V381" i="434" s="1"/>
  <c r="U422" i="434"/>
  <c r="V422" i="434" s="1"/>
  <c r="U463" i="434"/>
  <c r="V463" i="434" s="1"/>
  <c r="U587" i="434"/>
  <c r="V587" i="434" s="1"/>
  <c r="U709" i="434"/>
  <c r="V709" i="434" s="1"/>
  <c r="U749" i="434"/>
  <c r="V749" i="434" s="1"/>
  <c r="U788" i="434"/>
  <c r="V788" i="434" s="1"/>
  <c r="U828" i="434"/>
  <c r="V828" i="434" s="1"/>
  <c r="U868" i="434"/>
  <c r="V868" i="434" s="1"/>
  <c r="T274" i="434"/>
  <c r="T392" i="434"/>
  <c r="T477" i="434"/>
  <c r="AS760" i="434"/>
  <c r="U14" i="434"/>
  <c r="V14" i="434" s="1"/>
  <c r="U178" i="434"/>
  <c r="V178" i="434" s="1"/>
  <c r="U218" i="434"/>
  <c r="V218" i="434" s="1"/>
  <c r="U258" i="434"/>
  <c r="V258" i="434" s="1"/>
  <c r="U341" i="434"/>
  <c r="V341" i="434" s="1"/>
  <c r="U423" i="434"/>
  <c r="V423" i="434" s="1"/>
  <c r="U464" i="434"/>
  <c r="V464" i="434" s="1"/>
  <c r="U505" i="434"/>
  <c r="V505" i="434" s="1"/>
  <c r="U546" i="434"/>
  <c r="V546" i="434" s="1"/>
  <c r="U629" i="434"/>
  <c r="V629" i="434" s="1"/>
  <c r="U710" i="434"/>
  <c r="V710" i="434" s="1"/>
  <c r="U750" i="434"/>
  <c r="V750" i="434" s="1"/>
  <c r="U789" i="434"/>
  <c r="V789" i="434" s="1"/>
  <c r="U829" i="434"/>
  <c r="V829" i="434" s="1"/>
  <c r="T340" i="434"/>
  <c r="T353" i="434"/>
  <c r="T372" i="434"/>
  <c r="T405" i="434"/>
  <c r="T629" i="434"/>
  <c r="AS694" i="434"/>
  <c r="AS767" i="434"/>
  <c r="U15" i="434"/>
  <c r="V15" i="434" s="1"/>
  <c r="U55" i="434"/>
  <c r="V55" i="434" s="1"/>
  <c r="U137" i="434"/>
  <c r="V137" i="434" s="1"/>
  <c r="U179" i="434"/>
  <c r="V179" i="434" s="1"/>
  <c r="U259" i="434"/>
  <c r="V259" i="434" s="1"/>
  <c r="U300" i="434"/>
  <c r="V300" i="434" s="1"/>
  <c r="U342" i="434"/>
  <c r="V342" i="434" s="1"/>
  <c r="U383" i="434"/>
  <c r="V383" i="434" s="1"/>
  <c r="U424" i="434"/>
  <c r="V424" i="434" s="1"/>
  <c r="U465" i="434"/>
  <c r="V465" i="434" s="1"/>
  <c r="U506" i="434"/>
  <c r="V506" i="434" s="1"/>
  <c r="U547" i="434"/>
  <c r="V547" i="434" s="1"/>
  <c r="U588" i="434"/>
  <c r="V588" i="434" s="1"/>
  <c r="U630" i="434"/>
  <c r="V630" i="434" s="1"/>
  <c r="U671" i="434"/>
  <c r="V671" i="434" s="1"/>
  <c r="U711" i="434"/>
  <c r="V711" i="434" s="1"/>
  <c r="U790" i="434"/>
  <c r="V790" i="434" s="1"/>
  <c r="U830" i="434"/>
  <c r="V830" i="434" s="1"/>
  <c r="U870" i="434"/>
  <c r="V870" i="434" s="1"/>
  <c r="P65" i="434"/>
  <c r="P202" i="434"/>
  <c r="T26" i="434"/>
  <c r="AS46" i="434"/>
  <c r="T59" i="434"/>
  <c r="T123" i="434"/>
  <c r="T175" i="434"/>
  <c r="T196" i="434"/>
  <c r="T228" i="434"/>
  <c r="P262" i="434"/>
  <c r="P268" i="434"/>
  <c r="P308" i="434"/>
  <c r="P432" i="434"/>
  <c r="P445" i="434"/>
  <c r="AS457" i="434"/>
  <c r="T484" i="434"/>
  <c r="AS490" i="434"/>
  <c r="T536" i="434"/>
  <c r="T569" i="434"/>
  <c r="P655" i="434"/>
  <c r="T794" i="434"/>
  <c r="P857" i="434"/>
  <c r="U138" i="434"/>
  <c r="V138" i="434" s="1"/>
  <c r="U507" i="434"/>
  <c r="V507" i="434" s="1"/>
  <c r="U548" i="434"/>
  <c r="V548" i="434" s="1"/>
  <c r="U672" i="434"/>
  <c r="V672" i="434" s="1"/>
  <c r="U712" i="434"/>
  <c r="V712" i="434" s="1"/>
  <c r="U751" i="434"/>
  <c r="V751" i="434" s="1"/>
  <c r="U791" i="434"/>
  <c r="V791" i="434" s="1"/>
  <c r="U831" i="434"/>
  <c r="V831" i="434" s="1"/>
  <c r="T773" i="434"/>
  <c r="P157" i="434"/>
  <c r="AS182" i="434"/>
  <c r="T281" i="434"/>
  <c r="T347" i="434"/>
  <c r="T418" i="434"/>
  <c r="P530" i="434"/>
  <c r="T669" i="434"/>
  <c r="P722" i="434"/>
  <c r="T728" i="434"/>
  <c r="P761" i="434"/>
  <c r="AS808" i="434"/>
  <c r="U57" i="434"/>
  <c r="V57" i="434" s="1"/>
  <c r="U98" i="434"/>
  <c r="V98" i="434" s="1"/>
  <c r="U180" i="434"/>
  <c r="V180" i="434" s="1"/>
  <c r="U221" i="434"/>
  <c r="V221" i="434" s="1"/>
  <c r="U261" i="434"/>
  <c r="V261" i="434" s="1"/>
  <c r="U302" i="434"/>
  <c r="V302" i="434" s="1"/>
  <c r="U343" i="434"/>
  <c r="V343" i="434" s="1"/>
  <c r="U425" i="434"/>
  <c r="V425" i="434" s="1"/>
  <c r="U467" i="434"/>
  <c r="V467" i="434" s="1"/>
  <c r="U508" i="434"/>
  <c r="V508" i="434" s="1"/>
  <c r="U549" i="434"/>
  <c r="V549" i="434" s="1"/>
  <c r="U631" i="434"/>
  <c r="V631" i="434" s="1"/>
  <c r="U792" i="434"/>
  <c r="V792" i="434" s="1"/>
  <c r="AS169" i="434"/>
  <c r="T425" i="434"/>
  <c r="T509" i="434"/>
  <c r="T562" i="434"/>
  <c r="T642" i="434"/>
  <c r="T701" i="434"/>
  <c r="U58" i="434"/>
  <c r="V58" i="434" s="1"/>
  <c r="U99" i="434"/>
  <c r="V99" i="434" s="1"/>
  <c r="U140" i="434"/>
  <c r="V140" i="434" s="1"/>
  <c r="U181" i="434"/>
  <c r="V181" i="434" s="1"/>
  <c r="U222" i="434"/>
  <c r="V222" i="434" s="1"/>
  <c r="U303" i="434"/>
  <c r="V303" i="434" s="1"/>
  <c r="U344" i="434"/>
  <c r="V344" i="434" s="1"/>
  <c r="U426" i="434"/>
  <c r="V426" i="434" s="1"/>
  <c r="U509" i="434"/>
  <c r="V509" i="434" s="1"/>
  <c r="U550" i="434"/>
  <c r="V550" i="434" s="1"/>
  <c r="U591" i="434"/>
  <c r="V591" i="434" s="1"/>
  <c r="U632" i="434"/>
  <c r="V632" i="434" s="1"/>
  <c r="U753" i="434"/>
  <c r="V753" i="434" s="1"/>
  <c r="T53" i="434"/>
  <c r="AS111" i="434"/>
  <c r="T203" i="434"/>
  <c r="AS399" i="434"/>
  <c r="AS523" i="434"/>
  <c r="AS555" i="434"/>
  <c r="T636" i="434"/>
  <c r="T676" i="434"/>
  <c r="T708" i="434"/>
  <c r="AS715" i="434"/>
  <c r="T747" i="434"/>
  <c r="AS815" i="434"/>
  <c r="T885" i="434"/>
  <c r="U18" i="434"/>
  <c r="V18" i="434" s="1"/>
  <c r="U59" i="434"/>
  <c r="V59" i="434" s="1"/>
  <c r="U182" i="434"/>
  <c r="V182" i="434" s="1"/>
  <c r="U263" i="434"/>
  <c r="V263" i="434" s="1"/>
  <c r="U386" i="434"/>
  <c r="V386" i="434" s="1"/>
  <c r="U427" i="434"/>
  <c r="V427" i="434" s="1"/>
  <c r="U468" i="434"/>
  <c r="V468" i="434" s="1"/>
  <c r="U510" i="434"/>
  <c r="V510" i="434" s="1"/>
  <c r="U551" i="434"/>
  <c r="V551" i="434" s="1"/>
  <c r="U754" i="434"/>
  <c r="V754" i="434" s="1"/>
  <c r="U793" i="434"/>
  <c r="V793" i="434" s="1"/>
  <c r="U833" i="434"/>
  <c r="V833" i="434" s="1"/>
  <c r="U873" i="434"/>
  <c r="V873" i="434" s="1"/>
  <c r="AS40" i="434"/>
  <c r="P118" i="434"/>
  <c r="T137" i="434"/>
  <c r="P164" i="434"/>
  <c r="P190" i="434"/>
  <c r="T308" i="434"/>
  <c r="P406" i="434"/>
  <c r="P452" i="434"/>
  <c r="AS616" i="434"/>
  <c r="P809" i="434"/>
  <c r="U19" i="434"/>
  <c r="V19" i="434" s="1"/>
  <c r="U183" i="434"/>
  <c r="V183" i="434" s="1"/>
  <c r="U223" i="434"/>
  <c r="V223" i="434" s="1"/>
  <c r="U264" i="434"/>
  <c r="V264" i="434" s="1"/>
  <c r="U346" i="434"/>
  <c r="V346" i="434" s="1"/>
  <c r="U387" i="434"/>
  <c r="V387" i="434" s="1"/>
  <c r="U428" i="434"/>
  <c r="V428" i="434" s="1"/>
  <c r="U552" i="434"/>
  <c r="V552" i="434" s="1"/>
  <c r="U675" i="434"/>
  <c r="V675" i="434" s="1"/>
  <c r="U714" i="434"/>
  <c r="V714" i="434" s="1"/>
  <c r="U755" i="434"/>
  <c r="V755" i="434" s="1"/>
  <c r="U794" i="434"/>
  <c r="V794" i="434" s="1"/>
  <c r="P105" i="434"/>
  <c r="P124" i="434"/>
  <c r="P151" i="434"/>
  <c r="AS262" i="434"/>
  <c r="AS268" i="434"/>
  <c r="P485" i="434"/>
  <c r="T761" i="434"/>
  <c r="U60" i="434"/>
  <c r="V60" i="434" s="1"/>
  <c r="U102" i="434"/>
  <c r="V102" i="434" s="1"/>
  <c r="U143" i="434"/>
  <c r="V143" i="434" s="1"/>
  <c r="U184" i="434"/>
  <c r="V184" i="434" s="1"/>
  <c r="U347" i="434"/>
  <c r="V347" i="434" s="1"/>
  <c r="U388" i="434"/>
  <c r="V388" i="434" s="1"/>
  <c r="U470" i="434"/>
  <c r="V470" i="434" s="1"/>
  <c r="U511" i="434"/>
  <c r="V511" i="434" s="1"/>
  <c r="U593" i="434"/>
  <c r="V593" i="434" s="1"/>
  <c r="U635" i="434"/>
  <c r="V635" i="434" s="1"/>
  <c r="U715" i="434"/>
  <c r="V715" i="434" s="1"/>
  <c r="U795" i="434"/>
  <c r="V795" i="434" s="1"/>
  <c r="U834" i="434"/>
  <c r="V834" i="434" s="1"/>
  <c r="U875" i="434"/>
  <c r="V875" i="434" s="1"/>
  <c r="U21" i="434"/>
  <c r="V21" i="434" s="1"/>
  <c r="U61" i="434"/>
  <c r="V61" i="434" s="1"/>
  <c r="U225" i="434"/>
  <c r="V225" i="434" s="1"/>
  <c r="U265" i="434"/>
  <c r="V265" i="434" s="1"/>
  <c r="U306" i="434"/>
  <c r="V306" i="434" s="1"/>
  <c r="U389" i="434"/>
  <c r="V389" i="434" s="1"/>
  <c r="U471" i="434"/>
  <c r="V471" i="434" s="1"/>
  <c r="U594" i="434"/>
  <c r="V594" i="434" s="1"/>
  <c r="U677" i="434"/>
  <c r="V677" i="434" s="1"/>
  <c r="U716" i="434"/>
  <c r="V716" i="434" s="1"/>
  <c r="U756" i="434"/>
  <c r="V756" i="434" s="1"/>
  <c r="U835" i="434"/>
  <c r="V835" i="434" s="1"/>
  <c r="U22" i="434"/>
  <c r="V22" i="434" s="1"/>
  <c r="U62" i="434"/>
  <c r="V62" i="434" s="1"/>
  <c r="U185" i="434"/>
  <c r="V185" i="434" s="1"/>
  <c r="U226" i="434"/>
  <c r="V226" i="434" s="1"/>
  <c r="U266" i="434"/>
  <c r="V266" i="434" s="1"/>
  <c r="U307" i="434"/>
  <c r="V307" i="434" s="1"/>
  <c r="U348" i="434"/>
  <c r="V348" i="434" s="1"/>
  <c r="U390" i="434"/>
  <c r="V390" i="434" s="1"/>
  <c r="U431" i="434"/>
  <c r="V431" i="434" s="1"/>
  <c r="U472" i="434"/>
  <c r="V472" i="434" s="1"/>
  <c r="U513" i="434"/>
  <c r="V513" i="434" s="1"/>
  <c r="U554" i="434"/>
  <c r="V554" i="434" s="1"/>
  <c r="U636" i="434"/>
  <c r="V636" i="434" s="1"/>
  <c r="U678" i="434"/>
  <c r="V678" i="434" s="1"/>
  <c r="U717" i="434"/>
  <c r="V717" i="434" s="1"/>
  <c r="U757" i="434"/>
  <c r="V757" i="434" s="1"/>
  <c r="U797" i="434"/>
  <c r="V797" i="434" s="1"/>
  <c r="U836" i="434"/>
  <c r="V836" i="434" s="1"/>
  <c r="T164" i="434"/>
  <c r="P309" i="434"/>
  <c r="P637" i="434"/>
  <c r="P886" i="434"/>
  <c r="U23" i="434"/>
  <c r="V23" i="434" s="1"/>
  <c r="U63" i="434"/>
  <c r="V63" i="434" s="1"/>
  <c r="U145" i="434"/>
  <c r="V145" i="434" s="1"/>
  <c r="U186" i="434"/>
  <c r="V186" i="434" s="1"/>
  <c r="U227" i="434"/>
  <c r="V227" i="434" s="1"/>
  <c r="U349" i="434"/>
  <c r="V349" i="434" s="1"/>
  <c r="U555" i="434"/>
  <c r="V555" i="434" s="1"/>
  <c r="U596" i="434"/>
  <c r="V596" i="434" s="1"/>
  <c r="U758" i="434"/>
  <c r="V758" i="434" s="1"/>
  <c r="U798" i="434"/>
  <c r="V798" i="434" s="1"/>
  <c r="U837" i="434"/>
  <c r="V837" i="434" s="1"/>
  <c r="P73" i="434"/>
  <c r="P158" i="434"/>
  <c r="P237" i="434"/>
  <c r="AS406" i="434"/>
  <c r="P440" i="434"/>
  <c r="P446" i="434"/>
  <c r="T683" i="434"/>
  <c r="P769" i="434"/>
  <c r="T872" i="434"/>
  <c r="U24" i="434"/>
  <c r="V24" i="434" s="1"/>
  <c r="U146" i="434"/>
  <c r="V146" i="434" s="1"/>
  <c r="U473" i="434"/>
  <c r="V473" i="434" s="1"/>
  <c r="U515" i="434"/>
  <c r="V515" i="434" s="1"/>
  <c r="U556" i="434"/>
  <c r="V556" i="434" s="1"/>
  <c r="U597" i="434"/>
  <c r="V597" i="434" s="1"/>
  <c r="U638" i="434"/>
  <c r="V638" i="434" s="1"/>
  <c r="U679" i="434"/>
  <c r="V679" i="434" s="1"/>
  <c r="U719" i="434"/>
  <c r="V719" i="434" s="1"/>
  <c r="U759" i="434"/>
  <c r="V759" i="434" s="1"/>
  <c r="U838" i="434"/>
  <c r="V838" i="434" s="1"/>
  <c r="U878" i="434"/>
  <c r="V878" i="434" s="1"/>
  <c r="T34" i="434"/>
  <c r="T204" i="434"/>
  <c r="P244" i="434"/>
  <c r="P322" i="434"/>
  <c r="T335" i="434"/>
  <c r="P361" i="434"/>
  <c r="T465" i="434"/>
  <c r="T510" i="434"/>
  <c r="T617" i="434"/>
  <c r="P776" i="434"/>
  <c r="U106" i="434"/>
  <c r="V106" i="434" s="1"/>
  <c r="U147" i="434"/>
  <c r="V147" i="434" s="1"/>
  <c r="U187" i="434"/>
  <c r="V187" i="434" s="1"/>
  <c r="U228" i="434"/>
  <c r="V228" i="434" s="1"/>
  <c r="U269" i="434"/>
  <c r="V269" i="434" s="1"/>
  <c r="U310" i="434"/>
  <c r="V310" i="434" s="1"/>
  <c r="U351" i="434"/>
  <c r="V351" i="434" s="1"/>
  <c r="U474" i="434"/>
  <c r="V474" i="434" s="1"/>
  <c r="U557" i="434"/>
  <c r="V557" i="434" s="1"/>
  <c r="U598" i="434"/>
  <c r="V598" i="434" s="1"/>
  <c r="U639" i="434"/>
  <c r="V639" i="434" s="1"/>
  <c r="U680" i="434"/>
  <c r="V680" i="434" s="1"/>
  <c r="U760" i="434"/>
  <c r="V760" i="434" s="1"/>
  <c r="U839" i="434"/>
  <c r="V839" i="434" s="1"/>
  <c r="U879" i="434"/>
  <c r="V879" i="434" s="1"/>
  <c r="AS15" i="434"/>
  <c r="T41" i="434"/>
  <c r="T263" i="434"/>
  <c r="T269" i="434"/>
  <c r="T296" i="434"/>
  <c r="T315" i="434"/>
  <c r="T584" i="434"/>
  <c r="T603" i="434"/>
  <c r="T677" i="434"/>
  <c r="T789" i="434"/>
  <c r="T837" i="434"/>
  <c r="U107" i="434"/>
  <c r="V107" i="434" s="1"/>
  <c r="U148" i="434"/>
  <c r="V148" i="434" s="1"/>
  <c r="U188" i="434"/>
  <c r="V188" i="434" s="1"/>
  <c r="U229" i="434"/>
  <c r="V229" i="434" s="1"/>
  <c r="U270" i="434"/>
  <c r="V270" i="434" s="1"/>
  <c r="U311" i="434"/>
  <c r="V311" i="434" s="1"/>
  <c r="U434" i="434"/>
  <c r="V434" i="434" s="1"/>
  <c r="U475" i="434"/>
  <c r="V475" i="434" s="1"/>
  <c r="U516" i="434"/>
  <c r="V516" i="434" s="1"/>
  <c r="U558" i="434"/>
  <c r="V558" i="434" s="1"/>
  <c r="U599" i="434"/>
  <c r="V599" i="434" s="1"/>
  <c r="U840" i="434"/>
  <c r="V840" i="434" s="1"/>
  <c r="U880" i="434"/>
  <c r="V880" i="434" s="1"/>
  <c r="AS54" i="434"/>
  <c r="T79" i="434"/>
  <c r="P152" i="434"/>
  <c r="P165" i="434"/>
  <c r="T276" i="434"/>
  <c r="T309" i="434"/>
  <c r="P453" i="434"/>
  <c r="T504" i="434"/>
  <c r="P525" i="434"/>
  <c r="T637" i="434"/>
  <c r="P736" i="434"/>
  <c r="U26" i="434"/>
  <c r="V26" i="434" s="1"/>
  <c r="U66" i="434"/>
  <c r="V66" i="434" s="1"/>
  <c r="U149" i="434"/>
  <c r="V149" i="434" s="1"/>
  <c r="U230" i="434"/>
  <c r="V230" i="434" s="1"/>
  <c r="U312" i="434"/>
  <c r="V312" i="434" s="1"/>
  <c r="U394" i="434"/>
  <c r="V394" i="434" s="1"/>
  <c r="U435" i="434"/>
  <c r="V435" i="434" s="1"/>
  <c r="U476" i="434"/>
  <c r="V476" i="434" s="1"/>
  <c r="U517" i="434"/>
  <c r="V517" i="434" s="1"/>
  <c r="U600" i="434"/>
  <c r="V600" i="434" s="1"/>
  <c r="U801" i="434"/>
  <c r="V801" i="434" s="1"/>
  <c r="T93" i="434"/>
  <c r="T237" i="434"/>
  <c r="T257" i="434"/>
  <c r="P329" i="434"/>
  <c r="T440" i="434"/>
  <c r="AS472" i="434"/>
  <c r="AS550" i="434"/>
  <c r="U27" i="434"/>
  <c r="V27" i="434" s="1"/>
  <c r="U67" i="434"/>
  <c r="V67" i="434" s="1"/>
  <c r="U108" i="434"/>
  <c r="V108" i="434" s="1"/>
  <c r="U150" i="434"/>
  <c r="V150" i="434" s="1"/>
  <c r="U231" i="434"/>
  <c r="V231" i="434" s="1"/>
  <c r="U271" i="434"/>
  <c r="V271" i="434" s="1"/>
  <c r="U395" i="434"/>
  <c r="V395" i="434" s="1"/>
  <c r="U518" i="434"/>
  <c r="V518" i="434" s="1"/>
  <c r="U559" i="434"/>
  <c r="V559" i="434" s="1"/>
  <c r="U683" i="434"/>
  <c r="V683" i="434" s="1"/>
  <c r="U802" i="434"/>
  <c r="V802" i="434" s="1"/>
  <c r="U841" i="434"/>
  <c r="V841" i="434" s="1"/>
  <c r="AS73" i="434"/>
  <c r="U28" i="434"/>
  <c r="V28" i="434" s="1"/>
  <c r="U68" i="434"/>
  <c r="V68" i="434" s="1"/>
  <c r="U191" i="434"/>
  <c r="V191" i="434" s="1"/>
  <c r="U232" i="434"/>
  <c r="V232" i="434" s="1"/>
  <c r="U272" i="434"/>
  <c r="V272" i="434" s="1"/>
  <c r="U354" i="434"/>
  <c r="V354" i="434" s="1"/>
  <c r="U519" i="434"/>
  <c r="V519" i="434" s="1"/>
  <c r="U642" i="434"/>
  <c r="V642" i="434" s="1"/>
  <c r="U723" i="434"/>
  <c r="V723" i="434" s="1"/>
  <c r="U762" i="434"/>
  <c r="V762" i="434" s="1"/>
  <c r="U803" i="434"/>
  <c r="V803" i="434" s="1"/>
  <c r="U842" i="434"/>
  <c r="V842" i="434" s="1"/>
  <c r="AS191" i="434"/>
  <c r="P205" i="434"/>
  <c r="AS230" i="434"/>
  <c r="P368" i="434"/>
  <c r="T407" i="434"/>
  <c r="T420" i="434"/>
  <c r="T557" i="434"/>
  <c r="T644" i="434"/>
  <c r="AS664" i="434"/>
  <c r="T690" i="434"/>
  <c r="U29" i="434"/>
  <c r="V29" i="434" s="1"/>
  <c r="U69" i="434"/>
  <c r="V69" i="434" s="1"/>
  <c r="U273" i="434"/>
  <c r="V273" i="434" s="1"/>
  <c r="U314" i="434"/>
  <c r="V314" i="434" s="1"/>
  <c r="U355" i="434"/>
  <c r="V355" i="434" s="1"/>
  <c r="U396" i="434"/>
  <c r="V396" i="434" s="1"/>
  <c r="U438" i="434"/>
  <c r="V438" i="434" s="1"/>
  <c r="U479" i="434"/>
  <c r="V479" i="434" s="1"/>
  <c r="U520" i="434"/>
  <c r="V520" i="434" s="1"/>
  <c r="U561" i="434"/>
  <c r="V561" i="434" s="1"/>
  <c r="U602" i="434"/>
  <c r="V602" i="434" s="1"/>
  <c r="U643" i="434"/>
  <c r="V643" i="434" s="1"/>
  <c r="U684" i="434"/>
  <c r="V684" i="434" s="1"/>
  <c r="U763" i="434"/>
  <c r="V763" i="434" s="1"/>
  <c r="U843" i="434"/>
  <c r="V843" i="434" s="1"/>
  <c r="U882" i="434"/>
  <c r="V882" i="434" s="1"/>
  <c r="T22" i="434"/>
  <c r="P80" i="434"/>
  <c r="T119" i="434"/>
  <c r="T125" i="434"/>
  <c r="T152" i="434"/>
  <c r="T165" i="434"/>
  <c r="AS217" i="434"/>
  <c r="T251" i="434"/>
  <c r="P277" i="434"/>
  <c r="AS303" i="434"/>
  <c r="P316" i="434"/>
  <c r="T388" i="434"/>
  <c r="AS427" i="434"/>
  <c r="T453" i="434"/>
  <c r="T525" i="434"/>
  <c r="T538" i="434"/>
  <c r="T564" i="434"/>
  <c r="P604" i="434"/>
  <c r="T684" i="434"/>
  <c r="P697" i="434"/>
  <c r="T717" i="434"/>
  <c r="P770" i="434"/>
  <c r="U30" i="434"/>
  <c r="V30" i="434" s="1"/>
  <c r="U111" i="434"/>
  <c r="V111" i="434" s="1"/>
  <c r="U315" i="434"/>
  <c r="V315" i="434" s="1"/>
  <c r="U356" i="434"/>
  <c r="V356" i="434" s="1"/>
  <c r="U480" i="434"/>
  <c r="V480" i="434" s="1"/>
  <c r="U562" i="434"/>
  <c r="V562" i="434" s="1"/>
  <c r="U603" i="434"/>
  <c r="V603" i="434" s="1"/>
  <c r="U644" i="434"/>
  <c r="V644" i="434" s="1"/>
  <c r="U725" i="434"/>
  <c r="V725" i="434" s="1"/>
  <c r="U764" i="434"/>
  <c r="V764" i="434" s="1"/>
  <c r="U804" i="434"/>
  <c r="V804" i="434" s="1"/>
  <c r="U844" i="434"/>
  <c r="V844" i="434" s="1"/>
  <c r="U883" i="434"/>
  <c r="V883" i="434" s="1"/>
  <c r="T58" i="434"/>
  <c r="AS28" i="434"/>
  <c r="T100" i="434"/>
  <c r="T113" i="434"/>
  <c r="T132" i="434"/>
  <c r="T171" i="434"/>
  <c r="T329" i="434"/>
  <c r="T349" i="434"/>
  <c r="T401" i="434"/>
  <c r="AS671" i="434"/>
  <c r="AS817" i="434"/>
  <c r="T824" i="434"/>
  <c r="AS859" i="434"/>
  <c r="U71" i="434"/>
  <c r="V71" i="434" s="1"/>
  <c r="U193" i="434"/>
  <c r="V193" i="434" s="1"/>
  <c r="U234" i="434"/>
  <c r="V234" i="434" s="1"/>
  <c r="U275" i="434"/>
  <c r="V275" i="434" s="1"/>
  <c r="U521" i="434"/>
  <c r="V521" i="434" s="1"/>
  <c r="U563" i="434"/>
  <c r="V563" i="434" s="1"/>
  <c r="U645" i="434"/>
  <c r="V645" i="434" s="1"/>
  <c r="U686" i="434"/>
  <c r="V686" i="434" s="1"/>
  <c r="U726" i="434"/>
  <c r="V726" i="434" s="1"/>
  <c r="U765" i="434"/>
  <c r="V765" i="434" s="1"/>
  <c r="U805" i="434"/>
  <c r="V805" i="434" s="1"/>
  <c r="U845" i="434"/>
  <c r="V845" i="434" s="1"/>
  <c r="U884" i="434"/>
  <c r="V884" i="434" s="1"/>
  <c r="T270" i="434"/>
  <c r="T466" i="434"/>
  <c r="P493" i="434"/>
  <c r="T532" i="434"/>
  <c r="AS591" i="434"/>
  <c r="T724" i="434"/>
  <c r="AS730" i="434"/>
  <c r="T749" i="434"/>
  <c r="T756" i="434"/>
  <c r="T845" i="434"/>
  <c r="T852" i="434"/>
  <c r="U31" i="434"/>
  <c r="V31" i="434" s="1"/>
  <c r="U72" i="434"/>
  <c r="V72" i="434" s="1"/>
  <c r="U154" i="434"/>
  <c r="V154" i="434" s="1"/>
  <c r="U194" i="434"/>
  <c r="V194" i="434" s="1"/>
  <c r="U317" i="434"/>
  <c r="V317" i="434" s="1"/>
  <c r="U399" i="434"/>
  <c r="V399" i="434" s="1"/>
  <c r="U481" i="434"/>
  <c r="V481" i="434" s="1"/>
  <c r="U522" i="434"/>
  <c r="V522" i="434" s="1"/>
  <c r="U605" i="434"/>
  <c r="V605" i="434" s="1"/>
  <c r="U646" i="434"/>
  <c r="V646" i="434" s="1"/>
  <c r="U687" i="434"/>
  <c r="V687" i="434" s="1"/>
  <c r="U806" i="434"/>
  <c r="V806" i="434" s="1"/>
  <c r="U846" i="434"/>
  <c r="V846" i="434" s="1"/>
  <c r="U885" i="434"/>
  <c r="V885" i="434" s="1"/>
  <c r="T205" i="434"/>
  <c r="T264" i="434"/>
  <c r="T395" i="434"/>
  <c r="T473" i="434"/>
  <c r="T551" i="434"/>
  <c r="T678" i="434"/>
  <c r="P691" i="434"/>
  <c r="P737" i="434"/>
  <c r="AS763" i="434"/>
  <c r="U155" i="434"/>
  <c r="V155" i="434" s="1"/>
  <c r="U195" i="434"/>
  <c r="V195" i="434" s="1"/>
  <c r="U235" i="434"/>
  <c r="V235" i="434" s="1"/>
  <c r="U276" i="434"/>
  <c r="V276" i="434" s="1"/>
  <c r="U318" i="434"/>
  <c r="V318" i="434" s="1"/>
  <c r="U359" i="434"/>
  <c r="V359" i="434" s="1"/>
  <c r="U523" i="434"/>
  <c r="V523" i="434" s="1"/>
  <c r="U564" i="434"/>
  <c r="V564" i="434" s="1"/>
  <c r="U606" i="434"/>
  <c r="V606" i="434" s="1"/>
  <c r="U647" i="434"/>
  <c r="V647" i="434" s="1"/>
  <c r="U767" i="434"/>
  <c r="V767" i="434" s="1"/>
  <c r="U807" i="434"/>
  <c r="V807" i="434" s="1"/>
  <c r="AS687" i="434"/>
  <c r="AS159" i="434"/>
  <c r="AS447" i="434"/>
  <c r="U33" i="434"/>
  <c r="V33" i="434" s="1"/>
  <c r="U114" i="434"/>
  <c r="V114" i="434" s="1"/>
  <c r="U236" i="434"/>
  <c r="V236" i="434" s="1"/>
  <c r="U360" i="434"/>
  <c r="V360" i="434" s="1"/>
  <c r="U483" i="434"/>
  <c r="V483" i="434" s="1"/>
  <c r="U524" i="434"/>
  <c r="V524" i="434" s="1"/>
  <c r="U565" i="434"/>
  <c r="V565" i="434" s="1"/>
  <c r="U648" i="434"/>
  <c r="V648" i="434" s="1"/>
  <c r="U808" i="434"/>
  <c r="V808" i="434" s="1"/>
  <c r="U847" i="434"/>
  <c r="V847" i="434" s="1"/>
  <c r="U887" i="434"/>
  <c r="V887" i="434" s="1"/>
  <c r="AS277" i="434"/>
  <c r="AS697" i="434"/>
  <c r="AS790" i="434"/>
  <c r="U34" i="434"/>
  <c r="V34" i="434" s="1"/>
  <c r="U74" i="434"/>
  <c r="V74" i="434" s="1"/>
  <c r="U115" i="434"/>
  <c r="V115" i="434" s="1"/>
  <c r="U156" i="434"/>
  <c r="V156" i="434" s="1"/>
  <c r="U197" i="434"/>
  <c r="V197" i="434" s="1"/>
  <c r="U278" i="434"/>
  <c r="V278" i="434" s="1"/>
  <c r="U319" i="434"/>
  <c r="V319" i="434" s="1"/>
  <c r="U443" i="434"/>
  <c r="V443" i="434" s="1"/>
  <c r="U566" i="434"/>
  <c r="V566" i="434" s="1"/>
  <c r="U888" i="434"/>
  <c r="V888" i="434" s="1"/>
  <c r="V214" i="434"/>
  <c r="U35" i="434"/>
  <c r="V35" i="434" s="1"/>
  <c r="U75" i="434"/>
  <c r="V75" i="434" s="1"/>
  <c r="U198" i="434"/>
  <c r="V198" i="434" s="1"/>
  <c r="U279" i="434"/>
  <c r="V279" i="434" s="1"/>
  <c r="U402" i="434"/>
  <c r="V402" i="434" s="1"/>
  <c r="U567" i="434"/>
  <c r="V567" i="434" s="1"/>
  <c r="U849" i="434"/>
  <c r="V849" i="434" s="1"/>
  <c r="P206" i="434"/>
  <c r="P285" i="434"/>
  <c r="P448" i="434"/>
  <c r="P573" i="434"/>
  <c r="U117" i="434"/>
  <c r="V117" i="434" s="1"/>
  <c r="U239" i="434"/>
  <c r="V239" i="434" s="1"/>
  <c r="U280" i="434"/>
  <c r="V280" i="434" s="1"/>
  <c r="U321" i="434"/>
  <c r="V321" i="434" s="1"/>
  <c r="U362" i="434"/>
  <c r="V362" i="434" s="1"/>
  <c r="U403" i="434"/>
  <c r="V403" i="434" s="1"/>
  <c r="U444" i="434"/>
  <c r="V444" i="434" s="1"/>
  <c r="U486" i="434"/>
  <c r="V486" i="434" s="1"/>
  <c r="U527" i="434"/>
  <c r="V527" i="434" s="1"/>
  <c r="U568" i="434"/>
  <c r="V568" i="434" s="1"/>
  <c r="U609" i="434"/>
  <c r="V609" i="434" s="1"/>
  <c r="U650" i="434"/>
  <c r="V650" i="434" s="1"/>
  <c r="U690" i="434"/>
  <c r="V690" i="434" s="1"/>
  <c r="U731" i="434"/>
  <c r="V731" i="434" s="1"/>
  <c r="U850" i="434"/>
  <c r="V850" i="434" s="1"/>
  <c r="U889" i="434"/>
  <c r="V889" i="434" s="1"/>
  <c r="U36" i="434"/>
  <c r="V36" i="434" s="1"/>
  <c r="U77" i="434"/>
  <c r="V77" i="434" s="1"/>
  <c r="U159" i="434"/>
  <c r="V159" i="434" s="1"/>
  <c r="U363" i="434"/>
  <c r="V363" i="434" s="1"/>
  <c r="U610" i="434"/>
  <c r="V610" i="434" s="1"/>
  <c r="U651" i="434"/>
  <c r="V651" i="434" s="1"/>
  <c r="U771" i="434"/>
  <c r="V771" i="434" s="1"/>
  <c r="U810" i="434"/>
  <c r="V810" i="434" s="1"/>
  <c r="U851" i="434"/>
  <c r="V851" i="434" s="1"/>
  <c r="U890" i="434"/>
  <c r="V890" i="434" s="1"/>
  <c r="T114" i="434"/>
  <c r="P200" i="434"/>
  <c r="T369" i="434"/>
  <c r="T402" i="434"/>
  <c r="T750" i="434"/>
  <c r="U37" i="434"/>
  <c r="V37" i="434" s="1"/>
  <c r="U78" i="434"/>
  <c r="V78" i="434" s="1"/>
  <c r="U119" i="434"/>
  <c r="V119" i="434" s="1"/>
  <c r="U323" i="434"/>
  <c r="V323" i="434" s="1"/>
  <c r="U569" i="434"/>
  <c r="V569" i="434" s="1"/>
  <c r="U611" i="434"/>
  <c r="V611" i="434" s="1"/>
  <c r="U692" i="434"/>
  <c r="V692" i="434" s="1"/>
  <c r="U732" i="434"/>
  <c r="V732" i="434" s="1"/>
  <c r="U772" i="434"/>
  <c r="V772" i="434" s="1"/>
  <c r="U811" i="434"/>
  <c r="V811" i="434" s="1"/>
  <c r="U891" i="434"/>
  <c r="V891" i="434" s="1"/>
  <c r="T317" i="434"/>
  <c r="T396" i="434"/>
  <c r="T533" i="434"/>
  <c r="T605" i="434"/>
  <c r="T612" i="434"/>
  <c r="U38" i="434"/>
  <c r="V38" i="434" s="1"/>
  <c r="U120" i="434"/>
  <c r="V120" i="434" s="1"/>
  <c r="U241" i="434"/>
  <c r="V241" i="434" s="1"/>
  <c r="U282" i="434"/>
  <c r="V282" i="434" s="1"/>
  <c r="U365" i="434"/>
  <c r="V365" i="434" s="1"/>
  <c r="U447" i="434"/>
  <c r="V447" i="434" s="1"/>
  <c r="U570" i="434"/>
  <c r="V570" i="434" s="1"/>
  <c r="U653" i="434"/>
  <c r="V653" i="434" s="1"/>
  <c r="U693" i="434"/>
  <c r="V693" i="434" s="1"/>
  <c r="U773" i="434"/>
  <c r="V773" i="434" s="1"/>
  <c r="U812" i="434"/>
  <c r="V812" i="434" s="1"/>
  <c r="U852" i="434"/>
  <c r="V852" i="434" s="1"/>
  <c r="U892" i="434"/>
  <c r="V892" i="434" s="1"/>
  <c r="T69" i="434"/>
  <c r="AS88" i="434"/>
  <c r="AS172" i="434"/>
  <c r="T285" i="434"/>
  <c r="T500" i="434"/>
  <c r="T573" i="434"/>
  <c r="T725" i="434"/>
  <c r="U39" i="434"/>
  <c r="V39" i="434" s="1"/>
  <c r="U79" i="434"/>
  <c r="V79" i="434" s="1"/>
  <c r="U161" i="434"/>
  <c r="V161" i="434" s="1"/>
  <c r="U242" i="434"/>
  <c r="V242" i="434" s="1"/>
  <c r="U283" i="434"/>
  <c r="V283" i="434" s="1"/>
  <c r="U324" i="434"/>
  <c r="V324" i="434" s="1"/>
  <c r="U366" i="434"/>
  <c r="V366" i="434" s="1"/>
  <c r="U407" i="434"/>
  <c r="V407" i="434" s="1"/>
  <c r="U571" i="434"/>
  <c r="V571" i="434" s="1"/>
  <c r="U612" i="434"/>
  <c r="V612" i="434" s="1"/>
  <c r="U654" i="434"/>
  <c r="V654" i="434" s="1"/>
  <c r="U774" i="434"/>
  <c r="V774" i="434" s="1"/>
  <c r="U853" i="434"/>
  <c r="V853" i="434" s="1"/>
  <c r="U893" i="434"/>
  <c r="V893" i="434" s="1"/>
  <c r="AS265" i="434"/>
  <c r="T506" i="434"/>
  <c r="AS586" i="434"/>
  <c r="AS639" i="434"/>
  <c r="T798" i="434"/>
  <c r="T868" i="434"/>
  <c r="U40" i="434"/>
  <c r="V40" i="434" s="1"/>
  <c r="U121" i="434"/>
  <c r="V121" i="434" s="1"/>
  <c r="U162" i="434"/>
  <c r="V162" i="434" s="1"/>
  <c r="U203" i="434"/>
  <c r="V203" i="434" s="1"/>
  <c r="U243" i="434"/>
  <c r="V243" i="434" s="1"/>
  <c r="U284" i="434"/>
  <c r="V284" i="434" s="1"/>
  <c r="U408" i="434"/>
  <c r="V408" i="434" s="1"/>
  <c r="U531" i="434"/>
  <c r="V531" i="434" s="1"/>
  <c r="U572" i="434"/>
  <c r="V572" i="434" s="1"/>
  <c r="U613" i="434"/>
  <c r="V613" i="434" s="1"/>
  <c r="U695" i="434"/>
  <c r="V695" i="434" s="1"/>
  <c r="U735" i="434"/>
  <c r="V735" i="434" s="1"/>
  <c r="U854" i="434"/>
  <c r="V854" i="434" s="1"/>
  <c r="U894" i="434"/>
  <c r="V894" i="434" s="1"/>
  <c r="T11" i="434"/>
  <c r="T50" i="434"/>
  <c r="T200" i="434"/>
  <c r="AS239" i="434"/>
  <c r="T363" i="434"/>
  <c r="P370" i="434"/>
  <c r="AS376" i="434"/>
  <c r="T422" i="434"/>
  <c r="T429" i="434"/>
  <c r="T461" i="434"/>
  <c r="T580" i="434"/>
  <c r="T599" i="434"/>
  <c r="T692" i="434"/>
  <c r="AS778" i="434"/>
  <c r="T861" i="434"/>
  <c r="U81" i="434"/>
  <c r="V81" i="434" s="1"/>
  <c r="U122" i="434"/>
  <c r="V122" i="434" s="1"/>
  <c r="U163" i="434"/>
  <c r="V163" i="434" s="1"/>
  <c r="U326" i="434"/>
  <c r="V326" i="434" s="1"/>
  <c r="U367" i="434"/>
  <c r="V367" i="434" s="1"/>
  <c r="U449" i="434"/>
  <c r="V449" i="434" s="1"/>
  <c r="U491" i="434"/>
  <c r="V491" i="434" s="1"/>
  <c r="U614" i="434"/>
  <c r="V614" i="434" s="1"/>
  <c r="U696" i="434"/>
  <c r="V696" i="434" s="1"/>
  <c r="U815" i="434"/>
  <c r="V815" i="434" s="1"/>
  <c r="U855" i="434"/>
  <c r="V855" i="434" s="1"/>
  <c r="T30" i="434"/>
  <c r="AS63" i="434"/>
  <c r="T213" i="434"/>
  <c r="T292" i="434"/>
  <c r="T305" i="434"/>
  <c r="T357" i="434"/>
  <c r="AS383" i="434"/>
  <c r="T436" i="434"/>
  <c r="AS442" i="434"/>
  <c r="T546" i="434"/>
  <c r="AS712" i="434"/>
  <c r="U82" i="434"/>
  <c r="V82" i="434" s="1"/>
  <c r="U123" i="434"/>
  <c r="V123" i="434" s="1"/>
  <c r="U204" i="434"/>
  <c r="V204" i="434" s="1"/>
  <c r="U245" i="434"/>
  <c r="V245" i="434" s="1"/>
  <c r="U327" i="434"/>
  <c r="V327" i="434" s="1"/>
  <c r="U450" i="434"/>
  <c r="V450" i="434" s="1"/>
  <c r="U533" i="434"/>
  <c r="V533" i="434" s="1"/>
  <c r="U615" i="434"/>
  <c r="V615" i="434" s="1"/>
  <c r="U856" i="434"/>
  <c r="V856" i="434" s="1"/>
  <c r="U895" i="434"/>
  <c r="V895" i="434" s="1"/>
  <c r="T127" i="434"/>
  <c r="T141" i="434"/>
  <c r="T219" i="434"/>
  <c r="T488" i="434"/>
  <c r="T513" i="434"/>
  <c r="AS520" i="434"/>
  <c r="T540" i="434"/>
  <c r="T732" i="434"/>
  <c r="T738" i="434"/>
  <c r="T765" i="434"/>
  <c r="U42" i="434"/>
  <c r="V42" i="434" s="1"/>
  <c r="U83" i="434"/>
  <c r="V83" i="434" s="1"/>
  <c r="U246" i="434"/>
  <c r="V246" i="434" s="1"/>
  <c r="U287" i="434"/>
  <c r="V287" i="434" s="1"/>
  <c r="U328" i="434"/>
  <c r="V328" i="434" s="1"/>
  <c r="U369" i="434"/>
  <c r="V369" i="434" s="1"/>
  <c r="U410" i="434"/>
  <c r="V410" i="434" s="1"/>
  <c r="U451" i="434"/>
  <c r="V451" i="434" s="1"/>
  <c r="U492" i="434"/>
  <c r="V492" i="434" s="1"/>
  <c r="U534" i="434"/>
  <c r="V534" i="434" s="1"/>
  <c r="U575" i="434"/>
  <c r="V575" i="434" s="1"/>
  <c r="U616" i="434"/>
  <c r="V616" i="434" s="1"/>
  <c r="U657" i="434"/>
  <c r="V657" i="434" s="1"/>
  <c r="U777" i="434"/>
  <c r="V777" i="434" s="1"/>
  <c r="U896" i="434"/>
  <c r="V896" i="434" s="1"/>
  <c r="AS37" i="434"/>
  <c r="AS134" i="434"/>
  <c r="T253" i="434"/>
  <c r="T299" i="434"/>
  <c r="AS409" i="434"/>
  <c r="AS527" i="434"/>
  <c r="AS719" i="434"/>
  <c r="U125" i="434"/>
  <c r="V125" i="434" s="1"/>
  <c r="U411" i="434"/>
  <c r="V411" i="434" s="1"/>
  <c r="U658" i="434"/>
  <c r="V658" i="434" s="1"/>
  <c r="U698" i="434"/>
  <c r="V698" i="434" s="1"/>
  <c r="U778" i="434"/>
  <c r="V778" i="434" s="1"/>
  <c r="U817" i="434"/>
  <c r="V817" i="434" s="1"/>
  <c r="U897" i="434"/>
  <c r="V897" i="434" s="1"/>
  <c r="AS646" i="434"/>
  <c r="U84" i="434"/>
  <c r="V84" i="434" s="1"/>
  <c r="U126" i="434"/>
  <c r="V126" i="434" s="1"/>
  <c r="U167" i="434"/>
  <c r="V167" i="434" s="1"/>
  <c r="U207" i="434"/>
  <c r="V207" i="434" s="1"/>
  <c r="U371" i="434"/>
  <c r="V371" i="434" s="1"/>
  <c r="U617" i="434"/>
  <c r="V617" i="434" s="1"/>
  <c r="U659" i="434"/>
  <c r="V659" i="434" s="1"/>
  <c r="U699" i="434"/>
  <c r="V699" i="434" s="1"/>
  <c r="U738" i="434"/>
  <c r="V738" i="434" s="1"/>
  <c r="U779" i="434"/>
  <c r="V779" i="434" s="1"/>
  <c r="U898" i="434"/>
  <c r="V898" i="434" s="1"/>
  <c r="T39" i="434"/>
  <c r="AS43" i="434"/>
  <c r="T87" i="434"/>
  <c r="AS91" i="434"/>
  <c r="T135" i="434"/>
  <c r="AS139" i="434"/>
  <c r="T183" i="434"/>
  <c r="AS187" i="434"/>
  <c r="T231" i="434"/>
  <c r="AS235" i="434"/>
  <c r="T279" i="434"/>
  <c r="AS283" i="434"/>
  <c r="T327" i="434"/>
  <c r="AS331" i="434"/>
  <c r="T375" i="434"/>
  <c r="AS379" i="434"/>
  <c r="T423" i="434"/>
  <c r="T471" i="434"/>
  <c r="T519" i="434"/>
  <c r="T567" i="434"/>
  <c r="T615" i="434"/>
  <c r="T663" i="434"/>
  <c r="T13" i="434"/>
  <c r="T61" i="434"/>
  <c r="T109" i="434"/>
  <c r="T48" i="434"/>
  <c r="T96" i="434"/>
  <c r="T144" i="434"/>
  <c r="T192" i="434"/>
  <c r="T240" i="434"/>
  <c r="T288" i="434"/>
  <c r="T336" i="434"/>
  <c r="T384" i="434"/>
  <c r="T432" i="434"/>
  <c r="T480" i="434"/>
  <c r="T528" i="434"/>
  <c r="T576" i="434"/>
  <c r="T624" i="434"/>
  <c r="T672" i="434"/>
  <c r="T720" i="434"/>
  <c r="T768" i="434"/>
  <c r="T816" i="434"/>
  <c r="T864" i="434"/>
  <c r="T35" i="434"/>
  <c r="T83" i="434"/>
  <c r="T131" i="434"/>
  <c r="T179" i="434"/>
  <c r="T227" i="434"/>
  <c r="T275" i="434"/>
  <c r="T323" i="434"/>
  <c r="T371" i="434"/>
  <c r="T419" i="434"/>
  <c r="T467" i="434"/>
  <c r="T515" i="434"/>
  <c r="T563" i="434"/>
  <c r="T611" i="434"/>
  <c r="T659" i="434"/>
  <c r="T707" i="434"/>
  <c r="T755" i="434"/>
  <c r="T803" i="434"/>
  <c r="T851" i="434"/>
  <c r="T838" i="434"/>
  <c r="T886" i="434"/>
  <c r="T9" i="434"/>
  <c r="T57" i="434"/>
  <c r="T105" i="434"/>
  <c r="T153" i="434"/>
  <c r="T201" i="434"/>
  <c r="T249" i="434"/>
  <c r="T297" i="434"/>
  <c r="T345" i="434"/>
  <c r="T393" i="434"/>
  <c r="T441" i="434"/>
  <c r="T489" i="434"/>
  <c r="T537" i="434"/>
  <c r="T585" i="434"/>
  <c r="T633" i="434"/>
  <c r="T681" i="434"/>
  <c r="T729" i="434"/>
  <c r="T777" i="434"/>
  <c r="T825" i="434"/>
  <c r="T873" i="434"/>
  <c r="T44" i="434"/>
  <c r="T92" i="434"/>
  <c r="T140" i="434"/>
  <c r="T188" i="434"/>
  <c r="T236" i="434"/>
  <c r="T284" i="434"/>
  <c r="T332" i="434"/>
  <c r="T380" i="434"/>
  <c r="T428" i="434"/>
  <c r="T476" i="434"/>
  <c r="T524" i="434"/>
  <c r="T572" i="434"/>
  <c r="T620" i="434"/>
  <c r="T668" i="434"/>
  <c r="T716" i="434"/>
  <c r="T764" i="434"/>
  <c r="T812" i="434"/>
  <c r="T860" i="434"/>
  <c r="T223" i="434"/>
  <c r="T271" i="434"/>
  <c r="T319" i="434"/>
  <c r="T367" i="434"/>
  <c r="T415" i="434"/>
  <c r="T463" i="434"/>
  <c r="T511" i="434"/>
  <c r="T559" i="434"/>
  <c r="T607" i="434"/>
  <c r="T655" i="434"/>
  <c r="T703" i="434"/>
  <c r="T751" i="434"/>
  <c r="T799" i="434"/>
  <c r="T847" i="434"/>
  <c r="T895" i="434"/>
  <c r="T786" i="434"/>
  <c r="T834" i="434"/>
  <c r="T882" i="434"/>
  <c r="T821" i="434"/>
  <c r="T869" i="434"/>
  <c r="T856" i="434"/>
  <c r="T795" i="434"/>
  <c r="T843" i="434"/>
  <c r="T891" i="434"/>
  <c r="T14" i="434"/>
  <c r="T62" i="434"/>
  <c r="T110" i="434"/>
  <c r="T158" i="434"/>
  <c r="T206" i="434"/>
  <c r="T254" i="434"/>
  <c r="T302" i="434"/>
  <c r="T350" i="434"/>
  <c r="T398" i="434"/>
  <c r="T446" i="434"/>
  <c r="T494" i="434"/>
  <c r="T542" i="434"/>
  <c r="T590" i="434"/>
  <c r="T638" i="434"/>
  <c r="T686" i="434"/>
  <c r="T734" i="434"/>
  <c r="T782" i="434"/>
  <c r="T830" i="434"/>
  <c r="T878" i="434"/>
  <c r="T433" i="434"/>
  <c r="T481" i="434"/>
  <c r="T529" i="434"/>
  <c r="T577" i="434"/>
  <c r="T625" i="434"/>
  <c r="T673" i="434"/>
  <c r="T721" i="434"/>
  <c r="T769" i="434"/>
  <c r="T865" i="434"/>
  <c r="T887" i="434"/>
  <c r="T106" i="434"/>
  <c r="T154" i="434"/>
  <c r="T202" i="434"/>
  <c r="T250" i="434"/>
  <c r="T298" i="434"/>
  <c r="T346" i="434"/>
  <c r="T394" i="434"/>
  <c r="T826" i="434"/>
  <c r="T874" i="434"/>
  <c r="T32" i="434"/>
  <c r="T80" i="434"/>
  <c r="T128" i="434"/>
  <c r="T176" i="434"/>
  <c r="T224" i="434"/>
  <c r="T272" i="434"/>
  <c r="T320" i="434"/>
  <c r="T368" i="434"/>
  <c r="T416" i="434"/>
  <c r="T464" i="434"/>
  <c r="T512" i="434"/>
  <c r="T560" i="434"/>
  <c r="T608" i="434"/>
  <c r="T656" i="434"/>
  <c r="T704" i="434"/>
  <c r="T752" i="434"/>
  <c r="T800" i="434"/>
  <c r="T848" i="434"/>
  <c r="T896" i="434"/>
  <c r="T19" i="434"/>
  <c r="T67" i="434"/>
  <c r="T115" i="434"/>
  <c r="T163" i="434"/>
  <c r="T211" i="434"/>
  <c r="T259" i="434"/>
  <c r="T307" i="434"/>
  <c r="T355" i="434"/>
  <c r="T403" i="434"/>
  <c r="T451" i="434"/>
  <c r="T499" i="434"/>
  <c r="T547" i="434"/>
  <c r="T595" i="434"/>
  <c r="T643" i="434"/>
  <c r="T691" i="434"/>
  <c r="T739" i="434"/>
  <c r="T787" i="434"/>
  <c r="T835" i="434"/>
  <c r="T883" i="434"/>
  <c r="T198" i="434"/>
  <c r="T246" i="434"/>
  <c r="T294" i="434"/>
  <c r="T342" i="434"/>
  <c r="T390" i="434"/>
  <c r="T438" i="434"/>
  <c r="T486" i="434"/>
  <c r="T534" i="434"/>
  <c r="T582" i="434"/>
  <c r="T630" i="434"/>
  <c r="T726" i="434"/>
  <c r="T774" i="434"/>
  <c r="T822" i="434"/>
  <c r="T870" i="434"/>
  <c r="T857" i="434"/>
  <c r="T316" i="434"/>
  <c r="T364" i="434"/>
  <c r="T412" i="434"/>
  <c r="T460" i="434"/>
  <c r="T508" i="434"/>
  <c r="T556" i="434"/>
  <c r="T604" i="434"/>
  <c r="T652" i="434"/>
  <c r="T700" i="434"/>
  <c r="T748" i="434"/>
  <c r="T796" i="434"/>
  <c r="T844" i="434"/>
  <c r="T892" i="434"/>
  <c r="T783" i="434"/>
  <c r="T831" i="434"/>
  <c r="T879" i="434"/>
  <c r="T194" i="434"/>
  <c r="T242" i="434"/>
  <c r="T290" i="434"/>
  <c r="T386" i="434"/>
  <c r="T434" i="434"/>
  <c r="T482" i="434"/>
  <c r="T530" i="434"/>
  <c r="T578" i="434"/>
  <c r="T626" i="434"/>
  <c r="T674" i="434"/>
  <c r="T722" i="434"/>
  <c r="T770" i="434"/>
  <c r="T818" i="434"/>
  <c r="T866" i="434"/>
  <c r="T421" i="434"/>
  <c r="T469" i="434"/>
  <c r="T517" i="434"/>
  <c r="T565" i="434"/>
  <c r="T613" i="434"/>
  <c r="T661" i="434"/>
  <c r="T709" i="434"/>
  <c r="T757" i="434"/>
  <c r="T805" i="434"/>
  <c r="T853" i="434"/>
  <c r="T456" i="434"/>
  <c r="T600" i="434"/>
  <c r="T648" i="434"/>
  <c r="T696" i="434"/>
  <c r="T744" i="434"/>
  <c r="T792" i="434"/>
  <c r="T840" i="434"/>
  <c r="T888" i="434"/>
  <c r="T779" i="434"/>
  <c r="T827" i="434"/>
  <c r="T875" i="434"/>
  <c r="T94" i="434"/>
  <c r="T142" i="434"/>
  <c r="T190" i="434"/>
  <c r="T238" i="434"/>
  <c r="T286" i="434"/>
  <c r="T334" i="434"/>
  <c r="T382" i="434"/>
  <c r="T430" i="434"/>
  <c r="T478" i="434"/>
  <c r="T526" i="434"/>
  <c r="T574" i="434"/>
  <c r="T622" i="434"/>
  <c r="T670" i="434"/>
  <c r="T718" i="434"/>
  <c r="T766" i="434"/>
  <c r="T814" i="434"/>
  <c r="T862" i="434"/>
  <c r="T33" i="434"/>
  <c r="T81" i="434"/>
  <c r="T129" i="434"/>
  <c r="T177" i="434"/>
  <c r="T225" i="434"/>
  <c r="T273" i="434"/>
  <c r="T321" i="434"/>
  <c r="T417" i="434"/>
  <c r="T609" i="434"/>
  <c r="T657" i="434"/>
  <c r="T705" i="434"/>
  <c r="T753" i="434"/>
  <c r="T801" i="434"/>
  <c r="T849" i="434"/>
  <c r="T897" i="434"/>
  <c r="T55" i="434"/>
  <c r="T103" i="434"/>
  <c r="T151" i="434"/>
  <c r="T199" i="434"/>
  <c r="T247" i="434"/>
  <c r="T295" i="434"/>
  <c r="T343" i="434"/>
  <c r="T391" i="434"/>
  <c r="T439" i="434"/>
  <c r="T487" i="434"/>
  <c r="T535" i="434"/>
  <c r="T583" i="434"/>
  <c r="T631" i="434"/>
  <c r="T679" i="434"/>
  <c r="T727" i="434"/>
  <c r="T775" i="434"/>
  <c r="T823" i="434"/>
  <c r="T871" i="434"/>
  <c r="T42" i="434"/>
  <c r="T90" i="434"/>
  <c r="T138" i="434"/>
  <c r="T186" i="434"/>
  <c r="T234" i="434"/>
  <c r="T282" i="434"/>
  <c r="T330" i="434"/>
  <c r="T378" i="434"/>
  <c r="T426" i="434"/>
  <c r="T474" i="434"/>
  <c r="T522" i="434"/>
  <c r="T570" i="434"/>
  <c r="T618" i="434"/>
  <c r="T666" i="434"/>
  <c r="T714" i="434"/>
  <c r="T762" i="434"/>
  <c r="T810" i="434"/>
  <c r="T858" i="434"/>
  <c r="T893" i="434"/>
  <c r="T16" i="434"/>
  <c r="T112" i="434"/>
  <c r="T160" i="434"/>
  <c r="T208" i="434"/>
  <c r="T256" i="434"/>
  <c r="T304" i="434"/>
  <c r="T352" i="434"/>
  <c r="T400" i="434"/>
  <c r="T448" i="434"/>
  <c r="T496" i="434"/>
  <c r="T544" i="434"/>
  <c r="T592" i="434"/>
  <c r="T640" i="434"/>
  <c r="T688" i="434"/>
  <c r="T736" i="434"/>
  <c r="T832" i="434"/>
  <c r="T880" i="434"/>
  <c r="T51" i="434"/>
  <c r="T99" i="434"/>
  <c r="T147" i="434"/>
  <c r="T195" i="434"/>
  <c r="T243" i="434"/>
  <c r="T291" i="434"/>
  <c r="T339" i="434"/>
  <c r="T387" i="434"/>
  <c r="T435" i="434"/>
  <c r="T483" i="434"/>
  <c r="T531" i="434"/>
  <c r="T579" i="434"/>
  <c r="T627" i="434"/>
  <c r="T675" i="434"/>
  <c r="T723" i="434"/>
  <c r="T771" i="434"/>
  <c r="T819" i="434"/>
  <c r="T867" i="434"/>
  <c r="T518" i="434"/>
  <c r="T566" i="434"/>
  <c r="T614" i="434"/>
  <c r="T662" i="434"/>
  <c r="T710" i="434"/>
  <c r="T758" i="434"/>
  <c r="T806" i="434"/>
  <c r="T854" i="434"/>
  <c r="T841" i="434"/>
  <c r="T889" i="434"/>
  <c r="T898" i="434"/>
  <c r="U4" i="434"/>
  <c r="V4" i="434" s="1"/>
  <c r="U5" i="434"/>
  <c r="V5" i="434" s="1"/>
  <c r="B928" i="434"/>
  <c r="P928" i="434" s="1"/>
  <c r="P927" i="434"/>
  <c r="P921" i="434"/>
  <c r="P920" i="434"/>
  <c r="P919" i="434"/>
  <c r="P914" i="434"/>
  <c r="P913" i="434"/>
  <c r="P912" i="434"/>
  <c r="U911" i="434"/>
  <c r="V911" i="434" s="1"/>
  <c r="U910" i="434"/>
  <c r="V910" i="434" s="1"/>
  <c r="U909" i="434"/>
  <c r="V909" i="434" s="1"/>
  <c r="U908" i="434"/>
  <c r="V908" i="434" s="1"/>
  <c r="P907" i="434"/>
  <c r="P906" i="434"/>
  <c r="U905" i="434"/>
  <c r="V905" i="434" s="1"/>
  <c r="P904" i="434"/>
  <c r="P903" i="434"/>
  <c r="U902" i="434"/>
  <c r="V902" i="434" s="1"/>
  <c r="U901" i="434"/>
  <c r="V901" i="434" s="1"/>
  <c r="U900" i="434"/>
  <c r="V900" i="434" s="1"/>
  <c r="P899" i="434"/>
  <c r="B8" i="434"/>
  <c r="U8" i="434" s="1"/>
  <c r="V8" i="434" s="1"/>
  <c r="B7" i="434"/>
  <c r="U7" i="434" s="1"/>
  <c r="V7" i="434" s="1"/>
  <c r="B6" i="434"/>
  <c r="P6" i="434" s="1"/>
  <c r="B5" i="434"/>
  <c r="P5" i="434" s="1"/>
  <c r="B4" i="434"/>
  <c r="B3" i="434"/>
  <c r="U3" i="434" s="1"/>
  <c r="V3" i="434" s="1"/>
  <c r="AJ928" i="434"/>
  <c r="T928" i="434"/>
  <c r="S928" i="434"/>
  <c r="R928" i="434"/>
  <c r="G928" i="434"/>
  <c r="Q928" i="434" s="1"/>
  <c r="AJ927" i="434"/>
  <c r="T927" i="434"/>
  <c r="S927" i="434"/>
  <c r="R927" i="434"/>
  <c r="G927" i="434"/>
  <c r="Q927" i="434" s="1"/>
  <c r="AJ926" i="434"/>
  <c r="T926" i="434"/>
  <c r="S926" i="434"/>
  <c r="R926" i="434"/>
  <c r="G926" i="434"/>
  <c r="Q926" i="434" s="1"/>
  <c r="P926" i="434"/>
  <c r="AJ925" i="434"/>
  <c r="T925" i="434"/>
  <c r="S925" i="434"/>
  <c r="R925" i="434"/>
  <c r="G925" i="434"/>
  <c r="Q925" i="434" s="1"/>
  <c r="P925" i="434"/>
  <c r="AJ924" i="434"/>
  <c r="T924" i="434"/>
  <c r="S924" i="434"/>
  <c r="R924" i="434"/>
  <c r="G924" i="434"/>
  <c r="Q924" i="434" s="1"/>
  <c r="P924" i="434"/>
  <c r="AJ923" i="434"/>
  <c r="T923" i="434"/>
  <c r="S923" i="434"/>
  <c r="R923" i="434"/>
  <c r="G923" i="434"/>
  <c r="Q923" i="434" s="1"/>
  <c r="P923" i="434"/>
  <c r="AJ922" i="434"/>
  <c r="T922" i="434"/>
  <c r="S922" i="434"/>
  <c r="R922" i="434"/>
  <c r="G922" i="434"/>
  <c r="Q922" i="434" s="1"/>
  <c r="P922" i="434"/>
  <c r="AJ921" i="434"/>
  <c r="T921" i="434"/>
  <c r="S921" i="434"/>
  <c r="R921" i="434"/>
  <c r="G921" i="434"/>
  <c r="Q921" i="434" s="1"/>
  <c r="AJ920" i="434"/>
  <c r="V920" i="434"/>
  <c r="T920" i="434"/>
  <c r="S920" i="434"/>
  <c r="R920" i="434"/>
  <c r="G920" i="434"/>
  <c r="Q920" i="434" s="1"/>
  <c r="AJ919" i="434"/>
  <c r="V919" i="434"/>
  <c r="T919" i="434"/>
  <c r="S919" i="434"/>
  <c r="R919" i="434"/>
  <c r="G919" i="434"/>
  <c r="Q919" i="434" s="1"/>
  <c r="AJ918" i="434"/>
  <c r="V918" i="434"/>
  <c r="T918" i="434"/>
  <c r="S918" i="434"/>
  <c r="R918" i="434"/>
  <c r="G918" i="434"/>
  <c r="Q918" i="434" s="1"/>
  <c r="P918" i="434"/>
  <c r="AJ917" i="434"/>
  <c r="V917" i="434"/>
  <c r="T917" i="434"/>
  <c r="S917" i="434"/>
  <c r="R917" i="434"/>
  <c r="G917" i="434"/>
  <c r="Q917" i="434" s="1"/>
  <c r="P917" i="434"/>
  <c r="AJ916" i="434"/>
  <c r="V916" i="434"/>
  <c r="T916" i="434"/>
  <c r="S916" i="434"/>
  <c r="R916" i="434"/>
  <c r="G916" i="434"/>
  <c r="Q916" i="434" s="1"/>
  <c r="P916" i="434"/>
  <c r="AJ915" i="434"/>
  <c r="V915" i="434"/>
  <c r="T915" i="434"/>
  <c r="S915" i="434"/>
  <c r="R915" i="434"/>
  <c r="G915" i="434"/>
  <c r="Q915" i="434" s="1"/>
  <c r="P915" i="434"/>
  <c r="AJ914" i="434"/>
  <c r="V914" i="434"/>
  <c r="T914" i="434"/>
  <c r="S914" i="434"/>
  <c r="R914" i="434"/>
  <c r="G914" i="434"/>
  <c r="Q914" i="434" s="1"/>
  <c r="AJ913" i="434"/>
  <c r="V913" i="434"/>
  <c r="T913" i="434"/>
  <c r="S913" i="434"/>
  <c r="R913" i="434"/>
  <c r="G913" i="434"/>
  <c r="Q913" i="434" s="1"/>
  <c r="AJ912" i="434"/>
  <c r="V912" i="434"/>
  <c r="T912" i="434"/>
  <c r="S912" i="434"/>
  <c r="R912" i="434"/>
  <c r="G912" i="434"/>
  <c r="Q912" i="434" s="1"/>
  <c r="AJ911" i="434"/>
  <c r="T911" i="434"/>
  <c r="S911" i="434"/>
  <c r="R911" i="434"/>
  <c r="G911" i="434"/>
  <c r="Q911" i="434" s="1"/>
  <c r="AJ910" i="434"/>
  <c r="T910" i="434"/>
  <c r="S910" i="434"/>
  <c r="R910" i="434"/>
  <c r="G910" i="434"/>
  <c r="Q910" i="434" s="1"/>
  <c r="AJ909" i="434"/>
  <c r="T909" i="434"/>
  <c r="S909" i="434"/>
  <c r="R909" i="434"/>
  <c r="G909" i="434"/>
  <c r="Q909" i="434" s="1"/>
  <c r="P909" i="434"/>
  <c r="AJ908" i="434"/>
  <c r="T908" i="434"/>
  <c r="S908" i="434"/>
  <c r="R908" i="434"/>
  <c r="G908" i="434"/>
  <c r="Q908" i="434" s="1"/>
  <c r="AJ907" i="434"/>
  <c r="T907" i="434"/>
  <c r="S907" i="434"/>
  <c r="R907" i="434"/>
  <c r="G907" i="434"/>
  <c r="Q907" i="434" s="1"/>
  <c r="AJ906" i="434"/>
  <c r="T906" i="434"/>
  <c r="S906" i="434"/>
  <c r="R906" i="434"/>
  <c r="G906" i="434"/>
  <c r="Q906" i="434" s="1"/>
  <c r="AJ905" i="434"/>
  <c r="T905" i="434"/>
  <c r="S905" i="434"/>
  <c r="R905" i="434"/>
  <c r="G905" i="434"/>
  <c r="Q905" i="434" s="1"/>
  <c r="AJ904" i="434"/>
  <c r="T904" i="434"/>
  <c r="S904" i="434"/>
  <c r="R904" i="434"/>
  <c r="G904" i="434"/>
  <c r="Q904" i="434" s="1"/>
  <c r="AJ903" i="434"/>
  <c r="T903" i="434"/>
  <c r="S903" i="434"/>
  <c r="R903" i="434"/>
  <c r="G903" i="434"/>
  <c r="Q903" i="434" s="1"/>
  <c r="AJ902" i="434"/>
  <c r="T902" i="434"/>
  <c r="S902" i="434"/>
  <c r="R902" i="434"/>
  <c r="Q902" i="434"/>
  <c r="AJ901" i="434"/>
  <c r="T901" i="434"/>
  <c r="S901" i="434"/>
  <c r="R901" i="434"/>
  <c r="Q901" i="434"/>
  <c r="AJ900" i="434"/>
  <c r="T900" i="434"/>
  <c r="S900" i="434"/>
  <c r="R900" i="434"/>
  <c r="Q900" i="434"/>
  <c r="AJ899" i="434"/>
  <c r="T899" i="434"/>
  <c r="S899" i="434"/>
  <c r="R899" i="434"/>
  <c r="G899" i="434"/>
  <c r="Q899" i="434" s="1"/>
  <c r="AJ8" i="434"/>
  <c r="T8" i="434"/>
  <c r="S8" i="434"/>
  <c r="R8" i="434"/>
  <c r="Q8" i="434"/>
  <c r="AJ7" i="434"/>
  <c r="T7" i="434"/>
  <c r="S7" i="434"/>
  <c r="R7" i="434"/>
  <c r="Q7" i="434"/>
  <c r="P7" i="434"/>
  <c r="AJ6" i="434"/>
  <c r="T6" i="434"/>
  <c r="S6" i="434"/>
  <c r="R6" i="434"/>
  <c r="Q6" i="434"/>
  <c r="AJ5" i="434"/>
  <c r="T5" i="434"/>
  <c r="S5" i="434"/>
  <c r="R5" i="434"/>
  <c r="G5" i="434"/>
  <c r="Q5" i="434" s="1"/>
  <c r="AJ4" i="434"/>
  <c r="T4" i="434"/>
  <c r="S4" i="434"/>
  <c r="R4" i="434"/>
  <c r="G4" i="434"/>
  <c r="Q4" i="434" s="1"/>
  <c r="P4" i="434"/>
  <c r="AJ3" i="434"/>
  <c r="T3" i="434"/>
  <c r="S3" i="434"/>
  <c r="R3" i="434"/>
  <c r="G3" i="434"/>
  <c r="Q3" i="434" s="1"/>
  <c r="AJ938" i="433"/>
  <c r="T938" i="433"/>
  <c r="S938" i="433"/>
  <c r="R938" i="433"/>
  <c r="G938" i="433"/>
  <c r="Q938" i="433" s="1"/>
  <c r="B938" i="433"/>
  <c r="P938" i="433" s="1"/>
  <c r="AJ937" i="433"/>
  <c r="T937" i="433"/>
  <c r="S937" i="433"/>
  <c r="R937" i="433"/>
  <c r="G937" i="433"/>
  <c r="Q937" i="433" s="1"/>
  <c r="B937" i="433"/>
  <c r="P937" i="433" s="1"/>
  <c r="AJ936" i="433"/>
  <c r="T936" i="433"/>
  <c r="S936" i="433"/>
  <c r="R936" i="433"/>
  <c r="G936" i="433"/>
  <c r="Q936" i="433" s="1"/>
  <c r="B936" i="433"/>
  <c r="P936" i="433" s="1"/>
  <c r="AJ935" i="433"/>
  <c r="T935" i="433"/>
  <c r="S935" i="433"/>
  <c r="R935" i="433"/>
  <c r="G935" i="433"/>
  <c r="Q935" i="433" s="1"/>
  <c r="B935" i="433"/>
  <c r="P935" i="433" s="1"/>
  <c r="AJ934" i="433"/>
  <c r="T934" i="433"/>
  <c r="S934" i="433"/>
  <c r="R934" i="433"/>
  <c r="G934" i="433"/>
  <c r="Q934" i="433" s="1"/>
  <c r="B934" i="433"/>
  <c r="P934" i="433" s="1"/>
  <c r="AJ933" i="433"/>
  <c r="T933" i="433"/>
  <c r="S933" i="433"/>
  <c r="R933" i="433"/>
  <c r="G933" i="433"/>
  <c r="Q933" i="433" s="1"/>
  <c r="B933" i="433"/>
  <c r="P933" i="433" s="1"/>
  <c r="AJ932" i="433"/>
  <c r="T932" i="433"/>
  <c r="S932" i="433"/>
  <c r="R932" i="433"/>
  <c r="G932" i="433"/>
  <c r="Q932" i="433" s="1"/>
  <c r="B932" i="433"/>
  <c r="P932" i="433" s="1"/>
  <c r="AJ931" i="433"/>
  <c r="T931" i="433"/>
  <c r="S931" i="433"/>
  <c r="R931" i="433"/>
  <c r="G931" i="433"/>
  <c r="Q931" i="433" s="1"/>
  <c r="B931" i="433"/>
  <c r="P931" i="433" s="1"/>
  <c r="AJ930" i="433"/>
  <c r="V930" i="433"/>
  <c r="T930" i="433"/>
  <c r="S930" i="433"/>
  <c r="R930" i="433"/>
  <c r="G930" i="433"/>
  <c r="Q930" i="433" s="1"/>
  <c r="B930" i="433"/>
  <c r="P930" i="433" s="1"/>
  <c r="AJ929" i="433"/>
  <c r="V929" i="433"/>
  <c r="T929" i="433"/>
  <c r="S929" i="433"/>
  <c r="R929" i="433"/>
  <c r="G929" i="433"/>
  <c r="Q929" i="433" s="1"/>
  <c r="B929" i="433"/>
  <c r="P929" i="433" s="1"/>
  <c r="AJ928" i="433"/>
  <c r="V928" i="433"/>
  <c r="T928" i="433"/>
  <c r="S928" i="433"/>
  <c r="R928" i="433"/>
  <c r="G928" i="433"/>
  <c r="Q928" i="433" s="1"/>
  <c r="B928" i="433"/>
  <c r="P928" i="433" s="1"/>
  <c r="AJ927" i="433"/>
  <c r="V927" i="433"/>
  <c r="T927" i="433"/>
  <c r="S927" i="433"/>
  <c r="R927" i="433"/>
  <c r="G927" i="433"/>
  <c r="Q927" i="433" s="1"/>
  <c r="B927" i="433"/>
  <c r="P927" i="433" s="1"/>
  <c r="AJ926" i="433"/>
  <c r="V926" i="433"/>
  <c r="T926" i="433"/>
  <c r="S926" i="433"/>
  <c r="R926" i="433"/>
  <c r="G926" i="433"/>
  <c r="Q926" i="433" s="1"/>
  <c r="B926" i="433"/>
  <c r="P926" i="433" s="1"/>
  <c r="AJ925" i="433"/>
  <c r="V925" i="433"/>
  <c r="T925" i="433"/>
  <c r="S925" i="433"/>
  <c r="R925" i="433"/>
  <c r="G925" i="433"/>
  <c r="Q925" i="433" s="1"/>
  <c r="B925" i="433"/>
  <c r="P925" i="433" s="1"/>
  <c r="AJ924" i="433"/>
  <c r="V924" i="433"/>
  <c r="T924" i="433"/>
  <c r="S924" i="433"/>
  <c r="R924" i="433"/>
  <c r="G924" i="433"/>
  <c r="Q924" i="433" s="1"/>
  <c r="B924" i="433"/>
  <c r="P924" i="433" s="1"/>
  <c r="AJ923" i="433"/>
  <c r="V923" i="433"/>
  <c r="T923" i="433"/>
  <c r="S923" i="433"/>
  <c r="R923" i="433"/>
  <c r="G923" i="433"/>
  <c r="Q923" i="433" s="1"/>
  <c r="B923" i="433"/>
  <c r="P923" i="433" s="1"/>
  <c r="AJ922" i="433"/>
  <c r="V922" i="433"/>
  <c r="T922" i="433"/>
  <c r="S922" i="433"/>
  <c r="R922" i="433"/>
  <c r="G922" i="433"/>
  <c r="Q922" i="433" s="1"/>
  <c r="B922" i="433"/>
  <c r="P922" i="433" s="1"/>
  <c r="AJ921" i="433"/>
  <c r="T921" i="433"/>
  <c r="S921" i="433"/>
  <c r="R921" i="433"/>
  <c r="G921" i="433"/>
  <c r="Q921" i="433" s="1"/>
  <c r="B921" i="433"/>
  <c r="P921" i="433" s="1"/>
  <c r="AJ920" i="433"/>
  <c r="T920" i="433"/>
  <c r="S920" i="433"/>
  <c r="R920" i="433"/>
  <c r="G920" i="433"/>
  <c r="Q920" i="433" s="1"/>
  <c r="B920" i="433"/>
  <c r="P920" i="433" s="1"/>
  <c r="AJ919" i="433"/>
  <c r="T919" i="433"/>
  <c r="S919" i="433"/>
  <c r="R919" i="433"/>
  <c r="G919" i="433"/>
  <c r="Q919" i="433" s="1"/>
  <c r="B919" i="433"/>
  <c r="P919" i="433" s="1"/>
  <c r="AJ918" i="433"/>
  <c r="T918" i="433"/>
  <c r="S918" i="433"/>
  <c r="R918" i="433"/>
  <c r="G918" i="433"/>
  <c r="Q918" i="433" s="1"/>
  <c r="B918" i="433"/>
  <c r="P918" i="433" s="1"/>
  <c r="AJ917" i="433"/>
  <c r="T917" i="433"/>
  <c r="S917" i="433"/>
  <c r="R917" i="433"/>
  <c r="G917" i="433"/>
  <c r="Q917" i="433" s="1"/>
  <c r="B917" i="433"/>
  <c r="P917" i="433" s="1"/>
  <c r="AJ916" i="433"/>
  <c r="T916" i="433"/>
  <c r="S916" i="433"/>
  <c r="R916" i="433"/>
  <c r="G916" i="433"/>
  <c r="Q916" i="433" s="1"/>
  <c r="B916" i="433"/>
  <c r="P916" i="433" s="1"/>
  <c r="AJ915" i="433"/>
  <c r="T915" i="433"/>
  <c r="S915" i="433"/>
  <c r="R915" i="433"/>
  <c r="G915" i="433"/>
  <c r="Q915" i="433" s="1"/>
  <c r="B915" i="433"/>
  <c r="P915" i="433" s="1"/>
  <c r="AJ914" i="433"/>
  <c r="T914" i="433"/>
  <c r="S914" i="433"/>
  <c r="R914" i="433"/>
  <c r="G914" i="433"/>
  <c r="Q914" i="433" s="1"/>
  <c r="B914" i="433"/>
  <c r="P914" i="433" s="1"/>
  <c r="AJ913" i="433"/>
  <c r="T913" i="433"/>
  <c r="S913" i="433"/>
  <c r="R913" i="433"/>
  <c r="G913" i="433"/>
  <c r="Q913" i="433" s="1"/>
  <c r="B913" i="433"/>
  <c r="P913" i="433" s="1"/>
  <c r="AJ912" i="433"/>
  <c r="T912" i="433"/>
  <c r="S912" i="433"/>
  <c r="R912" i="433"/>
  <c r="Q912" i="433"/>
  <c r="B912" i="433"/>
  <c r="P912" i="433" s="1"/>
  <c r="AJ911" i="433"/>
  <c r="T911" i="433"/>
  <c r="S911" i="433"/>
  <c r="R911" i="433"/>
  <c r="Q911" i="433"/>
  <c r="B911" i="433"/>
  <c r="P911" i="433" s="1"/>
  <c r="AJ910" i="433"/>
  <c r="T910" i="433"/>
  <c r="S910" i="433"/>
  <c r="R910" i="433"/>
  <c r="Q910" i="433"/>
  <c r="B910" i="433"/>
  <c r="P910" i="433" s="1"/>
  <c r="AJ909" i="433"/>
  <c r="T909" i="433"/>
  <c r="S909" i="433"/>
  <c r="R909" i="433"/>
  <c r="G909" i="433"/>
  <c r="Q909" i="433" s="1"/>
  <c r="B909" i="433"/>
  <c r="P909" i="433" s="1"/>
  <c r="AJ18" i="433"/>
  <c r="T18" i="433"/>
  <c r="S18" i="433"/>
  <c r="R18" i="433"/>
  <c r="Q18" i="433"/>
  <c r="B18" i="433"/>
  <c r="P18" i="433" s="1"/>
  <c r="AJ17" i="433"/>
  <c r="T17" i="433"/>
  <c r="S17" i="433"/>
  <c r="R17" i="433"/>
  <c r="Q17" i="433"/>
  <c r="B17" i="433"/>
  <c r="P17" i="433" s="1"/>
  <c r="AJ16" i="433"/>
  <c r="T16" i="433"/>
  <c r="S16" i="433"/>
  <c r="R16" i="433"/>
  <c r="Q16" i="433"/>
  <c r="P16" i="433"/>
  <c r="B16" i="433"/>
  <c r="AJ15" i="433"/>
  <c r="T15" i="433"/>
  <c r="S15" i="433"/>
  <c r="R15" i="433"/>
  <c r="G15" i="433"/>
  <c r="Q15" i="433" s="1"/>
  <c r="B15" i="433"/>
  <c r="P15" i="433" s="1"/>
  <c r="AJ14" i="433"/>
  <c r="T14" i="433"/>
  <c r="S14" i="433"/>
  <c r="R14" i="433"/>
  <c r="G14" i="433"/>
  <c r="Q14" i="433" s="1"/>
  <c r="B14" i="433"/>
  <c r="P14" i="433" s="1"/>
  <c r="AJ13" i="433"/>
  <c r="T13" i="433"/>
  <c r="S13" i="433"/>
  <c r="R13" i="433"/>
  <c r="G13" i="433"/>
  <c r="Q13" i="433" s="1"/>
  <c r="B13" i="433"/>
  <c r="P13" i="433" s="1"/>
  <c r="AJ938" i="432"/>
  <c r="T938" i="432"/>
  <c r="S938" i="432"/>
  <c r="R938" i="432"/>
  <c r="G938" i="432"/>
  <c r="Q938" i="432" s="1"/>
  <c r="B938" i="432"/>
  <c r="P938" i="432" s="1"/>
  <c r="AJ937" i="432"/>
  <c r="T937" i="432"/>
  <c r="S937" i="432"/>
  <c r="R937" i="432"/>
  <c r="G937" i="432"/>
  <c r="Q937" i="432" s="1"/>
  <c r="B937" i="432"/>
  <c r="P937" i="432" s="1"/>
  <c r="AJ936" i="432"/>
  <c r="T936" i="432"/>
  <c r="S936" i="432"/>
  <c r="R936" i="432"/>
  <c r="G936" i="432"/>
  <c r="Q936" i="432" s="1"/>
  <c r="B936" i="432"/>
  <c r="P936" i="432" s="1"/>
  <c r="AJ935" i="432"/>
  <c r="T935" i="432"/>
  <c r="S935" i="432"/>
  <c r="R935" i="432"/>
  <c r="G935" i="432"/>
  <c r="Q935" i="432" s="1"/>
  <c r="B935" i="432"/>
  <c r="P935" i="432" s="1"/>
  <c r="AJ934" i="432"/>
  <c r="T934" i="432"/>
  <c r="S934" i="432"/>
  <c r="R934" i="432"/>
  <c r="G934" i="432"/>
  <c r="Q934" i="432" s="1"/>
  <c r="B934" i="432"/>
  <c r="P934" i="432" s="1"/>
  <c r="AJ933" i="432"/>
  <c r="T933" i="432"/>
  <c r="S933" i="432"/>
  <c r="R933" i="432"/>
  <c r="G933" i="432"/>
  <c r="Q933" i="432" s="1"/>
  <c r="B933" i="432"/>
  <c r="P933" i="432" s="1"/>
  <c r="AJ932" i="432"/>
  <c r="T932" i="432"/>
  <c r="S932" i="432"/>
  <c r="R932" i="432"/>
  <c r="G932" i="432"/>
  <c r="Q932" i="432" s="1"/>
  <c r="B932" i="432"/>
  <c r="P932" i="432" s="1"/>
  <c r="AJ931" i="432"/>
  <c r="T931" i="432"/>
  <c r="S931" i="432"/>
  <c r="R931" i="432"/>
  <c r="G931" i="432"/>
  <c r="Q931" i="432" s="1"/>
  <c r="B931" i="432"/>
  <c r="P931" i="432" s="1"/>
  <c r="AJ930" i="432"/>
  <c r="V930" i="432"/>
  <c r="T930" i="432"/>
  <c r="S930" i="432"/>
  <c r="R930" i="432"/>
  <c r="G930" i="432"/>
  <c r="Q930" i="432" s="1"/>
  <c r="B930" i="432"/>
  <c r="P930" i="432" s="1"/>
  <c r="AJ929" i="432"/>
  <c r="V929" i="432"/>
  <c r="T929" i="432"/>
  <c r="S929" i="432"/>
  <c r="R929" i="432"/>
  <c r="G929" i="432"/>
  <c r="Q929" i="432" s="1"/>
  <c r="B929" i="432"/>
  <c r="P929" i="432" s="1"/>
  <c r="AJ928" i="432"/>
  <c r="V928" i="432"/>
  <c r="T928" i="432"/>
  <c r="S928" i="432"/>
  <c r="R928" i="432"/>
  <c r="G928" i="432"/>
  <c r="Q928" i="432" s="1"/>
  <c r="B928" i="432"/>
  <c r="P928" i="432" s="1"/>
  <c r="AJ927" i="432"/>
  <c r="V927" i="432"/>
  <c r="T927" i="432"/>
  <c r="S927" i="432"/>
  <c r="R927" i="432"/>
  <c r="G927" i="432"/>
  <c r="Q927" i="432" s="1"/>
  <c r="B927" i="432"/>
  <c r="P927" i="432" s="1"/>
  <c r="AJ926" i="432"/>
  <c r="V926" i="432"/>
  <c r="T926" i="432"/>
  <c r="S926" i="432"/>
  <c r="R926" i="432"/>
  <c r="G926" i="432"/>
  <c r="Q926" i="432" s="1"/>
  <c r="B926" i="432"/>
  <c r="P926" i="432" s="1"/>
  <c r="AJ925" i="432"/>
  <c r="V925" i="432"/>
  <c r="T925" i="432"/>
  <c r="S925" i="432"/>
  <c r="R925" i="432"/>
  <c r="G925" i="432"/>
  <c r="Q925" i="432" s="1"/>
  <c r="B925" i="432"/>
  <c r="P925" i="432" s="1"/>
  <c r="AJ924" i="432"/>
  <c r="V924" i="432"/>
  <c r="T924" i="432"/>
  <c r="S924" i="432"/>
  <c r="R924" i="432"/>
  <c r="G924" i="432"/>
  <c r="Q924" i="432" s="1"/>
  <c r="B924" i="432"/>
  <c r="P924" i="432" s="1"/>
  <c r="AJ923" i="432"/>
  <c r="V923" i="432"/>
  <c r="T923" i="432"/>
  <c r="S923" i="432"/>
  <c r="R923" i="432"/>
  <c r="G923" i="432"/>
  <c r="Q923" i="432" s="1"/>
  <c r="B923" i="432"/>
  <c r="P923" i="432" s="1"/>
  <c r="AJ922" i="432"/>
  <c r="V922" i="432"/>
  <c r="T922" i="432"/>
  <c r="S922" i="432"/>
  <c r="R922" i="432"/>
  <c r="G922" i="432"/>
  <c r="Q922" i="432" s="1"/>
  <c r="B922" i="432"/>
  <c r="P922" i="432" s="1"/>
  <c r="AJ921" i="432"/>
  <c r="T921" i="432"/>
  <c r="S921" i="432"/>
  <c r="R921" i="432"/>
  <c r="G921" i="432"/>
  <c r="Q921" i="432" s="1"/>
  <c r="B921" i="432"/>
  <c r="P921" i="432" s="1"/>
  <c r="AJ920" i="432"/>
  <c r="T920" i="432"/>
  <c r="S920" i="432"/>
  <c r="R920" i="432"/>
  <c r="G920" i="432"/>
  <c r="Q920" i="432" s="1"/>
  <c r="B920" i="432"/>
  <c r="P920" i="432" s="1"/>
  <c r="AJ919" i="432"/>
  <c r="T919" i="432"/>
  <c r="S919" i="432"/>
  <c r="R919" i="432"/>
  <c r="G919" i="432"/>
  <c r="Q919" i="432" s="1"/>
  <c r="B919" i="432"/>
  <c r="P919" i="432" s="1"/>
  <c r="AJ918" i="432"/>
  <c r="T918" i="432"/>
  <c r="S918" i="432"/>
  <c r="R918" i="432"/>
  <c r="G918" i="432"/>
  <c r="Q918" i="432" s="1"/>
  <c r="B918" i="432"/>
  <c r="P918" i="432" s="1"/>
  <c r="AJ917" i="432"/>
  <c r="T917" i="432"/>
  <c r="S917" i="432"/>
  <c r="R917" i="432"/>
  <c r="G917" i="432"/>
  <c r="Q917" i="432" s="1"/>
  <c r="B917" i="432"/>
  <c r="P917" i="432" s="1"/>
  <c r="AJ916" i="432"/>
  <c r="T916" i="432"/>
  <c r="S916" i="432"/>
  <c r="R916" i="432"/>
  <c r="G916" i="432"/>
  <c r="Q916" i="432" s="1"/>
  <c r="B916" i="432"/>
  <c r="P916" i="432" s="1"/>
  <c r="AJ915" i="432"/>
  <c r="T915" i="432"/>
  <c r="S915" i="432"/>
  <c r="R915" i="432"/>
  <c r="G915" i="432"/>
  <c r="Q915" i="432" s="1"/>
  <c r="B915" i="432"/>
  <c r="P915" i="432" s="1"/>
  <c r="AJ914" i="432"/>
  <c r="T914" i="432"/>
  <c r="S914" i="432"/>
  <c r="R914" i="432"/>
  <c r="G914" i="432"/>
  <c r="Q914" i="432" s="1"/>
  <c r="B914" i="432"/>
  <c r="P914" i="432" s="1"/>
  <c r="AJ913" i="432"/>
  <c r="T913" i="432"/>
  <c r="S913" i="432"/>
  <c r="R913" i="432"/>
  <c r="G913" i="432"/>
  <c r="Q913" i="432" s="1"/>
  <c r="B913" i="432"/>
  <c r="P913" i="432" s="1"/>
  <c r="AJ912" i="432"/>
  <c r="T912" i="432"/>
  <c r="S912" i="432"/>
  <c r="R912" i="432"/>
  <c r="Q912" i="432"/>
  <c r="B912" i="432"/>
  <c r="P912" i="432" s="1"/>
  <c r="AJ911" i="432"/>
  <c r="T911" i="432"/>
  <c r="S911" i="432"/>
  <c r="R911" i="432"/>
  <c r="Q911" i="432"/>
  <c r="B911" i="432"/>
  <c r="P911" i="432" s="1"/>
  <c r="AJ910" i="432"/>
  <c r="T910" i="432"/>
  <c r="S910" i="432"/>
  <c r="R910" i="432"/>
  <c r="Q910" i="432"/>
  <c r="B910" i="432"/>
  <c r="P910" i="432" s="1"/>
  <c r="AJ909" i="432"/>
  <c r="T909" i="432"/>
  <c r="S909" i="432"/>
  <c r="R909" i="432"/>
  <c r="G909" i="432"/>
  <c r="Q909" i="432" s="1"/>
  <c r="B909" i="432"/>
  <c r="P909" i="432" s="1"/>
  <c r="AJ18" i="432"/>
  <c r="T18" i="432"/>
  <c r="S18" i="432"/>
  <c r="R18" i="432"/>
  <c r="Q18" i="432"/>
  <c r="B18" i="432"/>
  <c r="P18" i="432" s="1"/>
  <c r="AJ17" i="432"/>
  <c r="T17" i="432"/>
  <c r="S17" i="432"/>
  <c r="R17" i="432"/>
  <c r="Q17" i="432"/>
  <c r="B17" i="432"/>
  <c r="P17" i="432" s="1"/>
  <c r="AJ16" i="432"/>
  <c r="T16" i="432"/>
  <c r="S16" i="432"/>
  <c r="R16" i="432"/>
  <c r="Q16" i="432"/>
  <c r="B16" i="432"/>
  <c r="P16" i="432" s="1"/>
  <c r="AJ15" i="432"/>
  <c r="T15" i="432"/>
  <c r="S15" i="432"/>
  <c r="R15" i="432"/>
  <c r="G15" i="432"/>
  <c r="Q15" i="432" s="1"/>
  <c r="B15" i="432"/>
  <c r="P15" i="432" s="1"/>
  <c r="AJ14" i="432"/>
  <c r="T14" i="432"/>
  <c r="S14" i="432"/>
  <c r="R14" i="432"/>
  <c r="G14" i="432"/>
  <c r="Q14" i="432" s="1"/>
  <c r="B14" i="432"/>
  <c r="P14" i="432" s="1"/>
  <c r="AJ13" i="432"/>
  <c r="T13" i="432"/>
  <c r="S13" i="432"/>
  <c r="R13" i="432"/>
  <c r="G13" i="432"/>
  <c r="Q13" i="432" s="1"/>
  <c r="B13" i="432"/>
  <c r="P13" i="432" s="1"/>
  <c r="V15" i="431"/>
  <c r="V16" i="431"/>
  <c r="V17" i="431"/>
  <c r="V18" i="431"/>
  <c r="V19" i="431"/>
  <c r="V20" i="431"/>
  <c r="V21" i="431"/>
  <c r="V22" i="431"/>
  <c r="V23" i="431"/>
  <c r="V24" i="431"/>
  <c r="V25" i="431"/>
  <c r="V26" i="431"/>
  <c r="V27" i="431"/>
  <c r="V28" i="431"/>
  <c r="V29" i="431"/>
  <c r="V30" i="431"/>
  <c r="V31" i="431"/>
  <c r="V32" i="431"/>
  <c r="V33" i="431"/>
  <c r="V34" i="431"/>
  <c r="V35" i="431"/>
  <c r="V36" i="431"/>
  <c r="V37" i="431"/>
  <c r="V38" i="431"/>
  <c r="V39" i="431"/>
  <c r="V40" i="431"/>
  <c r="V41" i="431"/>
  <c r="V42" i="431"/>
  <c r="V43" i="431"/>
  <c r="V44" i="431"/>
  <c r="V45" i="431"/>
  <c r="V46" i="431"/>
  <c r="V47" i="431"/>
  <c r="V48" i="431"/>
  <c r="V49" i="431"/>
  <c r="V50" i="431"/>
  <c r="V51" i="431"/>
  <c r="V52" i="431"/>
  <c r="V53" i="431"/>
  <c r="V54" i="431"/>
  <c r="V55" i="431"/>
  <c r="V56" i="431"/>
  <c r="V57" i="431"/>
  <c r="V58" i="431"/>
  <c r="V59" i="431"/>
  <c r="V60" i="431"/>
  <c r="V61" i="431"/>
  <c r="V62" i="431"/>
  <c r="V63" i="431"/>
  <c r="V64" i="431"/>
  <c r="V65" i="431"/>
  <c r="V66" i="431"/>
  <c r="V67" i="431"/>
  <c r="V68" i="431"/>
  <c r="V69" i="431"/>
  <c r="V70" i="431"/>
  <c r="V71" i="431"/>
  <c r="V72" i="431"/>
  <c r="V73" i="431"/>
  <c r="V74" i="431"/>
  <c r="V75" i="431"/>
  <c r="V76" i="431"/>
  <c r="V77" i="431"/>
  <c r="V78" i="431"/>
  <c r="V79" i="431"/>
  <c r="V80" i="431"/>
  <c r="V81" i="431"/>
  <c r="V82" i="431"/>
  <c r="V83" i="431"/>
  <c r="V84" i="431"/>
  <c r="V85" i="431"/>
  <c r="V86" i="431"/>
  <c r="V87" i="431"/>
  <c r="V88" i="431"/>
  <c r="V89" i="431"/>
  <c r="V90" i="431"/>
  <c r="V91" i="431"/>
  <c r="V92" i="431"/>
  <c r="V93" i="431"/>
  <c r="V94" i="431"/>
  <c r="V95" i="431"/>
  <c r="V96" i="431"/>
  <c r="V97" i="431"/>
  <c r="V98" i="431"/>
  <c r="V99" i="431"/>
  <c r="V100" i="431"/>
  <c r="V101" i="431"/>
  <c r="V102" i="431"/>
  <c r="V103" i="431"/>
  <c r="V104" i="431"/>
  <c r="V105" i="431"/>
  <c r="V106" i="431"/>
  <c r="V107" i="431"/>
  <c r="V108" i="431"/>
  <c r="V109" i="431"/>
  <c r="V110" i="431"/>
  <c r="V111" i="431"/>
  <c r="V112" i="431"/>
  <c r="V113" i="431"/>
  <c r="V114" i="431"/>
  <c r="V115" i="431"/>
  <c r="V116" i="431"/>
  <c r="V117" i="431"/>
  <c r="V118" i="431"/>
  <c r="V119" i="431"/>
  <c r="V120" i="431"/>
  <c r="V121" i="431"/>
  <c r="V122" i="431"/>
  <c r="V123" i="431"/>
  <c r="V124" i="431"/>
  <c r="V125" i="431"/>
  <c r="V126" i="431"/>
  <c r="V127" i="431"/>
  <c r="V128" i="431"/>
  <c r="V129" i="431"/>
  <c r="V130" i="431"/>
  <c r="V131" i="431"/>
  <c r="V132" i="431"/>
  <c r="V133" i="431"/>
  <c r="V134" i="431"/>
  <c r="V135" i="431"/>
  <c r="V136" i="431"/>
  <c r="V137" i="431"/>
  <c r="V138" i="431"/>
  <c r="V139" i="431"/>
  <c r="V140" i="431"/>
  <c r="V141" i="431"/>
  <c r="V142" i="431"/>
  <c r="V143" i="431"/>
  <c r="V144" i="431"/>
  <c r="V145" i="431"/>
  <c r="V146" i="431"/>
  <c r="V147" i="431"/>
  <c r="V148" i="431"/>
  <c r="V149" i="431"/>
  <c r="V150" i="431"/>
  <c r="V151" i="431"/>
  <c r="V152" i="431"/>
  <c r="V153" i="431"/>
  <c r="V154" i="431"/>
  <c r="V155" i="431"/>
  <c r="V156" i="431"/>
  <c r="V157" i="431"/>
  <c r="V158" i="431"/>
  <c r="V159" i="431"/>
  <c r="V160" i="431"/>
  <c r="V161" i="431"/>
  <c r="V162" i="431"/>
  <c r="V163" i="431"/>
  <c r="V164" i="431"/>
  <c r="V165" i="431"/>
  <c r="V166" i="431"/>
  <c r="V167" i="431"/>
  <c r="V168" i="431"/>
  <c r="V169" i="431"/>
  <c r="V170" i="431"/>
  <c r="V171" i="431"/>
  <c r="V172" i="431"/>
  <c r="V173" i="431"/>
  <c r="V174" i="431"/>
  <c r="V175" i="431"/>
  <c r="V176" i="431"/>
  <c r="V177" i="431"/>
  <c r="V178" i="431"/>
  <c r="V179" i="431"/>
  <c r="V180" i="431"/>
  <c r="V181" i="431"/>
  <c r="V182" i="431"/>
  <c r="V183" i="431"/>
  <c r="V184" i="431"/>
  <c r="V185" i="431"/>
  <c r="V186" i="431"/>
  <c r="V187" i="431"/>
  <c r="V188" i="431"/>
  <c r="V189" i="431"/>
  <c r="V190" i="431"/>
  <c r="V191" i="431"/>
  <c r="V192" i="431"/>
  <c r="V193" i="431"/>
  <c r="V194" i="431"/>
  <c r="V195" i="431"/>
  <c r="V196" i="431"/>
  <c r="V197" i="431"/>
  <c r="V198" i="431"/>
  <c r="V199" i="431"/>
  <c r="V200" i="431"/>
  <c r="V201" i="431"/>
  <c r="V202" i="431"/>
  <c r="V203" i="431"/>
  <c r="V204" i="431"/>
  <c r="V205" i="431"/>
  <c r="V206" i="431"/>
  <c r="V207" i="431"/>
  <c r="V208" i="431"/>
  <c r="V209" i="431"/>
  <c r="V210" i="431"/>
  <c r="V211" i="431"/>
  <c r="V212" i="431"/>
  <c r="V213" i="431"/>
  <c r="V214" i="431"/>
  <c r="V215" i="431"/>
  <c r="V216" i="431"/>
  <c r="V217" i="431"/>
  <c r="V218" i="431"/>
  <c r="V219" i="431"/>
  <c r="V220" i="431"/>
  <c r="V221" i="431"/>
  <c r="V222" i="431"/>
  <c r="V223" i="431"/>
  <c r="V224" i="431"/>
  <c r="V225" i="431"/>
  <c r="V226" i="431"/>
  <c r="V227" i="431"/>
  <c r="V228" i="431"/>
  <c r="V229" i="431"/>
  <c r="V230" i="431"/>
  <c r="V231" i="431"/>
  <c r="V232" i="431"/>
  <c r="V233" i="431"/>
  <c r="V234" i="431"/>
  <c r="V235" i="431"/>
  <c r="V236" i="431"/>
  <c r="V237" i="431"/>
  <c r="V238" i="431"/>
  <c r="V239" i="431"/>
  <c r="V240" i="431"/>
  <c r="V241" i="431"/>
  <c r="V242" i="431"/>
  <c r="V243" i="431"/>
  <c r="V244" i="431"/>
  <c r="V245" i="431"/>
  <c r="V246" i="431"/>
  <c r="V247" i="431"/>
  <c r="V248" i="431"/>
  <c r="V249" i="431"/>
  <c r="V250" i="431"/>
  <c r="V251" i="431"/>
  <c r="V252" i="431"/>
  <c r="V253" i="431"/>
  <c r="V254" i="431"/>
  <c r="V255" i="431"/>
  <c r="V256" i="431"/>
  <c r="V257" i="431"/>
  <c r="V258" i="431"/>
  <c r="V259" i="431"/>
  <c r="V260" i="431"/>
  <c r="V261" i="431"/>
  <c r="V262" i="431"/>
  <c r="V263" i="431"/>
  <c r="V264" i="431"/>
  <c r="V265" i="431"/>
  <c r="V266" i="431"/>
  <c r="V267" i="431"/>
  <c r="V268" i="431"/>
  <c r="V269" i="431"/>
  <c r="V270" i="431"/>
  <c r="V271" i="431"/>
  <c r="V272" i="431"/>
  <c r="V273" i="431"/>
  <c r="V274" i="431"/>
  <c r="V275" i="431"/>
  <c r="V276" i="431"/>
  <c r="V277" i="431"/>
  <c r="V278" i="431"/>
  <c r="V279" i="431"/>
  <c r="V280" i="431"/>
  <c r="V281" i="431"/>
  <c r="V282" i="431"/>
  <c r="V283" i="431"/>
  <c r="V284" i="431"/>
  <c r="V285" i="431"/>
  <c r="V286" i="431"/>
  <c r="V287" i="431"/>
  <c r="V288" i="431"/>
  <c r="V289" i="431"/>
  <c r="V290" i="431"/>
  <c r="V291" i="431"/>
  <c r="V292" i="431"/>
  <c r="V293" i="431"/>
  <c r="V294" i="431"/>
  <c r="V295" i="431"/>
  <c r="V296" i="431"/>
  <c r="V297" i="431"/>
  <c r="V298" i="431"/>
  <c r="V299" i="431"/>
  <c r="V300" i="431"/>
  <c r="V301" i="431"/>
  <c r="V903" i="431"/>
  <c r="V14" i="431"/>
  <c r="U903" i="431"/>
  <c r="U301" i="431"/>
  <c r="U300" i="431"/>
  <c r="U299" i="431"/>
  <c r="U298" i="431"/>
  <c r="U297" i="431"/>
  <c r="U296" i="431"/>
  <c r="U295" i="431"/>
  <c r="U294" i="431"/>
  <c r="U293" i="431"/>
  <c r="U292" i="431"/>
  <c r="U291" i="431"/>
  <c r="U290" i="431"/>
  <c r="U289" i="431"/>
  <c r="U288" i="431"/>
  <c r="U287" i="431"/>
  <c r="U286" i="431"/>
  <c r="U285" i="431"/>
  <c r="U284" i="431"/>
  <c r="U283" i="431"/>
  <c r="U282" i="431"/>
  <c r="U281" i="431"/>
  <c r="U280" i="431"/>
  <c r="U279" i="431"/>
  <c r="U278" i="431"/>
  <c r="U277" i="431"/>
  <c r="U276" i="431"/>
  <c r="U275" i="431"/>
  <c r="U274" i="431"/>
  <c r="U273" i="431"/>
  <c r="U272" i="431"/>
  <c r="U271" i="431"/>
  <c r="U270" i="431"/>
  <c r="U269" i="431"/>
  <c r="U268" i="431"/>
  <c r="U267" i="431"/>
  <c r="U266" i="431"/>
  <c r="U265" i="431"/>
  <c r="U264" i="431"/>
  <c r="U263" i="431"/>
  <c r="U262" i="431"/>
  <c r="U261" i="431"/>
  <c r="U260" i="431"/>
  <c r="U259" i="431"/>
  <c r="U258" i="431"/>
  <c r="U257" i="431"/>
  <c r="U256" i="431"/>
  <c r="U255" i="431"/>
  <c r="U254" i="431"/>
  <c r="U253" i="431"/>
  <c r="U252" i="431"/>
  <c r="U251" i="431"/>
  <c r="U250" i="431"/>
  <c r="U249" i="431"/>
  <c r="U248" i="431"/>
  <c r="U247" i="431"/>
  <c r="U246" i="431"/>
  <c r="U245" i="431"/>
  <c r="U244" i="431"/>
  <c r="U243" i="431"/>
  <c r="U242" i="431"/>
  <c r="U241" i="431"/>
  <c r="U240" i="431"/>
  <c r="U239" i="431"/>
  <c r="U238" i="431"/>
  <c r="U237" i="431"/>
  <c r="U236" i="431"/>
  <c r="U235" i="431"/>
  <c r="U234" i="431"/>
  <c r="U233" i="431"/>
  <c r="U232" i="431"/>
  <c r="U231" i="431"/>
  <c r="U230" i="431"/>
  <c r="U229" i="431"/>
  <c r="U228" i="431"/>
  <c r="U227" i="431"/>
  <c r="U226" i="431"/>
  <c r="U225" i="431"/>
  <c r="U224" i="431"/>
  <c r="U223" i="431"/>
  <c r="U222" i="431"/>
  <c r="U221" i="431"/>
  <c r="U220" i="431"/>
  <c r="U219" i="431"/>
  <c r="U218" i="431"/>
  <c r="U217" i="431"/>
  <c r="U216" i="431"/>
  <c r="U215" i="431"/>
  <c r="U214" i="431"/>
  <c r="U213" i="431"/>
  <c r="U212" i="431"/>
  <c r="U211" i="431"/>
  <c r="U210" i="431"/>
  <c r="U209" i="431"/>
  <c r="U208" i="431"/>
  <c r="U207" i="431"/>
  <c r="U206" i="431"/>
  <c r="U205" i="431"/>
  <c r="U204" i="431"/>
  <c r="U203" i="431"/>
  <c r="U202" i="431"/>
  <c r="U201" i="431"/>
  <c r="U200" i="431"/>
  <c r="U199" i="431"/>
  <c r="U198" i="431"/>
  <c r="U197" i="431"/>
  <c r="U196" i="431"/>
  <c r="U195" i="431"/>
  <c r="U194" i="431"/>
  <c r="U193" i="431"/>
  <c r="U192" i="431"/>
  <c r="U191" i="431"/>
  <c r="U190" i="431"/>
  <c r="U189" i="431"/>
  <c r="U188" i="431"/>
  <c r="U187" i="431"/>
  <c r="U186" i="431"/>
  <c r="U185" i="431"/>
  <c r="U184" i="431"/>
  <c r="U183" i="431"/>
  <c r="U182" i="431"/>
  <c r="U181" i="431"/>
  <c r="U180" i="431"/>
  <c r="U179" i="431"/>
  <c r="U178" i="431"/>
  <c r="U177" i="431"/>
  <c r="U176" i="431"/>
  <c r="U175" i="431"/>
  <c r="U174" i="431"/>
  <c r="U173" i="431"/>
  <c r="U172" i="431"/>
  <c r="U171" i="431"/>
  <c r="U170" i="431"/>
  <c r="U169" i="431"/>
  <c r="U168" i="431"/>
  <c r="U167" i="431"/>
  <c r="U166" i="431"/>
  <c r="U165" i="431"/>
  <c r="U164" i="431"/>
  <c r="U163" i="431"/>
  <c r="U162" i="431"/>
  <c r="U161" i="431"/>
  <c r="U160" i="431"/>
  <c r="U159" i="431"/>
  <c r="U158" i="431"/>
  <c r="U157" i="431"/>
  <c r="U156" i="431"/>
  <c r="U155" i="431"/>
  <c r="U154" i="431"/>
  <c r="U153" i="431"/>
  <c r="U152" i="431"/>
  <c r="U151" i="431"/>
  <c r="U150" i="431"/>
  <c r="U149" i="431"/>
  <c r="U148" i="431"/>
  <c r="U147" i="431"/>
  <c r="U146" i="431"/>
  <c r="U145" i="431"/>
  <c r="U144" i="431"/>
  <c r="U143" i="431"/>
  <c r="U142" i="431"/>
  <c r="U141" i="431"/>
  <c r="U140" i="431"/>
  <c r="U139" i="431"/>
  <c r="U138" i="431"/>
  <c r="U137" i="431"/>
  <c r="U136" i="431"/>
  <c r="U135" i="431"/>
  <c r="U134" i="431"/>
  <c r="U133" i="431"/>
  <c r="U132" i="431"/>
  <c r="U131" i="431"/>
  <c r="U130" i="431"/>
  <c r="U129" i="431"/>
  <c r="U128" i="431"/>
  <c r="U127" i="431"/>
  <c r="U126" i="431"/>
  <c r="U125" i="431"/>
  <c r="U124" i="431"/>
  <c r="U123" i="431"/>
  <c r="U122" i="431"/>
  <c r="U121" i="431"/>
  <c r="U120" i="431"/>
  <c r="U119" i="431"/>
  <c r="U118" i="431"/>
  <c r="U117" i="431"/>
  <c r="U116" i="431"/>
  <c r="U115" i="431"/>
  <c r="U114" i="431"/>
  <c r="U113" i="431"/>
  <c r="U112" i="431"/>
  <c r="U111" i="431"/>
  <c r="U110" i="431"/>
  <c r="U109" i="431"/>
  <c r="U108" i="431"/>
  <c r="U107" i="431"/>
  <c r="U106" i="431"/>
  <c r="U105" i="431"/>
  <c r="U104" i="431"/>
  <c r="U103" i="431"/>
  <c r="U102" i="431"/>
  <c r="U101" i="431"/>
  <c r="U100" i="431"/>
  <c r="U99" i="431"/>
  <c r="U98" i="431"/>
  <c r="U97" i="431"/>
  <c r="U96" i="431"/>
  <c r="U95" i="431"/>
  <c r="U94" i="431"/>
  <c r="U93" i="431"/>
  <c r="U92" i="431"/>
  <c r="U91" i="431"/>
  <c r="U90" i="431"/>
  <c r="U89" i="431"/>
  <c r="U88" i="431"/>
  <c r="U87" i="431"/>
  <c r="U86" i="431"/>
  <c r="U85" i="431"/>
  <c r="U84" i="431"/>
  <c r="U83" i="431"/>
  <c r="U82" i="431"/>
  <c r="U81" i="431"/>
  <c r="U80" i="431"/>
  <c r="U79" i="431"/>
  <c r="U78" i="431"/>
  <c r="U77" i="431"/>
  <c r="U76" i="431"/>
  <c r="U75" i="431"/>
  <c r="U74" i="431"/>
  <c r="U73" i="431"/>
  <c r="U72" i="431"/>
  <c r="U71" i="431"/>
  <c r="U70" i="431"/>
  <c r="U69" i="431"/>
  <c r="U68" i="431"/>
  <c r="U67" i="431"/>
  <c r="U66" i="431"/>
  <c r="U65" i="431"/>
  <c r="U64" i="431"/>
  <c r="U63" i="431"/>
  <c r="U62" i="431"/>
  <c r="U61" i="431"/>
  <c r="U60" i="431"/>
  <c r="U59" i="431"/>
  <c r="U58" i="431"/>
  <c r="U57" i="431"/>
  <c r="U56" i="431"/>
  <c r="U55" i="431"/>
  <c r="U54" i="431"/>
  <c r="U53" i="431"/>
  <c r="U52" i="431"/>
  <c r="U51" i="431"/>
  <c r="U50" i="431"/>
  <c r="U49" i="431"/>
  <c r="U48" i="431"/>
  <c r="U47" i="431"/>
  <c r="U46" i="431"/>
  <c r="U45" i="431"/>
  <c r="U44" i="431"/>
  <c r="U43" i="431"/>
  <c r="U42" i="431"/>
  <c r="U41" i="431"/>
  <c r="U40" i="431"/>
  <c r="U39" i="431"/>
  <c r="U38" i="431"/>
  <c r="U37" i="431"/>
  <c r="U36" i="431"/>
  <c r="U35" i="431"/>
  <c r="U34" i="431"/>
  <c r="U33" i="431"/>
  <c r="U32" i="431"/>
  <c r="U31" i="431"/>
  <c r="U30" i="431"/>
  <c r="U29" i="431"/>
  <c r="U28" i="431"/>
  <c r="U27" i="431"/>
  <c r="U26" i="431"/>
  <c r="U25" i="431"/>
  <c r="U24" i="431"/>
  <c r="U23" i="431"/>
  <c r="U22" i="431"/>
  <c r="U21" i="431"/>
  <c r="U20" i="431"/>
  <c r="U19" i="431"/>
  <c r="U18" i="431"/>
  <c r="U17" i="431"/>
  <c r="U16" i="431"/>
  <c r="U15" i="431"/>
  <c r="U14" i="431"/>
  <c r="AJ301" i="431"/>
  <c r="T301" i="431"/>
  <c r="S301" i="431"/>
  <c r="R301" i="431"/>
  <c r="Q301" i="431"/>
  <c r="B301" i="431"/>
  <c r="P301" i="431" s="1"/>
  <c r="AJ300" i="431"/>
  <c r="T300" i="431"/>
  <c r="S300" i="431"/>
  <c r="R300" i="431"/>
  <c r="Q300" i="431"/>
  <c r="B300" i="431"/>
  <c r="P300" i="431" s="1"/>
  <c r="AJ299" i="431"/>
  <c r="T299" i="431"/>
  <c r="S299" i="431"/>
  <c r="R299" i="431"/>
  <c r="Q299" i="431"/>
  <c r="B299" i="431"/>
  <c r="P299" i="431" s="1"/>
  <c r="AJ298" i="431"/>
  <c r="T298" i="431"/>
  <c r="S298" i="431"/>
  <c r="R298" i="431"/>
  <c r="Q298" i="431"/>
  <c r="B298" i="431"/>
  <c r="P298" i="431" s="1"/>
  <c r="AJ297" i="431"/>
  <c r="T297" i="431"/>
  <c r="S297" i="431"/>
  <c r="R297" i="431"/>
  <c r="Q297" i="431"/>
  <c r="B297" i="431"/>
  <c r="P297" i="431" s="1"/>
  <c r="AJ296" i="431"/>
  <c r="T296" i="431"/>
  <c r="S296" i="431"/>
  <c r="R296" i="431"/>
  <c r="Q296" i="431"/>
  <c r="B296" i="431"/>
  <c r="P296" i="431" s="1"/>
  <c r="AJ295" i="431"/>
  <c r="T295" i="431"/>
  <c r="S295" i="431"/>
  <c r="R295" i="431"/>
  <c r="Q295" i="431"/>
  <c r="B295" i="431"/>
  <c r="P295" i="431" s="1"/>
  <c r="AJ294" i="431"/>
  <c r="T294" i="431"/>
  <c r="S294" i="431"/>
  <c r="R294" i="431"/>
  <c r="Q294" i="431"/>
  <c r="B294" i="431"/>
  <c r="P294" i="431" s="1"/>
  <c r="AJ293" i="431"/>
  <c r="T293" i="431"/>
  <c r="S293" i="431"/>
  <c r="R293" i="431"/>
  <c r="Q293" i="431"/>
  <c r="B293" i="431"/>
  <c r="P293" i="431" s="1"/>
  <c r="AJ292" i="431"/>
  <c r="T292" i="431"/>
  <c r="S292" i="431"/>
  <c r="R292" i="431"/>
  <c r="Q292" i="431"/>
  <c r="B292" i="431"/>
  <c r="P292" i="431" s="1"/>
  <c r="AJ291" i="431"/>
  <c r="T291" i="431"/>
  <c r="S291" i="431"/>
  <c r="R291" i="431"/>
  <c r="Q291" i="431"/>
  <c r="B291" i="431"/>
  <c r="P291" i="431" s="1"/>
  <c r="AJ290" i="431"/>
  <c r="T290" i="431"/>
  <c r="S290" i="431"/>
  <c r="R290" i="431"/>
  <c r="Q290" i="431"/>
  <c r="B290" i="431"/>
  <c r="P290" i="431" s="1"/>
  <c r="AJ289" i="431"/>
  <c r="T289" i="431"/>
  <c r="S289" i="431"/>
  <c r="R289" i="431"/>
  <c r="Q289" i="431"/>
  <c r="B289" i="431"/>
  <c r="P289" i="431" s="1"/>
  <c r="AJ288" i="431"/>
  <c r="T288" i="431"/>
  <c r="S288" i="431"/>
  <c r="R288" i="431"/>
  <c r="Q288" i="431"/>
  <c r="B288" i="431"/>
  <c r="P288" i="431" s="1"/>
  <c r="AJ287" i="431"/>
  <c r="T287" i="431"/>
  <c r="S287" i="431"/>
  <c r="R287" i="431"/>
  <c r="Q287" i="431"/>
  <c r="B287" i="431"/>
  <c r="P287" i="431" s="1"/>
  <c r="AJ286" i="431"/>
  <c r="T286" i="431"/>
  <c r="S286" i="431"/>
  <c r="R286" i="431"/>
  <c r="Q286" i="431"/>
  <c r="B286" i="431"/>
  <c r="P286" i="431" s="1"/>
  <c r="AJ285" i="431"/>
  <c r="T285" i="431"/>
  <c r="S285" i="431"/>
  <c r="R285" i="431"/>
  <c r="Q285" i="431"/>
  <c r="B285" i="431"/>
  <c r="P285" i="431" s="1"/>
  <c r="AJ284" i="431"/>
  <c r="T284" i="431"/>
  <c r="S284" i="431"/>
  <c r="R284" i="431"/>
  <c r="Q284" i="431"/>
  <c r="B284" i="431"/>
  <c r="P284" i="431" s="1"/>
  <c r="AJ283" i="431"/>
  <c r="T283" i="431"/>
  <c r="S283" i="431"/>
  <c r="R283" i="431"/>
  <c r="Q283" i="431"/>
  <c r="B283" i="431"/>
  <c r="P283" i="431" s="1"/>
  <c r="AJ282" i="431"/>
  <c r="T282" i="431"/>
  <c r="S282" i="431"/>
  <c r="R282" i="431"/>
  <c r="Q282" i="431"/>
  <c r="B282" i="431"/>
  <c r="P282" i="431" s="1"/>
  <c r="AJ281" i="431"/>
  <c r="T281" i="431"/>
  <c r="S281" i="431"/>
  <c r="R281" i="431"/>
  <c r="Q281" i="431"/>
  <c r="B281" i="431"/>
  <c r="P281" i="431" s="1"/>
  <c r="AJ280" i="431"/>
  <c r="T280" i="431"/>
  <c r="S280" i="431"/>
  <c r="R280" i="431"/>
  <c r="Q280" i="431"/>
  <c r="B280" i="431"/>
  <c r="P280" i="431" s="1"/>
  <c r="AJ279" i="431"/>
  <c r="T279" i="431"/>
  <c r="S279" i="431"/>
  <c r="R279" i="431"/>
  <c r="Q279" i="431"/>
  <c r="B279" i="431"/>
  <c r="P279" i="431" s="1"/>
  <c r="AJ278" i="431"/>
  <c r="T278" i="431"/>
  <c r="S278" i="431"/>
  <c r="R278" i="431"/>
  <c r="Q278" i="431"/>
  <c r="B278" i="431"/>
  <c r="P278" i="431" s="1"/>
  <c r="AJ277" i="431"/>
  <c r="T277" i="431"/>
  <c r="S277" i="431"/>
  <c r="R277" i="431"/>
  <c r="Q277" i="431"/>
  <c r="B277" i="431"/>
  <c r="P277" i="431" s="1"/>
  <c r="AJ276" i="431"/>
  <c r="T276" i="431"/>
  <c r="S276" i="431"/>
  <c r="R276" i="431"/>
  <c r="Q276" i="431"/>
  <c r="B276" i="431"/>
  <c r="P276" i="431" s="1"/>
  <c r="AJ275" i="431"/>
  <c r="T275" i="431"/>
  <c r="S275" i="431"/>
  <c r="R275" i="431"/>
  <c r="Q275" i="431"/>
  <c r="B275" i="431"/>
  <c r="P275" i="431" s="1"/>
  <c r="AJ274" i="431"/>
  <c r="T274" i="431"/>
  <c r="S274" i="431"/>
  <c r="R274" i="431"/>
  <c r="Q274" i="431"/>
  <c r="B274" i="431"/>
  <c r="P274" i="431" s="1"/>
  <c r="AJ273" i="431"/>
  <c r="T273" i="431"/>
  <c r="S273" i="431"/>
  <c r="R273" i="431"/>
  <c r="Q273" i="431"/>
  <c r="B273" i="431"/>
  <c r="P273" i="431" s="1"/>
  <c r="AJ272" i="431"/>
  <c r="T272" i="431"/>
  <c r="S272" i="431"/>
  <c r="R272" i="431"/>
  <c r="Q272" i="431"/>
  <c r="B272" i="431"/>
  <c r="P272" i="431" s="1"/>
  <c r="AJ271" i="431"/>
  <c r="T271" i="431"/>
  <c r="S271" i="431"/>
  <c r="R271" i="431"/>
  <c r="Q271" i="431"/>
  <c r="B271" i="431"/>
  <c r="P271" i="431" s="1"/>
  <c r="AJ270" i="431"/>
  <c r="T270" i="431"/>
  <c r="S270" i="431"/>
  <c r="R270" i="431"/>
  <c r="Q270" i="431"/>
  <c r="B270" i="431"/>
  <c r="P270" i="431" s="1"/>
  <c r="AJ269" i="431"/>
  <c r="T269" i="431"/>
  <c r="S269" i="431"/>
  <c r="R269" i="431"/>
  <c r="Q269" i="431"/>
  <c r="B269" i="431"/>
  <c r="P269" i="431" s="1"/>
  <c r="AJ268" i="431"/>
  <c r="T268" i="431"/>
  <c r="S268" i="431"/>
  <c r="R268" i="431"/>
  <c r="Q268" i="431"/>
  <c r="B268" i="431"/>
  <c r="P268" i="431" s="1"/>
  <c r="AJ267" i="431"/>
  <c r="T267" i="431"/>
  <c r="S267" i="431"/>
  <c r="R267" i="431"/>
  <c r="Q267" i="431"/>
  <c r="B267" i="431"/>
  <c r="P267" i="431" s="1"/>
  <c r="AJ266" i="431"/>
  <c r="T266" i="431"/>
  <c r="S266" i="431"/>
  <c r="R266" i="431"/>
  <c r="Q266" i="431"/>
  <c r="B266" i="431"/>
  <c r="P266" i="431" s="1"/>
  <c r="AJ265" i="431"/>
  <c r="T265" i="431"/>
  <c r="S265" i="431"/>
  <c r="R265" i="431"/>
  <c r="Q265" i="431"/>
  <c r="B265" i="431"/>
  <c r="P265" i="431" s="1"/>
  <c r="AJ264" i="431"/>
  <c r="T264" i="431"/>
  <c r="S264" i="431"/>
  <c r="R264" i="431"/>
  <c r="Q264" i="431"/>
  <c r="B264" i="431"/>
  <c r="P264" i="431" s="1"/>
  <c r="AJ263" i="431"/>
  <c r="T263" i="431"/>
  <c r="S263" i="431"/>
  <c r="R263" i="431"/>
  <c r="Q263" i="431"/>
  <c r="B263" i="431"/>
  <c r="P263" i="431" s="1"/>
  <c r="AJ262" i="431"/>
  <c r="T262" i="431"/>
  <c r="S262" i="431"/>
  <c r="R262" i="431"/>
  <c r="Q262" i="431"/>
  <c r="B262" i="431"/>
  <c r="P262" i="431" s="1"/>
  <c r="AJ261" i="431"/>
  <c r="T261" i="431"/>
  <c r="S261" i="431"/>
  <c r="R261" i="431"/>
  <c r="Q261" i="431"/>
  <c r="B261" i="431"/>
  <c r="P261" i="431" s="1"/>
  <c r="AJ260" i="431"/>
  <c r="T260" i="431"/>
  <c r="S260" i="431"/>
  <c r="R260" i="431"/>
  <c r="Q260" i="431"/>
  <c r="B260" i="431"/>
  <c r="P260" i="431" s="1"/>
  <c r="AJ259" i="431"/>
  <c r="T259" i="431"/>
  <c r="S259" i="431"/>
  <c r="R259" i="431"/>
  <c r="Q259" i="431"/>
  <c r="B259" i="431"/>
  <c r="P259" i="431" s="1"/>
  <c r="AJ258" i="431"/>
  <c r="T258" i="431"/>
  <c r="S258" i="431"/>
  <c r="R258" i="431"/>
  <c r="Q258" i="431"/>
  <c r="B258" i="431"/>
  <c r="P258" i="431" s="1"/>
  <c r="AJ257" i="431"/>
  <c r="T257" i="431"/>
  <c r="S257" i="431"/>
  <c r="R257" i="431"/>
  <c r="Q257" i="431"/>
  <c r="B257" i="431"/>
  <c r="P257" i="431" s="1"/>
  <c r="AJ256" i="431"/>
  <c r="T256" i="431"/>
  <c r="S256" i="431"/>
  <c r="R256" i="431"/>
  <c r="Q256" i="431"/>
  <c r="B256" i="431"/>
  <c r="P256" i="431" s="1"/>
  <c r="AJ255" i="431"/>
  <c r="T255" i="431"/>
  <c r="S255" i="431"/>
  <c r="R255" i="431"/>
  <c r="Q255" i="431"/>
  <c r="B255" i="431"/>
  <c r="P255" i="431" s="1"/>
  <c r="AJ254" i="431"/>
  <c r="T254" i="431"/>
  <c r="S254" i="431"/>
  <c r="R254" i="431"/>
  <c r="Q254" i="431"/>
  <c r="B254" i="431"/>
  <c r="P254" i="431" s="1"/>
  <c r="AJ253" i="431"/>
  <c r="T253" i="431"/>
  <c r="S253" i="431"/>
  <c r="R253" i="431"/>
  <c r="Q253" i="431"/>
  <c r="B253" i="431"/>
  <c r="P253" i="431" s="1"/>
  <c r="AJ252" i="431"/>
  <c r="T252" i="431"/>
  <c r="S252" i="431"/>
  <c r="R252" i="431"/>
  <c r="Q252" i="431"/>
  <c r="B252" i="431"/>
  <c r="P252" i="431" s="1"/>
  <c r="AJ251" i="431"/>
  <c r="T251" i="431"/>
  <c r="S251" i="431"/>
  <c r="R251" i="431"/>
  <c r="Q251" i="431"/>
  <c r="B251" i="431"/>
  <c r="P251" i="431" s="1"/>
  <c r="AJ250" i="431"/>
  <c r="T250" i="431"/>
  <c r="S250" i="431"/>
  <c r="R250" i="431"/>
  <c r="Q250" i="431"/>
  <c r="B250" i="431"/>
  <c r="P250" i="431" s="1"/>
  <c r="AJ249" i="431"/>
  <c r="T249" i="431"/>
  <c r="S249" i="431"/>
  <c r="R249" i="431"/>
  <c r="Q249" i="431"/>
  <c r="B249" i="431"/>
  <c r="P249" i="431" s="1"/>
  <c r="AJ248" i="431"/>
  <c r="T248" i="431"/>
  <c r="S248" i="431"/>
  <c r="R248" i="431"/>
  <c r="Q248" i="431"/>
  <c r="B248" i="431"/>
  <c r="P248" i="431" s="1"/>
  <c r="AJ247" i="431"/>
  <c r="T247" i="431"/>
  <c r="S247" i="431"/>
  <c r="R247" i="431"/>
  <c r="Q247" i="431"/>
  <c r="B247" i="431"/>
  <c r="P247" i="431" s="1"/>
  <c r="AJ246" i="431"/>
  <c r="T246" i="431"/>
  <c r="S246" i="431"/>
  <c r="R246" i="431"/>
  <c r="Q246" i="431"/>
  <c r="B246" i="431"/>
  <c r="P246" i="431" s="1"/>
  <c r="AJ245" i="431"/>
  <c r="T245" i="431"/>
  <c r="S245" i="431"/>
  <c r="R245" i="431"/>
  <c r="Q245" i="431"/>
  <c r="B245" i="431"/>
  <c r="P245" i="431" s="1"/>
  <c r="AJ244" i="431"/>
  <c r="T244" i="431"/>
  <c r="S244" i="431"/>
  <c r="R244" i="431"/>
  <c r="Q244" i="431"/>
  <c r="B244" i="431"/>
  <c r="P244" i="431" s="1"/>
  <c r="AJ243" i="431"/>
  <c r="T243" i="431"/>
  <c r="S243" i="431"/>
  <c r="R243" i="431"/>
  <c r="Q243" i="431"/>
  <c r="B243" i="431"/>
  <c r="P243" i="431" s="1"/>
  <c r="AJ242" i="431"/>
  <c r="T242" i="431"/>
  <c r="S242" i="431"/>
  <c r="R242" i="431"/>
  <c r="Q242" i="431"/>
  <c r="B242" i="431"/>
  <c r="P242" i="431" s="1"/>
  <c r="AJ241" i="431"/>
  <c r="T241" i="431"/>
  <c r="S241" i="431"/>
  <c r="R241" i="431"/>
  <c r="Q241" i="431"/>
  <c r="B241" i="431"/>
  <c r="P241" i="431" s="1"/>
  <c r="AJ240" i="431"/>
  <c r="T240" i="431"/>
  <c r="S240" i="431"/>
  <c r="R240" i="431"/>
  <c r="Q240" i="431"/>
  <c r="B240" i="431"/>
  <c r="P240" i="431" s="1"/>
  <c r="AJ239" i="431"/>
  <c r="T239" i="431"/>
  <c r="S239" i="431"/>
  <c r="R239" i="431"/>
  <c r="Q239" i="431"/>
  <c r="B239" i="431"/>
  <c r="P239" i="431" s="1"/>
  <c r="AJ238" i="431"/>
  <c r="T238" i="431"/>
  <c r="S238" i="431"/>
  <c r="R238" i="431"/>
  <c r="Q238" i="431"/>
  <c r="B238" i="431"/>
  <c r="P238" i="431" s="1"/>
  <c r="AJ237" i="431"/>
  <c r="T237" i="431"/>
  <c r="S237" i="431"/>
  <c r="R237" i="431"/>
  <c r="Q237" i="431"/>
  <c r="B237" i="431"/>
  <c r="P237" i="431" s="1"/>
  <c r="AJ236" i="431"/>
  <c r="T236" i="431"/>
  <c r="S236" i="431"/>
  <c r="R236" i="431"/>
  <c r="Q236" i="431"/>
  <c r="B236" i="431"/>
  <c r="P236" i="431" s="1"/>
  <c r="AJ235" i="431"/>
  <c r="T235" i="431"/>
  <c r="S235" i="431"/>
  <c r="R235" i="431"/>
  <c r="Q235" i="431"/>
  <c r="B235" i="431"/>
  <c r="P235" i="431" s="1"/>
  <c r="AJ234" i="431"/>
  <c r="T234" i="431"/>
  <c r="S234" i="431"/>
  <c r="R234" i="431"/>
  <c r="Q234" i="431"/>
  <c r="B234" i="431"/>
  <c r="P234" i="431" s="1"/>
  <c r="AJ233" i="431"/>
  <c r="T233" i="431"/>
  <c r="S233" i="431"/>
  <c r="R233" i="431"/>
  <c r="Q233" i="431"/>
  <c r="B233" i="431"/>
  <c r="P233" i="431" s="1"/>
  <c r="AJ232" i="431"/>
  <c r="T232" i="431"/>
  <c r="S232" i="431"/>
  <c r="R232" i="431"/>
  <c r="Q232" i="431"/>
  <c r="B232" i="431"/>
  <c r="P232" i="431" s="1"/>
  <c r="AJ231" i="431"/>
  <c r="T231" i="431"/>
  <c r="S231" i="431"/>
  <c r="R231" i="431"/>
  <c r="Q231" i="431"/>
  <c r="B231" i="431"/>
  <c r="P231" i="431" s="1"/>
  <c r="AJ230" i="431"/>
  <c r="T230" i="431"/>
  <c r="S230" i="431"/>
  <c r="R230" i="431"/>
  <c r="Q230" i="431"/>
  <c r="B230" i="431"/>
  <c r="P230" i="431" s="1"/>
  <c r="AJ229" i="431"/>
  <c r="T229" i="431"/>
  <c r="S229" i="431"/>
  <c r="R229" i="431"/>
  <c r="Q229" i="431"/>
  <c r="B229" i="431"/>
  <c r="P229" i="431" s="1"/>
  <c r="AJ228" i="431"/>
  <c r="T228" i="431"/>
  <c r="S228" i="431"/>
  <c r="R228" i="431"/>
  <c r="Q228" i="431"/>
  <c r="B228" i="431"/>
  <c r="P228" i="431" s="1"/>
  <c r="AJ227" i="431"/>
  <c r="T227" i="431"/>
  <c r="S227" i="431"/>
  <c r="R227" i="431"/>
  <c r="Q227" i="431"/>
  <c r="B227" i="431"/>
  <c r="P227" i="431" s="1"/>
  <c r="AJ226" i="431"/>
  <c r="T226" i="431"/>
  <c r="S226" i="431"/>
  <c r="R226" i="431"/>
  <c r="Q226" i="431"/>
  <c r="B226" i="431"/>
  <c r="P226" i="431" s="1"/>
  <c r="AJ225" i="431"/>
  <c r="T225" i="431"/>
  <c r="S225" i="431"/>
  <c r="R225" i="431"/>
  <c r="Q225" i="431"/>
  <c r="B225" i="431"/>
  <c r="P225" i="431" s="1"/>
  <c r="AJ224" i="431"/>
  <c r="T224" i="431"/>
  <c r="S224" i="431"/>
  <c r="R224" i="431"/>
  <c r="Q224" i="431"/>
  <c r="B224" i="431"/>
  <c r="P224" i="431" s="1"/>
  <c r="AJ223" i="431"/>
  <c r="T223" i="431"/>
  <c r="S223" i="431"/>
  <c r="R223" i="431"/>
  <c r="Q223" i="431"/>
  <c r="B223" i="431"/>
  <c r="P223" i="431" s="1"/>
  <c r="AJ222" i="431"/>
  <c r="T222" i="431"/>
  <c r="S222" i="431"/>
  <c r="R222" i="431"/>
  <c r="Q222" i="431"/>
  <c r="B222" i="431"/>
  <c r="P222" i="431" s="1"/>
  <c r="AJ221" i="431"/>
  <c r="T221" i="431"/>
  <c r="S221" i="431"/>
  <c r="R221" i="431"/>
  <c r="Q221" i="431"/>
  <c r="B221" i="431"/>
  <c r="P221" i="431" s="1"/>
  <c r="AJ220" i="431"/>
  <c r="T220" i="431"/>
  <c r="S220" i="431"/>
  <c r="R220" i="431"/>
  <c r="Q220" i="431"/>
  <c r="B220" i="431"/>
  <c r="P220" i="431" s="1"/>
  <c r="AJ219" i="431"/>
  <c r="T219" i="431"/>
  <c r="S219" i="431"/>
  <c r="R219" i="431"/>
  <c r="Q219" i="431"/>
  <c r="B219" i="431"/>
  <c r="P219" i="431" s="1"/>
  <c r="AJ218" i="431"/>
  <c r="T218" i="431"/>
  <c r="S218" i="431"/>
  <c r="R218" i="431"/>
  <c r="Q218" i="431"/>
  <c r="B218" i="431"/>
  <c r="P218" i="431" s="1"/>
  <c r="AJ217" i="431"/>
  <c r="T217" i="431"/>
  <c r="S217" i="431"/>
  <c r="R217" i="431"/>
  <c r="Q217" i="431"/>
  <c r="B217" i="431"/>
  <c r="P217" i="431" s="1"/>
  <c r="AJ216" i="431"/>
  <c r="T216" i="431"/>
  <c r="S216" i="431"/>
  <c r="R216" i="431"/>
  <c r="Q216" i="431"/>
  <c r="B216" i="431"/>
  <c r="P216" i="431" s="1"/>
  <c r="AJ215" i="431"/>
  <c r="T215" i="431"/>
  <c r="S215" i="431"/>
  <c r="R215" i="431"/>
  <c r="Q215" i="431"/>
  <c r="B215" i="431"/>
  <c r="P215" i="431" s="1"/>
  <c r="AJ214" i="431"/>
  <c r="T214" i="431"/>
  <c r="S214" i="431"/>
  <c r="R214" i="431"/>
  <c r="Q214" i="431"/>
  <c r="B214" i="431"/>
  <c r="P214" i="431" s="1"/>
  <c r="AJ213" i="431"/>
  <c r="T213" i="431"/>
  <c r="S213" i="431"/>
  <c r="R213" i="431"/>
  <c r="Q213" i="431"/>
  <c r="B213" i="431"/>
  <c r="P213" i="431" s="1"/>
  <c r="AJ212" i="431"/>
  <c r="T212" i="431"/>
  <c r="S212" i="431"/>
  <c r="R212" i="431"/>
  <c r="Q212" i="431"/>
  <c r="B212" i="431"/>
  <c r="P212" i="431" s="1"/>
  <c r="AJ211" i="431"/>
  <c r="T211" i="431"/>
  <c r="S211" i="431"/>
  <c r="R211" i="431"/>
  <c r="Q211" i="431"/>
  <c r="B211" i="431"/>
  <c r="P211" i="431" s="1"/>
  <c r="AJ210" i="431"/>
  <c r="T210" i="431"/>
  <c r="S210" i="431"/>
  <c r="R210" i="431"/>
  <c r="Q210" i="431"/>
  <c r="B210" i="431"/>
  <c r="P210" i="431" s="1"/>
  <c r="AJ209" i="431"/>
  <c r="T209" i="431"/>
  <c r="S209" i="431"/>
  <c r="R209" i="431"/>
  <c r="Q209" i="431"/>
  <c r="B209" i="431"/>
  <c r="P209" i="431" s="1"/>
  <c r="AJ208" i="431"/>
  <c r="T208" i="431"/>
  <c r="S208" i="431"/>
  <c r="R208" i="431"/>
  <c r="Q208" i="431"/>
  <c r="B208" i="431"/>
  <c r="P208" i="431" s="1"/>
  <c r="AJ207" i="431"/>
  <c r="T207" i="431"/>
  <c r="S207" i="431"/>
  <c r="R207" i="431"/>
  <c r="Q207" i="431"/>
  <c r="B207" i="431"/>
  <c r="P207" i="431" s="1"/>
  <c r="AJ206" i="431"/>
  <c r="T206" i="431"/>
  <c r="S206" i="431"/>
  <c r="R206" i="431"/>
  <c r="Q206" i="431"/>
  <c r="B206" i="431"/>
  <c r="P206" i="431" s="1"/>
  <c r="AJ205" i="431"/>
  <c r="T205" i="431"/>
  <c r="S205" i="431"/>
  <c r="R205" i="431"/>
  <c r="Q205" i="431"/>
  <c r="B205" i="431"/>
  <c r="P205" i="431" s="1"/>
  <c r="AJ204" i="431"/>
  <c r="T204" i="431"/>
  <c r="S204" i="431"/>
  <c r="R204" i="431"/>
  <c r="Q204" i="431"/>
  <c r="B204" i="431"/>
  <c r="P204" i="431" s="1"/>
  <c r="AJ203" i="431"/>
  <c r="T203" i="431"/>
  <c r="S203" i="431"/>
  <c r="R203" i="431"/>
  <c r="Q203" i="431"/>
  <c r="B203" i="431"/>
  <c r="P203" i="431" s="1"/>
  <c r="AJ202" i="431"/>
  <c r="T202" i="431"/>
  <c r="S202" i="431"/>
  <c r="R202" i="431"/>
  <c r="Q202" i="431"/>
  <c r="B202" i="431"/>
  <c r="P202" i="431" s="1"/>
  <c r="AJ201" i="431"/>
  <c r="T201" i="431"/>
  <c r="S201" i="431"/>
  <c r="R201" i="431"/>
  <c r="Q201" i="431"/>
  <c r="B201" i="431"/>
  <c r="P201" i="431" s="1"/>
  <c r="AJ200" i="431"/>
  <c r="T200" i="431"/>
  <c r="S200" i="431"/>
  <c r="R200" i="431"/>
  <c r="Q200" i="431"/>
  <c r="B200" i="431"/>
  <c r="P200" i="431" s="1"/>
  <c r="AJ199" i="431"/>
  <c r="T199" i="431"/>
  <c r="S199" i="431"/>
  <c r="R199" i="431"/>
  <c r="Q199" i="431"/>
  <c r="B199" i="431"/>
  <c r="P199" i="431" s="1"/>
  <c r="AJ198" i="431"/>
  <c r="T198" i="431"/>
  <c r="S198" i="431"/>
  <c r="R198" i="431"/>
  <c r="Q198" i="431"/>
  <c r="B198" i="431"/>
  <c r="P198" i="431" s="1"/>
  <c r="AJ197" i="431"/>
  <c r="T197" i="431"/>
  <c r="S197" i="431"/>
  <c r="R197" i="431"/>
  <c r="Q197" i="431"/>
  <c r="B197" i="431"/>
  <c r="P197" i="431" s="1"/>
  <c r="AJ196" i="431"/>
  <c r="T196" i="431"/>
  <c r="S196" i="431"/>
  <c r="R196" i="431"/>
  <c r="Q196" i="431"/>
  <c r="B196" i="431"/>
  <c r="P196" i="431" s="1"/>
  <c r="AJ195" i="431"/>
  <c r="T195" i="431"/>
  <c r="S195" i="431"/>
  <c r="R195" i="431"/>
  <c r="Q195" i="431"/>
  <c r="B195" i="431"/>
  <c r="P195" i="431" s="1"/>
  <c r="AJ194" i="431"/>
  <c r="T194" i="431"/>
  <c r="S194" i="431"/>
  <c r="R194" i="431"/>
  <c r="Q194" i="431"/>
  <c r="B194" i="431"/>
  <c r="P194" i="431" s="1"/>
  <c r="AJ193" i="431"/>
  <c r="T193" i="431"/>
  <c r="S193" i="431"/>
  <c r="R193" i="431"/>
  <c r="Q193" i="431"/>
  <c r="B193" i="431"/>
  <c r="P193" i="431" s="1"/>
  <c r="AJ192" i="431"/>
  <c r="T192" i="431"/>
  <c r="S192" i="431"/>
  <c r="R192" i="431"/>
  <c r="Q192" i="431"/>
  <c r="B192" i="431"/>
  <c r="P192" i="431" s="1"/>
  <c r="AJ191" i="431"/>
  <c r="T191" i="431"/>
  <c r="S191" i="431"/>
  <c r="R191" i="431"/>
  <c r="Q191" i="431"/>
  <c r="B191" i="431"/>
  <c r="P191" i="431" s="1"/>
  <c r="AJ190" i="431"/>
  <c r="T190" i="431"/>
  <c r="S190" i="431"/>
  <c r="R190" i="431"/>
  <c r="Q190" i="431"/>
  <c r="B190" i="431"/>
  <c r="P190" i="431" s="1"/>
  <c r="AJ189" i="431"/>
  <c r="T189" i="431"/>
  <c r="S189" i="431"/>
  <c r="R189" i="431"/>
  <c r="Q189" i="431"/>
  <c r="B189" i="431"/>
  <c r="P189" i="431" s="1"/>
  <c r="AJ188" i="431"/>
  <c r="T188" i="431"/>
  <c r="S188" i="431"/>
  <c r="R188" i="431"/>
  <c r="Q188" i="431"/>
  <c r="B188" i="431"/>
  <c r="P188" i="431" s="1"/>
  <c r="AJ187" i="431"/>
  <c r="T187" i="431"/>
  <c r="S187" i="431"/>
  <c r="R187" i="431"/>
  <c r="Q187" i="431"/>
  <c r="B187" i="431"/>
  <c r="P187" i="431" s="1"/>
  <c r="AJ186" i="431"/>
  <c r="T186" i="431"/>
  <c r="S186" i="431"/>
  <c r="R186" i="431"/>
  <c r="Q186" i="431"/>
  <c r="B186" i="431"/>
  <c r="P186" i="431" s="1"/>
  <c r="AJ185" i="431"/>
  <c r="T185" i="431"/>
  <c r="S185" i="431"/>
  <c r="R185" i="431"/>
  <c r="Q185" i="431"/>
  <c r="B185" i="431"/>
  <c r="P185" i="431" s="1"/>
  <c r="AJ184" i="431"/>
  <c r="T184" i="431"/>
  <c r="S184" i="431"/>
  <c r="R184" i="431"/>
  <c r="Q184" i="431"/>
  <c r="B184" i="431"/>
  <c r="P184" i="431" s="1"/>
  <c r="AJ183" i="431"/>
  <c r="T183" i="431"/>
  <c r="S183" i="431"/>
  <c r="R183" i="431"/>
  <c r="Q183" i="431"/>
  <c r="B183" i="431"/>
  <c r="P183" i="431" s="1"/>
  <c r="AJ182" i="431"/>
  <c r="T182" i="431"/>
  <c r="S182" i="431"/>
  <c r="R182" i="431"/>
  <c r="Q182" i="431"/>
  <c r="B182" i="431"/>
  <c r="P182" i="431" s="1"/>
  <c r="AJ181" i="431"/>
  <c r="T181" i="431"/>
  <c r="S181" i="431"/>
  <c r="R181" i="431"/>
  <c r="Q181" i="431"/>
  <c r="B181" i="431"/>
  <c r="P181" i="431" s="1"/>
  <c r="AJ180" i="431"/>
  <c r="T180" i="431"/>
  <c r="S180" i="431"/>
  <c r="R180" i="431"/>
  <c r="Q180" i="431"/>
  <c r="B180" i="431"/>
  <c r="P180" i="431" s="1"/>
  <c r="AJ179" i="431"/>
  <c r="T179" i="431"/>
  <c r="S179" i="431"/>
  <c r="R179" i="431"/>
  <c r="Q179" i="431"/>
  <c r="B179" i="431"/>
  <c r="P179" i="431" s="1"/>
  <c r="AJ178" i="431"/>
  <c r="T178" i="431"/>
  <c r="S178" i="431"/>
  <c r="R178" i="431"/>
  <c r="Q178" i="431"/>
  <c r="B178" i="431"/>
  <c r="P178" i="431" s="1"/>
  <c r="AJ177" i="431"/>
  <c r="T177" i="431"/>
  <c r="S177" i="431"/>
  <c r="R177" i="431"/>
  <c r="Q177" i="431"/>
  <c r="B177" i="431"/>
  <c r="P177" i="431" s="1"/>
  <c r="AJ176" i="431"/>
  <c r="T176" i="431"/>
  <c r="S176" i="431"/>
  <c r="R176" i="431"/>
  <c r="Q176" i="431"/>
  <c r="B176" i="431"/>
  <c r="P176" i="431" s="1"/>
  <c r="AJ175" i="431"/>
  <c r="T175" i="431"/>
  <c r="S175" i="431"/>
  <c r="R175" i="431"/>
  <c r="Q175" i="431"/>
  <c r="B175" i="431"/>
  <c r="P175" i="431" s="1"/>
  <c r="AJ174" i="431"/>
  <c r="T174" i="431"/>
  <c r="S174" i="431"/>
  <c r="R174" i="431"/>
  <c r="Q174" i="431"/>
  <c r="B174" i="431"/>
  <c r="P174" i="431" s="1"/>
  <c r="AJ173" i="431"/>
  <c r="T173" i="431"/>
  <c r="S173" i="431"/>
  <c r="R173" i="431"/>
  <c r="Q173" i="431"/>
  <c r="B173" i="431"/>
  <c r="P173" i="431" s="1"/>
  <c r="AJ172" i="431"/>
  <c r="T172" i="431"/>
  <c r="S172" i="431"/>
  <c r="R172" i="431"/>
  <c r="Q172" i="431"/>
  <c r="B172" i="431"/>
  <c r="P172" i="431" s="1"/>
  <c r="AJ171" i="431"/>
  <c r="T171" i="431"/>
  <c r="S171" i="431"/>
  <c r="R171" i="431"/>
  <c r="Q171" i="431"/>
  <c r="B171" i="431"/>
  <c r="P171" i="431" s="1"/>
  <c r="AJ170" i="431"/>
  <c r="T170" i="431"/>
  <c r="S170" i="431"/>
  <c r="R170" i="431"/>
  <c r="Q170" i="431"/>
  <c r="B170" i="431"/>
  <c r="P170" i="431" s="1"/>
  <c r="AJ169" i="431"/>
  <c r="T169" i="431"/>
  <c r="S169" i="431"/>
  <c r="R169" i="431"/>
  <c r="Q169" i="431"/>
  <c r="B169" i="431"/>
  <c r="P169" i="431" s="1"/>
  <c r="AJ168" i="431"/>
  <c r="T168" i="431"/>
  <c r="S168" i="431"/>
  <c r="R168" i="431"/>
  <c r="Q168" i="431"/>
  <c r="B168" i="431"/>
  <c r="P168" i="431" s="1"/>
  <c r="AJ167" i="431"/>
  <c r="T167" i="431"/>
  <c r="S167" i="431"/>
  <c r="R167" i="431"/>
  <c r="Q167" i="431"/>
  <c r="B167" i="431"/>
  <c r="P167" i="431" s="1"/>
  <c r="AJ166" i="431"/>
  <c r="T166" i="431"/>
  <c r="S166" i="431"/>
  <c r="R166" i="431"/>
  <c r="Q166" i="431"/>
  <c r="B166" i="431"/>
  <c r="P166" i="431" s="1"/>
  <c r="AJ165" i="431"/>
  <c r="T165" i="431"/>
  <c r="S165" i="431"/>
  <c r="R165" i="431"/>
  <c r="Q165" i="431"/>
  <c r="B165" i="431"/>
  <c r="P165" i="431" s="1"/>
  <c r="AJ164" i="431"/>
  <c r="T164" i="431"/>
  <c r="S164" i="431"/>
  <c r="R164" i="431"/>
  <c r="Q164" i="431"/>
  <c r="B164" i="431"/>
  <c r="P164" i="431" s="1"/>
  <c r="AJ163" i="431"/>
  <c r="T163" i="431"/>
  <c r="S163" i="431"/>
  <c r="R163" i="431"/>
  <c r="Q163" i="431"/>
  <c r="B163" i="431"/>
  <c r="P163" i="431" s="1"/>
  <c r="AJ162" i="431"/>
  <c r="T162" i="431"/>
  <c r="S162" i="431"/>
  <c r="R162" i="431"/>
  <c r="Q162" i="431"/>
  <c r="B162" i="431"/>
  <c r="P162" i="431" s="1"/>
  <c r="AJ161" i="431"/>
  <c r="T161" i="431"/>
  <c r="S161" i="431"/>
  <c r="R161" i="431"/>
  <c r="Q161" i="431"/>
  <c r="B161" i="431"/>
  <c r="P161" i="431" s="1"/>
  <c r="AJ160" i="431"/>
  <c r="T160" i="431"/>
  <c r="S160" i="431"/>
  <c r="R160" i="431"/>
  <c r="Q160" i="431"/>
  <c r="B160" i="431"/>
  <c r="P160" i="431" s="1"/>
  <c r="AJ159" i="431"/>
  <c r="T159" i="431"/>
  <c r="S159" i="431"/>
  <c r="R159" i="431"/>
  <c r="Q159" i="431"/>
  <c r="B159" i="431"/>
  <c r="P159" i="431" s="1"/>
  <c r="AJ158" i="431"/>
  <c r="T158" i="431"/>
  <c r="S158" i="431"/>
  <c r="R158" i="431"/>
  <c r="Q158" i="431"/>
  <c r="B158" i="431"/>
  <c r="P158" i="431" s="1"/>
  <c r="AJ157" i="431"/>
  <c r="T157" i="431"/>
  <c r="S157" i="431"/>
  <c r="R157" i="431"/>
  <c r="Q157" i="431"/>
  <c r="B157" i="431"/>
  <c r="P157" i="431" s="1"/>
  <c r="AJ156" i="431"/>
  <c r="T156" i="431"/>
  <c r="S156" i="431"/>
  <c r="R156" i="431"/>
  <c r="Q156" i="431"/>
  <c r="B156" i="431"/>
  <c r="P156" i="431" s="1"/>
  <c r="AJ155" i="431"/>
  <c r="T155" i="431"/>
  <c r="S155" i="431"/>
  <c r="R155" i="431"/>
  <c r="Q155" i="431"/>
  <c r="B155" i="431"/>
  <c r="P155" i="431" s="1"/>
  <c r="AJ154" i="431"/>
  <c r="T154" i="431"/>
  <c r="S154" i="431"/>
  <c r="R154" i="431"/>
  <c r="Q154" i="431"/>
  <c r="B154" i="431"/>
  <c r="P154" i="431" s="1"/>
  <c r="AJ153" i="431"/>
  <c r="T153" i="431"/>
  <c r="S153" i="431"/>
  <c r="R153" i="431"/>
  <c r="Q153" i="431"/>
  <c r="B153" i="431"/>
  <c r="P153" i="431" s="1"/>
  <c r="AJ152" i="431"/>
  <c r="T152" i="431"/>
  <c r="S152" i="431"/>
  <c r="R152" i="431"/>
  <c r="Q152" i="431"/>
  <c r="B152" i="431"/>
  <c r="P152" i="431" s="1"/>
  <c r="AJ151" i="431"/>
  <c r="T151" i="431"/>
  <c r="S151" i="431"/>
  <c r="R151" i="431"/>
  <c r="Q151" i="431"/>
  <c r="B151" i="431"/>
  <c r="P151" i="431" s="1"/>
  <c r="AJ150" i="431"/>
  <c r="T150" i="431"/>
  <c r="S150" i="431"/>
  <c r="R150" i="431"/>
  <c r="Q150" i="431"/>
  <c r="B150" i="431"/>
  <c r="P150" i="431" s="1"/>
  <c r="AJ149" i="431"/>
  <c r="T149" i="431"/>
  <c r="S149" i="431"/>
  <c r="R149" i="431"/>
  <c r="Q149" i="431"/>
  <c r="B149" i="431"/>
  <c r="P149" i="431" s="1"/>
  <c r="AJ148" i="431"/>
  <c r="T148" i="431"/>
  <c r="S148" i="431"/>
  <c r="R148" i="431"/>
  <c r="Q148" i="431"/>
  <c r="B148" i="431"/>
  <c r="P148" i="431" s="1"/>
  <c r="AJ147" i="431"/>
  <c r="T147" i="431"/>
  <c r="S147" i="431"/>
  <c r="R147" i="431"/>
  <c r="Q147" i="431"/>
  <c r="B147" i="431"/>
  <c r="P147" i="431" s="1"/>
  <c r="AJ146" i="431"/>
  <c r="T146" i="431"/>
  <c r="S146" i="431"/>
  <c r="R146" i="431"/>
  <c r="Q146" i="431"/>
  <c r="B146" i="431"/>
  <c r="P146" i="431" s="1"/>
  <c r="AJ145" i="431"/>
  <c r="T145" i="431"/>
  <c r="S145" i="431"/>
  <c r="R145" i="431"/>
  <c r="Q145" i="431"/>
  <c r="B145" i="431"/>
  <c r="P145" i="431" s="1"/>
  <c r="AJ144" i="431"/>
  <c r="T144" i="431"/>
  <c r="S144" i="431"/>
  <c r="R144" i="431"/>
  <c r="Q144" i="431"/>
  <c r="B144" i="431"/>
  <c r="P144" i="431" s="1"/>
  <c r="AJ143" i="431"/>
  <c r="T143" i="431"/>
  <c r="S143" i="431"/>
  <c r="R143" i="431"/>
  <c r="Q143" i="431"/>
  <c r="B143" i="431"/>
  <c r="P143" i="431" s="1"/>
  <c r="AJ142" i="431"/>
  <c r="T142" i="431"/>
  <c r="S142" i="431"/>
  <c r="R142" i="431"/>
  <c r="Q142" i="431"/>
  <c r="B142" i="431"/>
  <c r="P142" i="431" s="1"/>
  <c r="AJ141" i="431"/>
  <c r="T141" i="431"/>
  <c r="S141" i="431"/>
  <c r="R141" i="431"/>
  <c r="Q141" i="431"/>
  <c r="B141" i="431"/>
  <c r="P141" i="431" s="1"/>
  <c r="AJ140" i="431"/>
  <c r="T140" i="431"/>
  <c r="S140" i="431"/>
  <c r="R140" i="431"/>
  <c r="Q140" i="431"/>
  <c r="B140" i="431"/>
  <c r="P140" i="431" s="1"/>
  <c r="AJ139" i="431"/>
  <c r="T139" i="431"/>
  <c r="S139" i="431"/>
  <c r="R139" i="431"/>
  <c r="Q139" i="431"/>
  <c r="B139" i="431"/>
  <c r="P139" i="431" s="1"/>
  <c r="AJ138" i="431"/>
  <c r="T138" i="431"/>
  <c r="S138" i="431"/>
  <c r="R138" i="431"/>
  <c r="Q138" i="431"/>
  <c r="B138" i="431"/>
  <c r="P138" i="431" s="1"/>
  <c r="AJ137" i="431"/>
  <c r="T137" i="431"/>
  <c r="S137" i="431"/>
  <c r="R137" i="431"/>
  <c r="Q137" i="431"/>
  <c r="B137" i="431"/>
  <c r="P137" i="431" s="1"/>
  <c r="AJ136" i="431"/>
  <c r="T136" i="431"/>
  <c r="S136" i="431"/>
  <c r="R136" i="431"/>
  <c r="Q136" i="431"/>
  <c r="B136" i="431"/>
  <c r="P136" i="431" s="1"/>
  <c r="AJ135" i="431"/>
  <c r="T135" i="431"/>
  <c r="S135" i="431"/>
  <c r="R135" i="431"/>
  <c r="Q135" i="431"/>
  <c r="B135" i="431"/>
  <c r="P135" i="431" s="1"/>
  <c r="AJ134" i="431"/>
  <c r="T134" i="431"/>
  <c r="S134" i="431"/>
  <c r="R134" i="431"/>
  <c r="Q134" i="431"/>
  <c r="B134" i="431"/>
  <c r="P134" i="431" s="1"/>
  <c r="AJ133" i="431"/>
  <c r="T133" i="431"/>
  <c r="S133" i="431"/>
  <c r="R133" i="431"/>
  <c r="Q133" i="431"/>
  <c r="B133" i="431"/>
  <c r="P133" i="431" s="1"/>
  <c r="AJ132" i="431"/>
  <c r="T132" i="431"/>
  <c r="S132" i="431"/>
  <c r="R132" i="431"/>
  <c r="Q132" i="431"/>
  <c r="B132" i="431"/>
  <c r="P132" i="431" s="1"/>
  <c r="AJ131" i="431"/>
  <c r="T131" i="431"/>
  <c r="S131" i="431"/>
  <c r="R131" i="431"/>
  <c r="Q131" i="431"/>
  <c r="B131" i="431"/>
  <c r="P131" i="431" s="1"/>
  <c r="AJ130" i="431"/>
  <c r="T130" i="431"/>
  <c r="S130" i="431"/>
  <c r="R130" i="431"/>
  <c r="Q130" i="431"/>
  <c r="B130" i="431"/>
  <c r="P130" i="431" s="1"/>
  <c r="AJ129" i="431"/>
  <c r="T129" i="431"/>
  <c r="S129" i="431"/>
  <c r="R129" i="431"/>
  <c r="Q129" i="431"/>
  <c r="B129" i="431"/>
  <c r="P129" i="431" s="1"/>
  <c r="AJ128" i="431"/>
  <c r="T128" i="431"/>
  <c r="S128" i="431"/>
  <c r="R128" i="431"/>
  <c r="Q128" i="431"/>
  <c r="B128" i="431"/>
  <c r="P128" i="431" s="1"/>
  <c r="AJ127" i="431"/>
  <c r="T127" i="431"/>
  <c r="S127" i="431"/>
  <c r="R127" i="431"/>
  <c r="Q127" i="431"/>
  <c r="B127" i="431"/>
  <c r="P127" i="431" s="1"/>
  <c r="AJ126" i="431"/>
  <c r="T126" i="431"/>
  <c r="S126" i="431"/>
  <c r="R126" i="431"/>
  <c r="Q126" i="431"/>
  <c r="B126" i="431"/>
  <c r="P126" i="431" s="1"/>
  <c r="AJ125" i="431"/>
  <c r="T125" i="431"/>
  <c r="S125" i="431"/>
  <c r="R125" i="431"/>
  <c r="Q125" i="431"/>
  <c r="B125" i="431"/>
  <c r="P125" i="431" s="1"/>
  <c r="AJ124" i="431"/>
  <c r="T124" i="431"/>
  <c r="S124" i="431"/>
  <c r="R124" i="431"/>
  <c r="Q124" i="431"/>
  <c r="B124" i="431"/>
  <c r="P124" i="431" s="1"/>
  <c r="AJ123" i="431"/>
  <c r="T123" i="431"/>
  <c r="S123" i="431"/>
  <c r="R123" i="431"/>
  <c r="Q123" i="431"/>
  <c r="B123" i="431"/>
  <c r="P123" i="431" s="1"/>
  <c r="AJ122" i="431"/>
  <c r="T122" i="431"/>
  <c r="S122" i="431"/>
  <c r="R122" i="431"/>
  <c r="Q122" i="431"/>
  <c r="B122" i="431"/>
  <c r="P122" i="431" s="1"/>
  <c r="AJ121" i="431"/>
  <c r="T121" i="431"/>
  <c r="S121" i="431"/>
  <c r="R121" i="431"/>
  <c r="Q121" i="431"/>
  <c r="B121" i="431"/>
  <c r="P121" i="431" s="1"/>
  <c r="AJ120" i="431"/>
  <c r="T120" i="431"/>
  <c r="S120" i="431"/>
  <c r="R120" i="431"/>
  <c r="Q120" i="431"/>
  <c r="B120" i="431"/>
  <c r="P120" i="431" s="1"/>
  <c r="AJ119" i="431"/>
  <c r="T119" i="431"/>
  <c r="S119" i="431"/>
  <c r="R119" i="431"/>
  <c r="Q119" i="431"/>
  <c r="B119" i="431"/>
  <c r="P119" i="431" s="1"/>
  <c r="AJ118" i="431"/>
  <c r="T118" i="431"/>
  <c r="S118" i="431"/>
  <c r="R118" i="431"/>
  <c r="Q118" i="431"/>
  <c r="B118" i="431"/>
  <c r="P118" i="431" s="1"/>
  <c r="AJ117" i="431"/>
  <c r="T117" i="431"/>
  <c r="S117" i="431"/>
  <c r="R117" i="431"/>
  <c r="Q117" i="431"/>
  <c r="B117" i="431"/>
  <c r="P117" i="431" s="1"/>
  <c r="AJ116" i="431"/>
  <c r="T116" i="431"/>
  <c r="S116" i="431"/>
  <c r="R116" i="431"/>
  <c r="Q116" i="431"/>
  <c r="B116" i="431"/>
  <c r="P116" i="431" s="1"/>
  <c r="AJ115" i="431"/>
  <c r="T115" i="431"/>
  <c r="S115" i="431"/>
  <c r="R115" i="431"/>
  <c r="Q115" i="431"/>
  <c r="B115" i="431"/>
  <c r="P115" i="431" s="1"/>
  <c r="AJ114" i="431"/>
  <c r="T114" i="431"/>
  <c r="S114" i="431"/>
  <c r="R114" i="431"/>
  <c r="Q114" i="431"/>
  <c r="B114" i="431"/>
  <c r="P114" i="431" s="1"/>
  <c r="AJ113" i="431"/>
  <c r="T113" i="431"/>
  <c r="S113" i="431"/>
  <c r="R113" i="431"/>
  <c r="Q113" i="431"/>
  <c r="B113" i="431"/>
  <c r="P113" i="431" s="1"/>
  <c r="AJ112" i="431"/>
  <c r="T112" i="431"/>
  <c r="S112" i="431"/>
  <c r="R112" i="431"/>
  <c r="Q112" i="431"/>
  <c r="B112" i="431"/>
  <c r="P112" i="431" s="1"/>
  <c r="AJ111" i="431"/>
  <c r="T111" i="431"/>
  <c r="S111" i="431"/>
  <c r="R111" i="431"/>
  <c r="Q111" i="431"/>
  <c r="B111" i="431"/>
  <c r="P111" i="431" s="1"/>
  <c r="AJ110" i="431"/>
  <c r="T110" i="431"/>
  <c r="S110" i="431"/>
  <c r="R110" i="431"/>
  <c r="Q110" i="431"/>
  <c r="B110" i="431"/>
  <c r="P110" i="431" s="1"/>
  <c r="AJ109" i="431"/>
  <c r="T109" i="431"/>
  <c r="S109" i="431"/>
  <c r="R109" i="431"/>
  <c r="Q109" i="431"/>
  <c r="B109" i="431"/>
  <c r="P109" i="431" s="1"/>
  <c r="AJ108" i="431"/>
  <c r="T108" i="431"/>
  <c r="S108" i="431"/>
  <c r="R108" i="431"/>
  <c r="Q108" i="431"/>
  <c r="B108" i="431"/>
  <c r="P108" i="431" s="1"/>
  <c r="AJ107" i="431"/>
  <c r="T107" i="431"/>
  <c r="S107" i="431"/>
  <c r="R107" i="431"/>
  <c r="Q107" i="431"/>
  <c r="B107" i="431"/>
  <c r="P107" i="431" s="1"/>
  <c r="AJ106" i="431"/>
  <c r="T106" i="431"/>
  <c r="S106" i="431"/>
  <c r="R106" i="431"/>
  <c r="Q106" i="431"/>
  <c r="B106" i="431"/>
  <c r="P106" i="431" s="1"/>
  <c r="AJ105" i="431"/>
  <c r="T105" i="431"/>
  <c r="S105" i="431"/>
  <c r="R105" i="431"/>
  <c r="Q105" i="431"/>
  <c r="B105" i="431"/>
  <c r="P105" i="431" s="1"/>
  <c r="AJ104" i="431"/>
  <c r="T104" i="431"/>
  <c r="S104" i="431"/>
  <c r="R104" i="431"/>
  <c r="Q104" i="431"/>
  <c r="B104" i="431"/>
  <c r="P104" i="431" s="1"/>
  <c r="AJ103" i="431"/>
  <c r="T103" i="431"/>
  <c r="S103" i="431"/>
  <c r="R103" i="431"/>
  <c r="Q103" i="431"/>
  <c r="B103" i="431"/>
  <c r="P103" i="431" s="1"/>
  <c r="AJ102" i="431"/>
  <c r="T102" i="431"/>
  <c r="S102" i="431"/>
  <c r="R102" i="431"/>
  <c r="Q102" i="431"/>
  <c r="B102" i="431"/>
  <c r="P102" i="431" s="1"/>
  <c r="AJ101" i="431"/>
  <c r="T101" i="431"/>
  <c r="S101" i="431"/>
  <c r="R101" i="431"/>
  <c r="Q101" i="431"/>
  <c r="B101" i="431"/>
  <c r="P101" i="431" s="1"/>
  <c r="AJ100" i="431"/>
  <c r="T100" i="431"/>
  <c r="S100" i="431"/>
  <c r="R100" i="431"/>
  <c r="Q100" i="431"/>
  <c r="B100" i="431"/>
  <c r="P100" i="431" s="1"/>
  <c r="AJ99" i="431"/>
  <c r="T99" i="431"/>
  <c r="S99" i="431"/>
  <c r="R99" i="431"/>
  <c r="Q99" i="431"/>
  <c r="B99" i="431"/>
  <c r="P99" i="431" s="1"/>
  <c r="AJ98" i="431"/>
  <c r="T98" i="431"/>
  <c r="S98" i="431"/>
  <c r="R98" i="431"/>
  <c r="Q98" i="431"/>
  <c r="B98" i="431"/>
  <c r="P98" i="431" s="1"/>
  <c r="AJ97" i="431"/>
  <c r="T97" i="431"/>
  <c r="S97" i="431"/>
  <c r="R97" i="431"/>
  <c r="Q97" i="431"/>
  <c r="B97" i="431"/>
  <c r="P97" i="431" s="1"/>
  <c r="AJ96" i="431"/>
  <c r="T96" i="431"/>
  <c r="S96" i="431"/>
  <c r="R96" i="431"/>
  <c r="Q96" i="431"/>
  <c r="B96" i="431"/>
  <c r="P96" i="431" s="1"/>
  <c r="AJ95" i="431"/>
  <c r="T95" i="431"/>
  <c r="S95" i="431"/>
  <c r="R95" i="431"/>
  <c r="Q95" i="431"/>
  <c r="B95" i="431"/>
  <c r="P95" i="431" s="1"/>
  <c r="AJ94" i="431"/>
  <c r="T94" i="431"/>
  <c r="S94" i="431"/>
  <c r="R94" i="431"/>
  <c r="Q94" i="431"/>
  <c r="B94" i="431"/>
  <c r="P94" i="431" s="1"/>
  <c r="AJ93" i="431"/>
  <c r="T93" i="431"/>
  <c r="S93" i="431"/>
  <c r="R93" i="431"/>
  <c r="Q93" i="431"/>
  <c r="B93" i="431"/>
  <c r="P93" i="431" s="1"/>
  <c r="AJ92" i="431"/>
  <c r="T92" i="431"/>
  <c r="S92" i="431"/>
  <c r="R92" i="431"/>
  <c r="Q92" i="431"/>
  <c r="B92" i="431"/>
  <c r="P92" i="431" s="1"/>
  <c r="AJ91" i="431"/>
  <c r="T91" i="431"/>
  <c r="S91" i="431"/>
  <c r="R91" i="431"/>
  <c r="Q91" i="431"/>
  <c r="B91" i="431"/>
  <c r="P91" i="431" s="1"/>
  <c r="AJ90" i="431"/>
  <c r="T90" i="431"/>
  <c r="S90" i="431"/>
  <c r="R90" i="431"/>
  <c r="Q90" i="431"/>
  <c r="B90" i="431"/>
  <c r="P90" i="431" s="1"/>
  <c r="AJ89" i="431"/>
  <c r="T89" i="431"/>
  <c r="S89" i="431"/>
  <c r="R89" i="431"/>
  <c r="Q89" i="431"/>
  <c r="B89" i="431"/>
  <c r="P89" i="431" s="1"/>
  <c r="AJ88" i="431"/>
  <c r="T88" i="431"/>
  <c r="S88" i="431"/>
  <c r="R88" i="431"/>
  <c r="Q88" i="431"/>
  <c r="B88" i="431"/>
  <c r="P88" i="431" s="1"/>
  <c r="AJ87" i="431"/>
  <c r="T87" i="431"/>
  <c r="S87" i="431"/>
  <c r="R87" i="431"/>
  <c r="Q87" i="431"/>
  <c r="B87" i="431"/>
  <c r="P87" i="431" s="1"/>
  <c r="AJ86" i="431"/>
  <c r="T86" i="431"/>
  <c r="S86" i="431"/>
  <c r="R86" i="431"/>
  <c r="Q86" i="431"/>
  <c r="B86" i="431"/>
  <c r="P86" i="431" s="1"/>
  <c r="AJ85" i="431"/>
  <c r="T85" i="431"/>
  <c r="S85" i="431"/>
  <c r="R85" i="431"/>
  <c r="Q85" i="431"/>
  <c r="B85" i="431"/>
  <c r="P85" i="431" s="1"/>
  <c r="AJ84" i="431"/>
  <c r="T84" i="431"/>
  <c r="S84" i="431"/>
  <c r="R84" i="431"/>
  <c r="Q84" i="431"/>
  <c r="B84" i="431"/>
  <c r="P84" i="431" s="1"/>
  <c r="AJ83" i="431"/>
  <c r="T83" i="431"/>
  <c r="S83" i="431"/>
  <c r="R83" i="431"/>
  <c r="Q83" i="431"/>
  <c r="B83" i="431"/>
  <c r="P83" i="431" s="1"/>
  <c r="AJ82" i="431"/>
  <c r="T82" i="431"/>
  <c r="S82" i="431"/>
  <c r="R82" i="431"/>
  <c r="Q82" i="431"/>
  <c r="B82" i="431"/>
  <c r="P82" i="431" s="1"/>
  <c r="AJ81" i="431"/>
  <c r="T81" i="431"/>
  <c r="S81" i="431"/>
  <c r="R81" i="431"/>
  <c r="Q81" i="431"/>
  <c r="B81" i="431"/>
  <c r="P81" i="431" s="1"/>
  <c r="AJ80" i="431"/>
  <c r="T80" i="431"/>
  <c r="S80" i="431"/>
  <c r="R80" i="431"/>
  <c r="Q80" i="431"/>
  <c r="B80" i="431"/>
  <c r="P80" i="431" s="1"/>
  <c r="AJ79" i="431"/>
  <c r="T79" i="431"/>
  <c r="S79" i="431"/>
  <c r="R79" i="431"/>
  <c r="Q79" i="431"/>
  <c r="B79" i="431"/>
  <c r="P79" i="431" s="1"/>
  <c r="AJ78" i="431"/>
  <c r="T78" i="431"/>
  <c r="S78" i="431"/>
  <c r="R78" i="431"/>
  <c r="Q78" i="431"/>
  <c r="B78" i="431"/>
  <c r="P78" i="431" s="1"/>
  <c r="AJ77" i="431"/>
  <c r="T77" i="431"/>
  <c r="S77" i="431"/>
  <c r="R77" i="431"/>
  <c r="Q77" i="431"/>
  <c r="B77" i="431"/>
  <c r="P77" i="431" s="1"/>
  <c r="AJ76" i="431"/>
  <c r="T76" i="431"/>
  <c r="S76" i="431"/>
  <c r="R76" i="431"/>
  <c r="Q76" i="431"/>
  <c r="B76" i="431"/>
  <c r="P76" i="431" s="1"/>
  <c r="AJ75" i="431"/>
  <c r="T75" i="431"/>
  <c r="S75" i="431"/>
  <c r="R75" i="431"/>
  <c r="Q75" i="431"/>
  <c r="B75" i="431"/>
  <c r="P75" i="431" s="1"/>
  <c r="AJ74" i="431"/>
  <c r="T74" i="431"/>
  <c r="S74" i="431"/>
  <c r="R74" i="431"/>
  <c r="Q74" i="431"/>
  <c r="B74" i="431"/>
  <c r="P74" i="431" s="1"/>
  <c r="AJ73" i="431"/>
  <c r="T73" i="431"/>
  <c r="S73" i="431"/>
  <c r="R73" i="431"/>
  <c r="Q73" i="431"/>
  <c r="B73" i="431"/>
  <c r="P73" i="431" s="1"/>
  <c r="AJ72" i="431"/>
  <c r="T72" i="431"/>
  <c r="S72" i="431"/>
  <c r="R72" i="431"/>
  <c r="Q72" i="431"/>
  <c r="B72" i="431"/>
  <c r="P72" i="431" s="1"/>
  <c r="AJ71" i="431"/>
  <c r="T71" i="431"/>
  <c r="S71" i="431"/>
  <c r="R71" i="431"/>
  <c r="Q71" i="431"/>
  <c r="B71" i="431"/>
  <c r="P71" i="431" s="1"/>
  <c r="AJ70" i="431"/>
  <c r="T70" i="431"/>
  <c r="S70" i="431"/>
  <c r="R70" i="431"/>
  <c r="Q70" i="431"/>
  <c r="B70" i="431"/>
  <c r="P70" i="431" s="1"/>
  <c r="AJ69" i="431"/>
  <c r="T69" i="431"/>
  <c r="S69" i="431"/>
  <c r="R69" i="431"/>
  <c r="Q69" i="431"/>
  <c r="B69" i="431"/>
  <c r="P69" i="431" s="1"/>
  <c r="AJ68" i="431"/>
  <c r="T68" i="431"/>
  <c r="S68" i="431"/>
  <c r="R68" i="431"/>
  <c r="Q68" i="431"/>
  <c r="B68" i="431"/>
  <c r="P68" i="431" s="1"/>
  <c r="AJ67" i="431"/>
  <c r="T67" i="431"/>
  <c r="S67" i="431"/>
  <c r="R67" i="431"/>
  <c r="Q67" i="431"/>
  <c r="B67" i="431"/>
  <c r="P67" i="431" s="1"/>
  <c r="AJ66" i="431"/>
  <c r="T66" i="431"/>
  <c r="S66" i="431"/>
  <c r="R66" i="431"/>
  <c r="Q66" i="431"/>
  <c r="B66" i="431"/>
  <c r="P66" i="431" s="1"/>
  <c r="AJ65" i="431"/>
  <c r="T65" i="431"/>
  <c r="S65" i="431"/>
  <c r="R65" i="431"/>
  <c r="Q65" i="431"/>
  <c r="B65" i="431"/>
  <c r="P65" i="431" s="1"/>
  <c r="AJ64" i="431"/>
  <c r="T64" i="431"/>
  <c r="S64" i="431"/>
  <c r="R64" i="431"/>
  <c r="Q64" i="431"/>
  <c r="B64" i="431"/>
  <c r="P64" i="431" s="1"/>
  <c r="AJ63" i="431"/>
  <c r="T63" i="431"/>
  <c r="S63" i="431"/>
  <c r="R63" i="431"/>
  <c r="Q63" i="431"/>
  <c r="B63" i="431"/>
  <c r="P63" i="431" s="1"/>
  <c r="AJ62" i="431"/>
  <c r="T62" i="431"/>
  <c r="S62" i="431"/>
  <c r="R62" i="431"/>
  <c r="Q62" i="431"/>
  <c r="B62" i="431"/>
  <c r="P62" i="431" s="1"/>
  <c r="AJ61" i="431"/>
  <c r="T61" i="431"/>
  <c r="S61" i="431"/>
  <c r="R61" i="431"/>
  <c r="Q61" i="431"/>
  <c r="B61" i="431"/>
  <c r="P61" i="431" s="1"/>
  <c r="AJ60" i="431"/>
  <c r="T60" i="431"/>
  <c r="S60" i="431"/>
  <c r="R60" i="431"/>
  <c r="Q60" i="431"/>
  <c r="B60" i="431"/>
  <c r="P60" i="431" s="1"/>
  <c r="AJ59" i="431"/>
  <c r="T59" i="431"/>
  <c r="S59" i="431"/>
  <c r="R59" i="431"/>
  <c r="Q59" i="431"/>
  <c r="B59" i="431"/>
  <c r="P59" i="431" s="1"/>
  <c r="AJ58" i="431"/>
  <c r="T58" i="431"/>
  <c r="S58" i="431"/>
  <c r="R58" i="431"/>
  <c r="Q58" i="431"/>
  <c r="B58" i="431"/>
  <c r="P58" i="431" s="1"/>
  <c r="AJ57" i="431"/>
  <c r="T57" i="431"/>
  <c r="S57" i="431"/>
  <c r="R57" i="431"/>
  <c r="Q57" i="431"/>
  <c r="B57" i="431"/>
  <c r="P57" i="431" s="1"/>
  <c r="AJ56" i="431"/>
  <c r="T56" i="431"/>
  <c r="S56" i="431"/>
  <c r="R56" i="431"/>
  <c r="Q56" i="431"/>
  <c r="B56" i="431"/>
  <c r="P56" i="431" s="1"/>
  <c r="AJ55" i="431"/>
  <c r="T55" i="431"/>
  <c r="S55" i="431"/>
  <c r="R55" i="431"/>
  <c r="Q55" i="431"/>
  <c r="B55" i="431"/>
  <c r="P55" i="431" s="1"/>
  <c r="AJ54" i="431"/>
  <c r="T54" i="431"/>
  <c r="S54" i="431"/>
  <c r="R54" i="431"/>
  <c r="Q54" i="431"/>
  <c r="B54" i="431"/>
  <c r="P54" i="431" s="1"/>
  <c r="AJ53" i="431"/>
  <c r="T53" i="431"/>
  <c r="S53" i="431"/>
  <c r="R53" i="431"/>
  <c r="Q53" i="431"/>
  <c r="B53" i="431"/>
  <c r="P53" i="431" s="1"/>
  <c r="AJ52" i="431"/>
  <c r="T52" i="431"/>
  <c r="S52" i="431"/>
  <c r="R52" i="431"/>
  <c r="Q52" i="431"/>
  <c r="B52" i="431"/>
  <c r="P52" i="431" s="1"/>
  <c r="AJ51" i="431"/>
  <c r="T51" i="431"/>
  <c r="S51" i="431"/>
  <c r="R51" i="431"/>
  <c r="Q51" i="431"/>
  <c r="B51" i="431"/>
  <c r="P51" i="431" s="1"/>
  <c r="AJ50" i="431"/>
  <c r="T50" i="431"/>
  <c r="S50" i="431"/>
  <c r="R50" i="431"/>
  <c r="Q50" i="431"/>
  <c r="B50" i="431"/>
  <c r="P50" i="431" s="1"/>
  <c r="AJ49" i="431"/>
  <c r="T49" i="431"/>
  <c r="S49" i="431"/>
  <c r="R49" i="431"/>
  <c r="Q49" i="431"/>
  <c r="B49" i="431"/>
  <c r="P49" i="431" s="1"/>
  <c r="AJ48" i="431"/>
  <c r="T48" i="431"/>
  <c r="S48" i="431"/>
  <c r="R48" i="431"/>
  <c r="Q48" i="431"/>
  <c r="B48" i="431"/>
  <c r="P48" i="431" s="1"/>
  <c r="AJ47" i="431"/>
  <c r="T47" i="431"/>
  <c r="S47" i="431"/>
  <c r="R47" i="431"/>
  <c r="Q47" i="431"/>
  <c r="B47" i="431"/>
  <c r="P47" i="431" s="1"/>
  <c r="AJ46" i="431"/>
  <c r="T46" i="431"/>
  <c r="S46" i="431"/>
  <c r="R46" i="431"/>
  <c r="Q46" i="431"/>
  <c r="B46" i="431"/>
  <c r="P46" i="431" s="1"/>
  <c r="AJ45" i="431"/>
  <c r="T45" i="431"/>
  <c r="S45" i="431"/>
  <c r="R45" i="431"/>
  <c r="Q45" i="431"/>
  <c r="B45" i="431"/>
  <c r="P45" i="431" s="1"/>
  <c r="AJ44" i="431"/>
  <c r="T44" i="431"/>
  <c r="S44" i="431"/>
  <c r="R44" i="431"/>
  <c r="Q44" i="431"/>
  <c r="B44" i="431"/>
  <c r="P44" i="431" s="1"/>
  <c r="AJ43" i="431"/>
  <c r="T43" i="431"/>
  <c r="S43" i="431"/>
  <c r="R43" i="431"/>
  <c r="Q43" i="431"/>
  <c r="B43" i="431"/>
  <c r="P43" i="431" s="1"/>
  <c r="AJ42" i="431"/>
  <c r="T42" i="431"/>
  <c r="S42" i="431"/>
  <c r="R42" i="431"/>
  <c r="Q42" i="431"/>
  <c r="B42" i="431"/>
  <c r="P42" i="431" s="1"/>
  <c r="AJ41" i="431"/>
  <c r="T41" i="431"/>
  <c r="S41" i="431"/>
  <c r="R41" i="431"/>
  <c r="Q41" i="431"/>
  <c r="B41" i="431"/>
  <c r="P41" i="431" s="1"/>
  <c r="AJ40" i="431"/>
  <c r="T40" i="431"/>
  <c r="S40" i="431"/>
  <c r="R40" i="431"/>
  <c r="Q40" i="431"/>
  <c r="B40" i="431"/>
  <c r="P40" i="431" s="1"/>
  <c r="AJ39" i="431"/>
  <c r="T39" i="431"/>
  <c r="S39" i="431"/>
  <c r="R39" i="431"/>
  <c r="Q39" i="431"/>
  <c r="B39" i="431"/>
  <c r="P39" i="431" s="1"/>
  <c r="AJ38" i="431"/>
  <c r="T38" i="431"/>
  <c r="S38" i="431"/>
  <c r="R38" i="431"/>
  <c r="Q38" i="431"/>
  <c r="B38" i="431"/>
  <c r="P38" i="431" s="1"/>
  <c r="AJ37" i="431"/>
  <c r="T37" i="431"/>
  <c r="S37" i="431"/>
  <c r="R37" i="431"/>
  <c r="Q37" i="431"/>
  <c r="B37" i="431"/>
  <c r="P37" i="431" s="1"/>
  <c r="AJ36" i="431"/>
  <c r="T36" i="431"/>
  <c r="S36" i="431"/>
  <c r="R36" i="431"/>
  <c r="Q36" i="431"/>
  <c r="B36" i="431"/>
  <c r="P36" i="431" s="1"/>
  <c r="AJ35" i="431"/>
  <c r="T35" i="431"/>
  <c r="S35" i="431"/>
  <c r="R35" i="431"/>
  <c r="Q35" i="431"/>
  <c r="B35" i="431"/>
  <c r="P35" i="431" s="1"/>
  <c r="AJ34" i="431"/>
  <c r="T34" i="431"/>
  <c r="S34" i="431"/>
  <c r="R34" i="431"/>
  <c r="Q34" i="431"/>
  <c r="B34" i="431"/>
  <c r="P34" i="431" s="1"/>
  <c r="AJ33" i="431"/>
  <c r="T33" i="431"/>
  <c r="S33" i="431"/>
  <c r="R33" i="431"/>
  <c r="Q33" i="431"/>
  <c r="B33" i="431"/>
  <c r="P33" i="431" s="1"/>
  <c r="AJ32" i="431"/>
  <c r="T32" i="431"/>
  <c r="S32" i="431"/>
  <c r="R32" i="431"/>
  <c r="Q32" i="431"/>
  <c r="B32" i="431"/>
  <c r="P32" i="431" s="1"/>
  <c r="AJ31" i="431"/>
  <c r="T31" i="431"/>
  <c r="S31" i="431"/>
  <c r="R31" i="431"/>
  <c r="Q31" i="431"/>
  <c r="B31" i="431"/>
  <c r="P31" i="431" s="1"/>
  <c r="AJ30" i="431"/>
  <c r="T30" i="431"/>
  <c r="S30" i="431"/>
  <c r="R30" i="431"/>
  <c r="Q30" i="431"/>
  <c r="B30" i="431"/>
  <c r="P30" i="431" s="1"/>
  <c r="AJ903" i="431"/>
  <c r="T903" i="431"/>
  <c r="S903" i="431"/>
  <c r="R903" i="431"/>
  <c r="Q903" i="431"/>
  <c r="B903" i="431"/>
  <c r="P903" i="431" s="1"/>
  <c r="AJ29" i="431"/>
  <c r="T29" i="431"/>
  <c r="S29" i="431"/>
  <c r="R29" i="431"/>
  <c r="Q29" i="431"/>
  <c r="B29" i="431"/>
  <c r="P29" i="431" s="1"/>
  <c r="AJ28" i="431"/>
  <c r="T28" i="431"/>
  <c r="S28" i="431"/>
  <c r="R28" i="431"/>
  <c r="Q28" i="431"/>
  <c r="B28" i="431"/>
  <c r="P28" i="431" s="1"/>
  <c r="AJ27" i="431"/>
  <c r="T27" i="431"/>
  <c r="S27" i="431"/>
  <c r="R27" i="431"/>
  <c r="Q27" i="431"/>
  <c r="B27" i="431"/>
  <c r="P27" i="431" s="1"/>
  <c r="AJ26" i="431"/>
  <c r="T26" i="431"/>
  <c r="S26" i="431"/>
  <c r="R26" i="431"/>
  <c r="Q26" i="431"/>
  <c r="B26" i="431"/>
  <c r="P26" i="431" s="1"/>
  <c r="AJ25" i="431"/>
  <c r="T25" i="431"/>
  <c r="S25" i="431"/>
  <c r="R25" i="431"/>
  <c r="Q25" i="431"/>
  <c r="B25" i="431"/>
  <c r="P25" i="431" s="1"/>
  <c r="AJ24" i="431"/>
  <c r="T24" i="431"/>
  <c r="S24" i="431"/>
  <c r="R24" i="431"/>
  <c r="Q24" i="431"/>
  <c r="B24" i="431"/>
  <c r="P24" i="431" s="1"/>
  <c r="AJ23" i="431"/>
  <c r="T23" i="431"/>
  <c r="S23" i="431"/>
  <c r="R23" i="431"/>
  <c r="Q23" i="431"/>
  <c r="B23" i="431"/>
  <c r="P23" i="431" s="1"/>
  <c r="AJ22" i="431"/>
  <c r="T22" i="431"/>
  <c r="S22" i="431"/>
  <c r="R22" i="431"/>
  <c r="Q22" i="431"/>
  <c r="B22" i="431"/>
  <c r="P22" i="431" s="1"/>
  <c r="AJ21" i="431"/>
  <c r="T21" i="431"/>
  <c r="S21" i="431"/>
  <c r="R21" i="431"/>
  <c r="Q21" i="431"/>
  <c r="B21" i="431"/>
  <c r="P21" i="431" s="1"/>
  <c r="AJ20" i="431"/>
  <c r="T20" i="431"/>
  <c r="S20" i="431"/>
  <c r="R20" i="431"/>
  <c r="Q20" i="431"/>
  <c r="B20" i="431"/>
  <c r="P20" i="431" s="1"/>
  <c r="AJ19" i="431"/>
  <c r="T19" i="431"/>
  <c r="S19" i="431"/>
  <c r="R19" i="431"/>
  <c r="Q19" i="431"/>
  <c r="B19" i="431"/>
  <c r="P19" i="431" s="1"/>
  <c r="AJ18" i="431"/>
  <c r="T18" i="431"/>
  <c r="S18" i="431"/>
  <c r="R18" i="431"/>
  <c r="Q18" i="431"/>
  <c r="B18" i="431"/>
  <c r="P18" i="431" s="1"/>
  <c r="AJ17" i="431"/>
  <c r="T17" i="431"/>
  <c r="S17" i="431"/>
  <c r="R17" i="431"/>
  <c r="Q17" i="431"/>
  <c r="B17" i="431"/>
  <c r="P17" i="431" s="1"/>
  <c r="AJ16" i="431"/>
  <c r="T16" i="431"/>
  <c r="S16" i="431"/>
  <c r="R16" i="431"/>
  <c r="Q16" i="431"/>
  <c r="B16" i="431"/>
  <c r="P16" i="431" s="1"/>
  <c r="AJ15" i="431"/>
  <c r="T15" i="431"/>
  <c r="S15" i="431"/>
  <c r="R15" i="431"/>
  <c r="Q15" i="431"/>
  <c r="B15" i="431"/>
  <c r="P15" i="431" s="1"/>
  <c r="AJ14" i="431"/>
  <c r="T14" i="431"/>
  <c r="S14" i="431"/>
  <c r="R14" i="431"/>
  <c r="Q14" i="431"/>
  <c r="B14" i="431"/>
  <c r="P14" i="431" s="1"/>
  <c r="AJ13" i="431"/>
  <c r="T13" i="431"/>
  <c r="S13" i="431"/>
  <c r="R13" i="431"/>
  <c r="G13" i="431"/>
  <c r="Q13" i="431" s="1"/>
  <c r="B13" i="431"/>
  <c r="P13" i="431" s="1"/>
  <c r="B248" i="25"/>
  <c r="O248" i="25" s="1"/>
  <c r="BK248" i="25" s="1"/>
  <c r="A248" i="25"/>
  <c r="B247" i="25"/>
  <c r="O247" i="25" s="1"/>
  <c r="BK247" i="25" s="1"/>
  <c r="A247" i="25"/>
  <c r="B246" i="25"/>
  <c r="O246" i="25" s="1"/>
  <c r="BK246" i="25" s="1"/>
  <c r="A246" i="25"/>
  <c r="AJ13" i="191"/>
  <c r="T13" i="191"/>
  <c r="S13" i="191"/>
  <c r="R13" i="191"/>
  <c r="G13" i="191"/>
  <c r="Q13" i="191" s="1"/>
  <c r="B13" i="191"/>
  <c r="P13" i="191" s="1"/>
  <c r="AM248" i="25"/>
  <c r="AM246" i="25"/>
  <c r="AM247" i="25"/>
  <c r="P8" i="434" l="1"/>
  <c r="P3" i="434"/>
  <c r="U6" i="434"/>
  <c r="V6" i="434" s="1"/>
  <c r="P908" i="434"/>
  <c r="P900" i="434"/>
  <c r="P901" i="434"/>
  <c r="P902" i="434"/>
  <c r="P911" i="434"/>
  <c r="P910" i="434"/>
  <c r="P905" i="434"/>
  <c r="U907" i="434"/>
  <c r="V907" i="434" s="1"/>
  <c r="U906" i="434"/>
  <c r="V906" i="434" s="1"/>
  <c r="U904" i="434"/>
  <c r="V904" i="434" s="1"/>
  <c r="U903" i="434"/>
  <c r="V903" i="434" s="1"/>
  <c r="U899" i="434"/>
  <c r="V899" i="434" s="1"/>
  <c r="B4" i="430"/>
  <c r="U4" i="430" s="1"/>
  <c r="V4" i="430" s="1"/>
  <c r="B5" i="430"/>
  <c r="U5" i="430" s="1"/>
  <c r="V5" i="430" s="1"/>
  <c r="B6" i="430"/>
  <c r="U6" i="430" s="1"/>
  <c r="V6" i="430" s="1"/>
  <c r="B7" i="430"/>
  <c r="U7" i="430" s="1"/>
  <c r="V7" i="430" s="1"/>
  <c r="B8" i="430"/>
  <c r="U8" i="430" s="1"/>
  <c r="V8" i="430" s="1"/>
  <c r="B9" i="430"/>
  <c r="U9" i="430" s="1"/>
  <c r="V9" i="430" s="1"/>
  <c r="B10" i="430"/>
  <c r="U10" i="430" s="1"/>
  <c r="V10" i="430" s="1"/>
  <c r="B11" i="430"/>
  <c r="U11" i="430" s="1"/>
  <c r="V11" i="430" s="1"/>
  <c r="B12" i="430"/>
  <c r="U12" i="430" s="1"/>
  <c r="V12" i="430" s="1"/>
  <c r="B13" i="430"/>
  <c r="U13" i="430" s="1"/>
  <c r="V13" i="430" s="1"/>
  <c r="B14" i="430"/>
  <c r="U14" i="430" s="1"/>
  <c r="V14" i="430" s="1"/>
  <c r="B15" i="430"/>
  <c r="U15" i="430" s="1"/>
  <c r="V15" i="430" s="1"/>
  <c r="B16" i="430"/>
  <c r="U16" i="430" s="1"/>
  <c r="V16" i="430" s="1"/>
  <c r="B17" i="430"/>
  <c r="U17" i="430" s="1"/>
  <c r="V17" i="430" s="1"/>
  <c r="B18" i="430"/>
  <c r="B19" i="430"/>
  <c r="B20" i="430"/>
  <c r="B21" i="430"/>
  <c r="U21" i="430" s="1"/>
  <c r="V21" i="430" s="1"/>
  <c r="B22" i="430"/>
  <c r="U22" i="430" s="1"/>
  <c r="V22" i="430" s="1"/>
  <c r="B23" i="430"/>
  <c r="U23" i="430" s="1"/>
  <c r="V23" i="430" s="1"/>
  <c r="B24" i="430"/>
  <c r="U24" i="430" s="1"/>
  <c r="V24" i="430" s="1"/>
  <c r="B25" i="430"/>
  <c r="U25" i="430" s="1"/>
  <c r="V25" i="430" s="1"/>
  <c r="B26" i="430"/>
  <c r="B27" i="430"/>
  <c r="B28" i="430"/>
  <c r="B29" i="430"/>
  <c r="B30" i="430"/>
  <c r="U30" i="430" s="1"/>
  <c r="V30" i="430" s="1"/>
  <c r="B31" i="430"/>
  <c r="U31" i="430" s="1"/>
  <c r="V31" i="430" s="1"/>
  <c r="B32" i="430"/>
  <c r="U32" i="430" s="1"/>
  <c r="V32" i="430" s="1"/>
  <c r="B33" i="430"/>
  <c r="U33" i="430" s="1"/>
  <c r="V33" i="430" s="1"/>
  <c r="B34" i="430"/>
  <c r="B35" i="430"/>
  <c r="B36" i="430"/>
  <c r="B37" i="430"/>
  <c r="B38" i="430"/>
  <c r="B39" i="430"/>
  <c r="B40" i="430"/>
  <c r="U40" i="430" s="1"/>
  <c r="B41" i="430"/>
  <c r="U41" i="430" s="1"/>
  <c r="B42" i="430"/>
  <c r="B43" i="430"/>
  <c r="B44" i="430"/>
  <c r="B45" i="430"/>
  <c r="B46" i="430"/>
  <c r="B47" i="430"/>
  <c r="B48" i="430"/>
  <c r="B49" i="430"/>
  <c r="B50" i="430"/>
  <c r="B51" i="430"/>
  <c r="B52" i="430"/>
  <c r="U52" i="430" s="1"/>
  <c r="B53" i="430"/>
  <c r="U53" i="430" s="1"/>
  <c r="B54" i="430"/>
  <c r="U54" i="430" s="1"/>
  <c r="B55" i="430"/>
  <c r="U55" i="430" s="1"/>
  <c r="B3" i="430"/>
  <c r="T55" i="430"/>
  <c r="S55" i="430"/>
  <c r="R55" i="430"/>
  <c r="G55" i="430"/>
  <c r="Q55" i="430" s="1"/>
  <c r="P55" i="430"/>
  <c r="T54" i="430"/>
  <c r="S54" i="430"/>
  <c r="R54" i="430"/>
  <c r="G54" i="430"/>
  <c r="Q54" i="430" s="1"/>
  <c r="P54" i="430"/>
  <c r="T53" i="430"/>
  <c r="S53" i="430"/>
  <c r="R53" i="430"/>
  <c r="G53" i="430"/>
  <c r="Q53" i="430" s="1"/>
  <c r="P53" i="430"/>
  <c r="T52" i="430"/>
  <c r="S52" i="430"/>
  <c r="R52" i="430"/>
  <c r="G52" i="430"/>
  <c r="Q52" i="430" s="1"/>
  <c r="P52" i="430"/>
  <c r="T51" i="430"/>
  <c r="S51" i="430"/>
  <c r="R51" i="430"/>
  <c r="G51" i="430"/>
  <c r="Q51" i="430" s="1"/>
  <c r="T50" i="430"/>
  <c r="S50" i="430"/>
  <c r="R50" i="430"/>
  <c r="G50" i="430"/>
  <c r="Q50" i="430" s="1"/>
  <c r="T49" i="430"/>
  <c r="S49" i="430"/>
  <c r="R49" i="430"/>
  <c r="G49" i="430"/>
  <c r="Q49" i="430" s="1"/>
  <c r="T48" i="430"/>
  <c r="S48" i="430"/>
  <c r="R48" i="430"/>
  <c r="G48" i="430"/>
  <c r="Q48" i="430" s="1"/>
  <c r="V47" i="430"/>
  <c r="T47" i="430"/>
  <c r="S47" i="430"/>
  <c r="R47" i="430"/>
  <c r="G47" i="430"/>
  <c r="Q47" i="430" s="1"/>
  <c r="V46" i="430"/>
  <c r="T46" i="430"/>
  <c r="S46" i="430"/>
  <c r="R46" i="430"/>
  <c r="G46" i="430"/>
  <c r="Q46" i="430" s="1"/>
  <c r="V45" i="430"/>
  <c r="T45" i="430"/>
  <c r="S45" i="430"/>
  <c r="R45" i="430"/>
  <c r="G45" i="430"/>
  <c r="Q45" i="430" s="1"/>
  <c r="V44" i="430"/>
  <c r="T44" i="430"/>
  <c r="S44" i="430"/>
  <c r="R44" i="430"/>
  <c r="G44" i="430"/>
  <c r="Q44" i="430" s="1"/>
  <c r="V43" i="430"/>
  <c r="T43" i="430"/>
  <c r="S43" i="430"/>
  <c r="R43" i="430"/>
  <c r="G43" i="430"/>
  <c r="Q43" i="430" s="1"/>
  <c r="V42" i="430"/>
  <c r="T42" i="430"/>
  <c r="S42" i="430"/>
  <c r="R42" i="430"/>
  <c r="G42" i="430"/>
  <c r="Q42" i="430" s="1"/>
  <c r="V41" i="430"/>
  <c r="T41" i="430"/>
  <c r="S41" i="430"/>
  <c r="R41" i="430"/>
  <c r="G41" i="430"/>
  <c r="Q41" i="430" s="1"/>
  <c r="V40" i="430"/>
  <c r="T40" i="430"/>
  <c r="S40" i="430"/>
  <c r="R40" i="430"/>
  <c r="G40" i="430"/>
  <c r="Q40" i="430" s="1"/>
  <c r="V39" i="430"/>
  <c r="T39" i="430"/>
  <c r="S39" i="430"/>
  <c r="R39" i="430"/>
  <c r="G39" i="430"/>
  <c r="Q39" i="430" s="1"/>
  <c r="T38" i="430"/>
  <c r="S38" i="430"/>
  <c r="R38" i="430"/>
  <c r="G38" i="430"/>
  <c r="Q38" i="430" s="1"/>
  <c r="T37" i="430"/>
  <c r="S37" i="430"/>
  <c r="R37" i="430"/>
  <c r="G37" i="430"/>
  <c r="Q37" i="430" s="1"/>
  <c r="T36" i="430"/>
  <c r="S36" i="430"/>
  <c r="R36" i="430"/>
  <c r="G36" i="430"/>
  <c r="Q36" i="430" s="1"/>
  <c r="T35" i="430"/>
  <c r="S35" i="430"/>
  <c r="R35" i="430"/>
  <c r="G35" i="430"/>
  <c r="Q35" i="430" s="1"/>
  <c r="T34" i="430"/>
  <c r="S34" i="430"/>
  <c r="R34" i="430"/>
  <c r="G34" i="430"/>
  <c r="Q34" i="430" s="1"/>
  <c r="T33" i="430"/>
  <c r="S33" i="430"/>
  <c r="R33" i="430"/>
  <c r="G33" i="430"/>
  <c r="Q33" i="430" s="1"/>
  <c r="T32" i="430"/>
  <c r="S32" i="430"/>
  <c r="R32" i="430"/>
  <c r="G32" i="430"/>
  <c r="Q32" i="430" s="1"/>
  <c r="T31" i="430"/>
  <c r="S31" i="430"/>
  <c r="R31" i="430"/>
  <c r="G31" i="430"/>
  <c r="Q31" i="430" s="1"/>
  <c r="T30" i="430"/>
  <c r="S30" i="430"/>
  <c r="R30" i="430"/>
  <c r="G30" i="430"/>
  <c r="Q30" i="430" s="1"/>
  <c r="P30" i="430"/>
  <c r="T29" i="430"/>
  <c r="S29" i="430"/>
  <c r="R29" i="430"/>
  <c r="Q29" i="430"/>
  <c r="T28" i="430"/>
  <c r="S28" i="430"/>
  <c r="R28" i="430"/>
  <c r="Q28" i="430"/>
  <c r="T27" i="430"/>
  <c r="S27" i="430"/>
  <c r="R27" i="430"/>
  <c r="Q27" i="430"/>
  <c r="T26" i="430"/>
  <c r="S26" i="430"/>
  <c r="R26" i="430"/>
  <c r="G26" i="430"/>
  <c r="Q26" i="430" s="1"/>
  <c r="T25" i="430"/>
  <c r="S25" i="430"/>
  <c r="R25" i="430"/>
  <c r="Q25" i="430"/>
  <c r="T24" i="430"/>
  <c r="S24" i="430"/>
  <c r="R24" i="430"/>
  <c r="Q24" i="430"/>
  <c r="T23" i="430"/>
  <c r="S23" i="430"/>
  <c r="R23" i="430"/>
  <c r="Q23" i="430"/>
  <c r="T22" i="430"/>
  <c r="S22" i="430"/>
  <c r="R22" i="430"/>
  <c r="Q22" i="430"/>
  <c r="P22" i="430"/>
  <c r="T21" i="430"/>
  <c r="S21" i="430"/>
  <c r="R21" i="430"/>
  <c r="Q21" i="430"/>
  <c r="P21" i="430"/>
  <c r="T20" i="430"/>
  <c r="S20" i="430"/>
  <c r="R20" i="430"/>
  <c r="Q20" i="430"/>
  <c r="T19" i="430"/>
  <c r="S19" i="430"/>
  <c r="R19" i="430"/>
  <c r="Q19" i="430"/>
  <c r="T18" i="430"/>
  <c r="S18" i="430"/>
  <c r="R18" i="430"/>
  <c r="Q18" i="430"/>
  <c r="T17" i="430"/>
  <c r="S17" i="430"/>
  <c r="R17" i="430"/>
  <c r="Q17" i="430"/>
  <c r="P17" i="430"/>
  <c r="T16" i="430"/>
  <c r="S16" i="430"/>
  <c r="R16" i="430"/>
  <c r="Q16" i="430"/>
  <c r="P16" i="430"/>
  <c r="T15" i="430"/>
  <c r="S15" i="430"/>
  <c r="R15" i="430"/>
  <c r="Q15" i="430"/>
  <c r="P15" i="430"/>
  <c r="T14" i="430"/>
  <c r="S14" i="430"/>
  <c r="R14" i="430"/>
  <c r="Q14" i="430"/>
  <c r="P14" i="430"/>
  <c r="T13" i="430"/>
  <c r="S13" i="430"/>
  <c r="R13" i="430"/>
  <c r="Q13" i="430"/>
  <c r="P13" i="430"/>
  <c r="T12" i="430"/>
  <c r="S12" i="430"/>
  <c r="R12" i="430"/>
  <c r="Q12" i="430"/>
  <c r="P12" i="430"/>
  <c r="T11" i="430"/>
  <c r="S11" i="430"/>
  <c r="R11" i="430"/>
  <c r="Q11" i="430"/>
  <c r="P11" i="430"/>
  <c r="T10" i="430"/>
  <c r="S10" i="430"/>
  <c r="R10" i="430"/>
  <c r="Q10" i="430"/>
  <c r="P10" i="430"/>
  <c r="T9" i="430"/>
  <c r="S9" i="430"/>
  <c r="R9" i="430"/>
  <c r="Q9" i="430"/>
  <c r="P9" i="430"/>
  <c r="T8" i="430"/>
  <c r="S8" i="430"/>
  <c r="R8" i="430"/>
  <c r="Q8" i="430"/>
  <c r="P8" i="430"/>
  <c r="T7" i="430"/>
  <c r="S7" i="430"/>
  <c r="R7" i="430"/>
  <c r="Q7" i="430"/>
  <c r="P7" i="430"/>
  <c r="T6" i="430"/>
  <c r="S6" i="430"/>
  <c r="R6" i="430"/>
  <c r="Q6" i="430"/>
  <c r="P6" i="430"/>
  <c r="T5" i="430"/>
  <c r="S5" i="430"/>
  <c r="R5" i="430"/>
  <c r="G5" i="430"/>
  <c r="Q5" i="430" s="1"/>
  <c r="P5" i="430"/>
  <c r="T4" i="430"/>
  <c r="S4" i="430"/>
  <c r="R4" i="430"/>
  <c r="G4" i="430"/>
  <c r="Q4" i="430" s="1"/>
  <c r="P4" i="430"/>
  <c r="T3" i="430"/>
  <c r="S3" i="430"/>
  <c r="R3" i="430"/>
  <c r="G3" i="430"/>
  <c r="Q3" i="430" s="1"/>
  <c r="P31" i="430" l="1"/>
  <c r="P48" i="430"/>
  <c r="U48" i="430"/>
  <c r="P46" i="430"/>
  <c r="U46" i="430"/>
  <c r="P44" i="430"/>
  <c r="U44" i="430"/>
  <c r="P39" i="430"/>
  <c r="U39" i="430"/>
  <c r="P43" i="430"/>
  <c r="U43" i="430"/>
  <c r="P37" i="430"/>
  <c r="U37" i="430"/>
  <c r="V37" i="430" s="1"/>
  <c r="P36" i="430"/>
  <c r="U36" i="430"/>
  <c r="V36" i="430" s="1"/>
  <c r="P35" i="430"/>
  <c r="U35" i="430"/>
  <c r="V35" i="430" s="1"/>
  <c r="P34" i="430"/>
  <c r="U34" i="430"/>
  <c r="V34" i="430" s="1"/>
  <c r="P29" i="430"/>
  <c r="U29" i="430"/>
  <c r="V29" i="430" s="1"/>
  <c r="P45" i="430"/>
  <c r="U45" i="430"/>
  <c r="P28" i="430"/>
  <c r="U28" i="430"/>
  <c r="V28" i="430" s="1"/>
  <c r="P27" i="430"/>
  <c r="U27" i="430"/>
  <c r="V27" i="430" s="1"/>
  <c r="P26" i="430"/>
  <c r="U26" i="430"/>
  <c r="V26" i="430" s="1"/>
  <c r="P47" i="430"/>
  <c r="U47" i="430"/>
  <c r="P32" i="430"/>
  <c r="P33" i="430"/>
  <c r="P20" i="430"/>
  <c r="U20" i="430"/>
  <c r="V20" i="430" s="1"/>
  <c r="P38" i="430"/>
  <c r="U38" i="430"/>
  <c r="V38" i="430" s="1"/>
  <c r="P19" i="430"/>
  <c r="U19" i="430"/>
  <c r="V19" i="430" s="1"/>
  <c r="P23" i="430"/>
  <c r="P18" i="430"/>
  <c r="U18" i="430"/>
  <c r="V18" i="430" s="1"/>
  <c r="P49" i="430"/>
  <c r="U49" i="430"/>
  <c r="P24" i="430"/>
  <c r="P42" i="430"/>
  <c r="U42" i="430"/>
  <c r="P41" i="430"/>
  <c r="P50" i="430"/>
  <c r="U50" i="430"/>
  <c r="P40" i="430"/>
  <c r="P25" i="430"/>
  <c r="U3" i="430"/>
  <c r="V3" i="430" s="1"/>
  <c r="P3" i="430"/>
  <c r="P51" i="430"/>
  <c r="U51" i="430"/>
  <c r="AJ65" i="429"/>
  <c r="T65" i="429"/>
  <c r="S65" i="429"/>
  <c r="R65" i="429"/>
  <c r="G65" i="429"/>
  <c r="Q65" i="429" s="1"/>
  <c r="B65" i="429"/>
  <c r="P65" i="429" s="1"/>
  <c r="AJ64" i="429"/>
  <c r="T64" i="429"/>
  <c r="S64" i="429"/>
  <c r="R64" i="429"/>
  <c r="G64" i="429"/>
  <c r="Q64" i="429" s="1"/>
  <c r="B64" i="429"/>
  <c r="P64" i="429" s="1"/>
  <c r="AJ63" i="429"/>
  <c r="T63" i="429"/>
  <c r="S63" i="429"/>
  <c r="R63" i="429"/>
  <c r="G63" i="429"/>
  <c r="Q63" i="429" s="1"/>
  <c r="B63" i="429"/>
  <c r="P63" i="429" s="1"/>
  <c r="AJ62" i="429"/>
  <c r="T62" i="429"/>
  <c r="S62" i="429"/>
  <c r="R62" i="429"/>
  <c r="G62" i="429"/>
  <c r="Q62" i="429" s="1"/>
  <c r="B62" i="429"/>
  <c r="P62" i="429" s="1"/>
  <c r="AJ61" i="429"/>
  <c r="T61" i="429"/>
  <c r="S61" i="429"/>
  <c r="R61" i="429"/>
  <c r="G61" i="429"/>
  <c r="Q61" i="429" s="1"/>
  <c r="B61" i="429"/>
  <c r="P61" i="429" s="1"/>
  <c r="AJ60" i="429"/>
  <c r="T60" i="429"/>
  <c r="S60" i="429"/>
  <c r="R60" i="429"/>
  <c r="G60" i="429"/>
  <c r="Q60" i="429" s="1"/>
  <c r="B60" i="429"/>
  <c r="P60" i="429" s="1"/>
  <c r="AJ59" i="429"/>
  <c r="T59" i="429"/>
  <c r="S59" i="429"/>
  <c r="R59" i="429"/>
  <c r="G59" i="429"/>
  <c r="Q59" i="429" s="1"/>
  <c r="B59" i="429"/>
  <c r="P59" i="429" s="1"/>
  <c r="AJ58" i="429"/>
  <c r="T58" i="429"/>
  <c r="S58" i="429"/>
  <c r="R58" i="429"/>
  <c r="G58" i="429"/>
  <c r="Q58" i="429" s="1"/>
  <c r="B58" i="429"/>
  <c r="P58" i="429" s="1"/>
  <c r="AJ57" i="429"/>
  <c r="V57" i="429"/>
  <c r="T57" i="429"/>
  <c r="S57" i="429"/>
  <c r="R57" i="429"/>
  <c r="G57" i="429"/>
  <c r="Q57" i="429" s="1"/>
  <c r="B57" i="429"/>
  <c r="P57" i="429" s="1"/>
  <c r="AJ56" i="429"/>
  <c r="V56" i="429"/>
  <c r="T56" i="429"/>
  <c r="S56" i="429"/>
  <c r="R56" i="429"/>
  <c r="G56" i="429"/>
  <c r="Q56" i="429" s="1"/>
  <c r="B56" i="429"/>
  <c r="P56" i="429" s="1"/>
  <c r="AJ55" i="429"/>
  <c r="V55" i="429"/>
  <c r="T55" i="429"/>
  <c r="S55" i="429"/>
  <c r="R55" i="429"/>
  <c r="G55" i="429"/>
  <c r="Q55" i="429" s="1"/>
  <c r="B55" i="429"/>
  <c r="P55" i="429" s="1"/>
  <c r="AJ54" i="429"/>
  <c r="V54" i="429"/>
  <c r="T54" i="429"/>
  <c r="S54" i="429"/>
  <c r="R54" i="429"/>
  <c r="G54" i="429"/>
  <c r="Q54" i="429" s="1"/>
  <c r="B54" i="429"/>
  <c r="P54" i="429" s="1"/>
  <c r="AJ53" i="429"/>
  <c r="V53" i="429"/>
  <c r="T53" i="429"/>
  <c r="S53" i="429"/>
  <c r="R53" i="429"/>
  <c r="G53" i="429"/>
  <c r="Q53" i="429" s="1"/>
  <c r="B53" i="429"/>
  <c r="P53" i="429" s="1"/>
  <c r="AJ52" i="429"/>
  <c r="V52" i="429"/>
  <c r="T52" i="429"/>
  <c r="S52" i="429"/>
  <c r="R52" i="429"/>
  <c r="G52" i="429"/>
  <c r="Q52" i="429" s="1"/>
  <c r="B52" i="429"/>
  <c r="P52" i="429" s="1"/>
  <c r="AJ51" i="429"/>
  <c r="V51" i="429"/>
  <c r="T51" i="429"/>
  <c r="S51" i="429"/>
  <c r="R51" i="429"/>
  <c r="G51" i="429"/>
  <c r="Q51" i="429" s="1"/>
  <c r="B51" i="429"/>
  <c r="P51" i="429" s="1"/>
  <c r="AJ50" i="429"/>
  <c r="V50" i="429"/>
  <c r="T50" i="429"/>
  <c r="S50" i="429"/>
  <c r="R50" i="429"/>
  <c r="G50" i="429"/>
  <c r="Q50" i="429" s="1"/>
  <c r="B50" i="429"/>
  <c r="P50" i="429" s="1"/>
  <c r="AJ49" i="429"/>
  <c r="V49" i="429"/>
  <c r="T49" i="429"/>
  <c r="S49" i="429"/>
  <c r="R49" i="429"/>
  <c r="G49" i="429"/>
  <c r="Q49" i="429" s="1"/>
  <c r="B49" i="429"/>
  <c r="P49" i="429" s="1"/>
  <c r="AJ48" i="429"/>
  <c r="T48" i="429"/>
  <c r="S48" i="429"/>
  <c r="R48" i="429"/>
  <c r="G48" i="429"/>
  <c r="Q48" i="429" s="1"/>
  <c r="B48" i="429"/>
  <c r="P48" i="429" s="1"/>
  <c r="AJ47" i="429"/>
  <c r="T47" i="429"/>
  <c r="S47" i="429"/>
  <c r="R47" i="429"/>
  <c r="G47" i="429"/>
  <c r="Q47" i="429" s="1"/>
  <c r="B47" i="429"/>
  <c r="P47" i="429" s="1"/>
  <c r="AJ46" i="429"/>
  <c r="T46" i="429"/>
  <c r="S46" i="429"/>
  <c r="R46" i="429"/>
  <c r="G46" i="429"/>
  <c r="Q46" i="429" s="1"/>
  <c r="B46" i="429"/>
  <c r="P46" i="429" s="1"/>
  <c r="AJ45" i="429"/>
  <c r="T45" i="429"/>
  <c r="S45" i="429"/>
  <c r="R45" i="429"/>
  <c r="G45" i="429"/>
  <c r="Q45" i="429" s="1"/>
  <c r="B45" i="429"/>
  <c r="P45" i="429" s="1"/>
  <c r="AJ44" i="429"/>
  <c r="T44" i="429"/>
  <c r="S44" i="429"/>
  <c r="R44" i="429"/>
  <c r="G44" i="429"/>
  <c r="Q44" i="429" s="1"/>
  <c r="B44" i="429"/>
  <c r="P44" i="429" s="1"/>
  <c r="AJ43" i="429"/>
  <c r="T43" i="429"/>
  <c r="S43" i="429"/>
  <c r="R43" i="429"/>
  <c r="G43" i="429"/>
  <c r="Q43" i="429" s="1"/>
  <c r="B43" i="429"/>
  <c r="P43" i="429" s="1"/>
  <c r="AJ42" i="429"/>
  <c r="T42" i="429"/>
  <c r="S42" i="429"/>
  <c r="R42" i="429"/>
  <c r="G42" i="429"/>
  <c r="Q42" i="429" s="1"/>
  <c r="B42" i="429"/>
  <c r="P42" i="429" s="1"/>
  <c r="AJ41" i="429"/>
  <c r="T41" i="429"/>
  <c r="S41" i="429"/>
  <c r="R41" i="429"/>
  <c r="G41" i="429"/>
  <c r="Q41" i="429" s="1"/>
  <c r="B41" i="429"/>
  <c r="P41" i="429" s="1"/>
  <c r="AJ40" i="429"/>
  <c r="T40" i="429"/>
  <c r="S40" i="429"/>
  <c r="R40" i="429"/>
  <c r="G40" i="429"/>
  <c r="Q40" i="429" s="1"/>
  <c r="B40" i="429"/>
  <c r="P40" i="429" s="1"/>
  <c r="AJ39" i="429"/>
  <c r="T39" i="429"/>
  <c r="S39" i="429"/>
  <c r="R39" i="429"/>
  <c r="Q39" i="429"/>
  <c r="B39" i="429"/>
  <c r="P39" i="429" s="1"/>
  <c r="AJ38" i="429"/>
  <c r="T38" i="429"/>
  <c r="S38" i="429"/>
  <c r="R38" i="429"/>
  <c r="Q38" i="429"/>
  <c r="B38" i="429"/>
  <c r="P38" i="429" s="1"/>
  <c r="AJ37" i="429"/>
  <c r="T37" i="429"/>
  <c r="S37" i="429"/>
  <c r="R37" i="429"/>
  <c r="Q37" i="429"/>
  <c r="B37" i="429"/>
  <c r="P37" i="429" s="1"/>
  <c r="AJ36" i="429"/>
  <c r="T36" i="429"/>
  <c r="S36" i="429"/>
  <c r="R36" i="429"/>
  <c r="G36" i="429"/>
  <c r="Q36" i="429" s="1"/>
  <c r="B36" i="429"/>
  <c r="P36" i="429" s="1"/>
  <c r="AJ35" i="429"/>
  <c r="T35" i="429"/>
  <c r="S35" i="429"/>
  <c r="R35" i="429"/>
  <c r="Q35" i="429"/>
  <c r="B35" i="429"/>
  <c r="P35" i="429" s="1"/>
  <c r="AJ34" i="429"/>
  <c r="T34" i="429"/>
  <c r="S34" i="429"/>
  <c r="R34" i="429"/>
  <c r="Q34" i="429"/>
  <c r="B34" i="429"/>
  <c r="P34" i="429" s="1"/>
  <c r="AJ33" i="429"/>
  <c r="T33" i="429"/>
  <c r="S33" i="429"/>
  <c r="R33" i="429"/>
  <c r="Q33" i="429"/>
  <c r="B33" i="429"/>
  <c r="P33" i="429" s="1"/>
  <c r="AJ32" i="429"/>
  <c r="T32" i="429"/>
  <c r="S32" i="429"/>
  <c r="R32" i="429"/>
  <c r="Q32" i="429"/>
  <c r="B32" i="429"/>
  <c r="P32" i="429" s="1"/>
  <c r="AJ31" i="429"/>
  <c r="T31" i="429"/>
  <c r="S31" i="429"/>
  <c r="R31" i="429"/>
  <c r="Q31" i="429"/>
  <c r="B31" i="429"/>
  <c r="P31" i="429" s="1"/>
  <c r="AJ30" i="429"/>
  <c r="T30" i="429"/>
  <c r="S30" i="429"/>
  <c r="R30" i="429"/>
  <c r="Q30" i="429"/>
  <c r="B30" i="429"/>
  <c r="P30" i="429" s="1"/>
  <c r="AJ29" i="429"/>
  <c r="T29" i="429"/>
  <c r="S29" i="429"/>
  <c r="R29" i="429"/>
  <c r="Q29" i="429"/>
  <c r="B29" i="429"/>
  <c r="P29" i="429" s="1"/>
  <c r="AJ28" i="429"/>
  <c r="T28" i="429"/>
  <c r="S28" i="429"/>
  <c r="R28" i="429"/>
  <c r="Q28" i="429"/>
  <c r="B28" i="429"/>
  <c r="P28" i="429" s="1"/>
  <c r="AJ27" i="429"/>
  <c r="T27" i="429"/>
  <c r="S27" i="429"/>
  <c r="R27" i="429"/>
  <c r="Q27" i="429"/>
  <c r="B27" i="429"/>
  <c r="P27" i="429" s="1"/>
  <c r="AJ26" i="429"/>
  <c r="T26" i="429"/>
  <c r="S26" i="429"/>
  <c r="R26" i="429"/>
  <c r="Q26" i="429"/>
  <c r="B26" i="429"/>
  <c r="P26" i="429" s="1"/>
  <c r="AJ25" i="429"/>
  <c r="T25" i="429"/>
  <c r="S25" i="429"/>
  <c r="R25" i="429"/>
  <c r="Q25" i="429"/>
  <c r="B25" i="429"/>
  <c r="P25" i="429" s="1"/>
  <c r="AJ24" i="429"/>
  <c r="T24" i="429"/>
  <c r="S24" i="429"/>
  <c r="R24" i="429"/>
  <c r="Q24" i="429"/>
  <c r="B24" i="429"/>
  <c r="P24" i="429" s="1"/>
  <c r="AJ23" i="429"/>
  <c r="T23" i="429"/>
  <c r="S23" i="429"/>
  <c r="R23" i="429"/>
  <c r="Q23" i="429"/>
  <c r="B23" i="429"/>
  <c r="P23" i="429" s="1"/>
  <c r="AJ22" i="429"/>
  <c r="T22" i="429"/>
  <c r="S22" i="429"/>
  <c r="R22" i="429"/>
  <c r="Q22" i="429"/>
  <c r="B22" i="429"/>
  <c r="P22" i="429" s="1"/>
  <c r="AJ21" i="429"/>
  <c r="T21" i="429"/>
  <c r="S21" i="429"/>
  <c r="R21" i="429"/>
  <c r="Q21" i="429"/>
  <c r="B21" i="429"/>
  <c r="P21" i="429" s="1"/>
  <c r="AJ20" i="429"/>
  <c r="T20" i="429"/>
  <c r="S20" i="429"/>
  <c r="R20" i="429"/>
  <c r="Q20" i="429"/>
  <c r="B20" i="429"/>
  <c r="P20" i="429" s="1"/>
  <c r="AJ19" i="429"/>
  <c r="T19" i="429"/>
  <c r="S19" i="429"/>
  <c r="R19" i="429"/>
  <c r="Q19" i="429"/>
  <c r="B19" i="429"/>
  <c r="P19" i="429" s="1"/>
  <c r="AJ18" i="429"/>
  <c r="T18" i="429"/>
  <c r="S18" i="429"/>
  <c r="R18" i="429"/>
  <c r="Q18" i="429"/>
  <c r="B18" i="429"/>
  <c r="P18" i="429" s="1"/>
  <c r="AJ17" i="429"/>
  <c r="T17" i="429"/>
  <c r="S17" i="429"/>
  <c r="R17" i="429"/>
  <c r="Q17" i="429"/>
  <c r="B17" i="429"/>
  <c r="P17" i="429" s="1"/>
  <c r="AJ16" i="429"/>
  <c r="T16" i="429"/>
  <c r="S16" i="429"/>
  <c r="R16" i="429"/>
  <c r="Q16" i="429"/>
  <c r="B16" i="429"/>
  <c r="P16" i="429" s="1"/>
  <c r="AJ15" i="429"/>
  <c r="T15" i="429"/>
  <c r="S15" i="429"/>
  <c r="R15" i="429"/>
  <c r="G15" i="429"/>
  <c r="Q15" i="429" s="1"/>
  <c r="B15" i="429"/>
  <c r="P15" i="429" s="1"/>
  <c r="AJ14" i="429"/>
  <c r="T14" i="429"/>
  <c r="S14" i="429"/>
  <c r="R14" i="429"/>
  <c r="G14" i="429"/>
  <c r="Q14" i="429" s="1"/>
  <c r="B14" i="429"/>
  <c r="P14" i="429" s="1"/>
  <c r="AJ13" i="429"/>
  <c r="T13" i="429"/>
  <c r="S13" i="429"/>
  <c r="R13" i="429"/>
  <c r="G13" i="429"/>
  <c r="Q13" i="429" s="1"/>
  <c r="B13" i="429"/>
  <c r="P13" i="429" s="1"/>
  <c r="AJ15" i="416" l="1"/>
  <c r="T15" i="416"/>
  <c r="S15" i="416"/>
  <c r="R15" i="416"/>
  <c r="G15" i="416"/>
  <c r="Q15" i="416" s="1"/>
  <c r="B15" i="416"/>
  <c r="P15" i="416" s="1"/>
  <c r="AJ55" i="425" l="1"/>
  <c r="V55" i="425"/>
  <c r="T55" i="425"/>
  <c r="S55" i="425"/>
  <c r="R55" i="425"/>
  <c r="G55" i="425"/>
  <c r="Q55" i="425" s="1"/>
  <c r="B55" i="425"/>
  <c r="P55" i="425" s="1"/>
  <c r="AJ21" i="421"/>
  <c r="V21" i="421"/>
  <c r="T21" i="421"/>
  <c r="S21" i="421"/>
  <c r="R21" i="421"/>
  <c r="G21" i="421"/>
  <c r="Q21" i="421" s="1"/>
  <c r="B21" i="421"/>
  <c r="P21" i="421" s="1"/>
  <c r="AJ40" i="425" l="1"/>
  <c r="T40" i="425"/>
  <c r="S40" i="425"/>
  <c r="R40" i="425"/>
  <c r="G40" i="425"/>
  <c r="Q40" i="425" s="1"/>
  <c r="B40" i="425"/>
  <c r="P40" i="425" s="1"/>
  <c r="AJ15" i="427"/>
  <c r="T15" i="427"/>
  <c r="S15" i="427"/>
  <c r="R15" i="427"/>
  <c r="G15" i="427"/>
  <c r="Q15" i="427" s="1"/>
  <c r="B15" i="427"/>
  <c r="P15" i="427" s="1"/>
  <c r="G15" i="419"/>
  <c r="Q15" i="419" s="1"/>
  <c r="AJ15" i="419"/>
  <c r="T15" i="419"/>
  <c r="S15" i="419"/>
  <c r="R15" i="419"/>
  <c r="B15" i="419"/>
  <c r="P15" i="419" s="1"/>
  <c r="B243" i="25"/>
  <c r="O243" i="25" s="1"/>
  <c r="BK243" i="25" s="1"/>
  <c r="A243" i="25"/>
  <c r="AJ19" i="427"/>
  <c r="T19" i="427"/>
  <c r="S19" i="427"/>
  <c r="R19" i="427"/>
  <c r="G19" i="427"/>
  <c r="Q19" i="427" s="1"/>
  <c r="B19" i="427"/>
  <c r="P19" i="427" s="1"/>
  <c r="AJ18" i="427"/>
  <c r="T18" i="427"/>
  <c r="S18" i="427"/>
  <c r="R18" i="427"/>
  <c r="G18" i="427"/>
  <c r="Q18" i="427" s="1"/>
  <c r="B18" i="427"/>
  <c r="P18" i="427" s="1"/>
  <c r="AJ17" i="427"/>
  <c r="T17" i="427"/>
  <c r="S17" i="427"/>
  <c r="R17" i="427"/>
  <c r="G17" i="427"/>
  <c r="Q17" i="427" s="1"/>
  <c r="B17" i="427"/>
  <c r="P17" i="427" s="1"/>
  <c r="AJ14" i="427"/>
  <c r="T14" i="427"/>
  <c r="S14" i="427"/>
  <c r="R14" i="427"/>
  <c r="G14" i="427"/>
  <c r="Q14" i="427" s="1"/>
  <c r="B14" i="427"/>
  <c r="P14" i="427" s="1"/>
  <c r="AJ16" i="427"/>
  <c r="T16" i="427"/>
  <c r="S16" i="427"/>
  <c r="R16" i="427"/>
  <c r="G16" i="427"/>
  <c r="Q16" i="427" s="1"/>
  <c r="B16" i="427"/>
  <c r="P16" i="427" s="1"/>
  <c r="AJ13" i="427"/>
  <c r="T13" i="427"/>
  <c r="S13" i="427"/>
  <c r="R13" i="427"/>
  <c r="G13" i="427"/>
  <c r="Q13" i="427" s="1"/>
  <c r="B13" i="427"/>
  <c r="P13" i="427" s="1"/>
  <c r="AJ65" i="425"/>
  <c r="T65" i="425"/>
  <c r="S65" i="425"/>
  <c r="R65" i="425"/>
  <c r="G65" i="425"/>
  <c r="Q65" i="425" s="1"/>
  <c r="B65" i="425"/>
  <c r="P65" i="425" s="1"/>
  <c r="AJ64" i="425"/>
  <c r="T64" i="425"/>
  <c r="S64" i="425"/>
  <c r="R64" i="425"/>
  <c r="G64" i="425"/>
  <c r="Q64" i="425" s="1"/>
  <c r="B64" i="425"/>
  <c r="P64" i="425" s="1"/>
  <c r="AJ63" i="425"/>
  <c r="T63" i="425"/>
  <c r="S63" i="425"/>
  <c r="R63" i="425"/>
  <c r="G63" i="425"/>
  <c r="Q63" i="425" s="1"/>
  <c r="B63" i="425"/>
  <c r="P63" i="425" s="1"/>
  <c r="AJ62" i="425"/>
  <c r="T62" i="425"/>
  <c r="S62" i="425"/>
  <c r="R62" i="425"/>
  <c r="G62" i="425"/>
  <c r="Q62" i="425" s="1"/>
  <c r="B62" i="425"/>
  <c r="P62" i="425" s="1"/>
  <c r="AJ61" i="425"/>
  <c r="T61" i="425"/>
  <c r="S61" i="425"/>
  <c r="R61" i="425"/>
  <c r="G61" i="425"/>
  <c r="Q61" i="425" s="1"/>
  <c r="B61" i="425"/>
  <c r="P61" i="425" s="1"/>
  <c r="AJ60" i="425"/>
  <c r="T60" i="425"/>
  <c r="S60" i="425"/>
  <c r="R60" i="425"/>
  <c r="G60" i="425"/>
  <c r="Q60" i="425" s="1"/>
  <c r="B60" i="425"/>
  <c r="P60" i="425" s="1"/>
  <c r="AJ59" i="425"/>
  <c r="T59" i="425"/>
  <c r="S59" i="425"/>
  <c r="R59" i="425"/>
  <c r="G59" i="425"/>
  <c r="Q59" i="425" s="1"/>
  <c r="B59" i="425"/>
  <c r="P59" i="425" s="1"/>
  <c r="AJ58" i="425"/>
  <c r="T58" i="425"/>
  <c r="S58" i="425"/>
  <c r="R58" i="425"/>
  <c r="G58" i="425"/>
  <c r="Q58" i="425" s="1"/>
  <c r="B58" i="425"/>
  <c r="P58" i="425" s="1"/>
  <c r="AJ57" i="425"/>
  <c r="V57" i="425"/>
  <c r="T57" i="425"/>
  <c r="S57" i="425"/>
  <c r="R57" i="425"/>
  <c r="G57" i="425"/>
  <c r="Q57" i="425" s="1"/>
  <c r="B57" i="425"/>
  <c r="P57" i="425" s="1"/>
  <c r="AJ56" i="425"/>
  <c r="V56" i="425"/>
  <c r="T56" i="425"/>
  <c r="S56" i="425"/>
  <c r="R56" i="425"/>
  <c r="G56" i="425"/>
  <c r="Q56" i="425" s="1"/>
  <c r="B56" i="425"/>
  <c r="P56" i="425" s="1"/>
  <c r="AJ54" i="425"/>
  <c r="V54" i="425"/>
  <c r="T54" i="425"/>
  <c r="S54" i="425"/>
  <c r="R54" i="425"/>
  <c r="G54" i="425"/>
  <c r="Q54" i="425" s="1"/>
  <c r="B54" i="425"/>
  <c r="P54" i="425" s="1"/>
  <c r="AJ53" i="425"/>
  <c r="V53" i="425"/>
  <c r="T53" i="425"/>
  <c r="S53" i="425"/>
  <c r="R53" i="425"/>
  <c r="G53" i="425"/>
  <c r="Q53" i="425" s="1"/>
  <c r="B53" i="425"/>
  <c r="P53" i="425" s="1"/>
  <c r="AJ52" i="425"/>
  <c r="V52" i="425"/>
  <c r="T52" i="425"/>
  <c r="S52" i="425"/>
  <c r="R52" i="425"/>
  <c r="G52" i="425"/>
  <c r="Q52" i="425" s="1"/>
  <c r="B52" i="425"/>
  <c r="P52" i="425" s="1"/>
  <c r="AJ51" i="425"/>
  <c r="V51" i="425"/>
  <c r="T51" i="425"/>
  <c r="S51" i="425"/>
  <c r="R51" i="425"/>
  <c r="G51" i="425"/>
  <c r="Q51" i="425" s="1"/>
  <c r="B51" i="425"/>
  <c r="P51" i="425" s="1"/>
  <c r="AJ50" i="425"/>
  <c r="V50" i="425"/>
  <c r="T50" i="425"/>
  <c r="S50" i="425"/>
  <c r="R50" i="425"/>
  <c r="G50" i="425"/>
  <c r="Q50" i="425" s="1"/>
  <c r="B50" i="425"/>
  <c r="P50" i="425" s="1"/>
  <c r="AJ49" i="425"/>
  <c r="V49" i="425"/>
  <c r="T49" i="425"/>
  <c r="S49" i="425"/>
  <c r="R49" i="425"/>
  <c r="G49" i="425"/>
  <c r="Q49" i="425" s="1"/>
  <c r="B49" i="425"/>
  <c r="P49" i="425" s="1"/>
  <c r="AJ47" i="425"/>
  <c r="T47" i="425"/>
  <c r="S47" i="425"/>
  <c r="R47" i="425"/>
  <c r="G47" i="425"/>
  <c r="Q47" i="425" s="1"/>
  <c r="B47" i="425"/>
  <c r="P47" i="425" s="1"/>
  <c r="AJ46" i="425"/>
  <c r="T46" i="425"/>
  <c r="S46" i="425"/>
  <c r="R46" i="425"/>
  <c r="G46" i="425"/>
  <c r="Q46" i="425" s="1"/>
  <c r="B46" i="425"/>
  <c r="P46" i="425" s="1"/>
  <c r="AJ48" i="425"/>
  <c r="T48" i="425"/>
  <c r="S48" i="425"/>
  <c r="R48" i="425"/>
  <c r="G48" i="425"/>
  <c r="Q48" i="425" s="1"/>
  <c r="B48" i="425"/>
  <c r="P48" i="425" s="1"/>
  <c r="AJ45" i="425"/>
  <c r="T45" i="425"/>
  <c r="S45" i="425"/>
  <c r="R45" i="425"/>
  <c r="G45" i="425"/>
  <c r="Q45" i="425" s="1"/>
  <c r="B45" i="425"/>
  <c r="P45" i="425" s="1"/>
  <c r="G15" i="410"/>
  <c r="AM243" i="25"/>
  <c r="AJ44" i="425" l="1"/>
  <c r="T44" i="425"/>
  <c r="S44" i="425"/>
  <c r="R44" i="425"/>
  <c r="G44" i="425"/>
  <c r="Q44" i="425" s="1"/>
  <c r="B44" i="425"/>
  <c r="P44" i="425" s="1"/>
  <c r="AJ43" i="425"/>
  <c r="T43" i="425"/>
  <c r="S43" i="425"/>
  <c r="R43" i="425"/>
  <c r="G43" i="425"/>
  <c r="Q43" i="425" s="1"/>
  <c r="B43" i="425"/>
  <c r="P43" i="425" s="1"/>
  <c r="AJ42" i="425"/>
  <c r="T42" i="425"/>
  <c r="S42" i="425"/>
  <c r="R42" i="425"/>
  <c r="G42" i="425"/>
  <c r="Q42" i="425" s="1"/>
  <c r="B42" i="425"/>
  <c r="P42" i="425" s="1"/>
  <c r="AJ41" i="425"/>
  <c r="T41" i="425"/>
  <c r="S41" i="425"/>
  <c r="R41" i="425"/>
  <c r="G41" i="425"/>
  <c r="Q41" i="425" s="1"/>
  <c r="B41" i="425"/>
  <c r="P41" i="425" s="1"/>
  <c r="AJ39" i="425"/>
  <c r="T39" i="425"/>
  <c r="S39" i="425"/>
  <c r="R39" i="425"/>
  <c r="Q39" i="425"/>
  <c r="B39" i="425"/>
  <c r="P39" i="425" s="1"/>
  <c r="AJ38" i="425"/>
  <c r="T38" i="425"/>
  <c r="S38" i="425"/>
  <c r="R38" i="425"/>
  <c r="Q38" i="425"/>
  <c r="B38" i="425"/>
  <c r="P38" i="425" s="1"/>
  <c r="AJ37" i="425"/>
  <c r="T37" i="425"/>
  <c r="S37" i="425"/>
  <c r="R37" i="425"/>
  <c r="Q37" i="425"/>
  <c r="B37" i="425"/>
  <c r="P37" i="425" s="1"/>
  <c r="AJ36" i="425"/>
  <c r="T36" i="425"/>
  <c r="S36" i="425"/>
  <c r="R36" i="425"/>
  <c r="G36" i="425"/>
  <c r="Q36" i="425" s="1"/>
  <c r="B36" i="425"/>
  <c r="P36" i="425" s="1"/>
  <c r="AJ35" i="425"/>
  <c r="T35" i="425"/>
  <c r="S35" i="425"/>
  <c r="R35" i="425"/>
  <c r="Q35" i="425"/>
  <c r="B35" i="425"/>
  <c r="P35" i="425" s="1"/>
  <c r="AJ34" i="425"/>
  <c r="T34" i="425"/>
  <c r="S34" i="425"/>
  <c r="R34" i="425"/>
  <c r="Q34" i="425"/>
  <c r="B34" i="425"/>
  <c r="P34" i="425" s="1"/>
  <c r="AJ33" i="425"/>
  <c r="T33" i="425"/>
  <c r="S33" i="425"/>
  <c r="R33" i="425"/>
  <c r="Q33" i="425"/>
  <c r="B33" i="425"/>
  <c r="P33" i="425" s="1"/>
  <c r="AJ32" i="425"/>
  <c r="T32" i="425"/>
  <c r="S32" i="425"/>
  <c r="R32" i="425"/>
  <c r="Q32" i="425"/>
  <c r="B32" i="425"/>
  <c r="P32" i="425" s="1"/>
  <c r="AJ31" i="425"/>
  <c r="T31" i="425"/>
  <c r="S31" i="425"/>
  <c r="R31" i="425"/>
  <c r="Q31" i="425"/>
  <c r="B31" i="425"/>
  <c r="P31" i="425" s="1"/>
  <c r="AJ30" i="425"/>
  <c r="T30" i="425"/>
  <c r="S30" i="425"/>
  <c r="R30" i="425"/>
  <c r="Q30" i="425"/>
  <c r="B30" i="425"/>
  <c r="P30" i="425" s="1"/>
  <c r="AJ29" i="425"/>
  <c r="T29" i="425"/>
  <c r="S29" i="425"/>
  <c r="R29" i="425"/>
  <c r="Q29" i="425"/>
  <c r="B29" i="425"/>
  <c r="P29" i="425" s="1"/>
  <c r="AJ28" i="425"/>
  <c r="T28" i="425"/>
  <c r="S28" i="425"/>
  <c r="R28" i="425"/>
  <c r="Q28" i="425"/>
  <c r="B28" i="425"/>
  <c r="P28" i="425" s="1"/>
  <c r="AJ27" i="425"/>
  <c r="T27" i="425"/>
  <c r="S27" i="425"/>
  <c r="R27" i="425"/>
  <c r="Q27" i="425"/>
  <c r="B27" i="425"/>
  <c r="P27" i="425" s="1"/>
  <c r="AJ26" i="425"/>
  <c r="T26" i="425"/>
  <c r="S26" i="425"/>
  <c r="R26" i="425"/>
  <c r="Q26" i="425"/>
  <c r="B26" i="425"/>
  <c r="P26" i="425" s="1"/>
  <c r="AJ25" i="425"/>
  <c r="T25" i="425"/>
  <c r="S25" i="425"/>
  <c r="R25" i="425"/>
  <c r="Q25" i="425"/>
  <c r="B25" i="425"/>
  <c r="P25" i="425" s="1"/>
  <c r="AJ24" i="425"/>
  <c r="T24" i="425"/>
  <c r="S24" i="425"/>
  <c r="R24" i="425"/>
  <c r="Q24" i="425"/>
  <c r="B24" i="425"/>
  <c r="P24" i="425" s="1"/>
  <c r="AJ23" i="425"/>
  <c r="T23" i="425"/>
  <c r="S23" i="425"/>
  <c r="R23" i="425"/>
  <c r="Q23" i="425"/>
  <c r="B23" i="425"/>
  <c r="P23" i="425" s="1"/>
  <c r="AJ22" i="425"/>
  <c r="T22" i="425"/>
  <c r="S22" i="425"/>
  <c r="R22" i="425"/>
  <c r="Q22" i="425"/>
  <c r="B22" i="425"/>
  <c r="P22" i="425" s="1"/>
  <c r="AJ21" i="425"/>
  <c r="T21" i="425"/>
  <c r="S21" i="425"/>
  <c r="R21" i="425"/>
  <c r="Q21" i="425"/>
  <c r="B21" i="425"/>
  <c r="P21" i="425" s="1"/>
  <c r="AJ20" i="425"/>
  <c r="T20" i="425"/>
  <c r="S20" i="425"/>
  <c r="R20" i="425"/>
  <c r="Q20" i="425"/>
  <c r="B20" i="425"/>
  <c r="P20" i="425" s="1"/>
  <c r="AJ19" i="425"/>
  <c r="T19" i="425"/>
  <c r="S19" i="425"/>
  <c r="R19" i="425"/>
  <c r="Q19" i="425"/>
  <c r="B19" i="425"/>
  <c r="P19" i="425" s="1"/>
  <c r="V23" i="421"/>
  <c r="V22" i="421"/>
  <c r="V20" i="421"/>
  <c r="V19" i="421"/>
  <c r="V18" i="421"/>
  <c r="V17" i="421"/>
  <c r="V16" i="421"/>
  <c r="V15" i="421"/>
  <c r="B245" i="25"/>
  <c r="O245" i="25" s="1"/>
  <c r="BK245" i="25" s="1"/>
  <c r="B244" i="25"/>
  <c r="B242" i="25"/>
  <c r="B241" i="25"/>
  <c r="A245" i="25"/>
  <c r="AJ18" i="425"/>
  <c r="T18" i="425"/>
  <c r="S18" i="425"/>
  <c r="R18" i="425"/>
  <c r="Q18" i="425"/>
  <c r="B18" i="425"/>
  <c r="P18" i="425" s="1"/>
  <c r="AJ17" i="425"/>
  <c r="T17" i="425"/>
  <c r="S17" i="425"/>
  <c r="R17" i="425"/>
  <c r="Q17" i="425"/>
  <c r="B17" i="425"/>
  <c r="P17" i="425" s="1"/>
  <c r="AJ16" i="425"/>
  <c r="T16" i="425"/>
  <c r="S16" i="425"/>
  <c r="R16" i="425"/>
  <c r="Q16" i="425"/>
  <c r="B16" i="425"/>
  <c r="P16" i="425" s="1"/>
  <c r="AJ15" i="425"/>
  <c r="T15" i="425"/>
  <c r="S15" i="425"/>
  <c r="R15" i="425"/>
  <c r="G15" i="425"/>
  <c r="Q15" i="425" s="1"/>
  <c r="B15" i="425"/>
  <c r="P15" i="425" s="1"/>
  <c r="AJ14" i="425"/>
  <c r="T14" i="425"/>
  <c r="S14" i="425"/>
  <c r="R14" i="425"/>
  <c r="G14" i="425"/>
  <c r="Q14" i="425" s="1"/>
  <c r="B14" i="425"/>
  <c r="P14" i="425" s="1"/>
  <c r="AJ13" i="425"/>
  <c r="T13" i="425"/>
  <c r="S13" i="425"/>
  <c r="R13" i="425"/>
  <c r="G13" i="425"/>
  <c r="Q13" i="425" s="1"/>
  <c r="B13" i="425"/>
  <c r="P13" i="425" s="1"/>
  <c r="AJ14" i="424"/>
  <c r="T14" i="424"/>
  <c r="S14" i="424"/>
  <c r="R14" i="424"/>
  <c r="G14" i="424"/>
  <c r="Q14" i="424" s="1"/>
  <c r="B14" i="424"/>
  <c r="P14" i="424" s="1"/>
  <c r="AM245" i="25"/>
  <c r="B236" i="25" l="1"/>
  <c r="O236" i="25" s="1"/>
  <c r="BK236" i="25" s="1"/>
  <c r="A236" i="25"/>
  <c r="AJ18" i="424"/>
  <c r="T18" i="424"/>
  <c r="S18" i="424"/>
  <c r="R18" i="424"/>
  <c r="G18" i="424"/>
  <c r="Q18" i="424" s="1"/>
  <c r="B18" i="424"/>
  <c r="P18" i="424" s="1"/>
  <c r="AJ17" i="424"/>
  <c r="T17" i="424"/>
  <c r="S17" i="424"/>
  <c r="R17" i="424"/>
  <c r="G17" i="424"/>
  <c r="Q17" i="424" s="1"/>
  <c r="B17" i="424"/>
  <c r="P17" i="424" s="1"/>
  <c r="AJ16" i="424"/>
  <c r="T16" i="424"/>
  <c r="S16" i="424"/>
  <c r="R16" i="424"/>
  <c r="G16" i="424"/>
  <c r="Q16" i="424" s="1"/>
  <c r="B16" i="424"/>
  <c r="P16" i="424" s="1"/>
  <c r="AJ15" i="424"/>
  <c r="T15" i="424"/>
  <c r="S15" i="424"/>
  <c r="R15" i="424"/>
  <c r="G15" i="424"/>
  <c r="Q15" i="424" s="1"/>
  <c r="B15" i="424"/>
  <c r="P15" i="424" s="1"/>
  <c r="AJ13" i="424"/>
  <c r="T13" i="424"/>
  <c r="S13" i="424"/>
  <c r="R13" i="424"/>
  <c r="G13" i="424"/>
  <c r="Q13" i="424" s="1"/>
  <c r="B13" i="424"/>
  <c r="P13" i="424" s="1"/>
  <c r="AM236" i="25"/>
  <c r="C329" i="407" l="1"/>
  <c r="C328" i="407"/>
  <c r="J352" i="407"/>
  <c r="J349" i="407"/>
  <c r="E346" i="407"/>
  <c r="W329" i="407"/>
  <c r="E340" i="407"/>
  <c r="T331" i="407"/>
  <c r="E337" i="407"/>
  <c r="E334" i="407"/>
  <c r="E331" i="407"/>
  <c r="W328" i="407"/>
  <c r="W327" i="407"/>
  <c r="AJ21" i="423"/>
  <c r="T21" i="423"/>
  <c r="S21" i="423"/>
  <c r="R21" i="423"/>
  <c r="G21" i="423"/>
  <c r="Q21" i="423" s="1"/>
  <c r="B21" i="423"/>
  <c r="P21" i="423" s="1"/>
  <c r="AJ20" i="423"/>
  <c r="T20" i="423"/>
  <c r="S20" i="423"/>
  <c r="R20" i="423"/>
  <c r="G20" i="423"/>
  <c r="Q20" i="423" s="1"/>
  <c r="B20" i="423"/>
  <c r="P20" i="423" s="1"/>
  <c r="AJ19" i="423"/>
  <c r="T19" i="423"/>
  <c r="S19" i="423"/>
  <c r="R19" i="423"/>
  <c r="G19" i="423"/>
  <c r="Q19" i="423" s="1"/>
  <c r="B19" i="423"/>
  <c r="P19" i="423" s="1"/>
  <c r="AJ18" i="423"/>
  <c r="T18" i="423"/>
  <c r="S18" i="423"/>
  <c r="R18" i="423"/>
  <c r="G18" i="423"/>
  <c r="Q18" i="423" s="1"/>
  <c r="B18" i="423"/>
  <c r="P18" i="423" s="1"/>
  <c r="AJ17" i="423"/>
  <c r="T17" i="423"/>
  <c r="S17" i="423"/>
  <c r="R17" i="423"/>
  <c r="G17" i="423"/>
  <c r="Q17" i="423" s="1"/>
  <c r="B17" i="423"/>
  <c r="P17" i="423" s="1"/>
  <c r="AJ16" i="423"/>
  <c r="T16" i="423"/>
  <c r="S16" i="423"/>
  <c r="R16" i="423"/>
  <c r="G16" i="423"/>
  <c r="Q16" i="423" s="1"/>
  <c r="B16" i="423"/>
  <c r="P16" i="423" s="1"/>
  <c r="AJ15" i="423"/>
  <c r="T15" i="423"/>
  <c r="S15" i="423"/>
  <c r="R15" i="423"/>
  <c r="G15" i="423"/>
  <c r="Q15" i="423" s="1"/>
  <c r="B15" i="423"/>
  <c r="P15" i="423" s="1"/>
  <c r="AJ14" i="423"/>
  <c r="T14" i="423"/>
  <c r="S14" i="423"/>
  <c r="R14" i="423"/>
  <c r="G14" i="423"/>
  <c r="Q14" i="423" s="1"/>
  <c r="B14" i="423"/>
  <c r="P14" i="423" s="1"/>
  <c r="AJ13" i="423"/>
  <c r="T13" i="423"/>
  <c r="S13" i="423"/>
  <c r="R13" i="423"/>
  <c r="G13" i="423"/>
  <c r="Q13" i="423" s="1"/>
  <c r="B13" i="423"/>
  <c r="P13" i="423" s="1"/>
  <c r="B235" i="25"/>
  <c r="O235" i="25" s="1"/>
  <c r="BK235" i="25" s="1"/>
  <c r="A235" i="25"/>
  <c r="AM235" i="25"/>
  <c r="AJ19" i="394" l="1"/>
  <c r="T19" i="394"/>
  <c r="S19" i="394"/>
  <c r="R19" i="394"/>
  <c r="G19" i="394"/>
  <c r="Q19" i="394" s="1"/>
  <c r="B19" i="394"/>
  <c r="P19" i="394" s="1"/>
  <c r="E55" i="418" l="1"/>
  <c r="AJ22" i="422"/>
  <c r="T22" i="422"/>
  <c r="S22" i="422"/>
  <c r="R22" i="422"/>
  <c r="G22" i="422"/>
  <c r="Q22" i="422" s="1"/>
  <c r="B22" i="422"/>
  <c r="P22" i="422" s="1"/>
  <c r="AJ21" i="422"/>
  <c r="T21" i="422"/>
  <c r="S21" i="422"/>
  <c r="R21" i="422"/>
  <c r="G21" i="422"/>
  <c r="Q21" i="422" s="1"/>
  <c r="B21" i="422"/>
  <c r="P21" i="422" s="1"/>
  <c r="AJ20" i="422"/>
  <c r="T20" i="422"/>
  <c r="S20" i="422"/>
  <c r="R20" i="422"/>
  <c r="G20" i="422"/>
  <c r="Q20" i="422" s="1"/>
  <c r="B20" i="422"/>
  <c r="P20" i="422" s="1"/>
  <c r="AJ19" i="422"/>
  <c r="T19" i="422"/>
  <c r="S19" i="422"/>
  <c r="R19" i="422"/>
  <c r="G19" i="422"/>
  <c r="Q19" i="422" s="1"/>
  <c r="B19" i="422"/>
  <c r="P19" i="422" s="1"/>
  <c r="AJ18" i="422"/>
  <c r="T18" i="422"/>
  <c r="S18" i="422"/>
  <c r="R18" i="422"/>
  <c r="G18" i="422"/>
  <c r="Q18" i="422" s="1"/>
  <c r="B18" i="422"/>
  <c r="P18" i="422" s="1"/>
  <c r="AJ17" i="422"/>
  <c r="T17" i="422"/>
  <c r="S17" i="422"/>
  <c r="R17" i="422"/>
  <c r="G17" i="422"/>
  <c r="Q17" i="422" s="1"/>
  <c r="B17" i="422"/>
  <c r="P17" i="422" s="1"/>
  <c r="AJ16" i="422"/>
  <c r="T16" i="422"/>
  <c r="S16" i="422"/>
  <c r="R16" i="422"/>
  <c r="G16" i="422"/>
  <c r="Q16" i="422" s="1"/>
  <c r="B16" i="422"/>
  <c r="P16" i="422" s="1"/>
  <c r="AJ15" i="422"/>
  <c r="T15" i="422"/>
  <c r="S15" i="422"/>
  <c r="R15" i="422"/>
  <c r="G15" i="422"/>
  <c r="Q15" i="422" s="1"/>
  <c r="B15" i="422"/>
  <c r="P15" i="422" s="1"/>
  <c r="AJ14" i="422"/>
  <c r="T14" i="422"/>
  <c r="S14" i="422"/>
  <c r="R14" i="422"/>
  <c r="Q14" i="422"/>
  <c r="B14" i="422"/>
  <c r="P14" i="422" s="1"/>
  <c r="AJ13" i="422"/>
  <c r="T13" i="422"/>
  <c r="S13" i="422"/>
  <c r="R13" i="422"/>
  <c r="G13" i="422"/>
  <c r="Q13" i="422" s="1"/>
  <c r="B13" i="422"/>
  <c r="P13" i="422" s="1"/>
  <c r="AJ14" i="420"/>
  <c r="T14" i="420"/>
  <c r="S14" i="420"/>
  <c r="R14" i="420"/>
  <c r="Q14" i="420"/>
  <c r="B14" i="420"/>
  <c r="P14" i="420" s="1"/>
  <c r="AJ14" i="421"/>
  <c r="T14" i="421"/>
  <c r="S14" i="421"/>
  <c r="R14" i="421"/>
  <c r="Q14" i="421"/>
  <c r="B14" i="421"/>
  <c r="P14" i="421" s="1"/>
  <c r="G23" i="421"/>
  <c r="Q23" i="421" s="1"/>
  <c r="G22" i="421"/>
  <c r="Q22" i="421" s="1"/>
  <c r="G20" i="421"/>
  <c r="Q20" i="421" s="1"/>
  <c r="G19" i="421"/>
  <c r="Q19" i="421" s="1"/>
  <c r="G18" i="421"/>
  <c r="Q18" i="421" s="1"/>
  <c r="G17" i="421"/>
  <c r="Q17" i="421" s="1"/>
  <c r="G16" i="421"/>
  <c r="Q16" i="421" s="1"/>
  <c r="G15" i="421"/>
  <c r="Q15" i="421" s="1"/>
  <c r="AJ23" i="421"/>
  <c r="T23" i="421"/>
  <c r="S23" i="421"/>
  <c r="R23" i="421"/>
  <c r="B23" i="421"/>
  <c r="P23" i="421" s="1"/>
  <c r="AJ22" i="421"/>
  <c r="T22" i="421"/>
  <c r="S22" i="421"/>
  <c r="R22" i="421"/>
  <c r="B22" i="421"/>
  <c r="P22" i="421" s="1"/>
  <c r="AJ20" i="421"/>
  <c r="T20" i="421"/>
  <c r="S20" i="421"/>
  <c r="R20" i="421"/>
  <c r="B20" i="421"/>
  <c r="P20" i="421" s="1"/>
  <c r="AJ19" i="421"/>
  <c r="T19" i="421"/>
  <c r="S19" i="421"/>
  <c r="R19" i="421"/>
  <c r="B19" i="421"/>
  <c r="P19" i="421" s="1"/>
  <c r="AJ18" i="421"/>
  <c r="T18" i="421"/>
  <c r="S18" i="421"/>
  <c r="R18" i="421"/>
  <c r="B18" i="421"/>
  <c r="P18" i="421" s="1"/>
  <c r="AJ17" i="421"/>
  <c r="T17" i="421"/>
  <c r="S17" i="421"/>
  <c r="R17" i="421"/>
  <c r="B17" i="421"/>
  <c r="P17" i="421" s="1"/>
  <c r="AJ16" i="421"/>
  <c r="T16" i="421"/>
  <c r="S16" i="421"/>
  <c r="R16" i="421"/>
  <c r="B16" i="421"/>
  <c r="P16" i="421" s="1"/>
  <c r="AJ15" i="421"/>
  <c r="T15" i="421"/>
  <c r="S15" i="421"/>
  <c r="R15" i="421"/>
  <c r="B15" i="421"/>
  <c r="P15" i="421" s="1"/>
  <c r="AJ13" i="421"/>
  <c r="T13" i="421"/>
  <c r="S13" i="421"/>
  <c r="R13" i="421"/>
  <c r="G13" i="421"/>
  <c r="Q13" i="421" s="1"/>
  <c r="B13" i="421"/>
  <c r="P13" i="421" s="1"/>
  <c r="G18" i="420"/>
  <c r="Q18" i="420" s="1"/>
  <c r="G17" i="420"/>
  <c r="Q17" i="420" s="1"/>
  <c r="G15" i="420"/>
  <c r="Q15" i="420" s="1"/>
  <c r="AJ18" i="420"/>
  <c r="T18" i="420"/>
  <c r="S18" i="420"/>
  <c r="R18" i="420"/>
  <c r="B18" i="420"/>
  <c r="P18" i="420" s="1"/>
  <c r="AJ17" i="420"/>
  <c r="T17" i="420"/>
  <c r="S17" i="420"/>
  <c r="R17" i="420"/>
  <c r="B17" i="420"/>
  <c r="P17" i="420" s="1"/>
  <c r="AJ16" i="420"/>
  <c r="T16" i="420"/>
  <c r="S16" i="420"/>
  <c r="R16" i="420"/>
  <c r="G16" i="420"/>
  <c r="Q16" i="420" s="1"/>
  <c r="B16" i="420"/>
  <c r="P16" i="420" s="1"/>
  <c r="AJ15" i="420"/>
  <c r="T15" i="420"/>
  <c r="S15" i="420"/>
  <c r="R15" i="420"/>
  <c r="B15" i="420"/>
  <c r="P15" i="420" s="1"/>
  <c r="AJ13" i="420"/>
  <c r="T13" i="420"/>
  <c r="S13" i="420"/>
  <c r="R13" i="420"/>
  <c r="G13" i="420"/>
  <c r="Q13" i="420" s="1"/>
  <c r="B13" i="420"/>
  <c r="P13" i="420" s="1"/>
  <c r="C23" i="418"/>
  <c r="W23" i="418" s="1"/>
  <c r="AJ14" i="419"/>
  <c r="T14" i="419"/>
  <c r="S14" i="419"/>
  <c r="R14" i="419"/>
  <c r="Q14" i="419"/>
  <c r="B14" i="419"/>
  <c r="P14" i="419" s="1"/>
  <c r="AJ18" i="419"/>
  <c r="T18" i="419"/>
  <c r="S18" i="419"/>
  <c r="R18" i="419"/>
  <c r="Q18" i="419"/>
  <c r="B18" i="419"/>
  <c r="P18" i="419" s="1"/>
  <c r="AJ17" i="419"/>
  <c r="T17" i="419"/>
  <c r="S17" i="419"/>
  <c r="R17" i="419"/>
  <c r="Q17" i="419"/>
  <c r="B17" i="419"/>
  <c r="P17" i="419" s="1"/>
  <c r="AJ16" i="419"/>
  <c r="T16" i="419"/>
  <c r="S16" i="419"/>
  <c r="R16" i="419"/>
  <c r="G16" i="419"/>
  <c r="Q16" i="419" s="1"/>
  <c r="B16" i="419"/>
  <c r="P16" i="419" s="1"/>
  <c r="AJ13" i="419"/>
  <c r="T13" i="419"/>
  <c r="S13" i="419"/>
  <c r="R13" i="419"/>
  <c r="G13" i="419"/>
  <c r="Q13" i="419" s="1"/>
  <c r="B13" i="419"/>
  <c r="P13" i="419" s="1"/>
  <c r="T43" i="418"/>
  <c r="E43" i="418"/>
  <c r="C41" i="418"/>
  <c r="W41" i="418" s="1"/>
  <c r="C40" i="418"/>
  <c r="W40" i="418" s="1"/>
  <c r="W39" i="418"/>
  <c r="T34" i="418"/>
  <c r="E34" i="418"/>
  <c r="C32" i="418"/>
  <c r="W32" i="418" s="1"/>
  <c r="C31" i="418"/>
  <c r="W31" i="418" s="1"/>
  <c r="W30" i="418"/>
  <c r="T25" i="418"/>
  <c r="C22" i="418"/>
  <c r="W22" i="418" s="1"/>
  <c r="W21" i="418"/>
  <c r="E61" i="418"/>
  <c r="E58" i="418"/>
  <c r="T52" i="418"/>
  <c r="E52" i="418"/>
  <c r="W50" i="418"/>
  <c r="C49" i="418"/>
  <c r="W49" i="418" s="1"/>
  <c r="W48" i="418"/>
  <c r="T16" i="418"/>
  <c r="E16" i="418"/>
  <c r="C14" i="418"/>
  <c r="W14" i="418" s="1"/>
  <c r="C13" i="418"/>
  <c r="W13" i="418" s="1"/>
  <c r="W12" i="418"/>
  <c r="T7" i="418"/>
  <c r="E7" i="418"/>
  <c r="C5" i="418"/>
  <c r="W5" i="418" s="1"/>
  <c r="C4" i="418"/>
  <c r="W4" i="418" s="1"/>
  <c r="W3" i="418"/>
  <c r="AJ29" i="417"/>
  <c r="T29" i="417"/>
  <c r="S29" i="417"/>
  <c r="R29" i="417"/>
  <c r="Q29" i="417"/>
  <c r="B29" i="417"/>
  <c r="P29" i="417" s="1"/>
  <c r="AJ28" i="417"/>
  <c r="T28" i="417"/>
  <c r="S28" i="417"/>
  <c r="R28" i="417"/>
  <c r="Q28" i="417"/>
  <c r="B28" i="417"/>
  <c r="P28" i="417" s="1"/>
  <c r="AJ27" i="417"/>
  <c r="T27" i="417"/>
  <c r="S27" i="417"/>
  <c r="R27" i="417"/>
  <c r="Q27" i="417"/>
  <c r="B27" i="417"/>
  <c r="P27" i="417" s="1"/>
  <c r="AJ26" i="417"/>
  <c r="T26" i="417"/>
  <c r="S26" i="417"/>
  <c r="R26" i="417"/>
  <c r="Q26" i="417"/>
  <c r="B26" i="417"/>
  <c r="P26" i="417" s="1"/>
  <c r="AJ25" i="417"/>
  <c r="T25" i="417"/>
  <c r="S25" i="417"/>
  <c r="R25" i="417"/>
  <c r="Q25" i="417"/>
  <c r="B25" i="417"/>
  <c r="P25" i="417" s="1"/>
  <c r="AJ24" i="417"/>
  <c r="T24" i="417"/>
  <c r="S24" i="417"/>
  <c r="R24" i="417"/>
  <c r="Q24" i="417"/>
  <c r="B24" i="417"/>
  <c r="P24" i="417" s="1"/>
  <c r="AJ23" i="417"/>
  <c r="T23" i="417"/>
  <c r="S23" i="417"/>
  <c r="R23" i="417"/>
  <c r="Q23" i="417"/>
  <c r="B23" i="417"/>
  <c r="P23" i="417" s="1"/>
  <c r="AJ22" i="417"/>
  <c r="T22" i="417"/>
  <c r="S22" i="417"/>
  <c r="R22" i="417"/>
  <c r="Q22" i="417"/>
  <c r="B22" i="417"/>
  <c r="P22" i="417" s="1"/>
  <c r="AJ21" i="417"/>
  <c r="T21" i="417"/>
  <c r="S21" i="417"/>
  <c r="R21" i="417"/>
  <c r="Q21" i="417"/>
  <c r="B21" i="417"/>
  <c r="P21" i="417" s="1"/>
  <c r="AJ20" i="417"/>
  <c r="T20" i="417"/>
  <c r="S20" i="417"/>
  <c r="R20" i="417"/>
  <c r="Q20" i="417"/>
  <c r="B20" i="417"/>
  <c r="P20" i="417" s="1"/>
  <c r="AJ19" i="417"/>
  <c r="T19" i="417"/>
  <c r="S19" i="417"/>
  <c r="R19" i="417"/>
  <c r="Q19" i="417"/>
  <c r="B19" i="417"/>
  <c r="P19" i="417" s="1"/>
  <c r="AJ18" i="417"/>
  <c r="T18" i="417"/>
  <c r="S18" i="417"/>
  <c r="R18" i="417"/>
  <c r="Q18" i="417"/>
  <c r="B18" i="417"/>
  <c r="P18" i="417" s="1"/>
  <c r="AJ17" i="417"/>
  <c r="T17" i="417"/>
  <c r="S17" i="417"/>
  <c r="R17" i="417"/>
  <c r="Q17" i="417"/>
  <c r="B17" i="417"/>
  <c r="P17" i="417" s="1"/>
  <c r="AJ16" i="417"/>
  <c r="T16" i="417"/>
  <c r="S16" i="417"/>
  <c r="R16" i="417"/>
  <c r="Q16" i="417"/>
  <c r="B16" i="417"/>
  <c r="P16" i="417" s="1"/>
  <c r="AJ15" i="417"/>
  <c r="T15" i="417"/>
  <c r="S15" i="417"/>
  <c r="R15" i="417"/>
  <c r="Q15" i="417"/>
  <c r="B15" i="417"/>
  <c r="P15" i="417" s="1"/>
  <c r="AJ30" i="417"/>
  <c r="T30" i="417"/>
  <c r="S30" i="417"/>
  <c r="R30" i="417"/>
  <c r="Q30" i="417"/>
  <c r="B30" i="417"/>
  <c r="P30" i="417" s="1"/>
  <c r="AJ14" i="417"/>
  <c r="T14" i="417"/>
  <c r="S14" i="417"/>
  <c r="R14" i="417"/>
  <c r="Q14" i="417"/>
  <c r="B14" i="417"/>
  <c r="P14" i="417" s="1"/>
  <c r="AJ13" i="417"/>
  <c r="T13" i="417"/>
  <c r="S13" i="417"/>
  <c r="R13" i="417"/>
  <c r="G13" i="417"/>
  <c r="Q13" i="417" s="1"/>
  <c r="B13" i="417"/>
  <c r="P13" i="417" s="1"/>
  <c r="O241" i="25" l="1"/>
  <c r="BK241" i="25" s="1"/>
  <c r="A241" i="25"/>
  <c r="B240" i="25"/>
  <c r="O240" i="25" s="1"/>
  <c r="BK240" i="25" s="1"/>
  <c r="A240" i="25"/>
  <c r="O242" i="25"/>
  <c r="BK242" i="25" s="1"/>
  <c r="A242" i="25"/>
  <c r="AJ19" i="416"/>
  <c r="T19" i="416"/>
  <c r="S19" i="416"/>
  <c r="R19" i="416"/>
  <c r="Q19" i="416"/>
  <c r="B19" i="416"/>
  <c r="P19" i="416" s="1"/>
  <c r="AJ18" i="416"/>
  <c r="T18" i="416"/>
  <c r="S18" i="416"/>
  <c r="R18" i="416"/>
  <c r="Q18" i="416"/>
  <c r="B18" i="416"/>
  <c r="P18" i="416" s="1"/>
  <c r="AJ17" i="416"/>
  <c r="T17" i="416"/>
  <c r="S17" i="416"/>
  <c r="R17" i="416"/>
  <c r="Q17" i="416"/>
  <c r="B17" i="416"/>
  <c r="P17" i="416" s="1"/>
  <c r="AJ16" i="416"/>
  <c r="T16" i="416"/>
  <c r="S16" i="416"/>
  <c r="R16" i="416"/>
  <c r="G16" i="416"/>
  <c r="Q16" i="416" s="1"/>
  <c r="B16" i="416"/>
  <c r="P16" i="416" s="1"/>
  <c r="AJ14" i="416"/>
  <c r="T14" i="416"/>
  <c r="S14" i="416"/>
  <c r="R14" i="416"/>
  <c r="G14" i="416"/>
  <c r="Q14" i="416" s="1"/>
  <c r="B14" i="416"/>
  <c r="P14" i="416" s="1"/>
  <c r="AJ13" i="416"/>
  <c r="T13" i="416"/>
  <c r="S13" i="416"/>
  <c r="R13" i="416"/>
  <c r="G13" i="416"/>
  <c r="Q13" i="416" s="1"/>
  <c r="B13" i="416"/>
  <c r="P13" i="416" s="1"/>
  <c r="O244" i="25"/>
  <c r="B239" i="25"/>
  <c r="O239" i="25" s="1"/>
  <c r="B238" i="25"/>
  <c r="O238" i="25" s="1"/>
  <c r="B237" i="25"/>
  <c r="O237" i="25" s="1"/>
  <c r="A244" i="25"/>
  <c r="A239" i="25"/>
  <c r="A238" i="25"/>
  <c r="A237" i="25"/>
  <c r="AM242" i="25"/>
  <c r="AM239" i="25"/>
  <c r="AM237" i="25"/>
  <c r="AM238" i="25"/>
  <c r="AM244" i="25"/>
  <c r="AM241" i="25"/>
  <c r="AM240" i="25"/>
  <c r="BK244" i="25" l="1"/>
  <c r="BK239" i="25"/>
  <c r="BK238" i="25"/>
  <c r="BK237" i="25"/>
  <c r="AJ16" i="415"/>
  <c r="T16" i="415"/>
  <c r="S16" i="415"/>
  <c r="R16" i="415"/>
  <c r="G16" i="415"/>
  <c r="Q16" i="415" s="1"/>
  <c r="B16" i="415"/>
  <c r="P16" i="415" s="1"/>
  <c r="AJ15" i="415"/>
  <c r="T15" i="415"/>
  <c r="S15" i="415"/>
  <c r="R15" i="415"/>
  <c r="G15" i="415"/>
  <c r="Q15" i="415" s="1"/>
  <c r="B15" i="415"/>
  <c r="P15" i="415" s="1"/>
  <c r="AJ14" i="415"/>
  <c r="T14" i="415"/>
  <c r="S14" i="415"/>
  <c r="R14" i="415"/>
  <c r="G14" i="415"/>
  <c r="Q14" i="415" s="1"/>
  <c r="B14" i="415"/>
  <c r="P14" i="415" s="1"/>
  <c r="AJ13" i="415"/>
  <c r="T13" i="415"/>
  <c r="S13" i="415"/>
  <c r="R13" i="415"/>
  <c r="G13" i="415"/>
  <c r="Q13" i="415" s="1"/>
  <c r="B13" i="415"/>
  <c r="P13" i="415" s="1"/>
  <c r="B232" i="25"/>
  <c r="O232" i="25" s="1"/>
  <c r="BK232" i="25" s="1"/>
  <c r="A232" i="25"/>
  <c r="AM232" i="25"/>
  <c r="T117" i="406" l="1"/>
  <c r="E117" i="406"/>
  <c r="C115" i="406"/>
  <c r="W115" i="406" s="1"/>
  <c r="C114" i="406"/>
  <c r="W114" i="406" s="1"/>
  <c r="W113" i="406"/>
  <c r="E304" i="407" l="1"/>
  <c r="E190" i="407"/>
  <c r="E322" i="407"/>
  <c r="E319" i="407"/>
  <c r="E316" i="407"/>
  <c r="C314" i="407"/>
  <c r="W314" i="407" s="1"/>
  <c r="C313" i="407"/>
  <c r="W313" i="407" s="1"/>
  <c r="W312" i="407"/>
  <c r="E205" i="407"/>
  <c r="E208" i="407"/>
  <c r="E202" i="407"/>
  <c r="C200" i="407"/>
  <c r="W200" i="407" s="1"/>
  <c r="C199" i="407"/>
  <c r="W199" i="407" s="1"/>
  <c r="W198" i="407"/>
  <c r="E94" i="407"/>
  <c r="E91" i="407"/>
  <c r="C89" i="407"/>
  <c r="W89" i="407" s="1"/>
  <c r="C88" i="407"/>
  <c r="W88" i="407" s="1"/>
  <c r="W87" i="407"/>
  <c r="E82" i="407"/>
  <c r="E469" i="385" l="1"/>
  <c r="J466" i="385"/>
  <c r="AJ17" i="411" l="1"/>
  <c r="T17" i="411"/>
  <c r="S17" i="411"/>
  <c r="R17" i="411"/>
  <c r="G17" i="411"/>
  <c r="Q17" i="411" s="1"/>
  <c r="B17" i="411"/>
  <c r="P17" i="411" s="1"/>
  <c r="AJ14" i="414" l="1"/>
  <c r="T14" i="414"/>
  <c r="S14" i="414"/>
  <c r="R14" i="414"/>
  <c r="G14" i="414"/>
  <c r="Q14" i="414" s="1"/>
  <c r="B14" i="414"/>
  <c r="P14" i="414" s="1"/>
  <c r="AJ13" i="414"/>
  <c r="T13" i="414"/>
  <c r="S13" i="414"/>
  <c r="R13" i="414"/>
  <c r="G13" i="414"/>
  <c r="Q13" i="414" s="1"/>
  <c r="B13" i="414"/>
  <c r="P13" i="414" s="1"/>
  <c r="B234" i="25"/>
  <c r="O234" i="25" s="1"/>
  <c r="A234" i="25"/>
  <c r="T7" i="407"/>
  <c r="E16" i="407"/>
  <c r="C14" i="407"/>
  <c r="W14" i="407" s="1"/>
  <c r="C13" i="407"/>
  <c r="W13" i="407" s="1"/>
  <c r="W12" i="407"/>
  <c r="E307" i="407"/>
  <c r="E301" i="407"/>
  <c r="C299" i="407"/>
  <c r="W299" i="407" s="1"/>
  <c r="C298" i="407"/>
  <c r="W298" i="407" s="1"/>
  <c r="W297" i="407"/>
  <c r="E292" i="407"/>
  <c r="E289" i="407"/>
  <c r="C287" i="407"/>
  <c r="W287" i="407" s="1"/>
  <c r="C286" i="407"/>
  <c r="W286" i="407" s="1"/>
  <c r="W285" i="407"/>
  <c r="E280" i="407"/>
  <c r="E277" i="407"/>
  <c r="C275" i="407"/>
  <c r="W275" i="407" s="1"/>
  <c r="C274" i="407"/>
  <c r="W274" i="407" s="1"/>
  <c r="W273" i="407"/>
  <c r="E268" i="407"/>
  <c r="E265" i="407"/>
  <c r="C263" i="407"/>
  <c r="W263" i="407" s="1"/>
  <c r="C262" i="407"/>
  <c r="W262" i="407" s="1"/>
  <c r="W261" i="407"/>
  <c r="E256" i="407"/>
  <c r="E253" i="407"/>
  <c r="C251" i="407"/>
  <c r="W251" i="407" s="1"/>
  <c r="C250" i="407"/>
  <c r="W250" i="407" s="1"/>
  <c r="W249" i="407"/>
  <c r="E244" i="407"/>
  <c r="E241" i="407"/>
  <c r="C239" i="407"/>
  <c r="W239" i="407" s="1"/>
  <c r="C238" i="407"/>
  <c r="W238" i="407" s="1"/>
  <c r="W237" i="407"/>
  <c r="E232" i="407"/>
  <c r="E229" i="407"/>
  <c r="C227" i="407"/>
  <c r="W227" i="407" s="1"/>
  <c r="C226" i="407"/>
  <c r="W226" i="407" s="1"/>
  <c r="W225" i="407"/>
  <c r="E220" i="407"/>
  <c r="E217" i="407"/>
  <c r="C215" i="407"/>
  <c r="W215" i="407" s="1"/>
  <c r="C214" i="407"/>
  <c r="W214" i="407" s="1"/>
  <c r="W213" i="407"/>
  <c r="E193" i="407"/>
  <c r="E187" i="407"/>
  <c r="C185" i="407"/>
  <c r="W185" i="407" s="1"/>
  <c r="C184" i="407"/>
  <c r="W184" i="407" s="1"/>
  <c r="W183" i="407"/>
  <c r="E178" i="407"/>
  <c r="E175" i="407"/>
  <c r="C173" i="407"/>
  <c r="W173" i="407" s="1"/>
  <c r="C172" i="407"/>
  <c r="W172" i="407" s="1"/>
  <c r="W171" i="407"/>
  <c r="E166" i="407"/>
  <c r="E163" i="407"/>
  <c r="C161" i="407"/>
  <c r="W161" i="407" s="1"/>
  <c r="C160" i="407"/>
  <c r="W160" i="407" s="1"/>
  <c r="W159" i="407"/>
  <c r="E154" i="407"/>
  <c r="E151" i="407"/>
  <c r="C149" i="407"/>
  <c r="W149" i="407" s="1"/>
  <c r="C148" i="407"/>
  <c r="W148" i="407" s="1"/>
  <c r="W147" i="407"/>
  <c r="E142" i="407"/>
  <c r="E139" i="407"/>
  <c r="C137" i="407"/>
  <c r="W137" i="407" s="1"/>
  <c r="C136" i="407"/>
  <c r="W136" i="407" s="1"/>
  <c r="W135" i="407"/>
  <c r="E130" i="407"/>
  <c r="E127" i="407"/>
  <c r="C125" i="407"/>
  <c r="W125" i="407" s="1"/>
  <c r="C124" i="407"/>
  <c r="W124" i="407" s="1"/>
  <c r="W123" i="407"/>
  <c r="E118" i="407"/>
  <c r="E115" i="407"/>
  <c r="C113" i="407"/>
  <c r="W113" i="407" s="1"/>
  <c r="C112" i="407"/>
  <c r="W112" i="407" s="1"/>
  <c r="W111" i="407"/>
  <c r="E106" i="407"/>
  <c r="E103" i="407"/>
  <c r="C101" i="407"/>
  <c r="W101" i="407" s="1"/>
  <c r="C100" i="407"/>
  <c r="W100" i="407" s="1"/>
  <c r="W99" i="407"/>
  <c r="E79" i="407"/>
  <c r="C77" i="407"/>
  <c r="W77" i="407" s="1"/>
  <c r="C76" i="407"/>
  <c r="W76" i="407" s="1"/>
  <c r="W75" i="407"/>
  <c r="E70" i="407"/>
  <c r="C68" i="407"/>
  <c r="W68" i="407" s="1"/>
  <c r="C67" i="407"/>
  <c r="W67" i="407" s="1"/>
  <c r="W66" i="407"/>
  <c r="E61" i="407"/>
  <c r="C59" i="407"/>
  <c r="W59" i="407" s="1"/>
  <c r="C58" i="407"/>
  <c r="W58" i="407" s="1"/>
  <c r="W57" i="407"/>
  <c r="E52" i="407"/>
  <c r="C50" i="407"/>
  <c r="W50" i="407" s="1"/>
  <c r="C49" i="407"/>
  <c r="W49" i="407" s="1"/>
  <c r="W48" i="407"/>
  <c r="E43" i="407"/>
  <c r="C41" i="407"/>
  <c r="W41" i="407" s="1"/>
  <c r="C40" i="407"/>
  <c r="W40" i="407" s="1"/>
  <c r="W39" i="407"/>
  <c r="C32" i="407"/>
  <c r="W32" i="407" s="1"/>
  <c r="C23" i="407"/>
  <c r="E34" i="407"/>
  <c r="C31" i="407"/>
  <c r="W31" i="407" s="1"/>
  <c r="W30" i="407"/>
  <c r="C5" i="407"/>
  <c r="E108" i="406"/>
  <c r="E105" i="406"/>
  <c r="T102" i="406"/>
  <c r="E102" i="406"/>
  <c r="C100" i="406"/>
  <c r="W100" i="406" s="1"/>
  <c r="C99" i="406"/>
  <c r="W99" i="406" s="1"/>
  <c r="W98" i="406"/>
  <c r="AJ15" i="413"/>
  <c r="T15" i="413"/>
  <c r="S15" i="413"/>
  <c r="R15" i="413"/>
  <c r="G15" i="413"/>
  <c r="Q15" i="413" s="1"/>
  <c r="B15" i="413"/>
  <c r="P15" i="413" s="1"/>
  <c r="AJ14" i="413"/>
  <c r="T14" i="413"/>
  <c r="S14" i="413"/>
  <c r="R14" i="413"/>
  <c r="G14" i="413"/>
  <c r="Q14" i="413" s="1"/>
  <c r="B14" i="413"/>
  <c r="P14" i="413" s="1"/>
  <c r="AJ13" i="413"/>
  <c r="T13" i="413"/>
  <c r="S13" i="413"/>
  <c r="R13" i="413"/>
  <c r="G13" i="413"/>
  <c r="Q13" i="413" s="1"/>
  <c r="B13" i="413"/>
  <c r="P13" i="413" s="1"/>
  <c r="E93" i="406"/>
  <c r="E90" i="406"/>
  <c r="E87" i="406"/>
  <c r="T84" i="406"/>
  <c r="E84" i="406"/>
  <c r="C82" i="406"/>
  <c r="W82" i="406" s="1"/>
  <c r="C81" i="406"/>
  <c r="W81" i="406" s="1"/>
  <c r="W80" i="406"/>
  <c r="G19" i="412"/>
  <c r="Q19" i="412" s="1"/>
  <c r="G18" i="412"/>
  <c r="Q18" i="412" s="1"/>
  <c r="G17" i="412"/>
  <c r="Q17" i="412" s="1"/>
  <c r="G16" i="412"/>
  <c r="Q16" i="412" s="1"/>
  <c r="G15" i="412"/>
  <c r="Q15" i="412" s="1"/>
  <c r="AJ19" i="412"/>
  <c r="T19" i="412"/>
  <c r="S19" i="412"/>
  <c r="R19" i="412"/>
  <c r="B19" i="412"/>
  <c r="P19" i="412" s="1"/>
  <c r="AJ18" i="412"/>
  <c r="T18" i="412"/>
  <c r="S18" i="412"/>
  <c r="R18" i="412"/>
  <c r="B18" i="412"/>
  <c r="P18" i="412" s="1"/>
  <c r="AJ17" i="412"/>
  <c r="T17" i="412"/>
  <c r="S17" i="412"/>
  <c r="R17" i="412"/>
  <c r="B17" i="412"/>
  <c r="P17" i="412" s="1"/>
  <c r="AJ16" i="412"/>
  <c r="T16" i="412"/>
  <c r="S16" i="412"/>
  <c r="R16" i="412"/>
  <c r="B16" i="412"/>
  <c r="P16" i="412" s="1"/>
  <c r="AJ15" i="412"/>
  <c r="T15" i="412"/>
  <c r="S15" i="412"/>
  <c r="R15" i="412"/>
  <c r="B15" i="412"/>
  <c r="P15" i="412" s="1"/>
  <c r="AJ22" i="412"/>
  <c r="T22" i="412"/>
  <c r="S22" i="412"/>
  <c r="R22" i="412"/>
  <c r="G22" i="412"/>
  <c r="Q22" i="412" s="1"/>
  <c r="B22" i="412"/>
  <c r="P22" i="412" s="1"/>
  <c r="AJ21" i="412"/>
  <c r="T21" i="412"/>
  <c r="S21" i="412"/>
  <c r="R21" i="412"/>
  <c r="G21" i="412"/>
  <c r="Q21" i="412" s="1"/>
  <c r="B21" i="412"/>
  <c r="P21" i="412" s="1"/>
  <c r="AJ20" i="412"/>
  <c r="T20" i="412"/>
  <c r="S20" i="412"/>
  <c r="R20" i="412"/>
  <c r="Q20" i="412"/>
  <c r="B20" i="412"/>
  <c r="P20" i="412" s="1"/>
  <c r="AJ14" i="412"/>
  <c r="T14" i="412"/>
  <c r="S14" i="412"/>
  <c r="R14" i="412"/>
  <c r="G14" i="412"/>
  <c r="Q14" i="412" s="1"/>
  <c r="B14" i="412"/>
  <c r="P14" i="412" s="1"/>
  <c r="AJ13" i="412"/>
  <c r="T13" i="412"/>
  <c r="S13" i="412"/>
  <c r="R13" i="412"/>
  <c r="G13" i="412"/>
  <c r="Q13" i="412" s="1"/>
  <c r="B13" i="412"/>
  <c r="P13" i="412" s="1"/>
  <c r="E72" i="406"/>
  <c r="E75" i="406"/>
  <c r="E69" i="406"/>
  <c r="T66" i="406"/>
  <c r="E66" i="406"/>
  <c r="C64" i="406"/>
  <c r="W64" i="406" s="1"/>
  <c r="C63" i="406"/>
  <c r="W63" i="406" s="1"/>
  <c r="W62" i="406"/>
  <c r="AJ18" i="411"/>
  <c r="T18" i="411"/>
  <c r="S18" i="411"/>
  <c r="R18" i="411"/>
  <c r="G18" i="411"/>
  <c r="Q18" i="411" s="1"/>
  <c r="B18" i="411"/>
  <c r="P18" i="411" s="1"/>
  <c r="AJ16" i="411"/>
  <c r="T16" i="411"/>
  <c r="S16" i="411"/>
  <c r="R16" i="411"/>
  <c r="G16" i="411"/>
  <c r="Q16" i="411" s="1"/>
  <c r="B16" i="411"/>
  <c r="P16" i="411" s="1"/>
  <c r="AJ15" i="411"/>
  <c r="T15" i="411"/>
  <c r="S15" i="411"/>
  <c r="R15" i="411"/>
  <c r="Q15" i="411"/>
  <c r="B15" i="411"/>
  <c r="P15" i="411" s="1"/>
  <c r="AJ14" i="411"/>
  <c r="T14" i="411"/>
  <c r="S14" i="411"/>
  <c r="R14" i="411"/>
  <c r="G14" i="411"/>
  <c r="Q14" i="411" s="1"/>
  <c r="B14" i="411"/>
  <c r="P14" i="411" s="1"/>
  <c r="AJ13" i="411"/>
  <c r="T13" i="411"/>
  <c r="S13" i="411"/>
  <c r="R13" i="411"/>
  <c r="G13" i="411"/>
  <c r="Q13" i="411" s="1"/>
  <c r="B13" i="411"/>
  <c r="P13" i="411" s="1"/>
  <c r="AJ15" i="380"/>
  <c r="T15" i="380"/>
  <c r="S15" i="380"/>
  <c r="R15" i="380"/>
  <c r="G15" i="380"/>
  <c r="Q15" i="380" s="1"/>
  <c r="B15" i="380"/>
  <c r="P15" i="380" s="1"/>
  <c r="AM234" i="25"/>
  <c r="BK234" i="25" l="1"/>
  <c r="E57" i="406"/>
  <c r="E54" i="406"/>
  <c r="T51" i="406"/>
  <c r="E51" i="406"/>
  <c r="C49" i="406"/>
  <c r="W49" i="406" s="1"/>
  <c r="C48" i="406"/>
  <c r="W48" i="406" s="1"/>
  <c r="W47" i="406"/>
  <c r="AJ16" i="410"/>
  <c r="T16" i="410"/>
  <c r="S16" i="410"/>
  <c r="R16" i="410"/>
  <c r="G16" i="410"/>
  <c r="Q16" i="410" s="1"/>
  <c r="B16" i="410"/>
  <c r="P16" i="410" s="1"/>
  <c r="AJ15" i="410"/>
  <c r="T15" i="410"/>
  <c r="S15" i="410"/>
  <c r="R15" i="410"/>
  <c r="Q15" i="410"/>
  <c r="B15" i="410"/>
  <c r="P15" i="410" s="1"/>
  <c r="AJ18" i="410"/>
  <c r="T18" i="410"/>
  <c r="S18" i="410"/>
  <c r="R18" i="410"/>
  <c r="G18" i="410"/>
  <c r="Q18" i="410" s="1"/>
  <c r="B18" i="410"/>
  <c r="P18" i="410" s="1"/>
  <c r="AJ17" i="410"/>
  <c r="T17" i="410"/>
  <c r="S17" i="410"/>
  <c r="R17" i="410"/>
  <c r="G17" i="410"/>
  <c r="Q17" i="410" s="1"/>
  <c r="B17" i="410"/>
  <c r="P17" i="410" s="1"/>
  <c r="AJ14" i="410"/>
  <c r="T14" i="410"/>
  <c r="S14" i="410"/>
  <c r="R14" i="410"/>
  <c r="G14" i="410"/>
  <c r="Q14" i="410" s="1"/>
  <c r="B14" i="410"/>
  <c r="P14" i="410" s="1"/>
  <c r="AJ13" i="410"/>
  <c r="T13" i="410"/>
  <c r="S13" i="410"/>
  <c r="R13" i="410"/>
  <c r="G13" i="410"/>
  <c r="Q13" i="410" s="1"/>
  <c r="B13" i="410"/>
  <c r="P13" i="410" s="1"/>
  <c r="E42" i="406"/>
  <c r="E39" i="406"/>
  <c r="T36" i="406"/>
  <c r="E36" i="406"/>
  <c r="C34" i="406"/>
  <c r="W34" i="406" s="1"/>
  <c r="C33" i="406"/>
  <c r="W33" i="406" s="1"/>
  <c r="W32" i="406"/>
  <c r="AJ15" i="409"/>
  <c r="T15" i="409"/>
  <c r="S15" i="409"/>
  <c r="R15" i="409"/>
  <c r="G15" i="409"/>
  <c r="Q15" i="409" s="1"/>
  <c r="B15" i="409"/>
  <c r="P15" i="409" s="1"/>
  <c r="AJ16" i="409"/>
  <c r="T16" i="409"/>
  <c r="S16" i="409"/>
  <c r="R16" i="409"/>
  <c r="G16" i="409"/>
  <c r="Q16" i="409" s="1"/>
  <c r="B16" i="409"/>
  <c r="P16" i="409" s="1"/>
  <c r="AJ14" i="409"/>
  <c r="T14" i="409"/>
  <c r="S14" i="409"/>
  <c r="R14" i="409"/>
  <c r="G14" i="409"/>
  <c r="Q14" i="409" s="1"/>
  <c r="B14" i="409"/>
  <c r="P14" i="409" s="1"/>
  <c r="AJ13" i="409"/>
  <c r="T13" i="409"/>
  <c r="S13" i="409"/>
  <c r="R13" i="409"/>
  <c r="G13" i="409"/>
  <c r="Q13" i="409" s="1"/>
  <c r="B13" i="409"/>
  <c r="P13" i="409" s="1"/>
  <c r="AJ15" i="408"/>
  <c r="T15" i="408"/>
  <c r="S15" i="408"/>
  <c r="R15" i="408"/>
  <c r="G15" i="408"/>
  <c r="Q15" i="408" s="1"/>
  <c r="B15" i="408"/>
  <c r="P15" i="408" s="1"/>
  <c r="AJ14" i="408"/>
  <c r="T14" i="408"/>
  <c r="S14" i="408"/>
  <c r="R14" i="408"/>
  <c r="G14" i="408"/>
  <c r="Q14" i="408" s="1"/>
  <c r="B14" i="408"/>
  <c r="P14" i="408" s="1"/>
  <c r="AJ13" i="408"/>
  <c r="T13" i="408"/>
  <c r="S13" i="408"/>
  <c r="R13" i="408"/>
  <c r="G13" i="408"/>
  <c r="Q13" i="408" s="1"/>
  <c r="B13" i="408"/>
  <c r="P13" i="408" s="1"/>
  <c r="C22" i="406"/>
  <c r="W22" i="406" s="1"/>
  <c r="C5" i="406"/>
  <c r="W5" i="406" s="1"/>
  <c r="E16" i="406"/>
  <c r="E13" i="406"/>
  <c r="W23" i="407"/>
  <c r="W5" i="407"/>
  <c r="C22" i="407"/>
  <c r="W22" i="407" s="1"/>
  <c r="C4" i="407"/>
  <c r="W4" i="407" s="1"/>
  <c r="E25" i="407"/>
  <c r="W21" i="407"/>
  <c r="W3" i="407"/>
  <c r="E27" i="406"/>
  <c r="T24" i="406"/>
  <c r="E24" i="406"/>
  <c r="C21" i="406"/>
  <c r="W21" i="406" s="1"/>
  <c r="W20" i="406"/>
  <c r="E10" i="406"/>
  <c r="T7" i="406"/>
  <c r="E7" i="406"/>
  <c r="C4" i="406"/>
  <c r="W4" i="406" s="1"/>
  <c r="W3" i="406"/>
  <c r="AJ17" i="405"/>
  <c r="T17" i="405"/>
  <c r="S17" i="405"/>
  <c r="R17" i="405"/>
  <c r="Q17" i="405"/>
  <c r="B17" i="405"/>
  <c r="P17" i="405" s="1"/>
  <c r="AJ16" i="405"/>
  <c r="T16" i="405"/>
  <c r="S16" i="405"/>
  <c r="R16" i="405"/>
  <c r="Q16" i="405"/>
  <c r="B16" i="405"/>
  <c r="P16" i="405" s="1"/>
  <c r="AJ15" i="405"/>
  <c r="T15" i="405"/>
  <c r="S15" i="405"/>
  <c r="R15" i="405"/>
  <c r="G15" i="405"/>
  <c r="Q15" i="405" s="1"/>
  <c r="B15" i="405"/>
  <c r="P15" i="405" s="1"/>
  <c r="AJ18" i="405"/>
  <c r="T18" i="405"/>
  <c r="S18" i="405"/>
  <c r="R18" i="405"/>
  <c r="Q18" i="405"/>
  <c r="B18" i="405"/>
  <c r="P18" i="405" s="1"/>
  <c r="AJ14" i="405"/>
  <c r="T14" i="405"/>
  <c r="S14" i="405"/>
  <c r="R14" i="405"/>
  <c r="G14" i="405"/>
  <c r="Q14" i="405" s="1"/>
  <c r="B14" i="405"/>
  <c r="P14" i="405" s="1"/>
  <c r="AJ13" i="405"/>
  <c r="T13" i="405"/>
  <c r="S13" i="405"/>
  <c r="R13" i="405"/>
  <c r="G13" i="405"/>
  <c r="Q13" i="405" s="1"/>
  <c r="B13" i="405"/>
  <c r="P13" i="405" s="1"/>
  <c r="B233" i="25"/>
  <c r="O233" i="25" s="1"/>
  <c r="BK233" i="25" s="1"/>
  <c r="A233" i="25"/>
  <c r="B231" i="25"/>
  <c r="O231" i="25" s="1"/>
  <c r="BK231" i="25" s="1"/>
  <c r="A231" i="25"/>
  <c r="B230" i="25"/>
  <c r="O230" i="25" s="1"/>
  <c r="BK230" i="25" s="1"/>
  <c r="A230" i="25"/>
  <c r="B229" i="25"/>
  <c r="O229" i="25" s="1"/>
  <c r="BK229" i="25" s="1"/>
  <c r="A229" i="25"/>
  <c r="B228" i="25"/>
  <c r="O228" i="25" s="1"/>
  <c r="BK228" i="25" s="1"/>
  <c r="A228" i="25"/>
  <c r="AM231" i="25"/>
  <c r="AM228" i="25"/>
  <c r="AM230" i="25"/>
  <c r="AM229" i="25"/>
  <c r="AM233" i="25"/>
  <c r="G14" i="402" l="1"/>
  <c r="AJ20" i="398"/>
  <c r="T20" i="398"/>
  <c r="S20" i="398"/>
  <c r="R20" i="398"/>
  <c r="G20" i="398"/>
  <c r="Q20" i="398" s="1"/>
  <c r="B20" i="398"/>
  <c r="P20" i="398" s="1"/>
  <c r="AJ20" i="397"/>
  <c r="T20" i="397"/>
  <c r="S20" i="397"/>
  <c r="R20" i="397"/>
  <c r="G20" i="397"/>
  <c r="Q20" i="397" s="1"/>
  <c r="B20" i="397"/>
  <c r="P20" i="397" s="1"/>
  <c r="AJ20" i="396"/>
  <c r="T20" i="396"/>
  <c r="S20" i="396"/>
  <c r="R20" i="396"/>
  <c r="G20" i="396"/>
  <c r="Q20" i="396" s="1"/>
  <c r="B20" i="396"/>
  <c r="P20" i="396" s="1"/>
  <c r="E40" i="385" l="1"/>
  <c r="J10" i="385"/>
  <c r="AJ15" i="401" l="1"/>
  <c r="AJ20" i="387" l="1"/>
  <c r="T20" i="387"/>
  <c r="S20" i="387"/>
  <c r="R20" i="387"/>
  <c r="G20" i="387"/>
  <c r="Q20" i="387" s="1"/>
  <c r="B20" i="387"/>
  <c r="P20" i="387" s="1"/>
  <c r="AJ19" i="387"/>
  <c r="T19" i="387"/>
  <c r="S19" i="387"/>
  <c r="R19" i="387"/>
  <c r="G19" i="387"/>
  <c r="Q19" i="387" s="1"/>
  <c r="B19" i="387"/>
  <c r="P19" i="387" s="1"/>
  <c r="AJ15" i="404"/>
  <c r="T15" i="404"/>
  <c r="S15" i="404"/>
  <c r="R15" i="404"/>
  <c r="G15" i="404"/>
  <c r="Q15" i="404" s="1"/>
  <c r="B15" i="404"/>
  <c r="P15" i="404" s="1"/>
  <c r="AJ14" i="404"/>
  <c r="T14" i="404"/>
  <c r="S14" i="404"/>
  <c r="R14" i="404"/>
  <c r="G14" i="404"/>
  <c r="Q14" i="404" s="1"/>
  <c r="B14" i="404"/>
  <c r="P14" i="404" s="1"/>
  <c r="AJ13" i="404"/>
  <c r="T13" i="404"/>
  <c r="S13" i="404"/>
  <c r="R13" i="404"/>
  <c r="G13" i="404"/>
  <c r="Q13" i="404" s="1"/>
  <c r="B13" i="404"/>
  <c r="P13" i="404" s="1"/>
  <c r="B222" i="25" l="1"/>
  <c r="B225" i="25"/>
  <c r="O225" i="25" s="1"/>
  <c r="BK225" i="25" s="1"/>
  <c r="A225" i="25"/>
  <c r="C250" i="385"/>
  <c r="J457" i="385"/>
  <c r="AM225" i="25"/>
  <c r="E453" i="385" l="1"/>
  <c r="J460" i="385"/>
  <c r="T450" i="385"/>
  <c r="E450" i="385"/>
  <c r="C448" i="385"/>
  <c r="W448" i="385" s="1"/>
  <c r="C447" i="385"/>
  <c r="W447" i="385" s="1"/>
  <c r="W446" i="385"/>
  <c r="T15" i="401" l="1"/>
  <c r="S15" i="401"/>
  <c r="R15" i="401"/>
  <c r="G15" i="401"/>
  <c r="Q15" i="401" s="1"/>
  <c r="B15" i="401"/>
  <c r="P15" i="401" s="1"/>
  <c r="AJ14" i="403"/>
  <c r="T14" i="403"/>
  <c r="S14" i="403"/>
  <c r="R14" i="403"/>
  <c r="G14" i="403"/>
  <c r="Q14" i="403" s="1"/>
  <c r="B14" i="403"/>
  <c r="P14" i="403" s="1"/>
  <c r="AJ18" i="403"/>
  <c r="T18" i="403"/>
  <c r="S18" i="403"/>
  <c r="R18" i="403"/>
  <c r="G18" i="403"/>
  <c r="Q18" i="403" s="1"/>
  <c r="B18" i="403"/>
  <c r="P18" i="403" s="1"/>
  <c r="AJ17" i="403"/>
  <c r="T17" i="403"/>
  <c r="S17" i="403"/>
  <c r="R17" i="403"/>
  <c r="G17" i="403"/>
  <c r="Q17" i="403" s="1"/>
  <c r="B17" i="403"/>
  <c r="P17" i="403" s="1"/>
  <c r="AJ16" i="403"/>
  <c r="T16" i="403"/>
  <c r="S16" i="403"/>
  <c r="R16" i="403"/>
  <c r="G16" i="403"/>
  <c r="Q16" i="403" s="1"/>
  <c r="B16" i="403"/>
  <c r="P16" i="403" s="1"/>
  <c r="AJ15" i="403"/>
  <c r="T15" i="403"/>
  <c r="S15" i="403"/>
  <c r="R15" i="403"/>
  <c r="G15" i="403"/>
  <c r="Q15" i="403" s="1"/>
  <c r="B15" i="403"/>
  <c r="P15" i="403" s="1"/>
  <c r="AJ13" i="403"/>
  <c r="T13" i="403"/>
  <c r="S13" i="403"/>
  <c r="R13" i="403"/>
  <c r="G13" i="403"/>
  <c r="Q13" i="403" s="1"/>
  <c r="B13" i="403"/>
  <c r="P13" i="403" s="1"/>
  <c r="AJ16" i="402"/>
  <c r="T16" i="402"/>
  <c r="S16" i="402"/>
  <c r="R16" i="402"/>
  <c r="G16" i="402"/>
  <c r="Q16" i="402" s="1"/>
  <c r="B16" i="402"/>
  <c r="P16" i="402" s="1"/>
  <c r="AJ16" i="401"/>
  <c r="T16" i="401"/>
  <c r="S16" i="401"/>
  <c r="R16" i="401"/>
  <c r="G16" i="401"/>
  <c r="Q16" i="401" s="1"/>
  <c r="B16" i="401"/>
  <c r="P16" i="401" s="1"/>
  <c r="AJ14" i="402"/>
  <c r="T14" i="402"/>
  <c r="S14" i="402"/>
  <c r="R14" i="402"/>
  <c r="Q14" i="402"/>
  <c r="B14" i="402"/>
  <c r="P14" i="402" s="1"/>
  <c r="G19" i="402"/>
  <c r="Q19" i="402" s="1"/>
  <c r="G17" i="401"/>
  <c r="Q17" i="401" s="1"/>
  <c r="AJ17" i="402"/>
  <c r="T17" i="402"/>
  <c r="S17" i="402"/>
  <c r="R17" i="402"/>
  <c r="G17" i="402"/>
  <c r="Q17" i="402" s="1"/>
  <c r="B17" i="402"/>
  <c r="P17" i="402" s="1"/>
  <c r="AJ15" i="402"/>
  <c r="T15" i="402"/>
  <c r="S15" i="402"/>
  <c r="R15" i="402"/>
  <c r="G15" i="402"/>
  <c r="Q15" i="402" s="1"/>
  <c r="B15" i="402"/>
  <c r="P15" i="402" s="1"/>
  <c r="AJ19" i="402"/>
  <c r="T19" i="402"/>
  <c r="S19" i="402"/>
  <c r="R19" i="402"/>
  <c r="B19" i="402"/>
  <c r="P19" i="402" s="1"/>
  <c r="AJ18" i="402"/>
  <c r="T18" i="402"/>
  <c r="S18" i="402"/>
  <c r="R18" i="402"/>
  <c r="G18" i="402"/>
  <c r="Q18" i="402" s="1"/>
  <c r="B18" i="402"/>
  <c r="P18" i="402" s="1"/>
  <c r="AJ13" i="402"/>
  <c r="T13" i="402"/>
  <c r="S13" i="402"/>
  <c r="R13" i="402"/>
  <c r="G13" i="402"/>
  <c r="Q13" i="402" s="1"/>
  <c r="B13" i="402"/>
  <c r="P13" i="402" s="1"/>
  <c r="AJ17" i="401"/>
  <c r="T17" i="401"/>
  <c r="S17" i="401"/>
  <c r="R17" i="401"/>
  <c r="B17" i="401"/>
  <c r="P17" i="401" s="1"/>
  <c r="AJ14" i="401"/>
  <c r="T14" i="401"/>
  <c r="S14" i="401"/>
  <c r="R14" i="401"/>
  <c r="G14" i="401"/>
  <c r="Q14" i="401" s="1"/>
  <c r="B14" i="401"/>
  <c r="P14" i="401" s="1"/>
  <c r="AJ13" i="401"/>
  <c r="T13" i="401"/>
  <c r="S13" i="401"/>
  <c r="R13" i="401"/>
  <c r="G13" i="401"/>
  <c r="Q13" i="401" s="1"/>
  <c r="B13" i="401"/>
  <c r="P13" i="401" s="1"/>
  <c r="AJ14" i="400"/>
  <c r="T14" i="400"/>
  <c r="S14" i="400"/>
  <c r="R14" i="400"/>
  <c r="G14" i="400"/>
  <c r="Q14" i="400" s="1"/>
  <c r="B14" i="400"/>
  <c r="P14" i="400" s="1"/>
  <c r="AJ29" i="400"/>
  <c r="T29" i="400"/>
  <c r="S29" i="400"/>
  <c r="R29" i="400"/>
  <c r="G29" i="400"/>
  <c r="Q29" i="400" s="1"/>
  <c r="B29" i="400"/>
  <c r="P29" i="400" s="1"/>
  <c r="AJ28" i="400"/>
  <c r="T28" i="400"/>
  <c r="S28" i="400"/>
  <c r="R28" i="400"/>
  <c r="G28" i="400"/>
  <c r="Q28" i="400" s="1"/>
  <c r="B28" i="400"/>
  <c r="P28" i="400" s="1"/>
  <c r="AJ27" i="400"/>
  <c r="T27" i="400"/>
  <c r="S27" i="400"/>
  <c r="R27" i="400"/>
  <c r="G27" i="400"/>
  <c r="Q27" i="400" s="1"/>
  <c r="B27" i="400"/>
  <c r="P27" i="400" s="1"/>
  <c r="AJ26" i="400"/>
  <c r="T26" i="400"/>
  <c r="S26" i="400"/>
  <c r="R26" i="400"/>
  <c r="G26" i="400"/>
  <c r="Q26" i="400" s="1"/>
  <c r="B26" i="400"/>
  <c r="P26" i="400" s="1"/>
  <c r="AJ25" i="400"/>
  <c r="T25" i="400"/>
  <c r="S25" i="400"/>
  <c r="R25" i="400"/>
  <c r="G25" i="400"/>
  <c r="Q25" i="400" s="1"/>
  <c r="B25" i="400"/>
  <c r="P25" i="400" s="1"/>
  <c r="AJ24" i="400"/>
  <c r="T24" i="400"/>
  <c r="S24" i="400"/>
  <c r="R24" i="400"/>
  <c r="G24" i="400"/>
  <c r="Q24" i="400" s="1"/>
  <c r="B24" i="400"/>
  <c r="P24" i="400" s="1"/>
  <c r="AJ23" i="400"/>
  <c r="T23" i="400"/>
  <c r="S23" i="400"/>
  <c r="R23" i="400"/>
  <c r="G23" i="400"/>
  <c r="Q23" i="400" s="1"/>
  <c r="B23" i="400"/>
  <c r="P23" i="400" s="1"/>
  <c r="AJ22" i="400"/>
  <c r="T22" i="400"/>
  <c r="S22" i="400"/>
  <c r="R22" i="400"/>
  <c r="G22" i="400"/>
  <c r="Q22" i="400" s="1"/>
  <c r="B22" i="400"/>
  <c r="P22" i="400" s="1"/>
  <c r="AJ21" i="400"/>
  <c r="T21" i="400"/>
  <c r="S21" i="400"/>
  <c r="R21" i="400"/>
  <c r="G21" i="400"/>
  <c r="Q21" i="400" s="1"/>
  <c r="B21" i="400"/>
  <c r="P21" i="400" s="1"/>
  <c r="AJ20" i="400"/>
  <c r="T20" i="400"/>
  <c r="S20" i="400"/>
  <c r="R20" i="400"/>
  <c r="G20" i="400"/>
  <c r="Q20" i="400" s="1"/>
  <c r="B20" i="400"/>
  <c r="P20" i="400" s="1"/>
  <c r="AJ19" i="400"/>
  <c r="T19" i="400"/>
  <c r="S19" i="400"/>
  <c r="R19" i="400"/>
  <c r="G19" i="400"/>
  <c r="Q19" i="400" s="1"/>
  <c r="B19" i="400"/>
  <c r="P19" i="400"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3" i="400"/>
  <c r="T13" i="400"/>
  <c r="S13" i="400"/>
  <c r="R13" i="400"/>
  <c r="G13" i="400"/>
  <c r="Q13" i="400" s="1"/>
  <c r="B13" i="400"/>
  <c r="P13" i="400" s="1"/>
  <c r="G19" i="399"/>
  <c r="Q19" i="399" s="1"/>
  <c r="G20" i="399"/>
  <c r="Q20" i="399" s="1"/>
  <c r="G21" i="399"/>
  <c r="Q21" i="399" s="1"/>
  <c r="G22" i="399"/>
  <c r="Q22" i="399" s="1"/>
  <c r="G23" i="399"/>
  <c r="Q23" i="399" s="1"/>
  <c r="G24" i="399"/>
  <c r="Q24" i="399" s="1"/>
  <c r="G25" i="399"/>
  <c r="Q25" i="399" s="1"/>
  <c r="G26" i="399"/>
  <c r="Q26" i="399" s="1"/>
  <c r="G27" i="399"/>
  <c r="Q27" i="399" s="1"/>
  <c r="AJ20" i="399"/>
  <c r="T20" i="399"/>
  <c r="S20" i="399"/>
  <c r="R20" i="399"/>
  <c r="B20" i="399"/>
  <c r="P20" i="399" s="1"/>
  <c r="AJ19" i="399"/>
  <c r="T19" i="399"/>
  <c r="S19" i="399"/>
  <c r="R19" i="399"/>
  <c r="B19" i="399"/>
  <c r="P19" i="399" s="1"/>
  <c r="AJ25" i="399"/>
  <c r="T25" i="399"/>
  <c r="S25" i="399"/>
  <c r="R25" i="399"/>
  <c r="B25" i="399"/>
  <c r="P25" i="399" s="1"/>
  <c r="AJ24" i="399"/>
  <c r="T24" i="399"/>
  <c r="S24" i="399"/>
  <c r="R24" i="399"/>
  <c r="B24" i="399"/>
  <c r="P24" i="399" s="1"/>
  <c r="AJ23" i="399"/>
  <c r="T23" i="399"/>
  <c r="S23" i="399"/>
  <c r="R23" i="399"/>
  <c r="B23" i="399"/>
  <c r="P23" i="399" s="1"/>
  <c r="AJ22" i="399"/>
  <c r="T22" i="399"/>
  <c r="S22" i="399"/>
  <c r="R22" i="399"/>
  <c r="B22" i="399"/>
  <c r="P22" i="399" s="1"/>
  <c r="AJ21" i="399"/>
  <c r="T21" i="399"/>
  <c r="S21" i="399"/>
  <c r="R21" i="399"/>
  <c r="B21" i="399"/>
  <c r="P21" i="399" s="1"/>
  <c r="AJ28" i="399"/>
  <c r="T28" i="399"/>
  <c r="S28" i="399"/>
  <c r="R28" i="399"/>
  <c r="G28" i="399"/>
  <c r="Q28" i="399" s="1"/>
  <c r="B28" i="399"/>
  <c r="P28" i="399" s="1"/>
  <c r="AJ27" i="399"/>
  <c r="T27" i="399"/>
  <c r="S27" i="399"/>
  <c r="R27" i="399"/>
  <c r="B27" i="399"/>
  <c r="P27" i="399" s="1"/>
  <c r="AJ26" i="399"/>
  <c r="T26" i="399"/>
  <c r="S26" i="399"/>
  <c r="R26" i="399"/>
  <c r="B26" i="399"/>
  <c r="P26" i="399" s="1"/>
  <c r="AJ18" i="399"/>
  <c r="T18" i="399"/>
  <c r="S18" i="399"/>
  <c r="R18" i="399"/>
  <c r="G18" i="399"/>
  <c r="Q18" i="399" s="1"/>
  <c r="B18" i="399"/>
  <c r="P18" i="399" s="1"/>
  <c r="AJ17" i="399"/>
  <c r="T17" i="399"/>
  <c r="S17" i="399"/>
  <c r="R17" i="399"/>
  <c r="G17" i="399"/>
  <c r="Q17" i="399" s="1"/>
  <c r="B17" i="399"/>
  <c r="P17" i="399" s="1"/>
  <c r="AJ16" i="399"/>
  <c r="T16" i="399"/>
  <c r="S16" i="399"/>
  <c r="R16" i="399"/>
  <c r="G16" i="399"/>
  <c r="Q16" i="399" s="1"/>
  <c r="B16" i="399"/>
  <c r="P16" i="399" s="1"/>
  <c r="AJ15" i="399"/>
  <c r="T15" i="399"/>
  <c r="S15" i="399"/>
  <c r="R15" i="399"/>
  <c r="G15" i="399"/>
  <c r="Q15" i="399" s="1"/>
  <c r="B15" i="399"/>
  <c r="P15" i="399" s="1"/>
  <c r="AJ14" i="399"/>
  <c r="T14" i="399"/>
  <c r="S14" i="399"/>
  <c r="R14" i="399"/>
  <c r="G14" i="399"/>
  <c r="Q14" i="399" s="1"/>
  <c r="B14" i="399"/>
  <c r="P14" i="399" s="1"/>
  <c r="AJ13" i="399"/>
  <c r="T13" i="399"/>
  <c r="S13" i="399"/>
  <c r="R13" i="399"/>
  <c r="G13" i="399"/>
  <c r="Q13" i="399" s="1"/>
  <c r="B13" i="399"/>
  <c r="P13" i="399" s="1"/>
  <c r="B223" i="25"/>
  <c r="O223" i="25" s="1"/>
  <c r="BK223" i="25" s="1"/>
  <c r="A223" i="25"/>
  <c r="O222" i="25"/>
  <c r="BK222" i="25" s="1"/>
  <c r="A222" i="25"/>
  <c r="B221" i="25"/>
  <c r="O221" i="25" s="1"/>
  <c r="BK221" i="25" s="1"/>
  <c r="A221" i="25"/>
  <c r="B220" i="25"/>
  <c r="O220" i="25" s="1"/>
  <c r="BK220" i="25" s="1"/>
  <c r="A220" i="25"/>
  <c r="AJ22" i="398"/>
  <c r="T22" i="398"/>
  <c r="S22" i="398"/>
  <c r="R22" i="398"/>
  <c r="G22" i="398"/>
  <c r="Q22" i="398" s="1"/>
  <c r="B22" i="398"/>
  <c r="P22" i="398" s="1"/>
  <c r="AJ21" i="398"/>
  <c r="T21" i="398"/>
  <c r="S21" i="398"/>
  <c r="R21" i="398"/>
  <c r="G21" i="398"/>
  <c r="Q21" i="398" s="1"/>
  <c r="B21" i="398"/>
  <c r="P21" i="398" s="1"/>
  <c r="AJ19" i="398"/>
  <c r="T19" i="398"/>
  <c r="S19" i="398"/>
  <c r="R19" i="398"/>
  <c r="Q19" i="398"/>
  <c r="B19" i="398"/>
  <c r="P19" i="398" s="1"/>
  <c r="AJ18" i="398"/>
  <c r="T18" i="398"/>
  <c r="S18" i="398"/>
  <c r="R18" i="398"/>
  <c r="G18" i="398"/>
  <c r="Q18" i="398" s="1"/>
  <c r="B18" i="398"/>
  <c r="P18" i="398" s="1"/>
  <c r="AJ17" i="398"/>
  <c r="T17" i="398"/>
  <c r="S17" i="398"/>
  <c r="R17" i="398"/>
  <c r="G17" i="398"/>
  <c r="Q17" i="398" s="1"/>
  <c r="B17" i="398"/>
  <c r="P17" i="398" s="1"/>
  <c r="AJ16" i="398"/>
  <c r="T16" i="398"/>
  <c r="S16" i="398"/>
  <c r="R16" i="398"/>
  <c r="G16" i="398"/>
  <c r="Q16" i="398" s="1"/>
  <c r="B16" i="398"/>
  <c r="P16" i="398" s="1"/>
  <c r="AJ15" i="398"/>
  <c r="T15" i="398"/>
  <c r="S15" i="398"/>
  <c r="R15" i="398"/>
  <c r="G15" i="398"/>
  <c r="Q15" i="398" s="1"/>
  <c r="B15" i="398"/>
  <c r="P15" i="398" s="1"/>
  <c r="AJ14" i="398"/>
  <c r="T14" i="398"/>
  <c r="S14" i="398"/>
  <c r="R14" i="398"/>
  <c r="G14" i="398"/>
  <c r="Q14" i="398" s="1"/>
  <c r="B14" i="398"/>
  <c r="P14" i="398" s="1"/>
  <c r="AJ13" i="398"/>
  <c r="T13" i="398"/>
  <c r="S13" i="398"/>
  <c r="R13" i="398"/>
  <c r="G13" i="398"/>
  <c r="Q13" i="398" s="1"/>
  <c r="B13" i="398"/>
  <c r="P13" i="398" s="1"/>
  <c r="AJ22" i="397"/>
  <c r="T22" i="397"/>
  <c r="S22" i="397"/>
  <c r="R22" i="397"/>
  <c r="G22" i="397"/>
  <c r="Q22" i="397" s="1"/>
  <c r="B22" i="397"/>
  <c r="P22" i="397" s="1"/>
  <c r="AJ21" i="397"/>
  <c r="T21" i="397"/>
  <c r="S21" i="397"/>
  <c r="R21" i="397"/>
  <c r="G21" i="397"/>
  <c r="Q21" i="397" s="1"/>
  <c r="B21" i="397"/>
  <c r="P21" i="397" s="1"/>
  <c r="AJ19" i="397"/>
  <c r="T19" i="397"/>
  <c r="S19" i="397"/>
  <c r="R19" i="397"/>
  <c r="G19" i="397"/>
  <c r="Q19" i="397" s="1"/>
  <c r="B19" i="397"/>
  <c r="P19" i="397" s="1"/>
  <c r="AJ18" i="397"/>
  <c r="T18" i="397"/>
  <c r="S18" i="397"/>
  <c r="R18" i="397"/>
  <c r="G18" i="397"/>
  <c r="Q18" i="397" s="1"/>
  <c r="B18" i="397"/>
  <c r="P18" i="397" s="1"/>
  <c r="AJ17" i="397"/>
  <c r="T17" i="397"/>
  <c r="S17" i="397"/>
  <c r="R17" i="397"/>
  <c r="G17" i="397"/>
  <c r="Q17" i="397" s="1"/>
  <c r="B17" i="397"/>
  <c r="P17" i="397" s="1"/>
  <c r="AJ16" i="397"/>
  <c r="T16" i="397"/>
  <c r="S16" i="397"/>
  <c r="R16" i="397"/>
  <c r="G16" i="397"/>
  <c r="Q16" i="397" s="1"/>
  <c r="B16" i="397"/>
  <c r="P16" i="397" s="1"/>
  <c r="AJ15" i="397"/>
  <c r="T15" i="397"/>
  <c r="S15" i="397"/>
  <c r="R15" i="397"/>
  <c r="G15" i="397"/>
  <c r="Q15" i="397" s="1"/>
  <c r="B15" i="397"/>
  <c r="P15" i="397" s="1"/>
  <c r="AJ14" i="397"/>
  <c r="T14" i="397"/>
  <c r="S14" i="397"/>
  <c r="R14" i="397"/>
  <c r="G14" i="397"/>
  <c r="Q14" i="397" s="1"/>
  <c r="B14" i="397"/>
  <c r="P14" i="397" s="1"/>
  <c r="AJ13" i="397"/>
  <c r="T13" i="397"/>
  <c r="S13" i="397"/>
  <c r="R13" i="397"/>
  <c r="G13" i="397"/>
  <c r="Q13" i="397" s="1"/>
  <c r="B13" i="397"/>
  <c r="P13" i="397" s="1"/>
  <c r="AJ19" i="396"/>
  <c r="T19" i="396"/>
  <c r="S19" i="396"/>
  <c r="R19" i="396"/>
  <c r="G19" i="396"/>
  <c r="Q19" i="396" s="1"/>
  <c r="B19" i="396"/>
  <c r="P19" i="396" s="1"/>
  <c r="AJ18" i="396"/>
  <c r="T18" i="396"/>
  <c r="S18" i="396"/>
  <c r="R18" i="396"/>
  <c r="G18" i="396"/>
  <c r="Q18" i="396" s="1"/>
  <c r="B18" i="396"/>
  <c r="P18" i="396" s="1"/>
  <c r="AJ17" i="396"/>
  <c r="T17" i="396"/>
  <c r="S17" i="396"/>
  <c r="R17" i="396"/>
  <c r="G17" i="396"/>
  <c r="Q17" i="396" s="1"/>
  <c r="B17" i="396"/>
  <c r="P17" i="396" s="1"/>
  <c r="AJ16" i="396"/>
  <c r="T16" i="396"/>
  <c r="S16" i="396"/>
  <c r="R16" i="396"/>
  <c r="G16" i="396"/>
  <c r="Q16" i="396" s="1"/>
  <c r="B16" i="396"/>
  <c r="P16" i="396" s="1"/>
  <c r="AJ15" i="396"/>
  <c r="T15" i="396"/>
  <c r="S15" i="396"/>
  <c r="R15" i="396"/>
  <c r="G15" i="396"/>
  <c r="Q15" i="396" s="1"/>
  <c r="B15" i="396"/>
  <c r="P15" i="396" s="1"/>
  <c r="AJ14" i="396"/>
  <c r="T14" i="396"/>
  <c r="S14" i="396"/>
  <c r="R14" i="396"/>
  <c r="G14" i="396"/>
  <c r="Q14" i="396" s="1"/>
  <c r="B14" i="396"/>
  <c r="P14" i="396" s="1"/>
  <c r="AJ22" i="396"/>
  <c r="T22" i="396"/>
  <c r="S22" i="396"/>
  <c r="R22" i="396"/>
  <c r="G22" i="396"/>
  <c r="Q22" i="396" s="1"/>
  <c r="B22" i="396"/>
  <c r="P22" i="396" s="1"/>
  <c r="AJ21" i="396"/>
  <c r="T21" i="396"/>
  <c r="S21" i="396"/>
  <c r="R21" i="396"/>
  <c r="G21" i="396"/>
  <c r="Q21" i="396" s="1"/>
  <c r="B21" i="396"/>
  <c r="P21" i="396" s="1"/>
  <c r="AJ13" i="396"/>
  <c r="T13" i="396"/>
  <c r="S13" i="396"/>
  <c r="R13" i="396"/>
  <c r="G13" i="396"/>
  <c r="Q13" i="396" s="1"/>
  <c r="B13" i="396"/>
  <c r="P13" i="396" s="1"/>
  <c r="B219" i="25"/>
  <c r="O219" i="25" s="1"/>
  <c r="BK219" i="25" s="1"/>
  <c r="A219" i="25"/>
  <c r="B218" i="25"/>
  <c r="O218" i="25" s="1"/>
  <c r="BK218" i="25" s="1"/>
  <c r="A218" i="25"/>
  <c r="B217" i="25"/>
  <c r="O217" i="25" s="1"/>
  <c r="BK217" i="25" s="1"/>
  <c r="A217" i="25"/>
  <c r="AJ15" i="395"/>
  <c r="T15" i="395"/>
  <c r="S15" i="395"/>
  <c r="R15" i="395"/>
  <c r="G15" i="395"/>
  <c r="Q15" i="395" s="1"/>
  <c r="B15" i="395"/>
  <c r="P15" i="395" s="1"/>
  <c r="AJ14" i="395"/>
  <c r="T14" i="395"/>
  <c r="S14" i="395"/>
  <c r="R14" i="395"/>
  <c r="G14" i="395"/>
  <c r="Q14" i="395" s="1"/>
  <c r="B14" i="395"/>
  <c r="P14" i="395" s="1"/>
  <c r="AJ13" i="395"/>
  <c r="T13" i="395"/>
  <c r="S13" i="395"/>
  <c r="R13" i="395"/>
  <c r="G13" i="395"/>
  <c r="Q13" i="395" s="1"/>
  <c r="B13" i="395"/>
  <c r="P13" i="395" s="1"/>
  <c r="B216" i="25"/>
  <c r="O216" i="25" s="1"/>
  <c r="BK216" i="25" s="1"/>
  <c r="A216" i="25"/>
  <c r="AJ16" i="394"/>
  <c r="T16" i="394"/>
  <c r="S16" i="394"/>
  <c r="R16" i="394"/>
  <c r="G16" i="394"/>
  <c r="Q16" i="394" s="1"/>
  <c r="B16" i="394"/>
  <c r="P16" i="394" s="1"/>
  <c r="AJ15" i="394"/>
  <c r="T15" i="394"/>
  <c r="S15" i="394"/>
  <c r="R15" i="394"/>
  <c r="G15" i="394"/>
  <c r="Q15" i="394" s="1"/>
  <c r="B15" i="394"/>
  <c r="P15" i="394" s="1"/>
  <c r="AJ14" i="394"/>
  <c r="T14" i="394"/>
  <c r="S14" i="394"/>
  <c r="R14" i="394"/>
  <c r="G14" i="394"/>
  <c r="Q14" i="394" s="1"/>
  <c r="B14" i="394"/>
  <c r="P14" i="394" s="1"/>
  <c r="AJ18" i="394"/>
  <c r="T18" i="394"/>
  <c r="S18" i="394"/>
  <c r="R18" i="394"/>
  <c r="G18" i="394"/>
  <c r="Q18" i="394" s="1"/>
  <c r="B18" i="394"/>
  <c r="P18" i="394" s="1"/>
  <c r="AJ17" i="394"/>
  <c r="T17" i="394"/>
  <c r="S17" i="394"/>
  <c r="R17" i="394"/>
  <c r="G17" i="394"/>
  <c r="Q17" i="394" s="1"/>
  <c r="B17" i="394"/>
  <c r="P17" i="394" s="1"/>
  <c r="AJ13" i="394"/>
  <c r="T13" i="394"/>
  <c r="S13" i="394"/>
  <c r="R13" i="394"/>
  <c r="G13" i="394"/>
  <c r="Q13" i="394" s="1"/>
  <c r="B13" i="394"/>
  <c r="P13" i="394" s="1"/>
  <c r="B215" i="25"/>
  <c r="O215" i="25" s="1"/>
  <c r="BK215" i="25" s="1"/>
  <c r="A215" i="25"/>
  <c r="AJ14" i="393"/>
  <c r="T14" i="393"/>
  <c r="S14" i="393"/>
  <c r="R14" i="393"/>
  <c r="G14" i="393"/>
  <c r="Q14" i="393" s="1"/>
  <c r="B14" i="393"/>
  <c r="P14" i="393" s="1"/>
  <c r="AJ13" i="393"/>
  <c r="T13" i="393"/>
  <c r="S13" i="393"/>
  <c r="R13" i="393"/>
  <c r="G13" i="393"/>
  <c r="Q13" i="393" s="1"/>
  <c r="B13" i="393"/>
  <c r="P13" i="393" s="1"/>
  <c r="AJ14" i="392"/>
  <c r="T14" i="392"/>
  <c r="S14" i="392"/>
  <c r="R14" i="392"/>
  <c r="G14" i="392"/>
  <c r="Q14" i="392" s="1"/>
  <c r="B14" i="392"/>
  <c r="P14" i="392" s="1"/>
  <c r="AJ13" i="392"/>
  <c r="T13" i="392"/>
  <c r="S13" i="392"/>
  <c r="R13" i="392"/>
  <c r="G13" i="392"/>
  <c r="Q13" i="392" s="1"/>
  <c r="B13" i="392"/>
  <c r="P13" i="392" s="1"/>
  <c r="B214" i="25"/>
  <c r="O214" i="25" s="1"/>
  <c r="BK214" i="25" s="1"/>
  <c r="A214" i="25"/>
  <c r="B213" i="25"/>
  <c r="O213" i="25" s="1"/>
  <c r="BK213" i="25" s="1"/>
  <c r="A213" i="25"/>
  <c r="AJ14" i="391"/>
  <c r="T14" i="391"/>
  <c r="S14" i="391"/>
  <c r="R14" i="391"/>
  <c r="G14" i="391"/>
  <c r="Q14" i="391" s="1"/>
  <c r="B14" i="391"/>
  <c r="P14" i="391" s="1"/>
  <c r="AJ13" i="391"/>
  <c r="T13" i="391"/>
  <c r="S13" i="391"/>
  <c r="R13" i="391"/>
  <c r="G13" i="391"/>
  <c r="Q13" i="391" s="1"/>
  <c r="B13" i="391"/>
  <c r="P13" i="391" s="1"/>
  <c r="B212" i="25"/>
  <c r="O212" i="25" s="1"/>
  <c r="BK212" i="25" s="1"/>
  <c r="A212" i="25"/>
  <c r="AJ15" i="390"/>
  <c r="T15" i="390"/>
  <c r="S15" i="390"/>
  <c r="R15" i="390"/>
  <c r="G15" i="390"/>
  <c r="Q15" i="390" s="1"/>
  <c r="B15" i="390"/>
  <c r="P15" i="390" s="1"/>
  <c r="AJ14" i="390"/>
  <c r="T14" i="390"/>
  <c r="S14" i="390"/>
  <c r="R14" i="390"/>
  <c r="G14" i="390"/>
  <c r="Q14" i="390" s="1"/>
  <c r="B14" i="390"/>
  <c r="P14" i="390" s="1"/>
  <c r="AJ13" i="390"/>
  <c r="T13" i="390"/>
  <c r="S13" i="390"/>
  <c r="R13" i="390"/>
  <c r="G13" i="390"/>
  <c r="Q13" i="390" s="1"/>
  <c r="B13" i="390"/>
  <c r="P13" i="390" s="1"/>
  <c r="B211" i="25"/>
  <c r="A211" i="25"/>
  <c r="AJ15" i="389"/>
  <c r="T15" i="389"/>
  <c r="S15" i="389"/>
  <c r="R15" i="389"/>
  <c r="G15" i="389"/>
  <c r="Q15" i="389" s="1"/>
  <c r="B15" i="389"/>
  <c r="P15" i="389" s="1"/>
  <c r="AJ14" i="389"/>
  <c r="T14" i="389"/>
  <c r="S14" i="389"/>
  <c r="R14" i="389"/>
  <c r="G14" i="389"/>
  <c r="Q14" i="389" s="1"/>
  <c r="B14" i="389"/>
  <c r="P14" i="389" s="1"/>
  <c r="AJ13" i="389"/>
  <c r="T13" i="389"/>
  <c r="S13" i="389"/>
  <c r="R13" i="389"/>
  <c r="G13" i="389"/>
  <c r="Q13" i="389" s="1"/>
  <c r="B13" i="389"/>
  <c r="P13" i="389" s="1"/>
  <c r="B210" i="25"/>
  <c r="O210" i="25" s="1"/>
  <c r="BK210" i="25" s="1"/>
  <c r="A210" i="25"/>
  <c r="AJ15" i="388"/>
  <c r="T15" i="388"/>
  <c r="S15" i="388"/>
  <c r="R15" i="388"/>
  <c r="G15" i="388"/>
  <c r="Q15" i="388" s="1"/>
  <c r="B15" i="388"/>
  <c r="P15" i="388" s="1"/>
  <c r="AJ14" i="388"/>
  <c r="T14" i="388"/>
  <c r="S14" i="388"/>
  <c r="R14" i="388"/>
  <c r="G14" i="388"/>
  <c r="Q14" i="388" s="1"/>
  <c r="B14" i="388"/>
  <c r="P14" i="388" s="1"/>
  <c r="AJ13" i="388"/>
  <c r="T13" i="388"/>
  <c r="S13" i="388"/>
  <c r="R13" i="388"/>
  <c r="G13" i="388"/>
  <c r="Q13" i="388" s="1"/>
  <c r="B13" i="388"/>
  <c r="P13" i="388" s="1"/>
  <c r="B209" i="25"/>
  <c r="O209" i="25" s="1"/>
  <c r="BK209" i="25" s="1"/>
  <c r="A209" i="25"/>
  <c r="AJ17" i="387"/>
  <c r="T17" i="387"/>
  <c r="S17" i="387"/>
  <c r="R17" i="387"/>
  <c r="G17" i="387"/>
  <c r="Q17" i="387" s="1"/>
  <c r="B17" i="387"/>
  <c r="P17" i="387" s="1"/>
  <c r="AJ16" i="387"/>
  <c r="T16" i="387"/>
  <c r="S16" i="387"/>
  <c r="R16" i="387"/>
  <c r="G16" i="387"/>
  <c r="Q16" i="387" s="1"/>
  <c r="B16" i="387"/>
  <c r="P16" i="387" s="1"/>
  <c r="AJ15" i="387"/>
  <c r="T15" i="387"/>
  <c r="S15" i="387"/>
  <c r="R15" i="387"/>
  <c r="G15" i="387"/>
  <c r="Q15" i="387" s="1"/>
  <c r="B15" i="387"/>
  <c r="P15" i="387" s="1"/>
  <c r="AJ21" i="387"/>
  <c r="T21" i="387"/>
  <c r="S21" i="387"/>
  <c r="R21" i="387"/>
  <c r="G21" i="387"/>
  <c r="Q21" i="387" s="1"/>
  <c r="B21" i="387"/>
  <c r="P21" i="387" s="1"/>
  <c r="AJ18" i="387"/>
  <c r="T18" i="387"/>
  <c r="S18" i="387"/>
  <c r="R18" i="387"/>
  <c r="G18" i="387"/>
  <c r="Q18" i="387" s="1"/>
  <c r="B18" i="387"/>
  <c r="P18" i="387" s="1"/>
  <c r="AJ14" i="387"/>
  <c r="T14" i="387"/>
  <c r="S14" i="387"/>
  <c r="R14" i="387"/>
  <c r="G14" i="387"/>
  <c r="Q14" i="387" s="1"/>
  <c r="B14" i="387"/>
  <c r="P14" i="387" s="1"/>
  <c r="AJ13" i="387"/>
  <c r="T13" i="387"/>
  <c r="S13" i="387"/>
  <c r="R13" i="387"/>
  <c r="G13" i="387"/>
  <c r="Q13" i="387" s="1"/>
  <c r="B13" i="387"/>
  <c r="P13" i="387"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AM218" i="25"/>
  <c r="AM214" i="25"/>
  <c r="AM211" i="25"/>
  <c r="AM209" i="25"/>
  <c r="AM213" i="25"/>
  <c r="AM212" i="25"/>
  <c r="AM222" i="25"/>
  <c r="AM219" i="25"/>
  <c r="AM223" i="25"/>
  <c r="AM216" i="25"/>
  <c r="AM215" i="25"/>
  <c r="AM220" i="25"/>
  <c r="AM217" i="25"/>
  <c r="AM221" i="25"/>
  <c r="AM210" i="25"/>
  <c r="O211" i="25" l="1"/>
  <c r="BK211" i="25" s="1"/>
  <c r="C283" i="385"/>
  <c r="W283" i="385" s="1"/>
  <c r="J295" i="385"/>
  <c r="J292" i="385"/>
  <c r="J289" i="385"/>
  <c r="T286" i="385"/>
  <c r="E286" i="385"/>
  <c r="C284" i="385"/>
  <c r="W284" i="385" s="1"/>
  <c r="W282" i="385"/>
  <c r="J271" i="385"/>
  <c r="C302" i="385" l="1"/>
  <c r="W302" i="385" s="1"/>
  <c r="E307" i="385"/>
  <c r="T304" i="385"/>
  <c r="E304" i="385"/>
  <c r="C301" i="385"/>
  <c r="W301" i="385" s="1"/>
  <c r="W300" i="385"/>
  <c r="C265" i="385"/>
  <c r="W265" i="385" s="1"/>
  <c r="C266" i="385"/>
  <c r="W266" i="385" s="1"/>
  <c r="J277" i="385"/>
  <c r="J274" i="385"/>
  <c r="T268" i="385"/>
  <c r="E268" i="385"/>
  <c r="W264" i="385"/>
  <c r="C251" i="385"/>
  <c r="W251" i="385" s="1"/>
  <c r="J259" i="385"/>
  <c r="J256" i="385"/>
  <c r="T253" i="385"/>
  <c r="E253" i="385"/>
  <c r="W250" i="385"/>
  <c r="W249" i="385"/>
  <c r="J441" i="385"/>
  <c r="J438" i="385"/>
  <c r="E325" i="385"/>
  <c r="E334" i="385"/>
  <c r="E343" i="385"/>
  <c r="E352" i="385"/>
  <c r="E361" i="385"/>
  <c r="E370" i="385"/>
  <c r="E379" i="385"/>
  <c r="E388" i="385"/>
  <c r="E397" i="385"/>
  <c r="E406" i="385"/>
  <c r="E415" i="385"/>
  <c r="E424" i="385"/>
  <c r="E427" i="385"/>
  <c r="E435" i="385"/>
  <c r="T435" i="385"/>
  <c r="T424" i="385"/>
  <c r="T415" i="385"/>
  <c r="T406" i="385"/>
  <c r="T397" i="385"/>
  <c r="T388" i="385"/>
  <c r="T379" i="385"/>
  <c r="T370" i="385"/>
  <c r="T361" i="385"/>
  <c r="T352" i="385"/>
  <c r="T343" i="385"/>
  <c r="T334" i="385"/>
  <c r="T325" i="385"/>
  <c r="T316" i="385"/>
  <c r="E316" i="385"/>
  <c r="T241" i="385"/>
  <c r="E244" i="385"/>
  <c r="E241" i="385"/>
  <c r="J232" i="385"/>
  <c r="J229" i="385"/>
  <c r="J226" i="385"/>
  <c r="J223" i="385"/>
  <c r="J220" i="385"/>
  <c r="T208" i="385"/>
  <c r="J217" i="385"/>
  <c r="J214" i="385"/>
  <c r="E211" i="385"/>
  <c r="E208" i="385"/>
  <c r="J199" i="385"/>
  <c r="J196" i="385"/>
  <c r="T178" i="385"/>
  <c r="J190" i="385"/>
  <c r="J187" i="385"/>
  <c r="J184" i="385"/>
  <c r="J181" i="385"/>
  <c r="E178" i="385"/>
  <c r="T160" i="385"/>
  <c r="J169" i="385"/>
  <c r="J166" i="385"/>
  <c r="J163" i="385"/>
  <c r="E160" i="385"/>
  <c r="C140" i="385"/>
  <c r="W140" i="385" s="1"/>
  <c r="T142" i="385"/>
  <c r="J151" i="385"/>
  <c r="J148" i="385"/>
  <c r="J145" i="385"/>
  <c r="E142" i="385"/>
  <c r="T130" i="385"/>
  <c r="E133" i="385"/>
  <c r="E130" i="385"/>
  <c r="T115" i="385"/>
  <c r="J121" i="385"/>
  <c r="J118" i="385"/>
  <c r="E115" i="385"/>
  <c r="T100" i="385"/>
  <c r="J106" i="385"/>
  <c r="J103" i="385"/>
  <c r="E100" i="385"/>
  <c r="T88" i="385"/>
  <c r="E91" i="385"/>
  <c r="E88" i="385"/>
  <c r="T73" i="385"/>
  <c r="J79" i="385"/>
  <c r="J76" i="385"/>
  <c r="E73" i="385"/>
  <c r="T55" i="385"/>
  <c r="J64" i="385"/>
  <c r="J61" i="385"/>
  <c r="E58" i="385"/>
  <c r="E55" i="385"/>
  <c r="C433" i="385"/>
  <c r="W433" i="385" s="1"/>
  <c r="C432" i="385"/>
  <c r="W432" i="385" s="1"/>
  <c r="W431" i="385"/>
  <c r="C422" i="385"/>
  <c r="W422" i="385" s="1"/>
  <c r="C421" i="385"/>
  <c r="W421" i="385" s="1"/>
  <c r="W420" i="385"/>
  <c r="C413" i="385"/>
  <c r="W413" i="385" s="1"/>
  <c r="C412" i="385"/>
  <c r="W412" i="385" s="1"/>
  <c r="W411" i="385"/>
  <c r="C404" i="385"/>
  <c r="W404" i="385" s="1"/>
  <c r="C403" i="385"/>
  <c r="W403" i="385" s="1"/>
  <c r="W402" i="385"/>
  <c r="C395" i="385"/>
  <c r="W395" i="385" s="1"/>
  <c r="C394" i="385"/>
  <c r="W394" i="385" s="1"/>
  <c r="W393" i="385"/>
  <c r="C386" i="385"/>
  <c r="W386" i="385" s="1"/>
  <c r="C385" i="385"/>
  <c r="W385" i="385" s="1"/>
  <c r="W384" i="385"/>
  <c r="C377" i="385"/>
  <c r="W377" i="385" s="1"/>
  <c r="C376" i="385"/>
  <c r="W376" i="385" s="1"/>
  <c r="W375" i="385"/>
  <c r="C368" i="385"/>
  <c r="W368" i="385" s="1"/>
  <c r="C367" i="385"/>
  <c r="W367" i="385" s="1"/>
  <c r="W366" i="385"/>
  <c r="C359" i="385"/>
  <c r="W359" i="385" s="1"/>
  <c r="C358" i="385"/>
  <c r="W358" i="385" s="1"/>
  <c r="W357" i="385"/>
  <c r="C350" i="385"/>
  <c r="W350" i="385" s="1"/>
  <c r="C349" i="385"/>
  <c r="W349" i="385" s="1"/>
  <c r="W348" i="385"/>
  <c r="C341" i="385"/>
  <c r="W341" i="385" s="1"/>
  <c r="C340" i="385"/>
  <c r="W340" i="385" s="1"/>
  <c r="W339" i="385"/>
  <c r="C332" i="385"/>
  <c r="W332" i="385" s="1"/>
  <c r="C331" i="385"/>
  <c r="W331" i="385" s="1"/>
  <c r="W330" i="385"/>
  <c r="C323" i="385"/>
  <c r="W323" i="385" s="1"/>
  <c r="C322" i="385"/>
  <c r="W322" i="385" s="1"/>
  <c r="W321" i="385"/>
  <c r="C314" i="385"/>
  <c r="W314" i="385" s="1"/>
  <c r="C313" i="385"/>
  <c r="W313" i="385" s="1"/>
  <c r="W312" i="385"/>
  <c r="C239" i="385"/>
  <c r="W239" i="385" s="1"/>
  <c r="C238" i="385"/>
  <c r="W238" i="385" s="1"/>
  <c r="W237" i="385"/>
  <c r="C206" i="385"/>
  <c r="W206" i="385" s="1"/>
  <c r="C205" i="385"/>
  <c r="W205" i="385" s="1"/>
  <c r="W204" i="385"/>
  <c r="C176" i="385"/>
  <c r="W176" i="385" s="1"/>
  <c r="C175" i="385"/>
  <c r="W175" i="385" s="1"/>
  <c r="W174" i="385"/>
  <c r="C158" i="385"/>
  <c r="W158" i="385" s="1"/>
  <c r="C157" i="385"/>
  <c r="W157" i="385" s="1"/>
  <c r="W156" i="385"/>
  <c r="C139" i="385"/>
  <c r="W139" i="385" s="1"/>
  <c r="W138" i="385"/>
  <c r="C128" i="385"/>
  <c r="W128" i="385" s="1"/>
  <c r="C127" i="385"/>
  <c r="W127" i="385" s="1"/>
  <c r="W126" i="385"/>
  <c r="C113" i="385"/>
  <c r="W113" i="385" s="1"/>
  <c r="C112" i="385"/>
  <c r="W112" i="385" s="1"/>
  <c r="W111" i="385"/>
  <c r="C98" i="385"/>
  <c r="W98" i="385" s="1"/>
  <c r="C97" i="385"/>
  <c r="W97" i="385" s="1"/>
  <c r="W96" i="385"/>
  <c r="C86" i="385"/>
  <c r="W86" i="385" s="1"/>
  <c r="C85" i="385"/>
  <c r="W85" i="385" s="1"/>
  <c r="W84" i="385"/>
  <c r="C71" i="385"/>
  <c r="W71" i="385" s="1"/>
  <c r="C70" i="385"/>
  <c r="W70" i="385" s="1"/>
  <c r="W69" i="385"/>
  <c r="C53" i="385"/>
  <c r="W53" i="385" s="1"/>
  <c r="C52" i="385"/>
  <c r="W52" i="385" s="1"/>
  <c r="W51" i="385"/>
  <c r="T19" i="385" l="1"/>
  <c r="J46" i="385"/>
  <c r="J43" i="385"/>
  <c r="J34" i="385"/>
  <c r="E31" i="385"/>
  <c r="E28" i="385"/>
  <c r="J25" i="385"/>
  <c r="E22" i="385"/>
  <c r="E19" i="385"/>
  <c r="C16" i="385"/>
  <c r="W16" i="385" s="1"/>
  <c r="C5" i="385"/>
  <c r="W5" i="385" s="1"/>
  <c r="C4" i="385"/>
  <c r="W4" i="385" s="1"/>
  <c r="W17" i="385"/>
  <c r="W15" i="385"/>
  <c r="T7" i="385"/>
  <c r="E7" i="385"/>
  <c r="W3" i="385"/>
  <c r="R475" i="178" l="1"/>
  <c r="C473" i="178" s="1"/>
  <c r="R463" i="178"/>
  <c r="C461" i="178" s="1"/>
  <c r="R451" i="178"/>
  <c r="C449" i="178" s="1"/>
  <c r="E475" i="178"/>
  <c r="E463" i="178"/>
  <c r="E451" i="178"/>
  <c r="E439" i="178"/>
  <c r="R439" i="178"/>
  <c r="C437" i="178" s="1"/>
  <c r="C448" i="178" l="1"/>
  <c r="W448" i="178" s="1"/>
  <c r="W437" i="178"/>
  <c r="E478" i="178"/>
  <c r="T475" i="178"/>
  <c r="W473" i="178"/>
  <c r="C472" i="178"/>
  <c r="W472" i="178" s="1"/>
  <c r="W471" i="178"/>
  <c r="E466" i="178"/>
  <c r="T463" i="178"/>
  <c r="W461" i="178"/>
  <c r="C460" i="178"/>
  <c r="W460" i="178" s="1"/>
  <c r="W459" i="178"/>
  <c r="E454" i="178"/>
  <c r="T451" i="178"/>
  <c r="W449" i="178"/>
  <c r="W447" i="178"/>
  <c r="E442" i="178"/>
  <c r="T439" i="178"/>
  <c r="W435" i="178"/>
  <c r="AJ26" i="384"/>
  <c r="T26" i="384"/>
  <c r="S26" i="384"/>
  <c r="R26" i="384"/>
  <c r="G26" i="384"/>
  <c r="Q26" i="384" s="1"/>
  <c r="B26" i="384"/>
  <c r="P26" i="384" s="1"/>
  <c r="AJ25" i="384"/>
  <c r="T25" i="384"/>
  <c r="S25" i="384"/>
  <c r="R25" i="384"/>
  <c r="G25" i="384"/>
  <c r="Q25" i="384" s="1"/>
  <c r="B25" i="384"/>
  <c r="P25" i="384" s="1"/>
  <c r="AJ24" i="384"/>
  <c r="T24" i="384"/>
  <c r="S24" i="384"/>
  <c r="R24" i="384"/>
  <c r="G24" i="384"/>
  <c r="Q24" i="384" s="1"/>
  <c r="B24" i="384"/>
  <c r="P24" i="384" s="1"/>
  <c r="AJ23" i="384"/>
  <c r="T23" i="384"/>
  <c r="S23" i="384"/>
  <c r="R23" i="384"/>
  <c r="G23" i="384"/>
  <c r="Q23" i="384" s="1"/>
  <c r="B23" i="384"/>
  <c r="P23" i="384" s="1"/>
  <c r="AJ22" i="384"/>
  <c r="T22" i="384"/>
  <c r="S22" i="384"/>
  <c r="R22" i="384"/>
  <c r="G22" i="384"/>
  <c r="Q22" i="384" s="1"/>
  <c r="B22" i="384"/>
  <c r="P22" i="384" s="1"/>
  <c r="AJ21" i="384"/>
  <c r="T21" i="384"/>
  <c r="S21" i="384"/>
  <c r="R21" i="384"/>
  <c r="G21" i="384"/>
  <c r="Q21" i="384" s="1"/>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G18" i="384"/>
  <c r="Q18" i="384" s="1"/>
  <c r="B18" i="384"/>
  <c r="P18" i="384" s="1"/>
  <c r="AJ17" i="384"/>
  <c r="T17" i="384"/>
  <c r="S17" i="384"/>
  <c r="G17" i="384"/>
  <c r="R17" i="384" s="1"/>
  <c r="B17" i="384"/>
  <c r="P17" i="384" s="1"/>
  <c r="AJ16" i="384"/>
  <c r="T16" i="384"/>
  <c r="S16" i="384"/>
  <c r="R16" i="384"/>
  <c r="G16" i="384"/>
  <c r="Q16" i="384" s="1"/>
  <c r="B16" i="384"/>
  <c r="P16" i="384" s="1"/>
  <c r="AJ15" i="384"/>
  <c r="T15" i="384"/>
  <c r="S15" i="384"/>
  <c r="R15" i="384"/>
  <c r="G15" i="384"/>
  <c r="Q15" i="384" s="1"/>
  <c r="B15" i="384"/>
  <c r="P15" i="384" s="1"/>
  <c r="AJ14" i="384"/>
  <c r="T14" i="384"/>
  <c r="S14" i="384"/>
  <c r="R14" i="384"/>
  <c r="G14" i="384"/>
  <c r="Q14" i="384" s="1"/>
  <c r="B14" i="384"/>
  <c r="P14" i="384" s="1"/>
  <c r="AJ13" i="384"/>
  <c r="T13" i="384"/>
  <c r="S13" i="384"/>
  <c r="R13" i="384"/>
  <c r="G13" i="384"/>
  <c r="Q13" i="384" s="1"/>
  <c r="B13" i="384"/>
  <c r="P13" i="384" s="1"/>
  <c r="D9" i="384"/>
  <c r="AJ33" i="383"/>
  <c r="T33" i="383"/>
  <c r="S33" i="383"/>
  <c r="R33" i="383"/>
  <c r="G33" i="383"/>
  <c r="Q33" i="383" s="1"/>
  <c r="B33" i="383"/>
  <c r="P33" i="383" s="1"/>
  <c r="AJ32" i="383"/>
  <c r="T32" i="383"/>
  <c r="S32" i="383"/>
  <c r="R32" i="383"/>
  <c r="G32" i="383"/>
  <c r="Q32" i="383" s="1"/>
  <c r="B32" i="383"/>
  <c r="P32" i="383" s="1"/>
  <c r="AJ31" i="383"/>
  <c r="T31" i="383"/>
  <c r="S31" i="383"/>
  <c r="R31" i="383"/>
  <c r="G31" i="383"/>
  <c r="Q31" i="383" s="1"/>
  <c r="B31" i="383"/>
  <c r="P31" i="383" s="1"/>
  <c r="AJ30" i="383"/>
  <c r="T30" i="383"/>
  <c r="S30" i="383"/>
  <c r="R30" i="383"/>
  <c r="G30" i="383"/>
  <c r="Q30" i="383" s="1"/>
  <c r="B30" i="383"/>
  <c r="P30" i="383" s="1"/>
  <c r="AJ29" i="383"/>
  <c r="T29" i="383"/>
  <c r="S29" i="383"/>
  <c r="R29" i="383"/>
  <c r="G29" i="383"/>
  <c r="Q29" i="383" s="1"/>
  <c r="B29" i="383"/>
  <c r="P29" i="383" s="1"/>
  <c r="AJ28" i="383"/>
  <c r="T28" i="383"/>
  <c r="S28" i="383"/>
  <c r="R28" i="383"/>
  <c r="G28" i="383"/>
  <c r="Q28" i="383" s="1"/>
  <c r="B28" i="383"/>
  <c r="P28" i="383" s="1"/>
  <c r="AJ27" i="383"/>
  <c r="T27" i="383"/>
  <c r="S27" i="383"/>
  <c r="R27" i="383"/>
  <c r="G27" i="383"/>
  <c r="Q27" i="383" s="1"/>
  <c r="B27" i="383"/>
  <c r="P27" i="383" s="1"/>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R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AJ32" i="381"/>
  <c r="T32" i="381"/>
  <c r="S32" i="381"/>
  <c r="R32" i="381"/>
  <c r="G32" i="381"/>
  <c r="Q32" i="381" s="1"/>
  <c r="B32" i="381"/>
  <c r="P32" i="381" s="1"/>
  <c r="AJ31" i="381"/>
  <c r="T31" i="381"/>
  <c r="S31" i="381"/>
  <c r="R31" i="381"/>
  <c r="G31" i="381"/>
  <c r="Q31" i="381" s="1"/>
  <c r="B31" i="381"/>
  <c r="P31" i="381" s="1"/>
  <c r="AJ30" i="381"/>
  <c r="T30" i="381"/>
  <c r="S30" i="381"/>
  <c r="R30" i="381"/>
  <c r="G30" i="381"/>
  <c r="Q30" i="381" s="1"/>
  <c r="B30" i="381"/>
  <c r="P30" i="381" s="1"/>
  <c r="AJ29" i="381"/>
  <c r="T29" i="381"/>
  <c r="S29" i="381"/>
  <c r="R29" i="381"/>
  <c r="G29" i="381"/>
  <c r="Q29" i="381" s="1"/>
  <c r="B29" i="381"/>
  <c r="P29" i="381" s="1"/>
  <c r="AJ28" i="381"/>
  <c r="T28" i="381"/>
  <c r="S28" i="381"/>
  <c r="R28" i="381"/>
  <c r="G28" i="381"/>
  <c r="Q28" i="381" s="1"/>
  <c r="B28" i="381"/>
  <c r="P28" i="381" s="1"/>
  <c r="AJ27" i="381"/>
  <c r="T27" i="381"/>
  <c r="S27" i="381"/>
  <c r="R27" i="381"/>
  <c r="G27" i="381"/>
  <c r="Q27" i="381" s="1"/>
  <c r="B27" i="381"/>
  <c r="P27" i="381" s="1"/>
  <c r="AJ26" i="381"/>
  <c r="T26" i="381"/>
  <c r="S26" i="381"/>
  <c r="R26" i="381"/>
  <c r="G26" i="381"/>
  <c r="Q26" i="381" s="1"/>
  <c r="B26" i="381"/>
  <c r="P26" i="381" s="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B206" i="25"/>
  <c r="B205" i="25"/>
  <c r="B204" i="25"/>
  <c r="B203" i="25"/>
  <c r="B202" i="25"/>
  <c r="BK206" i="25"/>
  <c r="A206" i="25"/>
  <c r="BK205" i="25"/>
  <c r="A205" i="25"/>
  <c r="BK204" i="25"/>
  <c r="A204" i="25"/>
  <c r="BK203" i="25"/>
  <c r="A203" i="25"/>
  <c r="B224" i="25"/>
  <c r="O224" i="25" s="1"/>
  <c r="BK224" i="25" s="1"/>
  <c r="B208" i="25"/>
  <c r="O208" i="25" s="1"/>
  <c r="BK208" i="25" s="1"/>
  <c r="B207" i="25"/>
  <c r="A224" i="25"/>
  <c r="B201" i="25"/>
  <c r="A208" i="25"/>
  <c r="AJ15" i="379"/>
  <c r="T15" i="379"/>
  <c r="S15" i="379"/>
  <c r="R15" i="379"/>
  <c r="G15" i="379"/>
  <c r="Q15" i="379" s="1"/>
  <c r="B15" i="379"/>
  <c r="P15" i="379" s="1"/>
  <c r="AM203" i="25"/>
  <c r="AM204" i="25"/>
  <c r="AM208" i="25"/>
  <c r="AM206" i="25"/>
  <c r="AM224" i="25"/>
  <c r="AM205" i="25"/>
  <c r="Q17" i="383" l="1"/>
  <c r="Q17" i="384"/>
  <c r="Q17" i="382"/>
  <c r="C436" i="178"/>
  <c r="W436" i="178" s="1"/>
  <c r="R17" i="381"/>
  <c r="T76" i="177"/>
  <c r="W74" i="177"/>
  <c r="C73" i="177"/>
  <c r="W73" i="177" s="1"/>
  <c r="W72" i="177"/>
  <c r="T66" i="177"/>
  <c r="W64" i="177"/>
  <c r="C63" i="177"/>
  <c r="W63" i="177" s="1"/>
  <c r="W62" i="177"/>
  <c r="T56" i="177"/>
  <c r="W54" i="177"/>
  <c r="C53" i="177"/>
  <c r="W53" i="177" s="1"/>
  <c r="W52" i="177"/>
  <c r="T46" i="177"/>
  <c r="C32" i="177"/>
  <c r="W32" i="177" s="1"/>
  <c r="E37" i="177"/>
  <c r="C23" i="177"/>
  <c r="T34" i="177"/>
  <c r="E34" i="177"/>
  <c r="C31" i="177"/>
  <c r="W31" i="177" s="1"/>
  <c r="W30" i="177"/>
  <c r="C5" i="177"/>
  <c r="J7" i="177"/>
  <c r="E10" i="177"/>
  <c r="B165" i="25" l="1"/>
  <c r="O165" i="25" s="1"/>
  <c r="BK165" i="25" s="1"/>
  <c r="A165" i="25"/>
  <c r="AJ22" i="380" l="1"/>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4" i="380"/>
  <c r="T14" i="380"/>
  <c r="S14" i="380"/>
  <c r="R14" i="380"/>
  <c r="G14" i="380"/>
  <c r="Q14" i="380" s="1"/>
  <c r="B14" i="380"/>
  <c r="P14" i="380" s="1"/>
  <c r="AJ13" i="380"/>
  <c r="T13" i="380"/>
  <c r="S13" i="380"/>
  <c r="R13" i="380"/>
  <c r="G13" i="380"/>
  <c r="Q13" i="380" s="1"/>
  <c r="B13" i="380"/>
  <c r="P13" i="380" s="1"/>
  <c r="D9" i="380"/>
  <c r="AJ14" i="191"/>
  <c r="T14" i="191"/>
  <c r="S14" i="191"/>
  <c r="R14" i="191"/>
  <c r="G14" i="191"/>
  <c r="Q14" i="191" s="1"/>
  <c r="B14" i="191"/>
  <c r="P14" i="191" s="1"/>
  <c r="AJ17" i="191"/>
  <c r="T17" i="191"/>
  <c r="S17" i="191"/>
  <c r="R17" i="191"/>
  <c r="G17" i="191"/>
  <c r="Q17" i="191" s="1"/>
  <c r="B17" i="191"/>
  <c r="P17" i="191" s="1"/>
  <c r="AJ16" i="191"/>
  <c r="T16" i="191"/>
  <c r="S16" i="191"/>
  <c r="R16" i="191"/>
  <c r="G16" i="191"/>
  <c r="Q16" i="191" s="1"/>
  <c r="B16" i="191"/>
  <c r="P16" i="191" s="1"/>
  <c r="AJ15" i="190"/>
  <c r="T15" i="190"/>
  <c r="S15" i="190"/>
  <c r="R15" i="190"/>
  <c r="G15" i="190"/>
  <c r="Q15" i="190" s="1"/>
  <c r="B15" i="190"/>
  <c r="P15" i="190" s="1"/>
  <c r="D9" i="364"/>
  <c r="AJ14" i="363"/>
  <c r="T14" i="363"/>
  <c r="S14" i="363"/>
  <c r="R14" i="363"/>
  <c r="G14" i="363"/>
  <c r="Q14" i="363" s="1"/>
  <c r="B14" i="363"/>
  <c r="P14" i="363" s="1"/>
  <c r="D9" i="191" l="1"/>
  <c r="D9" i="379"/>
  <c r="D9" i="378"/>
  <c r="AM165" i="25"/>
  <c r="AJ22" i="379" l="1"/>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4" i="379"/>
  <c r="T14" i="379"/>
  <c r="S14" i="379"/>
  <c r="R14" i="379"/>
  <c r="G14" i="379"/>
  <c r="Q14" i="379" s="1"/>
  <c r="B14" i="379"/>
  <c r="P14" i="379" s="1"/>
  <c r="AJ13" i="379"/>
  <c r="T13" i="379"/>
  <c r="S13" i="379"/>
  <c r="R13" i="379"/>
  <c r="G13" i="379"/>
  <c r="Q13" i="379" s="1"/>
  <c r="B13" i="379"/>
  <c r="P13" i="379"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C63" i="176" l="1"/>
  <c r="C62" i="176"/>
  <c r="C126" i="176" l="1"/>
  <c r="B158" i="25"/>
  <c r="O158" i="25" s="1"/>
  <c r="BK158" i="25" s="1"/>
  <c r="A158" i="25"/>
  <c r="AJ21" i="377"/>
  <c r="T21" i="377"/>
  <c r="S21" i="377"/>
  <c r="R21" i="377"/>
  <c r="Q21" i="377"/>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J137" i="176"/>
  <c r="E134" i="176"/>
  <c r="J131" i="176"/>
  <c r="T128" i="176"/>
  <c r="E128" i="176"/>
  <c r="W126" i="176"/>
  <c r="C125" i="176"/>
  <c r="W125" i="176" s="1"/>
  <c r="W124" i="176"/>
  <c r="AM158" i="25"/>
  <c r="E19" i="176" l="1"/>
  <c r="AJ19" i="358"/>
  <c r="T19" i="358"/>
  <c r="S19" i="358"/>
  <c r="R19" i="358"/>
  <c r="G19" i="358"/>
  <c r="Q19" i="358" s="1"/>
  <c r="B19" i="358"/>
  <c r="P19" i="358" s="1"/>
  <c r="AJ18" i="358"/>
  <c r="T18" i="358"/>
  <c r="S18" i="358"/>
  <c r="R18" i="358"/>
  <c r="G18" i="358"/>
  <c r="Q18" i="358" s="1"/>
  <c r="B18" i="358"/>
  <c r="P18" i="358" s="1"/>
  <c r="C16" i="176"/>
  <c r="W16" i="176" s="1"/>
  <c r="T19" i="176"/>
  <c r="W17" i="176"/>
  <c r="W15" i="176"/>
  <c r="AJ17" i="360" l="1"/>
  <c r="T17" i="360"/>
  <c r="S17" i="360"/>
  <c r="R17" i="360"/>
  <c r="G17" i="360"/>
  <c r="Q17" i="360" s="1"/>
  <c r="B17" i="360"/>
  <c r="P17" i="360" s="1"/>
  <c r="J119" i="176" l="1"/>
  <c r="J116" i="176"/>
  <c r="E113" i="176"/>
  <c r="E110" i="176"/>
  <c r="E95" i="176"/>
  <c r="E154" i="178"/>
  <c r="T151" i="178"/>
  <c r="E151" i="178"/>
  <c r="E142" i="178"/>
  <c r="T139" i="178"/>
  <c r="E139" i="178"/>
  <c r="E130" i="178"/>
  <c r="T127" i="178"/>
  <c r="E127" i="178"/>
  <c r="E118" i="178"/>
  <c r="T115" i="178"/>
  <c r="E115" i="178"/>
  <c r="E106" i="178"/>
  <c r="T103" i="178"/>
  <c r="E103" i="178"/>
  <c r="E94" i="178"/>
  <c r="T91" i="178"/>
  <c r="E91"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166" i="178"/>
  <c r="T163" i="178"/>
  <c r="E163" i="178"/>
  <c r="E82" i="178"/>
  <c r="T79" i="178"/>
  <c r="E79" i="178"/>
  <c r="E70" i="178"/>
  <c r="T67" i="178"/>
  <c r="E67" i="178"/>
  <c r="E58" i="178"/>
  <c r="T55" i="178"/>
  <c r="E55" i="178"/>
  <c r="E46" i="178"/>
  <c r="T43" i="178"/>
  <c r="E43" i="178"/>
  <c r="E34" i="178"/>
  <c r="T31" i="178"/>
  <c r="E31" i="178"/>
  <c r="E22" i="178"/>
  <c r="T19" i="178"/>
  <c r="E19" i="178"/>
  <c r="E10" i="178"/>
  <c r="T7" i="178"/>
  <c r="E7" i="178"/>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G20" i="376"/>
  <c r="Q20" i="376" s="1"/>
  <c r="B20" i="376"/>
  <c r="P20" i="376" s="1"/>
  <c r="AJ19" i="376"/>
  <c r="T19" i="376"/>
  <c r="S19" i="376"/>
  <c r="R19" i="376"/>
  <c r="G19" i="376"/>
  <c r="Q19" i="376" s="1"/>
  <c r="B19" i="376"/>
  <c r="P19"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AJ41" i="375"/>
  <c r="T41" i="375"/>
  <c r="S41" i="375"/>
  <c r="R41" i="375"/>
  <c r="G41" i="375"/>
  <c r="Q41" i="375" s="1"/>
  <c r="B41" i="375"/>
  <c r="P41" i="375" s="1"/>
  <c r="AJ40" i="375"/>
  <c r="T40" i="375"/>
  <c r="S40" i="375"/>
  <c r="R40" i="375"/>
  <c r="G40" i="375"/>
  <c r="Q40" i="375" s="1"/>
  <c r="B40" i="375"/>
  <c r="P40" i="375" s="1"/>
  <c r="AJ39" i="375"/>
  <c r="T39" i="375"/>
  <c r="S39" i="375"/>
  <c r="R39" i="375"/>
  <c r="G39" i="375"/>
  <c r="Q39" i="375" s="1"/>
  <c r="B39" i="375"/>
  <c r="P39" i="375" s="1"/>
  <c r="AJ38" i="375"/>
  <c r="T38" i="375"/>
  <c r="S38" i="375"/>
  <c r="R38" i="375"/>
  <c r="G38" i="375"/>
  <c r="Q38" i="375" s="1"/>
  <c r="B38" i="375"/>
  <c r="P38" i="375" s="1"/>
  <c r="AJ37" i="375"/>
  <c r="T37" i="375"/>
  <c r="S37" i="375"/>
  <c r="R37" i="375"/>
  <c r="G37" i="375"/>
  <c r="Q37" i="375" s="1"/>
  <c r="B37" i="375"/>
  <c r="P37" i="375" s="1"/>
  <c r="AJ36" i="375"/>
  <c r="T36" i="375"/>
  <c r="S36" i="375"/>
  <c r="R36" i="375"/>
  <c r="G36" i="375"/>
  <c r="Q36" i="375" s="1"/>
  <c r="B36" i="375"/>
  <c r="P36" i="375" s="1"/>
  <c r="AJ35" i="375"/>
  <c r="T35" i="375"/>
  <c r="S35" i="375"/>
  <c r="R35" i="375"/>
  <c r="G35" i="375"/>
  <c r="Q35" i="375" s="1"/>
  <c r="B35" i="375"/>
  <c r="P35" i="375" s="1"/>
  <c r="AJ34" i="375"/>
  <c r="T34" i="375"/>
  <c r="S34" i="375"/>
  <c r="R34" i="375"/>
  <c r="G34" i="375"/>
  <c r="Q34" i="375" s="1"/>
  <c r="B34" i="375"/>
  <c r="P34" i="375" s="1"/>
  <c r="AJ33" i="375"/>
  <c r="T33" i="375"/>
  <c r="S33" i="375"/>
  <c r="R33" i="375"/>
  <c r="G33" i="375"/>
  <c r="Q33" i="375" s="1"/>
  <c r="B33" i="375"/>
  <c r="P33" i="375" s="1"/>
  <c r="AJ32" i="375"/>
  <c r="T32" i="375"/>
  <c r="S32" i="375"/>
  <c r="R32" i="375"/>
  <c r="G32" i="375"/>
  <c r="Q32" i="375" s="1"/>
  <c r="B32" i="375"/>
  <c r="P32" i="375" s="1"/>
  <c r="AJ31" i="375"/>
  <c r="T31" i="375"/>
  <c r="S31" i="375"/>
  <c r="R31" i="375"/>
  <c r="G31" i="375"/>
  <c r="Q31" i="375" s="1"/>
  <c r="B31" i="375"/>
  <c r="P31" i="375" s="1"/>
  <c r="AJ30" i="375"/>
  <c r="T30" i="375"/>
  <c r="S30" i="375"/>
  <c r="R30" i="375"/>
  <c r="G30" i="375"/>
  <c r="Q30" i="375" s="1"/>
  <c r="B30" i="375"/>
  <c r="P30" i="375" s="1"/>
  <c r="AJ29" i="375"/>
  <c r="T29" i="375"/>
  <c r="S29" i="375"/>
  <c r="R29" i="375"/>
  <c r="G29" i="375"/>
  <c r="Q29" i="375" s="1"/>
  <c r="B29" i="375"/>
  <c r="P29" i="375" s="1"/>
  <c r="AJ28" i="375"/>
  <c r="T28" i="375"/>
  <c r="S28" i="375"/>
  <c r="R28" i="375"/>
  <c r="G28" i="375"/>
  <c r="Q28" i="375" s="1"/>
  <c r="B28" i="375"/>
  <c r="P28" i="375" s="1"/>
  <c r="AJ27" i="375"/>
  <c r="T27" i="375"/>
  <c r="S27" i="375"/>
  <c r="R27" i="375"/>
  <c r="G27" i="375"/>
  <c r="Q27" i="375" s="1"/>
  <c r="B27" i="375"/>
  <c r="P27" i="375" s="1"/>
  <c r="AJ26" i="375"/>
  <c r="T26" i="375"/>
  <c r="S26" i="375"/>
  <c r="R26" i="375"/>
  <c r="G26" i="375"/>
  <c r="Q26" i="375" s="1"/>
  <c r="B26" i="375"/>
  <c r="P26" i="375" s="1"/>
  <c r="AJ25" i="375"/>
  <c r="T25" i="375"/>
  <c r="S25" i="375"/>
  <c r="R25" i="375"/>
  <c r="G25" i="375"/>
  <c r="Q25" i="375" s="1"/>
  <c r="B25" i="375"/>
  <c r="P25" i="375" s="1"/>
  <c r="AJ24" i="375"/>
  <c r="T24" i="375"/>
  <c r="S24" i="375"/>
  <c r="R24" i="375"/>
  <c r="G24" i="375"/>
  <c r="Q24" i="375" s="1"/>
  <c r="B24" i="375"/>
  <c r="P24" i="375" s="1"/>
  <c r="AJ23" i="375"/>
  <c r="T23" i="375"/>
  <c r="S23" i="375"/>
  <c r="R23" i="375"/>
  <c r="G23" i="375"/>
  <c r="Q23" i="375" s="1"/>
  <c r="B23" i="375"/>
  <c r="P23" i="375" s="1"/>
  <c r="AJ22" i="375"/>
  <c r="T22" i="375"/>
  <c r="S22" i="375"/>
  <c r="R22" i="375"/>
  <c r="G22" i="375"/>
  <c r="Q22" i="375" s="1"/>
  <c r="B22" i="375"/>
  <c r="P22" i="375" s="1"/>
  <c r="AJ21" i="375"/>
  <c r="T21" i="375"/>
  <c r="S21" i="375"/>
  <c r="R21" i="375"/>
  <c r="G21" i="375"/>
  <c r="Q21" i="375" s="1"/>
  <c r="B21" i="375"/>
  <c r="P21" i="375" s="1"/>
  <c r="AJ20" i="375"/>
  <c r="T20" i="375"/>
  <c r="S20" i="375"/>
  <c r="R20" i="375"/>
  <c r="G20" i="375"/>
  <c r="Q20" i="375" s="1"/>
  <c r="B20" i="375"/>
  <c r="P20" i="375" s="1"/>
  <c r="AJ19" i="375"/>
  <c r="T19" i="375"/>
  <c r="S19" i="375"/>
  <c r="R19" i="375"/>
  <c r="G19" i="375"/>
  <c r="Q19" i="375" s="1"/>
  <c r="B19" i="375"/>
  <c r="P19" i="375" s="1"/>
  <c r="AJ18" i="375"/>
  <c r="T18" i="375"/>
  <c r="S18" i="375"/>
  <c r="R18" i="375"/>
  <c r="G18" i="375"/>
  <c r="Q18" i="375" s="1"/>
  <c r="B18" i="375"/>
  <c r="P18" i="375" s="1"/>
  <c r="AJ17" i="375"/>
  <c r="T17" i="375"/>
  <c r="S17" i="375"/>
  <c r="R17" i="375"/>
  <c r="G17" i="375"/>
  <c r="Q17" i="375" s="1"/>
  <c r="B17" i="375"/>
  <c r="P17" i="375" s="1"/>
  <c r="AJ16" i="375"/>
  <c r="T16" i="375"/>
  <c r="S16" i="375"/>
  <c r="R16" i="375"/>
  <c r="G16" i="375"/>
  <c r="Q16" i="375" s="1"/>
  <c r="B16" i="375"/>
  <c r="P16" i="375" s="1"/>
  <c r="AJ15" i="375"/>
  <c r="T15" i="375"/>
  <c r="S15" i="375"/>
  <c r="R15" i="375"/>
  <c r="G15" i="375"/>
  <c r="Q15" i="375" s="1"/>
  <c r="B15" i="375"/>
  <c r="P15" i="375" s="1"/>
  <c r="AJ14" i="375"/>
  <c r="T14" i="375"/>
  <c r="S14" i="375"/>
  <c r="R14" i="375"/>
  <c r="G14" i="375"/>
  <c r="Q14" i="375" s="1"/>
  <c r="B14" i="375"/>
  <c r="P14" i="375" s="1"/>
  <c r="AJ13" i="375"/>
  <c r="T13" i="375"/>
  <c r="S13" i="375"/>
  <c r="R13" i="375"/>
  <c r="G13" i="375"/>
  <c r="Q13" i="375" s="1"/>
  <c r="B13" i="375"/>
  <c r="P13" i="375" s="1"/>
  <c r="D9" i="375"/>
  <c r="AJ23" i="374"/>
  <c r="T23" i="374"/>
  <c r="S23" i="374"/>
  <c r="R23" i="374"/>
  <c r="G23" i="374"/>
  <c r="Q23" i="374" s="1"/>
  <c r="B23" i="374"/>
  <c r="P23" i="374" s="1"/>
  <c r="AJ22" i="374"/>
  <c r="T22" i="374"/>
  <c r="S22" i="374"/>
  <c r="R22" i="374"/>
  <c r="G22" i="374"/>
  <c r="Q22" i="374" s="1"/>
  <c r="B22" i="374"/>
  <c r="P22" i="374" s="1"/>
  <c r="AJ21" i="374"/>
  <c r="T21" i="374"/>
  <c r="S21" i="374"/>
  <c r="R21" i="374"/>
  <c r="G21" i="374"/>
  <c r="Q21" i="374" s="1"/>
  <c r="B21" i="374"/>
  <c r="P21" i="374" s="1"/>
  <c r="AJ20" i="374"/>
  <c r="T20" i="374"/>
  <c r="S20" i="374"/>
  <c r="R20" i="374"/>
  <c r="G20" i="374"/>
  <c r="Q20" i="374" s="1"/>
  <c r="B20" i="374"/>
  <c r="P20" i="374" s="1"/>
  <c r="AJ19" i="374"/>
  <c r="T19" i="374"/>
  <c r="S19" i="374"/>
  <c r="R19" i="374"/>
  <c r="G19" i="374"/>
  <c r="Q19" i="374" s="1"/>
  <c r="B19" i="374"/>
  <c r="P19" i="374" s="1"/>
  <c r="AJ18" i="374"/>
  <c r="T18" i="374"/>
  <c r="S18" i="374"/>
  <c r="R18" i="374"/>
  <c r="G18" i="374"/>
  <c r="Q18" i="374" s="1"/>
  <c r="B18" i="374"/>
  <c r="P18" i="374" s="1"/>
  <c r="AJ17" i="374"/>
  <c r="T17" i="374"/>
  <c r="S17" i="374"/>
  <c r="R17" i="374"/>
  <c r="G17" i="374"/>
  <c r="Q17" i="374" s="1"/>
  <c r="B17" i="374"/>
  <c r="P17" i="374" s="1"/>
  <c r="AJ16" i="374"/>
  <c r="T16" i="374"/>
  <c r="S16" i="374"/>
  <c r="R16" i="374"/>
  <c r="G16" i="374"/>
  <c r="Q16" i="374" s="1"/>
  <c r="B16" i="374"/>
  <c r="P16" i="374"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374"/>
  <c r="AJ22" i="373"/>
  <c r="T22" i="373"/>
  <c r="S22" i="373"/>
  <c r="R22" i="373"/>
  <c r="G22" i="373"/>
  <c r="Q22" i="373" s="1"/>
  <c r="B22" i="373"/>
  <c r="P22" i="373" s="1"/>
  <c r="AJ21" i="373"/>
  <c r="T21" i="373"/>
  <c r="S21" i="373"/>
  <c r="R21" i="373"/>
  <c r="G21" i="373"/>
  <c r="Q21" i="373" s="1"/>
  <c r="B21" i="373"/>
  <c r="P21" i="373" s="1"/>
  <c r="AJ20" i="373"/>
  <c r="T20" i="373"/>
  <c r="S20" i="373"/>
  <c r="R20" i="373"/>
  <c r="G20" i="373"/>
  <c r="Q20" i="373" s="1"/>
  <c r="B20" i="373"/>
  <c r="P20" i="373" s="1"/>
  <c r="AJ19" i="373"/>
  <c r="T19" i="373"/>
  <c r="S19" i="373"/>
  <c r="R19" i="373"/>
  <c r="G19" i="373"/>
  <c r="Q19" i="373" s="1"/>
  <c r="B19" i="373"/>
  <c r="P19" i="373" s="1"/>
  <c r="AJ18" i="373"/>
  <c r="T18" i="373"/>
  <c r="S18" i="373"/>
  <c r="R18" i="373"/>
  <c r="G18" i="373"/>
  <c r="Q18" i="373" s="1"/>
  <c r="B18" i="373"/>
  <c r="P18" i="373" s="1"/>
  <c r="AJ17" i="373"/>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D9" i="373"/>
  <c r="AJ22" i="372"/>
  <c r="T22" i="372"/>
  <c r="S22" i="372"/>
  <c r="R22" i="372"/>
  <c r="G22" i="372"/>
  <c r="Q22" i="372" s="1"/>
  <c r="B22" i="372"/>
  <c r="P22" i="372" s="1"/>
  <c r="AJ21" i="372"/>
  <c r="T21" i="372"/>
  <c r="S21" i="372"/>
  <c r="R21" i="372"/>
  <c r="G21" i="372"/>
  <c r="Q21" i="372" s="1"/>
  <c r="B21" i="372"/>
  <c r="P21" i="372" s="1"/>
  <c r="AJ20" i="372"/>
  <c r="T20" i="372"/>
  <c r="S20" i="372"/>
  <c r="R20" i="372"/>
  <c r="G20" i="372"/>
  <c r="Q20" i="372" s="1"/>
  <c r="B20" i="372"/>
  <c r="P20" i="372" s="1"/>
  <c r="AJ19" i="372"/>
  <c r="T19" i="372"/>
  <c r="S19" i="372"/>
  <c r="R19" i="372"/>
  <c r="G19" i="372"/>
  <c r="Q19" i="372" s="1"/>
  <c r="B19" i="372"/>
  <c r="P19" i="372" s="1"/>
  <c r="AJ18" i="372"/>
  <c r="T18" i="372"/>
  <c r="S18" i="372"/>
  <c r="R18" i="372"/>
  <c r="G18" i="372"/>
  <c r="Q18" i="372" s="1"/>
  <c r="B18" i="372"/>
  <c r="P18" i="372"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4" i="372"/>
  <c r="T14" i="372"/>
  <c r="S14" i="372"/>
  <c r="R14" i="372"/>
  <c r="G14" i="372"/>
  <c r="Q14" i="372" s="1"/>
  <c r="B14" i="372"/>
  <c r="P14" i="372" s="1"/>
  <c r="AJ13" i="372"/>
  <c r="T13" i="372"/>
  <c r="S13" i="372"/>
  <c r="R13" i="372"/>
  <c r="G13" i="372"/>
  <c r="Q13" i="372" s="1"/>
  <c r="B13" i="372"/>
  <c r="P13" i="372" s="1"/>
  <c r="D9" i="372"/>
  <c r="AJ46" i="371"/>
  <c r="T46" i="371"/>
  <c r="S46" i="371"/>
  <c r="R46" i="371"/>
  <c r="G46" i="371"/>
  <c r="Q46" i="371" s="1"/>
  <c r="B46" i="371"/>
  <c r="P46" i="371" s="1"/>
  <c r="AJ45" i="371"/>
  <c r="T45" i="371"/>
  <c r="S45" i="371"/>
  <c r="R45" i="371"/>
  <c r="G45" i="371"/>
  <c r="Q45" i="371" s="1"/>
  <c r="B45" i="371"/>
  <c r="P45" i="371" s="1"/>
  <c r="AJ44" i="371"/>
  <c r="T44" i="371"/>
  <c r="S44" i="371"/>
  <c r="R44" i="371"/>
  <c r="G44" i="371"/>
  <c r="Q44" i="371" s="1"/>
  <c r="B44" i="371"/>
  <c r="P44" i="371" s="1"/>
  <c r="AJ43" i="371"/>
  <c r="T43" i="371"/>
  <c r="S43" i="371"/>
  <c r="R43" i="371"/>
  <c r="G43" i="371"/>
  <c r="Q43" i="371" s="1"/>
  <c r="B43" i="371"/>
  <c r="P43" i="371" s="1"/>
  <c r="AJ42" i="371"/>
  <c r="T42" i="371"/>
  <c r="S42" i="371"/>
  <c r="R42" i="371"/>
  <c r="G42" i="371"/>
  <c r="Q42" i="371" s="1"/>
  <c r="B42" i="371"/>
  <c r="P42" i="371" s="1"/>
  <c r="AJ41" i="371"/>
  <c r="T41" i="371"/>
  <c r="S41" i="371"/>
  <c r="R41" i="371"/>
  <c r="G41" i="371"/>
  <c r="Q41" i="371" s="1"/>
  <c r="B41" i="371"/>
  <c r="P41" i="371" s="1"/>
  <c r="AJ40" i="371"/>
  <c r="T40" i="371"/>
  <c r="S40" i="371"/>
  <c r="R40" i="371"/>
  <c r="G40" i="371"/>
  <c r="Q40" i="371" s="1"/>
  <c r="B40" i="371"/>
  <c r="P40" i="371" s="1"/>
  <c r="AJ39" i="371"/>
  <c r="T39" i="371"/>
  <c r="S39" i="371"/>
  <c r="R39" i="371"/>
  <c r="G39" i="371"/>
  <c r="Q39" i="371" s="1"/>
  <c r="B39" i="371"/>
  <c r="P39" i="371" s="1"/>
  <c r="AJ38" i="371"/>
  <c r="T38" i="371"/>
  <c r="S38" i="371"/>
  <c r="R38" i="371"/>
  <c r="G38" i="371"/>
  <c r="Q38" i="371" s="1"/>
  <c r="B38" i="371"/>
  <c r="P38" i="371" s="1"/>
  <c r="AJ37" i="371"/>
  <c r="T37" i="371"/>
  <c r="S37" i="371"/>
  <c r="R37" i="371"/>
  <c r="G37" i="371"/>
  <c r="Q37" i="371" s="1"/>
  <c r="B37" i="371"/>
  <c r="P37" i="371" s="1"/>
  <c r="AJ36" i="371"/>
  <c r="T36" i="371"/>
  <c r="S36" i="371"/>
  <c r="R36" i="371"/>
  <c r="G36" i="371"/>
  <c r="Q36" i="371" s="1"/>
  <c r="B36" i="371"/>
  <c r="P36" i="371" s="1"/>
  <c r="AJ35" i="371"/>
  <c r="T35" i="371"/>
  <c r="S35" i="371"/>
  <c r="R35" i="371"/>
  <c r="G35" i="371"/>
  <c r="Q35" i="371" s="1"/>
  <c r="B35" i="371"/>
  <c r="P35" i="371" s="1"/>
  <c r="AJ34" i="371"/>
  <c r="T34" i="371"/>
  <c r="S34" i="371"/>
  <c r="R34" i="371"/>
  <c r="G34" i="371"/>
  <c r="Q34" i="371" s="1"/>
  <c r="B34" i="371"/>
  <c r="P34" i="371" s="1"/>
  <c r="AJ33" i="371"/>
  <c r="T33" i="371"/>
  <c r="S33" i="371"/>
  <c r="R33" i="371"/>
  <c r="G33" i="371"/>
  <c r="Q33" i="371" s="1"/>
  <c r="B33" i="371"/>
  <c r="P33" i="371" s="1"/>
  <c r="AJ32" i="371"/>
  <c r="T32" i="371"/>
  <c r="S32" i="371"/>
  <c r="R32" i="371"/>
  <c r="G32" i="371"/>
  <c r="Q32" i="371" s="1"/>
  <c r="B32" i="371"/>
  <c r="P32" i="371" s="1"/>
  <c r="AJ31" i="371"/>
  <c r="T31" i="371"/>
  <c r="S31" i="371"/>
  <c r="R31" i="371"/>
  <c r="G31" i="371"/>
  <c r="Q31" i="371" s="1"/>
  <c r="B31" i="371"/>
  <c r="P31" i="371" s="1"/>
  <c r="AJ30" i="371"/>
  <c r="T30" i="371"/>
  <c r="S30" i="371"/>
  <c r="R30" i="371"/>
  <c r="G30" i="371"/>
  <c r="Q30" i="371" s="1"/>
  <c r="B30" i="371"/>
  <c r="P30" i="371" s="1"/>
  <c r="AJ29" i="371"/>
  <c r="T29" i="371"/>
  <c r="S29" i="371"/>
  <c r="R29" i="371"/>
  <c r="G29" i="371"/>
  <c r="Q29" i="371" s="1"/>
  <c r="B29" i="371"/>
  <c r="P29" i="371" s="1"/>
  <c r="AJ28" i="371"/>
  <c r="T28" i="371"/>
  <c r="S28" i="371"/>
  <c r="R28" i="371"/>
  <c r="G28" i="371"/>
  <c r="Q28" i="371" s="1"/>
  <c r="B28" i="371"/>
  <c r="P28" i="371" s="1"/>
  <c r="AJ27" i="371"/>
  <c r="T27" i="371"/>
  <c r="S27" i="371"/>
  <c r="R27" i="371"/>
  <c r="G27" i="371"/>
  <c r="Q27" i="371" s="1"/>
  <c r="B27" i="371"/>
  <c r="P27" i="371" s="1"/>
  <c r="AJ26" i="371"/>
  <c r="T26" i="371"/>
  <c r="S26" i="371"/>
  <c r="R26" i="371"/>
  <c r="G26" i="371"/>
  <c r="Q26" i="371" s="1"/>
  <c r="B26" i="371"/>
  <c r="P26" i="371" s="1"/>
  <c r="AJ25" i="371"/>
  <c r="T25" i="371"/>
  <c r="S25" i="371"/>
  <c r="R25" i="371"/>
  <c r="G25" i="371"/>
  <c r="Q25" i="371" s="1"/>
  <c r="B25" i="371"/>
  <c r="P25" i="371" s="1"/>
  <c r="AJ24" i="371"/>
  <c r="T24" i="371"/>
  <c r="S24" i="371"/>
  <c r="R24" i="371"/>
  <c r="G24" i="371"/>
  <c r="Q24" i="371" s="1"/>
  <c r="B24" i="371"/>
  <c r="P24" i="371" s="1"/>
  <c r="AJ23" i="371"/>
  <c r="T23" i="371"/>
  <c r="S23" i="371"/>
  <c r="R23" i="371"/>
  <c r="G23" i="371"/>
  <c r="Q23" i="371" s="1"/>
  <c r="B23" i="371"/>
  <c r="P23" i="371" s="1"/>
  <c r="AJ22" i="371"/>
  <c r="T22" i="371"/>
  <c r="S22" i="371"/>
  <c r="R22" i="371"/>
  <c r="G22" i="371"/>
  <c r="Q22" i="371" s="1"/>
  <c r="B22" i="371"/>
  <c r="P22" i="371" s="1"/>
  <c r="AJ21" i="371"/>
  <c r="T21" i="371"/>
  <c r="S21" i="371"/>
  <c r="R21" i="371"/>
  <c r="G21" i="371"/>
  <c r="Q21" i="371" s="1"/>
  <c r="B21" i="371"/>
  <c r="P21" i="371" s="1"/>
  <c r="AJ20" i="371"/>
  <c r="T20" i="371"/>
  <c r="S20" i="371"/>
  <c r="R20" i="371"/>
  <c r="G20" i="371"/>
  <c r="Q20" i="371" s="1"/>
  <c r="B20" i="371"/>
  <c r="P20" i="371" s="1"/>
  <c r="AJ19" i="371"/>
  <c r="T19" i="371"/>
  <c r="S19" i="371"/>
  <c r="R19" i="371"/>
  <c r="G19" i="371"/>
  <c r="Q19" i="371" s="1"/>
  <c r="B19" i="371"/>
  <c r="P19" i="371" s="1"/>
  <c r="AJ18" i="371"/>
  <c r="T18" i="371"/>
  <c r="S18" i="371"/>
  <c r="R18" i="371"/>
  <c r="G18" i="371"/>
  <c r="Q18" i="371" s="1"/>
  <c r="B18" i="371"/>
  <c r="P18" i="371" s="1"/>
  <c r="AJ17" i="371"/>
  <c r="T17" i="371"/>
  <c r="S17" i="371"/>
  <c r="R17" i="371"/>
  <c r="G17" i="371"/>
  <c r="Q17" i="371" s="1"/>
  <c r="B17" i="371"/>
  <c r="P17" i="371" s="1"/>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D9" i="371"/>
  <c r="R151" i="178"/>
  <c r="C149" i="178" s="1"/>
  <c r="W149" i="178" s="1"/>
  <c r="W147" i="178"/>
  <c r="R139" i="178"/>
  <c r="C136" i="178" s="1"/>
  <c r="W136" i="178" s="1"/>
  <c r="W135" i="178"/>
  <c r="R127" i="178"/>
  <c r="C124" i="178" s="1"/>
  <c r="W124" i="178" s="1"/>
  <c r="W123" i="178"/>
  <c r="R115" i="178"/>
  <c r="C113" i="178" s="1"/>
  <c r="W113" i="178" s="1"/>
  <c r="W111" i="178"/>
  <c r="R103" i="178"/>
  <c r="C101" i="178" s="1"/>
  <c r="W101" i="178" s="1"/>
  <c r="W99" i="178"/>
  <c r="R91" i="178"/>
  <c r="C89" i="178" s="1"/>
  <c r="W89" i="178" s="1"/>
  <c r="W87" i="178"/>
  <c r="B178" i="25"/>
  <c r="BK178" i="25" s="1"/>
  <c r="A178" i="25"/>
  <c r="B177" i="25"/>
  <c r="BK177" i="25" s="1"/>
  <c r="A177" i="25"/>
  <c r="B176" i="25"/>
  <c r="BK176" i="25" s="1"/>
  <c r="A176" i="25"/>
  <c r="B175" i="25"/>
  <c r="BK175" i="25" s="1"/>
  <c r="A175" i="25"/>
  <c r="B174" i="25"/>
  <c r="BK174" i="25" s="1"/>
  <c r="A174" i="25"/>
  <c r="BK202" i="25"/>
  <c r="A202" i="25"/>
  <c r="AM177" i="25"/>
  <c r="AM175" i="25"/>
  <c r="AM178" i="25"/>
  <c r="C148" i="178" l="1"/>
  <c r="W148" i="178" s="1"/>
  <c r="C125" i="178"/>
  <c r="W125" i="178" s="1"/>
  <c r="C137" i="178"/>
  <c r="W137" i="178" s="1"/>
  <c r="C88" i="178"/>
  <c r="W88" i="178" s="1"/>
  <c r="C100" i="178"/>
  <c r="W100" i="178" s="1"/>
  <c r="C112" i="178"/>
  <c r="W112" i="178" s="1"/>
  <c r="C5" i="176"/>
  <c r="C26" i="176"/>
  <c r="C38" i="176"/>
  <c r="AM176" i="25"/>
  <c r="AM174" i="25"/>
  <c r="E104" i="176" l="1"/>
  <c r="C90" i="176"/>
  <c r="O83" i="176"/>
  <c r="J80" i="176"/>
  <c r="J77" i="176"/>
  <c r="J74" i="176"/>
  <c r="J71" i="176"/>
  <c r="E68" i="176"/>
  <c r="T65" i="176"/>
  <c r="E65" i="176"/>
  <c r="W63" i="176"/>
  <c r="W62" i="176"/>
  <c r="W61" i="176"/>
  <c r="R637" i="174" l="1"/>
  <c r="T727" i="174" l="1"/>
  <c r="R727" i="174"/>
  <c r="C725" i="174" s="1"/>
  <c r="W725" i="174" s="1"/>
  <c r="W723" i="174"/>
  <c r="T718" i="174"/>
  <c r="R718" i="174"/>
  <c r="C716" i="174" s="1"/>
  <c r="W716" i="174" s="1"/>
  <c r="W714" i="174"/>
  <c r="T709" i="174"/>
  <c r="R709" i="174"/>
  <c r="C707" i="174" s="1"/>
  <c r="W707" i="174" s="1"/>
  <c r="W705" i="174"/>
  <c r="T700" i="174"/>
  <c r="R700" i="174"/>
  <c r="C698" i="174" s="1"/>
  <c r="W698" i="174" s="1"/>
  <c r="W696" i="174"/>
  <c r="T691" i="174"/>
  <c r="R691" i="174"/>
  <c r="C689" i="174" s="1"/>
  <c r="W689" i="174" s="1"/>
  <c r="W687" i="174"/>
  <c r="R682" i="174"/>
  <c r="C680" i="174" s="1"/>
  <c r="T682" i="174"/>
  <c r="W678" i="174"/>
  <c r="C635" i="174"/>
  <c r="W635" i="174" s="1"/>
  <c r="T637" i="174"/>
  <c r="W634" i="174"/>
  <c r="W633" i="174"/>
  <c r="AJ22" i="370"/>
  <c r="T22" i="370"/>
  <c r="S22" i="370"/>
  <c r="R22" i="370"/>
  <c r="G22" i="370"/>
  <c r="Q22" i="370" s="1"/>
  <c r="B22" i="370"/>
  <c r="P22" i="370" s="1"/>
  <c r="AJ24" i="370"/>
  <c r="T24" i="370"/>
  <c r="S24" i="370"/>
  <c r="R24" i="370"/>
  <c r="G24" i="370"/>
  <c r="Q24" i="370" s="1"/>
  <c r="B24" i="370"/>
  <c r="P24" i="370" s="1"/>
  <c r="AJ23" i="370"/>
  <c r="T23" i="370"/>
  <c r="S23" i="370"/>
  <c r="R23" i="370"/>
  <c r="G23" i="370"/>
  <c r="Q23" i="370" s="1"/>
  <c r="B23" i="370"/>
  <c r="P23"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G21" i="369"/>
  <c r="Q21" i="369" s="1"/>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1" i="368"/>
  <c r="T21" i="368"/>
  <c r="S21" i="368"/>
  <c r="R21" i="368"/>
  <c r="G21" i="368"/>
  <c r="Q21" i="368" s="1"/>
  <c r="B21" i="368"/>
  <c r="P21" i="368" s="1"/>
  <c r="AJ23" i="368"/>
  <c r="T23" i="368"/>
  <c r="S23" i="368"/>
  <c r="R23" i="368"/>
  <c r="G23" i="368"/>
  <c r="Q23" i="368" s="1"/>
  <c r="B23" i="368"/>
  <c r="P23" i="368" s="1"/>
  <c r="AJ22" i="368"/>
  <c r="T22" i="368"/>
  <c r="S22" i="368"/>
  <c r="R22" i="368"/>
  <c r="G22" i="368"/>
  <c r="Q22" i="368" s="1"/>
  <c r="B22" i="368"/>
  <c r="P22"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46" i="365"/>
  <c r="T46" i="365"/>
  <c r="S46" i="365"/>
  <c r="R46" i="365"/>
  <c r="G46" i="365"/>
  <c r="Q46" i="365" s="1"/>
  <c r="B46" i="365"/>
  <c r="P46" i="365" s="1"/>
  <c r="AJ45" i="365"/>
  <c r="T45" i="365"/>
  <c r="S45" i="365"/>
  <c r="R45" i="365"/>
  <c r="G45" i="365"/>
  <c r="Q45" i="365" s="1"/>
  <c r="B45" i="365"/>
  <c r="P45"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K78" i="25"/>
  <c r="B78" i="25"/>
  <c r="A78" i="25"/>
  <c r="BK77" i="25"/>
  <c r="B77" i="25"/>
  <c r="A77" i="25"/>
  <c r="BK76" i="25"/>
  <c r="B76" i="25"/>
  <c r="A76" i="25"/>
  <c r="BK75" i="25"/>
  <c r="B75" i="25"/>
  <c r="A75" i="25"/>
  <c r="BK74" i="25"/>
  <c r="B74" i="25"/>
  <c r="A74" i="25"/>
  <c r="BK73" i="25"/>
  <c r="B73" i="25"/>
  <c r="A73" i="25"/>
  <c r="AM73" i="25"/>
  <c r="AM74" i="25"/>
  <c r="AM75" i="25"/>
  <c r="AM78" i="25"/>
  <c r="AM76" i="25"/>
  <c r="AM77" i="25"/>
  <c r="C679" i="174" l="1"/>
  <c r="W679" i="174" s="1"/>
  <c r="C715" i="174"/>
  <c r="W715" i="174" s="1"/>
  <c r="C724" i="174"/>
  <c r="W724" i="174" s="1"/>
  <c r="C688" i="174"/>
  <c r="W688" i="174" s="1"/>
  <c r="C706" i="174"/>
  <c r="W706" i="174" s="1"/>
  <c r="C697" i="174"/>
  <c r="W697" i="174" s="1"/>
  <c r="W680" i="174"/>
  <c r="AJ17" i="364" l="1"/>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AJ19" i="363"/>
  <c r="T19" i="363"/>
  <c r="S19" i="363"/>
  <c r="R19" i="363"/>
  <c r="G19" i="363"/>
  <c r="Q19" i="363" s="1"/>
  <c r="B19" i="363"/>
  <c r="P19" i="363" s="1"/>
  <c r="AJ20" i="363"/>
  <c r="T20" i="363"/>
  <c r="S20" i="363"/>
  <c r="R20" i="363"/>
  <c r="G20" i="363"/>
  <c r="Q20" i="363" s="1"/>
  <c r="B20" i="363"/>
  <c r="P20" i="363" s="1"/>
  <c r="AJ21" i="363"/>
  <c r="T21" i="363"/>
  <c r="S21" i="363"/>
  <c r="R21" i="363"/>
  <c r="G21" i="363"/>
  <c r="Q21" i="363" s="1"/>
  <c r="B21" i="363"/>
  <c r="P21"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3" i="363"/>
  <c r="T13" i="363"/>
  <c r="S13" i="363"/>
  <c r="R13" i="363"/>
  <c r="G13" i="363"/>
  <c r="Q13" i="363" s="1"/>
  <c r="B13" i="363"/>
  <c r="P13" i="363" s="1"/>
  <c r="AJ20" i="360"/>
  <c r="T20" i="360"/>
  <c r="S20" i="360"/>
  <c r="R20" i="360"/>
  <c r="G20" i="360"/>
  <c r="Q20" i="360" s="1"/>
  <c r="B20" i="360"/>
  <c r="P20" i="360" s="1"/>
  <c r="AJ18" i="360"/>
  <c r="T18" i="360"/>
  <c r="S18" i="360"/>
  <c r="R18" i="360"/>
  <c r="G18" i="360"/>
  <c r="Q18" i="360" s="1"/>
  <c r="B18" i="360"/>
  <c r="P18" i="360" s="1"/>
  <c r="AJ19" i="360" l="1"/>
  <c r="T19" i="360"/>
  <c r="S19" i="360"/>
  <c r="R19" i="360"/>
  <c r="G19" i="360"/>
  <c r="Q19" i="360" s="1"/>
  <c r="B19" i="360"/>
  <c r="P19" i="360" s="1"/>
  <c r="AJ16" i="360"/>
  <c r="T16" i="360"/>
  <c r="S16" i="360"/>
  <c r="R16" i="360"/>
  <c r="G16" i="360"/>
  <c r="Q16" i="360" s="1"/>
  <c r="B16" i="360"/>
  <c r="P16" i="360" s="1"/>
  <c r="AJ21" i="362"/>
  <c r="T21" i="362"/>
  <c r="S21" i="362"/>
  <c r="R21" i="362"/>
  <c r="G21" i="362"/>
  <c r="Q21" i="362" s="1"/>
  <c r="B21" i="362"/>
  <c r="P21"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AJ21" i="360"/>
  <c r="T21" i="360"/>
  <c r="S21" i="360"/>
  <c r="R21" i="360"/>
  <c r="G21" i="360"/>
  <c r="Q21" i="360" s="1"/>
  <c r="B21" i="360"/>
  <c r="P21"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AJ15" i="189"/>
  <c r="T15" i="189"/>
  <c r="S15" i="189"/>
  <c r="R15" i="189"/>
  <c r="G15" i="189"/>
  <c r="Q15" i="189" s="1"/>
  <c r="B15" i="189"/>
  <c r="P15" i="189" s="1"/>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G13" i="358"/>
  <c r="Q13" i="358" s="1"/>
  <c r="B13" i="358"/>
  <c r="P13" i="358" s="1"/>
  <c r="B157" i="25"/>
  <c r="O157" i="25" s="1"/>
  <c r="BK157" i="25" s="1"/>
  <c r="A157" i="25"/>
  <c r="B156" i="25"/>
  <c r="O156" i="25" s="1"/>
  <c r="BK156" i="25" s="1"/>
  <c r="A156" i="25"/>
  <c r="B155" i="25"/>
  <c r="O155" i="25" s="1"/>
  <c r="BK155" i="25" s="1"/>
  <c r="A155" i="25"/>
  <c r="B154" i="25"/>
  <c r="O154" i="25" s="1"/>
  <c r="BK154" i="25" s="1"/>
  <c r="A154" i="25"/>
  <c r="O43" i="176"/>
  <c r="B164" i="25"/>
  <c r="O164" i="25" s="1"/>
  <c r="BK164" i="25" s="1"/>
  <c r="A164" i="25"/>
  <c r="B163" i="25"/>
  <c r="O163" i="25" s="1"/>
  <c r="BK163" i="25" s="1"/>
  <c r="A163" i="25"/>
  <c r="A166" i="25"/>
  <c r="B166" i="25"/>
  <c r="O166" i="25" s="1"/>
  <c r="AM156" i="25"/>
  <c r="AM154" i="25"/>
  <c r="AM164" i="25"/>
  <c r="AM155" i="25"/>
  <c r="AM157" i="25"/>
  <c r="AM166" i="25"/>
  <c r="AM163" i="25"/>
  <c r="BK166" i="25" l="1"/>
  <c r="AJ20" i="358" l="1"/>
  <c r="T20" i="358"/>
  <c r="S20" i="358"/>
  <c r="R20" i="358"/>
  <c r="G20" i="358"/>
  <c r="Q20" i="358" s="1"/>
  <c r="B20" i="358"/>
  <c r="P20" i="358" s="1"/>
  <c r="E161" i="176"/>
  <c r="E158" i="176"/>
  <c r="E155" i="176"/>
  <c r="E152" i="176"/>
  <c r="C144" i="176"/>
  <c r="W144" i="176" s="1"/>
  <c r="E149" i="176"/>
  <c r="T146" i="176"/>
  <c r="E146" i="176"/>
  <c r="C143" i="176"/>
  <c r="W143" i="176" s="1"/>
  <c r="W142" i="176"/>
  <c r="E101" i="176"/>
  <c r="J98" i="176"/>
  <c r="J31" i="176"/>
  <c r="C50" i="176"/>
  <c r="W50" i="176" s="1"/>
  <c r="T53" i="176"/>
  <c r="W51" i="176"/>
  <c r="W49" i="176"/>
  <c r="C37" i="176"/>
  <c r="C5" i="174" l="1"/>
  <c r="R427" i="178" l="1"/>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R355" i="178"/>
  <c r="C353" i="178" s="1"/>
  <c r="W353" i="178" s="1"/>
  <c r="W351" i="178"/>
  <c r="C412" i="178" l="1"/>
  <c r="W412" i="178" s="1"/>
  <c r="C388" i="178"/>
  <c r="W388" i="178" s="1"/>
  <c r="C424" i="178"/>
  <c r="W424" i="178" s="1"/>
  <c r="C400" i="178"/>
  <c r="W400" i="178" s="1"/>
  <c r="C376" i="178"/>
  <c r="W376" i="178" s="1"/>
  <c r="C364" i="178"/>
  <c r="W364" i="178" s="1"/>
  <c r="C352" i="178"/>
  <c r="W352" i="178" s="1"/>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259" i="178"/>
  <c r="C257" i="178" s="1"/>
  <c r="W257" i="178" s="1"/>
  <c r="W255" i="178"/>
  <c r="R187" i="178"/>
  <c r="C185" i="178" s="1"/>
  <c r="W185" i="178" s="1"/>
  <c r="W183" i="178"/>
  <c r="R175" i="178"/>
  <c r="C173" i="178" s="1"/>
  <c r="W173" i="178" s="1"/>
  <c r="W171" i="178"/>
  <c r="R163" i="178"/>
  <c r="C161" i="178" s="1"/>
  <c r="W161" i="178" s="1"/>
  <c r="W159" i="178"/>
  <c r="R79" i="178"/>
  <c r="C77" i="178" s="1"/>
  <c r="W77" i="178" s="1"/>
  <c r="W75" i="178"/>
  <c r="R67" i="178"/>
  <c r="C64" i="178" s="1"/>
  <c r="W64" i="178" s="1"/>
  <c r="W63" i="178"/>
  <c r="R55" i="178"/>
  <c r="C53" i="178" s="1"/>
  <c r="W53" i="178" s="1"/>
  <c r="W51" i="178"/>
  <c r="R43" i="178"/>
  <c r="C41" i="178" s="1"/>
  <c r="W41" i="178" s="1"/>
  <c r="W39" i="178"/>
  <c r="R31" i="178"/>
  <c r="C29" i="178" s="1"/>
  <c r="W29" i="178" s="1"/>
  <c r="W27" i="178"/>
  <c r="R19" i="178"/>
  <c r="C17" i="178" s="1"/>
  <c r="W17" i="178" s="1"/>
  <c r="W15" i="178"/>
  <c r="R7" i="178"/>
  <c r="C4" i="178" s="1"/>
  <c r="W4" i="178" s="1"/>
  <c r="W3" i="178"/>
  <c r="C172" i="178" l="1"/>
  <c r="W172" i="178" s="1"/>
  <c r="C16" i="178"/>
  <c r="W16" i="178" s="1"/>
  <c r="C280" i="178"/>
  <c r="W280" i="178" s="1"/>
  <c r="C340" i="178"/>
  <c r="W340" i="178" s="1"/>
  <c r="C28" i="178"/>
  <c r="W28" i="178" s="1"/>
  <c r="C304" i="178"/>
  <c r="W304" i="178" s="1"/>
  <c r="C40" i="178"/>
  <c r="W40" i="178" s="1"/>
  <c r="C256" i="178"/>
  <c r="W256" i="178" s="1"/>
  <c r="C328" i="178"/>
  <c r="W328" i="178" s="1"/>
  <c r="C316" i="178"/>
  <c r="W316" i="178" s="1"/>
  <c r="C292" i="178"/>
  <c r="W292" i="178" s="1"/>
  <c r="C268" i="178"/>
  <c r="W268" i="178" s="1"/>
  <c r="C184" i="178"/>
  <c r="W184" i="178" s="1"/>
  <c r="C160" i="178"/>
  <c r="W160" i="178" s="1"/>
  <c r="C76" i="178"/>
  <c r="W76" i="178" s="1"/>
  <c r="C65" i="178"/>
  <c r="W65" i="178" s="1"/>
  <c r="C52" i="178"/>
  <c r="W52" i="178" s="1"/>
  <c r="C5" i="178"/>
  <c r="W5" i="178" s="1"/>
  <c r="W23" i="177"/>
  <c r="E25" i="177"/>
  <c r="C22" i="177"/>
  <c r="W22" i="177" s="1"/>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Q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K201" i="25"/>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8" i="25"/>
  <c r="BK168" i="25" s="1"/>
  <c r="A168" i="25"/>
  <c r="AM186" i="25"/>
  <c r="AM197" i="25"/>
  <c r="AM182" i="25"/>
  <c r="AM170" i="25"/>
  <c r="AM191" i="25"/>
  <c r="AM171" i="25"/>
  <c r="AM198" i="25"/>
  <c r="AM187" i="25"/>
  <c r="AM201" i="25"/>
  <c r="AM200" i="25"/>
  <c r="AM202" i="25"/>
  <c r="AM190" i="25"/>
  <c r="AM192" i="25"/>
  <c r="AM193" i="25"/>
  <c r="AM173" i="25"/>
  <c r="AM199" i="25"/>
  <c r="AM185" i="25"/>
  <c r="AM172" i="25"/>
  <c r="AM183" i="25"/>
  <c r="AM168" i="25"/>
  <c r="AM169" i="25"/>
  <c r="AM195" i="25"/>
  <c r="AM181" i="25"/>
  <c r="AM194" i="25"/>
  <c r="AM180" i="25"/>
  <c r="AM184" i="25"/>
  <c r="AM196" i="25"/>
  <c r="AM189" i="25"/>
  <c r="AM188" i="25"/>
  <c r="Q22" i="352" l="1"/>
  <c r="Q17" i="339"/>
  <c r="R17" i="346"/>
  <c r="Q17" i="342"/>
  <c r="Q23" i="352"/>
  <c r="Q17" i="347"/>
  <c r="Q22" i="346"/>
  <c r="Q17" i="345"/>
  <c r="Q17" i="344"/>
  <c r="Q17" i="343"/>
  <c r="Q17" i="341"/>
  <c r="Q17" i="340"/>
  <c r="Q17" i="338"/>
  <c r="R17" i="337"/>
  <c r="Q17" i="336"/>
  <c r="Q17" i="335"/>
  <c r="R17" i="334"/>
  <c r="Q17" i="333"/>
  <c r="B162" i="25"/>
  <c r="O162" i="25" s="1"/>
  <c r="BK162" i="25" s="1"/>
  <c r="A162"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6" i="25"/>
  <c r="AM162" i="25"/>
  <c r="AM7" i="25"/>
  <c r="D4" i="331" l="1"/>
  <c r="D6" i="332"/>
  <c r="D5" i="331"/>
  <c r="D8" i="331" s="1"/>
  <c r="D5" i="332"/>
  <c r="D8" i="332" s="1"/>
  <c r="D4" i="332"/>
  <c r="D6" i="331"/>
  <c r="C89" i="176"/>
  <c r="W89" i="176" s="1"/>
  <c r="J107" i="176"/>
  <c r="T92" i="176"/>
  <c r="E92" i="176"/>
  <c r="W90" i="176"/>
  <c r="W88" i="176"/>
  <c r="T40" i="176"/>
  <c r="E40" i="176"/>
  <c r="E28" i="176"/>
  <c r="T28" i="176"/>
  <c r="C25" i="176"/>
  <c r="W5" i="176" l="1"/>
  <c r="E7" i="176"/>
  <c r="T7" i="176"/>
  <c r="C4" i="176"/>
  <c r="W4" i="176" s="1"/>
  <c r="W3" i="176"/>
  <c r="E1063" i="174" l="1"/>
  <c r="T1060" i="174"/>
  <c r="R1060" i="174"/>
  <c r="C1058" i="174" s="1"/>
  <c r="W1058" i="174" s="1"/>
  <c r="W1056" i="174"/>
  <c r="E1051" i="174"/>
  <c r="T1048" i="174"/>
  <c r="R1048" i="174"/>
  <c r="C1046" i="174" s="1"/>
  <c r="W1046" i="174" s="1"/>
  <c r="W1044" i="174"/>
  <c r="E1039" i="174"/>
  <c r="T1036" i="174"/>
  <c r="R1036" i="174"/>
  <c r="C1034" i="174" s="1"/>
  <c r="W1034" i="174" s="1"/>
  <c r="W1032" i="174"/>
  <c r="E1027" i="174"/>
  <c r="T1024" i="174"/>
  <c r="R1024" i="174"/>
  <c r="C1021" i="174" s="1"/>
  <c r="W1021" i="174" s="1"/>
  <c r="W1020" i="174"/>
  <c r="E1015" i="174"/>
  <c r="T1012" i="174"/>
  <c r="R1012" i="174"/>
  <c r="C1010" i="174" s="1"/>
  <c r="W1010" i="174" s="1"/>
  <c r="W1008" i="174"/>
  <c r="E1003" i="174"/>
  <c r="T1000" i="174"/>
  <c r="R1000" i="174"/>
  <c r="C998" i="174" s="1"/>
  <c r="W998" i="174" s="1"/>
  <c r="W996" i="174"/>
  <c r="E991" i="174"/>
  <c r="T988" i="174"/>
  <c r="R988" i="174"/>
  <c r="C986" i="174" s="1"/>
  <c r="W986" i="174" s="1"/>
  <c r="W984" i="174"/>
  <c r="E979" i="174"/>
  <c r="T976" i="174"/>
  <c r="R976" i="174"/>
  <c r="C974" i="174" s="1"/>
  <c r="W974" i="174" s="1"/>
  <c r="W972" i="174"/>
  <c r="E967" i="174"/>
  <c r="T964" i="174"/>
  <c r="R964" i="174"/>
  <c r="C962" i="174" s="1"/>
  <c r="W962" i="174" s="1"/>
  <c r="W960" i="174"/>
  <c r="E955" i="174"/>
  <c r="T952" i="174"/>
  <c r="R952" i="174"/>
  <c r="C950" i="174" s="1"/>
  <c r="W950" i="174" s="1"/>
  <c r="W948" i="174"/>
  <c r="E943" i="174"/>
  <c r="T940" i="174"/>
  <c r="R940" i="174"/>
  <c r="C938" i="174" s="1"/>
  <c r="W938" i="174" s="1"/>
  <c r="W936" i="174"/>
  <c r="E931" i="174"/>
  <c r="T928" i="174"/>
  <c r="R928" i="174"/>
  <c r="C926" i="174" s="1"/>
  <c r="W926" i="174" s="1"/>
  <c r="W924" i="174"/>
  <c r="E919" i="174"/>
  <c r="T916" i="174"/>
  <c r="R916" i="174"/>
  <c r="C914" i="174" s="1"/>
  <c r="W914" i="174" s="1"/>
  <c r="W912" i="174"/>
  <c r="E907" i="174"/>
  <c r="T904" i="174"/>
  <c r="R904" i="174"/>
  <c r="C902" i="174" s="1"/>
  <c r="W902" i="174" s="1"/>
  <c r="W900" i="174"/>
  <c r="E895" i="174"/>
  <c r="T892" i="174"/>
  <c r="R892" i="174"/>
  <c r="C890" i="174" s="1"/>
  <c r="W890" i="174" s="1"/>
  <c r="W888" i="174"/>
  <c r="E883" i="174"/>
  <c r="T880" i="174"/>
  <c r="R880" i="174"/>
  <c r="C878" i="174" s="1"/>
  <c r="W878" i="174" s="1"/>
  <c r="W876" i="174"/>
  <c r="E871" i="174"/>
  <c r="T868" i="174"/>
  <c r="R868" i="174"/>
  <c r="C865" i="174" s="1"/>
  <c r="W865" i="174" s="1"/>
  <c r="W864" i="174"/>
  <c r="E859" i="174"/>
  <c r="T856" i="174"/>
  <c r="R856" i="174"/>
  <c r="C854" i="174" s="1"/>
  <c r="W854" i="174" s="1"/>
  <c r="W852" i="174"/>
  <c r="E847" i="174"/>
  <c r="T844" i="174"/>
  <c r="R844" i="174"/>
  <c r="C841" i="174" s="1"/>
  <c r="W841" i="174" s="1"/>
  <c r="W840" i="174"/>
  <c r="E835" i="174"/>
  <c r="T832" i="174"/>
  <c r="R832" i="174"/>
  <c r="C830" i="174" s="1"/>
  <c r="W830" i="174" s="1"/>
  <c r="W828" i="174"/>
  <c r="E823" i="174"/>
  <c r="T820" i="174"/>
  <c r="R820" i="174"/>
  <c r="C818" i="174" s="1"/>
  <c r="W818" i="174" s="1"/>
  <c r="W816" i="174"/>
  <c r="E811" i="174"/>
  <c r="T808" i="174"/>
  <c r="R808" i="174"/>
  <c r="C806" i="174" s="1"/>
  <c r="W806" i="174" s="1"/>
  <c r="W804" i="174"/>
  <c r="E799" i="174"/>
  <c r="T796" i="174"/>
  <c r="R796" i="174"/>
  <c r="C794" i="174" s="1"/>
  <c r="W794" i="174" s="1"/>
  <c r="W792" i="174"/>
  <c r="E787" i="174"/>
  <c r="T784" i="174"/>
  <c r="R784" i="174"/>
  <c r="C782" i="174" s="1"/>
  <c r="W782" i="174" s="1"/>
  <c r="W780" i="174"/>
  <c r="E775" i="174"/>
  <c r="T772" i="174"/>
  <c r="R772" i="174"/>
  <c r="C770" i="174" s="1"/>
  <c r="W770" i="174" s="1"/>
  <c r="W768" i="174"/>
  <c r="E763" i="174"/>
  <c r="T760" i="174"/>
  <c r="R760" i="174"/>
  <c r="C758" i="174" s="1"/>
  <c r="W758" i="174" s="1"/>
  <c r="W756" i="174"/>
  <c r="E751" i="174"/>
  <c r="T748" i="174"/>
  <c r="R748" i="174"/>
  <c r="C746" i="174" s="1"/>
  <c r="W746" i="174" s="1"/>
  <c r="W744" i="174"/>
  <c r="E739" i="174"/>
  <c r="T736" i="174"/>
  <c r="R736" i="174"/>
  <c r="C734" i="174" s="1"/>
  <c r="W734" i="174" s="1"/>
  <c r="W732" i="174"/>
  <c r="E673" i="174"/>
  <c r="T670" i="174"/>
  <c r="R670" i="174"/>
  <c r="C668" i="174" s="1"/>
  <c r="W668" i="174" s="1"/>
  <c r="W666" i="174"/>
  <c r="E661" i="174"/>
  <c r="T658" i="174"/>
  <c r="R658" i="174"/>
  <c r="C656" i="174" s="1"/>
  <c r="W656" i="174" s="1"/>
  <c r="W654" i="174"/>
  <c r="E649" i="174"/>
  <c r="T646" i="174"/>
  <c r="R646" i="174"/>
  <c r="C644" i="174" s="1"/>
  <c r="W644" i="174" s="1"/>
  <c r="W642"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1045" i="174" l="1"/>
  <c r="W1045" i="174" s="1"/>
  <c r="C97" i="174"/>
  <c r="W97" i="174" s="1"/>
  <c r="C559" i="174"/>
  <c r="W559" i="174" s="1"/>
  <c r="C406" i="174"/>
  <c r="W406" i="174" s="1"/>
  <c r="C550" i="174"/>
  <c r="W550" i="174" s="1"/>
  <c r="C182" i="174"/>
  <c r="W182" i="174" s="1"/>
  <c r="C532" i="174"/>
  <c r="W532" i="174" s="1"/>
  <c r="C643" i="174"/>
  <c r="W643" i="174" s="1"/>
  <c r="C469" i="174"/>
  <c r="W469" i="174" s="1"/>
  <c r="C1033" i="174"/>
  <c r="W1033" i="174" s="1"/>
  <c r="C577" i="174"/>
  <c r="W577" i="174" s="1"/>
  <c r="C272" i="174"/>
  <c r="W272" i="174" s="1"/>
  <c r="C433" i="174"/>
  <c r="W433" i="174" s="1"/>
  <c r="C604" i="174"/>
  <c r="W604" i="174" s="1"/>
  <c r="C829" i="174"/>
  <c r="W829" i="174" s="1"/>
  <c r="C506" i="174"/>
  <c r="W506" i="174" s="1"/>
  <c r="C1057" i="174"/>
  <c r="W1057" i="174" s="1"/>
  <c r="C1022" i="174"/>
  <c r="W1022" i="174" s="1"/>
  <c r="C1009" i="174"/>
  <c r="W1009" i="174" s="1"/>
  <c r="C997" i="174"/>
  <c r="W997" i="174" s="1"/>
  <c r="C985" i="174"/>
  <c r="W985" i="174" s="1"/>
  <c r="C973" i="174"/>
  <c r="W973" i="174" s="1"/>
  <c r="C961" i="174"/>
  <c r="W961" i="174" s="1"/>
  <c r="C949" i="174"/>
  <c r="W949" i="174" s="1"/>
  <c r="C937" i="174"/>
  <c r="W937" i="174" s="1"/>
  <c r="C925" i="174"/>
  <c r="W925" i="174" s="1"/>
  <c r="C913" i="174"/>
  <c r="W913" i="174" s="1"/>
  <c r="C901" i="174"/>
  <c r="W901" i="174" s="1"/>
  <c r="C889" i="174"/>
  <c r="W889" i="174" s="1"/>
  <c r="C877" i="174"/>
  <c r="W877" i="174" s="1"/>
  <c r="C866" i="174"/>
  <c r="W866" i="174" s="1"/>
  <c r="C853" i="174"/>
  <c r="W853" i="174" s="1"/>
  <c r="C842" i="174"/>
  <c r="W842" i="174" s="1"/>
  <c r="C817" i="174"/>
  <c r="W817" i="174" s="1"/>
  <c r="C805" i="174"/>
  <c r="W805" i="174" s="1"/>
  <c r="C793" i="174"/>
  <c r="W793" i="174" s="1"/>
  <c r="C781" i="174"/>
  <c r="W781" i="174" s="1"/>
  <c r="C769" i="174"/>
  <c r="W769" i="174" s="1"/>
  <c r="C757" i="174"/>
  <c r="W757" i="174" s="1"/>
  <c r="C745" i="174"/>
  <c r="W745" i="174" s="1"/>
  <c r="C733" i="174"/>
  <c r="W733" i="174" s="1"/>
  <c r="C667" i="174"/>
  <c r="W667" i="174" s="1"/>
  <c r="C655" i="174"/>
  <c r="W655"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615" i="174"/>
  <c r="T1612" i="174"/>
  <c r="R1612" i="174"/>
  <c r="C1610" i="174" s="1"/>
  <c r="W1610" i="174" s="1"/>
  <c r="W1608" i="174"/>
  <c r="E1603" i="174"/>
  <c r="T1600" i="174"/>
  <c r="R1600" i="174"/>
  <c r="C1598" i="174" s="1"/>
  <c r="W1598" i="174" s="1"/>
  <c r="W1596" i="174"/>
  <c r="E1591" i="174"/>
  <c r="T1588" i="174"/>
  <c r="R1588" i="174"/>
  <c r="C1586" i="174" s="1"/>
  <c r="W1586" i="174" s="1"/>
  <c r="W1584" i="174"/>
  <c r="E1579" i="174"/>
  <c r="T1576" i="174"/>
  <c r="R1576" i="174"/>
  <c r="C1574" i="174" s="1"/>
  <c r="W1574" i="174" s="1"/>
  <c r="W1572" i="174"/>
  <c r="E1567" i="174"/>
  <c r="T1564" i="174"/>
  <c r="R1564" i="174"/>
  <c r="C1562" i="174" s="1"/>
  <c r="W1562" i="174" s="1"/>
  <c r="W1560" i="174"/>
  <c r="E1555" i="174"/>
  <c r="T1552" i="174"/>
  <c r="R1552" i="174"/>
  <c r="C1550" i="174" s="1"/>
  <c r="W1550" i="174" s="1"/>
  <c r="W1548" i="174"/>
  <c r="E1543" i="174"/>
  <c r="T1540" i="174"/>
  <c r="R1540" i="174"/>
  <c r="C1537" i="174" s="1"/>
  <c r="W1537" i="174" s="1"/>
  <c r="W1536" i="174"/>
  <c r="E1531" i="174"/>
  <c r="T1528" i="174"/>
  <c r="R1528" i="174"/>
  <c r="C1525" i="174" s="1"/>
  <c r="W1525" i="174" s="1"/>
  <c r="W1524" i="174"/>
  <c r="E1519" i="174"/>
  <c r="T1516" i="174"/>
  <c r="R1516" i="174"/>
  <c r="C1513" i="174" s="1"/>
  <c r="W1513" i="174" s="1"/>
  <c r="W1512" i="174"/>
  <c r="E1507" i="174"/>
  <c r="T1504" i="174"/>
  <c r="R1504" i="174"/>
  <c r="C1502" i="174" s="1"/>
  <c r="W1502" i="174" s="1"/>
  <c r="W1500" i="174"/>
  <c r="E1495" i="174"/>
  <c r="T1492" i="174"/>
  <c r="R1492" i="174"/>
  <c r="C1489" i="174" s="1"/>
  <c r="W1489" i="174" s="1"/>
  <c r="W1488" i="174"/>
  <c r="E1483" i="174"/>
  <c r="T1480" i="174"/>
  <c r="R1480" i="174"/>
  <c r="C1478" i="174" s="1"/>
  <c r="W1478" i="174" s="1"/>
  <c r="W1476" i="174"/>
  <c r="E1471" i="174"/>
  <c r="T1468" i="174"/>
  <c r="R1468" i="174"/>
  <c r="C1466" i="174" s="1"/>
  <c r="W1466" i="174" s="1"/>
  <c r="W1464" i="174"/>
  <c r="E1459" i="174"/>
  <c r="T1456" i="174"/>
  <c r="R1456" i="174"/>
  <c r="C1454" i="174" s="1"/>
  <c r="W1454" i="174" s="1"/>
  <c r="W1452" i="174"/>
  <c r="E1447" i="174"/>
  <c r="T1444" i="174"/>
  <c r="R1444" i="174"/>
  <c r="C1442" i="174" s="1"/>
  <c r="W1442" i="174" s="1"/>
  <c r="W1440" i="174"/>
  <c r="E1435" i="174"/>
  <c r="T1432" i="174"/>
  <c r="R1432" i="174"/>
  <c r="C1429" i="174" s="1"/>
  <c r="W1429" i="174" s="1"/>
  <c r="W1428" i="174"/>
  <c r="E1423" i="174"/>
  <c r="T1420" i="174"/>
  <c r="R1420" i="174"/>
  <c r="C1418" i="174" s="1"/>
  <c r="W1418" i="174" s="1"/>
  <c r="W1416" i="174"/>
  <c r="E1411" i="174"/>
  <c r="T1408" i="174"/>
  <c r="R1408" i="174"/>
  <c r="C1405" i="174" s="1"/>
  <c r="W1405" i="174" s="1"/>
  <c r="W1404" i="174"/>
  <c r="E1399" i="174"/>
  <c r="T1396" i="174"/>
  <c r="R1396" i="174"/>
  <c r="C1394" i="174" s="1"/>
  <c r="W1394" i="174" s="1"/>
  <c r="W1392" i="174"/>
  <c r="E1387" i="174"/>
  <c r="T1384" i="174"/>
  <c r="R1384" i="174"/>
  <c r="C1382" i="174" s="1"/>
  <c r="W1382" i="174" s="1"/>
  <c r="W1380" i="174"/>
  <c r="E1375" i="174"/>
  <c r="T1372" i="174"/>
  <c r="R1372" i="174"/>
  <c r="C1370" i="174" s="1"/>
  <c r="W1370" i="174" s="1"/>
  <c r="W1368" i="174"/>
  <c r="E1363" i="174"/>
  <c r="T1360" i="174"/>
  <c r="R1360" i="174"/>
  <c r="C1358" i="174" s="1"/>
  <c r="W1358" i="174" s="1"/>
  <c r="W1356" i="174"/>
  <c r="E1351" i="174"/>
  <c r="T1348" i="174"/>
  <c r="R1348" i="174"/>
  <c r="C1346" i="174" s="1"/>
  <c r="W1346" i="174" s="1"/>
  <c r="W1344" i="174"/>
  <c r="E1339" i="174"/>
  <c r="T1336" i="174"/>
  <c r="R1336" i="174"/>
  <c r="C1333" i="174" s="1"/>
  <c r="W1333" i="174" s="1"/>
  <c r="W1332" i="174"/>
  <c r="E1327" i="174"/>
  <c r="T1324" i="174"/>
  <c r="R1324" i="174"/>
  <c r="C1321" i="174" s="1"/>
  <c r="W1321" i="174" s="1"/>
  <c r="W1320" i="174"/>
  <c r="E1315" i="174"/>
  <c r="T1312" i="174"/>
  <c r="R1312" i="174"/>
  <c r="C1310" i="174" s="1"/>
  <c r="W1310" i="174" s="1"/>
  <c r="W1308" i="174"/>
  <c r="E1303" i="174"/>
  <c r="T1300" i="174"/>
  <c r="R1300" i="174"/>
  <c r="C1298" i="174" s="1"/>
  <c r="W1298" i="174" s="1"/>
  <c r="W1296" i="174"/>
  <c r="E1291" i="174"/>
  <c r="T1288" i="174"/>
  <c r="R1288" i="174"/>
  <c r="C1286" i="174" s="1"/>
  <c r="W1286" i="174" s="1"/>
  <c r="W1284" i="174"/>
  <c r="E1279" i="174"/>
  <c r="T1276" i="174"/>
  <c r="R1276" i="174"/>
  <c r="C1273" i="174" s="1"/>
  <c r="W1273" i="174" s="1"/>
  <c r="W1272" i="174"/>
  <c r="E1267" i="174"/>
  <c r="T1264" i="174"/>
  <c r="R1264" i="174"/>
  <c r="C1262" i="174" s="1"/>
  <c r="W1262" i="174" s="1"/>
  <c r="W1260" i="174"/>
  <c r="E1255" i="174"/>
  <c r="T1252" i="174"/>
  <c r="R1252" i="174"/>
  <c r="C1250" i="174" s="1"/>
  <c r="W1250" i="174" s="1"/>
  <c r="W1248" i="174"/>
  <c r="E1243" i="174"/>
  <c r="T1240" i="174"/>
  <c r="R1240" i="174"/>
  <c r="C1238" i="174" s="1"/>
  <c r="W1238" i="174" s="1"/>
  <c r="W1236" i="174"/>
  <c r="E1231" i="174"/>
  <c r="T1228" i="174"/>
  <c r="R1228" i="174"/>
  <c r="C1225" i="174" s="1"/>
  <c r="W1225" i="174" s="1"/>
  <c r="W1224" i="174"/>
  <c r="E1219" i="174"/>
  <c r="T1216" i="174"/>
  <c r="R1216" i="174"/>
  <c r="C1214" i="174" s="1"/>
  <c r="W1214" i="174" s="1"/>
  <c r="W1212" i="174"/>
  <c r="E1207" i="174"/>
  <c r="T1204" i="174"/>
  <c r="R1204" i="174"/>
  <c r="C1202" i="174" s="1"/>
  <c r="W1202" i="174" s="1"/>
  <c r="W1200" i="174"/>
  <c r="E1195" i="174"/>
  <c r="T1192" i="174"/>
  <c r="R1192" i="174"/>
  <c r="C1190" i="174" s="1"/>
  <c r="W1190" i="174" s="1"/>
  <c r="W1188" i="174"/>
  <c r="E1183" i="174"/>
  <c r="T1180" i="174"/>
  <c r="R1180" i="174"/>
  <c r="C1178" i="174" s="1"/>
  <c r="W1178" i="174" s="1"/>
  <c r="W1176" i="174"/>
  <c r="E1171" i="174"/>
  <c r="T1168" i="174"/>
  <c r="R1168" i="174"/>
  <c r="C1166" i="174" s="1"/>
  <c r="W1166" i="174" s="1"/>
  <c r="W1164" i="174"/>
  <c r="C1381" i="174" l="1"/>
  <c r="W1381" i="174" s="1"/>
  <c r="C1334" i="174"/>
  <c r="W1334" i="174" s="1"/>
  <c r="C52" i="174"/>
  <c r="W52" i="174" s="1"/>
  <c r="C40" i="174"/>
  <c r="W40" i="174" s="1"/>
  <c r="C1609" i="174"/>
  <c r="W1609" i="174" s="1"/>
  <c r="C1597" i="174"/>
  <c r="W1597" i="174" s="1"/>
  <c r="C1585" i="174"/>
  <c r="W1585" i="174" s="1"/>
  <c r="C1573" i="174"/>
  <c r="W1573" i="174" s="1"/>
  <c r="C1561" i="174"/>
  <c r="W1561" i="174" s="1"/>
  <c r="C1549" i="174"/>
  <c r="W1549" i="174" s="1"/>
  <c r="C1538" i="174"/>
  <c r="W1538" i="174" s="1"/>
  <c r="C1526" i="174"/>
  <c r="W1526" i="174" s="1"/>
  <c r="C1514" i="174"/>
  <c r="W1514" i="174" s="1"/>
  <c r="C1501" i="174"/>
  <c r="W1501" i="174" s="1"/>
  <c r="C1490" i="174"/>
  <c r="W1490" i="174" s="1"/>
  <c r="C1477" i="174"/>
  <c r="W1477" i="174" s="1"/>
  <c r="C1465" i="174"/>
  <c r="W1465" i="174" s="1"/>
  <c r="C1453" i="174"/>
  <c r="W1453" i="174" s="1"/>
  <c r="C1441" i="174"/>
  <c r="W1441" i="174" s="1"/>
  <c r="C1430" i="174"/>
  <c r="W1430" i="174" s="1"/>
  <c r="C1417" i="174"/>
  <c r="W1417" i="174" s="1"/>
  <c r="C1406" i="174"/>
  <c r="W1406" i="174" s="1"/>
  <c r="C1393" i="174"/>
  <c r="W1393" i="174" s="1"/>
  <c r="C1369" i="174"/>
  <c r="W1369" i="174" s="1"/>
  <c r="C1357" i="174"/>
  <c r="W1357" i="174" s="1"/>
  <c r="C1345" i="174"/>
  <c r="W1345" i="174" s="1"/>
  <c r="C1322" i="174"/>
  <c r="W1322" i="174" s="1"/>
  <c r="C1309" i="174"/>
  <c r="W1309" i="174" s="1"/>
  <c r="C1297" i="174"/>
  <c r="W1297" i="174" s="1"/>
  <c r="C1285" i="174"/>
  <c r="W1285" i="174" s="1"/>
  <c r="C1274" i="174"/>
  <c r="W1274" i="174" s="1"/>
  <c r="C1261" i="174"/>
  <c r="W1261" i="174" s="1"/>
  <c r="C1249" i="174"/>
  <c r="W1249" i="174" s="1"/>
  <c r="C1237" i="174"/>
  <c r="W1237" i="174" s="1"/>
  <c r="C1226" i="174"/>
  <c r="W1226" i="174" s="1"/>
  <c r="C1213" i="174"/>
  <c r="W1213" i="174" s="1"/>
  <c r="C1201" i="174"/>
  <c r="W1201" i="174" s="1"/>
  <c r="C1189" i="174"/>
  <c r="W1189" i="174" s="1"/>
  <c r="C1177" i="174"/>
  <c r="W1177" i="174" s="1"/>
  <c r="C1165" i="174"/>
  <c r="W1165" i="174" s="1"/>
  <c r="E1159" i="174" l="1"/>
  <c r="T1156" i="174"/>
  <c r="R1156" i="174"/>
  <c r="C1154" i="174" s="1"/>
  <c r="W1154" i="174" s="1"/>
  <c r="W1152"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3" i="174" l="1"/>
  <c r="W1153"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G21" i="311"/>
  <c r="R21" i="311" s="1"/>
  <c r="B21" i="311"/>
  <c r="P21" i="311" s="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7" i="174" l="1"/>
  <c r="E1135" i="174"/>
  <c r="E1123" i="174"/>
  <c r="E1111" i="174"/>
  <c r="E1099" i="174"/>
  <c r="E1087" i="174"/>
  <c r="T1144" i="174"/>
  <c r="T1132" i="174"/>
  <c r="T1120" i="174"/>
  <c r="T1108" i="174"/>
  <c r="T1096" i="174"/>
  <c r="T1084" i="174"/>
  <c r="E1075" i="174"/>
  <c r="T1072"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2" i="25"/>
  <c r="AM45" i="25"/>
  <c r="AM53" i="25"/>
  <c r="AM43" i="25"/>
  <c r="AM38" i="25"/>
  <c r="AM37" i="25"/>
  <c r="AM41" i="25"/>
  <c r="AM49" i="25"/>
  <c r="AM51" i="25"/>
  <c r="AM55" i="25"/>
  <c r="AM46" i="25"/>
  <c r="AM40" i="25"/>
  <c r="AM47" i="25"/>
  <c r="AM44" i="25"/>
  <c r="AM36" i="25"/>
  <c r="AM39" i="25"/>
  <c r="AM52" i="25"/>
  <c r="AM54" i="25"/>
  <c r="AM48" i="25"/>
  <c r="AM50" i="25"/>
  <c r="Q23" i="309" l="1"/>
  <c r="Q22" i="309"/>
  <c r="BK96" i="25"/>
  <c r="A96" i="25"/>
  <c r="O249" i="25"/>
  <c r="BK70" i="25"/>
  <c r="A70" i="25"/>
  <c r="C22" i="174"/>
  <c r="W22" i="174" s="1"/>
  <c r="C21" i="174"/>
  <c r="W21" i="174" s="1"/>
  <c r="W20" i="174"/>
  <c r="AM96" i="25"/>
  <c r="AM70" i="25"/>
  <c r="W5" i="174" l="1"/>
  <c r="W3" i="174"/>
  <c r="W1068" i="174"/>
  <c r="R1072" i="174"/>
  <c r="C1069" i="174" s="1"/>
  <c r="W1069" i="174" s="1"/>
  <c r="C4" i="174" l="1"/>
  <c r="W4" i="174" s="1"/>
  <c r="C1070" i="174"/>
  <c r="W1070"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R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86" i="25"/>
  <c r="AM71" i="25"/>
  <c r="AM81" i="25"/>
  <c r="AM67" i="25"/>
  <c r="AM26" i="25"/>
  <c r="AM90" i="25"/>
  <c r="AM29" i="25"/>
  <c r="AM98" i="25"/>
  <c r="AM34" i="25"/>
  <c r="AM56" i="25"/>
  <c r="AM102" i="25"/>
  <c r="AM21" i="25"/>
  <c r="AM63" i="25"/>
  <c r="AM24" i="25"/>
  <c r="AM60" i="25"/>
  <c r="AM35" i="25"/>
  <c r="AM57" i="25"/>
  <c r="AM92" i="25"/>
  <c r="AM94" i="25"/>
  <c r="AM95" i="25"/>
  <c r="AM82" i="25"/>
  <c r="AM91" i="25"/>
  <c r="AM83" i="25"/>
  <c r="AM22" i="25"/>
  <c r="AM68" i="25"/>
  <c r="AM80" i="25"/>
  <c r="AM85" i="25"/>
  <c r="AM103" i="25"/>
  <c r="AM88" i="25"/>
  <c r="AM89" i="25"/>
  <c r="AM84" i="25"/>
  <c r="AM25" i="25"/>
  <c r="AM87" i="25"/>
  <c r="AM23" i="25"/>
  <c r="AM79" i="25"/>
  <c r="AM72" i="25"/>
  <c r="AM20" i="25"/>
  <c r="AM101" i="25"/>
  <c r="AM99" i="25"/>
  <c r="AM58" i="25"/>
  <c r="AM93" i="25"/>
  <c r="AM66" i="25"/>
  <c r="AM33" i="25"/>
  <c r="AM61" i="25"/>
  <c r="AM31" i="25"/>
  <c r="AM104" i="25"/>
  <c r="AM69" i="25"/>
  <c r="AM100" i="25"/>
  <c r="AM97" i="25"/>
  <c r="AM64" i="25"/>
  <c r="AM32" i="25"/>
  <c r="AM28" i="25"/>
  <c r="AM59" i="25"/>
  <c r="AM65" i="25"/>
  <c r="AM62" i="25"/>
  <c r="AM27" i="25"/>
  <c r="R19" i="274" l="1"/>
  <c r="Q24" i="276"/>
  <c r="Q25" i="249"/>
  <c r="R13" i="252"/>
  <c r="R24" i="249"/>
  <c r="R18" i="274"/>
  <c r="R15" i="249"/>
  <c r="R18" i="249"/>
  <c r="R14" i="249"/>
  <c r="R20" i="274"/>
  <c r="R17" i="238"/>
  <c r="R17" i="264"/>
  <c r="Q24" i="271"/>
  <c r="Q23" i="271"/>
  <c r="R23" i="249"/>
  <c r="R26" i="249"/>
  <c r="R22" i="249"/>
  <c r="R13" i="251"/>
  <c r="R19" i="249"/>
  <c r="R20" i="249"/>
  <c r="R20" i="263"/>
  <c r="Q24" i="267"/>
  <c r="R16" i="264"/>
  <c r="R15" i="265"/>
  <c r="R17" i="274"/>
  <c r="Q17" i="275"/>
  <c r="Q27" i="276"/>
  <c r="R16" i="265"/>
  <c r="R29" i="277"/>
  <c r="R22" i="263"/>
  <c r="R14" i="265"/>
  <c r="Q31" i="267"/>
  <c r="Q28" i="277"/>
  <c r="R17" i="249"/>
  <c r="R21" i="249"/>
  <c r="R21" i="263"/>
  <c r="Q18" i="267"/>
  <c r="R16" i="249"/>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6" i="25"/>
  <c r="AM17"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11" i="25"/>
  <c r="AM10" i="25"/>
  <c r="AM9" i="25"/>
  <c r="AM12" i="25"/>
  <c r="AM8" i="25"/>
  <c r="D5" i="368" l="1"/>
  <c r="D8" i="368" s="1"/>
  <c r="D5" i="370"/>
  <c r="D8" i="370" s="1"/>
  <c r="D6" i="369"/>
  <c r="D4" i="367"/>
  <c r="D4" i="369"/>
  <c r="D6" i="368"/>
  <c r="D6" i="366"/>
  <c r="D5" i="365"/>
  <c r="D8" i="365" s="1"/>
  <c r="D6" i="370"/>
  <c r="D4" i="365"/>
  <c r="D5" i="369"/>
  <c r="D8" i="369" s="1"/>
  <c r="D4" i="368"/>
  <c r="D5" i="366"/>
  <c r="D8" i="366" s="1"/>
  <c r="D4" i="370"/>
  <c r="D5" i="367"/>
  <c r="D8" i="367" s="1"/>
  <c r="D6" i="367"/>
  <c r="D6" i="365"/>
  <c r="D4" i="366"/>
  <c r="Q17" i="236"/>
  <c r="AS29" i="365" l="1"/>
  <c r="AS26" i="365"/>
  <c r="AS42" i="365"/>
  <c r="AS28" i="365"/>
  <c r="AS13" i="365"/>
  <c r="AS33" i="365"/>
  <c r="AS31" i="365"/>
  <c r="AS23" i="365"/>
  <c r="AS41" i="365"/>
  <c r="AS10" i="365"/>
  <c r="AS39" i="365"/>
  <c r="AS36" i="365"/>
  <c r="AS22" i="365"/>
  <c r="AS20" i="365"/>
  <c r="AS30" i="365"/>
  <c r="AS34" i="365"/>
  <c r="AJ11" i="365"/>
  <c r="AS19" i="365"/>
  <c r="AS38" i="365"/>
  <c r="AS27" i="365"/>
  <c r="AS44" i="365"/>
  <c r="N11" i="365"/>
  <c r="AJ10" i="365"/>
  <c r="AS43" i="365"/>
  <c r="AS32" i="365"/>
  <c r="AS18" i="365"/>
  <c r="AS12" i="365"/>
  <c r="AS45" i="365"/>
  <c r="AS35" i="365"/>
  <c r="AS25" i="365"/>
  <c r="AS46" i="365"/>
  <c r="AS37" i="365"/>
  <c r="AS16" i="365"/>
  <c r="AS21" i="365"/>
  <c r="AS15" i="365"/>
  <c r="AS17" i="365"/>
  <c r="N10" i="365"/>
  <c r="AS14" i="365"/>
  <c r="AS40" i="365"/>
  <c r="AS24" i="365"/>
  <c r="AS19" i="369"/>
  <c r="AS41" i="369"/>
  <c r="AS13" i="369"/>
  <c r="N10" i="369"/>
  <c r="AS26" i="369"/>
  <c r="AS27" i="369"/>
  <c r="AS16" i="369"/>
  <c r="AS17" i="369"/>
  <c r="AS22" i="369"/>
  <c r="AJ11" i="369"/>
  <c r="AS25" i="369"/>
  <c r="AS36" i="369"/>
  <c r="AS37" i="369"/>
  <c r="AS15" i="369"/>
  <c r="AS18" i="369"/>
  <c r="AS29" i="369"/>
  <c r="AS28" i="369"/>
  <c r="AS31" i="369"/>
  <c r="AS38" i="369"/>
  <c r="AS30" i="369"/>
  <c r="AS35" i="369"/>
  <c r="AJ10" i="369"/>
  <c r="AS10" i="369"/>
  <c r="AS34" i="369"/>
  <c r="AS33" i="369"/>
  <c r="AS40" i="369"/>
  <c r="AS12" i="369"/>
  <c r="AS21" i="369"/>
  <c r="AS24" i="369"/>
  <c r="AS14" i="369"/>
  <c r="AS23" i="369"/>
  <c r="AS39" i="369"/>
  <c r="N11" i="369"/>
  <c r="AS32" i="369"/>
  <c r="AS20" i="369"/>
  <c r="AS14" i="366"/>
  <c r="AS10" i="366"/>
  <c r="N11" i="366"/>
  <c r="AS19" i="366"/>
  <c r="AS13" i="366"/>
  <c r="AJ10" i="366"/>
  <c r="AS20" i="366"/>
  <c r="AS16" i="366"/>
  <c r="AS15" i="366"/>
  <c r="N10" i="366"/>
  <c r="AJ11" i="366"/>
  <c r="AS17" i="366"/>
  <c r="AS12" i="366"/>
  <c r="AS18" i="366"/>
  <c r="AS21" i="366"/>
  <c r="AS22" i="366"/>
  <c r="AS12" i="370"/>
  <c r="AS14" i="370"/>
  <c r="AS16" i="370"/>
  <c r="N11" i="370"/>
  <c r="AS22" i="370"/>
  <c r="AS15" i="370"/>
  <c r="AS13" i="370"/>
  <c r="AS21" i="370"/>
  <c r="AJ10" i="370"/>
  <c r="AS20" i="370"/>
  <c r="AS10" i="370"/>
  <c r="AS24" i="370"/>
  <c r="AS17" i="370"/>
  <c r="AS19" i="370"/>
  <c r="N10" i="370"/>
  <c r="AJ11" i="370"/>
  <c r="AS23" i="370"/>
  <c r="AS18" i="370"/>
  <c r="AS14" i="367"/>
  <c r="AS17" i="367"/>
  <c r="AS19" i="367"/>
  <c r="AS13" i="367"/>
  <c r="AJ11" i="367"/>
  <c r="AJ10" i="367"/>
  <c r="AS12" i="367"/>
  <c r="AS15" i="367"/>
  <c r="N11" i="367"/>
  <c r="AS18" i="367"/>
  <c r="N10" i="367"/>
  <c r="AS20" i="367"/>
  <c r="AS10" i="367"/>
  <c r="AS16" i="367"/>
  <c r="AS21" i="367"/>
  <c r="AS22" i="367"/>
  <c r="AS21" i="368"/>
  <c r="AJ11" i="368"/>
  <c r="N11" i="368"/>
  <c r="AS14" i="368"/>
  <c r="AS16" i="368"/>
  <c r="AS13" i="368"/>
  <c r="AS10" i="368"/>
  <c r="AS17" i="368"/>
  <c r="N10" i="368"/>
  <c r="AS18" i="368"/>
  <c r="AS12" i="368"/>
  <c r="AS23" i="368"/>
  <c r="AJ10" i="368"/>
  <c r="AS22" i="368"/>
  <c r="AS20" i="368"/>
  <c r="AS15" i="368"/>
  <c r="AS19" i="368"/>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0" i="25"/>
  <c r="AM149" i="25"/>
  <c r="AM151" i="25"/>
  <c r="R17" i="229" l="1"/>
  <c r="R22" i="230"/>
  <c r="Q17" i="234"/>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61"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R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3" i="189"/>
  <c r="T13" i="189"/>
  <c r="S13" i="189"/>
  <c r="R13" i="189"/>
  <c r="AJ16" i="190"/>
  <c r="T16" i="190"/>
  <c r="S16" i="190"/>
  <c r="R16" i="190"/>
  <c r="AJ14" i="190"/>
  <c r="T14" i="190"/>
  <c r="S14" i="190"/>
  <c r="R14" i="190"/>
  <c r="AJ13" i="190"/>
  <c r="T13" i="190"/>
  <c r="S13" i="190"/>
  <c r="R13" i="190"/>
  <c r="AJ19" i="191"/>
  <c r="T19" i="191"/>
  <c r="S19" i="191"/>
  <c r="R19" i="191"/>
  <c r="AJ15" i="191"/>
  <c r="T15" i="191"/>
  <c r="S15" i="191"/>
  <c r="R15" i="191"/>
  <c r="AJ18" i="191"/>
  <c r="T18" i="191"/>
  <c r="S18" i="191"/>
  <c r="R18"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28" i="25"/>
  <c r="AM120" i="25"/>
  <c r="AM129" i="25"/>
  <c r="AM118" i="25"/>
  <c r="AM123" i="25"/>
  <c r="AM130" i="25"/>
  <c r="AM126" i="25"/>
  <c r="AM115" i="25"/>
  <c r="AM121" i="25"/>
  <c r="AM125" i="25"/>
  <c r="AM133" i="25"/>
  <c r="AM132" i="25"/>
  <c r="AM146" i="25"/>
  <c r="AM143" i="25"/>
  <c r="AM117" i="25"/>
  <c r="AM137" i="25"/>
  <c r="AM142" i="25"/>
  <c r="AM119" i="25"/>
  <c r="AM122" i="25"/>
  <c r="AM124" i="25"/>
  <c r="AM139" i="25"/>
  <c r="AM135" i="25"/>
  <c r="AM113" i="25"/>
  <c r="AM134" i="25"/>
  <c r="AM145" i="25"/>
  <c r="AM138" i="25"/>
  <c r="AM147" i="25"/>
  <c r="AM114" i="25"/>
  <c r="AM152" i="25"/>
  <c r="AM127" i="25"/>
  <c r="AM116" i="25"/>
  <c r="AM131" i="25"/>
  <c r="AM136" i="25"/>
  <c r="AM144" i="25"/>
  <c r="AM148" i="25"/>
  <c r="AM140" i="25"/>
  <c r="AM141" i="25"/>
  <c r="R21" i="205" l="1"/>
  <c r="R18" i="206"/>
  <c r="R20" i="207"/>
  <c r="R18" i="197"/>
  <c r="R20" i="198"/>
  <c r="R17" i="215"/>
  <c r="R18" i="198"/>
  <c r="R18" i="207"/>
  <c r="R20" i="197"/>
  <c r="Q20" i="202"/>
  <c r="Q18" i="203"/>
  <c r="R22" i="205"/>
  <c r="Q18" i="204"/>
  <c r="R21" i="197"/>
  <c r="R20" i="205"/>
  <c r="R20" i="206"/>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43" i="178" l="1"/>
  <c r="W231" i="178"/>
  <c r="W219" i="178"/>
  <c r="W207" i="178"/>
  <c r="W195" i="178"/>
  <c r="W44" i="177"/>
  <c r="W42" i="177"/>
  <c r="W5" i="177"/>
  <c r="W4" i="177"/>
  <c r="W3" i="177"/>
  <c r="C43" i="177"/>
  <c r="W43" i="177" s="1"/>
  <c r="W168" i="176"/>
  <c r="W167" i="176"/>
  <c r="W166" i="176"/>
  <c r="W38" i="176"/>
  <c r="W37" i="176"/>
  <c r="W36" i="176"/>
  <c r="W26" i="176"/>
  <c r="W25" i="176"/>
  <c r="W24" i="176"/>
  <c r="W1140" i="174"/>
  <c r="W1128" i="174"/>
  <c r="W1116" i="174"/>
  <c r="W1104" i="174"/>
  <c r="W1092" i="174"/>
  <c r="W1080"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9" i="25" l="1"/>
  <c r="A159" i="25"/>
  <c r="A106" i="25"/>
  <c r="B161" i="25"/>
  <c r="O161" i="25" s="1"/>
  <c r="B227" i="25"/>
  <c r="A227" i="25"/>
  <c r="B249" i="25"/>
  <c r="B226" i="25"/>
  <c r="O226" i="25" s="1"/>
  <c r="O207" i="25"/>
  <c r="B179" i="25"/>
  <c r="B167" i="25"/>
  <c r="B160" i="25"/>
  <c r="O160" i="25" s="1"/>
  <c r="B153" i="25"/>
  <c r="O153" i="25" s="1"/>
  <c r="B112" i="25"/>
  <c r="B111" i="25"/>
  <c r="B110" i="25"/>
  <c r="B109" i="25"/>
  <c r="B108" i="25"/>
  <c r="AM106" i="25"/>
  <c r="AM159" i="25"/>
  <c r="AM227" i="25"/>
  <c r="AM161" i="25"/>
  <c r="O227" i="25" l="1"/>
  <c r="BK227" i="25" s="1"/>
  <c r="BK161" i="25"/>
  <c r="O159" i="25"/>
  <c r="BK159" i="25" s="1"/>
  <c r="BK106" i="25"/>
  <c r="G14" i="188"/>
  <c r="Q14" i="188" s="1"/>
  <c r="B14" i="188"/>
  <c r="P14" i="188" s="1"/>
  <c r="G16" i="190"/>
  <c r="Q16" i="190" s="1"/>
  <c r="B16" i="190"/>
  <c r="P16"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R17" i="196"/>
  <c r="Q17" i="196"/>
  <c r="R17" i="193"/>
  <c r="Q17" i="193"/>
  <c r="R17" i="192"/>
  <c r="Q17" i="192"/>
  <c r="R23" i="194"/>
  <c r="Q23" i="194"/>
  <c r="R17" i="195"/>
  <c r="Q17" i="195"/>
  <c r="R22" i="196"/>
  <c r="Q22" i="196"/>
  <c r="R17" i="194"/>
  <c r="Q17" i="194"/>
  <c r="R22" i="195"/>
  <c r="Q22" i="195"/>
  <c r="R23" i="196"/>
  <c r="Q23" i="196"/>
  <c r="G19" i="191"/>
  <c r="Q19" i="191" s="1"/>
  <c r="B19" i="191"/>
  <c r="P19" i="191" s="1"/>
  <c r="G15" i="191"/>
  <c r="Q15" i="191" s="1"/>
  <c r="B15" i="191"/>
  <c r="P15" i="191" s="1"/>
  <c r="G18" i="191"/>
  <c r="Q18" i="191" s="1"/>
  <c r="B18" i="191"/>
  <c r="P18"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R17" i="185" l="1"/>
  <c r="Q17" i="185"/>
  <c r="Q22" i="185"/>
  <c r="R22" i="185"/>
  <c r="R23" i="185"/>
  <c r="Q23" i="185"/>
  <c r="R23" i="187"/>
  <c r="Q23" i="187"/>
  <c r="R17" i="187"/>
  <c r="Q17" i="187"/>
  <c r="R22" i="187"/>
  <c r="Q22" i="187"/>
  <c r="R22" i="186"/>
  <c r="Q22" i="186"/>
  <c r="Q17" i="186"/>
  <c r="R17" i="186"/>
  <c r="R23" i="186"/>
  <c r="Q23" i="186"/>
  <c r="A249" i="25"/>
  <c r="A226" i="25"/>
  <c r="A207" i="25"/>
  <c r="A179" i="25"/>
  <c r="A167" i="25"/>
  <c r="A160" i="25"/>
  <c r="A153" i="25"/>
  <c r="A112" i="25"/>
  <c r="A111" i="25"/>
  <c r="A110" i="25"/>
  <c r="A109" i="25"/>
  <c r="A108" i="25"/>
  <c r="AE249" i="25"/>
  <c r="AM226" i="25"/>
  <c r="AM207" i="25"/>
  <c r="AM249" i="25"/>
  <c r="BK207" i="25" l="1"/>
  <c r="BK226" i="25"/>
  <c r="BK249"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Q17" i="179" l="1"/>
  <c r="R17" i="179"/>
  <c r="Q23" i="182"/>
  <c r="R23" i="182"/>
  <c r="Q17" i="181"/>
  <c r="R17" i="181"/>
  <c r="R24" i="182"/>
  <c r="Q24" i="182"/>
  <c r="R17" i="182"/>
  <c r="Q17" i="182"/>
  <c r="BK167" i="25"/>
  <c r="BK179" i="25"/>
  <c r="BK160"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60" i="25"/>
  <c r="AM167" i="25"/>
  <c r="AM153" i="25"/>
  <c r="AM111" i="25"/>
  <c r="AM107" i="25"/>
  <c r="AM179" i="25"/>
  <c r="AM112" i="25"/>
  <c r="BK111" i="25" l="1"/>
  <c r="BK108" i="25"/>
  <c r="BK112" i="25"/>
  <c r="R247" i="178"/>
  <c r="R235" i="178"/>
  <c r="R223" i="178"/>
  <c r="R211" i="178"/>
  <c r="R199" i="178"/>
  <c r="AM108" i="25"/>
  <c r="AM110" i="25"/>
  <c r="AM109" i="25"/>
  <c r="C233" i="178" l="1"/>
  <c r="W233" i="178" s="1"/>
  <c r="C232" i="178"/>
  <c r="W232" i="178" s="1"/>
  <c r="C197" i="178"/>
  <c r="W197" i="178" s="1"/>
  <c r="C196" i="178"/>
  <c r="W196" i="178" s="1"/>
  <c r="C209" i="178"/>
  <c r="W209" i="178" s="1"/>
  <c r="C208" i="178"/>
  <c r="W208" i="178" s="1"/>
  <c r="C221" i="178"/>
  <c r="W221" i="178" s="1"/>
  <c r="C220" i="178"/>
  <c r="W220" i="178" s="1"/>
  <c r="C245" i="178"/>
  <c r="W245" i="178" s="1"/>
  <c r="C244" i="178"/>
  <c r="W244" i="178" s="1"/>
  <c r="R1144" i="174"/>
  <c r="R1132" i="174"/>
  <c r="C1129" i="174" s="1"/>
  <c r="W1129" i="174" s="1"/>
  <c r="R1120" i="174"/>
  <c r="R1108" i="174"/>
  <c r="R1096" i="174"/>
  <c r="R1084" i="174"/>
  <c r="C1082" i="174" l="1"/>
  <c r="W1082" i="174" s="1"/>
  <c r="C1081" i="174"/>
  <c r="W1081" i="174" s="1"/>
  <c r="C1142" i="174"/>
  <c r="W1142" i="174" s="1"/>
  <c r="C1141" i="174"/>
  <c r="W1141" i="174" s="1"/>
  <c r="C1106" i="174"/>
  <c r="W1106" i="174" s="1"/>
  <c r="C1105" i="174"/>
  <c r="W1105" i="174" s="1"/>
  <c r="C1118" i="174"/>
  <c r="W1118" i="174" s="1"/>
  <c r="C1117" i="174"/>
  <c r="W1117" i="174" s="1"/>
  <c r="C1094" i="174"/>
  <c r="W1094" i="174" s="1"/>
  <c r="C1093" i="174"/>
  <c r="W1093" i="174" s="1"/>
  <c r="C1130" i="174"/>
  <c r="W1130" i="174" s="1"/>
  <c r="S13" i="172" l="1"/>
  <c r="B46" i="172" l="1"/>
  <c r="B23" i="172"/>
  <c r="B22" i="172"/>
  <c r="B21" i="172"/>
  <c r="B20" i="172"/>
  <c r="B19" i="172"/>
  <c r="B18" i="172"/>
  <c r="B17" i="172"/>
  <c r="B16" i="172"/>
  <c r="B15" i="172"/>
  <c r="B14" i="172"/>
  <c r="B13" i="172"/>
  <c r="P13" i="172" s="1"/>
  <c r="BK107" i="25"/>
  <c r="A107" i="25" l="1"/>
  <c r="D5" i="433" l="1"/>
  <c r="D8" i="433" s="1"/>
  <c r="D4" i="433"/>
  <c r="D6" i="433"/>
  <c r="D6" i="432"/>
  <c r="D5" i="432"/>
  <c r="D8" i="432" s="1"/>
  <c r="D4" i="432"/>
  <c r="D4" i="431"/>
  <c r="D6" i="431"/>
  <c r="D5" i="431"/>
  <c r="D8" i="431" s="1"/>
  <c r="D6" i="429"/>
  <c r="D4" i="429"/>
  <c r="D5" i="429"/>
  <c r="D8" i="429" s="1"/>
  <c r="D5" i="427"/>
  <c r="D8" i="427" s="1"/>
  <c r="AS15" i="427" s="1"/>
  <c r="D6" i="427"/>
  <c r="D4" i="427"/>
  <c r="D6" i="425"/>
  <c r="D4" i="425"/>
  <c r="D5" i="425"/>
  <c r="D8" i="425" s="1"/>
  <c r="D4" i="424"/>
  <c r="D6" i="424"/>
  <c r="D5" i="424"/>
  <c r="D6" i="423"/>
  <c r="D5" i="423"/>
  <c r="D8" i="423" s="1"/>
  <c r="D4" i="423"/>
  <c r="D6" i="422"/>
  <c r="D5" i="422"/>
  <c r="D8" i="422" s="1"/>
  <c r="D4" i="422"/>
  <c r="D6" i="421"/>
  <c r="D5" i="421"/>
  <c r="D8" i="421" s="1"/>
  <c r="D4" i="421"/>
  <c r="D6" i="420"/>
  <c r="D5" i="420"/>
  <c r="D4" i="420"/>
  <c r="D6" i="419"/>
  <c r="D5" i="419"/>
  <c r="D8" i="419" s="1"/>
  <c r="AS15" i="419" s="1"/>
  <c r="D4" i="419"/>
  <c r="D6" i="417"/>
  <c r="D4" i="417"/>
  <c r="D5" i="417"/>
  <c r="D8" i="417" s="1"/>
  <c r="D5" i="416"/>
  <c r="D8" i="416" s="1"/>
  <c r="AS15" i="416" s="1"/>
  <c r="D6" i="416"/>
  <c r="D4" i="416"/>
  <c r="D5" i="415"/>
  <c r="D8" i="415" s="1"/>
  <c r="D4" i="415"/>
  <c r="D6" i="415"/>
  <c r="D6" i="414"/>
  <c r="D5" i="414"/>
  <c r="D8" i="414" s="1"/>
  <c r="D4" i="414"/>
  <c r="D6" i="413"/>
  <c r="D4" i="413"/>
  <c r="D5" i="413"/>
  <c r="D8" i="413" s="1"/>
  <c r="D6" i="412"/>
  <c r="D5" i="412"/>
  <c r="D8" i="412" s="1"/>
  <c r="D4" i="412"/>
  <c r="D5" i="411"/>
  <c r="D8" i="411" s="1"/>
  <c r="D6" i="411"/>
  <c r="D4" i="411"/>
  <c r="D6" i="410"/>
  <c r="D5" i="410"/>
  <c r="D8" i="410" s="1"/>
  <c r="D4" i="410"/>
  <c r="D6" i="409"/>
  <c r="D5" i="409"/>
  <c r="D8" i="409" s="1"/>
  <c r="D4" i="409"/>
  <c r="D4" i="408"/>
  <c r="D6" i="408"/>
  <c r="D5" i="408"/>
  <c r="D8" i="408" s="1"/>
  <c r="D5" i="405"/>
  <c r="D8" i="405" s="1"/>
  <c r="D4" i="405"/>
  <c r="D6" i="405"/>
  <c r="D5" i="404"/>
  <c r="D8" i="404" s="1"/>
  <c r="D4" i="404"/>
  <c r="D6" i="404"/>
  <c r="D6" i="403"/>
  <c r="D4" i="403"/>
  <c r="D5" i="403"/>
  <c r="D8" i="403" s="1"/>
  <c r="AS14" i="403" s="1"/>
  <c r="D6" i="402"/>
  <c r="D5" i="402"/>
  <c r="D8" i="402" s="1"/>
  <c r="AS16" i="402" s="1"/>
  <c r="D4" i="402"/>
  <c r="D5" i="401"/>
  <c r="D8" i="401" s="1"/>
  <c r="D4" i="401"/>
  <c r="D6" i="401"/>
  <c r="D5" i="400"/>
  <c r="D6" i="400"/>
  <c r="D4" i="400"/>
  <c r="D5" i="399"/>
  <c r="D8" i="399" s="1"/>
  <c r="D4" i="399"/>
  <c r="D6" i="399"/>
  <c r="D6" i="398"/>
  <c r="D4" i="398"/>
  <c r="D5" i="398"/>
  <c r="D8" i="398" s="1"/>
  <c r="AS20" i="398" s="1"/>
  <c r="D6" i="397"/>
  <c r="D4" i="397"/>
  <c r="D5" i="397"/>
  <c r="D8" i="397" s="1"/>
  <c r="AS20" i="397" s="1"/>
  <c r="D6" i="396"/>
  <c r="D5" i="396"/>
  <c r="D8" i="396" s="1"/>
  <c r="AS20" i="396" s="1"/>
  <c r="D4" i="396"/>
  <c r="D4" i="395"/>
  <c r="D6" i="395"/>
  <c r="D5" i="395"/>
  <c r="D8" i="395" s="1"/>
  <c r="D6" i="394"/>
  <c r="D5" i="394"/>
  <c r="D8" i="394" s="1"/>
  <c r="AS19" i="394" s="1"/>
  <c r="D4" i="394"/>
  <c r="D6" i="393"/>
  <c r="D5" i="393"/>
  <c r="D8" i="393" s="1"/>
  <c r="D4" i="393"/>
  <c r="D6" i="392"/>
  <c r="D5" i="392"/>
  <c r="D8" i="392" s="1"/>
  <c r="D4" i="392"/>
  <c r="D6" i="391"/>
  <c r="D5" i="391"/>
  <c r="D8" i="391" s="1"/>
  <c r="D4" i="391"/>
  <c r="D4" i="390"/>
  <c r="D5" i="390"/>
  <c r="D8" i="390" s="1"/>
  <c r="D6" i="390"/>
  <c r="D6" i="389"/>
  <c r="D5" i="389"/>
  <c r="D8" i="389" s="1"/>
  <c r="D4" i="389"/>
  <c r="D4" i="388"/>
  <c r="D5" i="388"/>
  <c r="D8" i="388" s="1"/>
  <c r="D6" i="388"/>
  <c r="D5" i="387"/>
  <c r="D8" i="387" s="1"/>
  <c r="D6" i="387"/>
  <c r="D4" i="387"/>
  <c r="D5" i="386"/>
  <c r="D8" i="386" s="1"/>
  <c r="D4" i="386"/>
  <c r="D6" i="386"/>
  <c r="D4" i="381"/>
  <c r="D6" i="384"/>
  <c r="D6" i="381"/>
  <c r="D4" i="383"/>
  <c r="D5" i="383"/>
  <c r="D8" i="383" s="1"/>
  <c r="D4" i="384"/>
  <c r="D4" i="382"/>
  <c r="D6" i="383"/>
  <c r="D5" i="381"/>
  <c r="D8" i="381" s="1"/>
  <c r="D5" i="384"/>
  <c r="D8" i="384" s="1"/>
  <c r="D5" i="382"/>
  <c r="D8" i="382" s="1"/>
  <c r="D6" i="382"/>
  <c r="D6" i="380"/>
  <c r="D5" i="378"/>
  <c r="D8" i="378" s="1"/>
  <c r="D5" i="380"/>
  <c r="D8" i="380" s="1"/>
  <c r="AS15" i="380" s="1"/>
  <c r="D4" i="380"/>
  <c r="D6" i="379"/>
  <c r="D6" i="378"/>
  <c r="D4" i="379"/>
  <c r="D5" i="379"/>
  <c r="D8" i="379" s="1"/>
  <c r="AS15" i="379" s="1"/>
  <c r="D4" i="378"/>
  <c r="D5" i="377"/>
  <c r="D8" i="377" s="1"/>
  <c r="D6" i="377"/>
  <c r="D4" i="377"/>
  <c r="D4" i="376"/>
  <c r="D4" i="372"/>
  <c r="D6" i="372"/>
  <c r="D5" i="375"/>
  <c r="D8" i="375" s="1"/>
  <c r="D4" i="374"/>
  <c r="D6" i="376"/>
  <c r="D5" i="374"/>
  <c r="D8" i="374" s="1"/>
  <c r="D5" i="371"/>
  <c r="D8" i="371" s="1"/>
  <c r="D5" i="373"/>
  <c r="D8" i="373" s="1"/>
  <c r="D6" i="371"/>
  <c r="D5" i="376"/>
  <c r="D8" i="376" s="1"/>
  <c r="D5" i="372"/>
  <c r="D8" i="372" s="1"/>
  <c r="D6" i="373"/>
  <c r="D6" i="375"/>
  <c r="D6" i="374"/>
  <c r="D4" i="373"/>
  <c r="D4" i="375"/>
  <c r="D4" i="371"/>
  <c r="D6" i="364"/>
  <c r="D5" i="361"/>
  <c r="D8" i="361" s="1"/>
  <c r="D4" i="361"/>
  <c r="D6" i="361"/>
  <c r="D4" i="360"/>
  <c r="D5" i="360"/>
  <c r="D8" i="360" s="1"/>
  <c r="D5" i="364"/>
  <c r="D8" i="364" s="1"/>
  <c r="D5" i="362"/>
  <c r="D8" i="362" s="1"/>
  <c r="D4" i="362"/>
  <c r="D6" i="362"/>
  <c r="D4" i="364"/>
  <c r="D6" i="360"/>
  <c r="D4" i="363"/>
  <c r="D6" i="363"/>
  <c r="D5" i="363"/>
  <c r="D8" i="363" s="1"/>
  <c r="AS14"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5"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AS13"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129" i="25"/>
  <c r="AE140" i="25"/>
  <c r="AE62" i="25"/>
  <c r="AE96" i="25"/>
  <c r="AE243" i="25"/>
  <c r="AE21" i="25"/>
  <c r="AE150" i="25"/>
  <c r="AE206" i="25"/>
  <c r="AE86" i="25"/>
  <c r="AE20" i="25"/>
  <c r="AE202" i="25"/>
  <c r="AE168" i="25"/>
  <c r="AE70" i="25"/>
  <c r="AE244" i="25"/>
  <c r="AE132" i="25"/>
  <c r="AE61" i="25"/>
  <c r="AE48" i="25"/>
  <c r="AE170" i="25"/>
  <c r="AE56" i="25"/>
  <c r="AE184" i="25"/>
  <c r="AE165" i="25"/>
  <c r="AE194" i="25"/>
  <c r="AE121" i="25"/>
  <c r="AE238" i="25"/>
  <c r="AE193" i="25"/>
  <c r="AE92" i="25"/>
  <c r="AE76" i="25"/>
  <c r="AE41" i="25"/>
  <c r="AE60" i="25"/>
  <c r="AE100" i="25"/>
  <c r="AE135" i="25"/>
  <c r="AE130" i="25"/>
  <c r="AE182" i="25"/>
  <c r="AE246" i="25"/>
  <c r="AE146" i="25"/>
  <c r="AE68" i="25"/>
  <c r="AE75" i="25"/>
  <c r="AE228" i="25"/>
  <c r="AE80" i="25"/>
  <c r="AE219" i="25"/>
  <c r="AE174" i="25"/>
  <c r="AE58" i="25"/>
  <c r="AE99" i="25"/>
  <c r="AE161" i="25"/>
  <c r="AE207" i="25"/>
  <c r="AE216" i="25"/>
  <c r="AE9" i="25"/>
  <c r="AE247" i="25"/>
  <c r="AE17" i="25"/>
  <c r="AE186" i="25"/>
  <c r="AE51" i="25"/>
  <c r="AE241" i="25"/>
  <c r="AE87" i="25"/>
  <c r="AE210" i="25"/>
  <c r="AE190" i="25"/>
  <c r="AE245" i="25"/>
  <c r="AE89" i="25"/>
  <c r="AE237" i="25"/>
  <c r="AE104" i="25"/>
  <c r="AE81" i="25"/>
  <c r="AE240" i="25"/>
  <c r="AE8" i="25"/>
  <c r="AE217" i="25"/>
  <c r="AE209" i="25"/>
  <c r="AE199" i="25"/>
  <c r="AE28" i="25"/>
  <c r="AE69" i="25"/>
  <c r="AE40" i="25"/>
  <c r="AE82" i="25"/>
  <c r="AE147" i="25"/>
  <c r="AE19" i="25"/>
  <c r="AE201" i="25"/>
  <c r="AE208" i="25"/>
  <c r="AE218" i="25"/>
  <c r="AE192" i="25"/>
  <c r="AE176" i="25"/>
  <c r="AE79" i="25"/>
  <c r="AE77" i="25"/>
  <c r="AE71" i="25"/>
  <c r="AE26" i="25"/>
  <c r="AE64" i="25"/>
  <c r="AE45" i="25"/>
  <c r="AE164" i="25"/>
  <c r="AE54" i="25"/>
  <c r="AE220" i="25"/>
  <c r="AE47" i="25"/>
  <c r="AE248" i="25"/>
  <c r="AE157" i="25"/>
  <c r="AE103" i="25"/>
  <c r="AE223" i="25"/>
  <c r="AE23" i="25"/>
  <c r="AE18" i="25"/>
  <c r="AE137" i="25"/>
  <c r="AE49" i="25"/>
  <c r="AE152" i="25"/>
  <c r="AE185" i="25"/>
  <c r="AE43" i="25"/>
  <c r="AE211" i="25"/>
  <c r="AE22" i="25"/>
  <c r="AE101" i="25"/>
  <c r="AE15" i="25"/>
  <c r="AE85" i="25"/>
  <c r="AE14" i="25"/>
  <c r="AE72" i="25"/>
  <c r="AE148" i="25"/>
  <c r="AE133" i="25"/>
  <c r="AE118" i="25"/>
  <c r="AE163" i="25"/>
  <c r="AE153" i="25"/>
  <c r="AE37" i="25"/>
  <c r="AE117" i="25"/>
  <c r="AE222" i="25"/>
  <c r="AE44" i="25"/>
  <c r="AE124" i="25"/>
  <c r="AE178" i="25"/>
  <c r="AE171" i="25"/>
  <c r="AE57" i="25"/>
  <c r="AE175" i="25"/>
  <c r="AE29" i="25"/>
  <c r="AE107" i="25"/>
  <c r="AE169" i="25"/>
  <c r="AE143" i="25"/>
  <c r="AE111" i="25"/>
  <c r="AE134" i="25"/>
  <c r="AE88" i="25"/>
  <c r="AE139" i="25"/>
  <c r="AE53" i="25"/>
  <c r="AE221" i="25"/>
  <c r="AE162" i="25"/>
  <c r="AE27" i="25"/>
  <c r="AE67" i="25"/>
  <c r="AE7" i="25"/>
  <c r="AE231" i="25"/>
  <c r="AE13" i="25"/>
  <c r="AE200" i="25"/>
  <c r="AE183" i="25"/>
  <c r="AE213" i="25"/>
  <c r="AE102" i="25"/>
  <c r="AE149" i="25"/>
  <c r="AE112" i="25"/>
  <c r="AE234" i="25"/>
  <c r="AE128" i="25"/>
  <c r="AE90" i="25"/>
  <c r="AE197" i="25"/>
  <c r="AE46" i="25"/>
  <c r="AE125" i="25"/>
  <c r="AE242" i="25"/>
  <c r="AE63" i="25"/>
  <c r="AE131" i="25"/>
  <c r="AE188" i="25"/>
  <c r="AE31" i="25"/>
  <c r="AE55" i="25"/>
  <c r="AE50" i="25"/>
  <c r="AE226" i="25"/>
  <c r="AE66" i="25"/>
  <c r="AE195" i="25"/>
  <c r="AE94" i="25"/>
  <c r="AE114" i="25"/>
  <c r="AE113" i="25"/>
  <c r="AE191" i="25"/>
  <c r="AE215" i="25"/>
  <c r="AE155" i="25"/>
  <c r="AE126" i="25"/>
  <c r="AE196" i="25"/>
  <c r="AE172" i="25"/>
  <c r="AE177" i="25"/>
  <c r="AE116" i="25"/>
  <c r="AE180" i="25"/>
  <c r="AE11" i="25"/>
  <c r="AE122" i="25"/>
  <c r="AE97" i="25"/>
  <c r="AE159" i="25"/>
  <c r="AE142" i="25"/>
  <c r="AE227" i="25"/>
  <c r="AE151" i="25"/>
  <c r="AE198" i="25"/>
  <c r="AE166" i="25"/>
  <c r="AE6" i="25"/>
  <c r="AE10" i="25"/>
  <c r="AE232" i="25"/>
  <c r="AE36" i="25"/>
  <c r="AE145" i="25"/>
  <c r="AE35" i="25"/>
  <c r="AE214" i="25"/>
  <c r="AE189" i="25"/>
  <c r="AE144" i="25"/>
  <c r="AE73" i="25"/>
  <c r="AE33" i="25"/>
  <c r="AE78" i="25"/>
  <c r="AE179" i="25"/>
  <c r="AE212" i="25"/>
  <c r="AE12" i="25"/>
  <c r="AE98" i="25"/>
  <c r="AE229" i="25"/>
  <c r="AE167" i="25"/>
  <c r="AE93" i="25"/>
  <c r="AE138" i="25"/>
  <c r="AE123" i="25"/>
  <c r="AE39" i="25"/>
  <c r="AE59" i="25"/>
  <c r="AE120" i="25"/>
  <c r="AE34" i="25"/>
  <c r="AE205" i="25"/>
  <c r="AE127" i="25"/>
  <c r="AE25" i="25"/>
  <c r="AE91" i="25"/>
  <c r="AE16" i="25"/>
  <c r="AE32" i="25"/>
  <c r="AE187" i="25"/>
  <c r="AE83" i="25"/>
  <c r="AE74" i="25"/>
  <c r="AE84" i="25"/>
  <c r="AE204" i="25"/>
  <c r="AE42" i="25"/>
  <c r="AE65" i="25"/>
  <c r="AE230" i="25"/>
  <c r="AE173" i="25"/>
  <c r="AE52" i="25"/>
  <c r="AE24" i="25"/>
  <c r="AE181" i="25"/>
  <c r="AE95" i="25"/>
  <c r="AE235" i="25"/>
  <c r="AE233" i="25"/>
  <c r="AE203" i="25"/>
  <c r="AE160" i="25"/>
  <c r="AE136" i="25"/>
  <c r="AE38" i="25"/>
  <c r="AE158" i="25"/>
  <c r="AE106" i="25"/>
  <c r="AE115" i="25"/>
  <c r="AE141" i="25"/>
  <c r="AE119" i="25"/>
  <c r="AS908" i="433" l="1"/>
  <c r="AS860" i="433"/>
  <c r="AS812" i="433"/>
  <c r="AS764" i="433"/>
  <c r="AS716" i="433"/>
  <c r="AS668" i="433"/>
  <c r="AS620" i="433"/>
  <c r="AS572" i="433"/>
  <c r="AS524" i="433"/>
  <c r="AS476" i="433"/>
  <c r="AS428" i="433"/>
  <c r="AS380" i="433"/>
  <c r="AS332" i="433"/>
  <c r="AS284" i="433"/>
  <c r="AS236" i="433"/>
  <c r="AS188" i="433"/>
  <c r="AS140" i="433"/>
  <c r="AS92" i="433"/>
  <c r="AS44" i="433"/>
  <c r="AS166" i="433"/>
  <c r="AS70" i="433"/>
  <c r="AS873" i="433"/>
  <c r="AS825" i="433"/>
  <c r="AS777" i="433"/>
  <c r="AS729" i="433"/>
  <c r="AS681" i="433"/>
  <c r="AS633" i="433"/>
  <c r="AS585" i="433"/>
  <c r="AS537" i="433"/>
  <c r="AS489" i="433"/>
  <c r="AS441" i="433"/>
  <c r="AS393" i="433"/>
  <c r="AS345" i="433"/>
  <c r="AS297" i="433"/>
  <c r="AS249" i="433"/>
  <c r="AS201" i="433"/>
  <c r="AS153" i="433"/>
  <c r="AS105" i="433"/>
  <c r="AS57" i="433"/>
  <c r="AS886" i="433"/>
  <c r="AS838" i="433"/>
  <c r="AS790" i="433"/>
  <c r="AS742" i="433"/>
  <c r="AS694" i="433"/>
  <c r="AS646" i="433"/>
  <c r="AS598" i="433"/>
  <c r="AS550" i="433"/>
  <c r="AS502" i="433"/>
  <c r="AS454" i="433"/>
  <c r="AS406" i="433"/>
  <c r="AS358" i="433"/>
  <c r="AS310" i="433"/>
  <c r="AS262" i="433"/>
  <c r="AS214" i="433"/>
  <c r="AS118" i="433"/>
  <c r="AS22" i="433"/>
  <c r="AS899" i="433"/>
  <c r="AS851" i="433"/>
  <c r="AS803" i="433"/>
  <c r="AS755" i="433"/>
  <c r="AS707" i="433"/>
  <c r="AS659" i="433"/>
  <c r="AS611" i="433"/>
  <c r="AS563" i="433"/>
  <c r="AS515" i="433"/>
  <c r="AS467" i="433"/>
  <c r="AS419" i="433"/>
  <c r="AS371" i="433"/>
  <c r="AS323" i="433"/>
  <c r="AS275" i="433"/>
  <c r="AS227" i="433"/>
  <c r="AS179" i="433"/>
  <c r="AS131" i="433"/>
  <c r="AS83" i="433"/>
  <c r="AS35" i="433"/>
  <c r="AS864" i="433"/>
  <c r="AS816" i="433"/>
  <c r="AS768" i="433"/>
  <c r="AS720" i="433"/>
  <c r="AS672" i="433"/>
  <c r="AS624" i="433"/>
  <c r="AS576" i="433"/>
  <c r="AS528" i="433"/>
  <c r="AS480" i="433"/>
  <c r="AS432" i="433"/>
  <c r="AS384" i="433"/>
  <c r="AS336" i="433"/>
  <c r="AS288" i="433"/>
  <c r="AS240" i="433"/>
  <c r="AS192" i="433"/>
  <c r="AS144" i="433"/>
  <c r="AS96" i="433"/>
  <c r="AS48" i="433"/>
  <c r="AS877" i="433"/>
  <c r="AS829" i="433"/>
  <c r="AS781" i="433"/>
  <c r="AS733" i="433"/>
  <c r="AS685" i="433"/>
  <c r="AS637" i="433"/>
  <c r="AS589" i="433"/>
  <c r="AS541" i="433"/>
  <c r="AS493" i="433"/>
  <c r="AS445" i="433"/>
  <c r="AS397" i="433"/>
  <c r="AS349" i="433"/>
  <c r="AS301" i="433"/>
  <c r="AS253" i="433"/>
  <c r="AS205" i="433"/>
  <c r="AS157" i="433"/>
  <c r="AS109" i="433"/>
  <c r="AS61" i="433"/>
  <c r="AS218" i="433"/>
  <c r="AS122" i="433"/>
  <c r="AS74" i="433"/>
  <c r="AS890" i="433"/>
  <c r="AS842" i="433"/>
  <c r="AS794" i="433"/>
  <c r="AS746" i="433"/>
  <c r="AS698" i="433"/>
  <c r="AS650" i="433"/>
  <c r="AS602" i="433"/>
  <c r="AS554" i="433"/>
  <c r="AS506" i="433"/>
  <c r="AS458" i="433"/>
  <c r="AS410" i="433"/>
  <c r="AS362" i="433"/>
  <c r="AS314" i="433"/>
  <c r="AS266" i="433"/>
  <c r="AS170" i="433"/>
  <c r="AS26" i="433"/>
  <c r="AS903" i="433"/>
  <c r="AS855" i="433"/>
  <c r="AS807" i="433"/>
  <c r="AS759" i="433"/>
  <c r="AS711" i="433"/>
  <c r="AS663" i="433"/>
  <c r="AS615" i="433"/>
  <c r="AS567" i="433"/>
  <c r="AS519" i="433"/>
  <c r="AS471" i="433"/>
  <c r="AS423" i="433"/>
  <c r="AS375" i="433"/>
  <c r="AS327" i="433"/>
  <c r="AS279" i="433"/>
  <c r="AS231" i="433"/>
  <c r="AS183" i="433"/>
  <c r="AS135" i="433"/>
  <c r="AS87" i="433"/>
  <c r="AS39" i="433"/>
  <c r="AS868" i="433"/>
  <c r="AS820" i="433"/>
  <c r="AS772" i="433"/>
  <c r="AS724" i="433"/>
  <c r="AS676" i="433"/>
  <c r="AS628" i="433"/>
  <c r="AS580" i="433"/>
  <c r="AS532" i="433"/>
  <c r="AS484" i="433"/>
  <c r="AS436" i="433"/>
  <c r="AS388" i="433"/>
  <c r="AS340" i="433"/>
  <c r="AS292" i="433"/>
  <c r="AS244" i="433"/>
  <c r="AS196" i="433"/>
  <c r="AS148" i="433"/>
  <c r="AS100" i="433"/>
  <c r="AS52" i="433"/>
  <c r="AS881" i="433"/>
  <c r="AS833" i="433"/>
  <c r="AS785" i="433"/>
  <c r="AS737" i="433"/>
  <c r="AS689" i="433"/>
  <c r="AS641" i="433"/>
  <c r="AS593" i="433"/>
  <c r="AS545" i="433"/>
  <c r="AS497" i="433"/>
  <c r="AS449" i="433"/>
  <c r="AS401" i="433"/>
  <c r="AS353" i="433"/>
  <c r="AS305" i="433"/>
  <c r="AS257" i="433"/>
  <c r="AS209" i="433"/>
  <c r="AS161" i="433"/>
  <c r="AS113" i="433"/>
  <c r="AS65" i="433"/>
  <c r="AS91" i="433"/>
  <c r="AS894" i="433"/>
  <c r="AS846" i="433"/>
  <c r="AS798" i="433"/>
  <c r="AS750" i="433"/>
  <c r="AS702" i="433"/>
  <c r="AS654" i="433"/>
  <c r="AS606" i="433"/>
  <c r="AS558" i="433"/>
  <c r="AS510" i="433"/>
  <c r="AS462" i="433"/>
  <c r="AS414" i="433"/>
  <c r="AS366" i="433"/>
  <c r="AS318" i="433"/>
  <c r="AS270" i="433"/>
  <c r="AS222" i="433"/>
  <c r="AS174" i="433"/>
  <c r="AS126" i="433"/>
  <c r="AS78" i="433"/>
  <c r="AS30" i="433"/>
  <c r="AS907" i="433"/>
  <c r="AS859" i="433"/>
  <c r="AS811" i="433"/>
  <c r="AS763" i="433"/>
  <c r="AS715" i="433"/>
  <c r="AS667" i="433"/>
  <c r="AS619" i="433"/>
  <c r="AS571" i="433"/>
  <c r="AS523" i="433"/>
  <c r="AS475" i="433"/>
  <c r="AS427" i="433"/>
  <c r="AS379" i="433"/>
  <c r="AS331" i="433"/>
  <c r="AS283" i="433"/>
  <c r="AS235" i="433"/>
  <c r="AS187" i="433"/>
  <c r="AS139" i="433"/>
  <c r="AS43" i="433"/>
  <c r="AS872" i="433"/>
  <c r="AS824" i="433"/>
  <c r="AS776" i="433"/>
  <c r="AS728" i="433"/>
  <c r="AS680" i="433"/>
  <c r="AS632" i="433"/>
  <c r="AS584" i="433"/>
  <c r="AS536" i="433"/>
  <c r="AS488" i="433"/>
  <c r="AS440" i="433"/>
  <c r="AS392" i="433"/>
  <c r="AS344" i="433"/>
  <c r="AS296" i="433"/>
  <c r="AS248" i="433"/>
  <c r="AS200" i="433"/>
  <c r="AS152" i="433"/>
  <c r="AS104" i="433"/>
  <c r="AS885" i="433"/>
  <c r="AS837" i="433"/>
  <c r="AS789" i="433"/>
  <c r="AS741" i="433"/>
  <c r="AS693" i="433"/>
  <c r="AS645" i="433"/>
  <c r="AS597" i="433"/>
  <c r="AS549" i="433"/>
  <c r="AS501" i="433"/>
  <c r="AS453" i="433"/>
  <c r="AS405" i="433"/>
  <c r="AS357" i="433"/>
  <c r="AS309" i="433"/>
  <c r="AS261" i="433"/>
  <c r="AS213" i="433"/>
  <c r="AS165" i="433"/>
  <c r="AS117" i="433"/>
  <c r="AS69" i="433"/>
  <c r="AS21" i="433"/>
  <c r="AS86" i="433"/>
  <c r="AS898" i="433"/>
  <c r="AS850" i="433"/>
  <c r="AS802" i="433"/>
  <c r="AS754" i="433"/>
  <c r="AS706" i="433"/>
  <c r="AS658" i="433"/>
  <c r="AS610" i="433"/>
  <c r="AS562" i="433"/>
  <c r="AS514" i="433"/>
  <c r="AS466" i="433"/>
  <c r="AS418" i="433"/>
  <c r="AS370" i="433"/>
  <c r="AS322" i="433"/>
  <c r="AS274" i="433"/>
  <c r="AS226" i="433"/>
  <c r="AS178" i="433"/>
  <c r="AS130" i="433"/>
  <c r="AS82" i="433"/>
  <c r="AS34" i="433"/>
  <c r="AS38" i="433"/>
  <c r="AS863" i="433"/>
  <c r="AS815" i="433"/>
  <c r="AS767" i="433"/>
  <c r="AS719" i="433"/>
  <c r="AS671" i="433"/>
  <c r="AS623" i="433"/>
  <c r="AS575" i="433"/>
  <c r="AS527" i="433"/>
  <c r="AS479" i="433"/>
  <c r="AS431" i="433"/>
  <c r="AS383" i="433"/>
  <c r="AS335" i="433"/>
  <c r="AS287" i="433"/>
  <c r="AS239" i="433"/>
  <c r="AS191" i="433"/>
  <c r="AS143" i="433"/>
  <c r="AS95" i="433"/>
  <c r="AS47" i="433"/>
  <c r="AS876" i="433"/>
  <c r="AS828" i="433"/>
  <c r="AS780" i="433"/>
  <c r="AS732" i="433"/>
  <c r="AS684" i="433"/>
  <c r="AS636" i="433"/>
  <c r="AS588" i="433"/>
  <c r="AS540" i="433"/>
  <c r="AS492" i="433"/>
  <c r="AS444" i="433"/>
  <c r="AS396" i="433"/>
  <c r="AS348" i="433"/>
  <c r="AS300" i="433"/>
  <c r="AS252" i="433"/>
  <c r="AS204" i="433"/>
  <c r="AS156" i="433"/>
  <c r="AS108" i="433"/>
  <c r="AS60" i="433"/>
  <c r="AS134" i="433"/>
  <c r="AS889" i="433"/>
  <c r="AS841" i="433"/>
  <c r="AS793" i="433"/>
  <c r="AS745" i="433"/>
  <c r="AS697" i="433"/>
  <c r="AS649" i="433"/>
  <c r="AS601" i="433"/>
  <c r="AS553" i="433"/>
  <c r="AS505" i="433"/>
  <c r="AS457" i="433"/>
  <c r="AS409" i="433"/>
  <c r="AS361" i="433"/>
  <c r="AS313" i="433"/>
  <c r="AS265" i="433"/>
  <c r="AS217" i="433"/>
  <c r="AS169" i="433"/>
  <c r="AS121" i="433"/>
  <c r="AS73" i="433"/>
  <c r="AS25" i="433"/>
  <c r="AS902" i="433"/>
  <c r="AS854" i="433"/>
  <c r="AS806" i="433"/>
  <c r="AS758" i="433"/>
  <c r="AS710" i="433"/>
  <c r="AS662" i="433"/>
  <c r="AS614" i="433"/>
  <c r="AS566" i="433"/>
  <c r="AS518" i="433"/>
  <c r="AS470" i="433"/>
  <c r="AS422" i="433"/>
  <c r="AS374" i="433"/>
  <c r="AS326" i="433"/>
  <c r="AS278" i="433"/>
  <c r="AS230" i="433"/>
  <c r="AS182" i="433"/>
  <c r="AS867" i="433"/>
  <c r="AS819" i="433"/>
  <c r="AS771" i="433"/>
  <c r="AS723" i="433"/>
  <c r="AS675" i="433"/>
  <c r="AS627" i="433"/>
  <c r="AS579" i="433"/>
  <c r="AS531" i="433"/>
  <c r="AS483" i="433"/>
  <c r="AS435" i="433"/>
  <c r="AS387" i="433"/>
  <c r="AS339" i="433"/>
  <c r="AS291" i="433"/>
  <c r="AS243" i="433"/>
  <c r="AS195" i="433"/>
  <c r="AS147" i="433"/>
  <c r="AS99" i="433"/>
  <c r="AS51" i="433"/>
  <c r="AS880" i="433"/>
  <c r="AS832" i="433"/>
  <c r="AS784" i="433"/>
  <c r="AS736" i="433"/>
  <c r="AS688" i="433"/>
  <c r="AS640" i="433"/>
  <c r="AS592" i="433"/>
  <c r="AS544" i="433"/>
  <c r="AS496" i="433"/>
  <c r="AS448" i="433"/>
  <c r="AS400" i="433"/>
  <c r="AS352" i="433"/>
  <c r="AS304" i="433"/>
  <c r="AS256" i="433"/>
  <c r="AS208" i="433"/>
  <c r="AS160" i="433"/>
  <c r="AS112" i="433"/>
  <c r="AS893" i="433"/>
  <c r="AS845" i="433"/>
  <c r="AS797" i="433"/>
  <c r="AS749" i="433"/>
  <c r="AS701" i="433"/>
  <c r="AS653" i="433"/>
  <c r="AS605" i="433"/>
  <c r="AS557" i="433"/>
  <c r="AS509" i="433"/>
  <c r="AS461" i="433"/>
  <c r="AS413" i="433"/>
  <c r="AS365" i="433"/>
  <c r="AS317" i="433"/>
  <c r="AS269" i="433"/>
  <c r="AS221" i="433"/>
  <c r="AS173" i="433"/>
  <c r="AS125" i="433"/>
  <c r="AS77" i="433"/>
  <c r="AS29" i="433"/>
  <c r="AS906" i="433"/>
  <c r="AS858" i="433"/>
  <c r="AS810" i="433"/>
  <c r="AS762" i="433"/>
  <c r="AS714" i="433"/>
  <c r="AS666" i="433"/>
  <c r="AS618" i="433"/>
  <c r="AS570" i="433"/>
  <c r="AS522" i="433"/>
  <c r="AS474" i="433"/>
  <c r="AS426" i="433"/>
  <c r="AS378" i="433"/>
  <c r="AS330" i="433"/>
  <c r="AS282" i="433"/>
  <c r="AS234" i="433"/>
  <c r="AS186" i="433"/>
  <c r="AS138" i="433"/>
  <c r="AS90" i="433"/>
  <c r="AS42" i="433"/>
  <c r="AS871" i="433"/>
  <c r="AS823" i="433"/>
  <c r="AS775" i="433"/>
  <c r="AS727" i="433"/>
  <c r="AS679" i="433"/>
  <c r="AS631" i="433"/>
  <c r="AS583" i="433"/>
  <c r="AS535" i="433"/>
  <c r="AS487" i="433"/>
  <c r="AS439" i="433"/>
  <c r="AS391" i="433"/>
  <c r="AS343" i="433"/>
  <c r="AS295" i="433"/>
  <c r="AS247" i="433"/>
  <c r="AS199" i="433"/>
  <c r="AS151" i="433"/>
  <c r="AS103" i="433"/>
  <c r="AS55" i="433"/>
  <c r="AS884" i="433"/>
  <c r="AS836" i="433"/>
  <c r="AS788" i="433"/>
  <c r="AS740" i="433"/>
  <c r="AS692" i="433"/>
  <c r="AS644" i="433"/>
  <c r="AS596" i="433"/>
  <c r="AS548" i="433"/>
  <c r="AS500" i="433"/>
  <c r="AS452" i="433"/>
  <c r="AS404" i="433"/>
  <c r="AS356" i="433"/>
  <c r="AS308" i="433"/>
  <c r="AS260" i="433"/>
  <c r="AS212" i="433"/>
  <c r="AS164" i="433"/>
  <c r="AS116" i="433"/>
  <c r="AS68" i="433"/>
  <c r="AS20" i="433"/>
  <c r="AS897" i="433"/>
  <c r="AS849" i="433"/>
  <c r="AS801" i="433"/>
  <c r="AS753" i="433"/>
  <c r="AS705" i="433"/>
  <c r="AS657" i="433"/>
  <c r="AS609" i="433"/>
  <c r="AS561" i="433"/>
  <c r="AS513" i="433"/>
  <c r="AS465" i="433"/>
  <c r="AS417" i="433"/>
  <c r="AS369" i="433"/>
  <c r="AS321" i="433"/>
  <c r="AS273" i="433"/>
  <c r="AS225" i="433"/>
  <c r="AS177" i="433"/>
  <c r="AS129" i="433"/>
  <c r="AS81" i="433"/>
  <c r="AS33" i="433"/>
  <c r="AS862" i="433"/>
  <c r="AS814" i="433"/>
  <c r="AS766" i="433"/>
  <c r="AS718" i="433"/>
  <c r="AS670" i="433"/>
  <c r="AS622" i="433"/>
  <c r="AS574" i="433"/>
  <c r="AS526" i="433"/>
  <c r="AS478" i="433"/>
  <c r="AS430" i="433"/>
  <c r="AS382" i="433"/>
  <c r="AS334" i="433"/>
  <c r="AS286" i="433"/>
  <c r="AS238" i="433"/>
  <c r="AS190" i="433"/>
  <c r="AS142" i="433"/>
  <c r="AS94" i="433"/>
  <c r="AS46" i="433"/>
  <c r="AS875" i="433"/>
  <c r="AS827" i="433"/>
  <c r="AS779" i="433"/>
  <c r="AS731" i="433"/>
  <c r="AS683" i="433"/>
  <c r="AS635" i="433"/>
  <c r="AS587" i="433"/>
  <c r="AS539" i="433"/>
  <c r="AS491" i="433"/>
  <c r="AS443" i="433"/>
  <c r="AS395" i="433"/>
  <c r="AS347" i="433"/>
  <c r="AS299" i="433"/>
  <c r="AS251" i="433"/>
  <c r="AS203" i="433"/>
  <c r="AS155" i="433"/>
  <c r="AS107" i="433"/>
  <c r="AS59" i="433"/>
  <c r="AS888" i="433"/>
  <c r="AS840" i="433"/>
  <c r="AS792" i="433"/>
  <c r="AS744" i="433"/>
  <c r="AS696" i="433"/>
  <c r="AS648" i="433"/>
  <c r="AS600" i="433"/>
  <c r="AS552" i="433"/>
  <c r="AS504" i="433"/>
  <c r="AS456" i="433"/>
  <c r="AS408" i="433"/>
  <c r="AS360" i="433"/>
  <c r="AS312" i="433"/>
  <c r="AS264" i="433"/>
  <c r="AS216" i="433"/>
  <c r="AS168" i="433"/>
  <c r="AS120" i="433"/>
  <c r="AS72" i="433"/>
  <c r="AS24" i="433"/>
  <c r="AS901" i="433"/>
  <c r="AS853" i="433"/>
  <c r="AS805" i="433"/>
  <c r="AS757" i="433"/>
  <c r="AS709" i="433"/>
  <c r="AS661" i="433"/>
  <c r="AS613" i="433"/>
  <c r="AS565" i="433"/>
  <c r="AS517" i="433"/>
  <c r="AS469" i="433"/>
  <c r="AS421" i="433"/>
  <c r="AS373" i="433"/>
  <c r="AS325" i="433"/>
  <c r="AS277" i="433"/>
  <c r="AS229" i="433"/>
  <c r="AS181" i="433"/>
  <c r="AS133" i="433"/>
  <c r="AS85" i="433"/>
  <c r="AS37" i="433"/>
  <c r="AS866" i="433"/>
  <c r="AS818" i="433"/>
  <c r="AS770" i="433"/>
  <c r="AS722" i="433"/>
  <c r="AS674" i="433"/>
  <c r="AS626" i="433"/>
  <c r="AS578" i="433"/>
  <c r="AS530" i="433"/>
  <c r="AS482" i="433"/>
  <c r="AS434" i="433"/>
  <c r="AS386" i="433"/>
  <c r="AS338" i="433"/>
  <c r="AS290" i="433"/>
  <c r="AS242" i="433"/>
  <c r="AS194" i="433"/>
  <c r="AS146" i="433"/>
  <c r="AS98" i="433"/>
  <c r="AS879" i="433"/>
  <c r="AS831" i="433"/>
  <c r="AS783" i="433"/>
  <c r="AS735" i="433"/>
  <c r="AS687" i="433"/>
  <c r="AS639" i="433"/>
  <c r="AS591" i="433"/>
  <c r="AS543" i="433"/>
  <c r="AS495" i="433"/>
  <c r="AS447" i="433"/>
  <c r="AS399" i="433"/>
  <c r="AS351" i="433"/>
  <c r="AS303" i="433"/>
  <c r="AS255" i="433"/>
  <c r="AS207" i="433"/>
  <c r="AS159" i="433"/>
  <c r="AS111" i="433"/>
  <c r="AS63" i="433"/>
  <c r="AS892" i="433"/>
  <c r="AS844" i="433"/>
  <c r="AS796" i="433"/>
  <c r="AS748" i="433"/>
  <c r="AS700" i="433"/>
  <c r="AS652" i="433"/>
  <c r="AS604" i="433"/>
  <c r="AS556" i="433"/>
  <c r="AS508" i="433"/>
  <c r="AS460" i="433"/>
  <c r="AS412" i="433"/>
  <c r="AS364" i="433"/>
  <c r="AS316" i="433"/>
  <c r="AS268" i="433"/>
  <c r="AS220" i="433"/>
  <c r="AS172" i="433"/>
  <c r="AS124" i="433"/>
  <c r="AS76" i="433"/>
  <c r="AS28" i="433"/>
  <c r="AS905" i="433"/>
  <c r="AS857" i="433"/>
  <c r="AS809" i="433"/>
  <c r="AS761" i="433"/>
  <c r="AS713" i="433"/>
  <c r="AS665" i="433"/>
  <c r="AS617" i="433"/>
  <c r="AS569" i="433"/>
  <c r="AS521" i="433"/>
  <c r="AS473" i="433"/>
  <c r="AS425" i="433"/>
  <c r="AS377" i="433"/>
  <c r="AS329" i="433"/>
  <c r="AS281" i="433"/>
  <c r="AS233" i="433"/>
  <c r="AS185" i="433"/>
  <c r="AS137" i="433"/>
  <c r="AS89" i="433"/>
  <c r="AS870" i="433"/>
  <c r="AS822" i="433"/>
  <c r="AS774" i="433"/>
  <c r="AS726" i="433"/>
  <c r="AS678" i="433"/>
  <c r="AS630" i="433"/>
  <c r="AS582" i="433"/>
  <c r="AS534" i="433"/>
  <c r="AS486" i="433"/>
  <c r="AS438" i="433"/>
  <c r="AS390" i="433"/>
  <c r="AS342" i="433"/>
  <c r="AS294" i="433"/>
  <c r="AS246" i="433"/>
  <c r="AS198" i="433"/>
  <c r="AS150" i="433"/>
  <c r="AS102" i="433"/>
  <c r="AS54" i="433"/>
  <c r="AS883" i="433"/>
  <c r="AS835" i="433"/>
  <c r="AS787" i="433"/>
  <c r="AS739" i="433"/>
  <c r="AS691" i="433"/>
  <c r="AS643" i="433"/>
  <c r="AS595" i="433"/>
  <c r="AS547" i="433"/>
  <c r="AS499" i="433"/>
  <c r="AS451" i="433"/>
  <c r="AS403" i="433"/>
  <c r="AS355" i="433"/>
  <c r="AS307" i="433"/>
  <c r="AS259" i="433"/>
  <c r="AS211" i="433"/>
  <c r="AS163" i="433"/>
  <c r="AS115" i="433"/>
  <c r="AS67" i="433"/>
  <c r="AS19" i="433"/>
  <c r="AS896" i="433"/>
  <c r="AS848" i="433"/>
  <c r="AS800" i="433"/>
  <c r="AS752" i="433"/>
  <c r="AS704" i="433"/>
  <c r="AS656" i="433"/>
  <c r="AS608" i="433"/>
  <c r="AS560" i="433"/>
  <c r="AS512" i="433"/>
  <c r="AS464" i="433"/>
  <c r="AS416" i="433"/>
  <c r="AS368" i="433"/>
  <c r="AS320" i="433"/>
  <c r="AS272" i="433"/>
  <c r="AS224" i="433"/>
  <c r="AS176" i="433"/>
  <c r="AS128" i="433"/>
  <c r="AS80" i="433"/>
  <c r="AS32" i="433"/>
  <c r="AS861" i="433"/>
  <c r="AS813" i="433"/>
  <c r="AS765" i="433"/>
  <c r="AS717" i="433"/>
  <c r="AS669" i="433"/>
  <c r="AS621" i="433"/>
  <c r="AS573" i="433"/>
  <c r="AS525" i="433"/>
  <c r="AS477" i="433"/>
  <c r="AS429" i="433"/>
  <c r="AS381" i="433"/>
  <c r="AS333" i="433"/>
  <c r="AS285" i="433"/>
  <c r="AS237" i="433"/>
  <c r="AS189" i="433"/>
  <c r="AS141" i="433"/>
  <c r="AS93" i="433"/>
  <c r="AS45" i="433"/>
  <c r="AS874" i="433"/>
  <c r="AS826" i="433"/>
  <c r="AS778" i="433"/>
  <c r="AS730" i="433"/>
  <c r="AS682" i="433"/>
  <c r="AS634" i="433"/>
  <c r="AS586" i="433"/>
  <c r="AS538" i="433"/>
  <c r="AS490" i="433"/>
  <c r="AS442" i="433"/>
  <c r="AS394" i="433"/>
  <c r="AS346" i="433"/>
  <c r="AS298" i="433"/>
  <c r="AS250" i="433"/>
  <c r="AS202" i="433"/>
  <c r="AS154" i="433"/>
  <c r="AS106" i="433"/>
  <c r="AS58" i="433"/>
  <c r="AS887" i="433"/>
  <c r="AS839" i="433"/>
  <c r="AS791" i="433"/>
  <c r="AS743" i="433"/>
  <c r="AS695" i="433"/>
  <c r="AS647" i="433"/>
  <c r="AS599" i="433"/>
  <c r="AS551" i="433"/>
  <c r="AS503" i="433"/>
  <c r="AS455" i="433"/>
  <c r="AS407" i="433"/>
  <c r="AS359" i="433"/>
  <c r="AS311" i="433"/>
  <c r="AS263" i="433"/>
  <c r="AS900" i="433"/>
  <c r="AS852" i="433"/>
  <c r="AS804" i="433"/>
  <c r="AS756" i="433"/>
  <c r="AS708" i="433"/>
  <c r="AS660" i="433"/>
  <c r="AS612" i="433"/>
  <c r="AS564" i="433"/>
  <c r="AS516" i="433"/>
  <c r="AS468" i="433"/>
  <c r="AS420" i="433"/>
  <c r="AS372" i="433"/>
  <c r="AS324" i="433"/>
  <c r="AS276" i="433"/>
  <c r="AS228" i="433"/>
  <c r="AS180" i="433"/>
  <c r="AS132" i="433"/>
  <c r="AS84" i="433"/>
  <c r="AS36" i="433"/>
  <c r="AS865" i="433"/>
  <c r="AS817" i="433"/>
  <c r="AS769" i="433"/>
  <c r="AS721" i="433"/>
  <c r="AS673" i="433"/>
  <c r="AS625" i="433"/>
  <c r="AS577" i="433"/>
  <c r="AS529" i="433"/>
  <c r="AS481" i="433"/>
  <c r="AS869" i="433"/>
  <c r="AS782" i="433"/>
  <c r="AS546" i="433"/>
  <c r="AS206" i="433"/>
  <c r="AS664" i="433"/>
  <c r="AS594" i="433"/>
  <c r="AS498" i="433"/>
  <c r="AS402" i="433"/>
  <c r="AS280" i="433"/>
  <c r="AS64" i="433"/>
  <c r="AS712" i="433"/>
  <c r="AS354" i="433"/>
  <c r="AS686" i="433"/>
  <c r="AS847" i="433"/>
  <c r="AS232" i="433"/>
  <c r="AS642" i="433"/>
  <c r="AS306" i="433"/>
  <c r="AS127" i="433"/>
  <c r="AS760" i="433"/>
  <c r="AS258" i="433"/>
  <c r="AS53" i="433"/>
  <c r="AS830" i="433"/>
  <c r="AS690" i="433"/>
  <c r="AS158" i="433"/>
  <c r="AS27" i="433"/>
  <c r="AS799" i="433"/>
  <c r="AS738" i="433"/>
  <c r="AS433" i="433"/>
  <c r="AS385" i="433"/>
  <c r="AS184" i="433"/>
  <c r="AS79" i="433"/>
  <c r="AS895" i="433"/>
  <c r="AS808" i="433"/>
  <c r="AS337" i="433"/>
  <c r="AS210" i="433"/>
  <c r="AS786" i="433"/>
  <c r="AS289" i="433"/>
  <c r="AS110" i="433"/>
  <c r="AS241" i="433"/>
  <c r="AS215" i="433"/>
  <c r="AS878" i="433"/>
  <c r="AS459" i="433"/>
  <c r="AS49" i="433"/>
  <c r="AS555" i="433"/>
  <c r="AS23" i="433"/>
  <c r="AS376" i="433"/>
  <c r="AS603" i="433"/>
  <c r="AS507" i="433"/>
  <c r="AS411" i="433"/>
  <c r="AS136" i="433"/>
  <c r="AS856" i="433"/>
  <c r="AS363" i="433"/>
  <c r="AS162" i="433"/>
  <c r="AS424" i="433"/>
  <c r="AS616" i="433"/>
  <c r="AS315" i="433"/>
  <c r="AS834" i="433"/>
  <c r="AS651" i="433"/>
  <c r="AS437" i="433"/>
  <c r="AS62" i="433"/>
  <c r="AS31" i="433"/>
  <c r="AS267" i="433"/>
  <c r="AS193" i="433"/>
  <c r="AS167" i="433"/>
  <c r="AS485" i="433"/>
  <c r="AS389" i="433"/>
  <c r="AS699" i="433"/>
  <c r="AS581" i="433"/>
  <c r="AS533" i="433"/>
  <c r="AS341" i="433"/>
  <c r="AS88" i="433"/>
  <c r="AS41" i="433"/>
  <c r="AS114" i="433"/>
  <c r="AS747" i="433"/>
  <c r="AS629" i="433"/>
  <c r="AS293" i="433"/>
  <c r="AS219" i="433"/>
  <c r="AS245" i="433"/>
  <c r="AS119" i="433"/>
  <c r="AS56" i="433"/>
  <c r="AS882" i="433"/>
  <c r="AS677" i="433"/>
  <c r="AS463" i="433"/>
  <c r="AS145" i="433"/>
  <c r="AS559" i="433"/>
  <c r="AS795" i="433"/>
  <c r="AS725" i="433"/>
  <c r="AS607" i="433"/>
  <c r="AS511" i="433"/>
  <c r="AS415" i="433"/>
  <c r="AS66" i="433"/>
  <c r="AS367" i="433"/>
  <c r="AS904" i="433"/>
  <c r="AS319" i="433"/>
  <c r="AS171" i="433"/>
  <c r="AS655" i="433"/>
  <c r="AS197" i="433"/>
  <c r="AS71" i="433"/>
  <c r="AS50" i="433"/>
  <c r="AS40" i="433"/>
  <c r="AS773" i="433"/>
  <c r="AS271" i="433"/>
  <c r="AS97" i="433"/>
  <c r="AS446" i="433"/>
  <c r="AS703" i="433"/>
  <c r="AS542" i="433"/>
  <c r="AS590" i="433"/>
  <c r="AS494" i="433"/>
  <c r="AS398" i="433"/>
  <c r="AS843" i="433"/>
  <c r="AS751" i="433"/>
  <c r="AS350" i="433"/>
  <c r="AS223" i="433"/>
  <c r="AS123" i="433"/>
  <c r="AS821" i="433"/>
  <c r="AS638" i="433"/>
  <c r="AS302" i="433"/>
  <c r="AS149" i="433"/>
  <c r="AS254" i="433"/>
  <c r="AS472" i="433"/>
  <c r="AS568" i="433"/>
  <c r="AS175" i="433"/>
  <c r="AS75" i="433"/>
  <c r="AS450" i="433"/>
  <c r="AS328" i="433"/>
  <c r="AS734" i="433"/>
  <c r="AS520" i="433"/>
  <c r="AS891" i="433"/>
  <c r="AS101" i="433"/>
  <c r="AS908" i="432"/>
  <c r="AS884" i="432"/>
  <c r="AS860" i="432"/>
  <c r="AS836" i="432"/>
  <c r="AS812" i="432"/>
  <c r="AS788" i="432"/>
  <c r="AS764" i="432"/>
  <c r="AS740" i="432"/>
  <c r="AS716" i="432"/>
  <c r="AS692" i="432"/>
  <c r="AS668" i="432"/>
  <c r="AS644" i="432"/>
  <c r="AS620" i="432"/>
  <c r="AS596" i="432"/>
  <c r="AS572" i="432"/>
  <c r="AS548" i="432"/>
  <c r="AS524" i="432"/>
  <c r="AS500" i="432"/>
  <c r="AS476" i="432"/>
  <c r="AS452" i="432"/>
  <c r="AS428" i="432"/>
  <c r="AS404" i="432"/>
  <c r="AS380" i="432"/>
  <c r="AS356" i="432"/>
  <c r="AS332" i="432"/>
  <c r="AS308" i="432"/>
  <c r="AS284" i="432"/>
  <c r="AS260" i="432"/>
  <c r="AS236" i="432"/>
  <c r="AS212" i="432"/>
  <c r="AS188" i="432"/>
  <c r="AS164" i="432"/>
  <c r="AS140" i="432"/>
  <c r="AS116" i="432"/>
  <c r="AS92" i="432"/>
  <c r="AS68" i="432"/>
  <c r="AS44" i="432"/>
  <c r="AS20" i="432"/>
  <c r="AS903" i="432"/>
  <c r="AS879" i="432"/>
  <c r="AS855" i="432"/>
  <c r="AS831" i="432"/>
  <c r="AS807" i="432"/>
  <c r="AS783" i="432"/>
  <c r="AS759" i="432"/>
  <c r="AS735" i="432"/>
  <c r="AS711" i="432"/>
  <c r="AS687" i="432"/>
  <c r="AS663" i="432"/>
  <c r="AS639" i="432"/>
  <c r="AS615" i="432"/>
  <c r="AS591" i="432"/>
  <c r="AS567" i="432"/>
  <c r="AS543" i="432"/>
  <c r="AS519" i="432"/>
  <c r="AS495" i="432"/>
  <c r="AS471" i="432"/>
  <c r="AS447" i="432"/>
  <c r="AS423" i="432"/>
  <c r="AS399" i="432"/>
  <c r="AS375" i="432"/>
  <c r="AS351" i="432"/>
  <c r="AS327" i="432"/>
  <c r="AS303" i="432"/>
  <c r="AS279" i="432"/>
  <c r="AS255" i="432"/>
  <c r="AS231" i="432"/>
  <c r="AS207" i="432"/>
  <c r="AS183" i="432"/>
  <c r="AS159" i="432"/>
  <c r="AS135" i="432"/>
  <c r="AS111" i="432"/>
  <c r="AS87" i="432"/>
  <c r="AS63" i="432"/>
  <c r="AS39" i="432"/>
  <c r="AS898" i="432"/>
  <c r="AS893" i="432"/>
  <c r="AS869" i="432"/>
  <c r="AS845" i="432"/>
  <c r="AS821" i="432"/>
  <c r="AS797" i="432"/>
  <c r="AS773" i="432"/>
  <c r="AS749" i="432"/>
  <c r="AS725" i="432"/>
  <c r="AS701" i="432"/>
  <c r="AS677" i="432"/>
  <c r="AS653" i="432"/>
  <c r="AS629" i="432"/>
  <c r="AS605" i="432"/>
  <c r="AS581" i="432"/>
  <c r="AS557" i="432"/>
  <c r="AS533" i="432"/>
  <c r="AS509" i="432"/>
  <c r="AS485" i="432"/>
  <c r="AS461" i="432"/>
  <c r="AS437" i="432"/>
  <c r="AS413" i="432"/>
  <c r="AS389" i="432"/>
  <c r="AS365" i="432"/>
  <c r="AS341" i="432"/>
  <c r="AS317" i="432"/>
  <c r="AS293" i="432"/>
  <c r="AS269" i="432"/>
  <c r="AS245" i="432"/>
  <c r="AS888" i="432"/>
  <c r="AS864" i="432"/>
  <c r="AS840" i="432"/>
  <c r="AS816" i="432"/>
  <c r="AS792" i="432"/>
  <c r="AS768" i="432"/>
  <c r="AS744" i="432"/>
  <c r="AS720" i="432"/>
  <c r="AS696" i="432"/>
  <c r="AS672" i="432"/>
  <c r="AS648" i="432"/>
  <c r="AS624" i="432"/>
  <c r="AS600" i="432"/>
  <c r="AS576" i="432"/>
  <c r="AS552" i="432"/>
  <c r="AS528" i="432"/>
  <c r="AS504" i="432"/>
  <c r="AS480" i="432"/>
  <c r="AS456" i="432"/>
  <c r="AS432" i="432"/>
  <c r="AS422" i="432"/>
  <c r="AS398" i="432"/>
  <c r="AS350" i="432"/>
  <c r="AS326" i="432"/>
  <c r="AS278" i="432"/>
  <c r="AS254" i="432"/>
  <c r="AS907" i="432"/>
  <c r="AS883" i="432"/>
  <c r="AS859" i="432"/>
  <c r="AS835" i="432"/>
  <c r="AS811" i="432"/>
  <c r="AS787" i="432"/>
  <c r="AS763" i="432"/>
  <c r="AS739" i="432"/>
  <c r="AS715" i="432"/>
  <c r="AS691" i="432"/>
  <c r="AS667" i="432"/>
  <c r="AS643" i="432"/>
  <c r="AS619" i="432"/>
  <c r="AS595" i="432"/>
  <c r="AS571" i="432"/>
  <c r="AS547" i="432"/>
  <c r="AS523" i="432"/>
  <c r="AS499" i="432"/>
  <c r="AS475" i="432"/>
  <c r="AS451" i="432"/>
  <c r="AS427" i="432"/>
  <c r="AS403" i="432"/>
  <c r="AS379" i="432"/>
  <c r="AS355" i="432"/>
  <c r="AS331" i="432"/>
  <c r="AS307" i="432"/>
  <c r="AS283" i="432"/>
  <c r="AS259" i="432"/>
  <c r="AS235" i="432"/>
  <c r="AS211" i="432"/>
  <c r="AS187" i="432"/>
  <c r="AS163" i="432"/>
  <c r="AS139" i="432"/>
  <c r="AS115" i="432"/>
  <c r="AS91" i="432"/>
  <c r="AS67" i="432"/>
  <c r="AS43" i="432"/>
  <c r="AS19" i="432"/>
  <c r="AS374" i="432"/>
  <c r="AS302" i="432"/>
  <c r="AS230" i="432"/>
  <c r="AS206" i="432"/>
  <c r="AS182" i="432"/>
  <c r="AS902" i="432"/>
  <c r="AS878" i="432"/>
  <c r="AS854" i="432"/>
  <c r="AS830" i="432"/>
  <c r="AS806" i="432"/>
  <c r="AS782" i="432"/>
  <c r="AS758" i="432"/>
  <c r="AS734" i="432"/>
  <c r="AS710" i="432"/>
  <c r="AS686" i="432"/>
  <c r="AS662" i="432"/>
  <c r="AS638" i="432"/>
  <c r="AS614" i="432"/>
  <c r="AS590" i="432"/>
  <c r="AS566" i="432"/>
  <c r="AS542" i="432"/>
  <c r="AS518" i="432"/>
  <c r="AS494" i="432"/>
  <c r="AS470" i="432"/>
  <c r="AS446" i="432"/>
  <c r="AS897" i="432"/>
  <c r="AS873" i="432"/>
  <c r="AS849" i="432"/>
  <c r="AS825" i="432"/>
  <c r="AS801" i="432"/>
  <c r="AS777" i="432"/>
  <c r="AS753" i="432"/>
  <c r="AS729" i="432"/>
  <c r="AS705" i="432"/>
  <c r="AS681" i="432"/>
  <c r="AS657" i="432"/>
  <c r="AS633" i="432"/>
  <c r="AS609" i="432"/>
  <c r="AS585" i="432"/>
  <c r="AS561" i="432"/>
  <c r="AS537" i="432"/>
  <c r="AS513" i="432"/>
  <c r="AS489" i="432"/>
  <c r="AS465" i="432"/>
  <c r="AS441" i="432"/>
  <c r="AS417" i="432"/>
  <c r="AS393" i="432"/>
  <c r="AS369" i="432"/>
  <c r="AS345" i="432"/>
  <c r="AS321" i="432"/>
  <c r="AS297" i="432"/>
  <c r="AS273" i="432"/>
  <c r="AS249" i="432"/>
  <c r="AS225" i="432"/>
  <c r="AS201" i="432"/>
  <c r="AS177" i="432"/>
  <c r="AS153" i="432"/>
  <c r="AS129" i="432"/>
  <c r="AS105" i="432"/>
  <c r="AS81" i="432"/>
  <c r="AS57" i="432"/>
  <c r="AS33" i="432"/>
  <c r="AS220" i="432"/>
  <c r="AS172" i="432"/>
  <c r="AS124" i="432"/>
  <c r="AS100" i="432"/>
  <c r="AS76" i="432"/>
  <c r="AS52" i="432"/>
  <c r="AS892" i="432"/>
  <c r="AS868" i="432"/>
  <c r="AS844" i="432"/>
  <c r="AS820" i="432"/>
  <c r="AS796" i="432"/>
  <c r="AS772" i="432"/>
  <c r="AS748" i="432"/>
  <c r="AS724" i="432"/>
  <c r="AS700" i="432"/>
  <c r="AS676" i="432"/>
  <c r="AS652" i="432"/>
  <c r="AS628" i="432"/>
  <c r="AS604" i="432"/>
  <c r="AS580" i="432"/>
  <c r="AS556" i="432"/>
  <c r="AS532" i="432"/>
  <c r="AS508" i="432"/>
  <c r="AS484" i="432"/>
  <c r="AS460" i="432"/>
  <c r="AS436" i="432"/>
  <c r="AS412" i="432"/>
  <c r="AS388" i="432"/>
  <c r="AS364" i="432"/>
  <c r="AS340" i="432"/>
  <c r="AS316" i="432"/>
  <c r="AS292" i="432"/>
  <c r="AS268" i="432"/>
  <c r="AS244" i="432"/>
  <c r="AS196" i="432"/>
  <c r="AS148" i="432"/>
  <c r="AS28" i="432"/>
  <c r="AS887" i="432"/>
  <c r="AS863" i="432"/>
  <c r="AS839" i="432"/>
  <c r="AS815" i="432"/>
  <c r="AS791" i="432"/>
  <c r="AS767" i="432"/>
  <c r="AS743" i="432"/>
  <c r="AS719" i="432"/>
  <c r="AS695" i="432"/>
  <c r="AS671" i="432"/>
  <c r="AS647" i="432"/>
  <c r="AS623" i="432"/>
  <c r="AS599" i="432"/>
  <c r="AS575" i="432"/>
  <c r="AS551" i="432"/>
  <c r="AS527" i="432"/>
  <c r="AS503" i="432"/>
  <c r="AS479" i="432"/>
  <c r="AS455" i="432"/>
  <c r="AS431" i="432"/>
  <c r="AS407" i="432"/>
  <c r="AS383" i="432"/>
  <c r="AS359" i="432"/>
  <c r="AS335" i="432"/>
  <c r="AS311" i="432"/>
  <c r="AS287" i="432"/>
  <c r="AS263" i="432"/>
  <c r="AS239" i="432"/>
  <c r="AS215" i="432"/>
  <c r="AS191" i="432"/>
  <c r="AS167" i="432"/>
  <c r="AS143" i="432"/>
  <c r="AS119" i="432"/>
  <c r="AS95" i="432"/>
  <c r="AS71" i="432"/>
  <c r="AS47" i="432"/>
  <c r="AS23" i="432"/>
  <c r="AS906" i="432"/>
  <c r="AS882" i="432"/>
  <c r="AS858" i="432"/>
  <c r="AS834" i="432"/>
  <c r="AS810" i="432"/>
  <c r="AS786" i="432"/>
  <c r="AS762" i="432"/>
  <c r="AS738" i="432"/>
  <c r="AS714" i="432"/>
  <c r="AS690" i="432"/>
  <c r="AS666" i="432"/>
  <c r="AS642" i="432"/>
  <c r="AS618" i="432"/>
  <c r="AS594" i="432"/>
  <c r="AS570" i="432"/>
  <c r="AS546" i="432"/>
  <c r="AS522" i="432"/>
  <c r="AS498" i="432"/>
  <c r="AS474" i="432"/>
  <c r="AS450" i="432"/>
  <c r="AS426" i="432"/>
  <c r="AS402" i="432"/>
  <c r="AS901" i="432"/>
  <c r="AS877" i="432"/>
  <c r="AS853" i="432"/>
  <c r="AS829" i="432"/>
  <c r="AS805" i="432"/>
  <c r="AS781" i="432"/>
  <c r="AS757" i="432"/>
  <c r="AS733" i="432"/>
  <c r="AS709" i="432"/>
  <c r="AS685" i="432"/>
  <c r="AS661" i="432"/>
  <c r="AS637" i="432"/>
  <c r="AS613" i="432"/>
  <c r="AS589" i="432"/>
  <c r="AS565" i="432"/>
  <c r="AS541" i="432"/>
  <c r="AS517" i="432"/>
  <c r="AS493" i="432"/>
  <c r="AS469" i="432"/>
  <c r="AS445" i="432"/>
  <c r="AS421" i="432"/>
  <c r="AS397" i="432"/>
  <c r="AS373" i="432"/>
  <c r="AS349" i="432"/>
  <c r="AS325" i="432"/>
  <c r="AS301" i="432"/>
  <c r="AS891" i="432"/>
  <c r="AS867" i="432"/>
  <c r="AS843" i="432"/>
  <c r="AS819" i="432"/>
  <c r="AS795" i="432"/>
  <c r="AS771" i="432"/>
  <c r="AS747" i="432"/>
  <c r="AS723" i="432"/>
  <c r="AS699" i="432"/>
  <c r="AS675" i="432"/>
  <c r="AS651" i="432"/>
  <c r="AS627" i="432"/>
  <c r="AS603" i="432"/>
  <c r="AS579" i="432"/>
  <c r="AS555" i="432"/>
  <c r="AS531" i="432"/>
  <c r="AS507" i="432"/>
  <c r="AS483" i="432"/>
  <c r="AS459" i="432"/>
  <c r="AS435" i="432"/>
  <c r="AS411" i="432"/>
  <c r="AS387" i="432"/>
  <c r="AS363" i="432"/>
  <c r="AS339" i="432"/>
  <c r="AS315" i="432"/>
  <c r="AS291" i="432"/>
  <c r="AS267" i="432"/>
  <c r="AS243" i="432"/>
  <c r="AS219" i="432"/>
  <c r="AS195" i="432"/>
  <c r="AS171" i="432"/>
  <c r="AS147" i="432"/>
  <c r="AS123" i="432"/>
  <c r="AS99" i="432"/>
  <c r="AS75" i="432"/>
  <c r="AS51" i="432"/>
  <c r="AS27" i="432"/>
  <c r="AS886" i="432"/>
  <c r="AS862" i="432"/>
  <c r="AS838" i="432"/>
  <c r="AS905" i="432"/>
  <c r="AS881" i="432"/>
  <c r="AS857" i="432"/>
  <c r="AS833" i="432"/>
  <c r="AS809" i="432"/>
  <c r="AS785" i="432"/>
  <c r="AS761" i="432"/>
  <c r="AS737" i="432"/>
  <c r="AS713" i="432"/>
  <c r="AS689" i="432"/>
  <c r="AS665" i="432"/>
  <c r="AS641" i="432"/>
  <c r="AS617" i="432"/>
  <c r="AS593" i="432"/>
  <c r="AS569" i="432"/>
  <c r="AS545" i="432"/>
  <c r="AS521" i="432"/>
  <c r="AS497" i="432"/>
  <c r="AS473" i="432"/>
  <c r="AS449" i="432"/>
  <c r="AS425" i="432"/>
  <c r="AS401" i="432"/>
  <c r="AS377" i="432"/>
  <c r="AS353" i="432"/>
  <c r="AS329" i="432"/>
  <c r="AS305" i="432"/>
  <c r="AS281" i="432"/>
  <c r="AS257" i="432"/>
  <c r="AS233" i="432"/>
  <c r="AS209" i="432"/>
  <c r="AS185" i="432"/>
  <c r="AS161" i="432"/>
  <c r="AS137" i="432"/>
  <c r="AS113" i="432"/>
  <c r="AS89" i="432"/>
  <c r="AS65" i="432"/>
  <c r="AS41" i="432"/>
  <c r="AS900" i="432"/>
  <c r="AS876" i="432"/>
  <c r="AS852" i="432"/>
  <c r="AS828" i="432"/>
  <c r="AS804" i="432"/>
  <c r="AS780" i="432"/>
  <c r="AS756" i="432"/>
  <c r="AS732" i="432"/>
  <c r="AS708" i="432"/>
  <c r="AS684" i="432"/>
  <c r="AS660" i="432"/>
  <c r="AS636" i="432"/>
  <c r="AS439" i="432"/>
  <c r="AS415" i="432"/>
  <c r="AS391" i="432"/>
  <c r="AS367" i="432"/>
  <c r="AS343" i="432"/>
  <c r="AS319" i="432"/>
  <c r="AS295" i="432"/>
  <c r="AS271" i="432"/>
  <c r="AS247" i="432"/>
  <c r="AS223" i="432"/>
  <c r="AS199" i="432"/>
  <c r="AS175" i="432"/>
  <c r="AS151" i="432"/>
  <c r="AS127" i="432"/>
  <c r="AS103" i="432"/>
  <c r="AS79" i="432"/>
  <c r="AS55" i="432"/>
  <c r="AS31" i="432"/>
  <c r="AS895" i="432"/>
  <c r="AS871" i="432"/>
  <c r="AS847" i="432"/>
  <c r="AS823" i="432"/>
  <c r="AS799" i="432"/>
  <c r="AS775" i="432"/>
  <c r="AS751" i="432"/>
  <c r="AS727" i="432"/>
  <c r="AS703" i="432"/>
  <c r="AS679" i="432"/>
  <c r="AS655" i="432"/>
  <c r="AS631" i="432"/>
  <c r="AS607" i="432"/>
  <c r="AS583" i="432"/>
  <c r="AS559" i="432"/>
  <c r="AS535" i="432"/>
  <c r="AS511" i="432"/>
  <c r="AS487" i="432"/>
  <c r="AS463" i="432"/>
  <c r="AS890" i="432"/>
  <c r="AS866" i="432"/>
  <c r="AS842" i="432"/>
  <c r="AS818" i="432"/>
  <c r="AS794" i="432"/>
  <c r="AS770" i="432"/>
  <c r="AS746" i="432"/>
  <c r="AS722" i="432"/>
  <c r="AS698" i="432"/>
  <c r="AS674" i="432"/>
  <c r="AS650" i="432"/>
  <c r="AS626" i="432"/>
  <c r="AS602" i="432"/>
  <c r="AS578" i="432"/>
  <c r="AS554" i="432"/>
  <c r="AS530" i="432"/>
  <c r="AS506" i="432"/>
  <c r="AS482" i="432"/>
  <c r="AS458" i="432"/>
  <c r="AS434" i="432"/>
  <c r="AS410" i="432"/>
  <c r="AS386" i="432"/>
  <c r="AS362" i="432"/>
  <c r="AS338" i="432"/>
  <c r="AS314" i="432"/>
  <c r="AS290" i="432"/>
  <c r="AS266" i="432"/>
  <c r="AS242" i="432"/>
  <c r="AS218" i="432"/>
  <c r="AS194" i="432"/>
  <c r="AS170" i="432"/>
  <c r="AS146" i="432"/>
  <c r="AS122" i="432"/>
  <c r="AS98" i="432"/>
  <c r="AS74" i="432"/>
  <c r="AS50" i="432"/>
  <c r="AS26" i="432"/>
  <c r="AS885" i="432"/>
  <c r="AS861" i="432"/>
  <c r="AS837" i="432"/>
  <c r="AS813" i="432"/>
  <c r="AS789" i="432"/>
  <c r="AS765" i="432"/>
  <c r="AS741" i="432"/>
  <c r="AS717" i="432"/>
  <c r="AS693" i="432"/>
  <c r="AS904" i="432"/>
  <c r="AS899" i="432"/>
  <c r="AS875" i="432"/>
  <c r="AS851" i="432"/>
  <c r="AS827" i="432"/>
  <c r="AS803" i="432"/>
  <c r="AS779" i="432"/>
  <c r="AS755" i="432"/>
  <c r="AS731" i="432"/>
  <c r="AS707" i="432"/>
  <c r="AS683" i="432"/>
  <c r="AS659" i="432"/>
  <c r="AS635" i="432"/>
  <c r="AS611" i="432"/>
  <c r="AS894" i="432"/>
  <c r="AS870" i="432"/>
  <c r="AS846" i="432"/>
  <c r="AS822" i="432"/>
  <c r="AS798" i="432"/>
  <c r="AS774" i="432"/>
  <c r="AS750" i="432"/>
  <c r="AS726" i="432"/>
  <c r="AS702" i="432"/>
  <c r="AS678" i="432"/>
  <c r="AS654" i="432"/>
  <c r="AS630" i="432"/>
  <c r="AS889" i="432"/>
  <c r="AS865" i="432"/>
  <c r="AS841" i="432"/>
  <c r="AS817" i="432"/>
  <c r="AS793" i="432"/>
  <c r="AS769" i="432"/>
  <c r="AS745" i="432"/>
  <c r="AS721" i="432"/>
  <c r="AS697" i="432"/>
  <c r="AS742" i="432"/>
  <c r="AS632" i="432"/>
  <c r="AS616" i="432"/>
  <c r="AS562" i="432"/>
  <c r="AS454" i="432"/>
  <c r="AS384" i="432"/>
  <c r="AS352" i="432"/>
  <c r="AS336" i="432"/>
  <c r="AS304" i="432"/>
  <c r="AS251" i="432"/>
  <c r="AS214" i="432"/>
  <c r="AS156" i="432"/>
  <c r="AS88" i="432"/>
  <c r="AS586" i="432"/>
  <c r="AS248" i="432"/>
  <c r="AS252" i="432"/>
  <c r="AS178" i="432"/>
  <c r="AS880" i="432"/>
  <c r="AS416" i="432"/>
  <c r="AS400" i="432"/>
  <c r="AS272" i="432"/>
  <c r="AS114" i="432"/>
  <c r="AS46" i="432"/>
  <c r="AS40" i="432"/>
  <c r="AS101" i="432"/>
  <c r="AS110" i="432"/>
  <c r="AS536" i="432"/>
  <c r="AS173" i="432"/>
  <c r="AS670" i="432"/>
  <c r="AS481" i="432"/>
  <c r="AS443" i="432"/>
  <c r="AS357" i="432"/>
  <c r="AS309" i="432"/>
  <c r="AS256" i="432"/>
  <c r="AS198" i="432"/>
  <c r="AS93" i="432"/>
  <c r="AS25" i="432"/>
  <c r="AS621" i="432"/>
  <c r="AS540" i="432"/>
  <c r="AS277" i="432"/>
  <c r="AS190" i="432"/>
  <c r="AS85" i="432"/>
  <c r="AS36" i="432"/>
  <c r="AS874" i="432"/>
  <c r="AS808" i="432"/>
  <c r="AS736" i="432"/>
  <c r="AS610" i="432"/>
  <c r="AS405" i="432"/>
  <c r="AS261" i="432"/>
  <c r="AS240" i="432"/>
  <c r="AS203" i="432"/>
  <c r="AS72" i="432"/>
  <c r="AS826" i="432"/>
  <c r="AS21" i="432"/>
  <c r="AS896" i="432"/>
  <c r="AS486" i="432"/>
  <c r="AS378" i="432"/>
  <c r="AS330" i="432"/>
  <c r="AS282" i="432"/>
  <c r="AS224" i="432"/>
  <c r="AS166" i="432"/>
  <c r="AS30" i="432"/>
  <c r="AS59" i="432"/>
  <c r="AS478" i="432"/>
  <c r="AS424" i="432"/>
  <c r="AS106" i="432"/>
  <c r="AS337" i="432"/>
  <c r="AS157" i="432"/>
  <c r="AS62" i="432"/>
  <c r="AS502" i="432"/>
  <c r="AS448" i="432"/>
  <c r="AS394" i="432"/>
  <c r="AS346" i="432"/>
  <c r="AS298" i="432"/>
  <c r="AS145" i="432"/>
  <c r="AS56" i="432"/>
  <c r="AS35" i="432"/>
  <c r="AS38" i="432"/>
  <c r="AS824" i="432"/>
  <c r="AS802" i="432"/>
  <c r="AS730" i="432"/>
  <c r="AS588" i="432"/>
  <c r="AS529" i="432"/>
  <c r="AS464" i="432"/>
  <c r="AS229" i="432"/>
  <c r="AS208" i="432"/>
  <c r="AS82" i="432"/>
  <c r="AS77" i="432"/>
  <c r="AS61" i="432"/>
  <c r="AS108" i="432"/>
  <c r="AS752" i="432"/>
  <c r="AS664" i="432"/>
  <c r="AS491" i="432"/>
  <c r="AS680" i="432"/>
  <c r="AS453" i="432"/>
  <c r="AS250" i="432"/>
  <c r="AS213" i="432"/>
  <c r="AS192" i="432"/>
  <c r="AS150" i="432"/>
  <c r="AS134" i="432"/>
  <c r="AS66" i="432"/>
  <c r="AS102" i="432"/>
  <c r="AS227" i="432"/>
  <c r="AS848" i="432"/>
  <c r="AS120" i="432"/>
  <c r="AS347" i="432"/>
  <c r="AS299" i="432"/>
  <c r="AS534" i="432"/>
  <c r="AS234" i="432"/>
  <c r="AS176" i="432"/>
  <c r="AS155" i="432"/>
  <c r="AS45" i="432"/>
  <c r="AS131" i="432"/>
  <c r="AS385" i="432"/>
  <c r="AS669" i="432"/>
  <c r="AS658" i="432"/>
  <c r="AS577" i="432"/>
  <c r="AS550" i="432"/>
  <c r="AS442" i="432"/>
  <c r="AS372" i="432"/>
  <c r="AS324" i="432"/>
  <c r="AS181" i="432"/>
  <c r="AS496" i="432"/>
  <c r="AS276" i="432"/>
  <c r="AS197" i="432"/>
  <c r="AS160" i="432"/>
  <c r="AS24" i="432"/>
  <c r="AS86" i="432"/>
  <c r="AS462" i="432"/>
  <c r="AS754" i="432"/>
  <c r="AS520" i="432"/>
  <c r="AS262" i="432"/>
  <c r="AS539" i="432"/>
  <c r="AS512" i="432"/>
  <c r="AS420" i="432"/>
  <c r="AS202" i="432"/>
  <c r="AS118" i="432"/>
  <c r="AS563" i="432"/>
  <c r="AS241" i="432"/>
  <c r="AS582" i="432"/>
  <c r="AS313" i="432"/>
  <c r="AS186" i="432"/>
  <c r="AS165" i="432"/>
  <c r="AS97" i="432"/>
  <c r="AS169" i="432"/>
  <c r="AS80" i="432"/>
  <c r="AS625" i="432"/>
  <c r="AS598" i="432"/>
  <c r="AS501" i="432"/>
  <c r="AS361" i="432"/>
  <c r="AS34" i="432"/>
  <c r="AS29" i="432"/>
  <c r="AS408" i="432"/>
  <c r="AS466" i="432"/>
  <c r="AS514" i="432"/>
  <c r="AS433" i="432"/>
  <c r="AS78" i="432"/>
  <c r="AS790" i="432"/>
  <c r="AS718" i="432"/>
  <c r="AS265" i="432"/>
  <c r="AS228" i="432"/>
  <c r="AS144" i="432"/>
  <c r="AS60" i="432"/>
  <c r="AS42" i="432"/>
  <c r="AS152" i="432"/>
  <c r="AS587" i="432"/>
  <c r="AS560" i="432"/>
  <c r="AS544" i="432"/>
  <c r="AS490" i="432"/>
  <c r="AS409" i="432"/>
  <c r="AS382" i="432"/>
  <c r="AS334" i="432"/>
  <c r="AS286" i="432"/>
  <c r="AS856" i="432"/>
  <c r="AS366" i="432"/>
  <c r="AS318" i="432"/>
  <c r="AS128" i="432"/>
  <c r="AS107" i="432"/>
  <c r="AS406" i="432"/>
  <c r="AS468" i="432"/>
  <c r="AS154" i="432"/>
  <c r="AS149" i="432"/>
  <c r="AS133" i="432"/>
  <c r="AS784" i="432"/>
  <c r="AS712" i="432"/>
  <c r="AS549" i="432"/>
  <c r="AS414" i="432"/>
  <c r="AS270" i="432"/>
  <c r="AS180" i="432"/>
  <c r="AS112" i="432"/>
  <c r="AS872" i="432"/>
  <c r="AS850" i="432"/>
  <c r="AS608" i="432"/>
  <c r="AS592" i="432"/>
  <c r="AS430" i="432"/>
  <c r="AS371" i="432"/>
  <c r="AS323" i="432"/>
  <c r="AS217" i="432"/>
  <c r="AS138" i="432"/>
  <c r="AS70" i="432"/>
  <c r="AS646" i="432"/>
  <c r="AS538" i="432"/>
  <c r="AS275" i="432"/>
  <c r="AS238" i="432"/>
  <c r="AS117" i="432"/>
  <c r="AS49" i="432"/>
  <c r="AS778" i="432"/>
  <c r="AS706" i="432"/>
  <c r="AS457" i="432"/>
  <c r="AS419" i="432"/>
  <c r="AS392" i="432"/>
  <c r="AS344" i="432"/>
  <c r="AS312" i="432"/>
  <c r="AS296" i="432"/>
  <c r="AS516" i="432"/>
  <c r="AS264" i="432"/>
  <c r="AS54" i="432"/>
  <c r="AS800" i="432"/>
  <c r="AS728" i="432"/>
  <c r="AS673" i="432"/>
  <c r="AS597" i="432"/>
  <c r="AS376" i="432"/>
  <c r="AS360" i="432"/>
  <c r="AS328" i="432"/>
  <c r="AS280" i="432"/>
  <c r="AS222" i="432"/>
  <c r="AS96" i="432"/>
  <c r="AS656" i="432"/>
  <c r="AS640" i="432"/>
  <c r="AS440" i="432"/>
  <c r="AS132" i="432"/>
  <c r="AS64" i="432"/>
  <c r="AS564" i="432"/>
  <c r="AS505" i="432"/>
  <c r="AS467" i="432"/>
  <c r="AS354" i="432"/>
  <c r="AS306" i="432"/>
  <c r="AS253" i="432"/>
  <c r="AS232" i="432"/>
  <c r="AS174" i="432"/>
  <c r="AS158" i="432"/>
  <c r="AS90" i="432"/>
  <c r="AS22" i="432"/>
  <c r="AS429" i="432"/>
  <c r="AS370" i="432"/>
  <c r="AS322" i="432"/>
  <c r="AS216" i="432"/>
  <c r="AS179" i="432"/>
  <c r="AS69" i="432"/>
  <c r="AS645" i="432"/>
  <c r="AS634" i="432"/>
  <c r="AS274" i="432"/>
  <c r="AS258" i="432"/>
  <c r="AS237" i="432"/>
  <c r="AS200" i="432"/>
  <c r="AS766" i="432"/>
  <c r="AS694" i="432"/>
  <c r="AS510" i="432"/>
  <c r="AS418" i="432"/>
  <c r="AS48" i="432"/>
  <c r="AS477" i="432"/>
  <c r="AS553" i="432"/>
  <c r="AS526" i="432"/>
  <c r="AS472" i="432"/>
  <c r="AS205" i="432"/>
  <c r="AS184" i="432"/>
  <c r="AS142" i="432"/>
  <c r="AS832" i="432"/>
  <c r="AS348" i="432"/>
  <c r="AS53" i="432"/>
  <c r="AS37" i="432"/>
  <c r="AS210" i="432"/>
  <c r="AS168" i="432"/>
  <c r="AS84" i="432"/>
  <c r="AS688" i="432"/>
  <c r="AS601" i="432"/>
  <c r="AS574" i="432"/>
  <c r="AS289" i="432"/>
  <c r="AS612" i="432"/>
  <c r="AS488" i="432"/>
  <c r="AS221" i="432"/>
  <c r="AS121" i="432"/>
  <c r="AS32" i="432"/>
  <c r="AS515" i="432"/>
  <c r="AS396" i="432"/>
  <c r="AS300" i="432"/>
  <c r="AS226" i="432"/>
  <c r="AS189" i="432"/>
  <c r="AS58" i="432"/>
  <c r="AS126" i="432"/>
  <c r="AS760" i="432"/>
  <c r="AS558" i="432"/>
  <c r="AS776" i="432"/>
  <c r="AS704" i="432"/>
  <c r="AS682" i="432"/>
  <c r="AS606" i="432"/>
  <c r="AS444" i="432"/>
  <c r="AS136" i="432"/>
  <c r="AS310" i="432"/>
  <c r="AS162" i="432"/>
  <c r="AS622" i="432"/>
  <c r="AS525" i="432"/>
  <c r="AS390" i="432"/>
  <c r="AS342" i="432"/>
  <c r="AS294" i="432"/>
  <c r="AS204" i="432"/>
  <c r="AS141" i="432"/>
  <c r="AS73" i="432"/>
  <c r="AS649" i="432"/>
  <c r="AS584" i="432"/>
  <c r="AS568" i="432"/>
  <c r="AS358" i="432"/>
  <c r="AS94" i="432"/>
  <c r="AS573" i="432"/>
  <c r="AS492" i="432"/>
  <c r="AS246" i="432"/>
  <c r="AS104" i="432"/>
  <c r="AS83" i="432"/>
  <c r="AS395" i="432"/>
  <c r="AS814" i="432"/>
  <c r="AS438" i="432"/>
  <c r="AS368" i="432"/>
  <c r="AS320" i="432"/>
  <c r="AS288" i="432"/>
  <c r="AS193" i="432"/>
  <c r="AS130" i="432"/>
  <c r="AS125" i="432"/>
  <c r="AS109" i="432"/>
  <c r="AS381" i="432"/>
  <c r="AS333" i="432"/>
  <c r="AS285" i="432"/>
  <c r="AS885" i="431"/>
  <c r="AS880" i="431"/>
  <c r="AS899" i="431"/>
  <c r="AS875" i="431"/>
  <c r="AS894" i="431"/>
  <c r="AS889" i="431"/>
  <c r="AS884" i="431"/>
  <c r="AS879" i="431"/>
  <c r="AS898" i="431"/>
  <c r="AS874" i="431"/>
  <c r="AS900" i="431"/>
  <c r="AS893" i="431"/>
  <c r="AS888" i="431"/>
  <c r="AS883" i="431"/>
  <c r="AS902" i="431"/>
  <c r="AS878" i="431"/>
  <c r="AS897" i="431"/>
  <c r="AS873" i="431"/>
  <c r="AS876" i="431"/>
  <c r="AS892" i="431"/>
  <c r="AS881" i="431"/>
  <c r="AS887" i="431"/>
  <c r="AS882" i="431"/>
  <c r="AS901" i="431"/>
  <c r="AS877" i="431"/>
  <c r="AS890" i="431"/>
  <c r="AS896" i="431"/>
  <c r="AS891" i="431"/>
  <c r="AS886" i="431"/>
  <c r="AS895" i="431"/>
  <c r="AS851" i="431"/>
  <c r="AS827" i="431"/>
  <c r="AS803" i="431"/>
  <c r="AS779" i="431"/>
  <c r="AS755" i="431"/>
  <c r="AS731" i="431"/>
  <c r="AS707" i="431"/>
  <c r="AS683" i="431"/>
  <c r="AS659" i="431"/>
  <c r="AS635" i="431"/>
  <c r="AS611" i="431"/>
  <c r="AS624" i="431"/>
  <c r="AS630" i="431"/>
  <c r="AS606" i="431"/>
  <c r="AS795" i="431"/>
  <c r="AS833" i="431"/>
  <c r="AS870" i="431"/>
  <c r="AS846" i="431"/>
  <c r="AS822" i="431"/>
  <c r="AS798" i="431"/>
  <c r="AS774" i="431"/>
  <c r="AS750" i="431"/>
  <c r="AS726" i="431"/>
  <c r="AS702" i="431"/>
  <c r="AS678" i="431"/>
  <c r="AS654" i="431"/>
  <c r="AS600" i="431"/>
  <c r="AS607" i="431"/>
  <c r="AS865" i="431"/>
  <c r="AS841" i="431"/>
  <c r="AS817" i="431"/>
  <c r="AS793" i="431"/>
  <c r="AS769" i="431"/>
  <c r="AS745" i="431"/>
  <c r="AS721" i="431"/>
  <c r="AS697" i="431"/>
  <c r="AS673" i="431"/>
  <c r="AS649" i="431"/>
  <c r="AS625" i="431"/>
  <c r="AS601" i="431"/>
  <c r="AS808" i="431"/>
  <c r="AS631" i="431"/>
  <c r="AS860" i="431"/>
  <c r="AS836" i="431"/>
  <c r="AS812" i="431"/>
  <c r="AS788" i="431"/>
  <c r="AS764" i="431"/>
  <c r="AS740" i="431"/>
  <c r="AS716" i="431"/>
  <c r="AS692" i="431"/>
  <c r="AS668" i="431"/>
  <c r="AS644" i="431"/>
  <c r="AS620" i="431"/>
  <c r="AS596" i="431"/>
  <c r="AS847" i="431"/>
  <c r="AS819" i="431"/>
  <c r="AS855" i="431"/>
  <c r="AS831" i="431"/>
  <c r="AS807" i="431"/>
  <c r="AS783" i="431"/>
  <c r="AS759" i="431"/>
  <c r="AS735" i="431"/>
  <c r="AS711" i="431"/>
  <c r="AS687" i="431"/>
  <c r="AS663" i="431"/>
  <c r="AS639" i="431"/>
  <c r="AS615" i="431"/>
  <c r="AS591" i="431"/>
  <c r="AS747" i="431"/>
  <c r="AS850" i="431"/>
  <c r="AS826" i="431"/>
  <c r="AS802" i="431"/>
  <c r="AS778" i="431"/>
  <c r="AS754" i="431"/>
  <c r="AS730" i="431"/>
  <c r="AS706" i="431"/>
  <c r="AS682" i="431"/>
  <c r="AS658" i="431"/>
  <c r="AS634" i="431"/>
  <c r="AS610" i="431"/>
  <c r="AS771" i="431"/>
  <c r="AS761" i="431"/>
  <c r="AS653" i="431"/>
  <c r="AS629" i="431"/>
  <c r="AS605" i="431"/>
  <c r="AS785" i="431"/>
  <c r="AS593" i="431"/>
  <c r="AS655" i="431"/>
  <c r="AS869" i="431"/>
  <c r="AS845" i="431"/>
  <c r="AS821" i="431"/>
  <c r="AS797" i="431"/>
  <c r="AS773" i="431"/>
  <c r="AS749" i="431"/>
  <c r="AS725" i="431"/>
  <c r="AS701" i="431"/>
  <c r="AS677" i="431"/>
  <c r="AS664" i="431"/>
  <c r="AS648" i="431"/>
  <c r="AS603" i="431"/>
  <c r="AS737" i="431"/>
  <c r="AS703" i="431"/>
  <c r="AS760" i="431"/>
  <c r="AS864" i="431"/>
  <c r="AS840" i="431"/>
  <c r="AS816" i="431"/>
  <c r="AS792" i="431"/>
  <c r="AS768" i="431"/>
  <c r="AS744" i="431"/>
  <c r="AS720" i="431"/>
  <c r="AS696" i="431"/>
  <c r="AS672" i="431"/>
  <c r="AS809" i="431"/>
  <c r="AS665" i="431"/>
  <c r="AS859" i="431"/>
  <c r="AS835" i="431"/>
  <c r="AS811" i="431"/>
  <c r="AS787" i="431"/>
  <c r="AS763" i="431"/>
  <c r="AS739" i="431"/>
  <c r="AS715" i="431"/>
  <c r="AS691" i="431"/>
  <c r="AS667" i="431"/>
  <c r="AS643" i="431"/>
  <c r="AS619" i="431"/>
  <c r="AS595" i="431"/>
  <c r="AS614" i="431"/>
  <c r="AS590" i="431"/>
  <c r="AS832" i="431"/>
  <c r="AS854" i="431"/>
  <c r="AS830" i="431"/>
  <c r="AS806" i="431"/>
  <c r="AS782" i="431"/>
  <c r="AS758" i="431"/>
  <c r="AS734" i="431"/>
  <c r="AS710" i="431"/>
  <c r="AS686" i="431"/>
  <c r="AS662" i="431"/>
  <c r="AS638" i="431"/>
  <c r="AS857" i="431"/>
  <c r="AS867" i="431"/>
  <c r="AS849" i="431"/>
  <c r="AS825" i="431"/>
  <c r="AS801" i="431"/>
  <c r="AS777" i="431"/>
  <c r="AS753" i="431"/>
  <c r="AS729" i="431"/>
  <c r="AS705" i="431"/>
  <c r="AS681" i="431"/>
  <c r="AS657" i="431"/>
  <c r="AS633" i="431"/>
  <c r="AS609" i="431"/>
  <c r="AS617" i="431"/>
  <c r="AS723" i="431"/>
  <c r="AS640" i="431"/>
  <c r="AS868" i="431"/>
  <c r="AS844" i="431"/>
  <c r="AS820" i="431"/>
  <c r="AS796" i="431"/>
  <c r="AS772" i="431"/>
  <c r="AS748" i="431"/>
  <c r="AS724" i="431"/>
  <c r="AS700" i="431"/>
  <c r="AS676" i="431"/>
  <c r="AS652" i="431"/>
  <c r="AS628" i="431"/>
  <c r="AS604" i="431"/>
  <c r="AS843" i="431"/>
  <c r="AS823" i="431"/>
  <c r="AS863" i="431"/>
  <c r="AS839" i="431"/>
  <c r="AS815" i="431"/>
  <c r="AS791" i="431"/>
  <c r="AS767" i="431"/>
  <c r="AS743" i="431"/>
  <c r="AS719" i="431"/>
  <c r="AS695" i="431"/>
  <c r="AS671" i="431"/>
  <c r="AS647" i="431"/>
  <c r="AS623" i="431"/>
  <c r="AS599" i="431"/>
  <c r="AS675" i="431"/>
  <c r="AS651" i="431"/>
  <c r="AS627" i="431"/>
  <c r="AS689" i="431"/>
  <c r="AS679" i="431"/>
  <c r="AS688" i="431"/>
  <c r="AS641" i="431"/>
  <c r="AS799" i="431"/>
  <c r="AS858" i="431"/>
  <c r="AS834" i="431"/>
  <c r="AS810" i="431"/>
  <c r="AS786" i="431"/>
  <c r="AS762" i="431"/>
  <c r="AS738" i="431"/>
  <c r="AS714" i="431"/>
  <c r="AS690" i="431"/>
  <c r="AS666" i="431"/>
  <c r="AS642" i="431"/>
  <c r="AS618" i="431"/>
  <c r="AS594" i="431"/>
  <c r="AS871" i="431"/>
  <c r="AS727" i="431"/>
  <c r="AS784" i="431"/>
  <c r="AS853" i="431"/>
  <c r="AS829" i="431"/>
  <c r="AS805" i="431"/>
  <c r="AS781" i="431"/>
  <c r="AS757" i="431"/>
  <c r="AS733" i="431"/>
  <c r="AS709" i="431"/>
  <c r="AS685" i="431"/>
  <c r="AS661" i="431"/>
  <c r="AS637" i="431"/>
  <c r="AS613" i="431"/>
  <c r="AS589" i="431"/>
  <c r="AS775" i="431"/>
  <c r="AS872" i="431"/>
  <c r="AS848" i="431"/>
  <c r="AS824" i="431"/>
  <c r="AS800" i="431"/>
  <c r="AS776" i="431"/>
  <c r="AS752" i="431"/>
  <c r="AS728" i="431"/>
  <c r="AS704" i="431"/>
  <c r="AS680" i="431"/>
  <c r="AS656" i="431"/>
  <c r="AS632" i="431"/>
  <c r="AS608" i="431"/>
  <c r="AS713" i="431"/>
  <c r="AS616" i="431"/>
  <c r="AS699" i="431"/>
  <c r="AS862" i="431"/>
  <c r="AS838" i="431"/>
  <c r="AS814" i="431"/>
  <c r="AS790" i="431"/>
  <c r="AS766" i="431"/>
  <c r="AS742" i="431"/>
  <c r="AS718" i="431"/>
  <c r="AS694" i="431"/>
  <c r="AS670" i="431"/>
  <c r="AS646" i="431"/>
  <c r="AS622" i="431"/>
  <c r="AS598" i="431"/>
  <c r="AS852" i="431"/>
  <c r="AS828" i="431"/>
  <c r="AS804" i="431"/>
  <c r="AS780" i="431"/>
  <c r="AS756" i="431"/>
  <c r="AS732" i="431"/>
  <c r="AS708" i="431"/>
  <c r="AS684" i="431"/>
  <c r="AS660" i="431"/>
  <c r="AS636" i="431"/>
  <c r="AS612" i="431"/>
  <c r="AS751" i="431"/>
  <c r="AS866" i="431"/>
  <c r="AS842" i="431"/>
  <c r="AS818" i="431"/>
  <c r="AS794" i="431"/>
  <c r="AS770" i="431"/>
  <c r="AS746" i="431"/>
  <c r="AS722" i="431"/>
  <c r="AS698" i="431"/>
  <c r="AS674" i="431"/>
  <c r="AS650" i="431"/>
  <c r="AS626" i="431"/>
  <c r="AS602" i="431"/>
  <c r="AS736" i="431"/>
  <c r="AS592" i="431"/>
  <c r="AS861" i="431"/>
  <c r="AS837" i="431"/>
  <c r="AS813" i="431"/>
  <c r="AS789" i="431"/>
  <c r="AS765" i="431"/>
  <c r="AS741" i="431"/>
  <c r="AS717" i="431"/>
  <c r="AS693" i="431"/>
  <c r="AS669" i="431"/>
  <c r="AS645" i="431"/>
  <c r="AS621" i="431"/>
  <c r="AS597" i="431"/>
  <c r="AS856" i="431"/>
  <c r="AS712" i="431"/>
  <c r="AS588" i="431"/>
  <c r="AS564" i="431"/>
  <c r="AS540" i="431"/>
  <c r="AS516" i="431"/>
  <c r="AS492" i="431"/>
  <c r="AS468" i="431"/>
  <c r="AS444" i="431"/>
  <c r="AS420" i="431"/>
  <c r="AS396" i="431"/>
  <c r="AS372" i="431"/>
  <c r="AS348" i="431"/>
  <c r="AS324" i="431"/>
  <c r="AS410" i="431"/>
  <c r="AS362" i="431"/>
  <c r="AS314" i="431"/>
  <c r="AS546" i="431"/>
  <c r="AS493" i="431"/>
  <c r="AS550" i="431"/>
  <c r="AS425" i="431"/>
  <c r="AS333" i="431"/>
  <c r="AS328" i="431"/>
  <c r="AS304" i="431"/>
  <c r="AS321" i="431"/>
  <c r="AS378" i="431"/>
  <c r="AS334" i="431"/>
  <c r="AS583" i="431"/>
  <c r="AS559" i="431"/>
  <c r="AS535" i="431"/>
  <c r="AS511" i="431"/>
  <c r="AS487" i="431"/>
  <c r="AS463" i="431"/>
  <c r="AS439" i="431"/>
  <c r="AS415" i="431"/>
  <c r="AS391" i="431"/>
  <c r="AS367" i="431"/>
  <c r="AS343" i="431"/>
  <c r="AS319" i="431"/>
  <c r="AS386" i="431"/>
  <c r="AS309" i="431"/>
  <c r="AS302" i="431"/>
  <c r="AS330" i="431"/>
  <c r="AS373" i="431"/>
  <c r="AS430" i="431"/>
  <c r="AS401" i="431"/>
  <c r="AS338" i="431"/>
  <c r="AS322" i="431"/>
  <c r="AS421" i="431"/>
  <c r="AS349" i="431"/>
  <c r="AS578" i="431"/>
  <c r="AS554" i="431"/>
  <c r="AS530" i="431"/>
  <c r="AS506" i="431"/>
  <c r="AS482" i="431"/>
  <c r="AS458" i="431"/>
  <c r="AS434" i="431"/>
  <c r="AS364" i="431"/>
  <c r="AS522" i="431"/>
  <c r="AS573" i="431"/>
  <c r="AS549" i="431"/>
  <c r="AS525" i="431"/>
  <c r="AS501" i="431"/>
  <c r="AS477" i="431"/>
  <c r="AS453" i="431"/>
  <c r="AS429" i="431"/>
  <c r="AS405" i="431"/>
  <c r="AS381" i="431"/>
  <c r="AS357" i="431"/>
  <c r="AS570" i="431"/>
  <c r="AS354" i="431"/>
  <c r="AS521" i="431"/>
  <c r="AS568" i="431"/>
  <c r="AS544" i="431"/>
  <c r="AS520" i="431"/>
  <c r="AS496" i="431"/>
  <c r="AS472" i="431"/>
  <c r="AS448" i="431"/>
  <c r="AS424" i="431"/>
  <c r="AS400" i="431"/>
  <c r="AS376" i="431"/>
  <c r="AS352" i="431"/>
  <c r="AS340" i="431"/>
  <c r="AS541" i="431"/>
  <c r="AS560" i="431"/>
  <c r="AS587" i="431"/>
  <c r="AS563" i="431"/>
  <c r="AS539" i="431"/>
  <c r="AS515" i="431"/>
  <c r="AS491" i="431"/>
  <c r="AS467" i="431"/>
  <c r="AS443" i="431"/>
  <c r="AS419" i="431"/>
  <c r="AS395" i="431"/>
  <c r="AS371" i="431"/>
  <c r="AS347" i="431"/>
  <c r="AS323" i="431"/>
  <c r="AS308" i="431"/>
  <c r="AS399" i="431"/>
  <c r="AS375" i="431"/>
  <c r="AS382" i="431"/>
  <c r="AS303" i="431"/>
  <c r="AS398" i="431"/>
  <c r="AS445" i="431"/>
  <c r="AS310" i="431"/>
  <c r="AS582" i="431"/>
  <c r="AS558" i="431"/>
  <c r="AS534" i="431"/>
  <c r="AS510" i="431"/>
  <c r="AS486" i="431"/>
  <c r="AS462" i="431"/>
  <c r="AS438" i="431"/>
  <c r="AS414" i="431"/>
  <c r="AS390" i="431"/>
  <c r="AS366" i="431"/>
  <c r="AS342" i="431"/>
  <c r="AS318" i="431"/>
  <c r="AS313" i="431"/>
  <c r="AS423" i="431"/>
  <c r="AS351" i="431"/>
  <c r="AS327" i="431"/>
  <c r="AS490" i="431"/>
  <c r="AS442" i="431"/>
  <c r="AS536" i="431"/>
  <c r="AS466" i="431"/>
  <c r="AS344" i="431"/>
  <c r="AS577" i="431"/>
  <c r="AS553" i="431"/>
  <c r="AS529" i="431"/>
  <c r="AS505" i="431"/>
  <c r="AS481" i="431"/>
  <c r="AS457" i="431"/>
  <c r="AS433" i="431"/>
  <c r="AS409" i="431"/>
  <c r="AS385" i="431"/>
  <c r="AS361" i="431"/>
  <c r="AS337" i="431"/>
  <c r="AS514" i="431"/>
  <c r="AS418" i="431"/>
  <c r="AS474" i="431"/>
  <c r="AS574" i="431"/>
  <c r="AS404" i="431"/>
  <c r="AS380" i="431"/>
  <c r="AS356" i="431"/>
  <c r="AS332" i="431"/>
  <c r="AS394" i="431"/>
  <c r="AS346" i="431"/>
  <c r="AS498" i="431"/>
  <c r="AS572" i="431"/>
  <c r="AS548" i="431"/>
  <c r="AS524" i="431"/>
  <c r="AS500" i="431"/>
  <c r="AS476" i="431"/>
  <c r="AS452" i="431"/>
  <c r="AS428" i="431"/>
  <c r="AS329" i="431"/>
  <c r="AS305" i="431"/>
  <c r="AS370" i="431"/>
  <c r="AS350" i="431"/>
  <c r="AS325" i="431"/>
  <c r="AS488" i="431"/>
  <c r="AS545" i="431"/>
  <c r="AS567" i="431"/>
  <c r="AS543" i="431"/>
  <c r="AS519" i="431"/>
  <c r="AS495" i="431"/>
  <c r="AS471" i="431"/>
  <c r="AS447" i="431"/>
  <c r="AS326" i="431"/>
  <c r="AS469" i="431"/>
  <c r="AS526" i="431"/>
  <c r="AS586" i="431"/>
  <c r="AS562" i="431"/>
  <c r="AS538" i="431"/>
  <c r="AS517" i="431"/>
  <c r="AS397" i="431"/>
  <c r="AS464" i="431"/>
  <c r="AS502" i="431"/>
  <c r="AS569" i="431"/>
  <c r="AS581" i="431"/>
  <c r="AS557" i="431"/>
  <c r="AS533" i="431"/>
  <c r="AS509" i="431"/>
  <c r="AS485" i="431"/>
  <c r="AS461" i="431"/>
  <c r="AS437" i="431"/>
  <c r="AS413" i="431"/>
  <c r="AS389" i="431"/>
  <c r="AS365" i="431"/>
  <c r="AS341" i="431"/>
  <c r="AS317" i="431"/>
  <c r="AS374" i="431"/>
  <c r="AS402" i="431"/>
  <c r="AS497" i="431"/>
  <c r="AS576" i="431"/>
  <c r="AS552" i="431"/>
  <c r="AS528" i="431"/>
  <c r="AS504" i="431"/>
  <c r="AS480" i="431"/>
  <c r="AS456" i="431"/>
  <c r="AS432" i="431"/>
  <c r="AS408" i="431"/>
  <c r="AS384" i="431"/>
  <c r="AS360" i="431"/>
  <c r="AS336" i="431"/>
  <c r="AS312" i="431"/>
  <c r="AS406" i="431"/>
  <c r="AS454" i="431"/>
  <c r="AS571" i="431"/>
  <c r="AS547" i="431"/>
  <c r="AS523" i="431"/>
  <c r="AS499" i="431"/>
  <c r="AS475" i="431"/>
  <c r="AS451" i="431"/>
  <c r="AS427" i="431"/>
  <c r="AS403" i="431"/>
  <c r="AS379" i="431"/>
  <c r="AS355" i="431"/>
  <c r="AS331" i="431"/>
  <c r="AS307" i="431"/>
  <c r="AS306" i="431"/>
  <c r="AS440" i="431"/>
  <c r="AS320" i="431"/>
  <c r="AS478" i="431"/>
  <c r="AS358" i="431"/>
  <c r="AS377" i="431"/>
  <c r="AS416" i="431"/>
  <c r="AS566" i="431"/>
  <c r="AS542" i="431"/>
  <c r="AS518" i="431"/>
  <c r="AS494" i="431"/>
  <c r="AS470" i="431"/>
  <c r="AS446" i="431"/>
  <c r="AS422" i="431"/>
  <c r="AS584" i="431"/>
  <c r="AS368" i="431"/>
  <c r="AS473" i="431"/>
  <c r="AS585" i="431"/>
  <c r="AS561" i="431"/>
  <c r="AS537" i="431"/>
  <c r="AS513" i="431"/>
  <c r="AS489" i="431"/>
  <c r="AS465" i="431"/>
  <c r="AS441" i="431"/>
  <c r="AS417" i="431"/>
  <c r="AS393" i="431"/>
  <c r="AS369" i="431"/>
  <c r="AS345" i="431"/>
  <c r="AS449" i="431"/>
  <c r="AS353" i="431"/>
  <c r="AS580" i="431"/>
  <c r="AS556" i="431"/>
  <c r="AS532" i="431"/>
  <c r="AS508" i="431"/>
  <c r="AS484" i="431"/>
  <c r="AS460" i="431"/>
  <c r="AS436" i="431"/>
  <c r="AS412" i="431"/>
  <c r="AS388" i="431"/>
  <c r="AS512" i="431"/>
  <c r="AS565" i="431"/>
  <c r="AS575" i="431"/>
  <c r="AS551" i="431"/>
  <c r="AS527" i="431"/>
  <c r="AS503" i="431"/>
  <c r="AS479" i="431"/>
  <c r="AS455" i="431"/>
  <c r="AS431" i="431"/>
  <c r="AS407" i="431"/>
  <c r="AS383" i="431"/>
  <c r="AS359" i="431"/>
  <c r="AS335" i="431"/>
  <c r="AS311" i="431"/>
  <c r="AS450" i="431"/>
  <c r="AS426" i="431"/>
  <c r="AS392" i="431"/>
  <c r="AS579" i="431"/>
  <c r="AS555" i="431"/>
  <c r="AS531" i="431"/>
  <c r="AS507" i="431"/>
  <c r="AS483" i="431"/>
  <c r="AS459" i="431"/>
  <c r="AS435" i="431"/>
  <c r="AS411" i="431"/>
  <c r="AS387" i="431"/>
  <c r="AS363" i="431"/>
  <c r="AS339" i="431"/>
  <c r="AS315" i="431"/>
  <c r="AS316" i="431"/>
  <c r="AS928" i="434"/>
  <c r="AJ1" i="434"/>
  <c r="AS925" i="434"/>
  <c r="N1" i="434"/>
  <c r="AS915" i="434"/>
  <c r="AS910" i="434"/>
  <c r="AS902" i="434"/>
  <c r="AS7" i="434"/>
  <c r="AS922" i="434"/>
  <c r="AS917" i="434"/>
  <c r="AS907" i="434"/>
  <c r="AS912" i="434"/>
  <c r="AS927" i="434"/>
  <c r="AS901" i="434"/>
  <c r="AS6" i="434"/>
  <c r="AS4" i="434"/>
  <c r="AS921" i="434"/>
  <c r="AS906" i="434"/>
  <c r="AS916" i="434"/>
  <c r="AS899" i="434"/>
  <c r="AS926" i="434"/>
  <c r="AS911" i="434"/>
  <c r="AS900" i="434"/>
  <c r="AS5" i="434"/>
  <c r="AS920" i="434"/>
  <c r="AS905" i="434"/>
  <c r="AS904" i="434"/>
  <c r="AS919" i="434"/>
  <c r="AS924" i="434"/>
  <c r="AS914" i="434"/>
  <c r="AS909" i="434"/>
  <c r="AS3" i="434"/>
  <c r="AS903" i="434"/>
  <c r="AS918" i="434"/>
  <c r="AS8" i="434"/>
  <c r="AS923" i="434"/>
  <c r="AS908" i="434"/>
  <c r="AS913" i="434"/>
  <c r="AS2" i="434"/>
  <c r="AS938" i="433"/>
  <c r="AJ11" i="433"/>
  <c r="AS932" i="433"/>
  <c r="N11" i="433"/>
  <c r="AS927" i="433"/>
  <c r="AS10" i="433"/>
  <c r="AS912" i="433"/>
  <c r="AJ10" i="433"/>
  <c r="AS17" i="433"/>
  <c r="N10" i="433"/>
  <c r="AS917" i="433"/>
  <c r="AS922" i="433"/>
  <c r="AS937" i="433"/>
  <c r="AS16" i="433"/>
  <c r="AS931" i="433"/>
  <c r="AS916" i="433"/>
  <c r="AS926" i="433"/>
  <c r="AS936" i="433"/>
  <c r="AS921" i="433"/>
  <c r="AS910" i="433"/>
  <c r="AS15" i="433"/>
  <c r="AS930" i="433"/>
  <c r="AS915" i="433"/>
  <c r="AS925" i="433"/>
  <c r="AS935" i="433"/>
  <c r="AS920" i="433"/>
  <c r="AS909" i="433"/>
  <c r="AS14" i="433"/>
  <c r="AS914" i="433"/>
  <c r="AS929" i="433"/>
  <c r="AS934" i="433"/>
  <c r="AS924" i="433"/>
  <c r="AS919" i="433"/>
  <c r="AS13" i="433"/>
  <c r="AS913" i="433"/>
  <c r="AS911" i="433"/>
  <c r="AS928" i="433"/>
  <c r="AS18" i="433"/>
  <c r="AS933" i="433"/>
  <c r="AS918" i="433"/>
  <c r="AS923" i="433"/>
  <c r="AS12" i="433"/>
  <c r="AS938" i="432"/>
  <c r="AS936" i="432"/>
  <c r="AS912" i="432"/>
  <c r="AS15" i="432"/>
  <c r="AS932" i="432"/>
  <c r="AS927" i="432"/>
  <c r="AS917" i="432"/>
  <c r="AS921" i="432"/>
  <c r="AS923" i="432"/>
  <c r="AS922" i="432"/>
  <c r="AS937" i="432"/>
  <c r="AS911" i="432"/>
  <c r="AS14" i="432"/>
  <c r="AS931" i="432"/>
  <c r="AS916" i="432"/>
  <c r="AS926" i="432"/>
  <c r="AS910" i="432"/>
  <c r="AS13" i="432"/>
  <c r="AS930" i="432"/>
  <c r="AS915" i="432"/>
  <c r="AS925" i="432"/>
  <c r="AS935" i="432"/>
  <c r="AS920" i="432"/>
  <c r="AS909" i="432"/>
  <c r="AS18" i="432"/>
  <c r="AS12" i="432"/>
  <c r="AJ11" i="432"/>
  <c r="AS913" i="432"/>
  <c r="AS914" i="432"/>
  <c r="N11" i="432"/>
  <c r="AS929" i="432"/>
  <c r="AS10" i="432"/>
  <c r="AJ10" i="432"/>
  <c r="AS934" i="432"/>
  <c r="AS924" i="432"/>
  <c r="AS919" i="432"/>
  <c r="AS17" i="432"/>
  <c r="N10" i="432"/>
  <c r="AS933" i="432"/>
  <c r="AS918" i="432"/>
  <c r="AS928" i="432"/>
  <c r="AS16" i="432"/>
  <c r="AS301" i="431"/>
  <c r="AS295" i="431"/>
  <c r="AS300" i="431"/>
  <c r="AS294" i="431"/>
  <c r="AS299" i="431"/>
  <c r="AS298" i="431"/>
  <c r="AS297" i="431"/>
  <c r="AS296" i="431"/>
  <c r="AS293" i="431"/>
  <c r="AS287" i="431"/>
  <c r="AS292" i="431"/>
  <c r="AS286" i="431"/>
  <c r="AS291" i="431"/>
  <c r="AS290" i="431"/>
  <c r="AS289" i="431"/>
  <c r="AS288" i="431"/>
  <c r="AS285" i="431"/>
  <c r="AS279" i="431"/>
  <c r="AS284" i="431"/>
  <c r="AS278" i="431"/>
  <c r="AS283" i="431"/>
  <c r="AS282" i="431"/>
  <c r="AS281" i="431"/>
  <c r="AS280" i="431"/>
  <c r="AS277" i="431"/>
  <c r="AS271" i="431"/>
  <c r="AS276" i="431"/>
  <c r="AS270" i="431"/>
  <c r="AS275" i="431"/>
  <c r="AS274" i="431"/>
  <c r="AS273" i="431"/>
  <c r="AS272" i="431"/>
  <c r="AS269" i="431"/>
  <c r="AS263" i="431"/>
  <c r="AS257" i="431"/>
  <c r="AS251" i="431"/>
  <c r="AS245" i="431"/>
  <c r="AS239" i="431"/>
  <c r="AS268" i="431"/>
  <c r="AS262" i="431"/>
  <c r="AS256" i="431"/>
  <c r="AS250" i="431"/>
  <c r="AS244" i="431"/>
  <c r="AS238" i="431"/>
  <c r="AS267" i="431"/>
  <c r="AS261" i="431"/>
  <c r="AS255" i="431"/>
  <c r="AS249" i="431"/>
  <c r="AS243" i="431"/>
  <c r="AS266" i="431"/>
  <c r="AS260" i="431"/>
  <c r="AS254" i="431"/>
  <c r="AS248" i="431"/>
  <c r="AS242" i="431"/>
  <c r="AS265" i="431"/>
  <c r="AS259" i="431"/>
  <c r="AS253" i="431"/>
  <c r="AS247" i="431"/>
  <c r="AS241" i="431"/>
  <c r="AS264" i="431"/>
  <c r="AS258" i="431"/>
  <c r="AS252" i="431"/>
  <c r="AS246" i="431"/>
  <c r="AS240" i="431"/>
  <c r="AS237" i="431"/>
  <c r="AS231" i="431"/>
  <c r="AS225" i="431"/>
  <c r="AS219" i="431"/>
  <c r="AS213" i="431"/>
  <c r="AS207" i="431"/>
  <c r="AS226" i="431"/>
  <c r="AS236" i="431"/>
  <c r="AS230" i="431"/>
  <c r="AS224" i="431"/>
  <c r="AS218" i="431"/>
  <c r="AS212" i="431"/>
  <c r="AS206" i="431"/>
  <c r="AS235" i="431"/>
  <c r="AS229" i="431"/>
  <c r="AS223" i="431"/>
  <c r="AS217" i="431"/>
  <c r="AS211" i="431"/>
  <c r="AS232" i="431"/>
  <c r="AS214" i="431"/>
  <c r="AS234" i="431"/>
  <c r="AS228" i="431"/>
  <c r="AS222" i="431"/>
  <c r="AS216" i="431"/>
  <c r="AS210" i="431"/>
  <c r="AS220" i="431"/>
  <c r="AS208" i="431"/>
  <c r="AS233" i="431"/>
  <c r="AS227" i="431"/>
  <c r="AS221" i="431"/>
  <c r="AS215" i="431"/>
  <c r="AS209" i="431"/>
  <c r="AS205" i="431"/>
  <c r="AS199" i="431"/>
  <c r="AS193" i="431"/>
  <c r="AS187" i="431"/>
  <c r="AS181" i="431"/>
  <c r="AS175" i="431"/>
  <c r="AS176" i="431"/>
  <c r="AS182" i="431"/>
  <c r="AS204" i="431"/>
  <c r="AS198" i="431"/>
  <c r="AS192" i="431"/>
  <c r="AS186" i="431"/>
  <c r="AS180" i="431"/>
  <c r="AS174" i="431"/>
  <c r="AS203" i="431"/>
  <c r="AS197" i="431"/>
  <c r="AS191" i="431"/>
  <c r="AS185" i="431"/>
  <c r="AS179" i="431"/>
  <c r="AS202" i="431"/>
  <c r="AS196" i="431"/>
  <c r="AS190" i="431"/>
  <c r="AS184" i="431"/>
  <c r="AS178" i="431"/>
  <c r="AS200" i="431"/>
  <c r="AS188" i="431"/>
  <c r="AS201" i="431"/>
  <c r="AS195" i="431"/>
  <c r="AS189" i="431"/>
  <c r="AS183" i="431"/>
  <c r="AS177" i="431"/>
  <c r="AS194" i="431"/>
  <c r="AS173" i="431"/>
  <c r="AS167" i="431"/>
  <c r="AS161" i="431"/>
  <c r="AS155" i="431"/>
  <c r="AS149" i="431"/>
  <c r="AS143" i="431"/>
  <c r="AS144" i="431"/>
  <c r="AS172" i="431"/>
  <c r="AS166" i="431"/>
  <c r="AS160" i="431"/>
  <c r="AS154" i="431"/>
  <c r="AS148" i="431"/>
  <c r="AS142" i="431"/>
  <c r="AS150" i="431"/>
  <c r="AS171" i="431"/>
  <c r="AS165" i="431"/>
  <c r="AS159" i="431"/>
  <c r="AS153" i="431"/>
  <c r="AS147" i="431"/>
  <c r="AS156" i="431"/>
  <c r="AS170" i="431"/>
  <c r="AS164" i="431"/>
  <c r="AS158" i="431"/>
  <c r="AS152" i="431"/>
  <c r="AS146" i="431"/>
  <c r="AS168" i="431"/>
  <c r="AS162" i="431"/>
  <c r="AS169" i="431"/>
  <c r="AS163" i="431"/>
  <c r="AS157" i="431"/>
  <c r="AS151" i="431"/>
  <c r="AS145" i="431"/>
  <c r="AS141" i="431"/>
  <c r="AS135" i="431"/>
  <c r="AS129" i="431"/>
  <c r="AS123" i="431"/>
  <c r="AS117" i="431"/>
  <c r="AS111" i="431"/>
  <c r="AS140" i="431"/>
  <c r="AS134" i="431"/>
  <c r="AS128" i="431"/>
  <c r="AS122" i="431"/>
  <c r="AS116" i="431"/>
  <c r="AS110" i="431"/>
  <c r="AS139" i="431"/>
  <c r="AS133" i="431"/>
  <c r="AS127" i="431"/>
  <c r="AS121" i="431"/>
  <c r="AS115" i="431"/>
  <c r="AS138" i="431"/>
  <c r="AS132" i="431"/>
  <c r="AS126" i="431"/>
  <c r="AS120" i="431"/>
  <c r="AS114" i="431"/>
  <c r="AS137" i="431"/>
  <c r="AS131" i="431"/>
  <c r="AS125" i="431"/>
  <c r="AS119" i="431"/>
  <c r="AS113" i="431"/>
  <c r="AS136" i="431"/>
  <c r="AS130" i="431"/>
  <c r="AS124" i="431"/>
  <c r="AS118" i="431"/>
  <c r="AS112" i="431"/>
  <c r="AS109" i="431"/>
  <c r="AS103" i="431"/>
  <c r="AS97" i="431"/>
  <c r="AS91" i="431"/>
  <c r="AS85" i="431"/>
  <c r="AS79" i="431"/>
  <c r="AS80" i="431"/>
  <c r="AS98" i="431"/>
  <c r="AS108" i="431"/>
  <c r="AS102" i="431"/>
  <c r="AS96" i="431"/>
  <c r="AS90" i="431"/>
  <c r="AS84" i="431"/>
  <c r="AS78" i="431"/>
  <c r="AS86" i="431"/>
  <c r="AS107" i="431"/>
  <c r="AS101" i="431"/>
  <c r="AS95" i="431"/>
  <c r="AS89" i="431"/>
  <c r="AS83" i="431"/>
  <c r="AS106" i="431"/>
  <c r="AS100" i="431"/>
  <c r="AS94" i="431"/>
  <c r="AS88" i="431"/>
  <c r="AS82" i="431"/>
  <c r="AS92" i="431"/>
  <c r="AS105" i="431"/>
  <c r="AS99" i="431"/>
  <c r="AS93" i="431"/>
  <c r="AS87" i="431"/>
  <c r="AS81" i="431"/>
  <c r="AS104" i="431"/>
  <c r="AS77" i="431"/>
  <c r="AS71" i="431"/>
  <c r="AS65" i="431"/>
  <c r="AS59" i="431"/>
  <c r="AS53" i="431"/>
  <c r="AS47" i="431"/>
  <c r="AS76" i="431"/>
  <c r="AS70" i="431"/>
  <c r="AS64" i="431"/>
  <c r="AS58" i="431"/>
  <c r="AS52" i="431"/>
  <c r="AS46" i="431"/>
  <c r="AS75" i="431"/>
  <c r="AS69" i="431"/>
  <c r="AS63" i="431"/>
  <c r="AS57" i="431"/>
  <c r="AS51" i="431"/>
  <c r="AS74" i="431"/>
  <c r="AS68" i="431"/>
  <c r="AS62" i="431"/>
  <c r="AS56" i="431"/>
  <c r="AS50" i="431"/>
  <c r="AS73" i="431"/>
  <c r="AS67" i="431"/>
  <c r="AS61" i="431"/>
  <c r="AS55" i="431"/>
  <c r="AS49" i="431"/>
  <c r="AS72" i="431"/>
  <c r="AS66" i="431"/>
  <c r="AS60" i="431"/>
  <c r="AS54" i="431"/>
  <c r="AS48" i="431"/>
  <c r="AS45" i="431"/>
  <c r="AS39" i="431"/>
  <c r="AS33" i="431"/>
  <c r="AS41" i="431"/>
  <c r="AS36" i="431"/>
  <c r="AS30" i="431"/>
  <c r="AS44" i="431"/>
  <c r="AS38" i="431"/>
  <c r="AS32" i="431"/>
  <c r="AS35" i="431"/>
  <c r="AS43" i="431"/>
  <c r="AS37" i="431"/>
  <c r="AS31" i="431"/>
  <c r="AS42" i="431"/>
  <c r="AS40" i="431"/>
  <c r="AS34" i="431"/>
  <c r="AS903" i="431"/>
  <c r="AS24" i="431"/>
  <c r="AS18" i="431"/>
  <c r="AJ11" i="431"/>
  <c r="N11" i="431"/>
  <c r="AS12" i="431"/>
  <c r="AJ10" i="431"/>
  <c r="AS28" i="431"/>
  <c r="AS10" i="431"/>
  <c r="AS27" i="431"/>
  <c r="N10" i="431"/>
  <c r="AS20" i="431"/>
  <c r="AS25" i="431"/>
  <c r="AS29" i="431"/>
  <c r="AS23" i="431"/>
  <c r="AS17" i="431"/>
  <c r="AS14" i="431"/>
  <c r="AS19" i="431"/>
  <c r="AS13" i="431"/>
  <c r="AS15" i="431"/>
  <c r="AS22" i="431"/>
  <c r="AS26" i="431"/>
  <c r="AS21" i="431"/>
  <c r="AS16" i="431"/>
  <c r="N1" i="430"/>
  <c r="AS65" i="429"/>
  <c r="AS15" i="429"/>
  <c r="AJ10" i="429"/>
  <c r="AS27" i="429"/>
  <c r="AS39" i="429"/>
  <c r="AS21" i="429"/>
  <c r="AS55" i="429"/>
  <c r="AS33" i="429"/>
  <c r="AS44" i="429"/>
  <c r="AS37" i="429"/>
  <c r="AS42" i="429"/>
  <c r="AS18" i="429"/>
  <c r="AS59" i="429"/>
  <c r="AS54" i="429"/>
  <c r="AS19" i="429"/>
  <c r="AS13" i="429"/>
  <c r="AS31" i="429"/>
  <c r="AS12" i="429"/>
  <c r="N11" i="429"/>
  <c r="AS49" i="429"/>
  <c r="AS64" i="429"/>
  <c r="AS24" i="429"/>
  <c r="AS38" i="429"/>
  <c r="AS53" i="429"/>
  <c r="AS45" i="429"/>
  <c r="AS32" i="429"/>
  <c r="AS26" i="429"/>
  <c r="AS20" i="429"/>
  <c r="AS14" i="429"/>
  <c r="AS25" i="429"/>
  <c r="AS36" i="429"/>
  <c r="AJ11" i="429"/>
  <c r="AS58" i="429"/>
  <c r="AS43" i="429"/>
  <c r="AS48" i="429"/>
  <c r="AS34" i="429"/>
  <c r="AS63" i="429"/>
  <c r="AS50" i="429"/>
  <c r="AS10" i="429"/>
  <c r="AS28" i="429"/>
  <c r="AS57" i="429"/>
  <c r="AS52" i="429"/>
  <c r="AS62" i="429"/>
  <c r="AS47" i="429"/>
  <c r="AS30" i="429"/>
  <c r="AS22" i="429"/>
  <c r="N10" i="429"/>
  <c r="AS16" i="429"/>
  <c r="AS41" i="429"/>
  <c r="AS56" i="429"/>
  <c r="AS61" i="429"/>
  <c r="AS51" i="429"/>
  <c r="AS46" i="429"/>
  <c r="AS35" i="429"/>
  <c r="AS29" i="429"/>
  <c r="AS23" i="429"/>
  <c r="AS17" i="429"/>
  <c r="AS40" i="429"/>
  <c r="AS60" i="429"/>
  <c r="AS40" i="425"/>
  <c r="AS55" i="425"/>
  <c r="AS14" i="421"/>
  <c r="AS21" i="421"/>
  <c r="AS14" i="419"/>
  <c r="AS14" i="427"/>
  <c r="AS17" i="427"/>
  <c r="AJ10" i="427"/>
  <c r="AS16" i="427"/>
  <c r="N11" i="427"/>
  <c r="AJ11" i="427"/>
  <c r="AS12" i="427"/>
  <c r="AS19" i="427"/>
  <c r="AS10" i="427"/>
  <c r="N10" i="427"/>
  <c r="AS13" i="427"/>
  <c r="AS18" i="427"/>
  <c r="AS65" i="425"/>
  <c r="AS59" i="425"/>
  <c r="AS63" i="425"/>
  <c r="AS61" i="425"/>
  <c r="AS64" i="425"/>
  <c r="AS58" i="425"/>
  <c r="AS60" i="425"/>
  <c r="AS62" i="425"/>
  <c r="AS56" i="425"/>
  <c r="AS54" i="425"/>
  <c r="AS49" i="425"/>
  <c r="AS57" i="425"/>
  <c r="AS52" i="425"/>
  <c r="AS50" i="425"/>
  <c r="AS53" i="425"/>
  <c r="AS51" i="425"/>
  <c r="AS47" i="425"/>
  <c r="AS46" i="425"/>
  <c r="AS45" i="425"/>
  <c r="AS48" i="425"/>
  <c r="AS39" i="425"/>
  <c r="AS44" i="425"/>
  <c r="AS43" i="425"/>
  <c r="AS42" i="425"/>
  <c r="AS41" i="425"/>
  <c r="AS38" i="425"/>
  <c r="AS36" i="425"/>
  <c r="AS37" i="425"/>
  <c r="AS35" i="425"/>
  <c r="AS29" i="425"/>
  <c r="AS23" i="425"/>
  <c r="AS34" i="425"/>
  <c r="AS21" i="425"/>
  <c r="AS22" i="425"/>
  <c r="AS27" i="425"/>
  <c r="AS28" i="425"/>
  <c r="AS33" i="425"/>
  <c r="AS24" i="425"/>
  <c r="AS19" i="425"/>
  <c r="AS31" i="425"/>
  <c r="AS32" i="425"/>
  <c r="AS26" i="425"/>
  <c r="AS20" i="425"/>
  <c r="AS25" i="425"/>
  <c r="AS30" i="425"/>
  <c r="AS18" i="425"/>
  <c r="AJ11" i="425"/>
  <c r="N11" i="425"/>
  <c r="AJ10" i="425"/>
  <c r="AS16" i="425"/>
  <c r="N10" i="425"/>
  <c r="AS12" i="425"/>
  <c r="AS10" i="425"/>
  <c r="AS17" i="425"/>
  <c r="AS15" i="425"/>
  <c r="AS14" i="425"/>
  <c r="AS13" i="425"/>
  <c r="D8" i="420"/>
  <c r="AS18" i="420" s="1"/>
  <c r="D8" i="424"/>
  <c r="AS17" i="424" s="1"/>
  <c r="AS21" i="423"/>
  <c r="AS13" i="423"/>
  <c r="AS20" i="423"/>
  <c r="AS12" i="423"/>
  <c r="N11" i="423"/>
  <c r="AS17" i="423"/>
  <c r="AS10" i="423"/>
  <c r="AJ10" i="423"/>
  <c r="N10" i="423"/>
  <c r="AS19" i="423"/>
  <c r="AJ11" i="423"/>
  <c r="AS16" i="423"/>
  <c r="AS18" i="423"/>
  <c r="AS15" i="423"/>
  <c r="AS14" i="423"/>
  <c r="AS22" i="422"/>
  <c r="AS18" i="422"/>
  <c r="AS10" i="422"/>
  <c r="AS17" i="422"/>
  <c r="AJ10" i="422"/>
  <c r="AS16" i="422"/>
  <c r="N10" i="422"/>
  <c r="AS15" i="422"/>
  <c r="AS14" i="422"/>
  <c r="AS13" i="422"/>
  <c r="AS21" i="422"/>
  <c r="AS12" i="422"/>
  <c r="N11" i="422"/>
  <c r="AS20" i="422"/>
  <c r="AJ11" i="422"/>
  <c r="AS19" i="422"/>
  <c r="AS23" i="421"/>
  <c r="AS22" i="421"/>
  <c r="AS20" i="421"/>
  <c r="AS19" i="421"/>
  <c r="AS18" i="421"/>
  <c r="AS17" i="421"/>
  <c r="AS16" i="421"/>
  <c r="AS15" i="421"/>
  <c r="AS13" i="421"/>
  <c r="AS12" i="421"/>
  <c r="AJ11" i="421"/>
  <c r="N11" i="421"/>
  <c r="AS10" i="421"/>
  <c r="AJ10" i="421"/>
  <c r="N10" i="421"/>
  <c r="AS18" i="419"/>
  <c r="AJ10" i="419"/>
  <c r="AS17" i="419"/>
  <c r="N10" i="419"/>
  <c r="AS16" i="419"/>
  <c r="AS13" i="419"/>
  <c r="AS12" i="419"/>
  <c r="AJ11" i="419"/>
  <c r="N11" i="419"/>
  <c r="AS10" i="419"/>
  <c r="AS29" i="417"/>
  <c r="AS26" i="417"/>
  <c r="AS28" i="417"/>
  <c r="AS25" i="417"/>
  <c r="AS27" i="417"/>
  <c r="AS23" i="417"/>
  <c r="AS22" i="417"/>
  <c r="AS24" i="417"/>
  <c r="AS21" i="417"/>
  <c r="AS19" i="417"/>
  <c r="AS18" i="417"/>
  <c r="AS20" i="417"/>
  <c r="AS15" i="417"/>
  <c r="AS17" i="417"/>
  <c r="AS16" i="417"/>
  <c r="AS30" i="417"/>
  <c r="N10" i="417"/>
  <c r="AS14" i="417"/>
  <c r="AS12" i="417"/>
  <c r="AS13" i="417"/>
  <c r="N11" i="417"/>
  <c r="AJ11" i="417"/>
  <c r="AJ10" i="417"/>
  <c r="AS10" i="417"/>
  <c r="AS18" i="416"/>
  <c r="AS10" i="416"/>
  <c r="AS17" i="416"/>
  <c r="AJ10" i="416"/>
  <c r="AS16" i="416"/>
  <c r="N10" i="416"/>
  <c r="AJ11" i="416"/>
  <c r="N11" i="416"/>
  <c r="AS14" i="416"/>
  <c r="AS12" i="416"/>
  <c r="AS19" i="416"/>
  <c r="AS13" i="416"/>
  <c r="AS17" i="411"/>
  <c r="AS15" i="409"/>
  <c r="AS16" i="415"/>
  <c r="AJ10" i="415"/>
  <c r="AS15" i="415"/>
  <c r="N10" i="415"/>
  <c r="AS14" i="415"/>
  <c r="AS12" i="415"/>
  <c r="AJ11" i="415"/>
  <c r="AS13" i="415"/>
  <c r="N11" i="415"/>
  <c r="AS10" i="415"/>
  <c r="AS14" i="414"/>
  <c r="N10" i="414"/>
  <c r="AJ10" i="414"/>
  <c r="AS13" i="414"/>
  <c r="AS12" i="414"/>
  <c r="AJ11" i="414"/>
  <c r="N11" i="414"/>
  <c r="AS10" i="414"/>
  <c r="AS15" i="413"/>
  <c r="N11" i="413"/>
  <c r="AJ10" i="413"/>
  <c r="N10" i="413"/>
  <c r="AS14" i="413"/>
  <c r="AS10" i="413"/>
  <c r="AS13" i="413"/>
  <c r="AJ11" i="413"/>
  <c r="AS12" i="413"/>
  <c r="AS19" i="412"/>
  <c r="AS18" i="412"/>
  <c r="AS17" i="412"/>
  <c r="AS16" i="412"/>
  <c r="AS15" i="412"/>
  <c r="AS22" i="412"/>
  <c r="AJ10" i="412"/>
  <c r="AS21" i="412"/>
  <c r="N10" i="412"/>
  <c r="AS12" i="412"/>
  <c r="AS20" i="412"/>
  <c r="AS14" i="412"/>
  <c r="AS13" i="412"/>
  <c r="AJ11" i="412"/>
  <c r="N11" i="412"/>
  <c r="AS10" i="412"/>
  <c r="AS18" i="411"/>
  <c r="AJ10" i="411"/>
  <c r="AS15" i="411"/>
  <c r="AS14" i="411"/>
  <c r="AS12" i="411"/>
  <c r="N11" i="411"/>
  <c r="N10" i="411"/>
  <c r="AS13" i="411"/>
  <c r="AJ11" i="411"/>
  <c r="AS16" i="411"/>
  <c r="AS10" i="411"/>
  <c r="AS16" i="410"/>
  <c r="AS15" i="410"/>
  <c r="AS18" i="410"/>
  <c r="AJ10" i="410"/>
  <c r="AS17" i="410"/>
  <c r="N10" i="410"/>
  <c r="AS14" i="410"/>
  <c r="AS13" i="410"/>
  <c r="AS12" i="410"/>
  <c r="AJ11" i="410"/>
  <c r="N11" i="410"/>
  <c r="AS10" i="410"/>
  <c r="AS14" i="409"/>
  <c r="AS13" i="409"/>
  <c r="AS12" i="409"/>
  <c r="AJ11" i="409"/>
  <c r="N11" i="409"/>
  <c r="AS10" i="409"/>
  <c r="AJ10" i="409"/>
  <c r="AS16" i="409"/>
  <c r="N10" i="409"/>
  <c r="AS10" i="408"/>
  <c r="AJ10" i="408"/>
  <c r="AJ11" i="408"/>
  <c r="N11" i="408"/>
  <c r="N10" i="408"/>
  <c r="AS15" i="408"/>
  <c r="AS14" i="408"/>
  <c r="AS13" i="408"/>
  <c r="AS12" i="408"/>
  <c r="AS17" i="405"/>
  <c r="AS16" i="405"/>
  <c r="AS15" i="405"/>
  <c r="AS18" i="405"/>
  <c r="AJ10" i="405"/>
  <c r="AS14" i="405"/>
  <c r="N10" i="405"/>
  <c r="AS13" i="405"/>
  <c r="AS12" i="405"/>
  <c r="AJ11" i="405"/>
  <c r="N11" i="405"/>
  <c r="AS10" i="405"/>
  <c r="AS20" i="387"/>
  <c r="AS19" i="387"/>
  <c r="AS15" i="404"/>
  <c r="N11" i="404"/>
  <c r="AS10" i="404"/>
  <c r="AJ10" i="404"/>
  <c r="N10" i="404"/>
  <c r="AJ11" i="404"/>
  <c r="AS13" i="404"/>
  <c r="AS12" i="404"/>
  <c r="AS14" i="404"/>
  <c r="AS22" i="380"/>
  <c r="AS13" i="380"/>
  <c r="AS20" i="380"/>
  <c r="AS19" i="380"/>
  <c r="AS18" i="380"/>
  <c r="AS17" i="380"/>
  <c r="AS16" i="380"/>
  <c r="AS14" i="380"/>
  <c r="AS21" i="380"/>
  <c r="AS14" i="191"/>
  <c r="AS16" i="191"/>
  <c r="AS17" i="191"/>
  <c r="AS16" i="401"/>
  <c r="AS15" i="401"/>
  <c r="AS18" i="403"/>
  <c r="AJ11" i="403"/>
  <c r="N11" i="403"/>
  <c r="AS10" i="403"/>
  <c r="AS17" i="403"/>
  <c r="AJ10" i="403"/>
  <c r="AS16" i="403"/>
  <c r="N10" i="403"/>
  <c r="AS15" i="403"/>
  <c r="AS13" i="403"/>
  <c r="AS12" i="403"/>
  <c r="AS14" i="402"/>
  <c r="AS17" i="402"/>
  <c r="AS15" i="402"/>
  <c r="AS19" i="402"/>
  <c r="AJ10" i="402"/>
  <c r="AS18" i="402"/>
  <c r="N10" i="402"/>
  <c r="AS10" i="402"/>
  <c r="AS13" i="402"/>
  <c r="AS12" i="402"/>
  <c r="AJ11" i="402"/>
  <c r="N11" i="402"/>
  <c r="D8" i="400"/>
  <c r="AS17" i="401"/>
  <c r="AS12" i="401"/>
  <c r="AJ11" i="401"/>
  <c r="N11" i="401"/>
  <c r="AJ10" i="401"/>
  <c r="AS10" i="401"/>
  <c r="AS14" i="401"/>
  <c r="N10" i="401"/>
  <c r="AS13" i="401"/>
  <c r="AS20" i="399"/>
  <c r="AS19" i="399"/>
  <c r="AS25" i="399"/>
  <c r="AS24" i="399"/>
  <c r="AS23" i="399"/>
  <c r="AS22" i="399"/>
  <c r="AS21" i="399"/>
  <c r="AS28" i="399"/>
  <c r="AS12" i="399"/>
  <c r="AS27" i="399"/>
  <c r="AJ11" i="399"/>
  <c r="AS26" i="399"/>
  <c r="AS18" i="399"/>
  <c r="N11" i="399"/>
  <c r="AS17" i="399"/>
  <c r="AS10" i="399"/>
  <c r="AS16" i="399"/>
  <c r="AJ10" i="399"/>
  <c r="N10" i="399"/>
  <c r="AS15" i="399"/>
  <c r="AS14" i="399"/>
  <c r="AS13" i="399"/>
  <c r="AS22" i="398"/>
  <c r="AS13" i="398"/>
  <c r="AS21" i="398"/>
  <c r="AS12" i="398"/>
  <c r="AS19" i="398"/>
  <c r="AJ11" i="398"/>
  <c r="AJ10" i="398"/>
  <c r="AS18" i="398"/>
  <c r="N11" i="398"/>
  <c r="AS17" i="398"/>
  <c r="AS10" i="398"/>
  <c r="AS16" i="398"/>
  <c r="AS15" i="398"/>
  <c r="N10" i="398"/>
  <c r="AS14" i="398"/>
  <c r="AS22" i="397"/>
  <c r="AS13" i="397"/>
  <c r="AS21" i="397"/>
  <c r="AS12" i="397"/>
  <c r="AS19" i="397"/>
  <c r="AJ11" i="397"/>
  <c r="AS18" i="397"/>
  <c r="N11" i="397"/>
  <c r="AS17" i="397"/>
  <c r="AS10" i="397"/>
  <c r="AS16" i="397"/>
  <c r="AJ10" i="397"/>
  <c r="AS15" i="397"/>
  <c r="N10" i="397"/>
  <c r="AS14" i="397"/>
  <c r="AS19" i="396"/>
  <c r="AS18" i="396"/>
  <c r="AS17" i="396"/>
  <c r="AS16" i="396"/>
  <c r="AS15" i="396"/>
  <c r="AS14" i="396"/>
  <c r="AS22" i="396"/>
  <c r="N10" i="396"/>
  <c r="AS21" i="396"/>
  <c r="AS13" i="396"/>
  <c r="AS12" i="396"/>
  <c r="AJ10" i="396"/>
  <c r="AJ11" i="396"/>
  <c r="N11" i="396"/>
  <c r="AS10" i="396"/>
  <c r="AS15" i="395"/>
  <c r="N11" i="395"/>
  <c r="AS10" i="395"/>
  <c r="AJ10" i="395"/>
  <c r="AJ11" i="395"/>
  <c r="N10" i="395"/>
  <c r="AS14" i="395"/>
  <c r="AS13" i="395"/>
  <c r="AS12" i="395"/>
  <c r="AS16" i="394"/>
  <c r="AS14" i="394"/>
  <c r="AS15" i="394"/>
  <c r="AS18" i="394"/>
  <c r="N10" i="394"/>
  <c r="AS17" i="394"/>
  <c r="AJ10" i="394"/>
  <c r="AS13" i="394"/>
  <c r="AS12" i="394"/>
  <c r="AJ11" i="394"/>
  <c r="N11" i="394"/>
  <c r="AS10" i="394"/>
  <c r="AS14" i="393"/>
  <c r="AS13" i="393"/>
  <c r="AJ11" i="393"/>
  <c r="AS12" i="393"/>
  <c r="N10" i="393"/>
  <c r="N11" i="393"/>
  <c r="AS10" i="393"/>
  <c r="AJ10" i="393"/>
  <c r="AS14" i="392"/>
  <c r="AS13" i="392"/>
  <c r="AS12" i="392"/>
  <c r="N10" i="392"/>
  <c r="AJ11" i="392"/>
  <c r="N11" i="392"/>
  <c r="AJ10" i="392"/>
  <c r="AS10" i="392"/>
  <c r="AS14" i="391"/>
  <c r="N10" i="391"/>
  <c r="AS13" i="391"/>
  <c r="AS12" i="391"/>
  <c r="AJ11" i="391"/>
  <c r="N11" i="391"/>
  <c r="AS10" i="391"/>
  <c r="AJ10" i="391"/>
  <c r="AS15" i="390"/>
  <c r="N10" i="390"/>
  <c r="AS14" i="390"/>
  <c r="AS13" i="390"/>
  <c r="AS12" i="390"/>
  <c r="AJ11" i="390"/>
  <c r="N11" i="390"/>
  <c r="AS10" i="390"/>
  <c r="AJ10" i="390"/>
  <c r="AS15" i="389"/>
  <c r="N10" i="389"/>
  <c r="AS14" i="389"/>
  <c r="AS13" i="389"/>
  <c r="AS12" i="389"/>
  <c r="AJ11" i="389"/>
  <c r="N11" i="389"/>
  <c r="AS10" i="389"/>
  <c r="AJ10" i="389"/>
  <c r="AS15" i="388"/>
  <c r="AJ11" i="388"/>
  <c r="AS12" i="388"/>
  <c r="N11" i="388"/>
  <c r="AS10" i="388"/>
  <c r="AJ10" i="388"/>
  <c r="N10" i="388"/>
  <c r="AS14" i="388"/>
  <c r="AS13" i="388"/>
  <c r="AS17" i="387"/>
  <c r="AS16" i="387"/>
  <c r="AS15" i="387"/>
  <c r="AS21" i="387"/>
  <c r="AJ10" i="387"/>
  <c r="AS18" i="387"/>
  <c r="N10" i="387"/>
  <c r="AS14" i="387"/>
  <c r="AS12" i="387"/>
  <c r="AS13" i="387"/>
  <c r="N11" i="387"/>
  <c r="AS10" i="387"/>
  <c r="AJ11" i="387"/>
  <c r="AS16" i="386"/>
  <c r="N11" i="386"/>
  <c r="AS10" i="386"/>
  <c r="AS15" i="386"/>
  <c r="N10" i="386"/>
  <c r="AJ11" i="386"/>
  <c r="AJ10" i="386"/>
  <c r="AS14" i="386"/>
  <c r="AS13" i="386"/>
  <c r="AS12" i="386"/>
  <c r="AS33" i="383"/>
  <c r="AS27" i="383"/>
  <c r="AS23" i="383"/>
  <c r="AJ10" i="383"/>
  <c r="AS21" i="383"/>
  <c r="AS22" i="383"/>
  <c r="AS14" i="383"/>
  <c r="AS25" i="383"/>
  <c r="AS32" i="383"/>
  <c r="AS15" i="383"/>
  <c r="AS17" i="383"/>
  <c r="N10" i="383"/>
  <c r="AS19" i="383"/>
  <c r="AS18" i="383"/>
  <c r="N11" i="383"/>
  <c r="AS31" i="383"/>
  <c r="AS24" i="383"/>
  <c r="AS28" i="383"/>
  <c r="AS20" i="383"/>
  <c r="AS10" i="383"/>
  <c r="AS16" i="383"/>
  <c r="AS13" i="383"/>
  <c r="AS29" i="383"/>
  <c r="AS12" i="383"/>
  <c r="AS26" i="383"/>
  <c r="AS30" i="383"/>
  <c r="AJ11" i="383"/>
  <c r="AS10" i="382"/>
  <c r="AS15" i="382"/>
  <c r="AS20" i="382"/>
  <c r="AS25" i="382"/>
  <c r="AS19" i="382"/>
  <c r="AS23" i="382"/>
  <c r="AJ11" i="382"/>
  <c r="N10" i="382"/>
  <c r="AS18" i="382"/>
  <c r="AS24" i="382"/>
  <c r="AS21" i="382"/>
  <c r="AS12" i="382"/>
  <c r="AS17" i="382"/>
  <c r="AS14" i="382"/>
  <c r="N11" i="382"/>
  <c r="AS16" i="382"/>
  <c r="AS22" i="382"/>
  <c r="AJ10" i="382"/>
  <c r="AS13" i="382"/>
  <c r="AS17" i="384"/>
  <c r="AS25" i="384"/>
  <c r="N11" i="384"/>
  <c r="AS12" i="384"/>
  <c r="AJ10" i="384"/>
  <c r="AS14" i="384"/>
  <c r="AS10" i="384"/>
  <c r="AS21" i="384"/>
  <c r="AS24" i="384"/>
  <c r="N10" i="384"/>
  <c r="AS16" i="384"/>
  <c r="AS26" i="384"/>
  <c r="AS18" i="384"/>
  <c r="AS15" i="384"/>
  <c r="AJ11" i="384"/>
  <c r="AS23" i="384"/>
  <c r="AS19" i="384"/>
  <c r="AS22" i="384"/>
  <c r="AS20" i="384"/>
  <c r="AS13" i="384"/>
  <c r="AS25" i="381"/>
  <c r="AS13" i="381"/>
  <c r="AS22" i="381"/>
  <c r="AS26" i="381"/>
  <c r="AS24" i="381"/>
  <c r="AS20" i="381"/>
  <c r="AS16" i="381"/>
  <c r="AJ11" i="381"/>
  <c r="AS17" i="381"/>
  <c r="AS12" i="381"/>
  <c r="AS14" i="381"/>
  <c r="AS18" i="381"/>
  <c r="AS31" i="381"/>
  <c r="AS29" i="381"/>
  <c r="N11" i="381"/>
  <c r="AS19" i="381"/>
  <c r="AS30" i="381"/>
  <c r="AS10" i="381"/>
  <c r="AJ10" i="381"/>
  <c r="AS27" i="381"/>
  <c r="AS23" i="381"/>
  <c r="AS21" i="381"/>
  <c r="AS15" i="381"/>
  <c r="AS28" i="381"/>
  <c r="N10" i="381"/>
  <c r="AS32" i="381"/>
  <c r="AS22" i="379"/>
  <c r="AS16" i="379"/>
  <c r="AS18" i="379"/>
  <c r="N10" i="379"/>
  <c r="AS21" i="379"/>
  <c r="AS10" i="379"/>
  <c r="AS17" i="379"/>
  <c r="AS12" i="379"/>
  <c r="AS13" i="379"/>
  <c r="AS14" i="379"/>
  <c r="AS20" i="379"/>
  <c r="N11" i="379"/>
  <c r="AJ10" i="379"/>
  <c r="AS19" i="379"/>
  <c r="AJ11" i="379"/>
  <c r="N11" i="380"/>
  <c r="AS10" i="380"/>
  <c r="N10" i="380"/>
  <c r="AJ10" i="380"/>
  <c r="AJ11" i="380"/>
  <c r="AS12" i="380"/>
  <c r="AS12" i="378"/>
  <c r="AS16" i="378"/>
  <c r="AS10" i="378"/>
  <c r="AS14" i="378"/>
  <c r="AJ11" i="378"/>
  <c r="N11" i="378"/>
  <c r="AJ10" i="378"/>
  <c r="AS13" i="378"/>
  <c r="AS17" i="378"/>
  <c r="N10" i="378"/>
  <c r="AS15" i="378"/>
  <c r="AS20" i="377"/>
  <c r="N11" i="377"/>
  <c r="AS10" i="377"/>
  <c r="AJ11" i="377"/>
  <c r="AS12" i="377"/>
  <c r="AJ10" i="377"/>
  <c r="AS21" i="377"/>
  <c r="AS13" i="377"/>
  <c r="AS17" i="377"/>
  <c r="AS18" i="377"/>
  <c r="AS19" i="377"/>
  <c r="N10" i="377"/>
  <c r="AS16" i="377"/>
  <c r="AS15" i="377"/>
  <c r="AS14" i="377"/>
  <c r="AS17" i="360"/>
  <c r="AS19" i="358"/>
  <c r="AS18" i="358"/>
  <c r="AS30" i="371"/>
  <c r="AS39" i="371"/>
  <c r="AS43" i="371"/>
  <c r="AS26" i="371"/>
  <c r="AS10" i="371"/>
  <c r="AS31" i="371"/>
  <c r="AS35" i="371"/>
  <c r="AS18" i="371"/>
  <c r="AS40" i="371"/>
  <c r="AS14" i="371"/>
  <c r="AS27" i="371"/>
  <c r="AS32" i="371"/>
  <c r="AS44" i="371"/>
  <c r="AS24" i="371"/>
  <c r="AS23" i="371"/>
  <c r="AS20" i="371"/>
  <c r="AS38" i="371"/>
  <c r="AS22" i="371"/>
  <c r="AS15" i="371"/>
  <c r="N11" i="371"/>
  <c r="AS45" i="371"/>
  <c r="N10" i="371"/>
  <c r="AS36" i="371"/>
  <c r="AS41" i="371"/>
  <c r="AS28" i="371"/>
  <c r="AJ10" i="371"/>
  <c r="AS42" i="371"/>
  <c r="AS12" i="371"/>
  <c r="AS33" i="371"/>
  <c r="AS21" i="371"/>
  <c r="AS25" i="371"/>
  <c r="AS34" i="371"/>
  <c r="AS19" i="371"/>
  <c r="AS37" i="371"/>
  <c r="AJ11" i="371"/>
  <c r="AS16" i="371"/>
  <c r="AS29" i="371"/>
  <c r="AS46" i="371"/>
  <c r="AS13" i="371"/>
  <c r="AS17" i="371"/>
  <c r="AS16" i="374"/>
  <c r="AS20" i="374"/>
  <c r="AS22" i="374"/>
  <c r="AS12" i="374"/>
  <c r="AS14" i="374"/>
  <c r="AS23" i="374"/>
  <c r="AS18" i="374"/>
  <c r="AS17" i="374"/>
  <c r="AS19" i="374"/>
  <c r="AJ11" i="374"/>
  <c r="AS21" i="374"/>
  <c r="AS15" i="374"/>
  <c r="N10" i="374"/>
  <c r="AS10" i="374"/>
  <c r="AJ10" i="374"/>
  <c r="AS13" i="374"/>
  <c r="N11" i="374"/>
  <c r="AS21" i="372"/>
  <c r="N10" i="372"/>
  <c r="AS13" i="372"/>
  <c r="AS18" i="372"/>
  <c r="AS16" i="372"/>
  <c r="N11" i="372"/>
  <c r="AS17" i="372"/>
  <c r="AS10" i="372"/>
  <c r="AS12" i="372"/>
  <c r="AS15" i="372"/>
  <c r="AJ11" i="372"/>
  <c r="AS22" i="372"/>
  <c r="AS14" i="372"/>
  <c r="AS20" i="372"/>
  <c r="AS19" i="372"/>
  <c r="AJ10" i="372"/>
  <c r="AS34" i="375"/>
  <c r="AS31" i="375"/>
  <c r="AS37" i="375"/>
  <c r="AS35" i="375"/>
  <c r="N11" i="375"/>
  <c r="AS23" i="375"/>
  <c r="AS29" i="375"/>
  <c r="AS27" i="375"/>
  <c r="AS41" i="375"/>
  <c r="AS40" i="375"/>
  <c r="AS19" i="375"/>
  <c r="N10" i="375"/>
  <c r="AJ11" i="375"/>
  <c r="AS25" i="375"/>
  <c r="AS38" i="375"/>
  <c r="AS18" i="375"/>
  <c r="AS17" i="375"/>
  <c r="AS30" i="375"/>
  <c r="AS20" i="375"/>
  <c r="AS39" i="375"/>
  <c r="AS15" i="375"/>
  <c r="AS33" i="375"/>
  <c r="AS32" i="375"/>
  <c r="AS13" i="375"/>
  <c r="AS16" i="375"/>
  <c r="AS36" i="375"/>
  <c r="AS28" i="375"/>
  <c r="AS26" i="375"/>
  <c r="AS21" i="375"/>
  <c r="AS22" i="375"/>
  <c r="AS12" i="375"/>
  <c r="AJ10" i="375"/>
  <c r="AS10" i="375"/>
  <c r="AS24" i="375"/>
  <c r="AS14" i="375"/>
  <c r="AS24" i="376"/>
  <c r="AS22" i="376"/>
  <c r="AS18" i="376"/>
  <c r="AS16" i="376"/>
  <c r="AS10" i="376"/>
  <c r="AJ10" i="376"/>
  <c r="AS21" i="376"/>
  <c r="AS13" i="376"/>
  <c r="AS20" i="376"/>
  <c r="AS19" i="376"/>
  <c r="AS14" i="376"/>
  <c r="AS15" i="376"/>
  <c r="AS12" i="376"/>
  <c r="AJ11" i="376"/>
  <c r="N10" i="376"/>
  <c r="AS23" i="376"/>
  <c r="N11" i="376"/>
  <c r="AS17" i="376"/>
  <c r="AS19" i="373"/>
  <c r="AS10" i="373"/>
  <c r="AJ11" i="373"/>
  <c r="AS16" i="373"/>
  <c r="AS20" i="373"/>
  <c r="AJ10" i="373"/>
  <c r="AS12" i="373"/>
  <c r="AS14" i="373"/>
  <c r="AS21" i="373"/>
  <c r="AS17" i="373"/>
  <c r="AS15" i="373"/>
  <c r="N10" i="373"/>
  <c r="AS22" i="373"/>
  <c r="AS18" i="373"/>
  <c r="N11" i="373"/>
  <c r="AS13" i="373"/>
  <c r="AS10" i="363"/>
  <c r="AJ11" i="363"/>
  <c r="AS15" i="363"/>
  <c r="AS19" i="363"/>
  <c r="AS21" i="363"/>
  <c r="AS13" i="363"/>
  <c r="AS17" i="363"/>
  <c r="AS12" i="363"/>
  <c r="AS20" i="363"/>
  <c r="AS16" i="363"/>
  <c r="N10" i="363"/>
  <c r="AJ10" i="363"/>
  <c r="N11" i="363"/>
  <c r="AS18" i="363"/>
  <c r="AS17" i="364"/>
  <c r="AS14" i="364"/>
  <c r="N11" i="364"/>
  <c r="AS13" i="364"/>
  <c r="AJ11" i="364"/>
  <c r="AS16" i="364"/>
  <c r="AS12" i="364"/>
  <c r="N10" i="364"/>
  <c r="AS10" i="364"/>
  <c r="AS15" i="364"/>
  <c r="AJ10" i="364"/>
  <c r="AS20" i="360"/>
  <c r="AS21" i="360"/>
  <c r="AJ10" i="360"/>
  <c r="AS10" i="360"/>
  <c r="AS18" i="360"/>
  <c r="N10" i="360"/>
  <c r="AS16" i="360"/>
  <c r="AS12" i="360"/>
  <c r="AS19" i="360"/>
  <c r="AS15" i="360"/>
  <c r="AS14" i="360"/>
  <c r="AS13" i="360"/>
  <c r="AJ11" i="360"/>
  <c r="N11" i="360"/>
  <c r="AS15" i="361"/>
  <c r="N10" i="361"/>
  <c r="AS14" i="361"/>
  <c r="AS13" i="361"/>
  <c r="AS12" i="361"/>
  <c r="AJ11" i="361"/>
  <c r="AS16" i="361"/>
  <c r="N11" i="361"/>
  <c r="AJ10" i="361"/>
  <c r="AS10" i="361"/>
  <c r="D8" i="189"/>
  <c r="AS14" i="189" s="1"/>
  <c r="AS16" i="358"/>
  <c r="AS15" i="358"/>
  <c r="AS14" i="358"/>
  <c r="AS17" i="358"/>
  <c r="AS13" i="358"/>
  <c r="AS20"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3" i="190"/>
  <c r="AS10" i="190"/>
  <c r="AS16" i="190"/>
  <c r="AJ10" i="190"/>
  <c r="N10" i="190"/>
  <c r="AJ11" i="190"/>
  <c r="AS14" i="190"/>
  <c r="AS12" i="190"/>
  <c r="N11" i="190"/>
  <c r="AJ11" i="191"/>
  <c r="AS12" i="191"/>
  <c r="N11" i="191"/>
  <c r="AS18" i="191"/>
  <c r="AS10" i="191"/>
  <c r="AS19" i="191"/>
  <c r="AJ10" i="191"/>
  <c r="N10" i="191"/>
  <c r="AS15"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225" i="25"/>
  <c r="AE236" i="25"/>
  <c r="AE154" i="25"/>
  <c r="AE224" i="25"/>
  <c r="AE156" i="25"/>
  <c r="AE239" i="25"/>
  <c r="AS15" i="420" l="1"/>
  <c r="AS16" i="420"/>
  <c r="AS17" i="420"/>
  <c r="AJ11" i="420"/>
  <c r="AS10" i="420"/>
  <c r="N11" i="420"/>
  <c r="AS12" i="420"/>
  <c r="AS13" i="420"/>
  <c r="AJ10" i="420"/>
  <c r="N10" i="420"/>
  <c r="AJ11" i="424"/>
  <c r="AS15" i="424"/>
  <c r="AS10" i="424"/>
  <c r="AS13" i="424"/>
  <c r="AS16" i="424"/>
  <c r="AS18" i="424"/>
  <c r="AS14" i="420"/>
  <c r="N10" i="424"/>
  <c r="AJ10" i="424"/>
  <c r="N11" i="424"/>
  <c r="AS12" i="424"/>
  <c r="AS14" i="424"/>
  <c r="AS21" i="400"/>
  <c r="AS29" i="400"/>
  <c r="AS16" i="400"/>
  <c r="AS17" i="400"/>
  <c r="AS25" i="400"/>
  <c r="AS10" i="400"/>
  <c r="N11" i="400"/>
  <c r="AS13" i="400"/>
  <c r="AJ11" i="400"/>
  <c r="AS22" i="400"/>
  <c r="AS20" i="400"/>
  <c r="AS15" i="400"/>
  <c r="AS28" i="400"/>
  <c r="AJ10" i="400"/>
  <c r="AS27" i="400"/>
  <c r="AS23" i="400"/>
  <c r="AS18" i="400"/>
  <c r="AS12" i="400"/>
  <c r="N10" i="400"/>
  <c r="AS26" i="400"/>
  <c r="AS24" i="400"/>
  <c r="AS19" i="400"/>
  <c r="AS14" i="400"/>
  <c r="AJ11" i="189"/>
  <c r="AS12" i="189"/>
  <c r="N10" i="189"/>
  <c r="AJ10" i="189"/>
  <c r="AS10" i="189"/>
  <c r="AS13" i="189"/>
  <c r="N11" i="189"/>
  <c r="AS13" i="362"/>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08"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<sst xmlns="http://schemas.openxmlformats.org/spreadsheetml/2006/main" count="41977" uniqueCount="7342">
  <si>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</si>
  <si>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</si>
  <si>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</si>
  <si>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</si>
  <si>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</si>
  <si>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</si>
  <si>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</si>
  <si>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</si>
  <si>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</si>
  <si>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</si>
  <si>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</si>
  <si>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</si>
  <si>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</si>
  <si>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</si>
  <si>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</si>
  <si>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</si>
  <si>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</si>
  <si>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</si>
  <si>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</si>
  <si>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</si>
  <si>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</si>
  <si>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</si>
  <si>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</si>
  <si>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</si>
  <si>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</si>
  <si>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</si>
  <si>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</si>
  <si>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</si>
  <si>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</si>
  <si>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</si>
  <si>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</si>
  <si>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</si>
  <si>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</si>
  <si>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</si>
  <si>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</si>
  <si>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</si>
  <si>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</si>
  <si>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</si>
  <si>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</si>
  <si>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</si>
  <si>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</si>
  <si>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</si>
  <si>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</si>
  <si>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</si>
  <si>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</si>
  <si>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</si>
  <si>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</si>
  <si>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</si>
  <si>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</si>
  <si>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</si>
  <si>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</si>
  <si>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</si>
  <si>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</si>
  <si>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</si>
  <si>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</si>
  <si>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</si>
  <si>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</si>
  <si>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</si>
  <si>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</si>
  <si>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</si>
  <si>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</si>
  <si>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</si>
  <si>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</si>
  <si>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</si>
  <si>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</si>
  <si>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</si>
  <si>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</si>
  <si>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</si>
  <si>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</si>
  <si>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</si>
  <si>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</si>
  <si>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</si>
  <si>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</si>
  <si>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</si>
  <si>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</si>
  <si>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</si>
  <si>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</si>
  <si>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</si>
  <si>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</si>
  <si>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</si>
  <si>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</si>
  <si>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</si>
  <si>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</si>
  <si>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</si>
  <si>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</si>
  <si>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</si>
  <si>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</si>
  <si>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</si>
  <si>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</si>
  <si>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</si>
  <si>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</si>
  <si>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</si>
  <si>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</si>
  <si>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</si>
  <si>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</si>
  <si>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</si>
  <si>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</si>
  <si>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</si>
  <si>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</si>
  <si>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</si>
  <si>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</si>
  <si>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</si>
  <si>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</si>
  <si>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</si>
  <si>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</si>
  <si>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</si>
  <si>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</si>
  <si>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</si>
  <si>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</si>
  <si>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</si>
  <si>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</si>
  <si>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</si>
  <si>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</si>
  <si>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</si>
  <si>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</si>
  <si>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</si>
  <si>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</si>
  <si>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</si>
  <si>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</si>
  <si>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</si>
  <si>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</si>
  <si>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</si>
  <si>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</si>
  <si>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</si>
  <si>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</si>
  <si>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</si>
  <si>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</si>
  <si>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</si>
  <si>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</si>
  <si>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</si>
  <si>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</si>
  <si>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</si>
  <si>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</si>
  <si>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</si>
  <si>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</si>
  <si>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</si>
  <si>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</si>
  <si>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</si>
  <si>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</si>
  <si>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</si>
  <si>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</si>
  <si>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</si>
  <si>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</si>
  <si>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</si>
  <si>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</si>
  <si>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</si>
  <si>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</si>
  <si>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</si>
  <si>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</si>
  <si>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</si>
  <si>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</si>
  <si>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</si>
  <si>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</si>
  <si>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</si>
  <si>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</si>
  <si>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</si>
  <si>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</si>
  <si>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</si>
  <si>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</si>
  <si>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</si>
  <si>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</si>
  <si>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</si>
  <si>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</si>
  <si>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</si>
  <si>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</si>
  <si>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</si>
  <si>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</si>
  <si>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</si>
  <si>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</si>
  <si>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</si>
  <si>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</si>
  <si>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</si>
  <si>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</si>
  <si>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</si>
  <si>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</si>
  <si>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</si>
  <si>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</si>
  <si>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</si>
  <si>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</si>
  <si>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</si>
  <si>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</si>
  <si>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</si>
  <si>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</si>
  <si>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</si>
  <si>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</si>
  <si>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</si>
  <si>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</si>
  <si>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</si>
  <si>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</si>
  <si>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</si>
  <si>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</si>
  <si>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</si>
  <si>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</si>
  <si>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</si>
  <si>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</si>
  <si>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</si>
  <si>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</si>
  <si>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</si>
  <si>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</si>
  <si>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</si>
  <si>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</si>
  <si>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</si>
  <si>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</si>
  <si>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</si>
  <si>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</si>
  <si>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</si>
  <si>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</si>
  <si>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</si>
  <si>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</si>
  <si>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</si>
  <si>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</si>
  <si>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</si>
  <si>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</si>
  <si>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</si>
  <si>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</si>
  <si>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</si>
  <si>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</si>
  <si>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</si>
  <si>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</si>
  <si>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</si>
  <si>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</si>
  <si>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</si>
  <si>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</si>
  <si>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</si>
  <si>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</si>
  <si>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</si>
  <si>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</si>
  <si>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</si>
  <si>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</si>
  <si>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</si>
  <si>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</si>
  <si>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</si>
  <si>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</si>
  <si>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</si>
  <si>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</si>
  <si>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</si>
  <si>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</si>
  <si>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</si>
  <si>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</si>
  <si>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</si>
  <si>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</si>
  <si>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</si>
  <si>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</si>
  <si>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</si>
  <si>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</si>
  <si>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</si>
  <si>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</si>
  <si>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</si>
  <si>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</si>
  <si>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</si>
  <si>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</si>
  <si>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</si>
  <si>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</si>
  <si>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</si>
  <si>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</si>
  <si>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</si>
  <si>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</si>
  <si>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</si>
  <si>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</si>
  <si>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</si>
  <si>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</si>
  <si>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</si>
  <si>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</si>
  <si>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</si>
  <si>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</si>
  <si>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</si>
  <si>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</si>
  <si>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</si>
  <si>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</si>
  <si>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</si>
  <si>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</si>
  <si>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</si>
  <si>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</si>
  <si>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</si>
  <si>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</si>
  <si>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</si>
  <si>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</si>
  <si>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</si>
  <si>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</si>
  <si>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</si>
  <si>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</si>
  <si>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</si>
  <si>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</si>
  <si>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</si>
  <si>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</si>
  <si>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</si>
  <si>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</si>
  <si>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</si>
  <si>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</si>
  <si>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</si>
  <si>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</si>
  <si>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</si>
  <si>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</si>
  <si>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</si>
  <si>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</si>
  <si>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</si>
  <si>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</si>
  <si>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</si>
  <si>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</si>
  <si>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</si>
  <si>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</si>
  <si>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</si>
  <si>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</si>
  <si>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</si>
  <si>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</si>
  <si>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</si>
  <si>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</si>
  <si>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</si>
  <si>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</si>
  <si>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</si>
  <si>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</si>
  <si>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</si>
  <si>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</si>
  <si>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</si>
  <si>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</si>
  <si>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</si>
  <si>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</si>
  <si>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</si>
  <si>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</si>
  <si>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</si>
  <si>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</si>
  <si>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</si>
  <si>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</si>
  <si>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</si>
  <si>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</si>
  <si>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</si>
  <si>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</si>
  <si>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</si>
  <si>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</si>
  <si>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</si>
  <si>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</si>
  <si>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</si>
  <si>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</si>
  <si>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</si>
  <si>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</si>
  <si>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</si>
  <si>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</si>
  <si>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</si>
  <si>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</si>
  <si>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</si>
  <si>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</si>
  <si>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</si>
  <si>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</si>
  <si>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</si>
  <si>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</si>
  <si>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</si>
  <si>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</si>
  <si>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</si>
  <si>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</si>
  <si>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</si>
  <si>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</si>
  <si>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</si>
  <si>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</si>
  <si>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</si>
  <si>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</si>
  <si>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</si>
  <si>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</si>
  <si>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</si>
  <si>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</si>
  <si>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</si>
  <si>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</si>
  <si>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</si>
  <si>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</si>
  <si>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</si>
  <si>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</si>
  <si>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</si>
  <si>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</si>
  <si>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</si>
  <si>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</si>
  <si>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</si>
  <si>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</si>
  <si>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</si>
  <si>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</si>
  <si>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</si>
  <si>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</si>
  <si>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</si>
  <si>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</si>
  <si>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</si>
  <si>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</si>
  <si>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</si>
  <si>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</si>
  <si>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</si>
  <si>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</si>
  <si>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</si>
  <si>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</si>
  <si>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</si>
  <si>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</si>
  <si>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</si>
  <si>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</si>
  <si>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</si>
  <si>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</si>
  <si>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</si>
  <si>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</si>
  <si>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</si>
  <si>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</si>
  <si>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</si>
  <si>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</si>
  <si>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</si>
  <si>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</si>
  <si>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</si>
  <si>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</si>
  <si>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</si>
  <si>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</si>
  <si>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</si>
  <si>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</si>
  <si>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</si>
  <si>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</si>
  <si>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</si>
  <si>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</si>
  <si>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</si>
  <si>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</si>
  <si>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</si>
  <si>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</si>
  <si>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</si>
  <si>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</si>
  <si>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</si>
  <si>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</si>
  <si>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</si>
  <si>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</si>
  <si>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</si>
  <si>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</si>
  <si>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</si>
  <si>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</si>
  <si>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</si>
  <si>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</si>
  <si>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</si>
  <si>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</si>
  <si>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</si>
  <si>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</si>
  <si>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</si>
  <si>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</si>
  <si>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</si>
  <si>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</si>
  <si>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</si>
  <si>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</si>
  <si>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</si>
  <si>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</si>
  <si>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</si>
  <si>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</si>
  <si>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</si>
  <si>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</si>
  <si>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</si>
  <si>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</si>
  <si>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</si>
  <si>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</si>
  <si>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</si>
  <si>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</si>
  <si>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</si>
  <si>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</si>
  <si>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</si>
  <si>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</si>
  <si>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</si>
  <si>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</si>
  <si>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</si>
  <si>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</si>
  <si>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</si>
  <si>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</si>
  <si>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</si>
  <si>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</si>
  <si>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</si>
  <si>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</si>
  <si>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</si>
  <si>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</si>
  <si>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</si>
  <si>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</si>
  <si>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</si>
  <si>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</si>
  <si>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</si>
  <si>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</si>
  <si>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</si>
  <si>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</si>
  <si>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</si>
  <si>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</si>
  <si>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</si>
  <si>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</si>
  <si>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</si>
  <si>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</si>
  <si>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</si>
  <si>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</si>
  <si>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</si>
  <si>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</si>
  <si>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</si>
  <si>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</si>
  <si>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</si>
  <si>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</si>
  <si>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</si>
  <si>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</si>
  <si>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</si>
  <si>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</si>
  <si>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</si>
  <si>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</si>
  <si>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</si>
  <si>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</si>
  <si>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</si>
  <si>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</si>
  <si>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</si>
  <si>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</si>
  <si>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</si>
  <si>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</si>
  <si>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</si>
  <si>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</si>
  <si>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</si>
  <si>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</si>
  <si>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</si>
  <si>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</si>
  <si>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</si>
  <si>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</si>
  <si>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</si>
  <si>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</si>
  <si>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</si>
  <si>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</si>
  <si>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</si>
  <si>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</si>
  <si>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</si>
  <si>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</si>
  <si>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</si>
  <si>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</si>
  <si>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</si>
  <si>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</si>
  <si>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</si>
  <si>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</si>
  <si>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</si>
  <si>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</si>
  <si>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</si>
  <si>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</si>
  <si>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</si>
  <si>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</si>
  <si>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</si>
  <si>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</si>
  <si>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</si>
  <si>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</si>
  <si>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</si>
  <si>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</si>
  <si>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</si>
  <si>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</si>
  <si>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</si>
  <si>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</si>
  <si>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</si>
  <si>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</si>
  <si>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</si>
  <si>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</si>
  <si>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</si>
  <si>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</si>
  <si>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</si>
  <si>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</si>
  <si>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</si>
  <si>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</si>
  <si>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</si>
  <si>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</si>
  <si>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</si>
  <si>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</si>
  <si>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</si>
  <si>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</si>
  <si>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</si>
  <si>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</si>
  <si>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</si>
  <si>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</si>
  <si>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</si>
  <si>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</si>
  <si>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</si>
  <si>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</si>
  <si>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</si>
  <si>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</si>
  <si>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</si>
  <si>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</si>
  <si>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</si>
  <si>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</si>
  <si>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</si>
  <si>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</si>
  <si>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</si>
  <si>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</si>
  <si>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</si>
  <si>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</si>
  <si>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</si>
  <si>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</si>
  <si>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</si>
  <si>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</si>
  <si>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</si>
  <si>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</si>
  <si>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</si>
  <si>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</si>
  <si>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</si>
  <si>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</si>
  <si>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</si>
  <si>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</si>
  <si>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</si>
  <si>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</si>
  <si>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</si>
  <si>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</si>
  <si>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</si>
  <si>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</si>
  <si>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</si>
  <si>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</si>
  <si>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</si>
  <si>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</si>
  <si>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</si>
  <si>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</si>
  <si>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</si>
  <si>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</si>
  <si>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</si>
  <si>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</si>
  <si>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</si>
  <si>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</si>
  <si>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</si>
  <si>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</si>
  <si>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</si>
  <si>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</si>
  <si>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</si>
  <si>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</si>
  <si>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</si>
  <si>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</si>
  <si>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</si>
  <si>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</si>
  <si>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</si>
  <si>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</si>
  <si>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</si>
  <si>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</si>
  <si>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</si>
  <si>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</si>
  <si>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</si>
  <si>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</si>
  <si>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</si>
  <si>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</si>
  <si>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</si>
  <si>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</si>
  <si>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</si>
  <si>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</si>
  <si>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</si>
  <si>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</si>
  <si>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</si>
  <si>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</si>
  <si>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</si>
  <si>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</si>
  <si>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</si>
  <si>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</si>
  <si>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</si>
  <si>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</si>
  <si>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</si>
  <si>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</si>
  <si>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</si>
  <si>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</si>
  <si>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</si>
  <si>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</si>
  <si>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</si>
  <si>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</si>
  <si>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</si>
  <si>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</si>
  <si>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</si>
  <si>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</si>
  <si>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</si>
  <si>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</si>
  <si>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</si>
  <si>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</si>
  <si>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</si>
  <si>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</si>
  <si>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</si>
  <si>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</si>
  <si>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</si>
  <si>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</si>
  <si>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</si>
  <si>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</si>
  <si>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</si>
  <si>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</si>
  <si>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</si>
  <si>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</si>
  <si>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</si>
  <si>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</si>
  <si>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</si>
  <si>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</si>
  <si>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</si>
  <si>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</si>
  <si>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</si>
  <si>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</si>
  <si>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</si>
  <si>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</si>
  <si>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</si>
  <si>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</si>
  <si>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</si>
  <si>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</si>
  <si>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</si>
  <si>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</si>
  <si>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</si>
  <si>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</si>
  <si>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</si>
  <si>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</si>
  <si>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</si>
  <si>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</si>
  <si>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</si>
  <si>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</si>
  <si>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</si>
  <si>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</si>
  <si>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</si>
  <si>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</si>
  <si>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</si>
  <si>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</si>
  <si>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</si>
  <si>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</si>
  <si>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</si>
  <si>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</si>
  <si>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</si>
  <si>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</si>
  <si>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</si>
  <si>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</si>
  <si>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</si>
  <si>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</si>
  <si>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</si>
  <si>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</si>
  <si>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</si>
  <si>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</si>
  <si>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</si>
  <si>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</si>
  <si>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</si>
  <si>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</si>
  <si>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</si>
  <si>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</si>
  <si>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</si>
  <si>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</si>
  <si>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</si>
  <si>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</si>
  <si>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</si>
  <si>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</si>
  <si>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</si>
  <si>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</si>
  <si>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</si>
  <si>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</si>
  <si>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</si>
  <si>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</si>
  <si>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</si>
  <si>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</si>
  <si>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</si>
  <si>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</si>
  <si>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</si>
  <si>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</si>
  <si>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</si>
  <si>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</si>
  <si>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</si>
  <si>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</si>
  <si>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</si>
  <si>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</si>
  <si>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</si>
  <si>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</si>
  <si>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</si>
  <si>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</si>
  <si>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</si>
  <si>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</si>
  <si>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</si>
  <si>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</si>
  <si>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</si>
  <si>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</si>
  <si>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</si>
  <si>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</si>
  <si>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</si>
  <si>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</si>
  <si>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</si>
  <si>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</si>
  <si>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</si>
  <si>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</si>
  <si>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</si>
  <si>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</si>
  <si>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</si>
  <si>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</si>
  <si>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</si>
  <si>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</si>
  <si>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</si>
  <si>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</si>
  <si>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</si>
  <si>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</si>
  <si>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</si>
  <si>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</si>
  <si>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</si>
  <si>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</si>
  <si>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</si>
  <si>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</si>
  <si>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</si>
  <si>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</si>
  <si>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</si>
  <si>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</si>
  <si>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</si>
  <si>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</si>
  <si>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</si>
  <si>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</si>
  <si>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</si>
  <si>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</si>
  <si>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</si>
  <si>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</si>
  <si>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</si>
  <si>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</si>
  <si>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</si>
  <si>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</si>
  <si>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</si>
  <si>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</si>
  <si>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</si>
  <si>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</si>
  <si>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</si>
  <si>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</si>
  <si>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</si>
  <si>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</si>
  <si>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</si>
  <si>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</si>
  <si>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</si>
  <si>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</si>
  <si>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</si>
  <si>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</si>
  <si>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</si>
  <si>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</si>
  <si>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</si>
  <si>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</si>
  <si>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</si>
  <si>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</si>
  <si>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</si>
  <si>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</si>
  <si>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</si>
  <si>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</si>
  <si>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</si>
  <si>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</si>
  <si>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</si>
  <si>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</si>
  <si>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</si>
  <si>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</si>
  <si>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</si>
  <si>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</si>
  <si>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</si>
  <si>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</si>
  <si>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</si>
  <si>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</si>
  <si>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</si>
  <si>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</si>
  <si>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</si>
  <si>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</si>
  <si>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</si>
  <si>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</si>
  <si>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</si>
  <si>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</si>
  <si>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</si>
  <si>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</si>
  <si>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</si>
  <si>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</si>
  <si>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</si>
  <si>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</si>
  <si>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</si>
  <si>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</si>
  <si>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</si>
  <si>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</si>
  <si>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</si>
  <si>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</si>
  <si>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</si>
  <si>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</si>
  <si>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</si>
  <si>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</si>
  <si>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</si>
  <si>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</si>
  <si>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</si>
  <si>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</si>
  <si>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</si>
  <si>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</si>
  <si>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</si>
  <si>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</si>
  <si>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</si>
  <si>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</si>
  <si>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</si>
  <si>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</si>
  <si>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</si>
  <si>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</si>
  <si>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</si>
  <si>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</si>
  <si>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</si>
  <si>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</si>
  <si>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</si>
  <si>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</si>
  <si>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</si>
  <si>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</si>
  <si>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</si>
  <si>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</si>
  <si>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</si>
  <si>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</si>
  <si>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</si>
  <si>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</si>
  <si>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</si>
  <si>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</si>
  <si>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</si>
  <si>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</si>
  <si>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</si>
  <si>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</si>
  <si>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</si>
  <si>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</si>
  <si>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</si>
  <si>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</si>
  <si>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</si>
  <si>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</si>
  <si>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</si>
  <si>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</si>
  <si>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</si>
  <si>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</si>
  <si>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</si>
  <si>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icd10_s_cd</t>
  </si>
  <si>
    <t>icd10_s_name</t>
  </si>
  <si>
    <t>ICD10小区分名称</t>
    <rPh sb="6" eb="8">
      <t>クブン</t>
    </rPh>
    <rPh sb="8" eb="10">
      <t>メイショウ</t>
    </rPh>
    <phoneticPr fontId="8"/>
  </si>
  <si>
    <t>ICD10小区分</t>
    <rPh sb="6" eb="8">
      <t>クブン</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</si>
  <si>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</si>
  <si>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</si>
  <si>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</si>
  <si>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</si>
  <si>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</si>
  <si>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</si>
  <si>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</si>
  <si>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</si>
  <si>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</si>
  <si>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</si>
  <si>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</si>
  <si>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</si>
  <si>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</si>
  <si>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</si>
  <si>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</si>
  <si>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</si>
  <si>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</si>
  <si>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</si>
  <si>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</si>
  <si>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</si>
  <si>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</si>
  <si>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</si>
  <si>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</si>
  <si>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</si>
  <si>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</si>
  <si>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</si>
  <si>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</si>
  <si>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</si>
  <si>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</si>
  <si>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</si>
  <si>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</si>
  <si>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</si>
  <si>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</si>
  <si>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</si>
  <si>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</si>
  <si>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</si>
  <si>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</si>
  <si>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</si>
  <si>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</si>
  <si>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</si>
  <si>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</si>
  <si>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</si>
  <si>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</si>
  <si>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</si>
  <si>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</si>
  <si>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</si>
  <si>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</si>
  <si>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</si>
  <si>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</si>
  <si>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</si>
  <si>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</si>
  <si>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</si>
  <si>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</si>
  <si>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</si>
  <si>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</si>
  <si>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</si>
  <si>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</si>
  <si>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</si>
  <si>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</si>
  <si>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</si>
  <si>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</si>
  <si>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</si>
  <si>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</si>
  <si>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</si>
  <si>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</si>
  <si>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</si>
  <si>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</si>
  <si>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</si>
  <si>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</si>
  <si>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</si>
  <si>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</si>
  <si>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</si>
  <si>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</si>
  <si>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</si>
  <si>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</si>
  <si>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</si>
  <si>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</si>
  <si>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</si>
  <si>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</si>
  <si>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</si>
  <si>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</si>
  <si>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</si>
  <si>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</si>
  <si>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</si>
  <si>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</si>
  <si>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</si>
  <si>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</si>
  <si>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</si>
  <si>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</si>
  <si>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</si>
  <si>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</si>
  <si>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</si>
  <si>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</si>
  <si>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</si>
  <si>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</si>
  <si>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</si>
  <si>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</si>
  <si>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</si>
  <si>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</si>
  <si>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</si>
  <si>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</si>
  <si>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</si>
  <si>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</si>
  <si>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</si>
  <si>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</si>
  <si>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</si>
  <si>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</si>
  <si>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</si>
  <si>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</si>
  <si>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</si>
  <si>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</si>
  <si>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</si>
  <si>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</si>
  <si>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</si>
  <si>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</si>
  <si>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</si>
  <si>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</si>
  <si>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</si>
  <si>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</si>
  <si>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</si>
  <si>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</si>
  <si>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</si>
  <si>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</si>
  <si>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</si>
  <si>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</si>
  <si>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</si>
  <si>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</si>
  <si>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</si>
  <si>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</si>
  <si>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</si>
  <si>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</si>
  <si>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</si>
  <si>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</si>
  <si>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</si>
  <si>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</si>
  <si>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</si>
  <si>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</si>
  <si>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</si>
  <si>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</si>
  <si>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</si>
  <si>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</si>
  <si>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</si>
  <si>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</si>
  <si>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</si>
  <si>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</si>
  <si>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</si>
  <si>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</si>
  <si>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</si>
  <si>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</si>
  <si>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</si>
  <si>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</si>
  <si>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</si>
  <si>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</si>
  <si>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</si>
  <si>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</si>
  <si>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</si>
  <si>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</si>
  <si>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</si>
  <si>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</si>
  <si>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</si>
  <si>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</si>
  <si>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</si>
  <si>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</si>
  <si>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</si>
  <si>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</si>
  <si>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</si>
  <si>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</si>
  <si>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</si>
  <si>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</si>
  <si>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</si>
  <si>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</si>
  <si>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</si>
  <si>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</si>
  <si>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</si>
  <si>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</si>
  <si>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</si>
  <si>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</si>
  <si>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</si>
  <si>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</si>
  <si>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</si>
  <si>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</si>
  <si>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</si>
  <si>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</si>
  <si>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</si>
  <si>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</si>
  <si>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</si>
  <si>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</si>
  <si>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</si>
  <si>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</si>
  <si>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</si>
  <si>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</si>
  <si>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</si>
  <si>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</si>
  <si>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</si>
  <si>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</si>
  <si>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</si>
  <si>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</si>
  <si>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</si>
  <si>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</si>
  <si>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</si>
  <si>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</si>
  <si>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</si>
  <si>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</si>
  <si>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</si>
  <si>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</si>
  <si>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</si>
  <si>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</si>
  <si>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</si>
  <si>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</si>
  <si>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</si>
  <si>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</si>
  <si>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</si>
  <si>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</si>
  <si>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</si>
  <si>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</si>
  <si>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</si>
  <si>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</si>
  <si>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</si>
  <si>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</si>
  <si>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</si>
  <si>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</si>
  <si>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</si>
  <si>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</si>
  <si>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</si>
  <si>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</si>
  <si>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</si>
  <si>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</si>
  <si>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</si>
  <si>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</si>
  <si>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</si>
  <si>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</si>
  <si>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</si>
  <si>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</si>
  <si>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</si>
  <si>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</si>
  <si>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</si>
  <si>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</si>
  <si>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</si>
  <si>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</si>
  <si>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</si>
  <si>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</si>
  <si>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</si>
  <si>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</si>
  <si>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</si>
  <si>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</si>
  <si>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</si>
  <si>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</si>
  <si>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</si>
  <si>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</si>
  <si>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</si>
  <si>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</si>
  <si>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</si>
  <si>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</si>
  <si>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</si>
  <si>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</si>
  <si>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</si>
  <si>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</si>
  <si>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</si>
  <si>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</si>
  <si>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</si>
  <si>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</si>
  <si>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</si>
  <si>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</si>
  <si>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</si>
  <si>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</si>
  <si>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</si>
  <si>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</si>
  <si>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</si>
  <si>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</si>
  <si>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</si>
  <si>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</si>
  <si>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</si>
  <si>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</si>
  <si>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</si>
  <si>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</si>
  <si>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</si>
  <si>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</si>
  <si>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</si>
  <si>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</si>
  <si>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</si>
  <si>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</si>
  <si>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</si>
  <si>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</si>
  <si>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</si>
  <si>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</si>
  <si>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</si>
  <si>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</si>
  <si>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</si>
  <si>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</si>
  <si>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</si>
  <si>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</si>
  <si>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</si>
  <si>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</si>
  <si>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</si>
  <si>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</si>
  <si>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</si>
  <si>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</si>
  <si>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</si>
  <si>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</si>
  <si>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</si>
  <si>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</si>
  <si>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</si>
  <si>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</si>
  <si>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</si>
  <si>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</si>
  <si>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</si>
  <si>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</si>
  <si>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</si>
  <si>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</si>
  <si>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</si>
  <si>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</si>
  <si>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</si>
  <si>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</si>
  <si>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</si>
  <si>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</si>
  <si>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</si>
  <si>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</si>
  <si>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</si>
  <si>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</si>
  <si>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</si>
  <si>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</si>
  <si>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</si>
  <si>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</si>
  <si>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</si>
  <si>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</si>
  <si>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</si>
  <si>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</si>
  <si>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</si>
  <si>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</si>
  <si>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</si>
  <si>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</si>
  <si>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</si>
  <si>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</si>
  <si>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</si>
  <si>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</si>
  <si>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</si>
  <si>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</si>
  <si>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</si>
  <si>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</si>
  <si>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</si>
  <si>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</si>
  <si>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</si>
  <si>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</si>
  <si>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</si>
  <si>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</si>
  <si>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</si>
  <si>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</si>
  <si>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</si>
  <si>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</si>
  <si>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</si>
  <si>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</si>
  <si>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</si>
  <si>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</si>
  <si>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</si>
  <si>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</si>
  <si>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</si>
  <si>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</si>
  <si>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</si>
  <si>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</si>
  <si>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</si>
  <si>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</si>
  <si>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</si>
  <si>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</si>
  <si>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</si>
  <si>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</si>
  <si>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</si>
  <si>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</si>
  <si>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</si>
  <si>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</si>
  <si>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</si>
  <si>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</si>
  <si>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</si>
  <si>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</si>
  <si>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</si>
  <si>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</si>
  <si>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</si>
  <si>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</si>
  <si>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</si>
  <si>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</si>
  <si>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</si>
  <si>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</si>
  <si>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</si>
  <si>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</si>
  <si>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</si>
  <si>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</si>
  <si>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</si>
  <si>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</si>
  <si>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</si>
  <si>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</si>
  <si>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</si>
  <si>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</si>
  <si>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</si>
  <si>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</si>
  <si>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</si>
  <si>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</si>
  <si>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</si>
  <si>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</si>
  <si>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</si>
  <si>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</si>
  <si>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</si>
  <si>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</si>
  <si>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</si>
  <si>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</si>
  <si>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</si>
  <si>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</si>
  <si>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</si>
  <si>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</si>
  <si>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</si>
  <si>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</si>
  <si>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</si>
  <si>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</si>
  <si>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</si>
  <si>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</si>
  <si>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</si>
  <si>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</si>
  <si>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</si>
  <si>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</si>
  <si>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</si>
  <si>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</si>
  <si>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</si>
  <si>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</si>
  <si>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</si>
  <si>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</si>
  <si>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</si>
  <si>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</si>
  <si>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</si>
  <si>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</si>
  <si>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</si>
  <si>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</si>
  <si>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</si>
  <si>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</si>
  <si>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</si>
  <si>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</si>
  <si>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</si>
  <si>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</si>
  <si>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</si>
  <si>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</si>
  <si>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</si>
  <si>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</si>
  <si>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</si>
  <si>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</si>
  <si>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</si>
  <si>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</si>
  <si>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</si>
  <si>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</si>
  <si>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</si>
  <si>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</si>
  <si>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</si>
  <si>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</si>
  <si>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</si>
  <si>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</si>
  <si>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</si>
  <si>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</si>
  <si>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</si>
  <si>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</si>
  <si>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</si>
  <si>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</si>
  <si>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</si>
  <si>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</si>
  <si>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</si>
  <si>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</si>
  <si>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</si>
  <si>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</si>
  <si>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</si>
  <si>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</si>
  <si>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</si>
  <si>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</si>
  <si>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</si>
  <si>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</si>
  <si>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</si>
  <si>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</si>
  <si>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</si>
  <si>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</si>
  <si>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</si>
  <si>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</si>
  <si>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</si>
  <si>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</si>
  <si>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</si>
  <si>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</si>
  <si>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</si>
  <si>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</si>
  <si>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</si>
  <si>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</si>
  <si>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</si>
  <si>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</si>
  <si>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</si>
  <si>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</si>
  <si>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</si>
  <si>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</si>
  <si>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</si>
  <si>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</si>
  <si>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</si>
  <si>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</si>
  <si>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</si>
  <si>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</si>
  <si>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</si>
  <si>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</si>
  <si>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</si>
  <si>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</si>
  <si>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</si>
  <si>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</si>
  <si>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</si>
  <si>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</si>
  <si>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</si>
  <si>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</si>
  <si>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</si>
  <si>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</si>
  <si>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</si>
  <si>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</si>
  <si>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</si>
  <si>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</si>
  <si>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</si>
  <si>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</si>
  <si>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</si>
  <si>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</si>
  <si>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</si>
  <si>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</si>
  <si>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</si>
  <si>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</si>
  <si>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</si>
  <si>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</si>
  <si>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</si>
  <si>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</si>
  <si>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</si>
  <si>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</si>
  <si>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</si>
  <si>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</si>
  <si>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</si>
  <si>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</si>
  <si>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</si>
  <si>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</si>
  <si>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</si>
  <si>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</si>
  <si>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</si>
  <si>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</si>
  <si>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</si>
  <si>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</si>
  <si>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</si>
  <si>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</si>
  <si>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</si>
  <si>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</si>
  <si>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</si>
  <si>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</si>
  <si>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</si>
  <si>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</si>
  <si>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</si>
  <si>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</si>
  <si>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</si>
  <si>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</si>
  <si>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</si>
  <si>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</si>
  <si>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</si>
  <si>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</si>
  <si>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</si>
  <si>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</si>
  <si>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</si>
  <si>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</si>
  <si>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</si>
  <si>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</si>
  <si>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</si>
  <si>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</si>
  <si>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</si>
  <si>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</si>
  <si>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</si>
  <si>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</si>
  <si>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</si>
  <si>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</si>
  <si>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</si>
  <si>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</si>
  <si>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</si>
  <si>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</si>
  <si>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</si>
  <si>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</si>
  <si>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</si>
  <si>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</si>
  <si>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</si>
  <si>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</si>
  <si>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</si>
  <si>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</si>
  <si>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</si>
  <si>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</si>
  <si>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</si>
  <si>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</si>
  <si>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</si>
  <si>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</si>
  <si>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</si>
  <si>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</si>
  <si>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</si>
  <si>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</si>
  <si>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</si>
  <si>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</si>
  <si>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</si>
  <si>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</si>
  <si>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</si>
  <si>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</si>
  <si>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</si>
  <si>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</si>
  <si>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</si>
  <si>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</si>
  <si>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</si>
  <si>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</si>
  <si>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</si>
  <si>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</si>
  <si>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</si>
  <si>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</si>
  <si>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</si>
  <si>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</si>
  <si>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</si>
  <si>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</si>
  <si>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</si>
  <si>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</si>
  <si>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</si>
  <si>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</si>
  <si>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</si>
  <si>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</si>
  <si>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</si>
  <si>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</si>
  <si>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</si>
  <si>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</si>
  <si>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</si>
  <si>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</si>
  <si>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</si>
  <si>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</si>
  <si>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</si>
  <si>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</si>
  <si>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</si>
  <si>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</si>
  <si>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</si>
  <si>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</si>
  <si>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</si>
  <si>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</si>
  <si>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</si>
  <si>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</si>
  <si>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</si>
  <si>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</si>
  <si>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</si>
  <si>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</si>
  <si>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</si>
  <si>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</si>
  <si>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</si>
  <si>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</si>
  <si>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</si>
  <si>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</si>
  <si>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</si>
  <si>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</si>
  <si>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</si>
  <si>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</si>
  <si>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</si>
  <si>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</si>
  <si>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</si>
  <si>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</si>
  <si>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</si>
  <si>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</si>
  <si>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</si>
  <si>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</si>
  <si>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</si>
  <si>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</si>
  <si>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</si>
  <si>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</si>
  <si>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</si>
  <si>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</si>
  <si>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</si>
  <si>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</si>
  <si>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</si>
  <si>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</si>
  <si>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</si>
  <si>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</si>
  <si>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</si>
  <si>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</si>
  <si>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</si>
  <si>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</si>
  <si>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</si>
  <si>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</si>
  <si>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</si>
  <si>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</si>
  <si>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</si>
  <si>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</si>
  <si>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</si>
  <si>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</si>
  <si>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</si>
  <si>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</si>
  <si>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</si>
  <si>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</si>
  <si>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</si>
  <si>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</si>
  <si>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</si>
  <si>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</si>
  <si>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</si>
  <si>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</si>
  <si>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</si>
  <si>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</si>
  <si>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</si>
  <si>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</si>
  <si>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</si>
  <si>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</si>
  <si>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</si>
  <si>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</si>
  <si>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</si>
  <si>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</si>
  <si>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</si>
  <si>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</si>
  <si>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</si>
  <si>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</si>
  <si>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</si>
  <si>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</si>
  <si>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</si>
  <si>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</si>
  <si>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</si>
  <si>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</si>
  <si>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</si>
  <si>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</si>
  <si>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</si>
  <si>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</si>
  <si>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</si>
  <si>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</si>
  <si>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</si>
  <si>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</si>
  <si>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</si>
  <si>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</si>
  <si>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</si>
  <si>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</si>
  <si>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</si>
  <si>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</si>
  <si>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</si>
  <si>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</si>
  <si>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</si>
  <si>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</si>
  <si>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</si>
  <si>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</si>
  <si>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</si>
  <si>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</si>
  <si>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</si>
  <si>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</si>
  <si>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</si>
  <si>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</si>
  <si>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</si>
  <si>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</si>
  <si>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</si>
  <si>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</si>
  <si>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</si>
  <si>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</si>
  <si>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</si>
  <si>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</si>
  <si>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</si>
  <si>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</si>
  <si>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</si>
  <si>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</si>
  <si>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</si>
  <si>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</si>
  <si>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</si>
  <si>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</si>
  <si>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</si>
  <si>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</si>
  <si>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</si>
  <si>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</si>
  <si>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</si>
  <si>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</si>
  <si>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</si>
  <si>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</si>
  <si>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</si>
  <si>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</si>
  <si>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</si>
  <si>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</si>
  <si>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</si>
  <si>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</si>
  <si>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</si>
  <si>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</si>
  <si>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</si>
  <si>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</si>
  <si>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</si>
  <si>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</si>
  <si>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</si>
  <si>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</si>
  <si>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</si>
  <si>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</si>
  <si>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</si>
  <si>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</si>
  <si>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</si>
  <si>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</si>
  <si>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</si>
  <si>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</si>
  <si>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</si>
  <si>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</si>
  <si>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</si>
  <si>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</si>
  <si>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</si>
  <si>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</si>
  <si>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</si>
  <si>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</si>
  <si>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</si>
  <si>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</si>
  <si>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</si>
  <si>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</si>
  <si>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</si>
  <si>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</si>
  <si>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</si>
  <si>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</si>
  <si>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</si>
  <si>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</si>
  <si>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</si>
  <si>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</si>
  <si>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</si>
  <si>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</si>
  <si>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</si>
  <si>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</si>
  <si>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</si>
  <si>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</si>
  <si>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</si>
  <si>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</si>
  <si>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</si>
  <si>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</si>
  <si>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</si>
  <si>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</si>
  <si>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</si>
  <si>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</si>
  <si>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</si>
  <si>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</si>
  <si>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</si>
  <si>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</si>
  <si>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</si>
  <si>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</si>
  <si>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</si>
  <si>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</si>
  <si>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</si>
  <si>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</si>
  <si>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</si>
  <si>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</si>
  <si>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</si>
  <si>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</si>
  <si>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</si>
  <si>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</si>
  <si>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</si>
  <si>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</si>
  <si>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</si>
  <si>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</si>
  <si>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</si>
  <si>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</si>
  <si>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</si>
  <si>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</si>
  <si>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</si>
  <si>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</si>
  <si>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</si>
  <si>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</si>
  <si>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</si>
  <si>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</si>
  <si>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</si>
  <si>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</si>
  <si>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</si>
  <si>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</si>
  <si>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</si>
  <si>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</si>
  <si>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</si>
  <si>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</si>
  <si>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</si>
  <si>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</si>
  <si>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</si>
  <si>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</si>
  <si>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</si>
  <si>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</si>
  <si>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</si>
  <si>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</si>
  <si>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</si>
  <si>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</si>
  <si>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</si>
  <si>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</si>
  <si>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</si>
  <si>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</si>
  <si>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</si>
  <si>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</si>
  <si>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</si>
  <si>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</si>
  <si>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</si>
  <si>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</si>
  <si>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</si>
  <si>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</si>
  <si>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</si>
  <si>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</si>
  <si>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</si>
  <si>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</si>
  <si>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</si>
  <si>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</si>
  <si>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</si>
  <si>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</si>
  <si>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</si>
  <si>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</si>
  <si>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</si>
  <si>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</si>
  <si>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</si>
  <si>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</si>
  <si>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</si>
  <si>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</si>
  <si>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</si>
  <si>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</si>
  <si>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</si>
  <si>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</si>
  <si>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</si>
  <si>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</si>
  <si>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</si>
  <si>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</si>
  <si>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</si>
  <si>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</si>
  <si>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</si>
  <si>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</si>
  <si>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</si>
  <si>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</si>
  <si>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</si>
  <si>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</si>
  <si>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</si>
  <si>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</si>
  <si>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</si>
  <si>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</si>
  <si>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</si>
  <si>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</si>
  <si>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</si>
  <si>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</si>
  <si>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</si>
  <si>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</si>
  <si>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</si>
  <si>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</si>
  <si>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</si>
  <si>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</si>
  <si>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</si>
  <si>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</si>
  <si>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</si>
  <si>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</si>
  <si>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</si>
  <si>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</si>
  <si>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</si>
  <si>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</si>
  <si>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</si>
  <si>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</si>
  <si>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</si>
  <si>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</si>
  <si>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</si>
  <si>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</si>
  <si>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</si>
  <si>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</si>
  <si>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</si>
  <si>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</si>
  <si>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</si>
  <si>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</si>
  <si>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</si>
  <si>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</si>
  <si>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</si>
  <si>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</si>
  <si>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</si>
  <si>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</si>
  <si>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</si>
  <si>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</si>
  <si>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</si>
  <si>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</si>
  <si>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</si>
  <si>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</si>
  <si>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</si>
  <si>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</si>
  <si>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</si>
  <si>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</si>
  <si>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</si>
  <si>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</si>
  <si>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</si>
  <si>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</si>
  <si>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</si>
  <si>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</si>
  <si>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</si>
  <si>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</si>
  <si>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</si>
  <si>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</si>
  <si>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</si>
  <si>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</si>
  <si>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</si>
  <si>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</si>
  <si>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</si>
  <si>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</si>
  <si>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</si>
  <si>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</si>
  <si>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</si>
  <si>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</si>
  <si>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</si>
  <si>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</si>
  <si>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</si>
  <si>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</si>
  <si>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</si>
  <si>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</si>
  <si>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</si>
  <si>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</si>
  <si>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</si>
  <si>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</si>
  <si>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</si>
  <si>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</si>
  <si>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</si>
  <si>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</si>
  <si>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</si>
  <si>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</si>
  <si>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</si>
  <si>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</si>
  <si>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</si>
  <si>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</si>
  <si>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</si>
  <si>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</si>
  <si>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</si>
  <si>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</si>
  <si>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</si>
  <si>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</si>
  <si>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</si>
  <si>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</si>
  <si>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</si>
  <si>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</si>
  <si>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</si>
  <si>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</si>
  <si>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</si>
  <si>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</si>
  <si>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</si>
  <si>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</si>
  <si>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</si>
  <si>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</si>
  <si>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</si>
  <si>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</si>
  <si>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</si>
  <si>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</si>
  <si>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</si>
  <si>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</si>
  <si>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</si>
  <si>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</si>
  <si>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</si>
  <si>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</si>
  <si>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</si>
  <si>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</si>
  <si>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</si>
  <si>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</si>
  <si>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</si>
  <si>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</si>
  <si>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</si>
  <si>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</si>
  <si>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</si>
  <si>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</si>
  <si>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</si>
  <si>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</si>
  <si>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</si>
  <si>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</si>
  <si>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</si>
  <si>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</si>
  <si>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</si>
  <si>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</si>
  <si>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</si>
  <si>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</si>
  <si>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</si>
  <si>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</si>
  <si>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</si>
  <si>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</si>
  <si>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</si>
  <si>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</si>
  <si>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</si>
  <si>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</si>
  <si>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</si>
  <si>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</si>
  <si>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</si>
  <si>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</si>
  <si>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</si>
  <si>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</si>
  <si>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</si>
  <si>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</si>
  <si>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</si>
  <si>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</si>
  <si>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</si>
  <si>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</si>
  <si>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</si>
  <si>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</si>
  <si>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</si>
  <si>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</si>
  <si>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</si>
  <si>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</si>
  <si>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</si>
  <si>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</si>
  <si>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</si>
  <si>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</si>
  <si>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</si>
  <si>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</si>
  <si>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</si>
  <si>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</si>
  <si>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</si>
  <si>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</si>
  <si>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</si>
  <si>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</si>
  <si>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</si>
  <si>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</si>
  <si>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</si>
  <si>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</si>
  <si>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</si>
  <si>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</si>
  <si>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</si>
  <si>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</si>
  <si>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</si>
  <si>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</si>
  <si>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</si>
  <si>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</si>
  <si>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</si>
  <si>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</si>
  <si>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</si>
  <si>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</si>
  <si>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</si>
  <si>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</si>
  <si>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</si>
  <si>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</si>
  <si>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</si>
  <si>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</si>
  <si>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</si>
  <si>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</si>
  <si>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</si>
  <si>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</si>
  <si>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</si>
  <si>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</si>
  <si>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</si>
  <si>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</si>
  <si>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</si>
  <si>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</si>
  <si>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</si>
  <si>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</si>
  <si>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</si>
  <si>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</si>
  <si>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</si>
  <si>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</si>
  <si>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</si>
  <si>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</si>
  <si>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</si>
  <si>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</si>
  <si>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</si>
  <si>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</si>
  <si>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</si>
  <si>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</si>
  <si>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</si>
  <si>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</si>
  <si>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</si>
  <si>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</si>
  <si>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</si>
  <si>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</si>
  <si>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</si>
  <si>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</si>
  <si>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</si>
  <si>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</si>
  <si>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</si>
  <si>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</si>
  <si>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</si>
  <si>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</si>
  <si>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</si>
  <si>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</si>
  <si>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</si>
  <si>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</si>
  <si>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</si>
  <si>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</si>
  <si>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</si>
  <si>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</si>
  <si>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</si>
  <si>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</si>
  <si>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</si>
  <si>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</si>
  <si>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</si>
  <si>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</si>
  <si>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</si>
  <si>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</si>
  <si>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</si>
  <si>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</si>
  <si>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</si>
  <si>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</si>
  <si>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</si>
  <si>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</si>
  <si>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</si>
  <si>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</si>
  <si>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</si>
  <si>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</si>
  <si>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</si>
  <si>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</si>
  <si>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</si>
  <si>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</si>
  <si>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</si>
  <si>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</si>
  <si>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</si>
  <si>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</si>
  <si>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</si>
  <si>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</si>
  <si>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</si>
  <si>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</si>
  <si>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</si>
  <si>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</si>
  <si>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</si>
  <si>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</si>
  <si>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</si>
  <si>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</si>
  <si>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</si>
  <si>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</si>
  <si>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</si>
  <si>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</si>
  <si>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</si>
  <si>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</si>
  <si>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</si>
  <si>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</si>
  <si>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</si>
  <si>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</si>
  <si>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</si>
  <si>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</si>
  <si>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</si>
  <si>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</si>
  <si>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</si>
  <si>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</si>
  <si>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</si>
  <si>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</si>
  <si>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</si>
  <si>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</si>
  <si>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</si>
  <si>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</si>
  <si>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</si>
  <si>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</si>
  <si>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</si>
  <si>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</si>
  <si>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</si>
  <si>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</si>
  <si>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</si>
  <si>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</si>
  <si>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</si>
  <si>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</si>
  <si>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</si>
  <si>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</si>
  <si>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</si>
  <si>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</si>
  <si>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</si>
  <si>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</si>
  <si>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</si>
  <si>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</si>
  <si>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</si>
  <si>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</si>
  <si>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</si>
  <si>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</si>
  <si>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</si>
  <si>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</si>
  <si>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</si>
  <si>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</si>
  <si>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</si>
  <si>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</si>
  <si>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</si>
  <si>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</si>
  <si>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</si>
  <si>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</si>
  <si>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</si>
  <si>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</si>
  <si>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</si>
  <si>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</si>
  <si>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</si>
  <si>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</si>
  <si>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</si>
  <si>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</si>
  <si>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</si>
  <si>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</si>
  <si>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</si>
  <si>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</si>
  <si>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</si>
  <si>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</si>
  <si>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</si>
  <si>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</si>
  <si>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</si>
  <si>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</si>
  <si>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</si>
  <si>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</si>
  <si>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</si>
  <si>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</si>
  <si>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</si>
  <si>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</si>
  <si>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</si>
  <si>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</si>
  <si>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</si>
  <si>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</si>
  <si>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</si>
  <si>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</si>
  <si>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</si>
  <si>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</si>
  <si>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</si>
  <si>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</si>
  <si>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</si>
  <si>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</si>
  <si>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</si>
  <si>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</si>
  <si>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</si>
  <si>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</si>
  <si>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</si>
  <si>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</si>
  <si>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</si>
  <si>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</si>
  <si>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</si>
  <si>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</si>
  <si>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</si>
  <si>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</si>
  <si>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</si>
  <si>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</si>
  <si>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</si>
  <si>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</si>
  <si>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</si>
  <si>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</si>
  <si>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</si>
  <si>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</si>
  <si>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</si>
  <si>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</si>
  <si>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</si>
  <si>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</si>
  <si>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</si>
  <si>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</si>
  <si>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</si>
  <si>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</si>
  <si>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</si>
  <si>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</si>
  <si>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</si>
  <si>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</si>
  <si>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</si>
  <si>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</si>
  <si>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</si>
  <si>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</si>
  <si>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</si>
  <si>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</si>
  <si>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</si>
  <si>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</si>
  <si>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</si>
  <si>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</si>
  <si>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</si>
  <si>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</si>
  <si>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</si>
  <si>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</si>
  <si>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</si>
  <si>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</si>
  <si>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</si>
  <si>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</si>
  <si>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</si>
  <si>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</si>
  <si>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</si>
  <si>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</si>
  <si>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</si>
  <si>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</si>
  <si>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</si>
  <si>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</si>
  <si>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</si>
  <si>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</si>
  <si>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</si>
  <si>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</si>
  <si>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</si>
  <si>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</si>
  <si>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</si>
  <si>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</si>
  <si>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</si>
  <si>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</si>
  <si>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</si>
  <si>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</si>
  <si>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</si>
  <si>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</si>
  <si>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</si>
  <si>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</si>
  <si>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</si>
  <si>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</si>
  <si>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</si>
  <si>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</si>
  <si>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</si>
  <si>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</si>
  <si>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</si>
  <si>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</si>
  <si>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</si>
  <si>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</si>
  <si>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</si>
  <si>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</si>
  <si>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</si>
  <si>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</si>
  <si>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</si>
  <si>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</si>
  <si>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</si>
  <si>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</si>
  <si>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</si>
  <si>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</si>
  <si>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</si>
  <si>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</si>
  <si>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</si>
  <si>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</si>
  <si>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</si>
  <si>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</si>
  <si>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</si>
  <si>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</si>
  <si>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</si>
  <si>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</si>
  <si>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</si>
  <si>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</si>
  <si>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</si>
  <si>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</si>
  <si>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</si>
  <si>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</si>
  <si>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</si>
  <si>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</si>
  <si>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</si>
  <si>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</si>
  <si>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</si>
  <si>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</si>
  <si>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</si>
  <si>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</si>
  <si>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</si>
  <si>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</si>
  <si>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</si>
  <si>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</si>
  <si>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</si>
  <si>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</si>
  <si>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</si>
  <si>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</si>
  <si>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</si>
  <si>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</si>
  <si>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</si>
  <si>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</si>
  <si>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</si>
  <si>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</si>
  <si>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</si>
  <si>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</si>
  <si>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</si>
  <si>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</si>
  <si>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</si>
  <si>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</si>
  <si>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</si>
  <si>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</si>
  <si>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</si>
  <si>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</si>
  <si>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</si>
  <si>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</si>
  <si>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</si>
  <si>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</si>
  <si>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</si>
  <si>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</si>
  <si>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</si>
  <si>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</si>
  <si>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</si>
  <si>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</si>
  <si>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</si>
  <si>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</si>
  <si>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</si>
  <si>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</si>
  <si>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</si>
  <si>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</si>
  <si>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</si>
  <si>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</si>
  <si>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</si>
  <si>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</si>
  <si>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</si>
  <si>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</si>
  <si>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</si>
  <si>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</si>
  <si>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</si>
  <si>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</si>
  <si>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</si>
  <si>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</si>
  <si>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</si>
  <si>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</si>
  <si>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</si>
  <si>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</si>
  <si>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</si>
  <si>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</si>
  <si>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</si>
  <si>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</si>
  <si>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</si>
  <si>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</si>
  <si>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</si>
  <si>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</si>
  <si>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</si>
  <si>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</si>
  <si>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</si>
  <si>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</si>
  <si>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</si>
  <si>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</si>
  <si>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</si>
  <si>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</si>
  <si>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</si>
  <si>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</si>
  <si>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</si>
  <si>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</si>
  <si>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</si>
  <si>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</si>
  <si>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</si>
  <si>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</si>
  <si>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</si>
  <si>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</si>
  <si>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</si>
  <si>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</si>
  <si>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</si>
  <si>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</si>
  <si>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</si>
  <si>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</si>
  <si>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</si>
  <si>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</si>
  <si>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</si>
  <si>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</si>
  <si>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</si>
  <si>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</si>
  <si>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</si>
  <si>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</si>
  <si>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</si>
  <si>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</si>
  <si>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</si>
  <si>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</si>
  <si>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</si>
  <si>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</si>
  <si>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</si>
  <si>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</si>
  <si>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</si>
  <si>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</si>
  <si>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</si>
  <si>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</si>
  <si>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</si>
  <si>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</si>
  <si>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</si>
  <si>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</si>
  <si>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</si>
  <si>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</si>
  <si>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</si>
  <si>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</si>
  <si>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</si>
  <si>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</si>
  <si>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</si>
  <si>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</si>
  <si>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</si>
  <si>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</si>
  <si>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</si>
  <si>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</si>
  <si>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</si>
  <si>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</si>
  <si>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</si>
  <si>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</si>
  <si>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</si>
  <si>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</si>
  <si>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</si>
  <si>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</si>
  <si>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</si>
  <si>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</si>
  <si>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</si>
  <si>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</si>
  <si>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</si>
  <si>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</si>
  <si>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</si>
  <si>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</si>
  <si>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</si>
  <si>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</si>
  <si>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</si>
  <si>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</si>
  <si>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</si>
  <si>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</si>
  <si>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</si>
  <si>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</si>
  <si>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</si>
  <si>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</si>
  <si>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</si>
  <si>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</si>
  <si>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</si>
  <si>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</si>
  <si>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</si>
  <si>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</si>
  <si>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</si>
  <si>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</si>
  <si>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</si>
  <si>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</si>
  <si>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</si>
  <si>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</si>
  <si>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</si>
  <si>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</si>
  <si>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</si>
  <si>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</si>
  <si>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</si>
  <si>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</si>
  <si>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</si>
  <si>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</si>
  <si>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</si>
  <si>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</si>
  <si>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</si>
  <si>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</si>
  <si>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</si>
  <si>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</si>
  <si>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</si>
  <si>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</si>
  <si>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</si>
  <si>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</si>
  <si>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</si>
  <si>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</si>
  <si>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</si>
  <si>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</si>
  <si>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</si>
  <si>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</si>
  <si>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</si>
  <si>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</si>
  <si>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</si>
  <si>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</si>
  <si>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</si>
  <si>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</si>
  <si>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</si>
  <si>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</si>
  <si>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</si>
  <si>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</si>
  <si>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</si>
  <si>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</si>
  <si>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</si>
  <si>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</si>
  <si>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</si>
  <si>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</si>
  <si>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</si>
  <si>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</si>
  <si>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</si>
  <si>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</si>
  <si>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</si>
  <si>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</si>
  <si>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</si>
  <si>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</si>
  <si>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</si>
  <si>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</si>
  <si>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</si>
  <si>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</si>
  <si>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</si>
  <si>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</si>
  <si>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</si>
  <si>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</si>
  <si>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</si>
  <si>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</si>
  <si>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</si>
  <si>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</si>
  <si>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</si>
  <si>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</si>
  <si>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</si>
  <si>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</si>
  <si>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</si>
  <si>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</si>
  <si>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</si>
  <si>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</si>
  <si>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</si>
  <si>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</si>
  <si>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</si>
  <si>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</si>
  <si>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</si>
  <si>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</si>
  <si>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</si>
  <si>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</si>
  <si>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</si>
  <si>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</si>
  <si>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</si>
  <si>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</si>
  <si>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</si>
  <si>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</si>
  <si>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</si>
  <si>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</si>
  <si>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</si>
  <si>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</si>
  <si>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</si>
  <si>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</si>
  <si>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</si>
  <si>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</si>
  <si>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</si>
  <si>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</si>
  <si>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</si>
  <si>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</si>
  <si>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</si>
  <si>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</si>
  <si>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</si>
  <si>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</si>
  <si>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</si>
  <si>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</si>
  <si>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</si>
  <si>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</si>
  <si>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</si>
  <si>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</si>
  <si>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</si>
  <si>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</si>
  <si>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</si>
  <si>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</si>
  <si>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</si>
  <si>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</si>
  <si>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</si>
  <si>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</si>
  <si>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</si>
  <si>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</si>
  <si>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</si>
  <si>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</si>
  <si>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</si>
  <si>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</si>
  <si>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</si>
  <si>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</si>
  <si>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</si>
  <si>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</si>
  <si>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</si>
  <si>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</si>
  <si>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</si>
  <si>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</si>
  <si>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</si>
  <si>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</si>
  <si>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</si>
  <si>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</si>
  <si>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</si>
  <si>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</si>
  <si>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</si>
  <si>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</si>
  <si>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</si>
  <si>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</si>
  <si>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</si>
  <si>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</si>
  <si>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</si>
  <si>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</si>
  <si>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</si>
  <si>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</si>
  <si>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</si>
  <si>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</si>
  <si>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</si>
  <si>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</si>
  <si>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</si>
  <si>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</si>
  <si>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</si>
  <si>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</si>
  <si>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</si>
  <si>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</si>
  <si>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</si>
  <si>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</si>
  <si>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</si>
  <si>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</si>
  <si>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</si>
  <si>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</si>
  <si>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</si>
  <si>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</si>
  <si>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</si>
  <si>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</si>
  <si>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</si>
  <si>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</si>
  <si>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</si>
  <si>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</si>
  <si>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</si>
  <si>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</si>
  <si>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</si>
  <si>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</si>
  <si>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</si>
  <si>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</si>
  <si>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</si>
  <si>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</si>
  <si>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</si>
  <si>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</si>
  <si>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</si>
  <si>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</si>
  <si>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</si>
  <si>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</si>
  <si>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</si>
  <si>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</si>
  <si>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</si>
  <si>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</si>
  <si>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</si>
  <si>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</si>
  <si>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</si>
  <si>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</si>
  <si>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</si>
  <si>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</si>
  <si>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</si>
  <si>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</si>
  <si>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</si>
  <si>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</si>
  <si>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</si>
  <si>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</si>
  <si>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</si>
  <si>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</si>
  <si>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</si>
  <si>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</si>
  <si>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</si>
  <si>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</si>
  <si>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</si>
  <si>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</si>
  <si>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</si>
  <si>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</si>
  <si>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</si>
  <si>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</si>
  <si>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</si>
  <si>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</si>
  <si>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</si>
  <si>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</si>
  <si>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</si>
  <si>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</si>
  <si>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</si>
  <si>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</si>
  <si>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</si>
  <si>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</si>
  <si>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</si>
  <si>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</si>
  <si>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</si>
  <si>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</si>
  <si>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</si>
  <si>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</si>
  <si>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</si>
  <si>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</si>
  <si>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</si>
  <si>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</si>
  <si>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</si>
  <si>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</si>
  <si>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</si>
  <si>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</si>
  <si>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</si>
  <si>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</si>
  <si>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</si>
  <si>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</si>
  <si>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</si>
  <si>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</si>
  <si>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</si>
  <si>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</si>
  <si>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</si>
  <si>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</si>
  <si>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</si>
  <si>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</si>
  <si>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</si>
  <si>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</si>
  <si>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</si>
  <si>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</si>
  <si>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</si>
  <si>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</si>
  <si>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</si>
  <si>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</si>
  <si>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</si>
  <si>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</si>
  <si>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</si>
  <si>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</si>
  <si>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</si>
  <si>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</si>
  <si>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</si>
  <si>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</si>
  <si>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</si>
  <si>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</si>
  <si>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</si>
  <si>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</si>
  <si>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</si>
  <si>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</si>
  <si>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</si>
  <si>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</si>
  <si>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</si>
  <si>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</si>
  <si>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</si>
  <si>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</si>
  <si>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</si>
  <si>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</si>
  <si>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</si>
  <si>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</si>
  <si>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</si>
  <si>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</si>
  <si>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</si>
  <si>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</si>
  <si>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</si>
  <si>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</si>
  <si>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</si>
  <si>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</si>
  <si>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</si>
  <si>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</si>
  <si>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</si>
  <si>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</si>
  <si>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</si>
  <si>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</si>
  <si>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</si>
  <si>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</si>
  <si>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</si>
  <si>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</si>
  <si>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</si>
  <si>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</si>
  <si>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</si>
  <si>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</si>
  <si>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</si>
  <si>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</si>
  <si>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</si>
  <si>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</si>
  <si>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</si>
  <si>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</si>
  <si>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</si>
  <si>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</si>
  <si>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</si>
  <si>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</si>
  <si>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</si>
  <si>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</si>
  <si>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</si>
  <si>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</si>
  <si>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</si>
  <si>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</si>
  <si>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</si>
  <si>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</si>
  <si>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</si>
  <si>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</si>
  <si>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</si>
  <si>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</si>
  <si>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</si>
  <si>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</si>
  <si>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</si>
  <si>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</si>
  <si>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</si>
  <si>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</si>
  <si>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</si>
  <si>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</si>
  <si>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</si>
  <si>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</si>
  <si>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</si>
  <si>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</si>
  <si>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</si>
  <si>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</si>
  <si>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</si>
  <si>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</si>
  <si>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</si>
  <si>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</si>
  <si>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</si>
  <si>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</si>
  <si>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</si>
  <si>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</si>
  <si>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</si>
  <si>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</si>
  <si>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</si>
  <si>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</si>
  <si>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</si>
  <si>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</si>
  <si>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</si>
  <si>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</si>
  <si>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</si>
  <si>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</si>
  <si>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</si>
  <si>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</si>
  <si>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</si>
  <si>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</si>
  <si>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</si>
  <si>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</si>
  <si>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</si>
  <si>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</si>
  <si>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</si>
  <si>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</si>
  <si>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</si>
  <si>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</si>
  <si>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</si>
  <si>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</si>
  <si>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</si>
  <si>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</si>
  <si>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</si>
  <si>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</si>
  <si>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</si>
  <si>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</si>
  <si>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</si>
  <si>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</si>
  <si>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</si>
  <si>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</si>
  <si>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</si>
  <si>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</si>
  <si>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</si>
  <si>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</si>
  <si>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</si>
  <si>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</si>
  <si>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</si>
  <si>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</si>
  <si>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</si>
  <si>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</si>
  <si>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</si>
  <si>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</si>
  <si>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</si>
  <si>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</si>
  <si>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</si>
  <si>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</si>
  <si>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</si>
  <si>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</si>
  <si>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</si>
  <si>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</si>
  <si>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</si>
  <si>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</si>
  <si>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</si>
  <si>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</si>
  <si>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</si>
  <si>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</si>
  <si>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</si>
  <si>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</si>
  <si>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</si>
  <si>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</si>
  <si>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</si>
  <si>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</si>
  <si>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</si>
  <si>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</si>
  <si>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</si>
  <si>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</si>
  <si>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</si>
  <si>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</si>
  <si>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</si>
  <si>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</si>
  <si>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</si>
  <si>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</si>
  <si>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</si>
  <si>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</si>
  <si>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</si>
  <si>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</si>
  <si>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</si>
  <si>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</si>
  <si>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</si>
  <si>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</si>
  <si>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</si>
  <si>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</si>
  <si>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</si>
  <si>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</si>
  <si>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</si>
  <si>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</si>
  <si>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</si>
  <si>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</si>
  <si>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</si>
  <si>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</si>
  <si>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</si>
  <si>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</si>
  <si>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</si>
  <si>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</si>
  <si>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</si>
  <si>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</si>
  <si>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</si>
  <si>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</si>
  <si>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</si>
  <si>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</si>
  <si>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</si>
  <si>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</si>
  <si>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</si>
  <si>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</si>
  <si>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</si>
  <si>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</si>
  <si>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</si>
  <si>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</si>
  <si>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</si>
  <si>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</si>
  <si>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</si>
  <si>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</si>
  <si>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</si>
  <si>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</si>
  <si>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</si>
  <si>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</si>
  <si>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</si>
  <si>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</si>
  <si>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</si>
  <si>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</si>
  <si>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</si>
  <si>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</si>
  <si>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</si>
  <si>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</si>
  <si>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</si>
  <si>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</si>
  <si>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</si>
  <si>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</si>
  <si>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</si>
  <si>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</si>
  <si>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</si>
  <si>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</si>
  <si>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</si>
  <si>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</si>
  <si>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</si>
  <si>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</si>
  <si>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</si>
  <si>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</si>
  <si>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</si>
  <si>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</si>
  <si>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</si>
  <si>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</si>
  <si>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</si>
  <si>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</si>
  <si>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</si>
  <si>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</si>
  <si>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</si>
  <si>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</si>
  <si>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</si>
  <si>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</si>
  <si>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</si>
  <si>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</si>
  <si>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</si>
  <si>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</si>
  <si>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</si>
  <si>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</si>
  <si>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</si>
  <si>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</si>
  <si>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</si>
  <si>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</si>
  <si>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</si>
  <si>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</si>
  <si>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</si>
  <si>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</si>
  <si>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</si>
  <si>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</si>
  <si>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</si>
  <si>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</si>
  <si>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</si>
  <si>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</si>
  <si>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</si>
  <si>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</si>
  <si>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</si>
  <si>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</si>
  <si>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</si>
  <si>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</si>
  <si>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</si>
  <si>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</si>
  <si>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</si>
  <si>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</si>
  <si>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</si>
  <si>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</si>
  <si>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</si>
  <si>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</si>
  <si>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</si>
  <si>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</si>
  <si>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</si>
  <si>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</si>
  <si>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</si>
  <si>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</si>
  <si>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</si>
  <si>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</si>
  <si>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</si>
  <si>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</si>
  <si>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</si>
  <si>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</si>
  <si>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</si>
  <si>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</si>
  <si>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</si>
  <si>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</si>
  <si>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</si>
  <si>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</si>
  <si>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</si>
  <si>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</si>
  <si>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</si>
  <si>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</si>
  <si>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</si>
  <si>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</si>
  <si>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</si>
  <si>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</si>
  <si>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</si>
  <si>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</si>
  <si>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</si>
  <si>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</si>
  <si>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</si>
  <si>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</si>
  <si>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</si>
  <si>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</si>
  <si>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</si>
  <si>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</si>
  <si>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</si>
  <si>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</si>
  <si>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</si>
  <si>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</si>
  <si>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</si>
  <si>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</si>
  <si>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</si>
  <si>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</si>
  <si>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</si>
  <si>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</si>
  <si>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</si>
  <si>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</si>
  <si>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</si>
  <si>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</si>
  <si>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</si>
  <si>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</si>
  <si>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</si>
  <si>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</si>
  <si>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</si>
  <si>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</si>
  <si>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</si>
  <si>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</si>
  <si>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</si>
  <si>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</si>
  <si>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</si>
  <si>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</si>
  <si>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</si>
  <si>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</si>
  <si>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</si>
  <si>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</si>
  <si>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</si>
  <si>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</si>
  <si>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</si>
  <si>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</si>
  <si>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</si>
  <si>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</si>
  <si>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</si>
  <si>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</si>
  <si>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</si>
  <si>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</si>
  <si>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</si>
  <si>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</si>
  <si>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</si>
  <si>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</si>
  <si>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</si>
  <si>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</si>
  <si>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</si>
  <si>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</si>
  <si>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</si>
  <si>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</si>
  <si>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</si>
  <si>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</si>
  <si>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</si>
  <si>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</si>
  <si>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</si>
  <si>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</si>
  <si>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</si>
  <si>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</si>
  <si>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</si>
  <si>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</si>
  <si>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</si>
  <si>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</si>
  <si>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</si>
  <si>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</si>
  <si>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</si>
  <si>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</si>
  <si>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</si>
  <si>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</si>
  <si>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</si>
  <si>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</si>
  <si>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</si>
  <si>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</si>
  <si>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</si>
  <si>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</si>
  <si>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</si>
  <si>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</si>
  <si>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</si>
  <si>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</si>
  <si>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</si>
  <si>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</si>
  <si>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</si>
  <si>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</si>
  <si>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</si>
  <si>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</si>
  <si>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</si>
  <si>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</si>
  <si>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</si>
  <si>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</si>
  <si>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</si>
  <si>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</si>
  <si>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</si>
  <si>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</si>
  <si>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</si>
  <si>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</si>
  <si>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</si>
  <si>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</si>
  <si>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</si>
  <si>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</si>
  <si>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</si>
  <si>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</si>
  <si>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</si>
  <si>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</si>
  <si>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</si>
  <si>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</si>
  <si>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</si>
  <si>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</si>
  <si>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</si>
  <si>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</si>
  <si>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</si>
  <si>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</si>
  <si>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</si>
  <si>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</si>
  <si>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</si>
  <si>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</si>
  <si>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</si>
  <si>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</si>
  <si>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</si>
  <si>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</si>
  <si>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</si>
  <si>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</si>
  <si>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</si>
  <si>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</si>
  <si>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</si>
  <si>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</si>
  <si>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</si>
  <si>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</si>
  <si>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</si>
  <si>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</si>
  <si>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</si>
  <si>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</si>
  <si>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</si>
  <si>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</si>
  <si>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</si>
  <si>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</si>
  <si>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</si>
  <si>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</si>
  <si>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</si>
  <si>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</si>
  <si>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</si>
  <si>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</si>
  <si>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</si>
  <si>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</si>
  <si>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</si>
  <si>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</si>
  <si>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</si>
  <si>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</si>
  <si>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</si>
  <si>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</si>
  <si>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</si>
  <si>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</si>
  <si>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</si>
  <si>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</si>
  <si>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</si>
  <si>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</si>
  <si>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</si>
  <si>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</si>
  <si>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</si>
  <si>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</si>
  <si>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</si>
  <si>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</si>
  <si>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</si>
  <si>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</si>
  <si>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</si>
  <si>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</si>
  <si>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</si>
  <si>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</si>
  <si>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</si>
  <si>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</si>
  <si>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</si>
  <si>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</si>
  <si>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</si>
  <si>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</si>
  <si>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</si>
  <si>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</si>
  <si>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</si>
  <si>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</si>
  <si>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</si>
  <si>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</si>
  <si>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</si>
  <si>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</si>
  <si>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</si>
  <si>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</si>
  <si>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</si>
  <si>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</si>
  <si>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</si>
  <si>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</si>
  <si>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</si>
  <si>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</si>
  <si>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</si>
  <si>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</si>
  <si>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</si>
  <si>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</si>
  <si>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</si>
  <si>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</si>
  <si>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</si>
  <si>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</si>
  <si>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</si>
  <si>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</si>
  <si>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</si>
  <si>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</si>
  <si>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</si>
  <si>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</si>
  <si>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</si>
  <si>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</si>
  <si>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</si>
  <si>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</si>
  <si>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</si>
  <si>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</si>
  <si>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</si>
  <si>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</si>
  <si>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</si>
  <si>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</si>
  <si>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</si>
  <si>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</si>
  <si>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</si>
  <si>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</si>
  <si>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</si>
  <si>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</si>
  <si>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</si>
  <si>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</si>
  <si>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</si>
  <si>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</si>
  <si>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</si>
  <si>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</si>
  <si>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</si>
  <si>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</si>
  <si>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</si>
  <si>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</si>
  <si>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</si>
  <si>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</si>
  <si>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</si>
  <si>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</si>
  <si>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</si>
  <si>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</si>
  <si>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</si>
  <si>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</si>
  <si>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</si>
  <si>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</si>
  <si>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</si>
  <si>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</si>
  <si>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</si>
  <si>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</si>
  <si>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</si>
  <si>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</si>
  <si>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</si>
  <si>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</si>
  <si>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</si>
  <si>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</si>
  <si>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</si>
  <si>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</si>
  <si>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</si>
  <si>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</si>
  <si>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</si>
  <si>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</si>
  <si>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</si>
  <si>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</si>
  <si>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</si>
  <si>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</si>
  <si>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</si>
  <si>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</si>
  <si>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</si>
  <si>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</si>
  <si>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</si>
  <si>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</si>
  <si>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</si>
  <si>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</si>
  <si>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</si>
  <si>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</si>
  <si>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</si>
  <si>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</si>
  <si>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</si>
  <si>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</si>
  <si>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</si>
  <si>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</si>
  <si>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</si>
  <si>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</si>
  <si>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</si>
  <si>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</si>
  <si>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</si>
  <si>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</si>
  <si>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</si>
  <si>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</si>
  <si>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</si>
  <si>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</si>
  <si>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</si>
  <si>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</si>
  <si>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</si>
  <si>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</si>
  <si>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</si>
  <si>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</si>
  <si>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</si>
  <si>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</si>
  <si>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</si>
  <si>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</si>
  <si>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</si>
  <si>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</si>
  <si>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</si>
  <si>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</si>
  <si>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</si>
  <si>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</si>
  <si>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</si>
  <si>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</si>
  <si>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</si>
  <si>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</si>
  <si>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</si>
  <si>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</si>
  <si>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</si>
  <si>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</si>
  <si>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</si>
  <si>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</si>
  <si>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</si>
  <si>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</si>
  <si>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</si>
  <si>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</si>
  <si>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</si>
  <si>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</si>
  <si>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</si>
  <si>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</si>
  <si>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</si>
  <si>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</si>
  <si>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</si>
  <si>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</si>
  <si>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</si>
  <si>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</si>
  <si>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</si>
  <si>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</si>
  <si>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</si>
  <si>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</si>
  <si>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</si>
  <si>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</si>
  <si>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</si>
  <si>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</si>
  <si>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</si>
  <si>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</si>
  <si>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</si>
  <si>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</si>
  <si>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</si>
  <si>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</si>
  <si>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</si>
  <si>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</si>
  <si>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</si>
  <si>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</si>
  <si>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</si>
  <si>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</si>
  <si>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</si>
  <si>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</si>
  <si>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</si>
  <si>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</si>
  <si>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</si>
  <si>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</si>
  <si>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</si>
  <si>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</si>
  <si>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</si>
  <si>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</si>
  <si>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</si>
  <si>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</si>
  <si>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</si>
  <si>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</si>
  <si>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</si>
  <si>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</si>
  <si>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</si>
  <si>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</si>
  <si>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</si>
  <si>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</si>
  <si>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</si>
  <si>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</si>
  <si>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</si>
  <si>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</si>
  <si>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</si>
  <si>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</si>
  <si>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</si>
  <si>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</si>
  <si>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</si>
  <si>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</si>
  <si>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</si>
  <si>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</si>
  <si>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</si>
  <si>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</si>
  <si>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</si>
  <si>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</si>
  <si>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</si>
  <si>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</si>
  <si>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</si>
  <si>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</si>
  <si>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</si>
  <si>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</si>
  <si>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</si>
  <si>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</si>
  <si>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</si>
  <si>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</si>
  <si>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</si>
  <si>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</si>
  <si>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</si>
  <si>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</si>
  <si>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</si>
  <si>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</si>
  <si>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</si>
  <si>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</si>
  <si>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</si>
  <si>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</si>
  <si>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</si>
  <si>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</si>
  <si>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</si>
  <si>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</si>
  <si>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</si>
  <si>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</si>
  <si>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</si>
  <si>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</si>
  <si>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</si>
  <si>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</si>
  <si>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</si>
  <si>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</si>
  <si>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</si>
  <si>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</si>
  <si>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</si>
  <si>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</si>
  <si>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</si>
  <si>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</si>
  <si>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</si>
  <si>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</si>
  <si>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</si>
  <si>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</si>
  <si>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</si>
  <si>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</si>
  <si>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</si>
  <si>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</si>
  <si>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</si>
  <si>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</si>
  <si>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</si>
  <si>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</si>
  <si>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</si>
  <si>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</si>
  <si>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</si>
  <si>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</si>
  <si>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</si>
  <si>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</si>
  <si>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</si>
  <si>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</si>
  <si>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</si>
  <si>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</si>
  <si>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</si>
  <si>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</si>
  <si>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</si>
  <si>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</si>
  <si>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</si>
  <si>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</si>
  <si>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</si>
  <si>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</si>
  <si>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</si>
  <si>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</si>
  <si>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</si>
  <si>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</si>
  <si>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</si>
  <si>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</si>
  <si>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</si>
  <si>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</si>
  <si>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</si>
  <si>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</si>
  <si>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</si>
  <si>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</si>
  <si>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</si>
  <si>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</si>
  <si>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</si>
  <si>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</si>
  <si>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</si>
  <si>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</si>
  <si>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</si>
  <si>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</si>
  <si>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</si>
  <si>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</si>
  <si>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</si>
  <si>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</si>
  <si>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</si>
  <si>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</si>
  <si>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</si>
  <si>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</si>
  <si>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</si>
  <si>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</si>
  <si>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</si>
  <si>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</si>
  <si>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</si>
  <si>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</si>
  <si>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</si>
  <si>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</si>
  <si>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</si>
  <si>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</si>
  <si>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</si>
  <si>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</si>
  <si>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</si>
  <si>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</si>
  <si>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</si>
  <si>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</si>
  <si>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</si>
  <si>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</si>
  <si>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</si>
  <si>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</si>
  <si>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</si>
  <si>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</si>
  <si>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</si>
  <si>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</si>
  <si>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</si>
  <si>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</si>
  <si>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</si>
  <si>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</si>
  <si>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</si>
  <si>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</si>
  <si>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</si>
  <si>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</si>
  <si>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</si>
  <si>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</si>
  <si>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</si>
  <si>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</si>
  <si>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</si>
  <si>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</si>
  <si>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</si>
  <si>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</si>
  <si>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</si>
  <si>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</si>
  <si>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</si>
  <si>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</si>
  <si>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</si>
  <si>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</si>
  <si>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</si>
  <si>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</si>
  <si>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</si>
  <si>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</si>
  <si>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</si>
  <si>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</si>
  <si>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</si>
  <si>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</si>
  <si>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</si>
  <si>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</si>
  <si>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</si>
  <si>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</si>
  <si>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</si>
  <si>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</si>
  <si>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</si>
  <si>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</si>
  <si>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</si>
  <si>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</si>
  <si>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</si>
  <si>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</si>
  <si>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</si>
  <si>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</si>
  <si>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</si>
  <si>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</si>
  <si>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</si>
  <si>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</si>
  <si>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</si>
  <si>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</si>
  <si>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</si>
  <si>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</si>
  <si>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</si>
  <si>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</si>
  <si>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</si>
  <si>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</si>
  <si>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</si>
  <si>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</si>
  <si>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</si>
  <si>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</si>
  <si>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</si>
  <si>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</si>
  <si>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</si>
  <si>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</si>
  <si>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</si>
  <si>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</si>
  <si>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</si>
  <si>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</si>
  <si>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</si>
  <si>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</si>
  <si>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</si>
  <si>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</si>
  <si>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</si>
  <si>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</si>
  <si>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</si>
  <si>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</si>
  <si>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</si>
  <si>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</si>
  <si>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</si>
  <si>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</si>
  <si>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</si>
  <si>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</si>
  <si>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</si>
  <si>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</si>
  <si>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</si>
  <si>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</si>
  <si>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</si>
  <si>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</si>
  <si>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</si>
  <si>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</si>
  <si>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</si>
  <si>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</si>
  <si>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</si>
  <si>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</si>
  <si>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</si>
  <si>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</si>
  <si>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</si>
  <si>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</si>
  <si>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</si>
  <si>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</si>
  <si>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</si>
  <si>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</si>
  <si>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</si>
  <si>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</si>
  <si>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</si>
  <si>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</si>
  <si>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</si>
  <si>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</si>
  <si>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</si>
  <si>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</si>
  <si>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</si>
  <si>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</si>
  <si>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</si>
  <si>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</si>
  <si>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</si>
  <si>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</si>
  <si>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</si>
  <si>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</si>
  <si>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</si>
  <si>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</si>
  <si>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</si>
  <si>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</si>
  <si>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</si>
  <si>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</si>
  <si>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</si>
  <si>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</si>
  <si>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</si>
  <si>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</si>
  <si>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</si>
  <si>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</si>
  <si>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</si>
  <si>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</si>
  <si>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</si>
  <si>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</si>
  <si>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</si>
  <si>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</si>
  <si>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</si>
  <si>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</si>
  <si>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</si>
  <si>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</si>
  <si>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</si>
  <si>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</si>
  <si>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</si>
  <si>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</si>
  <si>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</si>
  <si>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</si>
  <si>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</si>
  <si>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</si>
  <si>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</si>
  <si>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</si>
  <si>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</si>
  <si>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</si>
  <si>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</si>
  <si>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</si>
  <si>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</si>
  <si>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</si>
  <si>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</si>
  <si>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</si>
  <si>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</si>
  <si>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</si>
  <si>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</si>
  <si>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</si>
  <si>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</si>
  <si>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</si>
  <si>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</si>
  <si>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</si>
  <si>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</si>
  <si>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</si>
  <si>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</si>
  <si>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</si>
  <si>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</si>
  <si>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</si>
  <si>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</si>
  <si>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</si>
  <si>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</si>
  <si>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</si>
  <si>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</si>
  <si>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</si>
  <si>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</si>
  <si>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</si>
  <si>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</si>
  <si>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</si>
  <si>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</si>
  <si>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</si>
  <si>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</si>
  <si>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</si>
  <si>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</si>
  <si>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</si>
  <si>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</si>
  <si>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</si>
  <si>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</si>
  <si>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</si>
  <si>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</si>
  <si>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</si>
  <si>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</si>
  <si>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</si>
  <si>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</si>
  <si>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</si>
  <si>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</si>
  <si>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</si>
  <si>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</si>
  <si>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</si>
  <si>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</si>
  <si>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</si>
  <si>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</si>
  <si>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</si>
  <si>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</si>
  <si>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</si>
  <si>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</si>
  <si>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</si>
  <si>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</si>
  <si>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患者ID一覧マスタ</t>
    <rPh sb="0" eb="2">
      <t>カンジャ</t>
    </rPh>
    <rPh sb="4" eb="6">
      <t>イチラン</t>
    </rPh>
    <phoneticPr fontId="8"/>
  </si>
  <si>
    <t>31_C1-02</t>
  </si>
  <si>
    <t>31_C1-03</t>
  </si>
  <si>
    <t>31_C1-05</t>
  </si>
  <si>
    <t>31_C1-07</t>
  </si>
  <si>
    <t>31_C1-08</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</si>
  <si>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</si>
  <si>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</si>
  <si>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</si>
  <si>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</si>
  <si>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</si>
  <si>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</si>
  <si>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</si>
  <si>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</si>
  <si>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</si>
  <si>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</si>
  <si>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</si>
  <si>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</si>
  <si>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</si>
  <si>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</si>
  <si>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</si>
  <si>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</si>
  <si>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</si>
  <si>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</si>
  <si>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</si>
  <si>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</si>
  <si>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</si>
  <si>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</si>
  <si>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</si>
  <si>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</si>
  <si>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</si>
  <si>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</si>
  <si>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</si>
  <si>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</si>
  <si>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</si>
  <si>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</si>
  <si>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</si>
  <si>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</si>
  <si>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</si>
  <si>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</si>
  <si>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</si>
  <si>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</si>
  <si>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</si>
  <si>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</si>
  <si>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</si>
  <si>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</si>
  <si>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</si>
  <si>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</si>
  <si>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</si>
  <si>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</si>
  <si>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</si>
  <si>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</si>
  <si>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</si>
  <si>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</si>
  <si>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</si>
  <si>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</si>
  <si>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</si>
  <si>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表示名</t>
    <rPh sb="0" eb="2">
      <t>ヒョウジ</t>
    </rPh>
    <rPh sb="2" eb="3">
      <t>メイ</t>
    </rPh>
    <phoneticPr fontId="0"/>
  </si>
  <si>
    <t>disp_name</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</si>
  <si>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</si>
  <si>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</si>
  <si>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</si>
  <si>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</si>
  <si>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</si>
  <si>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</si>
  <si>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</si>
  <si>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</si>
  <si>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</si>
  <si>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</si>
  <si>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</si>
  <si>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</si>
  <si>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</si>
  <si>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</si>
  <si>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</si>
  <si>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</si>
  <si>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</si>
  <si>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</si>
  <si>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</si>
  <si>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</si>
  <si>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</si>
  <si>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</si>
  <si>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</si>
  <si>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</si>
  <si>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</si>
  <si>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</si>
  <si>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</si>
  <si>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</si>
  <si>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</si>
  <si>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</si>
  <si>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</si>
  <si>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</si>
  <si>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紐付けID</t>
    <rPh sb="0" eb="2">
      <t>ヒモヅ</t>
    </rPh>
    <phoneticPr fontId="2"/>
  </si>
  <si>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</si>
  <si>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</si>
  <si>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</si>
  <si>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</si>
  <si>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</si>
  <si>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</si>
  <si>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</si>
  <si>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</si>
  <si>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</si>
  <si>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</si>
  <si>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</si>
  <si>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</si>
  <si>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</si>
  <si>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</si>
  <si>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</si>
  <si>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</si>
  <si>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</si>
  <si>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</si>
  <si>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</si>
  <si>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</si>
  <si>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</si>
  <si>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</si>
  <si>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</si>
  <si>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</si>
  <si>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</si>
  <si>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</si>
  <si>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</si>
  <si>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</si>
  <si>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</si>
  <si>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</si>
  <si>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icd10_ss_cd</t>
    <phoneticPr fontId="8"/>
  </si>
  <si>
    <t>icd10_ss_name</t>
    <phoneticPr fontId="8"/>
  </si>
  <si>
    <t>バックアップ_処理対象施設マスタ</t>
    <rPh sb="7" eb="9">
      <t>ショリ</t>
    </rPh>
    <rPh sb="9" eb="11">
      <t>タイショウ</t>
    </rPh>
    <rPh sb="11" eb="13">
      <t>シセツ</t>
    </rPh>
    <phoneticPr fontId="8"/>
  </si>
  <si>
    <t>バックアップ_MML_検歴情報モジュール_本文</t>
    <phoneticPr fontId="8"/>
  </si>
  <si>
    <t>バックアップ_MML_検歴情報モジュール_報告コメント</t>
    <phoneticPr fontId="8"/>
  </si>
  <si>
    <t>バックアップ_MML_検歴情報モジュール_検体検査結果情報</t>
    <phoneticPr fontId="8"/>
  </si>
  <si>
    <t>バックアップ_MML_検歴情報モジュール_検体コメント</t>
    <phoneticPr fontId="8"/>
  </si>
  <si>
    <t>ENT_01_A6-18</t>
    <phoneticPr fontId="8"/>
  </si>
  <si>
    <t>ENT_01_A6-19</t>
    <phoneticPr fontId="8"/>
  </si>
  <si>
    <t>ENT_01_A6-20</t>
    <phoneticPr fontId="8"/>
  </si>
  <si>
    <t>ENT_01_A6-21</t>
    <phoneticPr fontId="8"/>
  </si>
  <si>
    <t>ENT_01_A6-22</t>
    <phoneticPr fontId="8"/>
  </si>
  <si>
    <t>ENT_01_A6-23</t>
    <phoneticPr fontId="8"/>
  </si>
  <si>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</si>
  <si>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</si>
  <si>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</si>
  <si>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</si>
  <si>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</si>
  <si>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</si>
  <si>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</si>
  <si>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</si>
  <si>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</si>
  <si>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</si>
  <si>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</si>
  <si>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</si>
  <si>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</si>
  <si>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</si>
  <si>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</si>
  <si>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</si>
  <si>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</si>
  <si>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</si>
  <si>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</si>
  <si>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</si>
  <si>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</si>
  <si>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</si>
  <si>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</si>
  <si>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</si>
  <si>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</si>
  <si>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</si>
  <si>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</si>
  <si>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</si>
  <si>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</si>
  <si>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</si>
  <si>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</si>
  <si>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</si>
  <si>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</si>
  <si>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</si>
  <si>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</si>
  <si>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</si>
  <si>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</si>
  <si>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</si>
  <si>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</si>
  <si>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</si>
  <si>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</si>
  <si>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</si>
  <si>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</si>
  <si>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</si>
  <si>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</si>
  <si>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</si>
  <si>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</si>
  <si>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</si>
  <si>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</si>
  <si>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</si>
  <si>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</si>
  <si>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</si>
  <si>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バックアップ_MML_検歴情報モジュール_検査項目</t>
    <phoneticPr fontId="8"/>
  </si>
  <si>
    <t>バックアップ_MML_検歴情報モジュール_検査項目コメント</t>
    <phoneticPr fontId="8"/>
  </si>
  <si>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</si>
  <si>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</si>
  <si>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</si>
  <si>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</si>
  <si>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</si>
  <si>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</si>
  <si>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</si>
  <si>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</si>
  <si>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</si>
  <si>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</si>
  <si>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</si>
  <si>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</si>
  <si>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</si>
  <si>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</si>
  <si>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</si>
  <si>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</si>
  <si>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</si>
  <si>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</si>
  <si>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</si>
  <si>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</si>
  <si>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</si>
  <si>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</si>
  <si>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</si>
  <si>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</si>
  <si>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</si>
  <si>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</si>
  <si>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</si>
  <si>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</si>
  <si>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</si>
  <si>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</si>
  <si>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</si>
  <si>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</si>
  <si>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</si>
  <si>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</si>
  <si>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</si>
  <si>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H：上限値超え
N：基準値範囲内
L：下限値未満
A：異常</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</si>
  <si>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</si>
  <si>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</si>
  <si>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</si>
  <si>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</si>
  <si>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</si>
  <si>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</si>
  <si>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</si>
  <si>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</si>
  <si>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</si>
  <si>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</si>
  <si>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01_A6-02-01</t>
    <phoneticPr fontId="8"/>
  </si>
  <si>
    <t>バックアップ_MML共通_名古屋第一_Lb登録</t>
    <rPh sb="13" eb="18">
      <t>ナゴヤダイイチ</t>
    </rPh>
    <phoneticPr fontId="8"/>
  </si>
  <si>
    <t>01_A6-18</t>
    <phoneticPr fontId="8"/>
  </si>
  <si>
    <t>MML_検歴情報モジュール_本文</t>
    <rPh sb="4" eb="6">
      <t>ケンレキ</t>
    </rPh>
    <rPh sb="6" eb="8">
      <t>ジョウホウ</t>
    </rPh>
    <rPh sb="14" eb="16">
      <t>ホンブン</t>
    </rPh>
    <phoneticPr fontId="11"/>
  </si>
  <si>
    <t>01_A6-19</t>
    <phoneticPr fontId="8"/>
  </si>
  <si>
    <t>MML_検歴情報モジュール_報告コメント</t>
    <rPh sb="4" eb="6">
      <t>ケンレキ</t>
    </rPh>
    <rPh sb="6" eb="8">
      <t>ジョウホウ</t>
    </rPh>
    <rPh sb="14" eb="16">
      <t>ホウコク</t>
    </rPh>
    <phoneticPr fontId="11"/>
  </si>
  <si>
    <t>01_A6-20</t>
    <phoneticPr fontId="8"/>
  </si>
  <si>
    <t>MML_検歴情報モジュール_検体検査結果情報</t>
    <phoneticPr fontId="11"/>
  </si>
  <si>
    <t>01_A6-21</t>
    <phoneticPr fontId="8"/>
  </si>
  <si>
    <t>MML_検歴情報モジュール_検体コメント</t>
    <phoneticPr fontId="11"/>
  </si>
  <si>
    <t>01_A6-22</t>
    <phoneticPr fontId="8"/>
  </si>
  <si>
    <t>MML_検歴情報モジュール_検査項目</t>
    <phoneticPr fontId="11"/>
  </si>
  <si>
    <t>01_A6-23</t>
    <phoneticPr fontId="8"/>
  </si>
  <si>
    <t>MML_検歴情報モジュール_検査項目コメント</t>
    <phoneticPr fontId="11"/>
  </si>
  <si>
    <t>バックアップ_MML_検歴情報モジュール_本文</t>
    <phoneticPr fontId="8"/>
  </si>
  <si>
    <t>バックアップ_MML_検歴情報モジュール_検体検査結果情報</t>
    <phoneticPr fontId="8"/>
  </si>
  <si>
    <t>バックアップ_MML_検歴情報モジュール_検査項目</t>
    <phoneticPr fontId="8"/>
  </si>
  <si>
    <t>11_08</t>
    <phoneticPr fontId="8"/>
  </si>
  <si>
    <t>specimen_name</t>
    <phoneticPr fontId="8"/>
  </si>
  <si>
    <t>バックアップ_処理対象施設マスタテーブルから組入れ条件で絞り込んだ結果を格納するテーブル</t>
    <phoneticPr fontId="8"/>
  </si>
  <si>
    <t>検査マスタ_組入れ.tsvを登録するテーブル</t>
    <phoneticPr fontId="8"/>
  </si>
  <si>
    <t>検査マスタ_組入れ.tsvを組入れ_検体検査マスタテーブルに登録する。</t>
    <rPh sb="30" eb="32">
      <t>トウロク</t>
    </rPh>
    <phoneticPr fontId="8"/>
  </si>
  <si>
    <t>バックアップ_疾患データ_組み入れ第一条件テーブルから組入れ条件で絞り込んだ結果を格納するテーブル</t>
    <phoneticPr fontId="8"/>
  </si>
  <si>
    <t>バックアップ_診療行為データテーブルから組入れ条件で絞り込んだ結果を格納するテーブル</t>
    <phoneticPr fontId="8"/>
  </si>
  <si>
    <t>組入れ_対象疾患テーブルから組入れ条件で絞り込んだ結果を格納するテーブル</t>
    <rPh sb="0" eb="2">
      <t>クミイ</t>
    </rPh>
    <rPh sb="4" eb="6">
      <t>タイショウ</t>
    </rPh>
    <rPh sb="6" eb="8">
      <t>シッカン</t>
    </rPh>
    <rPh sb="14" eb="16">
      <t>クミイ</t>
    </rPh>
    <rPh sb="17" eb="19">
      <t>ジョウケン</t>
    </rPh>
    <rPh sb="20" eb="21">
      <t>シボ</t>
    </rPh>
    <rPh sb="22" eb="23">
      <t>コ</t>
    </rPh>
    <rPh sb="25" eb="27">
      <t>ケッカ</t>
    </rPh>
    <rPh sb="28" eb="30">
      <t>カクノウ</t>
    </rPh>
    <phoneticPr fontId="8"/>
  </si>
  <si>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</si>
  <si>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</si>
  <si>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</si>
  <si>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</si>
  <si>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</si>
  <si>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</si>
  <si>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31_A6-18</t>
    <phoneticPr fontId="8"/>
  </si>
  <si>
    <t>バックアップ_MML_検歴情報モジュール_本文</t>
    <phoneticPr fontId="11"/>
  </si>
  <si>
    <t>31_A6-19</t>
    <phoneticPr fontId="8"/>
  </si>
  <si>
    <t>バックアップ_MML_検歴情報モジュール_報告コメント</t>
    <phoneticPr fontId="11"/>
  </si>
  <si>
    <t>31_A6-20</t>
    <phoneticPr fontId="8"/>
  </si>
  <si>
    <t>バックアップ_MML_検歴情報モジュール_検体検査結果情報</t>
    <phoneticPr fontId="11"/>
  </si>
  <si>
    <t>31_A6-21</t>
    <phoneticPr fontId="8"/>
  </si>
  <si>
    <t>バックアップ_MML_検歴情報モジュール_検体コメント</t>
    <phoneticPr fontId="11"/>
  </si>
  <si>
    <t>31_A6-22</t>
    <phoneticPr fontId="8"/>
  </si>
  <si>
    <t>バックアップ_MML_検歴情報モジュール_検査項目</t>
    <phoneticPr fontId="11"/>
  </si>
  <si>
    <t>31_A6-23</t>
    <phoneticPr fontId="8"/>
  </si>
  <si>
    <t>バックアップ_MML_検歴情報モジュール_検査項目コメント</t>
    <phoneticPr fontId="11"/>
  </si>
  <si>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</si>
  <si>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</si>
  <si>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</si>
  <si>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</si>
  <si>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</si>
  <si>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</si>
  <si>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11_01-01</t>
    <phoneticPr fontId="8"/>
  </si>
  <si>
    <t>usage_start</t>
    <phoneticPr fontId="8"/>
  </si>
  <si>
    <t>usage_end</t>
    <phoneticPr fontId="8"/>
  </si>
  <si>
    <t>※【要件定義書】サノフィ様_MM.xlsx参照</t>
    <rPh sb="21" eb="23">
      <t>サンショウ</t>
    </rPh>
    <phoneticPr fontId="8"/>
  </si>
  <si>
    <t>11_05-01</t>
    <phoneticPr fontId="8"/>
  </si>
  <si>
    <t>組入れ_対象検体検査_対象患者</t>
    <rPh sb="4" eb="6">
      <t>タイショウ</t>
    </rPh>
    <rPh sb="6" eb="10">
      <t>ケンタイケンサ</t>
    </rPh>
    <rPh sb="11" eb="13">
      <t>タイショウ</t>
    </rPh>
    <rPh sb="13" eb="15">
      <t>カンジャ</t>
    </rPh>
    <phoneticPr fontId="8"/>
  </si>
  <si>
    <t>組入れ_対象検体検査_対象患者</t>
    <rPh sb="11" eb="15">
      <t>タイショウカンジャ</t>
    </rPh>
    <phoneticPr fontId="8"/>
  </si>
  <si>
    <t>組入れ_対象検体検査_対象患者</t>
    <phoneticPr fontId="8"/>
  </si>
  <si>
    <t>検査データのテーブルから組入れ条件（対象期間、表示名の種類）で絞り込んだ結果を登録するテーブル</t>
    <rPh sb="0" eb="2">
      <t>ケンサ</t>
    </rPh>
    <rPh sb="18" eb="22">
      <t>タイショウキカン</t>
    </rPh>
    <rPh sb="23" eb="26">
      <t>ヒョウジメイ</t>
    </rPh>
    <rPh sb="27" eb="29">
      <t>シュルイ</t>
    </rPh>
    <phoneticPr fontId="8"/>
  </si>
  <si>
    <t>日付</t>
    <rPh sb="0" eb="2">
      <t>ヒヅケ</t>
    </rPh>
    <phoneticPr fontId="1"/>
  </si>
  <si>
    <t>ENT_31_A1-02</t>
    <phoneticPr fontId="8"/>
  </si>
  <si>
    <t>ENT_31_A1-03</t>
    <phoneticPr fontId="8"/>
  </si>
  <si>
    <t>ENT_31_A1-06</t>
    <phoneticPr fontId="8"/>
  </si>
  <si>
    <t>ENT_31_A1-14</t>
    <phoneticPr fontId="8"/>
  </si>
  <si>
    <t>ENT_31_A6-02</t>
    <phoneticPr fontId="8"/>
  </si>
  <si>
    <t>ENT_31_A6-03</t>
    <phoneticPr fontId="8"/>
  </si>
  <si>
    <t>ENT_31_A6-04</t>
    <phoneticPr fontId="8"/>
  </si>
  <si>
    <t>ENT_31_A6-24</t>
    <phoneticPr fontId="8"/>
  </si>
  <si>
    <t>ENT_31_A6-25</t>
    <phoneticPr fontId="8"/>
  </si>
  <si>
    <t>ENT_31_A6-26</t>
    <phoneticPr fontId="8"/>
  </si>
  <si>
    <t>ENT_31_C1-02</t>
    <phoneticPr fontId="8"/>
  </si>
  <si>
    <t>ENT_31_C1-03</t>
    <phoneticPr fontId="8"/>
  </si>
  <si>
    <t>ENT_31_C1-05</t>
    <phoneticPr fontId="8"/>
  </si>
  <si>
    <t>ENT_31_C1-07</t>
    <phoneticPr fontId="8"/>
  </si>
  <si>
    <t>ENT_31_C1-08</t>
    <phoneticPr fontId="8"/>
  </si>
  <si>
    <t>ENT_31_C4-03</t>
    <phoneticPr fontId="8"/>
  </si>
  <si>
    <t>ENT_31_C4-04</t>
    <phoneticPr fontId="8"/>
  </si>
  <si>
    <t>ENT_31_C4-06</t>
    <phoneticPr fontId="8"/>
  </si>
  <si>
    <t>ENT_31_C4-07</t>
    <phoneticPr fontId="8"/>
  </si>
  <si>
    <t>ENT_31_C4-08</t>
    <phoneticPr fontId="8"/>
  </si>
  <si>
    <t>ENT_31_C4-15</t>
    <phoneticPr fontId="8"/>
  </si>
  <si>
    <t>ENT_31_C4-22</t>
    <phoneticPr fontId="8"/>
  </si>
  <si>
    <t>ENT_31_C4-23</t>
    <phoneticPr fontId="8"/>
  </si>
  <si>
    <t>ENT_31_C4-24</t>
    <phoneticPr fontId="8"/>
  </si>
  <si>
    <t>ENT_31_C4-25</t>
    <phoneticPr fontId="8"/>
  </si>
  <si>
    <t>ENT_31_C4-29</t>
    <phoneticPr fontId="8"/>
  </si>
  <si>
    <t>ENT_31_C4-30</t>
    <phoneticPr fontId="8"/>
  </si>
  <si>
    <t>ENT_31_C4-31</t>
    <phoneticPr fontId="8"/>
  </si>
  <si>
    <t>ENT_31_C4-33</t>
    <phoneticPr fontId="8"/>
  </si>
  <si>
    <t>ENT_31_C4-35</t>
    <phoneticPr fontId="8"/>
  </si>
  <si>
    <t>ENT_31_A6-18</t>
    <phoneticPr fontId="8"/>
  </si>
  <si>
    <t>ENT_31_A6-19</t>
    <phoneticPr fontId="8"/>
  </si>
  <si>
    <t>ENT_31_A6-20</t>
    <phoneticPr fontId="8"/>
  </si>
  <si>
    <t>ENT_31_A6-21</t>
    <phoneticPr fontId="8"/>
  </si>
  <si>
    <t>ENT_31_A6-22</t>
    <phoneticPr fontId="8"/>
  </si>
  <si>
    <t>ENT_31_A6-23</t>
    <phoneticPr fontId="8"/>
  </si>
  <si>
    <t>YYYYMM形式</t>
    <rPh sb="6" eb="8">
      <t>ケイシキ</t>
    </rPh>
    <phoneticPr fontId="8"/>
  </si>
  <si>
    <t>データ利用開始年月</t>
    <rPh sb="3" eb="5">
      <t>リヨウ</t>
    </rPh>
    <rPh sb="7" eb="9">
      <t>ネンゲツ</t>
    </rPh>
    <phoneticPr fontId="18"/>
  </si>
  <si>
    <t>データ利用終了年月</t>
    <rPh sb="3" eb="5">
      <t>リヨウ</t>
    </rPh>
    <rPh sb="5" eb="7">
      <t>シュウリョウ</t>
    </rPh>
    <rPh sb="7" eb="9">
      <t>ネンゲツ</t>
    </rPh>
    <phoneticPr fontId="18"/>
  </si>
  <si>
    <t>組入れ_対象施設のデータ利用開始年月、データ利用終了年月の値を更新する。</t>
    <rPh sb="12" eb="14">
      <t>リヨウ</t>
    </rPh>
    <rPh sb="14" eb="16">
      <t>カイシ</t>
    </rPh>
    <rPh sb="16" eb="18">
      <t>ネンゲツ</t>
    </rPh>
    <rPh sb="29" eb="30">
      <t>アタイ</t>
    </rPh>
    <phoneticPr fontId="8"/>
  </si>
  <si>
    <t>検体検査マスタ</t>
    <phoneticPr fontId="8"/>
  </si>
  <si>
    <t>施設マスクID</t>
  </si>
  <si>
    <t>facility_mask_id</t>
  </si>
  <si>
    <t>組入れ_対象施設テーブルに施設マスクIDを付与した結果を格納するテーブル</t>
    <phoneticPr fontId="8"/>
  </si>
  <si>
    <t>患者ID一覧マスタテーブルを施設IDと紐づけIDで集約し、マスクIDを付与した結果を格納するテーブル</t>
    <phoneticPr fontId="8"/>
  </si>
  <si>
    <t>マスクID</t>
  </si>
  <si>
    <t>mask_id</t>
  </si>
  <si>
    <t>紐付けID</t>
    <rPh sb="0" eb="1">
      <t>ヒモ</t>
    </rPh>
    <rPh sb="1" eb="2">
      <t>ヅ</t>
    </rPh>
    <phoneticPr fontId="29"/>
  </si>
  <si>
    <t>施設マスクID+紐づけIDの連番（4桁のゼロ埋め）</t>
    <rPh sb="8" eb="9">
      <t>ヒモ</t>
    </rPh>
    <rPh sb="14" eb="16">
      <t>レンバン</t>
    </rPh>
    <rPh sb="18" eb="19">
      <t>ケタ</t>
    </rPh>
    <rPh sb="22" eb="23">
      <t>ウ</t>
    </rPh>
    <phoneticPr fontId="9"/>
  </si>
  <si>
    <t>ICD10細区分名称</t>
    <rPh sb="6" eb="8">
      <t>クブン</t>
    </rPh>
    <rPh sb="8" eb="10">
      <t>メイショウ</t>
    </rPh>
    <phoneticPr fontId="8"/>
  </si>
  <si>
    <t>主傷病フラグ</t>
    <rPh sb="0" eb="3">
      <t>シュショウビョウ</t>
    </rPh>
    <phoneticPr fontId="9"/>
  </si>
  <si>
    <t>main_f</t>
  </si>
  <si>
    <t>iyakuhin_cd</t>
    <phoneticPr fontId="8"/>
  </si>
  <si>
    <t>医薬品名</t>
    <rPh sb="0" eb="4">
      <t>イヤクヒンメイ</t>
    </rPh>
    <phoneticPr fontId="11"/>
  </si>
  <si>
    <t>iyakuhin_name</t>
    <phoneticPr fontId="11"/>
  </si>
  <si>
    <t>表示名</t>
    <rPh sb="0" eb="2">
      <t>ヒョウジ</t>
    </rPh>
    <rPh sb="2" eb="3">
      <t>メイ</t>
    </rPh>
    <phoneticPr fontId="11"/>
  </si>
  <si>
    <t>disp_name</t>
    <phoneticPr fontId="11"/>
  </si>
  <si>
    <t>文字列</t>
    <rPh sb="0" eb="3">
      <t>モジレツ</t>
    </rPh>
    <phoneticPr fontId="15"/>
  </si>
  <si>
    <t>診療行為マスタ</t>
    <phoneticPr fontId="8"/>
  </si>
  <si>
    <t>診療行為マスタ</t>
    <rPh sb="0" eb="4">
      <t>シンリョウコウイ</t>
    </rPh>
    <phoneticPr fontId="9"/>
  </si>
  <si>
    <t>薬剤マスタ</t>
    <phoneticPr fontId="8"/>
  </si>
  <si>
    <t>エンティティ一覧</t>
    <phoneticPr fontId="8"/>
  </si>
  <si>
    <t>バックアップ_二次利用DB登録患者紐付けデータ</t>
    <rPh sb="7" eb="9">
      <t>ニジ</t>
    </rPh>
    <rPh sb="9" eb="11">
      <t>リヨウ</t>
    </rPh>
    <rPh sb="13" eb="15">
      <t>トウロク</t>
    </rPh>
    <rPh sb="15" eb="17">
      <t>カンジャ</t>
    </rPh>
    <rPh sb="17" eb="18">
      <t>ヒモ</t>
    </rPh>
    <rPh sb="18" eb="19">
      <t>ツ</t>
    </rPh>
    <phoneticPr fontId="11"/>
  </si>
  <si>
    <t>施設マスタ</t>
    <rPh sb="0" eb="2">
      <t>シセツ</t>
    </rPh>
    <phoneticPr fontId="8"/>
  </si>
  <si>
    <t>21_04</t>
    <phoneticPr fontId="8"/>
  </si>
  <si>
    <t>疾患マスタを疾患マスタに投入する。</t>
    <rPh sb="0" eb="2">
      <t>シッカン</t>
    </rPh>
    <rPh sb="12" eb="14">
      <t>トウニュウ</t>
    </rPh>
    <phoneticPr fontId="8"/>
  </si>
  <si>
    <t>21_05</t>
    <phoneticPr fontId="8"/>
  </si>
  <si>
    <t>薬剤マスタを薬剤マスタに投入する。</t>
    <rPh sb="12" eb="14">
      <t>トウニュウ</t>
    </rPh>
    <phoneticPr fontId="8"/>
  </si>
  <si>
    <t>21_06</t>
    <phoneticPr fontId="8"/>
  </si>
  <si>
    <t>検体検査マスタを検体検査マスタに投入する。</t>
    <rPh sb="16" eb="18">
      <t>トウニュウ</t>
    </rPh>
    <phoneticPr fontId="8"/>
  </si>
  <si>
    <t>21_07</t>
    <phoneticPr fontId="8"/>
  </si>
  <si>
    <t>診療行為マスタを診療行為マスタに投入する。</t>
    <rPh sb="16" eb="18">
      <t>トウニュウ</t>
    </rPh>
    <phoneticPr fontId="8"/>
  </si>
  <si>
    <t>work</t>
  </si>
  <si>
    <t>ENT_31_C4-37</t>
  </si>
  <si>
    <t>ENT_31_C4-38</t>
  </si>
  <si>
    <t>ENT_31_C4-40</t>
  </si>
  <si>
    <t>ENT_31_C4-41</t>
  </si>
  <si>
    <t>ベース_バイタルサインモジュール_記録項目</t>
  </si>
  <si>
    <t>ベース_体温表モジュール_バイタルサイン</t>
  </si>
  <si>
    <t>ベース_体温表モジュール_記録項目</t>
  </si>
  <si>
    <t>ベース_体温表モジュール_記録項目</t>
    <phoneticPr fontId="8"/>
  </si>
  <si>
    <t>ベース_体温表モジュール_バイタルサイン</t>
    <phoneticPr fontId="8"/>
  </si>
  <si>
    <t>ベース_バイタルサインモジュール_記録項目</t>
    <phoneticPr fontId="8"/>
  </si>
  <si>
    <t>ベース_バイタルサインモジュール_バイタルサイン</t>
    <phoneticPr fontId="8"/>
  </si>
  <si>
    <t>31_C4-41</t>
    <phoneticPr fontId="8"/>
  </si>
  <si>
    <t>31_C4-40</t>
    <phoneticPr fontId="8"/>
  </si>
  <si>
    <t>31_C4-38</t>
    <phoneticPr fontId="8"/>
  </si>
  <si>
    <t>31_C4-37</t>
    <phoneticPr fontId="8"/>
  </si>
  <si>
    <t>ベース_バイタルサインモジュール_バイタルサイン</t>
    <phoneticPr fontId="8"/>
  </si>
  <si>
    <t>バックアップ_バイタルサインモジュール_バイタルサイン</t>
    <phoneticPr fontId="11"/>
  </si>
  <si>
    <t>バックアップ_バイタルサインモジュール_記録項目</t>
    <rPh sb="20" eb="22">
      <t>キロク</t>
    </rPh>
    <rPh sb="22" eb="24">
      <t>コウモク</t>
    </rPh>
    <phoneticPr fontId="11"/>
  </si>
  <si>
    <t>バックアップ_体温表モジュール_バイタルサイン</t>
    <rPh sb="7" eb="9">
      <t>タイオン</t>
    </rPh>
    <rPh sb="9" eb="10">
      <t>ヒョウ</t>
    </rPh>
    <phoneticPr fontId="11"/>
  </si>
  <si>
    <t>バックアップ_体温表モジュール_記録項目</t>
    <rPh sb="7" eb="9">
      <t>タイオン</t>
    </rPh>
    <rPh sb="9" eb="10">
      <t>ヒョウ</t>
    </rPh>
    <rPh sb="16" eb="18">
      <t>キロク</t>
    </rPh>
    <rPh sb="18" eb="20">
      <t>コウモク</t>
    </rPh>
    <phoneticPr fontId="11"/>
  </si>
  <si>
    <t>41_01</t>
    <phoneticPr fontId="8"/>
  </si>
  <si>
    <t>ベース_患者基本データ</t>
  </si>
  <si>
    <t>ワーク_患者基本データ</t>
    <rPh sb="4" eb="6">
      <t>カンジャ</t>
    </rPh>
    <rPh sb="6" eb="8">
      <t>キホン</t>
    </rPh>
    <phoneticPr fontId="8"/>
  </si>
  <si>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8"/>
  </si>
  <si>
    <t>41_02</t>
    <phoneticPr fontId="8"/>
  </si>
  <si>
    <t>ベース_MML_診断履歴情報モジュール_本文</t>
    <rPh sb="20" eb="22">
      <t>ホンブン</t>
    </rPh>
    <phoneticPr fontId="8"/>
  </si>
  <si>
    <t>ワーク_疾患データ</t>
    <rPh sb="4" eb="6">
      <t>シッカン</t>
    </rPh>
    <phoneticPr fontId="8"/>
  </si>
  <si>
    <t>41_06</t>
    <phoneticPr fontId="8"/>
  </si>
  <si>
    <t>ワーク_入院退院_DPC</t>
    <rPh sb="4" eb="8">
      <t>ニュウインタイイン</t>
    </rPh>
    <phoneticPr fontId="8"/>
  </si>
  <si>
    <t>41_07</t>
    <phoneticPr fontId="8"/>
  </si>
  <si>
    <t>ワーク_入院退院_MML</t>
    <rPh sb="4" eb="6">
      <t>ニュウイン</t>
    </rPh>
    <rPh sb="6" eb="8">
      <t>タイイン</t>
    </rPh>
    <phoneticPr fontId="8"/>
  </si>
  <si>
    <t>41_08</t>
    <phoneticPr fontId="8"/>
  </si>
  <si>
    <t>ワーク_入院退院</t>
    <rPh sb="4" eb="6">
      <t>ニュウイン</t>
    </rPh>
    <rPh sb="6" eb="8">
      <t>タイイン</t>
    </rPh>
    <phoneticPr fontId="8"/>
  </si>
  <si>
    <t>ワーク_入院退院_MML</t>
    <rPh sb="4" eb="8">
      <t>ニュウインタイイン</t>
    </rPh>
    <phoneticPr fontId="8"/>
  </si>
  <si>
    <t>41_09</t>
    <phoneticPr fontId="8"/>
  </si>
  <si>
    <t>ワーク_外来_DPC</t>
    <rPh sb="4" eb="6">
      <t>ガイライ</t>
    </rPh>
    <phoneticPr fontId="8"/>
  </si>
  <si>
    <t>41_10</t>
    <phoneticPr fontId="8"/>
  </si>
  <si>
    <t>ワーク_外来_MML</t>
    <rPh sb="4" eb="6">
      <t>ガイライ</t>
    </rPh>
    <phoneticPr fontId="8"/>
  </si>
  <si>
    <t>41_11</t>
    <phoneticPr fontId="8"/>
  </si>
  <si>
    <t>ワーク_外来</t>
    <rPh sb="4" eb="6">
      <t>ガイライ</t>
    </rPh>
    <phoneticPr fontId="8"/>
  </si>
  <si>
    <t>41_12</t>
    <phoneticPr fontId="8"/>
  </si>
  <si>
    <t>ベース_処方データ</t>
    <rPh sb="4" eb="6">
      <t>ショホウ</t>
    </rPh>
    <phoneticPr fontId="8"/>
  </si>
  <si>
    <t>41_13</t>
    <phoneticPr fontId="8"/>
  </si>
  <si>
    <t>41_14</t>
    <phoneticPr fontId="8"/>
  </si>
  <si>
    <t>ワーク_診療行為データ</t>
    <phoneticPr fontId="8"/>
  </si>
  <si>
    <t>ワーク_検体検査データ_スキーマ2</t>
    <rPh sb="4" eb="8">
      <t>ケンタイケンサ</t>
    </rPh>
    <phoneticPr fontId="8"/>
  </si>
  <si>
    <t>milscm_2023_009</t>
  </si>
  <si>
    <t>41_16</t>
    <phoneticPr fontId="8"/>
  </si>
  <si>
    <t>ワーク_検体検査データ_スキーマ4</t>
    <rPh sb="4" eb="8">
      <t>ケンタイケンサ</t>
    </rPh>
    <phoneticPr fontId="8"/>
  </si>
  <si>
    <t>ワーク_検体検査データ</t>
    <rPh sb="4" eb="8">
      <t>ケンタイケンサ</t>
    </rPh>
    <phoneticPr fontId="8"/>
  </si>
  <si>
    <t>ワーク_テキスト情報_一時</t>
    <rPh sb="8" eb="10">
      <t>ジョウホウ</t>
    </rPh>
    <rPh sb="11" eb="13">
      <t>イチジ</t>
    </rPh>
    <phoneticPr fontId="8"/>
  </si>
  <si>
    <t>ワーク_テキスト情報</t>
    <rPh sb="8" eb="10">
      <t>ジョウホウ</t>
    </rPh>
    <phoneticPr fontId="8"/>
  </si>
  <si>
    <t>41_03</t>
    <phoneticPr fontId="8"/>
  </si>
  <si>
    <t>ワーク_処方データ</t>
    <rPh sb="4" eb="6">
      <t>ショホウ</t>
    </rPh>
    <phoneticPr fontId="8"/>
  </si>
  <si>
    <t>41_04</t>
    <phoneticPr fontId="8"/>
  </si>
  <si>
    <t>41_05</t>
    <phoneticPr fontId="8"/>
  </si>
  <si>
    <t>ワーク_身長体重データ_DPC</t>
    <rPh sb="4" eb="8">
      <t>シンチョウタイジュウ</t>
    </rPh>
    <phoneticPr fontId="8"/>
  </si>
  <si>
    <t>41_15-01</t>
    <phoneticPr fontId="8"/>
  </si>
  <si>
    <t>ワーク_身長体重データ_MML</t>
    <rPh sb="4" eb="8">
      <t>シンチョウタイジュウ</t>
    </rPh>
    <phoneticPr fontId="8"/>
  </si>
  <si>
    <t>ワーク_身長体重データ</t>
    <rPh sb="4" eb="8">
      <t>シンチョウタイジュウ</t>
    </rPh>
    <phoneticPr fontId="8"/>
  </si>
  <si>
    <t>41_17_01</t>
  </si>
  <si>
    <t>41_17_02</t>
  </si>
  <si>
    <t>41_17_03</t>
  </si>
  <si>
    <t>41_17_04</t>
  </si>
  <si>
    <t>41_17_05</t>
  </si>
  <si>
    <t>41_17_06</t>
  </si>
  <si>
    <t>41_17_07</t>
  </si>
  <si>
    <t>41_17_08</t>
  </si>
  <si>
    <t>41_17_09</t>
  </si>
  <si>
    <t>41_17_10</t>
  </si>
  <si>
    <t>41_17_11</t>
  </si>
  <si>
    <t>41_17_12</t>
  </si>
  <si>
    <t>41_17_13</t>
  </si>
  <si>
    <t>41_18</t>
    <phoneticPr fontId="8"/>
  </si>
  <si>
    <t>41_15-02</t>
    <phoneticPr fontId="8"/>
  </si>
  <si>
    <t>ベース_体温表モジュール_バイタルサイン</t>
    <rPh sb="4" eb="6">
      <t>タイオン</t>
    </rPh>
    <rPh sb="6" eb="7">
      <t>ヒョウ</t>
    </rPh>
    <phoneticPr fontId="8"/>
  </si>
  <si>
    <t>ワーク_患者基本データ</t>
    <phoneticPr fontId="8"/>
  </si>
  <si>
    <t>文字列</t>
    <rPh sb="0" eb="3">
      <t>モジレツ</t>
    </rPh>
    <phoneticPr fontId="26"/>
  </si>
  <si>
    <t>男女区分</t>
    <rPh sb="0" eb="2">
      <t>ダンジョ</t>
    </rPh>
    <rPh sb="2" eb="4">
      <t>クブン</t>
    </rPh>
    <phoneticPr fontId="14"/>
  </si>
  <si>
    <t>生年月日</t>
    <rPh sb="0" eb="2">
      <t>セイネン</t>
    </rPh>
    <rPh sb="2" eb="4">
      <t>ガッピ</t>
    </rPh>
    <phoneticPr fontId="14"/>
  </si>
  <si>
    <t>レセプト、MMLの患者基本データを格納するテーブル</t>
    <phoneticPr fontId="8"/>
  </si>
  <si>
    <t>MMLの疾患データを格納するテーブル</t>
    <phoneticPr fontId="8"/>
  </si>
  <si>
    <t>病名コード値</t>
    <rPh sb="0" eb="2">
      <t>ビョウメイ</t>
    </rPh>
    <phoneticPr fontId="2"/>
  </si>
  <si>
    <t>病名コード体系名</t>
    <rPh sb="0" eb="2">
      <t>ビョウメイ</t>
    </rPh>
    <phoneticPr fontId="2"/>
  </si>
  <si>
    <t>ワーク_入院退院_DPC</t>
    <phoneticPr fontId="8"/>
  </si>
  <si>
    <t>DPCの入退院データを格納するテーブル</t>
    <phoneticPr fontId="8"/>
  </si>
  <si>
    <t>入院年月日</t>
    <rPh sb="0" eb="2">
      <t>ニュウイン</t>
    </rPh>
    <rPh sb="2" eb="5">
      <t>ネンガッピ</t>
    </rPh>
    <phoneticPr fontId="14"/>
  </si>
  <si>
    <t>退院年月日</t>
    <rPh sb="0" eb="2">
      <t>タイイン</t>
    </rPh>
    <rPh sb="2" eb="5">
      <t>ネンガッピ</t>
    </rPh>
    <phoneticPr fontId="14"/>
  </si>
  <si>
    <t>ワーク_入院退院_MML</t>
    <phoneticPr fontId="8"/>
  </si>
  <si>
    <t>MMLの入退院データを格納するテーブル</t>
    <phoneticPr fontId="8"/>
  </si>
  <si>
    <t>ワーク_入院退院</t>
    <phoneticPr fontId="8"/>
  </si>
  <si>
    <t>入退院データを格納するテーブル</t>
    <phoneticPr fontId="8"/>
  </si>
  <si>
    <t>ワーク_外来_DPC</t>
    <phoneticPr fontId="8"/>
  </si>
  <si>
    <t>DPCの外来データを格納するテーブル</t>
    <phoneticPr fontId="8"/>
  </si>
  <si>
    <t>外来年月日</t>
    <rPh sb="0" eb="2">
      <t>ガイライ</t>
    </rPh>
    <rPh sb="2" eb="5">
      <t>ネンガッピ</t>
    </rPh>
    <phoneticPr fontId="14"/>
  </si>
  <si>
    <t>ワーク_外来_MML</t>
    <phoneticPr fontId="8"/>
  </si>
  <si>
    <t>ワーク_外来</t>
    <phoneticPr fontId="8"/>
  </si>
  <si>
    <t>MMLの外来データを格納するテーブル</t>
    <phoneticPr fontId="8"/>
  </si>
  <si>
    <t>外来データを格納するテーブル</t>
    <phoneticPr fontId="8"/>
  </si>
  <si>
    <t>ワーク_処方データ</t>
    <phoneticPr fontId="8"/>
  </si>
  <si>
    <t>使用量</t>
    <rPh sb="0" eb="2">
      <t>シヨウ</t>
    </rPh>
    <rPh sb="2" eb="3">
      <t>リョウ</t>
    </rPh>
    <phoneticPr fontId="14"/>
  </si>
  <si>
    <t>実数</t>
    <rPh sb="0" eb="2">
      <t>ジッスウ</t>
    </rPh>
    <phoneticPr fontId="14"/>
  </si>
  <si>
    <t>基準単位</t>
    <rPh sb="0" eb="2">
      <t>キジュン</t>
    </rPh>
    <rPh sb="2" eb="4">
      <t>タンイ</t>
    </rPh>
    <phoneticPr fontId="14"/>
  </si>
  <si>
    <t>行為回数</t>
    <rPh sb="0" eb="2">
      <t>コウイ</t>
    </rPh>
    <rPh sb="2" eb="4">
      <t>カイスウ</t>
    </rPh>
    <phoneticPr fontId="14"/>
  </si>
  <si>
    <t>実施年月日</t>
    <rPh sb="0" eb="2">
      <t>ジッシ</t>
    </rPh>
    <rPh sb="2" eb="5">
      <t>ネンガッピ</t>
    </rPh>
    <phoneticPr fontId="14"/>
  </si>
  <si>
    <t>ワーク_診療行為データ</t>
    <phoneticPr fontId="8"/>
  </si>
  <si>
    <t>診療行為データを格納するテーブル</t>
    <phoneticPr fontId="8"/>
  </si>
  <si>
    <t>処方データを格納するテーブル</t>
    <phoneticPr fontId="8"/>
  </si>
  <si>
    <t>ワーク_検体検査データ_スキーマ2</t>
    <phoneticPr fontId="8"/>
  </si>
  <si>
    <t>ワーク_検体検査データ_スキーマ4</t>
    <phoneticPr fontId="8"/>
  </si>
  <si>
    <t>ワーク_検体検査データ</t>
    <phoneticPr fontId="8"/>
  </si>
  <si>
    <t>ワーク_検体検査データ_スキーマ2</t>
    <phoneticPr fontId="8"/>
  </si>
  <si>
    <t>MML（スキーマ2）の検体検査データを格納するテーブル</t>
    <phoneticPr fontId="8"/>
  </si>
  <si>
    <t>ワーク_検体検査データ_スキーマ4</t>
    <phoneticPr fontId="8"/>
  </si>
  <si>
    <t>MML（スキーマ4）の検体検査データを格納するテーブル</t>
    <phoneticPr fontId="8"/>
  </si>
  <si>
    <t>ワーク_検体検査データ</t>
    <phoneticPr fontId="8"/>
  </si>
  <si>
    <t>MMLの検体検査データを格納するテーブル</t>
    <phoneticPr fontId="8"/>
  </si>
  <si>
    <t>日付</t>
    <rPh sb="0" eb="2">
      <t>ヒヅケ</t>
    </rPh>
    <phoneticPr fontId="14"/>
  </si>
  <si>
    <t>ワーク_身長体重データ_DPC</t>
    <phoneticPr fontId="8"/>
  </si>
  <si>
    <t>ワーク_身長体重データ_MML</t>
    <phoneticPr fontId="8"/>
  </si>
  <si>
    <t>ワーク_身長体重データ</t>
    <phoneticPr fontId="8"/>
  </si>
  <si>
    <t>ワーク_テキスト情報_一時</t>
    <phoneticPr fontId="8"/>
  </si>
  <si>
    <t>ワーク_テキスト情報</t>
    <phoneticPr fontId="8"/>
  </si>
  <si>
    <t>ワーク_テキスト情報_一時</t>
    <phoneticPr fontId="8"/>
  </si>
  <si>
    <t>MMLのテキストデータを格納するテーブル</t>
    <phoneticPr fontId="8"/>
  </si>
  <si>
    <t>文字列</t>
    <rPh sb="0" eb="3">
      <t>モジレツ</t>
    </rPh>
    <phoneticPr fontId="31"/>
  </si>
  <si>
    <t>患者ID</t>
    <rPh sb="0" eb="2">
      <t>カンジャ</t>
    </rPh>
    <phoneticPr fontId="6"/>
  </si>
  <si>
    <t>モジュールSEQ</t>
  </si>
  <si>
    <t>module_seq</t>
  </si>
  <si>
    <t>外部参照SEQ</t>
    <rPh sb="0" eb="2">
      <t>ガイブ</t>
    </rPh>
    <rPh sb="2" eb="4">
      <t>サンショウ</t>
    </rPh>
    <phoneticPr fontId="2"/>
  </si>
  <si>
    <t>モジュール名</t>
    <rPh sb="5" eb="6">
      <t>メイ</t>
    </rPh>
    <phoneticPr fontId="12"/>
  </si>
  <si>
    <t>source_module</t>
  </si>
  <si>
    <t>取得元テーブル名</t>
    <rPh sb="0" eb="3">
      <t>シュトクモト</t>
    </rPh>
    <rPh sb="7" eb="8">
      <t>メイ</t>
    </rPh>
    <phoneticPr fontId="12"/>
  </si>
  <si>
    <t>source_table</t>
  </si>
  <si>
    <t>取得元カラム名</t>
    <rPh sb="0" eb="2">
      <t>シュトク</t>
    </rPh>
    <rPh sb="2" eb="3">
      <t>モト</t>
    </rPh>
    <rPh sb="6" eb="7">
      <t>メイ</t>
    </rPh>
    <phoneticPr fontId="12"/>
  </si>
  <si>
    <t>source_column</t>
  </si>
  <si>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</si>
  <si>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</si>
  <si>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</si>
  <si>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</si>
  <si>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オリジナルテキスト</t>
  </si>
  <si>
    <t>original_text</t>
  </si>
  <si>
    <t>mmlPc:ProgressCourseModule単位に通番付与
mmlSm:SummaryModule単位に通番付与</t>
    <rPh sb="26" eb="28">
      <t>タンイ</t>
    </rPh>
    <rPh sb="29" eb="31">
      <t>ツウバン</t>
    </rPh>
    <rPh sb="31" eb="33">
      <t>フヨ</t>
    </rPh>
    <phoneticPr fontId="2"/>
  </si>
  <si>
    <t>mmlPc:problemItem単位に通番付与</t>
    <rPh sb="17" eb="19">
      <t>タンイ</t>
    </rPh>
    <rPh sb="20" eb="22">
      <t>ツウバン</t>
    </rPh>
    <rPh sb="22" eb="24">
      <t>フヨ</t>
    </rPh>
    <phoneticPr fontId="2"/>
  </si>
  <si>
    <t>mmlPc:assessmentItem単位に通番付与</t>
    <rPh sb="20" eb="22">
      <t>タンイ</t>
    </rPh>
    <rPh sb="23" eb="25">
      <t>ツウバン</t>
    </rPh>
    <rPh sb="25" eb="27">
      <t>フヨ</t>
    </rPh>
    <phoneticPr fontId="2"/>
  </si>
  <si>
    <t>mmlCm:extRef単位に通番付与</t>
    <rPh sb="12" eb="14">
      <t>タンイ</t>
    </rPh>
    <rPh sb="15" eb="17">
      <t>ツウバン</t>
    </rPh>
    <rPh sb="17" eb="19">
      <t>フヨ</t>
    </rPh>
    <phoneticPr fontId="2"/>
  </si>
  <si>
    <t>mmlSm:clinicalRecord単位で通番付与</t>
    <rPh sb="20" eb="22">
      <t>タンイ</t>
    </rPh>
    <rPh sb="23" eb="25">
      <t>ツウバン</t>
    </rPh>
    <rPh sb="25" eb="27">
      <t>フヨ</t>
    </rPh>
    <phoneticPr fontId="2"/>
  </si>
  <si>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</si>
  <si>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</si>
  <si>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</si>
  <si>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</si>
  <si>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</si>
  <si>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</si>
  <si>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</si>
  <si>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ワーク_テキスト情報</t>
    <phoneticPr fontId="8"/>
  </si>
  <si>
    <t>テキスト連結番号</t>
    <rPh sb="4" eb="6">
      <t>レンケツ</t>
    </rPh>
    <rPh sb="6" eb="8">
      <t>バンゴウ</t>
    </rPh>
    <phoneticPr fontId="9"/>
  </si>
  <si>
    <t>link_no</t>
  </si>
  <si>
    <t>テキスト重複SEQ</t>
    <rPh sb="4" eb="6">
      <t>チョウフク</t>
    </rPh>
    <phoneticPr fontId="12"/>
  </si>
  <si>
    <t>dup_text_seq</t>
  </si>
  <si>
    <t>全レコードの連番</t>
    <rPh sb="0" eb="1">
      <t>ゼン</t>
    </rPh>
    <rPh sb="6" eb="8">
      <t>レンバン</t>
    </rPh>
    <phoneticPr fontId="9"/>
  </si>
  <si>
    <t>mask_idでテキストに重複があった場合、comfirm_dateの昇順に連番を付与</t>
    <rPh sb="13" eb="15">
      <t>チョウフク</t>
    </rPh>
    <rPh sb="19" eb="21">
      <t>バアイ</t>
    </rPh>
    <rPh sb="35" eb="37">
      <t>ショウジュン</t>
    </rPh>
    <rPh sb="38" eb="40">
      <t>レンバン</t>
    </rPh>
    <rPh sb="41" eb="43">
      <t>フヨ</t>
    </rPh>
    <phoneticPr fontId="12"/>
  </si>
  <si>
    <t>ワーク_身長体重データ_DPC</t>
    <phoneticPr fontId="8"/>
  </si>
  <si>
    <t>DPCの身長体重データを格納するテーブル</t>
    <rPh sb="4" eb="6">
      <t>シンチョウ</t>
    </rPh>
    <rPh sb="6" eb="8">
      <t>タイジュウ</t>
    </rPh>
    <phoneticPr fontId="8"/>
  </si>
  <si>
    <t>YYYYMMDD</t>
    <phoneticPr fontId="8"/>
  </si>
  <si>
    <t>ワーク_身長体重データ_MML</t>
    <phoneticPr fontId="8"/>
  </si>
  <si>
    <t>MMLの身長体重データを格納するテーブル</t>
    <rPh sb="4" eb="6">
      <t>シンチョウ</t>
    </rPh>
    <rPh sb="6" eb="8">
      <t>タイジュウ</t>
    </rPh>
    <phoneticPr fontId="8"/>
  </si>
  <si>
    <t>vital_sign_time</t>
    <phoneticPr fontId="8"/>
  </si>
  <si>
    <t>日付重複SEQ</t>
    <rPh sb="0" eb="2">
      <t>ヒヅケ</t>
    </rPh>
    <rPh sb="2" eb="4">
      <t>チョウフク</t>
    </rPh>
    <phoneticPr fontId="12"/>
  </si>
  <si>
    <t>dup_date_seq</t>
    <phoneticPr fontId="8"/>
  </si>
  <si>
    <t>WeightまたはHeight</t>
    <phoneticPr fontId="8"/>
  </si>
  <si>
    <t>バイタルサインの計測時間</t>
    <phoneticPr fontId="8"/>
  </si>
  <si>
    <t>mask_idでバイタルサインの計測時間、項目名に重複があった場合、vital_sign_timeの昇順に連番を付与</t>
    <rPh sb="16" eb="18">
      <t>ケイソク</t>
    </rPh>
    <rPh sb="18" eb="20">
      <t>ジカン</t>
    </rPh>
    <rPh sb="25" eb="27">
      <t>チョウフク</t>
    </rPh>
    <rPh sb="31" eb="33">
      <t>バアイ</t>
    </rPh>
    <rPh sb="50" eb="52">
      <t>ショウジュン</t>
    </rPh>
    <rPh sb="53" eb="55">
      <t>レンバン</t>
    </rPh>
    <rPh sb="56" eb="58">
      <t>フヨ</t>
    </rPh>
    <phoneticPr fontId="12"/>
  </si>
  <si>
    <t>ワーク_身長体重データ</t>
    <phoneticPr fontId="8"/>
  </si>
  <si>
    <t>DPC、MMLの身長体重データを格納するテーブル</t>
    <rPh sb="8" eb="10">
      <t>シンチョウ</t>
    </rPh>
    <rPh sb="10" eb="12">
      <t>タイジュウ</t>
    </rPh>
    <phoneticPr fontId="8"/>
  </si>
  <si>
    <t>"DPC", "MML"の何れかを設定</t>
    <rPh sb="12" eb="13">
      <t>イズ</t>
    </rPh>
    <rPh sb="16" eb="18">
      <t>セッテイ</t>
    </rPh>
    <phoneticPr fontId="13"/>
  </si>
  <si>
    <t>計測日</t>
    <rPh sb="2" eb="3">
      <t>ビ</t>
    </rPh>
    <phoneticPr fontId="8"/>
  </si>
  <si>
    <t>measurement_date</t>
    <phoneticPr fontId="8"/>
  </si>
  <si>
    <t>item_value</t>
  </si>
  <si>
    <t>項目値</t>
    <rPh sb="2" eb="3">
      <t>アタイ</t>
    </rPh>
    <phoneticPr fontId="8"/>
  </si>
  <si>
    <t>mask_idで入院年月日、項目名に重複があった場合、nyuin_ymdの昇順に連番を付与</t>
    <rPh sb="8" eb="13">
      <t>ニュウインネンガッピ</t>
    </rPh>
    <rPh sb="14" eb="17">
      <t>コウモクメイ</t>
    </rPh>
    <rPh sb="18" eb="20">
      <t>チョウフク</t>
    </rPh>
    <rPh sb="24" eb="26">
      <t>バアイ</t>
    </rPh>
    <rPh sb="37" eb="39">
      <t>ショウジュン</t>
    </rPh>
    <rPh sb="40" eb="42">
      <t>レンバン</t>
    </rPh>
    <rPh sb="43" eb="45">
      <t>フヨ</t>
    </rPh>
    <phoneticPr fontId="12"/>
  </si>
  <si>
    <t>項目名に関する値(身長または体重)</t>
    <rPh sb="0" eb="3">
      <t>コウモクメイ</t>
    </rPh>
    <rPh sb="4" eb="5">
      <t>カン</t>
    </rPh>
    <rPh sb="7" eb="8">
      <t>アタイ</t>
    </rPh>
    <phoneticPr fontId="8"/>
  </si>
  <si>
    <t>点数表区分番号</t>
    <phoneticPr fontId="8"/>
  </si>
  <si>
    <t>フラグ</t>
    <phoneticPr fontId="8"/>
  </si>
  <si>
    <t>組入れ対象フラグ</t>
    <rPh sb="0" eb="1">
      <t>ク</t>
    </rPh>
    <rPh sb="1" eb="2">
      <t>イ</t>
    </rPh>
    <rPh sb="3" eb="5">
      <t>タイショウ</t>
    </rPh>
    <phoneticPr fontId="8"/>
  </si>
  <si>
    <t>enroll_f</t>
    <phoneticPr fontId="8"/>
  </si>
  <si>
    <t>組入れ対象の診療行為コードの場合TRUE</t>
    <rPh sb="0" eb="1">
      <t>ク</t>
    </rPh>
    <rPh sb="1" eb="2">
      <t>イ</t>
    </rPh>
    <rPh sb="3" eb="5">
      <t>タイショウ</t>
    </rPh>
    <rPh sb="6" eb="10">
      <t>シンリョウコウイ</t>
    </rPh>
    <rPh sb="14" eb="16">
      <t>バアイ</t>
    </rPh>
    <phoneticPr fontId="8"/>
  </si>
  <si>
    <t>エンティティ一覧</t>
    <phoneticPr fontId="8"/>
  </si>
  <si>
    <t>kubun_no</t>
    <phoneticPr fontId="8"/>
  </si>
  <si>
    <t>41_19</t>
    <phoneticPr fontId="8"/>
  </si>
  <si>
    <t>ワーク_観察期間</t>
    <rPh sb="4" eb="8">
      <t>カンサツキカン</t>
    </rPh>
    <phoneticPr fontId="8"/>
  </si>
  <si>
    <t>ベース_DPC調査データ_入院EF統合ファイル</t>
    <rPh sb="7" eb="9">
      <t>チョウサ</t>
    </rPh>
    <rPh sb="13" eb="15">
      <t>ニュウイン</t>
    </rPh>
    <rPh sb="17" eb="19">
      <t>トウゴウ</t>
    </rPh>
    <phoneticPr fontId="8"/>
  </si>
  <si>
    <t>ベース_DPC調査データ_外来EF統合ファイル</t>
    <rPh sb="13" eb="15">
      <t>ガイライ</t>
    </rPh>
    <phoneticPr fontId="8"/>
  </si>
  <si>
    <t>ワーク_観察期間</t>
    <phoneticPr fontId="8"/>
  </si>
  <si>
    <t>観察期間データを格納するテーブル</t>
    <rPh sb="0" eb="4">
      <t>カンサツキカン</t>
    </rPh>
    <phoneticPr fontId="8"/>
  </si>
  <si>
    <t>観察期間開始日</t>
    <rPh sb="0" eb="4">
      <t>カンサツキカン</t>
    </rPh>
    <rPh sb="4" eb="7">
      <t>カイシビ</t>
    </rPh>
    <phoneticPr fontId="17"/>
  </si>
  <si>
    <t>観察期間終了日</t>
    <rPh sb="0" eb="4">
      <t>カンサツキカン</t>
    </rPh>
    <rPh sb="4" eb="6">
      <t>シュウリョウ</t>
    </rPh>
    <rPh sb="6" eb="7">
      <t>ビ</t>
    </rPh>
    <phoneticPr fontId="17"/>
  </si>
  <si>
    <t>実施年月日の最大値</t>
    <rPh sb="0" eb="5">
      <t>ジッシネンガッピ</t>
    </rPh>
    <rPh sb="6" eb="9">
      <t>サイダイチ</t>
    </rPh>
    <phoneticPr fontId="8"/>
  </si>
  <si>
    <t>実施年月日の最小値</t>
    <rPh sb="0" eb="5">
      <t>ジッシネンガッピ</t>
    </rPh>
    <rPh sb="6" eb="9">
      <t>サイショウチ</t>
    </rPh>
    <phoneticPr fontId="8"/>
  </si>
  <si>
    <t>kansatsu_start_date</t>
    <phoneticPr fontId="8"/>
  </si>
  <si>
    <t>kansatsu_end_date</t>
    <phoneticPr fontId="8"/>
  </si>
  <si>
    <t>a001010_heightの場合は、Height
a001010_weightの場合は、Weight</t>
    <phoneticPr fontId="8"/>
  </si>
  <si>
    <t>row_no</t>
    <phoneticPr fontId="8"/>
  </si>
  <si>
    <t>行番号</t>
    <rPh sb="0" eb="3">
      <t>ギョウバンゴウ</t>
    </rPh>
    <phoneticPr fontId="8"/>
  </si>
  <si>
    <t>整数</t>
    <rPh sb="0" eb="2">
      <t>セイスウ</t>
    </rPh>
    <phoneticPr fontId="14"/>
  </si>
  <si>
    <t>PK項目ごとに採番</t>
    <rPh sb="2" eb="4">
      <t>コウモク</t>
    </rPh>
    <rPh sb="7" eb="9">
      <t>サイバン</t>
    </rPh>
    <phoneticPr fontId="8"/>
  </si>
  <si>
    <t>○</t>
    <phoneticPr fontId="8"/>
  </si>
  <si>
    <t>YYYYMMDDHHMM</t>
    <phoneticPr fontId="8"/>
  </si>
  <si>
    <t>PK項目（採取日時は日付（前8桁））ごとに採番</t>
    <rPh sb="2" eb="4">
      <t>コウモク</t>
    </rPh>
    <rPh sb="21" eb="23">
      <t>サイバン</t>
    </rPh>
    <phoneticPr fontId="8"/>
  </si>
  <si>
    <t>セレクト_患者基本データ</t>
    <phoneticPr fontId="8"/>
  </si>
  <si>
    <t>セレクト_併発疾患データ</t>
    <phoneticPr fontId="8"/>
  </si>
  <si>
    <t>セレクト_入院外来データ</t>
    <phoneticPr fontId="8"/>
  </si>
  <si>
    <t>セレクト_薬剤データ</t>
    <phoneticPr fontId="8"/>
  </si>
  <si>
    <t>セレクト_検査データ</t>
    <phoneticPr fontId="8"/>
  </si>
  <si>
    <t>セレクト_検査データ_統計量抽出用</t>
    <phoneticPr fontId="8"/>
  </si>
  <si>
    <t>セレクト_診療行為データ</t>
    <phoneticPr fontId="8"/>
  </si>
  <si>
    <t>セレクト_患者基本データ</t>
    <phoneticPr fontId="8"/>
  </si>
  <si>
    <t>age</t>
    <phoneticPr fontId="8"/>
  </si>
  <si>
    <t>年齢</t>
    <rPh sb="0" eb="2">
      <t>ネンレイ</t>
    </rPh>
    <phoneticPr fontId="14"/>
  </si>
  <si>
    <t>観察開始日</t>
    <phoneticPr fontId="8"/>
  </si>
  <si>
    <t>観察終了日</t>
    <phoneticPr fontId="8"/>
  </si>
  <si>
    <t>主傷病開始日</t>
    <phoneticPr fontId="8"/>
  </si>
  <si>
    <t>main_diagnosis_start_date</t>
    <phoneticPr fontId="8"/>
  </si>
  <si>
    <t>セレクト_患者基本データ</t>
    <rPh sb="5" eb="7">
      <t>カンジャ</t>
    </rPh>
    <rPh sb="7" eb="9">
      <t>キホン</t>
    </rPh>
    <phoneticPr fontId="8"/>
  </si>
  <si>
    <t>51_01</t>
    <phoneticPr fontId="8"/>
  </si>
  <si>
    <t>51_02</t>
    <phoneticPr fontId="8"/>
  </si>
  <si>
    <t>セレクト_併発疾患データ</t>
    <phoneticPr fontId="8"/>
  </si>
  <si>
    <t>shikkan_disp_name</t>
    <phoneticPr fontId="8"/>
  </si>
  <si>
    <t>疾患表示名</t>
    <rPh sb="0" eb="2">
      <t>シッカン</t>
    </rPh>
    <rPh sb="2" eb="4">
      <t>ヒョウジ</t>
    </rPh>
    <rPh sb="4" eb="5">
      <t>メイ</t>
    </rPh>
    <phoneticPr fontId="0"/>
  </si>
  <si>
    <t>初回疾患開始日</t>
    <phoneticPr fontId="8"/>
  </si>
  <si>
    <t>セレクト_入院外来データ</t>
    <phoneticPr fontId="8"/>
  </si>
  <si>
    <t>来院年月日</t>
  </si>
  <si>
    <t>nyu_gai_kubun</t>
    <phoneticPr fontId="8"/>
  </si>
  <si>
    <t>raiin_ymd</t>
    <phoneticPr fontId="8"/>
  </si>
  <si>
    <t>taiin_ymd</t>
    <phoneticPr fontId="8"/>
  </si>
  <si>
    <t>51_03</t>
    <phoneticPr fontId="8"/>
  </si>
  <si>
    <t>セレクト_薬剤データ</t>
    <phoneticPr fontId="8"/>
  </si>
  <si>
    <t>薬剤表示名</t>
  </si>
  <si>
    <t>処方日数</t>
  </si>
  <si>
    <t>shoho_days</t>
    <phoneticPr fontId="8"/>
  </si>
  <si>
    <t>toyoryo</t>
    <phoneticPr fontId="8"/>
  </si>
  <si>
    <t>seibun_unit_name</t>
    <phoneticPr fontId="8"/>
  </si>
  <si>
    <t>実数</t>
    <rPh sb="0" eb="2">
      <t>ジッスウ</t>
    </rPh>
    <phoneticPr fontId="8"/>
  </si>
  <si>
    <t>51_04</t>
    <phoneticPr fontId="8"/>
  </si>
  <si>
    <t>医薬品一般名</t>
    <rPh sb="0" eb="3">
      <t>イヤクヒン</t>
    </rPh>
    <rPh sb="3" eb="5">
      <t>イッパン</t>
    </rPh>
    <rPh sb="5" eb="6">
      <t>メイ</t>
    </rPh>
    <phoneticPr fontId="11"/>
  </si>
  <si>
    <t>iyakuhin_ippan_name</t>
    <phoneticPr fontId="11"/>
  </si>
  <si>
    <t>iyakuhin_ippan_name</t>
    <phoneticPr fontId="8"/>
  </si>
  <si>
    <t>実施年月日</t>
    <rPh sb="0" eb="2">
      <t>ジッシ</t>
    </rPh>
    <rPh sb="2" eb="5">
      <t>ネンガッピ</t>
    </rPh>
    <phoneticPr fontId="8"/>
  </si>
  <si>
    <t>表示名</t>
    <phoneticPr fontId="8"/>
  </si>
  <si>
    <t>sample_time</t>
    <phoneticPr fontId="8"/>
  </si>
  <si>
    <t>日付</t>
    <rPh sb="0" eb="2">
      <t>ヒヅケ</t>
    </rPh>
    <phoneticPr fontId="8"/>
  </si>
  <si>
    <t>result_value</t>
  </si>
  <si>
    <t>result_value</t>
    <phoneticPr fontId="8"/>
  </si>
  <si>
    <t>検査値</t>
    <rPh sb="0" eb="2">
      <t>ケンサ</t>
    </rPh>
    <rPh sb="2" eb="3">
      <t>アタイ</t>
    </rPh>
    <phoneticPr fontId="8"/>
  </si>
  <si>
    <t>単位</t>
    <rPh sb="0" eb="2">
      <t>タンイ</t>
    </rPh>
    <phoneticPr fontId="8"/>
  </si>
  <si>
    <t>51_05</t>
    <phoneticPr fontId="8"/>
  </si>
  <si>
    <t>セレクト_検査データ</t>
    <rPh sb="5" eb="7">
      <t>ケンサ</t>
    </rPh>
    <phoneticPr fontId="8"/>
  </si>
  <si>
    <t>採取日時</t>
    <rPh sb="0" eb="2">
      <t>サイシュ</t>
    </rPh>
    <rPh sb="2" eb="4">
      <t>ニチジ</t>
    </rPh>
    <phoneticPr fontId="8"/>
  </si>
  <si>
    <t>facility_it_code</t>
    <phoneticPr fontId="8"/>
  </si>
  <si>
    <t>51_06</t>
    <phoneticPr fontId="8"/>
  </si>
  <si>
    <t>診療行為名称</t>
    <phoneticPr fontId="8"/>
  </si>
  <si>
    <t>shinryo_koi_name</t>
    <phoneticPr fontId="8"/>
  </si>
  <si>
    <t>51_07</t>
    <phoneticPr fontId="8"/>
  </si>
  <si>
    <t>薬剤ごとのN数</t>
    <phoneticPr fontId="8"/>
  </si>
  <si>
    <t>薬剤ごとの使用期間</t>
    <phoneticPr fontId="8"/>
  </si>
  <si>
    <t>診療行為ごとのN数</t>
    <phoneticPr fontId="8"/>
  </si>
  <si>
    <t>検査ごとのN数</t>
    <phoneticPr fontId="8"/>
  </si>
  <si>
    <t>観察期間ごとのN数</t>
    <phoneticPr fontId="8"/>
  </si>
  <si>
    <t>年齢ごとのN数</t>
    <phoneticPr fontId="8"/>
  </si>
  <si>
    <t>性別ごとのN数</t>
    <rPh sb="0" eb="2">
      <t>セイベツ</t>
    </rPh>
    <phoneticPr fontId="8"/>
  </si>
  <si>
    <t>lookback期間ごとのN数</t>
    <rPh sb="8" eb="10">
      <t>キカン</t>
    </rPh>
    <phoneticPr fontId="8"/>
  </si>
  <si>
    <t>患者区分</t>
    <rPh sb="0" eb="4">
      <t>カンジャクブン</t>
    </rPh>
    <phoneticPr fontId="8"/>
  </si>
  <si>
    <t>薬剤ごとのN数_1q21+</t>
    <phoneticPr fontId="8"/>
  </si>
  <si>
    <t>薬剤ごとの使用期間_1q21+</t>
    <phoneticPr fontId="8"/>
  </si>
  <si>
    <t>診療行為ごとのN数_1q21+</t>
    <phoneticPr fontId="8"/>
  </si>
  <si>
    <t>検査ごとのN数_1q21+</t>
    <phoneticPr fontId="8"/>
  </si>
  <si>
    <t>観察期間ごとのN数_1q21+</t>
    <phoneticPr fontId="8"/>
  </si>
  <si>
    <t>年齢ごとのN数_1q21+</t>
    <phoneticPr fontId="8"/>
  </si>
  <si>
    <t>性別ごとのN数_1q21+</t>
    <rPh sb="0" eb="2">
      <t>セイベツ</t>
    </rPh>
    <phoneticPr fontId="8"/>
  </si>
  <si>
    <t>lookback期間ごとのN数_1q21+</t>
    <rPh sb="8" eb="10">
      <t>キカン</t>
    </rPh>
    <phoneticPr fontId="8"/>
  </si>
  <si>
    <t>薬剤ごとのN数_ハイリスク3種</t>
    <phoneticPr fontId="8"/>
  </si>
  <si>
    <t>薬剤ごとの使用期間_ハイリスク3種</t>
    <phoneticPr fontId="8"/>
  </si>
  <si>
    <t>診療行為ごとのN数_ハイリスク3種</t>
    <phoneticPr fontId="8"/>
  </si>
  <si>
    <t>検査ごとのN数_ハイリスク3種</t>
    <rPh sb="0" eb="2">
      <t>ケンサ</t>
    </rPh>
    <phoneticPr fontId="8"/>
  </si>
  <si>
    <t>観察期間ごとのN数_ハイリスク3種</t>
    <rPh sb="0" eb="2">
      <t>カンサツ</t>
    </rPh>
    <rPh sb="2" eb="4">
      <t>キカン</t>
    </rPh>
    <phoneticPr fontId="8"/>
  </si>
  <si>
    <t>年齢ごとのN数_ハイリスク3種</t>
    <rPh sb="0" eb="2">
      <t>ネンレイ</t>
    </rPh>
    <phoneticPr fontId="8"/>
  </si>
  <si>
    <t>性別ごとのN数_ハイリスク3種</t>
    <rPh sb="0" eb="2">
      <t>セイベツ</t>
    </rPh>
    <phoneticPr fontId="8"/>
  </si>
  <si>
    <t>lookback期間ごとのN数_ハイリスク3種</t>
    <rPh sb="8" eb="10">
      <t>キカン</t>
    </rPh>
    <phoneticPr fontId="8"/>
  </si>
  <si>
    <t>52_01</t>
  </si>
  <si>
    <t>52_02</t>
  </si>
  <si>
    <t>ファイル</t>
    <phoneticPr fontId="8"/>
  </si>
  <si>
    <t>52_03</t>
    <phoneticPr fontId="8"/>
  </si>
  <si>
    <t>52_04</t>
    <phoneticPr fontId="8"/>
  </si>
  <si>
    <t>52_05</t>
    <phoneticPr fontId="8"/>
  </si>
  <si>
    <t>52_06</t>
    <phoneticPr fontId="8"/>
  </si>
  <si>
    <t>52_07</t>
    <phoneticPr fontId="8"/>
  </si>
  <si>
    <t>52_08</t>
    <phoneticPr fontId="8"/>
  </si>
  <si>
    <t>52_09</t>
    <phoneticPr fontId="8"/>
  </si>
  <si>
    <t>52_10</t>
    <phoneticPr fontId="8"/>
  </si>
  <si>
    <t>52_11</t>
    <phoneticPr fontId="8"/>
  </si>
  <si>
    <t>52_12</t>
    <phoneticPr fontId="8"/>
  </si>
  <si>
    <t>52_13</t>
    <phoneticPr fontId="8"/>
  </si>
  <si>
    <t>52_14</t>
    <phoneticPr fontId="8"/>
  </si>
  <si>
    <t>52_15</t>
    <phoneticPr fontId="8"/>
  </si>
  <si>
    <t>52_16</t>
    <phoneticPr fontId="8"/>
  </si>
  <si>
    <t>52_17</t>
    <phoneticPr fontId="8"/>
  </si>
  <si>
    <t>52_18</t>
    <phoneticPr fontId="8"/>
  </si>
  <si>
    <t>52_19</t>
    <phoneticPr fontId="8"/>
  </si>
  <si>
    <t>52_20</t>
    <phoneticPr fontId="8"/>
  </si>
  <si>
    <t>52_21</t>
    <phoneticPr fontId="8"/>
  </si>
  <si>
    <t>52_22</t>
    <phoneticPr fontId="8"/>
  </si>
  <si>
    <t>52_23</t>
    <phoneticPr fontId="8"/>
  </si>
  <si>
    <t>52_24</t>
    <phoneticPr fontId="8"/>
  </si>
  <si>
    <t>52_25</t>
    <phoneticPr fontId="8"/>
  </si>
  <si>
    <t>report1</t>
    <phoneticPr fontId="8"/>
  </si>
  <si>
    <t>区分</t>
    <rPh sb="0" eb="2">
      <t>クブン</t>
    </rPh>
    <phoneticPr fontId="8"/>
  </si>
  <si>
    <t>kubun</t>
    <phoneticPr fontId="8"/>
  </si>
  <si>
    <t>ステップ1報告_患者区分</t>
    <rPh sb="8" eb="12">
      <t>カンジャクブン</t>
    </rPh>
    <phoneticPr fontId="8"/>
  </si>
  <si>
    <t>入院退院データの場合入院年月日を、外来の場合は外来年月日を設定</t>
    <rPh sb="0" eb="2">
      <t>ニュウイン</t>
    </rPh>
    <rPh sb="2" eb="4">
      <t>タイイン</t>
    </rPh>
    <rPh sb="8" eb="10">
      <t>バアイ</t>
    </rPh>
    <rPh sb="10" eb="12">
      <t>ニュウイン</t>
    </rPh>
    <rPh sb="12" eb="15">
      <t>ネンガッピ</t>
    </rPh>
    <rPh sb="17" eb="19">
      <t>ガイライ</t>
    </rPh>
    <rPh sb="20" eb="22">
      <t>バアイ</t>
    </rPh>
    <rPh sb="23" eb="25">
      <t>ガイライ</t>
    </rPh>
    <rPh sb="25" eb="27">
      <t>ネンゲツ</t>
    </rPh>
    <rPh sb="27" eb="28">
      <t>ビ</t>
    </rPh>
    <rPh sb="29" eb="31">
      <t>セッテイ</t>
    </rPh>
    <phoneticPr fontId="8"/>
  </si>
  <si>
    <t>入院退院データの場合退院年月日を、外来の場合は外来年月日を設定</t>
    <rPh sb="0" eb="2">
      <t>ニュウイン</t>
    </rPh>
    <rPh sb="2" eb="4">
      <t>タイイン</t>
    </rPh>
    <rPh sb="8" eb="10">
      <t>バアイ</t>
    </rPh>
    <rPh sb="10" eb="12">
      <t>タイイン</t>
    </rPh>
    <rPh sb="12" eb="15">
      <t>ネンガッピ</t>
    </rPh>
    <rPh sb="17" eb="19">
      <t>ガイライ</t>
    </rPh>
    <rPh sb="20" eb="22">
      <t>バアイ</t>
    </rPh>
    <rPh sb="23" eb="25">
      <t>ガイライ</t>
    </rPh>
    <rPh sb="25" eb="27">
      <t>ネンゲツ</t>
    </rPh>
    <rPh sb="27" eb="28">
      <t>ビ</t>
    </rPh>
    <rPh sb="29" eb="31">
      <t>セッテイ</t>
    </rPh>
    <phoneticPr fontId="8"/>
  </si>
  <si>
    <t>入院退院データの場合「入院」を、外来の場合は「外来」を設定</t>
    <rPh sb="0" eb="2">
      <t>ニュウイン</t>
    </rPh>
    <rPh sb="2" eb="4">
      <t>タイイン</t>
    </rPh>
    <rPh sb="8" eb="10">
      <t>バアイ</t>
    </rPh>
    <rPh sb="11" eb="13">
      <t>ニュウイン</t>
    </rPh>
    <rPh sb="16" eb="18">
      <t>ガイライ</t>
    </rPh>
    <rPh sb="19" eb="21">
      <t>バアイ</t>
    </rPh>
    <rPh sb="23" eb="25">
      <t>ガイライ</t>
    </rPh>
    <rPh sb="27" eb="29">
      <t>セッテイ</t>
    </rPh>
    <phoneticPr fontId="8"/>
  </si>
  <si>
    <t>投与量</t>
    <phoneticPr fontId="8"/>
  </si>
  <si>
    <t>成分量×使用量</t>
    <rPh sb="0" eb="2">
      <t>セイブン</t>
    </rPh>
    <rPh sb="2" eb="3">
      <t>リョウ</t>
    </rPh>
    <rPh sb="4" eb="7">
      <t>シヨウリョウ</t>
    </rPh>
    <phoneticPr fontId="8"/>
  </si>
  <si>
    <t>PK項目ごとに行番号を採番</t>
    <rPh sb="2" eb="4">
      <t>コウモク</t>
    </rPh>
    <rPh sb="7" eb="10">
      <t>ギョウバンゴウ</t>
    </rPh>
    <rPh sb="11" eb="13">
      <t>サイバン</t>
    </rPh>
    <phoneticPr fontId="8"/>
  </si>
  <si>
    <t>index_dateまでの期間ごとのN数</t>
    <phoneticPr fontId="8"/>
  </si>
  <si>
    <t>52_26</t>
    <phoneticPr fontId="8"/>
  </si>
  <si>
    <t>index_dateまでの期間ごとのN数_1q21+</t>
    <phoneticPr fontId="8"/>
  </si>
  <si>
    <t>52_27</t>
    <phoneticPr fontId="8"/>
  </si>
  <si>
    <t>52_28</t>
    <phoneticPr fontId="8"/>
  </si>
  <si>
    <t>index_dateまでの期間ごとのN数_ハイリスク3種</t>
    <phoneticPr fontId="8"/>
  </si>
  <si>
    <t>51_08</t>
    <phoneticPr fontId="8"/>
  </si>
  <si>
    <t>セレクト_入院外来サマリ</t>
    <phoneticPr fontId="8"/>
  </si>
  <si>
    <t>セレクト_入院外来サマリ</t>
    <phoneticPr fontId="8"/>
  </si>
  <si>
    <t>現入院情報の入院日が1つ前の入院情報の退院日以前の場合、入院日を退院日+1に設定</t>
    <rPh sb="0" eb="1">
      <t>ゲン</t>
    </rPh>
    <rPh sb="1" eb="3">
      <t>ニュウイン</t>
    </rPh>
    <rPh sb="3" eb="5">
      <t>ジョウホウ</t>
    </rPh>
    <rPh sb="6" eb="8">
      <t>ニュウイン</t>
    </rPh>
    <rPh sb="8" eb="9">
      <t>ビ</t>
    </rPh>
    <rPh sb="12" eb="13">
      <t>マエ</t>
    </rPh>
    <rPh sb="14" eb="16">
      <t>ニュウイン</t>
    </rPh>
    <rPh sb="16" eb="18">
      <t>ジョウホウ</t>
    </rPh>
    <rPh sb="19" eb="22">
      <t>タイインビ</t>
    </rPh>
    <rPh sb="22" eb="24">
      <t>イゼン</t>
    </rPh>
    <rPh sb="25" eb="27">
      <t>バアイ</t>
    </rPh>
    <rPh sb="28" eb="30">
      <t>ニュウイン</t>
    </rPh>
    <rPh sb="30" eb="31">
      <t>ビ</t>
    </rPh>
    <rPh sb="32" eb="35">
      <t>タイインビ</t>
    </rPh>
    <rPh sb="38" eb="40">
      <t>セッテイ</t>
    </rPh>
    <phoneticPr fontId="9"/>
  </si>
  <si>
    <t>nyu_gai_kubun</t>
  </si>
  <si>
    <t>raiin_ymd</t>
  </si>
  <si>
    <t>annony</t>
    <phoneticPr fontId="8"/>
  </si>
  <si>
    <t>匿名化_患者情報</t>
    <rPh sb="0" eb="3">
      <t>トクメイカ</t>
    </rPh>
    <rPh sb="6" eb="8">
      <t>ジョウホウ</t>
    </rPh>
    <phoneticPr fontId="8"/>
  </si>
  <si>
    <t>匿名化_併発疾患情報</t>
    <rPh sb="0" eb="3">
      <t>トクメイカ</t>
    </rPh>
    <rPh sb="4" eb="8">
      <t>ヘイハツシッカン</t>
    </rPh>
    <rPh sb="8" eb="10">
      <t>ジョウホウ</t>
    </rPh>
    <phoneticPr fontId="8"/>
  </si>
  <si>
    <t>匿名化_日付情報</t>
    <rPh sb="0" eb="3">
      <t>トクメイカ</t>
    </rPh>
    <rPh sb="4" eb="6">
      <t>ヒヅケ</t>
    </rPh>
    <rPh sb="6" eb="8">
      <t>ジョウホウ</t>
    </rPh>
    <phoneticPr fontId="8"/>
  </si>
  <si>
    <t>匿名化_染色体情報</t>
    <rPh sb="0" eb="3">
      <t>トクメイカ</t>
    </rPh>
    <rPh sb="4" eb="7">
      <t>センショクタイ</t>
    </rPh>
    <rPh sb="7" eb="9">
      <t>ジョウホウ</t>
    </rPh>
    <phoneticPr fontId="8"/>
  </si>
  <si>
    <t>匿名化_匿名加工前データ</t>
    <rPh sb="0" eb="3">
      <t>トクメイカ</t>
    </rPh>
    <rPh sb="4" eb="6">
      <t>トクメイ</t>
    </rPh>
    <rPh sb="6" eb="8">
      <t>カコウ</t>
    </rPh>
    <rPh sb="8" eb="9">
      <t>マエ</t>
    </rPh>
    <phoneticPr fontId="8"/>
  </si>
  <si>
    <t>匿名化_患者情報</t>
    <phoneticPr fontId="8"/>
  </si>
  <si>
    <t>sex_kubun</t>
    <phoneticPr fontId="8"/>
  </si>
  <si>
    <t>1の場合、「男性」
2の場合、「女性」に変換</t>
    <rPh sb="2" eb="4">
      <t>バアイ</t>
    </rPh>
    <rPh sb="6" eb="8">
      <t>ダンセイ</t>
    </rPh>
    <rPh sb="16" eb="18">
      <t>ジョセイ</t>
    </rPh>
    <rPh sb="20" eb="22">
      <t>ヘンカン</t>
    </rPh>
    <phoneticPr fontId="8"/>
  </si>
  <si>
    <t>date</t>
    <phoneticPr fontId="8"/>
  </si>
  <si>
    <t>匿名化_検査値情報</t>
    <rPh sb="0" eb="3">
      <t>トクメイカ</t>
    </rPh>
    <rPh sb="4" eb="6">
      <t>ケンサ</t>
    </rPh>
    <rPh sb="6" eb="7">
      <t>チ</t>
    </rPh>
    <rPh sb="7" eb="9">
      <t>ジョウホウ</t>
    </rPh>
    <phoneticPr fontId="8"/>
  </si>
  <si>
    <t>匿名化_診療行為情報</t>
    <rPh sb="0" eb="3">
      <t>トクメイカ</t>
    </rPh>
    <rPh sb="4" eb="8">
      <t>シンリョウコウイ</t>
    </rPh>
    <rPh sb="8" eb="10">
      <t>ジョウホウ</t>
    </rPh>
    <phoneticPr fontId="8"/>
  </si>
  <si>
    <t>匿名化_併発疾患情報</t>
    <phoneticPr fontId="8"/>
  </si>
  <si>
    <t>心筋梗塞_疾患開始日</t>
  </si>
  <si>
    <t>うっ血性心不全_疾患開始日</t>
  </si>
  <si>
    <t>末梢動脈疾患_疾患開始日</t>
  </si>
  <si>
    <t>脳血管障害_疾患開始日</t>
  </si>
  <si>
    <t>認知症 _疾患開始日</t>
  </si>
  <si>
    <t>慢性肺疾患_疾患開始日</t>
  </si>
  <si>
    <t>結合組織疾患_疾患開始日</t>
  </si>
  <si>
    <t>潰瘍性疾患_疾患開始日</t>
  </si>
  <si>
    <t>軽度の肝疾患_疾患開始日</t>
  </si>
  <si>
    <t>合併症を伴わない糖尿病_疾患開始日</t>
  </si>
  <si>
    <t>合併症を伴う糖尿病_疾患開始日</t>
  </si>
  <si>
    <t>片麻痺・対麻痺_疾患開始日</t>
  </si>
  <si>
    <t>腎疾患_疾患開始日</t>
  </si>
  <si>
    <t>悪性腫瘍_疾患開始日</t>
  </si>
  <si>
    <t>中等度～重度の肝疾患_疾患開始日</t>
  </si>
  <si>
    <t>転移性充実性腫瘍_疾患開始日</t>
  </si>
  <si>
    <t>HIV/AIDS_疾患開始日</t>
  </si>
  <si>
    <t>myocardial_infarction_start_date</t>
  </si>
  <si>
    <t>congestive_heart_failure_start_date</t>
  </si>
  <si>
    <t>peripheral_vascular_start_date</t>
  </si>
  <si>
    <t>cerebrovascular_disease_start_date</t>
  </si>
  <si>
    <t>dementia_start_date</t>
  </si>
  <si>
    <t>chronic_pulmonary_start_date</t>
  </si>
  <si>
    <t>peptic_ulcer_disease_start_date</t>
  </si>
  <si>
    <t>mild_liver_disease_start_date</t>
  </si>
  <si>
    <t>diabetes_without_chronic_start_date</t>
  </si>
  <si>
    <t>diabetes_with_chronic_start_date</t>
  </si>
  <si>
    <t>paraplegia_and_hemiplegia_start_date</t>
  </si>
  <si>
    <t>renal_disease_start_date</t>
  </si>
  <si>
    <t>moderate_or_severe_liver_start_date</t>
  </si>
  <si>
    <t>metastatic_carcinoma_start_date</t>
  </si>
  <si>
    <t>hiv_aids_start_date</t>
  </si>
  <si>
    <t>表示名:うっ血性心不全の疾患開始日を設定</t>
  </si>
  <si>
    <t>表示名:末梢動脈疾患の疾患開始日を設定</t>
  </si>
  <si>
    <t>表示名:脳血管障害の疾患開始日を設定</t>
  </si>
  <si>
    <t>表示名:認知症 の疾患開始日を設定</t>
  </si>
  <si>
    <t>表示名:慢性肺疾患の疾患開始日を設定</t>
  </si>
  <si>
    <t>表示名:結合組織疾患の疾患開始日を設定</t>
  </si>
  <si>
    <t>表示名:潰瘍性疾患の疾患開始日を設定</t>
  </si>
  <si>
    <t>表示名:軽度の肝疾患の疾患開始日を設定</t>
  </si>
  <si>
    <t>表示名:合併症を伴わない糖尿病の疾患開始日を設定</t>
  </si>
  <si>
    <t>表示名:合併症を伴う糖尿病の疾患開始日を設定</t>
  </si>
  <si>
    <t>表示名:片麻痺・対麻痺の疾患開始日を設定</t>
  </si>
  <si>
    <t>表示名:腎疾患の疾患開始日を設定</t>
  </si>
  <si>
    <t>表示名:悪性腫瘍の疾患開始日を設定</t>
  </si>
  <si>
    <t>表示名:中等度～重度の肝疾患の疾患開始日を設定</t>
  </si>
  <si>
    <t>表示名:転移性充実性腫瘍の疾患開始日を設定</t>
  </si>
  <si>
    <t>表示名:HIV/AIDSの疾患開始日を設定</t>
  </si>
  <si>
    <t>匿名化_患者情報</t>
    <rPh sb="0" eb="3">
      <t>トクメイカ</t>
    </rPh>
    <rPh sb="4" eb="6">
      <t>カンジャ</t>
    </rPh>
    <rPh sb="6" eb="8">
      <t>ジョウホウ</t>
    </rPh>
    <phoneticPr fontId="8"/>
  </si>
  <si>
    <t>61_01</t>
    <phoneticPr fontId="8"/>
  </si>
  <si>
    <t>匿名化_併発疾患情報</t>
    <rPh sb="0" eb="3">
      <t>トクメイカ</t>
    </rPh>
    <rPh sb="8" eb="10">
      <t>ジョウホウ</t>
    </rPh>
    <phoneticPr fontId="8"/>
  </si>
  <si>
    <t>匿名化_日付情報</t>
    <phoneticPr fontId="8"/>
  </si>
  <si>
    <t>イベント日付</t>
    <rPh sb="4" eb="6">
      <t>ヒヅケ</t>
    </rPh>
    <phoneticPr fontId="8"/>
  </si>
  <si>
    <t>event_date</t>
    <phoneticPr fontId="8"/>
  </si>
  <si>
    <t>入外区分</t>
    <phoneticPr fontId="8"/>
  </si>
  <si>
    <t>入外区分がNullの場合、不明を設定</t>
    <rPh sb="0" eb="2">
      <t>ニュウガイ</t>
    </rPh>
    <rPh sb="2" eb="4">
      <t>クブン</t>
    </rPh>
    <rPh sb="10" eb="12">
      <t>バアイ</t>
    </rPh>
    <rPh sb="13" eb="15">
      <t>フメイ</t>
    </rPh>
    <rPh sb="16" eb="18">
      <t>セッテイ</t>
    </rPh>
    <phoneticPr fontId="8"/>
  </si>
  <si>
    <t>患者ごとのイベント日付を取得し、セレクト_入院外来データテーブルを結合した結果を匿名化_日付情報テーブルに格納する。</t>
    <rPh sb="0" eb="2">
      <t>カンジャ</t>
    </rPh>
    <rPh sb="9" eb="11">
      <t>ヒヅケ</t>
    </rPh>
    <rPh sb="12" eb="14">
      <t>シュトク</t>
    </rPh>
    <rPh sb="33" eb="35">
      <t>ケツゴウ</t>
    </rPh>
    <rPh sb="37" eb="39">
      <t>ケッカ</t>
    </rPh>
    <rPh sb="53" eb="55">
      <t>カクノウ</t>
    </rPh>
    <phoneticPr fontId="8"/>
  </si>
  <si>
    <t>匿名化_染色体情報</t>
    <phoneticPr fontId="8"/>
  </si>
  <si>
    <t>テキスト_染色体情報</t>
    <phoneticPr fontId="8"/>
  </si>
  <si>
    <t>t（４；１４）</t>
    <phoneticPr fontId="8"/>
  </si>
  <si>
    <t>del（１７ｐ）</t>
    <phoneticPr fontId="8"/>
  </si>
  <si>
    <t>igh_fgfr3</t>
    <phoneticPr fontId="8"/>
  </si>
  <si>
    <t>tp53</t>
    <phoneticPr fontId="8"/>
  </si>
  <si>
    <t>LDH_検査値</t>
  </si>
  <si>
    <t>ldh_value</t>
  </si>
  <si>
    <t>アルブミン_検査値</t>
  </si>
  <si>
    <t>albumin_value</t>
  </si>
  <si>
    <t>β2ミクログロブリン_検査値</t>
  </si>
  <si>
    <t>AST_検査値</t>
  </si>
  <si>
    <t>ast_value</t>
  </si>
  <si>
    <t>ALT_検査値</t>
  </si>
  <si>
    <t>alt_value</t>
  </si>
  <si>
    <t>BUN_検査値</t>
  </si>
  <si>
    <t>bun_value</t>
  </si>
  <si>
    <t>eGFR_検査値</t>
  </si>
  <si>
    <t>egfr_value</t>
  </si>
  <si>
    <t>表示名:アルブミンの検査値を設定</t>
  </si>
  <si>
    <t>表示名:ASTの検査値を設定</t>
  </si>
  <si>
    <t>表示名:ALTの検査値を設定</t>
  </si>
  <si>
    <t>表示名:BUNの検査値を設定</t>
  </si>
  <si>
    <t>匿名化_検査値情報</t>
    <phoneticPr fontId="8"/>
  </si>
  <si>
    <t>採取日時を設定</t>
    <rPh sb="0" eb="4">
      <t>サイシュニチジ</t>
    </rPh>
    <rPh sb="5" eb="7">
      <t>セッテイ</t>
    </rPh>
    <phoneticPr fontId="8"/>
  </si>
  <si>
    <t>匿名化_診療行為情報</t>
    <phoneticPr fontId="8"/>
  </si>
  <si>
    <t>実施年月日を設定</t>
    <rPh sb="0" eb="5">
      <t>ジッシネンガッピ</t>
    </rPh>
    <rPh sb="6" eb="8">
      <t>セッテイ</t>
    </rPh>
    <phoneticPr fontId="8"/>
  </si>
  <si>
    <t>染色体検査（ＦＩＳＨ法）_実施有無</t>
  </si>
  <si>
    <t>染色体検査（その他）_実施有無</t>
  </si>
  <si>
    <t>分染法加算（染色体検査）_実施有無</t>
  </si>
  <si>
    <t>造血幹細胞移植（骨髄移植）（同種移植）_実施有無</t>
  </si>
  <si>
    <t>造血幹細胞移植（骨髄移植）（自家移植）_実施有無</t>
  </si>
  <si>
    <t>造血幹細胞移植（末梢血幹細胞移植）（同種移植）_実施有無</t>
  </si>
  <si>
    <t>造血幹細胞移植（臍帯血移植）_実施有無</t>
  </si>
  <si>
    <t>匿名化_診療行為情報</t>
    <rPh sb="0" eb="2">
      <t>トクメイ</t>
    </rPh>
    <rPh sb="2" eb="3">
      <t>カ</t>
    </rPh>
    <rPh sb="8" eb="10">
      <t>ジョウホウ</t>
    </rPh>
    <phoneticPr fontId="8"/>
  </si>
  <si>
    <t>ct_fish_flg</t>
    <phoneticPr fontId="8"/>
  </si>
  <si>
    <t>ct_etc_flg</t>
    <phoneticPr fontId="8"/>
  </si>
  <si>
    <t>pma_ct_flg</t>
    <phoneticPr fontId="8"/>
  </si>
  <si>
    <t>造血幹細胞移植（末梢血幹細胞移植）（自家移植）_実施有無</t>
    <phoneticPr fontId="8"/>
  </si>
  <si>
    <t>ucbt_flg</t>
    <phoneticPr fontId="8"/>
  </si>
  <si>
    <t>bmt_allogeneic_flg</t>
    <phoneticPr fontId="8"/>
  </si>
  <si>
    <t>connective_tissue_disease_rheumatic_disease_start_date</t>
    <phoneticPr fontId="8"/>
  </si>
  <si>
    <t>b2_microglobulin_value</t>
    <phoneticPr fontId="8"/>
  </si>
  <si>
    <t>bmt_autologous_flg</t>
    <phoneticPr fontId="8"/>
  </si>
  <si>
    <t>pbsct_autologous_flg</t>
    <phoneticPr fontId="8"/>
  </si>
  <si>
    <t>61_02</t>
  </si>
  <si>
    <t>61_03</t>
  </si>
  <si>
    <t>61_04</t>
  </si>
  <si>
    <t>61_05</t>
  </si>
  <si>
    <t>61_06</t>
  </si>
  <si>
    <t>表示名:心筋梗塞の疾患開始日を設定</t>
    <phoneticPr fontId="8"/>
  </si>
  <si>
    <t>cancer_start_date</t>
    <phoneticPr fontId="8"/>
  </si>
  <si>
    <t>min_shikkan_start_date</t>
    <phoneticPr fontId="8"/>
  </si>
  <si>
    <t>表示名:LDHの検査値を設定</t>
    <phoneticPr fontId="8"/>
  </si>
  <si>
    <t>表示名:β2ミクログロブリンの検査値を設定</t>
    <phoneticPr fontId="8"/>
  </si>
  <si>
    <t>pbsct_allogeneic_flg</t>
    <phoneticPr fontId="8"/>
  </si>
  <si>
    <t>匿名化_検査値情報</t>
    <rPh sb="4" eb="6">
      <t>ケンサ</t>
    </rPh>
    <rPh sb="6" eb="7">
      <t>アタイ</t>
    </rPh>
    <phoneticPr fontId="8"/>
  </si>
  <si>
    <t>行番号</t>
    <rPh sb="0" eb="3">
      <t>ギョウバンゴウ</t>
    </rPh>
    <phoneticPr fontId="14"/>
  </si>
  <si>
    <t>row_no</t>
    <phoneticPr fontId="8"/>
  </si>
  <si>
    <t>PK項目ごとに行番号を採番</t>
    <rPh sb="2" eb="4">
      <t>コウモク</t>
    </rPh>
    <phoneticPr fontId="8"/>
  </si>
  <si>
    <t>ステップ1報告_疾患データ</t>
    <rPh sb="8" eb="10">
      <t>シッカン</t>
    </rPh>
    <phoneticPr fontId="8"/>
  </si>
  <si>
    <t>ステップ1報告_疾患データ</t>
    <phoneticPr fontId="8"/>
  </si>
  <si>
    <t>52_29</t>
    <phoneticPr fontId="8"/>
  </si>
  <si>
    <t>ベース_診断履歴情報モジュール_診断履歴情報レコード</t>
    <rPh sb="4" eb="6">
      <t>シンダン</t>
    </rPh>
    <rPh sb="6" eb="8">
      <t>リレキ</t>
    </rPh>
    <rPh sb="8" eb="10">
      <t>ジョウホウ</t>
    </rPh>
    <rPh sb="16" eb="18">
      <t>シンダン</t>
    </rPh>
    <rPh sb="18" eb="20">
      <t>リレキ</t>
    </rPh>
    <rPh sb="20" eb="22">
      <t>ジョウホウ</t>
    </rPh>
    <phoneticPr fontId="8"/>
  </si>
  <si>
    <t>ベース_MML_診断履歴情報モジュール_病名</t>
    <phoneticPr fontId="8"/>
  </si>
  <si>
    <t>ベース_MML_検歴情報モジュール_本文</t>
    <phoneticPr fontId="8"/>
  </si>
  <si>
    <t>以下のレンジで一般化
40歳未満
40歳以上45歳未満
：　※以下5歳刻み
85歳以上</t>
    <rPh sb="0" eb="2">
      <t>イカ</t>
    </rPh>
    <rPh sb="7" eb="10">
      <t>イッパンカ</t>
    </rPh>
    <rPh sb="13" eb="16">
      <t>サイミマン</t>
    </rPh>
    <rPh sb="20" eb="22">
      <t>イジョウ</t>
    </rPh>
    <rPh sb="24" eb="25">
      <t>サイ</t>
    </rPh>
    <rPh sb="25" eb="27">
      <t>ミマン</t>
    </rPh>
    <rPh sb="31" eb="33">
      <t>イカ</t>
    </rPh>
    <rPh sb="34" eb="36">
      <t>サイキザ</t>
    </rPh>
    <rPh sb="41" eb="43">
      <t>イジョウ</t>
    </rPh>
    <phoneticPr fontId="8"/>
  </si>
  <si>
    <t>date</t>
    <phoneticPr fontId="8"/>
  </si>
  <si>
    <t>YYYYMMDD形式</t>
    <rPh sb="8" eb="10">
      <t>ケイシキ</t>
    </rPh>
    <phoneticPr fontId="8"/>
  </si>
  <si>
    <t>0:陰性/1:陽性/結果待ち/不明</t>
    <rPh sb="2" eb="4">
      <t>インセイ</t>
    </rPh>
    <rPh sb="7" eb="9">
      <t>ヨウセイ</t>
    </rPh>
    <rPh sb="10" eb="12">
      <t>ケッカ</t>
    </rPh>
    <rPh sb="12" eb="13">
      <t>マ</t>
    </rPh>
    <rPh sb="15" eb="17">
      <t>フメイ</t>
    </rPh>
    <phoneticPr fontId="8"/>
  </si>
  <si>
    <t>del（１７ｐ）</t>
  </si>
  <si>
    <t>tp53</t>
  </si>
  <si>
    <t>t（４；１４）</t>
  </si>
  <si>
    <t>igh_fgfr3</t>
  </si>
  <si>
    <t>1q21＋</t>
  </si>
  <si>
    <t>gain_1q21</t>
  </si>
  <si>
    <t>t（１４；１６）</t>
  </si>
  <si>
    <t>igh_maf</t>
  </si>
  <si>
    <t>陰性/陽性/結果待ち/不明</t>
    <rPh sb="0" eb="2">
      <t>インセイ</t>
    </rPh>
    <rPh sb="3" eb="5">
      <t>ヨウセイ</t>
    </rPh>
    <rPh sb="6" eb="8">
      <t>ケッカ</t>
    </rPh>
    <rPh sb="8" eb="9">
      <t>マ</t>
    </rPh>
    <rPh sb="11" eb="13">
      <t>フメイ</t>
    </rPh>
    <phoneticPr fontId="8"/>
  </si>
  <si>
    <t>ステップ1報告_染色体情報</t>
    <rPh sb="8" eb="11">
      <t>センショクタイ</t>
    </rPh>
    <rPh sb="11" eb="13">
      <t>ジョウホウ</t>
    </rPh>
    <phoneticPr fontId="8"/>
  </si>
  <si>
    <t>ステップ1報告_染色体情報</t>
    <rPh sb="5" eb="7">
      <t>ホウコク</t>
    </rPh>
    <rPh sb="8" eb="11">
      <t>センショクタイ</t>
    </rPh>
    <rPh sb="11" eb="13">
      <t>ジョウホウ</t>
    </rPh>
    <phoneticPr fontId="8"/>
  </si>
  <si>
    <t>匿名化_匿名加工前データ</t>
    <phoneticPr fontId="8"/>
  </si>
  <si>
    <t>shoho_start_date</t>
    <phoneticPr fontId="8"/>
  </si>
  <si>
    <t>koi_times</t>
    <phoneticPr fontId="8"/>
  </si>
  <si>
    <t>観察開始日</t>
    <phoneticPr fontId="14"/>
  </si>
  <si>
    <t>観察終了日</t>
    <phoneticPr fontId="14"/>
  </si>
  <si>
    <t>主傷病開始日</t>
    <phoneticPr fontId="14"/>
  </si>
  <si>
    <t>心筋梗塞_疾患開始日</t>
    <phoneticPr fontId="14"/>
  </si>
  <si>
    <t>うっ血性心不全_疾患開始日</t>
    <phoneticPr fontId="14"/>
  </si>
  <si>
    <t>末梢動脈疾患_疾患開始日</t>
    <phoneticPr fontId="14"/>
  </si>
  <si>
    <t>脳血管障害_疾患開始日</t>
    <phoneticPr fontId="14"/>
  </si>
  <si>
    <t>認知症 _疾患開始日</t>
    <phoneticPr fontId="14"/>
  </si>
  <si>
    <t>慢性肺疾患_疾患開始日</t>
    <phoneticPr fontId="14"/>
  </si>
  <si>
    <t>結合組織疾患_疾患開始日</t>
    <phoneticPr fontId="14"/>
  </si>
  <si>
    <t>潰瘍性疾患_疾患開始日</t>
    <phoneticPr fontId="14"/>
  </si>
  <si>
    <t>軽度の肝疾患_疾患開始日</t>
    <phoneticPr fontId="14"/>
  </si>
  <si>
    <t>合併症を伴わない糖尿病_疾患開始日</t>
    <phoneticPr fontId="14"/>
  </si>
  <si>
    <t>合併症を伴う糖尿病_疾患開始日</t>
    <phoneticPr fontId="14"/>
  </si>
  <si>
    <t>片麻痺・対麻痺_疾患開始日</t>
    <phoneticPr fontId="14"/>
  </si>
  <si>
    <t>腎疾患_疾患開始日</t>
    <phoneticPr fontId="14"/>
  </si>
  <si>
    <t>悪性腫瘍_疾患開始日</t>
    <phoneticPr fontId="14"/>
  </si>
  <si>
    <t>中等度～重度の肝疾患_疾患開始日</t>
    <phoneticPr fontId="14"/>
  </si>
  <si>
    <t>転移性充実性腫瘍_疾患開始日</t>
    <phoneticPr fontId="14"/>
  </si>
  <si>
    <t>HIV/AIDS_疾患開始日</t>
    <phoneticPr fontId="14"/>
  </si>
  <si>
    <t>入外区分</t>
    <phoneticPr fontId="14"/>
  </si>
  <si>
    <t>文字列</t>
    <phoneticPr fontId="14"/>
  </si>
  <si>
    <t>来院年月日</t>
    <phoneticPr fontId="14"/>
  </si>
  <si>
    <t>退院年月日</t>
    <phoneticPr fontId="14"/>
  </si>
  <si>
    <t>イベント日付</t>
    <rPh sb="4" eb="6">
      <t>ヒヅケ</t>
    </rPh>
    <phoneticPr fontId="14"/>
  </si>
  <si>
    <t>del（１７ｐ）</t>
    <phoneticPr fontId="14"/>
  </si>
  <si>
    <t>t（４；１４）</t>
    <phoneticPr fontId="14"/>
  </si>
  <si>
    <t>t（１４；１６）</t>
    <phoneticPr fontId="14"/>
  </si>
  <si>
    <t>1q21＋</t>
    <phoneticPr fontId="14"/>
  </si>
  <si>
    <t>薬剤表示名</t>
    <phoneticPr fontId="14"/>
  </si>
  <si>
    <t>文字列</t>
    <phoneticPr fontId="14"/>
  </si>
  <si>
    <t>投与量</t>
    <phoneticPr fontId="14"/>
  </si>
  <si>
    <t>成分単位名称</t>
    <phoneticPr fontId="14"/>
  </si>
  <si>
    <t>LDH_検査値</t>
    <phoneticPr fontId="14"/>
  </si>
  <si>
    <t>アルブミン_検査値</t>
    <phoneticPr fontId="14"/>
  </si>
  <si>
    <t>β2ミクログロブリン_検査値</t>
    <phoneticPr fontId="14"/>
  </si>
  <si>
    <t>AST_検査値</t>
    <phoneticPr fontId="14"/>
  </si>
  <si>
    <t>ALT_検査値</t>
    <phoneticPr fontId="14"/>
  </si>
  <si>
    <t>BUN_検査値</t>
    <phoneticPr fontId="14"/>
  </si>
  <si>
    <t>eGFR_検査値</t>
    <phoneticPr fontId="14"/>
  </si>
  <si>
    <t>染色体検査（ＦＩＳＨ法）_実施有無</t>
    <phoneticPr fontId="14"/>
  </si>
  <si>
    <t>染色体検査（その他）_実施有無</t>
    <phoneticPr fontId="14"/>
  </si>
  <si>
    <t>分染法加算（染色体検査）_実施有無</t>
    <phoneticPr fontId="14"/>
  </si>
  <si>
    <t>造血幹細胞移植（骨髄移植）（同種移植）_実施有無</t>
    <phoneticPr fontId="14"/>
  </si>
  <si>
    <t>造血幹細胞移植（骨髄移植）（自家移植）_実施有無</t>
    <phoneticPr fontId="14"/>
  </si>
  <si>
    <t>造血幹細胞移植（末梢血幹細胞移植）（自家移植）_実施有無</t>
    <phoneticPr fontId="14"/>
  </si>
  <si>
    <t>造血幹細胞移植（末梢血幹細胞移植）（同種移植）_実施有無</t>
    <phoneticPr fontId="14"/>
  </si>
  <si>
    <t>男性/女性</t>
    <rPh sb="0" eb="2">
      <t>ダンセイ</t>
    </rPh>
    <rPh sb="3" eb="5">
      <t>ジョセイ</t>
    </rPh>
    <phoneticPr fontId="8"/>
  </si>
  <si>
    <t>40歳未満
40歳以上45歳未満
：　※以下5歳刻み
85歳以上</t>
    <rPh sb="2" eb="5">
      <t>サイミマン</t>
    </rPh>
    <rPh sb="9" eb="11">
      <t>イジョウ</t>
    </rPh>
    <rPh sb="13" eb="14">
      <t>サイ</t>
    </rPh>
    <rPh sb="14" eb="16">
      <t>ミマン</t>
    </rPh>
    <rPh sb="20" eb="22">
      <t>イカ</t>
    </rPh>
    <rPh sb="23" eb="25">
      <t>サイキザ</t>
    </rPh>
    <rPh sb="30" eb="32">
      <t>イジョウ</t>
    </rPh>
    <phoneticPr fontId="8"/>
  </si>
  <si>
    <t>入院/外来/不明</t>
    <rPh sb="0" eb="2">
      <t>ニュウイン</t>
    </rPh>
    <rPh sb="3" eb="5">
      <t>ガイライ</t>
    </rPh>
    <rPh sb="6" eb="8">
      <t>フメイ</t>
    </rPh>
    <phoneticPr fontId="8"/>
  </si>
  <si>
    <t>匿名化_薬剤情報</t>
    <phoneticPr fontId="8"/>
  </si>
  <si>
    <t>匿名化_薬剤情報</t>
    <rPh sb="0" eb="3">
      <t>トクメイカ</t>
    </rPh>
    <rPh sb="4" eb="6">
      <t>ヤクザイ</t>
    </rPh>
    <rPh sb="6" eb="8">
      <t>ジョウホウ</t>
    </rPh>
    <phoneticPr fontId="8"/>
  </si>
  <si>
    <t>匿名化_未加工データ</t>
    <rPh sb="0" eb="3">
      <t>トクメイカ</t>
    </rPh>
    <rPh sb="4" eb="5">
      <t>ミ</t>
    </rPh>
    <rPh sb="5" eb="7">
      <t>カコウ</t>
    </rPh>
    <phoneticPr fontId="8"/>
  </si>
  <si>
    <t>処方日数</t>
    <phoneticPr fontId="8"/>
  </si>
  <si>
    <t>PK項目ごとに薬剤表示名、処方日数、投与量順に採番</t>
    <rPh sb="2" eb="4">
      <t>コウモク</t>
    </rPh>
    <rPh sb="7" eb="9">
      <t>ヤクザイ</t>
    </rPh>
    <rPh sb="9" eb="11">
      <t>ヒョウジ</t>
    </rPh>
    <rPh sb="11" eb="12">
      <t>メイ</t>
    </rPh>
    <rPh sb="18" eb="20">
      <t>トウヨ</t>
    </rPh>
    <rPh sb="20" eb="21">
      <t>リョウ</t>
    </rPh>
    <rPh sb="21" eb="22">
      <t>ジュン</t>
    </rPh>
    <rPh sb="23" eb="25">
      <t>サイバン</t>
    </rPh>
    <phoneticPr fontId="8"/>
  </si>
  <si>
    <t>shoho_start_date</t>
    <phoneticPr fontId="8"/>
  </si>
  <si>
    <t>1:あり　0:なし</t>
  </si>
  <si>
    <t>1:あり　0:なし</t>
    <phoneticPr fontId="8"/>
  </si>
  <si>
    <t>表示名:eGFRの検査値を設定
小数2桁未満は四捨五入</t>
    <rPh sb="16" eb="18">
      <t>ショウスウ</t>
    </rPh>
    <rPh sb="19" eb="20">
      <t>ケタ</t>
    </rPh>
    <rPh sb="20" eb="22">
      <t>ミマン</t>
    </rPh>
    <rPh sb="23" eb="27">
      <t>シシャゴニュウ</t>
    </rPh>
    <phoneticPr fontId="8"/>
  </si>
  <si>
    <t>総ビリルビン_検査値</t>
    <rPh sb="0" eb="1">
      <t>ソウ</t>
    </rPh>
    <phoneticPr fontId="8"/>
  </si>
  <si>
    <t>直接ビリルビン_検査値</t>
    <rPh sb="0" eb="2">
      <t>チョクセツ</t>
    </rPh>
    <phoneticPr fontId="8"/>
  </si>
  <si>
    <t>表示名:総ビリルビンの検査値を設定</t>
    <rPh sb="4" eb="5">
      <t>ソウ</t>
    </rPh>
    <phoneticPr fontId="8"/>
  </si>
  <si>
    <t>表示名:直接ビリルビンの検査値を設定</t>
    <rPh sb="4" eb="6">
      <t>チョクセツ</t>
    </rPh>
    <phoneticPr fontId="8"/>
  </si>
  <si>
    <t>all_bilirubin_value</t>
    <phoneticPr fontId="8"/>
  </si>
  <si>
    <t>direct_bilirubin_value</t>
    <phoneticPr fontId="8"/>
  </si>
  <si>
    <t>age_bef</t>
    <phoneticPr fontId="8"/>
  </si>
  <si>
    <t>年齢_加工前</t>
    <rPh sb="0" eb="2">
      <t>ネンレイ</t>
    </rPh>
    <rPh sb="3" eb="5">
      <t>カコウ</t>
    </rPh>
    <rPh sb="5" eb="6">
      <t>マエ</t>
    </rPh>
    <phoneticPr fontId="14"/>
  </si>
  <si>
    <t>shoho_days</t>
    <phoneticPr fontId="8"/>
  </si>
  <si>
    <t>匿名化_未加工データ</t>
    <phoneticPr fontId="8"/>
  </si>
  <si>
    <t>薬剤表示名：パノビノスタット乳酸塩の薬剤情報は行削除による匿名化を実施</t>
    <rPh sb="0" eb="2">
      <t>ヤクザイ</t>
    </rPh>
    <rPh sb="2" eb="4">
      <t>ヒョウジ</t>
    </rPh>
    <rPh sb="4" eb="5">
      <t>メイ</t>
    </rPh>
    <rPh sb="18" eb="20">
      <t>ヤクザイ</t>
    </rPh>
    <rPh sb="20" eb="22">
      <t>ジョウホウ</t>
    </rPh>
    <rPh sb="23" eb="26">
      <t>ギョウサクジョ</t>
    </rPh>
    <rPh sb="29" eb="31">
      <t>トクメイ</t>
    </rPh>
    <rPh sb="31" eb="32">
      <t>カ</t>
    </rPh>
    <rPh sb="33" eb="35">
      <t>ジッシ</t>
    </rPh>
    <phoneticPr fontId="8"/>
  </si>
  <si>
    <t>①</t>
    <phoneticPr fontId="8"/>
  </si>
  <si>
    <t>②</t>
    <phoneticPr fontId="8"/>
  </si>
  <si>
    <t>③</t>
    <phoneticPr fontId="8"/>
  </si>
  <si>
    <t>event_date</t>
    <phoneticPr fontId="8"/>
  </si>
  <si>
    <t>1: 主傷病　0:併発症</t>
    <rPh sb="3" eb="6">
      <t>シュショウビョウ</t>
    </rPh>
    <rPh sb="9" eb="11">
      <t>ヘイハツ</t>
    </rPh>
    <rPh sb="11" eb="12">
      <t>ショウ</t>
    </rPh>
    <phoneticPr fontId="9"/>
  </si>
  <si>
    <t>フラグ</t>
    <phoneticPr fontId="8"/>
  </si>
  <si>
    <t>匿名化_併発疾患情報2</t>
    <rPh sb="0" eb="3">
      <t>トクメイカ</t>
    </rPh>
    <rPh sb="4" eb="8">
      <t>ヘイハツシッカン</t>
    </rPh>
    <rPh sb="8" eb="10">
      <t>ジョウホウ</t>
    </rPh>
    <phoneticPr fontId="8"/>
  </si>
  <si>
    <t>匿名化_匿名加工前データ2</t>
    <rPh sb="0" eb="3">
      <t>トクメイカ</t>
    </rPh>
    <rPh sb="4" eb="6">
      <t>トクメイ</t>
    </rPh>
    <rPh sb="6" eb="8">
      <t>カコウ</t>
    </rPh>
    <rPh sb="8" eb="9">
      <t>マエ</t>
    </rPh>
    <phoneticPr fontId="8"/>
  </si>
  <si>
    <t>匿名化_未加工データ2</t>
    <rPh sb="0" eb="3">
      <t>トクメイカ</t>
    </rPh>
    <rPh sb="4" eb="5">
      <t>ミ</t>
    </rPh>
    <rPh sb="5" eb="7">
      <t>カコウ</t>
    </rPh>
    <phoneticPr fontId="8"/>
  </si>
  <si>
    <t>匿名化_併発疾患情報2</t>
    <phoneticPr fontId="8"/>
  </si>
  <si>
    <t>I252_疾患開始日</t>
  </si>
  <si>
    <t>I130_疾患開始日</t>
  </si>
  <si>
    <t>I132_疾患開始日</t>
  </si>
  <si>
    <t>I255_疾患開始日</t>
  </si>
  <si>
    <t>I64_疾患開始日</t>
  </si>
  <si>
    <t>F03_疾患開始日</t>
  </si>
  <si>
    <t>J40_疾患開始日</t>
  </si>
  <si>
    <t>J42_疾患開始日</t>
  </si>
  <si>
    <t>J46_疾患開始日</t>
  </si>
  <si>
    <t>J47_疾患開始日</t>
  </si>
  <si>
    <t>J60_疾患開始日</t>
  </si>
  <si>
    <t>J61_疾患開始日</t>
  </si>
  <si>
    <t>J64_疾患開始日</t>
  </si>
  <si>
    <t>J65_疾患開始日</t>
  </si>
  <si>
    <t>K700_疾患開始日</t>
  </si>
  <si>
    <t>K701_疾患開始日</t>
  </si>
  <si>
    <t>K702_疾患開始日</t>
  </si>
  <si>
    <t>K703_疾患開始日</t>
  </si>
  <si>
    <t>K709_疾患開始日</t>
  </si>
  <si>
    <t>K713_疾患開始日</t>
  </si>
  <si>
    <t>K714_疾患開始日</t>
  </si>
  <si>
    <t>K715_疾患開始日</t>
  </si>
  <si>
    <t>K717_疾患開始日</t>
  </si>
  <si>
    <t>K760_疾患開始日</t>
  </si>
  <si>
    <t>K762_疾患開始日</t>
  </si>
  <si>
    <t>K763_疾患開始日</t>
  </si>
  <si>
    <t>K764_疾患開始日</t>
  </si>
  <si>
    <t>K768_疾患開始日</t>
  </si>
  <si>
    <t>K769_疾患開始日</t>
  </si>
  <si>
    <t>Z944_疾患開始日</t>
  </si>
  <si>
    <t>E100_疾患開始日</t>
  </si>
  <si>
    <t>E101_疾患開始日</t>
  </si>
  <si>
    <t>E106_疾患開始日</t>
  </si>
  <si>
    <t>E108_疾患開始日</t>
  </si>
  <si>
    <t>E109_疾患開始日</t>
  </si>
  <si>
    <t>E110_疾患開始日</t>
  </si>
  <si>
    <t>E111_疾患開始日</t>
  </si>
  <si>
    <t>E116_疾患開始日</t>
  </si>
  <si>
    <t>E118_疾患開始日</t>
  </si>
  <si>
    <t>E119_疾患開始日</t>
  </si>
  <si>
    <t>E120_疾患開始日</t>
  </si>
  <si>
    <t>E121_疾患開始日</t>
  </si>
  <si>
    <t>E126_疾患開始日</t>
  </si>
  <si>
    <t>E128_疾患開始日</t>
  </si>
  <si>
    <t>E129_疾患開始日</t>
  </si>
  <si>
    <t>E130_疾患開始日</t>
  </si>
  <si>
    <t>E131_疾患開始日</t>
  </si>
  <si>
    <t>E136_疾患開始日</t>
  </si>
  <si>
    <t>E138_疾患開始日</t>
  </si>
  <si>
    <t>E139_疾患開始日</t>
  </si>
  <si>
    <t>E140_疾患開始日</t>
  </si>
  <si>
    <t>E141_疾患開始日</t>
  </si>
  <si>
    <t>E146_疾患開始日</t>
  </si>
  <si>
    <t>E148_疾患開始日</t>
  </si>
  <si>
    <t>E149_疾患開始日</t>
  </si>
  <si>
    <t>E102_疾患開始日</t>
  </si>
  <si>
    <t>E103_疾患開始日</t>
  </si>
  <si>
    <t>E104_疾患開始日</t>
  </si>
  <si>
    <t>E105_疾患開始日</t>
  </si>
  <si>
    <t>E112_疾患開始日</t>
  </si>
  <si>
    <t>E113_疾患開始日</t>
  </si>
  <si>
    <t>E114_疾患開始日</t>
  </si>
  <si>
    <t>E115_疾患開始日</t>
  </si>
  <si>
    <t>E117_疾患開始日</t>
  </si>
  <si>
    <t>E122_疾患開始日</t>
  </si>
  <si>
    <t>E123_疾患開始日</t>
  </si>
  <si>
    <t>E124_疾患開始日</t>
  </si>
  <si>
    <t>E125_疾患開始日</t>
  </si>
  <si>
    <t>E127_疾患開始日</t>
  </si>
  <si>
    <t>E132_疾患開始日</t>
  </si>
  <si>
    <t>E133_疾患開始日</t>
  </si>
  <si>
    <t>E134_疾患開始日</t>
  </si>
  <si>
    <t>E135_疾患開始日</t>
  </si>
  <si>
    <t>E137_疾患開始日</t>
  </si>
  <si>
    <t>E142_疾患開始日</t>
  </si>
  <si>
    <t>E143_疾患開始日</t>
  </si>
  <si>
    <t>E144_疾患開始日</t>
  </si>
  <si>
    <t>E145_疾患開始日</t>
  </si>
  <si>
    <t>E147_疾患開始日</t>
  </si>
  <si>
    <t>I131_疾患開始日</t>
  </si>
  <si>
    <t>N19_疾患開始日</t>
  </si>
  <si>
    <t>Z940_疾患開始日</t>
  </si>
  <si>
    <t>C01_疾患開始日</t>
  </si>
  <si>
    <t>C07_疾患開始日</t>
  </si>
  <si>
    <t>C12_疾患開始日</t>
  </si>
  <si>
    <t>C19_疾患開始日</t>
  </si>
  <si>
    <t>C20_疾患開始日</t>
  </si>
  <si>
    <t>C23_疾患開始日</t>
  </si>
  <si>
    <t>C33_疾患開始日</t>
  </si>
  <si>
    <t>C37_疾患開始日</t>
  </si>
  <si>
    <t>C52_疾患開始日</t>
  </si>
  <si>
    <t>C55_疾患開始日</t>
  </si>
  <si>
    <t>C56_疾患開始日</t>
  </si>
  <si>
    <t>C58_疾患開始日</t>
  </si>
  <si>
    <t>C61_疾患開始日</t>
  </si>
  <si>
    <t>C64_疾患開始日</t>
  </si>
  <si>
    <t>C65_疾患開始日</t>
  </si>
  <si>
    <t>C66_疾患開始日</t>
  </si>
  <si>
    <t>C73_疾患開始日</t>
  </si>
  <si>
    <t>C97_疾患開始日</t>
  </si>
  <si>
    <t>B24_疾患開始日</t>
  </si>
  <si>
    <t>shikkan1_start_date</t>
    <phoneticPr fontId="8"/>
  </si>
  <si>
    <t>shikkan2_start_date</t>
    <phoneticPr fontId="8"/>
  </si>
  <si>
    <t>shikkan3_start_date</t>
  </si>
  <si>
    <t>shikkan4_start_date</t>
  </si>
  <si>
    <t>shikkan5_start_date</t>
  </si>
  <si>
    <t>shikkan6_start_date</t>
  </si>
  <si>
    <t>shikkan7_start_date</t>
  </si>
  <si>
    <t>shikkan8_start_date</t>
  </si>
  <si>
    <t>shikkan9_start_date</t>
  </si>
  <si>
    <t>shikkan10_start_date</t>
  </si>
  <si>
    <t>shikkan11_start_date</t>
  </si>
  <si>
    <t>shikkan12_start_date</t>
  </si>
  <si>
    <t>shikkan13_start_date</t>
  </si>
  <si>
    <t>shikkan14_start_date</t>
  </si>
  <si>
    <t>shikkan15_start_date</t>
  </si>
  <si>
    <t>shikkan16_start_date</t>
  </si>
  <si>
    <t>shikkan17_start_date</t>
  </si>
  <si>
    <t>shikkan18_start_date</t>
  </si>
  <si>
    <t>shikkan19_start_date</t>
  </si>
  <si>
    <t>shikkan20_start_date</t>
  </si>
  <si>
    <t>shikkan21_start_date</t>
  </si>
  <si>
    <t>shikkan22_start_date</t>
  </si>
  <si>
    <t>shikkan23_start_date</t>
  </si>
  <si>
    <t>shikkan24_start_date</t>
  </si>
  <si>
    <t>shikkan25_start_date</t>
  </si>
  <si>
    <t>shikkan26_start_date</t>
  </si>
  <si>
    <t>shikkan27_start_date</t>
  </si>
  <si>
    <t>shikkan28_start_date</t>
  </si>
  <si>
    <t>shikkan29_start_date</t>
  </si>
  <si>
    <t>shikkan30_start_date</t>
  </si>
  <si>
    <t>shikkan31_start_date</t>
  </si>
  <si>
    <t>shikkan32_start_date</t>
  </si>
  <si>
    <t>shikkan33_start_date</t>
  </si>
  <si>
    <t>shikkan34_start_date</t>
  </si>
  <si>
    <t>shikkan35_start_date</t>
  </si>
  <si>
    <t>shikkan36_start_date</t>
  </si>
  <si>
    <t>shikkan37_start_date</t>
  </si>
  <si>
    <t>shikkan38_start_date</t>
  </si>
  <si>
    <t>shikkan39_start_date</t>
  </si>
  <si>
    <t>shikkan40_start_date</t>
  </si>
  <si>
    <t>shikkan41_start_date</t>
  </si>
  <si>
    <t>shikkan42_start_date</t>
  </si>
  <si>
    <t>shikkan43_start_date</t>
  </si>
  <si>
    <t>shikkan44_start_date</t>
  </si>
  <si>
    <t>shikkan45_start_date</t>
  </si>
  <si>
    <t>shikkan46_start_date</t>
  </si>
  <si>
    <t>shikkan47_start_date</t>
  </si>
  <si>
    <t>shikkan48_start_date</t>
  </si>
  <si>
    <t>shikkan49_start_date</t>
  </si>
  <si>
    <t>shikkan50_start_date</t>
  </si>
  <si>
    <t>shikkan51_start_date</t>
  </si>
  <si>
    <t>shikkan52_start_date</t>
  </si>
  <si>
    <t>shikkan53_start_date</t>
  </si>
  <si>
    <t>shikkan54_start_date</t>
  </si>
  <si>
    <t>shikkan55_start_date</t>
  </si>
  <si>
    <t>shikkan56_start_date</t>
  </si>
  <si>
    <t>shikkan57_start_date</t>
  </si>
  <si>
    <t>shikkan58_start_date</t>
  </si>
  <si>
    <t>shikkan59_start_date</t>
  </si>
  <si>
    <t>shikkan60_start_date</t>
  </si>
  <si>
    <t>shikkan61_start_date</t>
  </si>
  <si>
    <t>shikkan62_start_date</t>
  </si>
  <si>
    <t>shikkan63_start_date</t>
  </si>
  <si>
    <t>shikkan64_start_date</t>
  </si>
  <si>
    <t>shikkan65_start_date</t>
  </si>
  <si>
    <t>shikkan66_start_date</t>
  </si>
  <si>
    <t>shikkan67_start_date</t>
  </si>
  <si>
    <t>shikkan68_start_date</t>
  </si>
  <si>
    <t>shikkan69_start_date</t>
  </si>
  <si>
    <t>shikkan70_start_date</t>
  </si>
  <si>
    <t>shikkan71_start_date</t>
  </si>
  <si>
    <t>shikkan72_start_date</t>
  </si>
  <si>
    <t>shikkan73_start_date</t>
  </si>
  <si>
    <t>shikkan74_start_date</t>
  </si>
  <si>
    <t>shikkan75_start_date</t>
  </si>
  <si>
    <t>shikkan76_start_date</t>
  </si>
  <si>
    <t>shikkan77_start_date</t>
  </si>
  <si>
    <t>shikkan78_start_date</t>
  </si>
  <si>
    <t>shikkan79_start_date</t>
  </si>
  <si>
    <t>shikkan80_start_date</t>
  </si>
  <si>
    <t>shikkan81_start_date</t>
  </si>
  <si>
    <t>shikkan82_start_date</t>
  </si>
  <si>
    <t>shikkan83_start_date</t>
  </si>
  <si>
    <t>shikkan84_start_date</t>
  </si>
  <si>
    <t>shikkan85_start_date</t>
  </si>
  <si>
    <t>shikkan86_start_date</t>
  </si>
  <si>
    <t>shikkan87_start_date</t>
  </si>
  <si>
    <t>shikkan88_start_date</t>
  </si>
  <si>
    <t>shikkan89_start_date</t>
  </si>
  <si>
    <t>shikkan90_start_date</t>
  </si>
  <si>
    <t>shikkan91_start_date</t>
  </si>
  <si>
    <t>shikkan92_start_date</t>
  </si>
  <si>
    <t>shikkan93_start_date</t>
  </si>
  <si>
    <t>shikkan94_start_date</t>
  </si>
  <si>
    <t>shikkan95_start_date</t>
  </si>
  <si>
    <t>shikkan96_start_date</t>
  </si>
  <si>
    <t>shikkan97_start_date</t>
  </si>
  <si>
    <t>shikkan98_start_date</t>
  </si>
  <si>
    <t>shikkan99_start_date</t>
  </si>
  <si>
    <t>shikkan100_start_date</t>
  </si>
  <si>
    <t>shikkan101_start_date</t>
  </si>
  <si>
    <t>shikkan102_start_date</t>
  </si>
  <si>
    <t>shikkan103_start_date</t>
  </si>
  <si>
    <t>shikkan104_start_date</t>
  </si>
  <si>
    <t>shikkan105_start_date</t>
  </si>
  <si>
    <t>shikkan106_start_date</t>
  </si>
  <si>
    <t>shikkan107_start_date</t>
  </si>
  <si>
    <t>shikkan108_start_date</t>
  </si>
  <si>
    <t>shikkan109_start_date</t>
  </si>
  <si>
    <t>shikkan110_start_date</t>
  </si>
  <si>
    <t>shikkan111_start_date</t>
  </si>
  <si>
    <t>shikkan112_start_date</t>
  </si>
  <si>
    <t>shikkan113_start_date</t>
  </si>
  <si>
    <t>shikkan114_start_date</t>
  </si>
  <si>
    <t>shikkan115_start_date</t>
  </si>
  <si>
    <t>shikkan116_start_date</t>
  </si>
  <si>
    <t>shikkan117_start_date</t>
  </si>
  <si>
    <t>shikkan118_start_date</t>
  </si>
  <si>
    <t>shikkan119_start_date</t>
  </si>
  <si>
    <t>shikkan120_start_date</t>
  </si>
  <si>
    <t>shikkan121_start_date</t>
  </si>
  <si>
    <t>shikkan122_start_date</t>
  </si>
  <si>
    <t>shikkan123_start_date</t>
  </si>
  <si>
    <t>shikkan124_start_date</t>
  </si>
  <si>
    <t>shikkan125_start_date</t>
  </si>
  <si>
    <t>shikkan126_start_date</t>
  </si>
  <si>
    <t>shikkan127_start_date</t>
  </si>
  <si>
    <t>shikkan128_start_date</t>
  </si>
  <si>
    <t>shikkan129_start_date</t>
  </si>
  <si>
    <t>shikkan130_start_date</t>
  </si>
  <si>
    <t>shikkan131_start_date</t>
  </si>
  <si>
    <t>shikkan132_start_date</t>
  </si>
  <si>
    <t>shikkan133_start_date</t>
  </si>
  <si>
    <t>shikkan134_start_date</t>
  </si>
  <si>
    <t>shikkan135_start_date</t>
  </si>
  <si>
    <t>shikkan136_start_date</t>
  </si>
  <si>
    <t>shikkan137_start_date</t>
  </si>
  <si>
    <t>shikkan138_start_date</t>
  </si>
  <si>
    <t>shikkan139_start_date</t>
  </si>
  <si>
    <t>shikkan140_start_date</t>
  </si>
  <si>
    <t>shikkan141_start_date</t>
  </si>
  <si>
    <t>shikkan142_start_date</t>
  </si>
  <si>
    <t>shikkan143_start_date</t>
  </si>
  <si>
    <t>shikkan144_start_date</t>
  </si>
  <si>
    <t>shikkan145_start_date</t>
  </si>
  <si>
    <t>shikkan146_start_date</t>
  </si>
  <si>
    <t>shikkan147_start_date</t>
  </si>
  <si>
    <t>shikkan148_start_date</t>
  </si>
  <si>
    <t>shikkan149_start_date</t>
  </si>
  <si>
    <t>shikkan150_start_date</t>
  </si>
  <si>
    <t>shikkan151_start_date</t>
  </si>
  <si>
    <t>shikkan152_start_date</t>
  </si>
  <si>
    <t>shikkan153_start_date</t>
  </si>
  <si>
    <t>shikkan154_start_date</t>
  </si>
  <si>
    <t>shikkan155_start_date</t>
  </si>
  <si>
    <t>shikkan156_start_date</t>
  </si>
  <si>
    <t>shikkan157_start_date</t>
  </si>
  <si>
    <t>shikkan158_start_date</t>
  </si>
  <si>
    <t>shikkan159_start_date</t>
  </si>
  <si>
    <t>shikkan160_start_date</t>
  </si>
  <si>
    <t>shikkan161_start_date</t>
  </si>
  <si>
    <t>shikkan162_start_date</t>
  </si>
  <si>
    <t>shikkan163_start_date</t>
  </si>
  <si>
    <t>shikkan164_start_date</t>
  </si>
  <si>
    <t>shikkan165_start_date</t>
  </si>
  <si>
    <t>shikkan166_start_date</t>
  </si>
  <si>
    <t>shikkan167_start_date</t>
  </si>
  <si>
    <t>shikkan168_start_date</t>
  </si>
  <si>
    <t>shikkan169_start_date</t>
  </si>
  <si>
    <t>shikkan170_start_date</t>
  </si>
  <si>
    <t>shikkan171_start_date</t>
  </si>
  <si>
    <t>shikkan172_start_date</t>
  </si>
  <si>
    <t>shikkan173_start_date</t>
  </si>
  <si>
    <t>shikkan174_start_date</t>
  </si>
  <si>
    <t>shikkan175_start_date</t>
  </si>
  <si>
    <t>shikkan176_start_date</t>
  </si>
  <si>
    <t>shikkan177_start_date</t>
  </si>
  <si>
    <t>shikkan178_start_date</t>
  </si>
  <si>
    <t>shikkan179_start_date</t>
  </si>
  <si>
    <t>shikkan180_start_date</t>
  </si>
  <si>
    <t>shikkan181_start_date</t>
  </si>
  <si>
    <t>shikkan182_start_date</t>
  </si>
  <si>
    <t>shikkan183_start_date</t>
  </si>
  <si>
    <t>shikkan184_start_date</t>
  </si>
  <si>
    <t>shikkan185_start_date</t>
  </si>
  <si>
    <t>shikkan186_start_date</t>
  </si>
  <si>
    <t>shikkan187_start_date</t>
  </si>
  <si>
    <t>shikkan188_start_date</t>
  </si>
  <si>
    <t>shikkan189_start_date</t>
  </si>
  <si>
    <t>shikkan190_start_date</t>
  </si>
  <si>
    <t>shikkan191_start_date</t>
  </si>
  <si>
    <t>shikkan192_start_date</t>
  </si>
  <si>
    <t>shikkan193_start_date</t>
  </si>
  <si>
    <t>shikkan194_start_date</t>
  </si>
  <si>
    <t>shikkan195_start_date</t>
  </si>
  <si>
    <t>shikkan196_start_date</t>
  </si>
  <si>
    <t>shikkan197_start_date</t>
  </si>
  <si>
    <t>shikkan198_start_date</t>
  </si>
  <si>
    <t>shikkan199_start_date</t>
  </si>
  <si>
    <t>shikkan200_start_date</t>
  </si>
  <si>
    <t>shikkan201_start_date</t>
  </si>
  <si>
    <t>shikkan202_start_date</t>
  </si>
  <si>
    <t>shikkan203_start_date</t>
  </si>
  <si>
    <t>shikkan204_start_date</t>
  </si>
  <si>
    <t>shikkan205_start_date</t>
  </si>
  <si>
    <t>shikkan206_start_date</t>
  </si>
  <si>
    <t>shikkan207_start_date</t>
  </si>
  <si>
    <t>shikkan208_start_date</t>
  </si>
  <si>
    <t>shikkan209_start_date</t>
  </si>
  <si>
    <t>shikkan210_start_date</t>
  </si>
  <si>
    <t>shikkan211_start_date</t>
  </si>
  <si>
    <t>shikkan212_start_date</t>
  </si>
  <si>
    <t>shikkan213_start_date</t>
  </si>
  <si>
    <t>shikkan214_start_date</t>
  </si>
  <si>
    <t>shikkan215_start_date</t>
  </si>
  <si>
    <t>shikkan216_start_date</t>
  </si>
  <si>
    <t>shikkan217_start_date</t>
  </si>
  <si>
    <t>shikkan218_start_date</t>
  </si>
  <si>
    <t>shikkan219_start_date</t>
  </si>
  <si>
    <t>shikkan220_start_date</t>
  </si>
  <si>
    <t>shikkan221_start_date</t>
  </si>
  <si>
    <t>shikkan222_start_date</t>
  </si>
  <si>
    <t>shikkan223_start_date</t>
  </si>
  <si>
    <t>shikkan224_start_date</t>
  </si>
  <si>
    <t>shikkan225_start_date</t>
  </si>
  <si>
    <t>shikkan226_start_date</t>
  </si>
  <si>
    <t>shikkan227_start_date</t>
  </si>
  <si>
    <t>shikkan228_start_date</t>
  </si>
  <si>
    <t>shikkan229_start_date</t>
  </si>
  <si>
    <t>shikkan230_start_date</t>
  </si>
  <si>
    <t>shikkan231_start_date</t>
  </si>
  <si>
    <t>shikkan232_start_date</t>
  </si>
  <si>
    <t>shikkan233_start_date</t>
  </si>
  <si>
    <t>shikkan234_start_date</t>
  </si>
  <si>
    <t>shikkan235_start_date</t>
  </si>
  <si>
    <t>shikkan236_start_date</t>
  </si>
  <si>
    <t>shikkan237_start_date</t>
  </si>
  <si>
    <t>shikkan238_start_date</t>
  </si>
  <si>
    <t>shikkan239_start_date</t>
  </si>
  <si>
    <t>shikkan240_start_date</t>
  </si>
  <si>
    <t>shikkan241_start_date</t>
  </si>
  <si>
    <t>shikkan242_start_date</t>
  </si>
  <si>
    <t>shikkan243_start_date</t>
  </si>
  <si>
    <t>shikkan244_start_date</t>
  </si>
  <si>
    <t>shikkan245_start_date</t>
  </si>
  <si>
    <t>shikkan246_start_date</t>
  </si>
  <si>
    <t>shikkan247_start_date</t>
  </si>
  <si>
    <t>shikkan248_start_date</t>
  </si>
  <si>
    <t>shikkan249_start_date</t>
  </si>
  <si>
    <t>shikkan250_start_date</t>
  </si>
  <si>
    <t>shikkan251_start_date</t>
  </si>
  <si>
    <t>shikkan252_start_date</t>
  </si>
  <si>
    <t>shikkan253_start_date</t>
  </si>
  <si>
    <t>shikkan254_start_date</t>
  </si>
  <si>
    <t>shikkan255_start_date</t>
  </si>
  <si>
    <t>shikkan256_start_date</t>
  </si>
  <si>
    <t>shikkan257_start_date</t>
  </si>
  <si>
    <t>shikkan258_start_date</t>
  </si>
  <si>
    <t>shikkan259_start_date</t>
  </si>
  <si>
    <t>shikkan260_start_date</t>
  </si>
  <si>
    <t>shikkan261_start_date</t>
  </si>
  <si>
    <t>shikkan262_start_date</t>
  </si>
  <si>
    <t>shikkan263_start_date</t>
  </si>
  <si>
    <t>shikkan264_start_date</t>
  </si>
  <si>
    <t>shikkan265_start_date</t>
  </si>
  <si>
    <t>shikkan266_start_date</t>
  </si>
  <si>
    <t>shikkan267_start_date</t>
  </si>
  <si>
    <t>shikkan268_start_date</t>
  </si>
  <si>
    <t>shikkan269_start_date</t>
  </si>
  <si>
    <t>shikkan270_start_date</t>
  </si>
  <si>
    <t>shikkan271_start_date</t>
  </si>
  <si>
    <t>shikkan272_start_date</t>
  </si>
  <si>
    <t>shikkan273_start_date</t>
  </si>
  <si>
    <t>shikkan274_start_date</t>
  </si>
  <si>
    <t>shikkan275_start_date</t>
  </si>
  <si>
    <t>shikkan276_start_date</t>
  </si>
  <si>
    <t>shikkan277_start_date</t>
  </si>
  <si>
    <t>shikkan278_start_date</t>
  </si>
  <si>
    <t>shikkan279_start_date</t>
  </si>
  <si>
    <t>shikkan280_start_date</t>
  </si>
  <si>
    <t>shikkan281_start_date</t>
  </si>
  <si>
    <t>shikkan282_start_date</t>
  </si>
  <si>
    <t>shikkan283_start_date</t>
  </si>
  <si>
    <t>shikkan284_start_date</t>
  </si>
  <si>
    <t>shikkan285_start_date</t>
  </si>
  <si>
    <t>shikkan286_start_date</t>
  </si>
  <si>
    <t>shikkan287_start_date</t>
  </si>
  <si>
    <t>shikkan288_start_date</t>
  </si>
  <si>
    <t>shikkan289_start_date</t>
  </si>
  <si>
    <t>I252</t>
  </si>
  <si>
    <t>I130</t>
  </si>
  <si>
    <t>I132</t>
  </si>
  <si>
    <t>I255</t>
  </si>
  <si>
    <t>I64</t>
  </si>
  <si>
    <t>F03</t>
  </si>
  <si>
    <t>J40</t>
  </si>
  <si>
    <t>J42</t>
  </si>
  <si>
    <t>J46</t>
  </si>
  <si>
    <t>J47</t>
  </si>
  <si>
    <t>J60</t>
  </si>
  <si>
    <t>J61</t>
  </si>
  <si>
    <t>J64</t>
  </si>
  <si>
    <t>J65</t>
  </si>
  <si>
    <t>K700</t>
  </si>
  <si>
    <t>K701</t>
  </si>
  <si>
    <t>K702</t>
  </si>
  <si>
    <t>K703</t>
  </si>
  <si>
    <t>K709</t>
  </si>
  <si>
    <t>K713</t>
  </si>
  <si>
    <t>K714</t>
  </si>
  <si>
    <t>K715</t>
  </si>
  <si>
    <t>K717</t>
  </si>
  <si>
    <t>K760</t>
  </si>
  <si>
    <t>K762</t>
  </si>
  <si>
    <t>K763</t>
  </si>
  <si>
    <t>K764</t>
  </si>
  <si>
    <t>K768</t>
  </si>
  <si>
    <t>K769</t>
  </si>
  <si>
    <t>Z944</t>
  </si>
  <si>
    <t>E100</t>
  </si>
  <si>
    <t>E101</t>
  </si>
  <si>
    <t>E106</t>
  </si>
  <si>
    <t>E108</t>
  </si>
  <si>
    <t>E109</t>
  </si>
  <si>
    <t>E110</t>
  </si>
  <si>
    <t>E111</t>
  </si>
  <si>
    <t>E116</t>
  </si>
  <si>
    <t>E118</t>
  </si>
  <si>
    <t>E119</t>
  </si>
  <si>
    <t>E120</t>
  </si>
  <si>
    <t>E121</t>
  </si>
  <si>
    <t>E126</t>
  </si>
  <si>
    <t>E128</t>
  </si>
  <si>
    <t>E129</t>
  </si>
  <si>
    <t>E130</t>
  </si>
  <si>
    <t>E131</t>
  </si>
  <si>
    <t>E136</t>
  </si>
  <si>
    <t>E138</t>
  </si>
  <si>
    <t>E139</t>
  </si>
  <si>
    <t>E140</t>
  </si>
  <si>
    <t>E141</t>
  </si>
  <si>
    <t>E146</t>
  </si>
  <si>
    <t>E148</t>
  </si>
  <si>
    <t>E149</t>
  </si>
  <si>
    <t>E102</t>
  </si>
  <si>
    <t>E103</t>
  </si>
  <si>
    <t>E104</t>
  </si>
  <si>
    <t>E105</t>
  </si>
  <si>
    <t>E112</t>
  </si>
  <si>
    <t>E113</t>
  </si>
  <si>
    <t>E114</t>
  </si>
  <si>
    <t>E115</t>
  </si>
  <si>
    <t>E117</t>
  </si>
  <si>
    <t>E122</t>
  </si>
  <si>
    <t>E123</t>
  </si>
  <si>
    <t>E124</t>
  </si>
  <si>
    <t>E125</t>
  </si>
  <si>
    <t>E127</t>
  </si>
  <si>
    <t>E132</t>
  </si>
  <si>
    <t>E133</t>
  </si>
  <si>
    <t>E134</t>
  </si>
  <si>
    <t>E135</t>
  </si>
  <si>
    <t>E137</t>
  </si>
  <si>
    <t>E142</t>
  </si>
  <si>
    <t>E143</t>
  </si>
  <si>
    <t>E144</t>
  </si>
  <si>
    <t>E145</t>
  </si>
  <si>
    <t>E147</t>
  </si>
  <si>
    <t>I131</t>
  </si>
  <si>
    <t>N19</t>
  </si>
  <si>
    <t>Z940</t>
  </si>
  <si>
    <t>C01</t>
  </si>
  <si>
    <t>C07</t>
  </si>
  <si>
    <t>C12</t>
  </si>
  <si>
    <t>C19</t>
  </si>
  <si>
    <t>C20</t>
  </si>
  <si>
    <t>C23</t>
  </si>
  <si>
    <t>C33</t>
  </si>
  <si>
    <t>C37</t>
  </si>
  <si>
    <t>C52</t>
  </si>
  <si>
    <t>C55</t>
  </si>
  <si>
    <t>C56</t>
  </si>
  <si>
    <t>C58</t>
  </si>
  <si>
    <t>C61</t>
  </si>
  <si>
    <t>C64</t>
  </si>
  <si>
    <t>C65</t>
  </si>
  <si>
    <t>C66</t>
  </si>
  <si>
    <t>C73</t>
  </si>
  <si>
    <t>C97</t>
  </si>
  <si>
    <t>B24</t>
  </si>
  <si>
    <t>匿名化_匿名加工前データ2</t>
    <phoneticPr fontId="8"/>
  </si>
  <si>
    <t>匿名化_未加工データ2</t>
    <phoneticPr fontId="8"/>
  </si>
  <si>
    <t>B180</t>
  </si>
  <si>
    <t>B181</t>
  </si>
  <si>
    <t>B182</t>
  </si>
  <si>
    <t>B188</t>
  </si>
  <si>
    <t>B189</t>
  </si>
  <si>
    <t>B200</t>
  </si>
  <si>
    <t>B201</t>
  </si>
  <si>
    <t>B202</t>
  </si>
  <si>
    <t>B203</t>
  </si>
  <si>
    <t>B204</t>
  </si>
  <si>
    <t>B205</t>
  </si>
  <si>
    <t>B206</t>
  </si>
  <si>
    <t>B207</t>
  </si>
  <si>
    <t>B208</t>
  </si>
  <si>
    <t>B209</t>
  </si>
  <si>
    <t>B210</t>
  </si>
  <si>
    <t>B211</t>
  </si>
  <si>
    <t>B212</t>
  </si>
  <si>
    <t>B213</t>
  </si>
  <si>
    <t>B217</t>
  </si>
  <si>
    <t>B218</t>
  </si>
  <si>
    <t>B219</t>
  </si>
  <si>
    <t>B220</t>
  </si>
  <si>
    <t>B221</t>
  </si>
  <si>
    <t>B222</t>
  </si>
  <si>
    <t>B227</t>
  </si>
  <si>
    <t>C000</t>
  </si>
  <si>
    <t>C001</t>
  </si>
  <si>
    <t>C002</t>
  </si>
  <si>
    <t>C003</t>
  </si>
  <si>
    <t>C004</t>
  </si>
  <si>
    <t>C005</t>
  </si>
  <si>
    <t>C006</t>
  </si>
  <si>
    <t>C008</t>
  </si>
  <si>
    <t>C009</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</si>
  <si>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</si>
  <si>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</si>
  <si>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</si>
  <si>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</si>
  <si>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</si>
  <si>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</si>
  <si>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</si>
  <si>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</si>
  <si>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</si>
  <si>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</si>
  <si>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</si>
  <si>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</si>
  <si>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</si>
  <si>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</si>
  <si>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</si>
  <si>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</si>
  <si>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</si>
  <si>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</si>
  <si>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</si>
  <si>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</si>
  <si>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</si>
  <si>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</si>
  <si>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t>
  </si>
  <si>
    <t>C069</t>
  </si>
  <si>
    <t>C080</t>
  </si>
  <si>
    <t>C081</t>
  </si>
  <si>
    <t>C088</t>
  </si>
  <si>
    <t>C089</t>
  </si>
  <si>
    <t>C090</t>
  </si>
  <si>
    <t>C091</t>
  </si>
  <si>
    <t>C098</t>
  </si>
  <si>
    <t>C099</t>
  </si>
  <si>
    <t>C100</t>
  </si>
  <si>
    <t>C101</t>
  </si>
  <si>
    <t>C102</t>
  </si>
  <si>
    <t>C103</t>
  </si>
  <si>
    <t>C104</t>
  </si>
  <si>
    <t>C108</t>
  </si>
  <si>
    <t>C109</t>
  </si>
  <si>
    <t>C110</t>
  </si>
  <si>
    <t>C111</t>
  </si>
  <si>
    <t>C112</t>
  </si>
  <si>
    <t>C113</t>
  </si>
  <si>
    <t>C118</t>
  </si>
  <si>
    <t>C119</t>
  </si>
  <si>
    <t>C130</t>
  </si>
  <si>
    <t>C131</t>
  </si>
  <si>
    <t>C132</t>
  </si>
  <si>
    <t>C138</t>
  </si>
  <si>
    <t>C139</t>
  </si>
  <si>
    <t>C140</t>
  </si>
  <si>
    <t>C142</t>
  </si>
  <si>
    <t>C148</t>
  </si>
  <si>
    <t>C150</t>
  </si>
  <si>
    <t>C151</t>
  </si>
  <si>
    <t>C152</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</si>
  <si>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</si>
  <si>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</si>
  <si>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</si>
  <si>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</si>
  <si>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</si>
  <si>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</si>
  <si>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</si>
  <si>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</si>
  <si>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</si>
  <si>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</si>
  <si>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</si>
  <si>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</si>
  <si>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</si>
  <si>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</si>
  <si>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</si>
  <si>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</si>
  <si>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</si>
  <si>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</si>
  <si>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</si>
  <si>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</si>
  <si>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</si>
  <si>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</si>
  <si>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</si>
  <si>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</si>
  <si>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</si>
  <si>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</si>
  <si>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</si>
  <si>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</si>
  <si>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</si>
  <si>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</si>
  <si>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C210</t>
  </si>
  <si>
    <t>C211</t>
  </si>
  <si>
    <t>C212</t>
  </si>
  <si>
    <t>C218</t>
  </si>
  <si>
    <t>C220</t>
  </si>
  <si>
    <t>C221</t>
  </si>
  <si>
    <t>C222</t>
  </si>
  <si>
    <t>C223</t>
  </si>
  <si>
    <t>C224</t>
  </si>
  <si>
    <t>C227</t>
  </si>
  <si>
    <t>C229</t>
  </si>
  <si>
    <t>C240</t>
  </si>
  <si>
    <t>C241</t>
  </si>
  <si>
    <t>C248</t>
  </si>
  <si>
    <t>C249</t>
  </si>
  <si>
    <t>C250</t>
  </si>
  <si>
    <t>C251</t>
  </si>
  <si>
    <t>C252</t>
  </si>
  <si>
    <t>C253</t>
  </si>
  <si>
    <t>C254</t>
  </si>
  <si>
    <t>C257</t>
  </si>
  <si>
    <t>C258</t>
  </si>
  <si>
    <t>C259</t>
  </si>
  <si>
    <t>C260</t>
  </si>
  <si>
    <t>C261</t>
  </si>
  <si>
    <t>C268</t>
  </si>
  <si>
    <t>C269</t>
  </si>
  <si>
    <t>C300</t>
  </si>
  <si>
    <t>C301</t>
  </si>
  <si>
    <t>C310</t>
  </si>
  <si>
    <t>C311</t>
  </si>
  <si>
    <t>C312</t>
  </si>
  <si>
    <t>C313</t>
  </si>
  <si>
    <t>C318</t>
  </si>
  <si>
    <t>C319</t>
  </si>
  <si>
    <t>C320</t>
  </si>
  <si>
    <t>C321</t>
  </si>
  <si>
    <t>C322</t>
  </si>
  <si>
    <t>C323</t>
  </si>
  <si>
    <t>C328</t>
  </si>
  <si>
    <t>C329</t>
  </si>
  <si>
    <t>C340</t>
  </si>
  <si>
    <t>C341</t>
  </si>
  <si>
    <t>C342</t>
  </si>
  <si>
    <t>C343</t>
  </si>
  <si>
    <t>C348</t>
  </si>
  <si>
    <t>C349</t>
  </si>
  <si>
    <t>C380</t>
  </si>
  <si>
    <t>C381</t>
  </si>
  <si>
    <t>C382</t>
  </si>
  <si>
    <t>C383</t>
  </si>
  <si>
    <t>C384</t>
  </si>
  <si>
    <t>C388</t>
  </si>
  <si>
    <t>C390</t>
  </si>
  <si>
    <t>C398</t>
  </si>
  <si>
    <t>C399</t>
  </si>
  <si>
    <t>C400</t>
  </si>
  <si>
    <t>C401</t>
  </si>
  <si>
    <t>C402</t>
  </si>
  <si>
    <t>C403</t>
  </si>
  <si>
    <t>C408</t>
  </si>
  <si>
    <t>C409</t>
  </si>
  <si>
    <t>C410</t>
  </si>
  <si>
    <t>C411</t>
  </si>
  <si>
    <t>C412</t>
  </si>
  <si>
    <t>C413</t>
  </si>
  <si>
    <t>C414</t>
  </si>
  <si>
    <t>C418</t>
  </si>
  <si>
    <t>C419</t>
  </si>
  <si>
    <t>C430</t>
  </si>
  <si>
    <t>C431</t>
  </si>
  <si>
    <t>C432</t>
  </si>
  <si>
    <t>C433</t>
  </si>
  <si>
    <t>C434</t>
  </si>
  <si>
    <t>C435</t>
  </si>
  <si>
    <t>C436</t>
  </si>
  <si>
    <t>C437</t>
  </si>
  <si>
    <t>C438</t>
  </si>
  <si>
    <t>C439</t>
  </si>
  <si>
    <t>C450</t>
  </si>
  <si>
    <t>C451</t>
  </si>
  <si>
    <t>C452</t>
  </si>
  <si>
    <t>C457</t>
  </si>
  <si>
    <t>C459</t>
  </si>
  <si>
    <t>C460</t>
  </si>
  <si>
    <t>C461</t>
  </si>
  <si>
    <t>C462</t>
  </si>
  <si>
    <t>C463</t>
  </si>
  <si>
    <t>C467</t>
  </si>
  <si>
    <t>C468</t>
  </si>
  <si>
    <t>C469</t>
  </si>
  <si>
    <t>C470</t>
  </si>
  <si>
    <t>C471</t>
  </si>
  <si>
    <t>C472</t>
  </si>
  <si>
    <t>C473</t>
  </si>
  <si>
    <t>C474</t>
  </si>
  <si>
    <t>C475</t>
  </si>
  <si>
    <t>C476</t>
  </si>
  <si>
    <t>C478</t>
  </si>
  <si>
    <t>C479</t>
  </si>
  <si>
    <t>C480</t>
  </si>
  <si>
    <t>C481</t>
  </si>
  <si>
    <t>C482</t>
  </si>
  <si>
    <t>C488</t>
  </si>
  <si>
    <t>C490</t>
  </si>
  <si>
    <t>C491</t>
  </si>
  <si>
    <t>C492</t>
  </si>
  <si>
    <t>C493</t>
  </si>
  <si>
    <t>C494</t>
  </si>
  <si>
    <t>C495</t>
  </si>
  <si>
    <t>C496</t>
  </si>
  <si>
    <t>C498</t>
  </si>
  <si>
    <t>C499</t>
  </si>
  <si>
    <t>C500</t>
  </si>
  <si>
    <t>C501</t>
  </si>
  <si>
    <t>C502</t>
  </si>
  <si>
    <t>C503</t>
  </si>
  <si>
    <t>C504</t>
  </si>
  <si>
    <t>C505</t>
  </si>
  <si>
    <t>C506</t>
  </si>
  <si>
    <t>C508</t>
  </si>
  <si>
    <t>C509</t>
  </si>
  <si>
    <t>C510</t>
  </si>
  <si>
    <t>C511</t>
  </si>
  <si>
    <t>C512</t>
  </si>
  <si>
    <t>C518</t>
  </si>
  <si>
    <t>C519</t>
  </si>
  <si>
    <t>C530</t>
  </si>
  <si>
    <t>C531</t>
  </si>
  <si>
    <t>C538</t>
  </si>
  <si>
    <t>C539</t>
  </si>
  <si>
    <t>C540</t>
  </si>
  <si>
    <t>C541</t>
  </si>
  <si>
    <t>C542</t>
  </si>
  <si>
    <t>C543</t>
  </si>
  <si>
    <t>C548</t>
  </si>
  <si>
    <t>C549</t>
  </si>
  <si>
    <t>C570</t>
  </si>
  <si>
    <t>C571</t>
  </si>
  <si>
    <t>C572</t>
  </si>
  <si>
    <t>C573</t>
  </si>
  <si>
    <t>C574</t>
  </si>
  <si>
    <t>C577</t>
  </si>
  <si>
    <t>C578</t>
  </si>
  <si>
    <t>C579</t>
  </si>
  <si>
    <t>C600</t>
  </si>
  <si>
    <t>C601</t>
  </si>
  <si>
    <t>C602</t>
  </si>
  <si>
    <t>C608</t>
  </si>
  <si>
    <t>C609</t>
  </si>
  <si>
    <t>C620</t>
  </si>
  <si>
    <t>C621</t>
  </si>
  <si>
    <t>C629</t>
  </si>
  <si>
    <t>C630</t>
  </si>
  <si>
    <t>C631</t>
  </si>
  <si>
    <t>C632</t>
  </si>
  <si>
    <t>C637</t>
  </si>
  <si>
    <t>C638</t>
  </si>
  <si>
    <t>C639</t>
  </si>
  <si>
    <t>C670</t>
  </si>
  <si>
    <t>C671</t>
  </si>
  <si>
    <t>C672</t>
  </si>
  <si>
    <t>C673</t>
  </si>
  <si>
    <t>C674</t>
  </si>
  <si>
    <t>C675</t>
  </si>
  <si>
    <t>C676</t>
  </si>
  <si>
    <t>C677</t>
  </si>
  <si>
    <t>C678</t>
  </si>
  <si>
    <t>C679</t>
  </si>
  <si>
    <t>C680</t>
  </si>
  <si>
    <t>C681</t>
  </si>
  <si>
    <t>C688</t>
  </si>
  <si>
    <t>C689</t>
  </si>
  <si>
    <t>C690</t>
  </si>
  <si>
    <t>C691</t>
  </si>
  <si>
    <t>C692</t>
  </si>
  <si>
    <t>C693</t>
  </si>
  <si>
    <t>C694</t>
  </si>
  <si>
    <t>C695</t>
  </si>
  <si>
    <t>C696</t>
  </si>
  <si>
    <t>C698</t>
  </si>
  <si>
    <t>C699</t>
  </si>
  <si>
    <t>C700</t>
  </si>
  <si>
    <t>C701</t>
  </si>
  <si>
    <t>C709</t>
  </si>
  <si>
    <t>C710</t>
  </si>
  <si>
    <t>C711</t>
  </si>
  <si>
    <t>C712</t>
  </si>
  <si>
    <t>C713</t>
  </si>
  <si>
    <t>C714</t>
  </si>
  <si>
    <t>C715</t>
  </si>
  <si>
    <t>C716</t>
  </si>
  <si>
    <t>C717</t>
  </si>
  <si>
    <t>C718</t>
  </si>
  <si>
    <t>C719</t>
  </si>
  <si>
    <t>C720</t>
  </si>
  <si>
    <t>C721</t>
  </si>
  <si>
    <t>C722</t>
  </si>
  <si>
    <t>C723</t>
  </si>
  <si>
    <t>C724</t>
  </si>
  <si>
    <t>C725</t>
  </si>
  <si>
    <t>C728</t>
  </si>
  <si>
    <t>C729</t>
  </si>
  <si>
    <t>C740</t>
  </si>
  <si>
    <t>C741</t>
  </si>
  <si>
    <t>C749</t>
  </si>
  <si>
    <t>C750</t>
  </si>
  <si>
    <t>C751</t>
  </si>
  <si>
    <t>C752</t>
  </si>
  <si>
    <t>C753</t>
  </si>
  <si>
    <t>C754</t>
  </si>
  <si>
    <t>C755</t>
  </si>
  <si>
    <t>C758</t>
  </si>
  <si>
    <t>C759</t>
  </si>
  <si>
    <t>C760</t>
  </si>
  <si>
    <t>C761</t>
  </si>
  <si>
    <t>C762</t>
  </si>
  <si>
    <t>C763</t>
  </si>
  <si>
    <t>C764</t>
  </si>
  <si>
    <t>C765</t>
  </si>
  <si>
    <t>C767</t>
  </si>
  <si>
    <t>C768</t>
  </si>
  <si>
    <t>C770</t>
  </si>
  <si>
    <t>C771</t>
  </si>
  <si>
    <t>C772</t>
  </si>
  <si>
    <t>C773</t>
  </si>
  <si>
    <t>C774</t>
  </si>
  <si>
    <t>C775</t>
  </si>
  <si>
    <t>C778</t>
  </si>
  <si>
    <t>C779</t>
  </si>
  <si>
    <t>C780</t>
  </si>
  <si>
    <t>C781</t>
  </si>
  <si>
    <t>C782</t>
  </si>
  <si>
    <t>C783</t>
  </si>
  <si>
    <t>C784</t>
  </si>
  <si>
    <t>C785</t>
  </si>
  <si>
    <t>C786</t>
  </si>
  <si>
    <t>C787</t>
  </si>
  <si>
    <t>C788</t>
  </si>
  <si>
    <t>C790</t>
  </si>
  <si>
    <t>C791</t>
  </si>
  <si>
    <t>C792</t>
  </si>
  <si>
    <t>C793</t>
  </si>
  <si>
    <t>C794</t>
  </si>
  <si>
    <t>C795</t>
  </si>
  <si>
    <t>C796</t>
  </si>
  <si>
    <t>C797</t>
  </si>
  <si>
    <t>C798</t>
  </si>
  <si>
    <t>C799</t>
  </si>
  <si>
    <t>C800</t>
  </si>
  <si>
    <t>C809</t>
  </si>
  <si>
    <t>C810</t>
  </si>
  <si>
    <t>C811</t>
  </si>
  <si>
    <t>C812</t>
  </si>
  <si>
    <t>C813</t>
  </si>
  <si>
    <t>C814</t>
  </si>
  <si>
    <t>C817</t>
  </si>
  <si>
    <t>C819</t>
  </si>
  <si>
    <t>C820</t>
  </si>
  <si>
    <t>C821</t>
  </si>
  <si>
    <t>C822</t>
  </si>
  <si>
    <t>C823</t>
  </si>
  <si>
    <t>C824</t>
  </si>
  <si>
    <t>C825</t>
  </si>
  <si>
    <t>C826</t>
  </si>
  <si>
    <t>C827</t>
  </si>
  <si>
    <t>C829</t>
  </si>
  <si>
    <t>C830</t>
  </si>
  <si>
    <t>C831</t>
  </si>
  <si>
    <t>C833</t>
  </si>
  <si>
    <t>C835</t>
  </si>
  <si>
    <t>C837</t>
  </si>
  <si>
    <t>C838</t>
  </si>
  <si>
    <t>C839</t>
  </si>
  <si>
    <t>C840</t>
  </si>
  <si>
    <t>C841</t>
  </si>
  <si>
    <t>C844</t>
  </si>
  <si>
    <t>C845</t>
  </si>
  <si>
    <t>C846</t>
  </si>
  <si>
    <t>C847</t>
  </si>
  <si>
    <t>C848</t>
  </si>
  <si>
    <t>C849</t>
  </si>
  <si>
    <t>C851</t>
  </si>
  <si>
    <t>C852</t>
  </si>
  <si>
    <t>C857</t>
  </si>
  <si>
    <t>C859</t>
  </si>
  <si>
    <t>C880</t>
  </si>
  <si>
    <t>C882</t>
  </si>
  <si>
    <t>C883</t>
  </si>
  <si>
    <t>C884</t>
  </si>
  <si>
    <t>C887</t>
  </si>
  <si>
    <t>C889</t>
  </si>
  <si>
    <t>C900</t>
  </si>
  <si>
    <t>C901</t>
  </si>
  <si>
    <t>C902</t>
  </si>
  <si>
    <t>C903</t>
  </si>
  <si>
    <t>C910</t>
  </si>
  <si>
    <t>C911</t>
  </si>
  <si>
    <t>C913</t>
  </si>
  <si>
    <t>C914</t>
  </si>
  <si>
    <t>C915</t>
  </si>
  <si>
    <t>C916</t>
  </si>
  <si>
    <t>C917</t>
  </si>
  <si>
    <t>C918</t>
  </si>
  <si>
    <t>C919</t>
  </si>
  <si>
    <t>C920</t>
  </si>
  <si>
    <t>C921</t>
  </si>
  <si>
    <t>C922</t>
  </si>
  <si>
    <t>C923</t>
  </si>
  <si>
    <t>C924</t>
  </si>
  <si>
    <t>C925</t>
  </si>
  <si>
    <t>C926</t>
  </si>
  <si>
    <t>C927</t>
  </si>
  <si>
    <t>C928</t>
  </si>
  <si>
    <t>C929</t>
  </si>
  <si>
    <t>C930</t>
  </si>
  <si>
    <t>C931</t>
  </si>
  <si>
    <t>C933</t>
  </si>
  <si>
    <t>C937</t>
  </si>
  <si>
    <t>C939</t>
  </si>
  <si>
    <t>C940</t>
  </si>
  <si>
    <t>C942</t>
  </si>
  <si>
    <t>C943</t>
  </si>
  <si>
    <t>C944</t>
  </si>
  <si>
    <t>C946</t>
  </si>
  <si>
    <t>C947</t>
  </si>
  <si>
    <t>C950</t>
  </si>
  <si>
    <t>C951</t>
  </si>
  <si>
    <t>C957</t>
  </si>
  <si>
    <t>C959</t>
  </si>
  <si>
    <t>C960</t>
  </si>
  <si>
    <t>C962</t>
  </si>
  <si>
    <t>C964</t>
  </si>
  <si>
    <t>C965</t>
  </si>
  <si>
    <t>C966</t>
  </si>
  <si>
    <t>C967</t>
  </si>
  <si>
    <t>C968</t>
  </si>
  <si>
    <t>C969</t>
  </si>
  <si>
    <t>F000</t>
  </si>
  <si>
    <t>F001</t>
  </si>
  <si>
    <t>F002</t>
  </si>
  <si>
    <t>F009</t>
  </si>
  <si>
    <t>F010</t>
  </si>
  <si>
    <t>F011</t>
  </si>
  <si>
    <t>F012</t>
  </si>
  <si>
    <t>F013</t>
  </si>
  <si>
    <t>F018</t>
  </si>
  <si>
    <t>F019</t>
  </si>
  <si>
    <t>F020</t>
  </si>
  <si>
    <t>F021</t>
  </si>
  <si>
    <t>F022</t>
  </si>
  <si>
    <t>F023</t>
  </si>
  <si>
    <t>F024</t>
  </si>
  <si>
    <t>F028</t>
  </si>
  <si>
    <t>F051</t>
  </si>
  <si>
    <t>G041</t>
  </si>
  <si>
    <t>G114</t>
  </si>
  <si>
    <t>G300</t>
  </si>
  <si>
    <t>G301</t>
  </si>
  <si>
    <t>G308</t>
  </si>
  <si>
    <t>G309</t>
  </si>
  <si>
    <t>G311</t>
  </si>
  <si>
    <t>G450</t>
  </si>
  <si>
    <t>G451</t>
  </si>
  <si>
    <t>G452</t>
  </si>
  <si>
    <t>G453</t>
  </si>
  <si>
    <t>G454</t>
  </si>
  <si>
    <t>G458</t>
  </si>
  <si>
    <t>G459</t>
  </si>
  <si>
    <t>G460</t>
  </si>
  <si>
    <t>G461</t>
  </si>
  <si>
    <t>G462</t>
  </si>
  <si>
    <t>G463</t>
  </si>
  <si>
    <t>G464</t>
  </si>
  <si>
    <t>G465</t>
  </si>
  <si>
    <t>G466</t>
  </si>
  <si>
    <t>G467</t>
  </si>
  <si>
    <t>G468</t>
  </si>
  <si>
    <t>G801</t>
  </si>
  <si>
    <t>G802</t>
  </si>
  <si>
    <t>G810</t>
  </si>
  <si>
    <t>G811</t>
  </si>
  <si>
    <t>G819</t>
  </si>
  <si>
    <t>G820</t>
  </si>
  <si>
    <t>G821</t>
  </si>
  <si>
    <t>G822</t>
  </si>
  <si>
    <t>G823</t>
  </si>
  <si>
    <t>G824</t>
  </si>
  <si>
    <t>G825</t>
  </si>
  <si>
    <t>G830</t>
  </si>
  <si>
    <t>G831</t>
  </si>
  <si>
    <t>G832</t>
  </si>
  <si>
    <t>G833</t>
  </si>
  <si>
    <t>G834</t>
  </si>
  <si>
    <t>G839</t>
  </si>
  <si>
    <t>H340</t>
  </si>
  <si>
    <t>I099</t>
  </si>
  <si>
    <t>I110</t>
  </si>
  <si>
    <t>I120</t>
  </si>
  <si>
    <t>I210</t>
  </si>
  <si>
    <t>I211</t>
  </si>
  <si>
    <t>I212</t>
  </si>
  <si>
    <t>I213</t>
  </si>
  <si>
    <t>I214</t>
  </si>
  <si>
    <t>I219</t>
  </si>
  <si>
    <t>I220</t>
  </si>
  <si>
    <t>I221</t>
  </si>
  <si>
    <t>I228</t>
  </si>
  <si>
    <t>I229</t>
  </si>
  <si>
    <t>I278</t>
  </si>
  <si>
    <t>I279</t>
  </si>
  <si>
    <t>I420</t>
  </si>
  <si>
    <t>I425</t>
  </si>
  <si>
    <t>I426</t>
  </si>
  <si>
    <t>I427</t>
  </si>
  <si>
    <t>I428</t>
  </si>
  <si>
    <t>I429</t>
  </si>
  <si>
    <t>I430</t>
  </si>
  <si>
    <t>I431</t>
  </si>
  <si>
    <t>I432</t>
  </si>
  <si>
    <t>I438</t>
  </si>
  <si>
    <t>I500</t>
  </si>
  <si>
    <t>I501</t>
  </si>
  <si>
    <t>I509</t>
  </si>
  <si>
    <t>I600</t>
  </si>
  <si>
    <t>I601</t>
  </si>
  <si>
    <t>I602</t>
  </si>
  <si>
    <t>I603</t>
  </si>
  <si>
    <t>I604</t>
  </si>
  <si>
    <t>I605</t>
  </si>
  <si>
    <t>I606</t>
  </si>
  <si>
    <t>I607</t>
  </si>
  <si>
    <t>I608</t>
  </si>
  <si>
    <t>I609</t>
  </si>
  <si>
    <t>I610</t>
  </si>
  <si>
    <t>I611</t>
  </si>
  <si>
    <t>I612</t>
  </si>
  <si>
    <t>I613</t>
  </si>
  <si>
    <t>I614</t>
  </si>
  <si>
    <t>I615</t>
  </si>
  <si>
    <t>I616</t>
  </si>
  <si>
    <t>I618</t>
  </si>
  <si>
    <t>I619</t>
  </si>
  <si>
    <t>I620</t>
  </si>
  <si>
    <t>I621</t>
  </si>
  <si>
    <t>I629</t>
  </si>
  <si>
    <t>I630</t>
  </si>
  <si>
    <t>I631</t>
  </si>
  <si>
    <t>I632</t>
  </si>
  <si>
    <t>I633</t>
  </si>
  <si>
    <t>I634</t>
  </si>
  <si>
    <t>I635</t>
  </si>
  <si>
    <t>I636</t>
  </si>
  <si>
    <t>I638</t>
  </si>
  <si>
    <t>I639</t>
  </si>
  <si>
    <t>I650</t>
  </si>
  <si>
    <t>I651</t>
  </si>
  <si>
    <t>I652</t>
  </si>
  <si>
    <t>I653</t>
  </si>
  <si>
    <t>I658</t>
  </si>
  <si>
    <t>I659</t>
  </si>
  <si>
    <t>I660</t>
  </si>
  <si>
    <t>I661</t>
  </si>
  <si>
    <t>I662</t>
  </si>
  <si>
    <t>I663</t>
  </si>
  <si>
    <t>I664</t>
  </si>
  <si>
    <t>I668</t>
  </si>
  <si>
    <t>I669</t>
  </si>
  <si>
    <t>I670</t>
  </si>
  <si>
    <t>I671</t>
  </si>
  <si>
    <t>I672</t>
  </si>
  <si>
    <t>I673</t>
  </si>
  <si>
    <t>I674</t>
  </si>
  <si>
    <t>I675</t>
  </si>
  <si>
    <t>I676</t>
  </si>
  <si>
    <t>I677</t>
  </si>
  <si>
    <t>I678</t>
  </si>
  <si>
    <t>I679</t>
  </si>
  <si>
    <t>I680</t>
  </si>
  <si>
    <t>I681</t>
  </si>
  <si>
    <t>I682</t>
  </si>
  <si>
    <t>I688</t>
  </si>
  <si>
    <t>I690</t>
  </si>
  <si>
    <t>I691</t>
  </si>
  <si>
    <t>I692</t>
  </si>
  <si>
    <t>I693</t>
  </si>
  <si>
    <t>I694</t>
  </si>
  <si>
    <t>I698</t>
  </si>
  <si>
    <t>I700</t>
  </si>
  <si>
    <t>I701</t>
  </si>
  <si>
    <t>I702</t>
  </si>
  <si>
    <t>I708</t>
  </si>
  <si>
    <t>I709</t>
  </si>
  <si>
    <t>I710</t>
  </si>
  <si>
    <t>I711</t>
  </si>
  <si>
    <t>I712</t>
  </si>
  <si>
    <t>I713</t>
  </si>
  <si>
    <t>I714</t>
  </si>
  <si>
    <t>I715</t>
  </si>
  <si>
    <t>I716</t>
  </si>
  <si>
    <t>I718</t>
  </si>
  <si>
    <t>I719</t>
  </si>
  <si>
    <t>I731</t>
  </si>
  <si>
    <t>I738</t>
  </si>
  <si>
    <t>I739</t>
  </si>
  <si>
    <t>I771</t>
  </si>
  <si>
    <t>I790</t>
  </si>
  <si>
    <t>I792</t>
  </si>
  <si>
    <t>I850</t>
  </si>
  <si>
    <t>I859</t>
  </si>
  <si>
    <t>I864</t>
  </si>
  <si>
    <t>I982</t>
  </si>
  <si>
    <t>J410</t>
  </si>
  <si>
    <t>J411</t>
  </si>
  <si>
    <t>J418</t>
  </si>
  <si>
    <t>J430</t>
  </si>
  <si>
    <t>J431</t>
  </si>
  <si>
    <t>J432</t>
  </si>
  <si>
    <t>J438</t>
  </si>
  <si>
    <t>J439</t>
  </si>
  <si>
    <t>J440</t>
  </si>
  <si>
    <t>J441</t>
  </si>
  <si>
    <t>J448</t>
  </si>
  <si>
    <t>J449</t>
  </si>
  <si>
    <t>J450</t>
  </si>
  <si>
    <t>J451</t>
  </si>
  <si>
    <t>J458</t>
  </si>
  <si>
    <t>J459</t>
  </si>
  <si>
    <t>J620</t>
  </si>
  <si>
    <t>J628</t>
  </si>
  <si>
    <t>J630</t>
  </si>
  <si>
    <t>J631</t>
  </si>
  <si>
    <t>J632</t>
  </si>
  <si>
    <t>J633</t>
  </si>
  <si>
    <t>J634</t>
  </si>
  <si>
    <t>J635</t>
  </si>
  <si>
    <t>J638</t>
  </si>
  <si>
    <t>J660</t>
  </si>
  <si>
    <t>J661</t>
  </si>
  <si>
    <t>J662</t>
  </si>
  <si>
    <t>J668</t>
  </si>
  <si>
    <t>J670</t>
  </si>
  <si>
    <t>J671</t>
  </si>
  <si>
    <t>J672</t>
  </si>
  <si>
    <t>J673</t>
  </si>
  <si>
    <t>J674</t>
  </si>
  <si>
    <t>J675</t>
  </si>
  <si>
    <t>J676</t>
  </si>
  <si>
    <t>J677</t>
  </si>
  <si>
    <t>J678</t>
  </si>
  <si>
    <t>J679</t>
  </si>
  <si>
    <t>J684</t>
  </si>
  <si>
    <t>J701</t>
  </si>
  <si>
    <t>J703</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</si>
  <si>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</si>
  <si>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</si>
  <si>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</si>
  <si>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</si>
  <si>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</si>
  <si>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</si>
  <si>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</si>
  <si>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</si>
  <si>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</si>
  <si>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</si>
  <si>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</si>
  <si>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</si>
  <si>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</si>
  <si>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</si>
  <si>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</si>
  <si>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</si>
  <si>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</si>
  <si>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</si>
  <si>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</si>
  <si>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</si>
  <si>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</si>
  <si>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</si>
  <si>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</si>
  <si>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</si>
  <si>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</si>
  <si>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</si>
  <si>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</si>
  <si>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</si>
  <si>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</si>
  <si>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</si>
  <si>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</si>
  <si>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</si>
  <si>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</si>
  <si>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</si>
  <si>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</si>
  <si>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</si>
  <si>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K551</t>
  </si>
  <si>
    <t>K558</t>
  </si>
  <si>
    <t>K559</t>
  </si>
  <si>
    <t>K704</t>
  </si>
  <si>
    <t>K711</t>
  </si>
  <si>
    <t>K721</t>
  </si>
  <si>
    <t>K729</t>
  </si>
  <si>
    <t>K730</t>
  </si>
  <si>
    <t>K731</t>
  </si>
  <si>
    <t>K732</t>
  </si>
  <si>
    <t>K738</t>
  </si>
  <si>
    <t>K739</t>
  </si>
  <si>
    <t>K740</t>
  </si>
  <si>
    <t>K741</t>
  </si>
  <si>
    <t>K742</t>
  </si>
  <si>
    <t>K743</t>
  </si>
  <si>
    <t>K744</t>
  </si>
  <si>
    <t>K745</t>
  </si>
  <si>
    <t>K746</t>
  </si>
  <si>
    <t>K765</t>
  </si>
  <si>
    <t>K766</t>
  </si>
  <si>
    <t>K767</t>
  </si>
  <si>
    <t>M050</t>
  </si>
  <si>
    <t>M051</t>
  </si>
  <si>
    <t>M052</t>
  </si>
  <si>
    <t>M053</t>
  </si>
  <si>
    <t>M058</t>
  </si>
  <si>
    <t>M059</t>
  </si>
  <si>
    <t>M060</t>
  </si>
  <si>
    <t>M061</t>
  </si>
  <si>
    <t>M062</t>
  </si>
  <si>
    <t>M063</t>
  </si>
  <si>
    <t>M064</t>
  </si>
  <si>
    <t>M068</t>
  </si>
  <si>
    <t>M069</t>
  </si>
  <si>
    <t>M315</t>
  </si>
  <si>
    <t>M320</t>
  </si>
  <si>
    <t>M321</t>
  </si>
  <si>
    <t>M328</t>
  </si>
  <si>
    <t>M329</t>
  </si>
  <si>
    <t>M330</t>
  </si>
  <si>
    <t>M331</t>
  </si>
  <si>
    <t>M332</t>
  </si>
  <si>
    <t>M339</t>
  </si>
  <si>
    <t>M340</t>
  </si>
  <si>
    <t>M341</t>
  </si>
  <si>
    <t>M342</t>
  </si>
  <si>
    <t>M348</t>
  </si>
  <si>
    <t>M349</t>
  </si>
  <si>
    <t>M351</t>
  </si>
  <si>
    <t>M353</t>
  </si>
  <si>
    <t>M360</t>
  </si>
  <si>
    <t>N032</t>
  </si>
  <si>
    <t>N033</t>
  </si>
  <si>
    <t>N034</t>
  </si>
  <si>
    <t>N035</t>
  </si>
  <si>
    <t>N036</t>
  </si>
  <si>
    <t>N037</t>
  </si>
  <si>
    <t>N052</t>
  </si>
  <si>
    <t>N053</t>
  </si>
  <si>
    <t>N054</t>
  </si>
  <si>
    <t>N055</t>
  </si>
  <si>
    <t>N056</t>
  </si>
  <si>
    <t>N057</t>
  </si>
  <si>
    <t>N181</t>
  </si>
  <si>
    <t>N182</t>
  </si>
  <si>
    <t>N183</t>
  </si>
  <si>
    <t>N184</t>
  </si>
  <si>
    <t>N185</t>
  </si>
  <si>
    <t>N189</t>
  </si>
  <si>
    <t>N250</t>
  </si>
  <si>
    <t>P290</t>
  </si>
  <si>
    <t>Z490</t>
  </si>
  <si>
    <t>Z491</t>
  </si>
  <si>
    <t>Z492</t>
  </si>
  <si>
    <t>Z958</t>
  </si>
  <si>
    <t>Z959</t>
  </si>
  <si>
    <t>Z992</t>
  </si>
  <si>
    <t>shikkan290_start_date</t>
  </si>
  <si>
    <t>shikkan291_start_date</t>
  </si>
  <si>
    <t>shikkan292_start_date</t>
  </si>
  <si>
    <t>shikkan293_start_date</t>
  </si>
  <si>
    <t>shikkan294_start_date</t>
  </si>
  <si>
    <t>shikkan295_start_date</t>
  </si>
  <si>
    <t>shikkan296_start_date</t>
  </si>
  <si>
    <t>shikkan297_start_date</t>
  </si>
  <si>
    <t>shikkan298_start_date</t>
  </si>
  <si>
    <t>shikkan299_start_date</t>
  </si>
  <si>
    <t>shikkan300_start_date</t>
  </si>
  <si>
    <t>shikkan301_start_date</t>
  </si>
  <si>
    <t>shikkan302_start_date</t>
  </si>
  <si>
    <t>shikkan303_start_date</t>
  </si>
  <si>
    <t>shikkan304_start_date</t>
  </si>
  <si>
    <t>shikkan305_start_date</t>
  </si>
  <si>
    <t>shikkan306_start_date</t>
  </si>
  <si>
    <t>shikkan307_start_date</t>
  </si>
  <si>
    <t>shikkan308_start_date</t>
  </si>
  <si>
    <t>shikkan309_start_date</t>
  </si>
  <si>
    <t>shikkan310_start_date</t>
  </si>
  <si>
    <t>shikkan311_start_date</t>
  </si>
  <si>
    <t>shikkan312_start_date</t>
  </si>
  <si>
    <t>shikkan313_start_date</t>
  </si>
  <si>
    <t>shikkan314_start_date</t>
  </si>
  <si>
    <t>shikkan315_start_date</t>
  </si>
  <si>
    <t>shikkan316_start_date</t>
  </si>
  <si>
    <t>shikkan317_start_date</t>
  </si>
  <si>
    <t>shikkan318_start_date</t>
  </si>
  <si>
    <t>shikkan319_start_date</t>
  </si>
  <si>
    <t>shikkan320_start_date</t>
  </si>
  <si>
    <t>shikkan321_start_date</t>
  </si>
  <si>
    <t>shikkan322_start_date</t>
  </si>
  <si>
    <t>shikkan323_start_date</t>
  </si>
  <si>
    <t>shikkan324_start_date</t>
  </si>
  <si>
    <t>shikkan325_start_date</t>
  </si>
  <si>
    <t>shikkan326_start_date</t>
  </si>
  <si>
    <t>shikkan327_start_date</t>
  </si>
  <si>
    <t>shikkan328_start_date</t>
  </si>
  <si>
    <t>shikkan329_start_date</t>
  </si>
  <si>
    <t>shikkan330_start_date</t>
  </si>
  <si>
    <t>shikkan331_start_date</t>
  </si>
  <si>
    <t>shikkan332_start_date</t>
  </si>
  <si>
    <t>shikkan333_start_date</t>
  </si>
  <si>
    <t>shikkan334_start_date</t>
  </si>
  <si>
    <t>shikkan335_start_date</t>
  </si>
  <si>
    <t>shikkan336_start_date</t>
  </si>
  <si>
    <t>shikkan337_start_date</t>
  </si>
  <si>
    <t>shikkan338_start_date</t>
  </si>
  <si>
    <t>shikkan339_start_date</t>
  </si>
  <si>
    <t>shikkan340_start_date</t>
  </si>
  <si>
    <t>shikkan341_start_date</t>
  </si>
  <si>
    <t>shikkan342_start_date</t>
  </si>
  <si>
    <t>shikkan343_start_date</t>
  </si>
  <si>
    <t>shikkan344_start_date</t>
  </si>
  <si>
    <t>shikkan345_start_date</t>
  </si>
  <si>
    <t>shikkan346_start_date</t>
  </si>
  <si>
    <t>shikkan347_start_date</t>
  </si>
  <si>
    <t>shikkan348_start_date</t>
  </si>
  <si>
    <t>shikkan349_start_date</t>
  </si>
  <si>
    <t>shikkan350_start_date</t>
  </si>
  <si>
    <t>shikkan351_start_date</t>
  </si>
  <si>
    <t>shikkan352_start_date</t>
  </si>
  <si>
    <t>shikkan353_start_date</t>
  </si>
  <si>
    <t>shikkan354_start_date</t>
  </si>
  <si>
    <t>shikkan355_start_date</t>
  </si>
  <si>
    <t>shikkan356_start_date</t>
  </si>
  <si>
    <t>shikkan357_start_date</t>
  </si>
  <si>
    <t>shikkan358_start_date</t>
  </si>
  <si>
    <t>shikkan359_start_date</t>
  </si>
  <si>
    <t>shikkan360_start_date</t>
  </si>
  <si>
    <t>shikkan361_start_date</t>
  </si>
  <si>
    <t>shikkan362_start_date</t>
  </si>
  <si>
    <t>shikkan363_start_date</t>
  </si>
  <si>
    <t>shikkan364_start_date</t>
  </si>
  <si>
    <t>shikkan365_start_date</t>
  </si>
  <si>
    <t>shikkan366_start_date</t>
  </si>
  <si>
    <t>shikkan367_start_date</t>
  </si>
  <si>
    <t>shikkan368_start_date</t>
  </si>
  <si>
    <t>shikkan369_start_date</t>
  </si>
  <si>
    <t>shikkan370_start_date</t>
  </si>
  <si>
    <t>shikkan371_start_date</t>
  </si>
  <si>
    <t>shikkan372_start_date</t>
  </si>
  <si>
    <t>shikkan373_start_date</t>
  </si>
  <si>
    <t>shikkan374_start_date</t>
  </si>
  <si>
    <t>shikkan375_start_date</t>
  </si>
  <si>
    <t>shikkan376_start_date</t>
  </si>
  <si>
    <t>shikkan377_start_date</t>
  </si>
  <si>
    <t>shikkan378_start_date</t>
  </si>
  <si>
    <t>shikkan379_start_date</t>
  </si>
  <si>
    <t>shikkan380_start_date</t>
  </si>
  <si>
    <t>shikkan381_start_date</t>
  </si>
  <si>
    <t>shikkan382_start_date</t>
  </si>
  <si>
    <t>shikkan383_start_date</t>
  </si>
  <si>
    <t>shikkan384_start_date</t>
  </si>
  <si>
    <t>shikkan385_start_date</t>
  </si>
  <si>
    <t>shikkan386_start_date</t>
  </si>
  <si>
    <t>shikkan387_start_date</t>
  </si>
  <si>
    <t>shikkan388_start_date</t>
  </si>
  <si>
    <t>shikkan389_start_date</t>
  </si>
  <si>
    <t>shikkan390_start_date</t>
  </si>
  <si>
    <t>shikkan391_start_date</t>
  </si>
  <si>
    <t>shikkan392_start_date</t>
  </si>
  <si>
    <t>shikkan393_start_date</t>
  </si>
  <si>
    <t>shikkan394_start_date</t>
  </si>
  <si>
    <t>shikkan395_start_date</t>
  </si>
  <si>
    <t>shikkan396_start_date</t>
  </si>
  <si>
    <t>shikkan397_start_date</t>
  </si>
  <si>
    <t>shikkan398_start_date</t>
  </si>
  <si>
    <t>shikkan399_start_date</t>
  </si>
  <si>
    <t>shikkan400_start_date</t>
  </si>
  <si>
    <t>shikkan401_start_date</t>
  </si>
  <si>
    <t>shikkan402_start_date</t>
  </si>
  <si>
    <t>shikkan403_start_date</t>
  </si>
  <si>
    <t>shikkan404_start_date</t>
  </si>
  <si>
    <t>shikkan405_start_date</t>
  </si>
  <si>
    <t>shikkan406_start_date</t>
  </si>
  <si>
    <t>shikkan407_start_date</t>
  </si>
  <si>
    <t>shikkan408_start_date</t>
  </si>
  <si>
    <t>shikkan409_start_date</t>
  </si>
  <si>
    <t>shikkan410_start_date</t>
  </si>
  <si>
    <t>shikkan411_start_date</t>
  </si>
  <si>
    <t>shikkan412_start_date</t>
  </si>
  <si>
    <t>shikkan413_start_date</t>
  </si>
  <si>
    <t>shikkan414_start_date</t>
  </si>
  <si>
    <t>shikkan415_start_date</t>
  </si>
  <si>
    <t>shikkan416_start_date</t>
  </si>
  <si>
    <t>shikkan417_start_date</t>
  </si>
  <si>
    <t>shikkan418_start_date</t>
  </si>
  <si>
    <t>shikkan419_start_date</t>
  </si>
  <si>
    <t>shikkan420_start_date</t>
  </si>
  <si>
    <t>shikkan421_start_date</t>
  </si>
  <si>
    <t>shikkan422_start_date</t>
  </si>
  <si>
    <t>shikkan423_start_date</t>
  </si>
  <si>
    <t>shikkan424_start_date</t>
  </si>
  <si>
    <t>shikkan425_start_date</t>
  </si>
  <si>
    <t>shikkan426_start_date</t>
  </si>
  <si>
    <t>shikkan427_start_date</t>
  </si>
  <si>
    <t>shikkan428_start_date</t>
  </si>
  <si>
    <t>shikkan429_start_date</t>
  </si>
  <si>
    <t>shikkan430_start_date</t>
  </si>
  <si>
    <t>shikkan431_start_date</t>
  </si>
  <si>
    <t>shikkan432_start_date</t>
  </si>
  <si>
    <t>shikkan433_start_date</t>
  </si>
  <si>
    <t>shikkan434_start_date</t>
  </si>
  <si>
    <t>shikkan435_start_date</t>
  </si>
  <si>
    <t>shikkan436_start_date</t>
  </si>
  <si>
    <t>shikkan437_start_date</t>
  </si>
  <si>
    <t>shikkan438_start_date</t>
  </si>
  <si>
    <t>shikkan439_start_date</t>
  </si>
  <si>
    <t>shikkan440_start_date</t>
  </si>
  <si>
    <t>shikkan441_start_date</t>
  </si>
  <si>
    <t>shikkan442_start_date</t>
  </si>
  <si>
    <t>shikkan443_start_date</t>
  </si>
  <si>
    <t>shikkan444_start_date</t>
  </si>
  <si>
    <t>shikkan445_start_date</t>
  </si>
  <si>
    <t>shikkan446_start_date</t>
  </si>
  <si>
    <t>shikkan447_start_date</t>
  </si>
  <si>
    <t>shikkan448_start_date</t>
  </si>
  <si>
    <t>shikkan449_start_date</t>
  </si>
  <si>
    <t>shikkan450_start_date</t>
  </si>
  <si>
    <t>shikkan451_start_date</t>
  </si>
  <si>
    <t>shikkan452_start_date</t>
  </si>
  <si>
    <t>shikkan453_start_date</t>
  </si>
  <si>
    <t>shikkan454_start_date</t>
  </si>
  <si>
    <t>shikkan455_start_date</t>
  </si>
  <si>
    <t>shikkan456_start_date</t>
  </si>
  <si>
    <t>shikkan457_start_date</t>
  </si>
  <si>
    <t>shikkan458_start_date</t>
  </si>
  <si>
    <t>shikkan459_start_date</t>
  </si>
  <si>
    <t>shikkan460_start_date</t>
  </si>
  <si>
    <t>shikkan461_start_date</t>
  </si>
  <si>
    <t>shikkan462_start_date</t>
  </si>
  <si>
    <t>shikkan463_start_date</t>
  </si>
  <si>
    <t>shikkan464_start_date</t>
  </si>
  <si>
    <t>shikkan465_start_date</t>
  </si>
  <si>
    <t>shikkan466_start_date</t>
  </si>
  <si>
    <t>shikkan467_start_date</t>
  </si>
  <si>
    <t>shikkan468_start_date</t>
  </si>
  <si>
    <t>shikkan469_start_date</t>
  </si>
  <si>
    <t>shikkan470_start_date</t>
  </si>
  <si>
    <t>shikkan471_start_date</t>
  </si>
  <si>
    <t>shikkan472_start_date</t>
  </si>
  <si>
    <t>shikkan473_start_date</t>
  </si>
  <si>
    <t>shikkan474_start_date</t>
  </si>
  <si>
    <t>shikkan475_start_date</t>
  </si>
  <si>
    <t>shikkan476_start_date</t>
  </si>
  <si>
    <t>shikkan477_start_date</t>
  </si>
  <si>
    <t>shikkan478_start_date</t>
  </si>
  <si>
    <t>shikkan479_start_date</t>
  </si>
  <si>
    <t>shikkan480_start_date</t>
  </si>
  <si>
    <t>shikkan481_start_date</t>
  </si>
  <si>
    <t>shikkan482_start_date</t>
  </si>
  <si>
    <t>shikkan483_start_date</t>
  </si>
  <si>
    <t>shikkan484_start_date</t>
  </si>
  <si>
    <t>shikkan485_start_date</t>
  </si>
  <si>
    <t>shikkan486_start_date</t>
  </si>
  <si>
    <t>shikkan487_start_date</t>
  </si>
  <si>
    <t>shikkan488_start_date</t>
  </si>
  <si>
    <t>shikkan489_start_date</t>
  </si>
  <si>
    <t>shikkan490_start_date</t>
  </si>
  <si>
    <t>shikkan491_start_date</t>
  </si>
  <si>
    <t>shikkan492_start_date</t>
  </si>
  <si>
    <t>shikkan493_start_date</t>
  </si>
  <si>
    <t>shikkan494_start_date</t>
  </si>
  <si>
    <t>shikkan495_start_date</t>
  </si>
  <si>
    <t>shikkan496_start_date</t>
  </si>
  <si>
    <t>shikkan497_start_date</t>
  </si>
  <si>
    <t>shikkan498_start_date</t>
  </si>
  <si>
    <t>shikkan499_start_date</t>
  </si>
  <si>
    <t>shikkan500_start_date</t>
  </si>
  <si>
    <t>shikkan501_start_date</t>
  </si>
  <si>
    <t>shikkan502_start_date</t>
  </si>
  <si>
    <t>shikkan503_start_date</t>
  </si>
  <si>
    <t>shikkan504_start_date</t>
  </si>
  <si>
    <t>shikkan505_start_date</t>
  </si>
  <si>
    <t>shikkan506_start_date</t>
  </si>
  <si>
    <t>shikkan507_start_date</t>
  </si>
  <si>
    <t>shikkan508_start_date</t>
  </si>
  <si>
    <t>shikkan509_start_date</t>
  </si>
  <si>
    <t>shikkan510_start_date</t>
  </si>
  <si>
    <t>shikkan511_start_date</t>
  </si>
  <si>
    <t>shikkan512_start_date</t>
  </si>
  <si>
    <t>shikkan513_start_date</t>
  </si>
  <si>
    <t>shikkan514_start_date</t>
  </si>
  <si>
    <t>shikkan515_start_date</t>
  </si>
  <si>
    <t>shikkan516_start_date</t>
  </si>
  <si>
    <t>shikkan517_start_date</t>
  </si>
  <si>
    <t>shikkan518_start_date</t>
  </si>
  <si>
    <t>shikkan519_start_date</t>
  </si>
  <si>
    <t>shikkan520_start_date</t>
  </si>
  <si>
    <t>shikkan521_start_date</t>
  </si>
  <si>
    <t>shikkan522_start_date</t>
  </si>
  <si>
    <t>shikkan523_start_date</t>
  </si>
  <si>
    <t>shikkan524_start_date</t>
  </si>
  <si>
    <t>shikkan525_start_date</t>
  </si>
  <si>
    <t>shikkan526_start_date</t>
  </si>
  <si>
    <t>shikkan527_start_date</t>
  </si>
  <si>
    <t>shikkan528_start_date</t>
  </si>
  <si>
    <t>shikkan529_start_date</t>
  </si>
  <si>
    <t>shikkan530_start_date</t>
  </si>
  <si>
    <t>shikkan531_start_date</t>
  </si>
  <si>
    <t>shikkan532_start_date</t>
  </si>
  <si>
    <t>shikkan533_start_date</t>
  </si>
  <si>
    <t>shikkan534_start_date</t>
  </si>
  <si>
    <t>shikkan535_start_date</t>
  </si>
  <si>
    <t>shikkan536_start_date</t>
  </si>
  <si>
    <t>shikkan537_start_date</t>
  </si>
  <si>
    <t>shikkan538_start_date</t>
  </si>
  <si>
    <t>shikkan539_start_date</t>
  </si>
  <si>
    <t>shikkan540_start_date</t>
  </si>
  <si>
    <t>shikkan541_start_date</t>
  </si>
  <si>
    <t>shikkan542_start_date</t>
  </si>
  <si>
    <t>shikkan543_start_date</t>
  </si>
  <si>
    <t>shikkan544_start_date</t>
  </si>
  <si>
    <t>shikkan545_start_date</t>
  </si>
  <si>
    <t>shikkan546_start_date</t>
  </si>
  <si>
    <t>shikkan547_start_date</t>
  </si>
  <si>
    <t>shikkan548_start_date</t>
  </si>
  <si>
    <t>shikkan549_start_date</t>
  </si>
  <si>
    <t>shikkan550_start_date</t>
  </si>
  <si>
    <t>shikkan551_start_date</t>
  </si>
  <si>
    <t>shikkan552_start_date</t>
  </si>
  <si>
    <t>shikkan553_start_date</t>
  </si>
  <si>
    <t>shikkan554_start_date</t>
  </si>
  <si>
    <t>shikkan555_start_date</t>
  </si>
  <si>
    <t>shikkan556_start_date</t>
  </si>
  <si>
    <t>shikkan557_start_date</t>
  </si>
  <si>
    <t>shikkan558_start_date</t>
  </si>
  <si>
    <t>shikkan559_start_date</t>
  </si>
  <si>
    <t>shikkan560_start_date</t>
  </si>
  <si>
    <t>shikkan561_start_date</t>
  </si>
  <si>
    <t>shikkan562_start_date</t>
  </si>
  <si>
    <t>shikkan563_start_date</t>
  </si>
  <si>
    <t>shikkan564_start_date</t>
  </si>
  <si>
    <t>shikkan565_start_date</t>
  </si>
  <si>
    <t>shikkan566_start_date</t>
  </si>
  <si>
    <t>shikkan567_start_date</t>
  </si>
  <si>
    <t>shikkan568_start_date</t>
  </si>
  <si>
    <t>shikkan569_start_date</t>
  </si>
  <si>
    <t>shikkan570_start_date</t>
  </si>
  <si>
    <t>shikkan571_start_date</t>
  </si>
  <si>
    <t>shikkan572_start_date</t>
  </si>
  <si>
    <t>shikkan573_start_date</t>
  </si>
  <si>
    <t>shikkan574_start_date</t>
  </si>
  <si>
    <t>shikkan575_start_date</t>
  </si>
  <si>
    <t>shikkan576_start_date</t>
  </si>
  <si>
    <t>shikkan577_start_date</t>
  </si>
  <si>
    <t>shikkan578_start_date</t>
  </si>
  <si>
    <t>shikkan579_start_date</t>
  </si>
  <si>
    <t>shikkan580_start_date</t>
  </si>
  <si>
    <t>shikkan581_start_date</t>
  </si>
  <si>
    <t>shikkan582_start_date</t>
  </si>
  <si>
    <t>shikkan583_start_date</t>
  </si>
  <si>
    <t>shikkan584_start_date</t>
  </si>
  <si>
    <t>shikkan585_start_date</t>
  </si>
  <si>
    <t>shikkan586_start_date</t>
  </si>
  <si>
    <t>shikkan587_start_date</t>
  </si>
  <si>
    <t>shikkan588_start_date</t>
  </si>
  <si>
    <t>shikkan589_start_date</t>
  </si>
  <si>
    <t>shikkan590_start_date</t>
  </si>
  <si>
    <t>shikkan591_start_date</t>
  </si>
  <si>
    <t>shikkan592_start_date</t>
  </si>
  <si>
    <t>shikkan593_start_date</t>
  </si>
  <si>
    <t>shikkan594_start_date</t>
  </si>
  <si>
    <t>shikkan595_start_date</t>
  </si>
  <si>
    <t>shikkan596_start_date</t>
  </si>
  <si>
    <t>shikkan597_start_date</t>
  </si>
  <si>
    <t>shikkan598_start_date</t>
  </si>
  <si>
    <t>shikkan599_start_date</t>
  </si>
  <si>
    <t>shikkan600_start_date</t>
  </si>
  <si>
    <t>shikkan601_start_date</t>
  </si>
  <si>
    <t>shikkan602_start_date</t>
  </si>
  <si>
    <t>shikkan603_start_date</t>
  </si>
  <si>
    <t>shikkan604_start_date</t>
  </si>
  <si>
    <t>shikkan605_start_date</t>
  </si>
  <si>
    <t>shikkan606_start_date</t>
  </si>
  <si>
    <t>shikkan607_start_date</t>
  </si>
  <si>
    <t>shikkan608_start_date</t>
  </si>
  <si>
    <t>shikkan609_start_date</t>
  </si>
  <si>
    <t>shikkan610_start_date</t>
  </si>
  <si>
    <t>shikkan611_start_date</t>
  </si>
  <si>
    <t>shikkan612_start_date</t>
  </si>
  <si>
    <t>shikkan613_start_date</t>
  </si>
  <si>
    <t>shikkan614_start_date</t>
  </si>
  <si>
    <t>shikkan615_start_date</t>
  </si>
  <si>
    <t>shikkan616_start_date</t>
  </si>
  <si>
    <t>shikkan617_start_date</t>
  </si>
  <si>
    <t>shikkan618_start_date</t>
  </si>
  <si>
    <t>shikkan619_start_date</t>
  </si>
  <si>
    <t>shikkan620_start_date</t>
  </si>
  <si>
    <t>shikkan621_start_date</t>
  </si>
  <si>
    <t>shikkan622_start_date</t>
  </si>
  <si>
    <t>shikkan623_start_date</t>
  </si>
  <si>
    <t>shikkan624_start_date</t>
  </si>
  <si>
    <t>shikkan625_start_date</t>
  </si>
  <si>
    <t>shikkan626_start_date</t>
  </si>
  <si>
    <t>shikkan627_start_date</t>
  </si>
  <si>
    <t>shikkan628_start_date</t>
  </si>
  <si>
    <t>shikkan629_start_date</t>
  </si>
  <si>
    <t>shikkan630_start_date</t>
  </si>
  <si>
    <t>shikkan631_start_date</t>
  </si>
  <si>
    <t>shikkan632_start_date</t>
  </si>
  <si>
    <t>shikkan633_start_date</t>
  </si>
  <si>
    <t>shikkan634_start_date</t>
  </si>
  <si>
    <t>shikkan635_start_date</t>
  </si>
  <si>
    <t>shikkan636_start_date</t>
  </si>
  <si>
    <t>shikkan637_start_date</t>
  </si>
  <si>
    <t>shikkan638_start_date</t>
  </si>
  <si>
    <t>shikkan639_start_date</t>
  </si>
  <si>
    <t>shikkan640_start_date</t>
  </si>
  <si>
    <t>shikkan641_start_date</t>
  </si>
  <si>
    <t>shikkan642_start_date</t>
  </si>
  <si>
    <t>shikkan643_start_date</t>
  </si>
  <si>
    <t>shikkan644_start_date</t>
  </si>
  <si>
    <t>shikkan645_start_date</t>
  </si>
  <si>
    <t>shikkan646_start_date</t>
  </si>
  <si>
    <t>shikkan647_start_date</t>
  </si>
  <si>
    <t>shikkan648_start_date</t>
  </si>
  <si>
    <t>shikkan649_start_date</t>
  </si>
  <si>
    <t>shikkan650_start_date</t>
  </si>
  <si>
    <t>shikkan651_start_date</t>
  </si>
  <si>
    <t>shikkan652_start_date</t>
  </si>
  <si>
    <t>shikkan653_start_date</t>
  </si>
  <si>
    <t>shikkan654_start_date</t>
  </si>
  <si>
    <t>shikkan655_start_date</t>
  </si>
  <si>
    <t>shikkan656_start_date</t>
  </si>
  <si>
    <t>shikkan657_start_date</t>
  </si>
  <si>
    <t>shikkan658_start_date</t>
  </si>
  <si>
    <t>shikkan659_start_date</t>
  </si>
  <si>
    <t>shikkan660_start_date</t>
  </si>
  <si>
    <t>shikkan661_start_date</t>
  </si>
  <si>
    <t>shikkan662_start_date</t>
  </si>
  <si>
    <t>shikkan663_start_date</t>
  </si>
  <si>
    <t>shikkan664_start_date</t>
  </si>
  <si>
    <t>shikkan665_start_date</t>
  </si>
  <si>
    <t>shikkan666_start_date</t>
  </si>
  <si>
    <t>shikkan667_start_date</t>
  </si>
  <si>
    <t>shikkan668_start_date</t>
  </si>
  <si>
    <t>shikkan669_start_date</t>
  </si>
  <si>
    <t>shikkan670_start_date</t>
  </si>
  <si>
    <t>shikkan671_start_date</t>
  </si>
  <si>
    <t>shikkan672_start_date</t>
  </si>
  <si>
    <t>shikkan673_start_date</t>
  </si>
  <si>
    <t>shikkan674_start_date</t>
  </si>
  <si>
    <t>shikkan675_start_date</t>
  </si>
  <si>
    <t>shikkan676_start_date</t>
  </si>
  <si>
    <t>shikkan677_start_date</t>
  </si>
  <si>
    <t>shikkan678_start_date</t>
  </si>
  <si>
    <t>shikkan679_start_date</t>
  </si>
  <si>
    <t>shikkan680_start_date</t>
  </si>
  <si>
    <t>shikkan681_start_date</t>
  </si>
  <si>
    <t>shikkan682_start_date</t>
  </si>
  <si>
    <t>shikkan683_start_date</t>
  </si>
  <si>
    <t>shikkan684_start_date</t>
  </si>
  <si>
    <t>shikkan685_start_date</t>
  </si>
  <si>
    <t>shikkan686_start_date</t>
  </si>
  <si>
    <t>shikkan687_start_date</t>
  </si>
  <si>
    <t>shikkan688_start_date</t>
  </si>
  <si>
    <t>shikkan689_start_date</t>
  </si>
  <si>
    <t>shikkan690_start_date</t>
  </si>
  <si>
    <t>shikkan691_start_date</t>
  </si>
  <si>
    <t>shikkan692_start_date</t>
  </si>
  <si>
    <t>shikkan693_start_date</t>
  </si>
  <si>
    <t>shikkan694_start_date</t>
  </si>
  <si>
    <t>shikkan695_start_date</t>
  </si>
  <si>
    <t>shikkan696_start_date</t>
  </si>
  <si>
    <t>shikkan697_start_date</t>
  </si>
  <si>
    <t>shikkan698_start_date</t>
  </si>
  <si>
    <t>shikkan699_start_date</t>
  </si>
  <si>
    <t>shikkan700_start_date</t>
  </si>
  <si>
    <t>shikkan701_start_date</t>
  </si>
  <si>
    <t>shikkan702_start_date</t>
  </si>
  <si>
    <t>shikkan703_start_date</t>
  </si>
  <si>
    <t>shikkan704_start_date</t>
  </si>
  <si>
    <t>shikkan705_start_date</t>
  </si>
  <si>
    <t>shikkan706_start_date</t>
  </si>
  <si>
    <t>shikkan707_start_date</t>
  </si>
  <si>
    <t>shikkan708_start_date</t>
  </si>
  <si>
    <t>shikkan709_start_date</t>
  </si>
  <si>
    <t>shikkan710_start_date</t>
  </si>
  <si>
    <t>shikkan711_start_date</t>
  </si>
  <si>
    <t>shikkan712_start_date</t>
  </si>
  <si>
    <t>shikkan713_start_date</t>
  </si>
  <si>
    <t>shikkan714_start_date</t>
  </si>
  <si>
    <t>shikkan715_start_date</t>
  </si>
  <si>
    <t>shikkan716_start_date</t>
  </si>
  <si>
    <t>shikkan717_start_date</t>
  </si>
  <si>
    <t>shikkan718_start_date</t>
  </si>
  <si>
    <t>shikkan719_start_date</t>
  </si>
  <si>
    <t>shikkan720_start_date</t>
  </si>
  <si>
    <t>shikkan721_start_date</t>
  </si>
  <si>
    <t>shikkan722_start_date</t>
  </si>
  <si>
    <t>shikkan723_start_date</t>
  </si>
  <si>
    <t>shikkan724_start_date</t>
  </si>
  <si>
    <t>shikkan725_start_date</t>
  </si>
  <si>
    <t>shikkan726_start_date</t>
  </si>
  <si>
    <t>shikkan727_start_date</t>
  </si>
  <si>
    <t>shikkan728_start_date</t>
  </si>
  <si>
    <t>shikkan729_start_date</t>
  </si>
  <si>
    <t>shikkan730_start_date</t>
  </si>
  <si>
    <t>shikkan731_start_date</t>
  </si>
  <si>
    <t>shikkan732_start_date</t>
  </si>
  <si>
    <t>shikkan733_start_date</t>
  </si>
  <si>
    <t>shikkan734_start_date</t>
  </si>
  <si>
    <t>shikkan735_start_date</t>
  </si>
  <si>
    <t>shikkan736_start_date</t>
  </si>
  <si>
    <t>shikkan737_start_date</t>
  </si>
  <si>
    <t>shikkan738_start_date</t>
  </si>
  <si>
    <t>shikkan739_start_date</t>
  </si>
  <si>
    <t>shikkan740_start_date</t>
  </si>
  <si>
    <t>shikkan741_start_date</t>
  </si>
  <si>
    <t>shikkan742_start_date</t>
  </si>
  <si>
    <t>shikkan743_start_date</t>
  </si>
  <si>
    <t>shikkan744_start_date</t>
  </si>
  <si>
    <t>shikkan745_start_date</t>
  </si>
  <si>
    <t>shikkan746_start_date</t>
  </si>
  <si>
    <t>shikkan747_start_date</t>
  </si>
  <si>
    <t>shikkan748_start_date</t>
  </si>
  <si>
    <t>shikkan749_start_date</t>
  </si>
  <si>
    <t>shikkan750_start_date</t>
  </si>
  <si>
    <t>shikkan751_start_date</t>
  </si>
  <si>
    <t>shikkan752_start_date</t>
  </si>
  <si>
    <t>shikkan753_start_date</t>
  </si>
  <si>
    <t>shikkan754_start_date</t>
  </si>
  <si>
    <t>shikkan755_start_date</t>
  </si>
  <si>
    <t>shikkan756_start_date</t>
  </si>
  <si>
    <t>shikkan757_start_date</t>
  </si>
  <si>
    <t>shikkan758_start_date</t>
  </si>
  <si>
    <t>shikkan759_start_date</t>
  </si>
  <si>
    <t>shikkan760_start_date</t>
  </si>
  <si>
    <t>shikkan761_start_date</t>
  </si>
  <si>
    <t>shikkan762_start_date</t>
  </si>
  <si>
    <t>shikkan763_start_date</t>
  </si>
  <si>
    <t>shikkan764_start_date</t>
  </si>
  <si>
    <t>shikkan765_start_date</t>
  </si>
  <si>
    <t>shikkan766_start_date</t>
  </si>
  <si>
    <t>shikkan767_start_date</t>
  </si>
  <si>
    <t>shikkan768_start_date</t>
  </si>
  <si>
    <t>shikkan769_start_date</t>
  </si>
  <si>
    <t>shikkan770_start_date</t>
  </si>
  <si>
    <t>shikkan771_start_date</t>
  </si>
  <si>
    <t>shikkan772_start_date</t>
  </si>
  <si>
    <t>shikkan773_start_date</t>
  </si>
  <si>
    <t>shikkan774_start_date</t>
  </si>
  <si>
    <t>shikkan775_start_date</t>
  </si>
  <si>
    <t>shikkan776_start_date</t>
  </si>
  <si>
    <t>shikkan777_start_date</t>
  </si>
  <si>
    <t>shikkan778_start_date</t>
  </si>
  <si>
    <t>shikkan779_start_date</t>
  </si>
  <si>
    <t>shikkan780_start_date</t>
  </si>
  <si>
    <t>shikkan781_start_date</t>
  </si>
  <si>
    <t>shikkan782_start_date</t>
  </si>
  <si>
    <t>shikkan783_start_date</t>
  </si>
  <si>
    <t>shikkan784_start_date</t>
  </si>
  <si>
    <t>shikkan785_start_date</t>
  </si>
  <si>
    <t>shikkan786_start_date</t>
  </si>
  <si>
    <t>shikkan787_start_date</t>
  </si>
  <si>
    <t>shikkan788_start_date</t>
  </si>
  <si>
    <t>shikkan789_start_date</t>
  </si>
  <si>
    <t>shikkan790_start_date</t>
  </si>
  <si>
    <t>shikkan791_start_date</t>
  </si>
  <si>
    <t>shikkan792_start_date</t>
  </si>
  <si>
    <t>shikkan793_start_date</t>
  </si>
  <si>
    <t>shikkan794_start_date</t>
  </si>
  <si>
    <t>shikkan795_start_date</t>
  </si>
  <si>
    <t>shikkan796_start_date</t>
  </si>
  <si>
    <t>shikkan797_start_date</t>
  </si>
  <si>
    <t>shikkan798_start_date</t>
  </si>
  <si>
    <t>shikkan799_start_date</t>
  </si>
  <si>
    <t>shikkan800_start_date</t>
  </si>
  <si>
    <t>shikkan801_start_date</t>
  </si>
  <si>
    <t>shikkan802_start_date</t>
  </si>
  <si>
    <t>shikkan803_start_date</t>
  </si>
  <si>
    <t>shikkan804_start_date</t>
  </si>
  <si>
    <t>shikkan805_start_date</t>
  </si>
  <si>
    <t>shikkan806_start_date</t>
  </si>
  <si>
    <t>shikkan807_start_date</t>
  </si>
  <si>
    <t>shikkan808_start_date</t>
  </si>
  <si>
    <t>shikkan809_start_date</t>
  </si>
  <si>
    <t>shikkan810_start_date</t>
  </si>
  <si>
    <t>shikkan811_start_date</t>
  </si>
  <si>
    <t>shikkan812_start_date</t>
  </si>
  <si>
    <t>shikkan813_start_date</t>
  </si>
  <si>
    <t>shikkan814_start_date</t>
  </si>
  <si>
    <t>shikkan815_start_date</t>
  </si>
  <si>
    <t>shikkan816_start_date</t>
  </si>
  <si>
    <t>shikkan817_start_date</t>
  </si>
  <si>
    <t>shikkan818_start_date</t>
  </si>
  <si>
    <t>shikkan819_start_date</t>
  </si>
  <si>
    <t>shikkan820_start_date</t>
  </si>
  <si>
    <t>shikkan821_start_date</t>
  </si>
  <si>
    <t>shikkan822_start_date</t>
  </si>
  <si>
    <t>shikkan823_start_date</t>
  </si>
  <si>
    <t>shikkan824_start_date</t>
  </si>
  <si>
    <t>shikkan825_start_date</t>
  </si>
  <si>
    <t>shikkan826_start_date</t>
  </si>
  <si>
    <t>shikkan827_start_date</t>
  </si>
  <si>
    <t>shikkan828_start_date</t>
  </si>
  <si>
    <t>shikkan829_start_date</t>
  </si>
  <si>
    <t>shikkan830_start_date</t>
  </si>
  <si>
    <t>shikkan831_start_date</t>
  </si>
  <si>
    <t>shikkan832_start_date</t>
  </si>
  <si>
    <t>shikkan833_start_date</t>
  </si>
  <si>
    <t>shikkan834_start_date</t>
  </si>
  <si>
    <t>shikkan835_start_date</t>
  </si>
  <si>
    <t>shikkan836_start_date</t>
  </si>
  <si>
    <t>shikkan837_start_date</t>
  </si>
  <si>
    <t>shikkan838_start_date</t>
  </si>
  <si>
    <t>shikkan839_start_date</t>
  </si>
  <si>
    <t>shikkan840_start_date</t>
  </si>
  <si>
    <t>shikkan841_start_date</t>
  </si>
  <si>
    <t>shikkan842_start_date</t>
  </si>
  <si>
    <t>shikkan843_start_date</t>
  </si>
  <si>
    <t>shikkan844_start_date</t>
  </si>
  <si>
    <t>shikkan845_start_date</t>
  </si>
  <si>
    <t>shikkan846_start_date</t>
  </si>
  <si>
    <t>shikkan847_start_date</t>
  </si>
  <si>
    <t>shikkan848_start_date</t>
  </si>
  <si>
    <t>shikkan849_start_date</t>
  </si>
  <si>
    <t>shikkan850_start_date</t>
  </si>
  <si>
    <t>shikkan851_start_date</t>
  </si>
  <si>
    <t>shikkan852_start_date</t>
  </si>
  <si>
    <t>shikkan853_start_date</t>
  </si>
  <si>
    <t>shikkan854_start_date</t>
  </si>
  <si>
    <t>shikkan855_start_date</t>
  </si>
  <si>
    <t>shikkan856_start_date</t>
  </si>
  <si>
    <t>shikkan857_start_date</t>
  </si>
  <si>
    <t>shikkan858_start_date</t>
  </si>
  <si>
    <t>shikkan859_start_date</t>
  </si>
  <si>
    <t>shikkan860_start_date</t>
  </si>
  <si>
    <t>shikkan861_start_date</t>
  </si>
  <si>
    <t>shikkan862_start_date</t>
  </si>
  <si>
    <t>shikkan863_start_date</t>
  </si>
  <si>
    <t>shikkan864_start_date</t>
  </si>
  <si>
    <t>shikkan865_start_date</t>
  </si>
  <si>
    <t>shikkan866_start_date</t>
  </si>
  <si>
    <t>shikkan867_start_date</t>
  </si>
  <si>
    <t>shikkan868_start_date</t>
  </si>
  <si>
    <t>shikkan869_start_date</t>
  </si>
  <si>
    <t>shikkan870_start_date</t>
  </si>
  <si>
    <t>shikkan871_start_date</t>
  </si>
  <si>
    <t>shikkan872_start_date</t>
  </si>
  <si>
    <t>shikkan873_start_date</t>
  </si>
  <si>
    <t>shikkan874_start_date</t>
  </si>
  <si>
    <t>shikkan875_start_date</t>
  </si>
  <si>
    <t>shikkan876_start_date</t>
  </si>
  <si>
    <t>shikkan877_start_date</t>
  </si>
  <si>
    <t>shikkan878_start_date</t>
  </si>
  <si>
    <t>shikkan879_start_date</t>
  </si>
  <si>
    <t>shikkan880_start_date</t>
  </si>
  <si>
    <t>shikkan881_start_date</t>
  </si>
  <si>
    <t>shikkan882_start_date</t>
  </si>
  <si>
    <t>shikkan883_start_date</t>
  </si>
  <si>
    <t>shikkan884_start_date</t>
  </si>
  <si>
    <t>shikkan885_start_date</t>
  </si>
  <si>
    <t>shikkan886_start_date</t>
  </si>
  <si>
    <t>shikkan887_start_date</t>
  </si>
  <si>
    <t>shikkan888_start_date</t>
  </si>
  <si>
    <t>shikkan889_start_date</t>
  </si>
  <si>
    <t>shikkan890_start_date</t>
  </si>
  <si>
    <t>B180_疾患開始日</t>
  </si>
  <si>
    <t>B181_疾患開始日</t>
  </si>
  <si>
    <t>B182_疾患開始日</t>
  </si>
  <si>
    <t>B188_疾患開始日</t>
  </si>
  <si>
    <t>B189_疾患開始日</t>
  </si>
  <si>
    <t>B200_疾患開始日</t>
  </si>
  <si>
    <t>B201_疾患開始日</t>
  </si>
  <si>
    <t>B202_疾患開始日</t>
  </si>
  <si>
    <t>B203_疾患開始日</t>
  </si>
  <si>
    <t>B204_疾患開始日</t>
  </si>
  <si>
    <t>B205_疾患開始日</t>
  </si>
  <si>
    <t>B206_疾患開始日</t>
  </si>
  <si>
    <t>B207_疾患開始日</t>
  </si>
  <si>
    <t>B208_疾患開始日</t>
  </si>
  <si>
    <t>B209_疾患開始日</t>
  </si>
  <si>
    <t>B210_疾患開始日</t>
  </si>
  <si>
    <t>B211_疾患開始日</t>
  </si>
  <si>
    <t>B212_疾患開始日</t>
  </si>
  <si>
    <t>B213_疾患開始日</t>
  </si>
  <si>
    <t>B217_疾患開始日</t>
  </si>
  <si>
    <t>B218_疾患開始日</t>
  </si>
  <si>
    <t>B219_疾患開始日</t>
  </si>
  <si>
    <t>B220_疾患開始日</t>
  </si>
  <si>
    <t>B221_疾患開始日</t>
  </si>
  <si>
    <t>B222_疾患開始日</t>
  </si>
  <si>
    <t>B227_疾患開始日</t>
  </si>
  <si>
    <t>C000_疾患開始日</t>
  </si>
  <si>
    <t>C001_疾患開始日</t>
  </si>
  <si>
    <t>C002_疾患開始日</t>
  </si>
  <si>
    <t>C003_疾患開始日</t>
  </si>
  <si>
    <t>C004_疾患開始日</t>
  </si>
  <si>
    <t>C005_疾患開始日</t>
  </si>
  <si>
    <t>C006_疾患開始日</t>
  </si>
  <si>
    <t>C008_疾患開始日</t>
  </si>
  <si>
    <t>C009_疾患開始日</t>
  </si>
  <si>
    <t>C020_疾患開始日</t>
  </si>
  <si>
    <t>C021_疾患開始日</t>
  </si>
  <si>
    <t>C022_疾患開始日</t>
  </si>
  <si>
    <t>C023_疾患開始日</t>
  </si>
  <si>
    <t>C024_疾患開始日</t>
  </si>
  <si>
    <t>C028_疾患開始日</t>
  </si>
  <si>
    <t>C029_疾患開始日</t>
  </si>
  <si>
    <t>C030_疾患開始日</t>
  </si>
  <si>
    <t>C031_疾患開始日</t>
  </si>
  <si>
    <t>C039_疾患開始日</t>
  </si>
  <si>
    <t>C040_疾患開始日</t>
  </si>
  <si>
    <t>C041_疾患開始日</t>
  </si>
  <si>
    <t>C048_疾患開始日</t>
  </si>
  <si>
    <t>C049_疾患開始日</t>
  </si>
  <si>
    <t>C050_疾患開始日</t>
  </si>
  <si>
    <t>C051_疾患開始日</t>
  </si>
  <si>
    <t>C052_疾患開始日</t>
  </si>
  <si>
    <t>C058_疾患開始日</t>
  </si>
  <si>
    <t>C059_疾患開始日</t>
  </si>
  <si>
    <t>C060_疾患開始日</t>
  </si>
  <si>
    <t>C061_疾患開始日</t>
  </si>
  <si>
    <t>C062_疾患開始日</t>
  </si>
  <si>
    <t>C068_疾患開始日</t>
  </si>
  <si>
    <t>C069_疾患開始日</t>
  </si>
  <si>
    <t>C080_疾患開始日</t>
  </si>
  <si>
    <t>C081_疾患開始日</t>
  </si>
  <si>
    <t>C088_疾患開始日</t>
  </si>
  <si>
    <t>C089_疾患開始日</t>
  </si>
  <si>
    <t>C090_疾患開始日</t>
  </si>
  <si>
    <t>C091_疾患開始日</t>
  </si>
  <si>
    <t>C098_疾患開始日</t>
  </si>
  <si>
    <t>C099_疾患開始日</t>
  </si>
  <si>
    <t>C100_疾患開始日</t>
  </si>
  <si>
    <t>C101_疾患開始日</t>
  </si>
  <si>
    <t>C102_疾患開始日</t>
  </si>
  <si>
    <t>C103_疾患開始日</t>
  </si>
  <si>
    <t>C104_疾患開始日</t>
  </si>
  <si>
    <t>C108_疾患開始日</t>
  </si>
  <si>
    <t>C109_疾患開始日</t>
  </si>
  <si>
    <t>C110_疾患開始日</t>
  </si>
  <si>
    <t>C111_疾患開始日</t>
  </si>
  <si>
    <t>C112_疾患開始日</t>
  </si>
  <si>
    <t>C113_疾患開始日</t>
  </si>
  <si>
    <t>C118_疾患開始日</t>
  </si>
  <si>
    <t>C119_疾患開始日</t>
  </si>
  <si>
    <t>C130_疾患開始日</t>
  </si>
  <si>
    <t>C131_疾患開始日</t>
  </si>
  <si>
    <t>C132_疾患開始日</t>
  </si>
  <si>
    <t>C138_疾患開始日</t>
  </si>
  <si>
    <t>C139_疾患開始日</t>
  </si>
  <si>
    <t>C140_疾患開始日</t>
  </si>
  <si>
    <t>C142_疾患開始日</t>
  </si>
  <si>
    <t>C148_疾患開始日</t>
  </si>
  <si>
    <t>C150_疾患開始日</t>
  </si>
  <si>
    <t>C151_疾患開始日</t>
  </si>
  <si>
    <t>C152_疾患開始日</t>
  </si>
  <si>
    <t>C153_疾患開始日</t>
  </si>
  <si>
    <t>C154_疾患開始日</t>
  </si>
  <si>
    <t>C155_疾患開始日</t>
  </si>
  <si>
    <t>C158_疾患開始日</t>
  </si>
  <si>
    <t>C159_疾患開始日</t>
  </si>
  <si>
    <t>C160_疾患開始日</t>
  </si>
  <si>
    <t>C161_疾患開始日</t>
  </si>
  <si>
    <t>C162_疾患開始日</t>
  </si>
  <si>
    <t>C163_疾患開始日</t>
  </si>
  <si>
    <t>C164_疾患開始日</t>
  </si>
  <si>
    <t>C165_疾患開始日</t>
  </si>
  <si>
    <t>C166_疾患開始日</t>
  </si>
  <si>
    <t>C168_疾患開始日</t>
  </si>
  <si>
    <t>C169_疾患開始日</t>
  </si>
  <si>
    <t>C170_疾患開始日</t>
  </si>
  <si>
    <t>C171_疾患開始日</t>
  </si>
  <si>
    <t>C172_疾患開始日</t>
  </si>
  <si>
    <t>C173_疾患開始日</t>
  </si>
  <si>
    <t>C178_疾患開始日</t>
  </si>
  <si>
    <t>C179_疾患開始日</t>
  </si>
  <si>
    <t>C180_疾患開始日</t>
  </si>
  <si>
    <t>C181_疾患開始日</t>
  </si>
  <si>
    <t>C182_疾患開始日</t>
  </si>
  <si>
    <t>C183_疾患開始日</t>
  </si>
  <si>
    <t>C184_疾患開始日</t>
  </si>
  <si>
    <t>C185_疾患開始日</t>
  </si>
  <si>
    <t>C186_疾患開始日</t>
  </si>
  <si>
    <t>C187_疾患開始日</t>
  </si>
  <si>
    <t>C188_疾患開始日</t>
  </si>
  <si>
    <t>C189_疾患開始日</t>
  </si>
  <si>
    <t>C210_疾患開始日</t>
  </si>
  <si>
    <t>C211_疾患開始日</t>
  </si>
  <si>
    <t>C212_疾患開始日</t>
  </si>
  <si>
    <t>C218_疾患開始日</t>
  </si>
  <si>
    <t>C220_疾患開始日</t>
  </si>
  <si>
    <t>C221_疾患開始日</t>
  </si>
  <si>
    <t>C222_疾患開始日</t>
  </si>
  <si>
    <t>C223_疾患開始日</t>
  </si>
  <si>
    <t>C224_疾患開始日</t>
  </si>
  <si>
    <t>C227_疾患開始日</t>
  </si>
  <si>
    <t>C229_疾患開始日</t>
  </si>
  <si>
    <t>C240_疾患開始日</t>
  </si>
  <si>
    <t>C241_疾患開始日</t>
  </si>
  <si>
    <t>C248_疾患開始日</t>
  </si>
  <si>
    <t>C249_疾患開始日</t>
  </si>
  <si>
    <t>C250_疾患開始日</t>
  </si>
  <si>
    <t>C251_疾患開始日</t>
  </si>
  <si>
    <t>C252_疾患開始日</t>
  </si>
  <si>
    <t>C253_疾患開始日</t>
  </si>
  <si>
    <t>C254_疾患開始日</t>
  </si>
  <si>
    <t>C257_疾患開始日</t>
  </si>
  <si>
    <t>C258_疾患開始日</t>
  </si>
  <si>
    <t>C259_疾患開始日</t>
  </si>
  <si>
    <t>C260_疾患開始日</t>
  </si>
  <si>
    <t>C261_疾患開始日</t>
  </si>
  <si>
    <t>C268_疾患開始日</t>
  </si>
  <si>
    <t>C269_疾患開始日</t>
  </si>
  <si>
    <t>C300_疾患開始日</t>
  </si>
  <si>
    <t>C301_疾患開始日</t>
  </si>
  <si>
    <t>C310_疾患開始日</t>
  </si>
  <si>
    <t>C311_疾患開始日</t>
  </si>
  <si>
    <t>C312_疾患開始日</t>
  </si>
  <si>
    <t>C313_疾患開始日</t>
  </si>
  <si>
    <t>C318_疾患開始日</t>
  </si>
  <si>
    <t>C319_疾患開始日</t>
  </si>
  <si>
    <t>C320_疾患開始日</t>
  </si>
  <si>
    <t>C321_疾患開始日</t>
  </si>
  <si>
    <t>C322_疾患開始日</t>
  </si>
  <si>
    <t>C323_疾患開始日</t>
  </si>
  <si>
    <t>C328_疾患開始日</t>
  </si>
  <si>
    <t>C329_疾患開始日</t>
  </si>
  <si>
    <t>C340_疾患開始日</t>
  </si>
  <si>
    <t>C341_疾患開始日</t>
  </si>
  <si>
    <t>C342_疾患開始日</t>
  </si>
  <si>
    <t>C343_疾患開始日</t>
  </si>
  <si>
    <t>C348_疾患開始日</t>
  </si>
  <si>
    <t>C349_疾患開始日</t>
  </si>
  <si>
    <t>C380_疾患開始日</t>
  </si>
  <si>
    <t>C381_疾患開始日</t>
  </si>
  <si>
    <t>C382_疾患開始日</t>
  </si>
  <si>
    <t>C383_疾患開始日</t>
  </si>
  <si>
    <t>C384_疾患開始日</t>
  </si>
  <si>
    <t>C388_疾患開始日</t>
  </si>
  <si>
    <t>C390_疾患開始日</t>
  </si>
  <si>
    <t>C398_疾患開始日</t>
  </si>
  <si>
    <t>C399_疾患開始日</t>
  </si>
  <si>
    <t>C400_疾患開始日</t>
  </si>
  <si>
    <t>C401_疾患開始日</t>
  </si>
  <si>
    <t>C402_疾患開始日</t>
  </si>
  <si>
    <t>C403_疾患開始日</t>
  </si>
  <si>
    <t>C408_疾患開始日</t>
  </si>
  <si>
    <t>C409_疾患開始日</t>
  </si>
  <si>
    <t>C410_疾患開始日</t>
  </si>
  <si>
    <t>C411_疾患開始日</t>
  </si>
  <si>
    <t>C412_疾患開始日</t>
  </si>
  <si>
    <t>C413_疾患開始日</t>
  </si>
  <si>
    <t>C414_疾患開始日</t>
  </si>
  <si>
    <t>C418_疾患開始日</t>
  </si>
  <si>
    <t>C419_疾患開始日</t>
  </si>
  <si>
    <t>C430_疾患開始日</t>
  </si>
  <si>
    <t>C431_疾患開始日</t>
  </si>
  <si>
    <t>C432_疾患開始日</t>
  </si>
  <si>
    <t>C433_疾患開始日</t>
  </si>
  <si>
    <t>C434_疾患開始日</t>
  </si>
  <si>
    <t>C435_疾患開始日</t>
  </si>
  <si>
    <t>C436_疾患開始日</t>
  </si>
  <si>
    <t>C437_疾患開始日</t>
  </si>
  <si>
    <t>C438_疾患開始日</t>
  </si>
  <si>
    <t>C439_疾患開始日</t>
  </si>
  <si>
    <t>C450_疾患開始日</t>
  </si>
  <si>
    <t>C451_疾患開始日</t>
  </si>
  <si>
    <t>C452_疾患開始日</t>
  </si>
  <si>
    <t>C457_疾患開始日</t>
  </si>
  <si>
    <t>C459_疾患開始日</t>
  </si>
  <si>
    <t>C460_疾患開始日</t>
  </si>
  <si>
    <t>C461_疾患開始日</t>
  </si>
  <si>
    <t>C462_疾患開始日</t>
  </si>
  <si>
    <t>C463_疾患開始日</t>
  </si>
  <si>
    <t>C467_疾患開始日</t>
  </si>
  <si>
    <t>C468_疾患開始日</t>
  </si>
  <si>
    <t>C469_疾患開始日</t>
  </si>
  <si>
    <t>C470_疾患開始日</t>
  </si>
  <si>
    <t>C471_疾患開始日</t>
  </si>
  <si>
    <t>C472_疾患開始日</t>
  </si>
  <si>
    <t>C473_疾患開始日</t>
  </si>
  <si>
    <t>C474_疾患開始日</t>
  </si>
  <si>
    <t>C475_疾患開始日</t>
  </si>
  <si>
    <t>C476_疾患開始日</t>
  </si>
  <si>
    <t>C478_疾患開始日</t>
  </si>
  <si>
    <t>C479_疾患開始日</t>
  </si>
  <si>
    <t>C480_疾患開始日</t>
  </si>
  <si>
    <t>C481_疾患開始日</t>
  </si>
  <si>
    <t>C482_疾患開始日</t>
  </si>
  <si>
    <t>C488_疾患開始日</t>
  </si>
  <si>
    <t>C490_疾患開始日</t>
  </si>
  <si>
    <t>C491_疾患開始日</t>
  </si>
  <si>
    <t>C492_疾患開始日</t>
  </si>
  <si>
    <t>C493_疾患開始日</t>
  </si>
  <si>
    <t>C494_疾患開始日</t>
  </si>
  <si>
    <t>C495_疾患開始日</t>
  </si>
  <si>
    <t>C496_疾患開始日</t>
  </si>
  <si>
    <t>C498_疾患開始日</t>
  </si>
  <si>
    <t>C499_疾患開始日</t>
  </si>
  <si>
    <t>C500_疾患開始日</t>
  </si>
  <si>
    <t>C501_疾患開始日</t>
  </si>
  <si>
    <t>C502_疾患開始日</t>
  </si>
  <si>
    <t>C503_疾患開始日</t>
  </si>
  <si>
    <t>C504_疾患開始日</t>
  </si>
  <si>
    <t>C505_疾患開始日</t>
  </si>
  <si>
    <t>C506_疾患開始日</t>
  </si>
  <si>
    <t>C508_疾患開始日</t>
  </si>
  <si>
    <t>C509_疾患開始日</t>
  </si>
  <si>
    <t>C510_疾患開始日</t>
  </si>
  <si>
    <t>C511_疾患開始日</t>
  </si>
  <si>
    <t>C512_疾患開始日</t>
  </si>
  <si>
    <t>C518_疾患開始日</t>
  </si>
  <si>
    <t>C519_疾患開始日</t>
  </si>
  <si>
    <t>C530_疾患開始日</t>
  </si>
  <si>
    <t>C531_疾患開始日</t>
  </si>
  <si>
    <t>C538_疾患開始日</t>
  </si>
  <si>
    <t>C539_疾患開始日</t>
  </si>
  <si>
    <t>C540_疾患開始日</t>
  </si>
  <si>
    <t>C541_疾患開始日</t>
  </si>
  <si>
    <t>C542_疾患開始日</t>
  </si>
  <si>
    <t>C543_疾患開始日</t>
  </si>
  <si>
    <t>C548_疾患開始日</t>
  </si>
  <si>
    <t>C549_疾患開始日</t>
  </si>
  <si>
    <t>C570_疾患開始日</t>
  </si>
  <si>
    <t>C571_疾患開始日</t>
  </si>
  <si>
    <t>C572_疾患開始日</t>
  </si>
  <si>
    <t>C573_疾患開始日</t>
  </si>
  <si>
    <t>C574_疾患開始日</t>
  </si>
  <si>
    <t>C577_疾患開始日</t>
  </si>
  <si>
    <t>C578_疾患開始日</t>
  </si>
  <si>
    <t>C579_疾患開始日</t>
  </si>
  <si>
    <t>C600_疾患開始日</t>
  </si>
  <si>
    <t>C601_疾患開始日</t>
  </si>
  <si>
    <t>C602_疾患開始日</t>
  </si>
  <si>
    <t>C608_疾患開始日</t>
  </si>
  <si>
    <t>C609_疾患開始日</t>
  </si>
  <si>
    <t>C620_疾患開始日</t>
  </si>
  <si>
    <t>C621_疾患開始日</t>
  </si>
  <si>
    <t>C629_疾患開始日</t>
  </si>
  <si>
    <t>C630_疾患開始日</t>
  </si>
  <si>
    <t>C631_疾患開始日</t>
  </si>
  <si>
    <t>C632_疾患開始日</t>
  </si>
  <si>
    <t>C637_疾患開始日</t>
  </si>
  <si>
    <t>C638_疾患開始日</t>
  </si>
  <si>
    <t>C639_疾患開始日</t>
  </si>
  <si>
    <t>C670_疾患開始日</t>
  </si>
  <si>
    <t>C671_疾患開始日</t>
  </si>
  <si>
    <t>C672_疾患開始日</t>
  </si>
  <si>
    <t>C673_疾患開始日</t>
  </si>
  <si>
    <t>C674_疾患開始日</t>
  </si>
  <si>
    <t>C675_疾患開始日</t>
  </si>
  <si>
    <t>C676_疾患開始日</t>
  </si>
  <si>
    <t>C677_疾患開始日</t>
  </si>
  <si>
    <t>C678_疾患開始日</t>
  </si>
  <si>
    <t>C679_疾患開始日</t>
  </si>
  <si>
    <t>C680_疾患開始日</t>
  </si>
  <si>
    <t>C681_疾患開始日</t>
  </si>
  <si>
    <t>C688_疾患開始日</t>
  </si>
  <si>
    <t>C689_疾患開始日</t>
  </si>
  <si>
    <t>C690_疾患開始日</t>
  </si>
  <si>
    <t>C691_疾患開始日</t>
  </si>
  <si>
    <t>C692_疾患開始日</t>
  </si>
  <si>
    <t>C693_疾患開始日</t>
  </si>
  <si>
    <t>C694_疾患開始日</t>
  </si>
  <si>
    <t>C695_疾患開始日</t>
  </si>
  <si>
    <t>C696_疾患開始日</t>
  </si>
  <si>
    <t>C698_疾患開始日</t>
  </si>
  <si>
    <t>C699_疾患開始日</t>
  </si>
  <si>
    <t>C700_疾患開始日</t>
  </si>
  <si>
    <t>C701_疾患開始日</t>
  </si>
  <si>
    <t>C709_疾患開始日</t>
  </si>
  <si>
    <t>C710_疾患開始日</t>
  </si>
  <si>
    <t>C711_疾患開始日</t>
  </si>
  <si>
    <t>C712_疾患開始日</t>
  </si>
  <si>
    <t>C713_疾患開始日</t>
  </si>
  <si>
    <t>C714_疾患開始日</t>
  </si>
  <si>
    <t>C715_疾患開始日</t>
  </si>
  <si>
    <t>C716_疾患開始日</t>
  </si>
  <si>
    <t>C717_疾患開始日</t>
  </si>
  <si>
    <t>C718_疾患開始日</t>
  </si>
  <si>
    <t>C719_疾患開始日</t>
  </si>
  <si>
    <t>C720_疾患開始日</t>
  </si>
  <si>
    <t>C721_疾患開始日</t>
  </si>
  <si>
    <t>C722_疾患開始日</t>
  </si>
  <si>
    <t>C723_疾患開始日</t>
  </si>
  <si>
    <t>C724_疾患開始日</t>
  </si>
  <si>
    <t>C725_疾患開始日</t>
  </si>
  <si>
    <t>C728_疾患開始日</t>
  </si>
  <si>
    <t>C729_疾患開始日</t>
  </si>
  <si>
    <t>C740_疾患開始日</t>
  </si>
  <si>
    <t>C741_疾患開始日</t>
  </si>
  <si>
    <t>C749_疾患開始日</t>
  </si>
  <si>
    <t>C750_疾患開始日</t>
  </si>
  <si>
    <t>C751_疾患開始日</t>
  </si>
  <si>
    <t>C752_疾患開始日</t>
  </si>
  <si>
    <t>C753_疾患開始日</t>
  </si>
  <si>
    <t>C754_疾患開始日</t>
  </si>
  <si>
    <t>C755_疾患開始日</t>
  </si>
  <si>
    <t>C758_疾患開始日</t>
  </si>
  <si>
    <t>C759_疾患開始日</t>
  </si>
  <si>
    <t>C760_疾患開始日</t>
  </si>
  <si>
    <t>C761_疾患開始日</t>
  </si>
  <si>
    <t>C762_疾患開始日</t>
  </si>
  <si>
    <t>C763_疾患開始日</t>
  </si>
  <si>
    <t>C764_疾患開始日</t>
  </si>
  <si>
    <t>C765_疾患開始日</t>
  </si>
  <si>
    <t>C767_疾患開始日</t>
  </si>
  <si>
    <t>C768_疾患開始日</t>
  </si>
  <si>
    <t>C770_疾患開始日</t>
  </si>
  <si>
    <t>C771_疾患開始日</t>
  </si>
  <si>
    <t>C772_疾患開始日</t>
  </si>
  <si>
    <t>C773_疾患開始日</t>
  </si>
  <si>
    <t>C774_疾患開始日</t>
  </si>
  <si>
    <t>C775_疾患開始日</t>
  </si>
  <si>
    <t>C778_疾患開始日</t>
  </si>
  <si>
    <t>C779_疾患開始日</t>
  </si>
  <si>
    <t>C780_疾患開始日</t>
  </si>
  <si>
    <t>C781_疾患開始日</t>
  </si>
  <si>
    <t>C782_疾患開始日</t>
  </si>
  <si>
    <t>C783_疾患開始日</t>
  </si>
  <si>
    <t>C784_疾患開始日</t>
  </si>
  <si>
    <t>C785_疾患開始日</t>
  </si>
  <si>
    <t>C786_疾患開始日</t>
  </si>
  <si>
    <t>C787_疾患開始日</t>
  </si>
  <si>
    <t>C788_疾患開始日</t>
  </si>
  <si>
    <t>C790_疾患開始日</t>
  </si>
  <si>
    <t>C791_疾患開始日</t>
  </si>
  <si>
    <t>C792_疾患開始日</t>
  </si>
  <si>
    <t>C793_疾患開始日</t>
  </si>
  <si>
    <t>C794_疾患開始日</t>
  </si>
  <si>
    <t>C795_疾患開始日</t>
  </si>
  <si>
    <t>C796_疾患開始日</t>
  </si>
  <si>
    <t>C797_疾患開始日</t>
  </si>
  <si>
    <t>C798_疾患開始日</t>
  </si>
  <si>
    <t>C799_疾患開始日</t>
  </si>
  <si>
    <t>C800_疾患開始日</t>
  </si>
  <si>
    <t>C809_疾患開始日</t>
  </si>
  <si>
    <t>C810_疾患開始日</t>
  </si>
  <si>
    <t>C811_疾患開始日</t>
  </si>
  <si>
    <t>C812_疾患開始日</t>
  </si>
  <si>
    <t>C813_疾患開始日</t>
  </si>
  <si>
    <t>C814_疾患開始日</t>
  </si>
  <si>
    <t>C817_疾患開始日</t>
  </si>
  <si>
    <t>C819_疾患開始日</t>
  </si>
  <si>
    <t>C820_疾患開始日</t>
  </si>
  <si>
    <t>C821_疾患開始日</t>
  </si>
  <si>
    <t>C822_疾患開始日</t>
  </si>
  <si>
    <t>C823_疾患開始日</t>
  </si>
  <si>
    <t>C824_疾患開始日</t>
  </si>
  <si>
    <t>C825_疾患開始日</t>
  </si>
  <si>
    <t>C826_疾患開始日</t>
  </si>
  <si>
    <t>C827_疾患開始日</t>
  </si>
  <si>
    <t>C829_疾患開始日</t>
  </si>
  <si>
    <t>C830_疾患開始日</t>
  </si>
  <si>
    <t>C831_疾患開始日</t>
  </si>
  <si>
    <t>C833_疾患開始日</t>
  </si>
  <si>
    <t>C835_疾患開始日</t>
  </si>
  <si>
    <t>C837_疾患開始日</t>
  </si>
  <si>
    <t>C838_疾患開始日</t>
  </si>
  <si>
    <t>C839_疾患開始日</t>
  </si>
  <si>
    <t>C840_疾患開始日</t>
  </si>
  <si>
    <t>C841_疾患開始日</t>
  </si>
  <si>
    <t>C844_疾患開始日</t>
  </si>
  <si>
    <t>C845_疾患開始日</t>
  </si>
  <si>
    <t>C846_疾患開始日</t>
  </si>
  <si>
    <t>C847_疾患開始日</t>
  </si>
  <si>
    <t>C848_疾患開始日</t>
  </si>
  <si>
    <t>C849_疾患開始日</t>
  </si>
  <si>
    <t>C851_疾患開始日</t>
  </si>
  <si>
    <t>C852_疾患開始日</t>
  </si>
  <si>
    <t>C857_疾患開始日</t>
  </si>
  <si>
    <t>C859_疾患開始日</t>
  </si>
  <si>
    <t>C880_疾患開始日</t>
  </si>
  <si>
    <t>C882_疾患開始日</t>
  </si>
  <si>
    <t>C883_疾患開始日</t>
  </si>
  <si>
    <t>C884_疾患開始日</t>
  </si>
  <si>
    <t>C887_疾患開始日</t>
  </si>
  <si>
    <t>C889_疾患開始日</t>
  </si>
  <si>
    <t>C900_疾患開始日</t>
  </si>
  <si>
    <t>C901_疾患開始日</t>
  </si>
  <si>
    <t>C902_疾患開始日</t>
  </si>
  <si>
    <t>C903_疾患開始日</t>
  </si>
  <si>
    <t>C910_疾患開始日</t>
  </si>
  <si>
    <t>C911_疾患開始日</t>
  </si>
  <si>
    <t>C913_疾患開始日</t>
  </si>
  <si>
    <t>C914_疾患開始日</t>
  </si>
  <si>
    <t>C915_疾患開始日</t>
  </si>
  <si>
    <t>C916_疾患開始日</t>
  </si>
  <si>
    <t>C917_疾患開始日</t>
  </si>
  <si>
    <t>C918_疾患開始日</t>
  </si>
  <si>
    <t>C919_疾患開始日</t>
  </si>
  <si>
    <t>C920_疾患開始日</t>
  </si>
  <si>
    <t>C921_疾患開始日</t>
  </si>
  <si>
    <t>C922_疾患開始日</t>
  </si>
  <si>
    <t>C923_疾患開始日</t>
  </si>
  <si>
    <t>C924_疾患開始日</t>
  </si>
  <si>
    <t>C925_疾患開始日</t>
  </si>
  <si>
    <t>C926_疾患開始日</t>
  </si>
  <si>
    <t>C927_疾患開始日</t>
  </si>
  <si>
    <t>C928_疾患開始日</t>
  </si>
  <si>
    <t>C929_疾患開始日</t>
  </si>
  <si>
    <t>C930_疾患開始日</t>
  </si>
  <si>
    <t>C931_疾患開始日</t>
  </si>
  <si>
    <t>C933_疾患開始日</t>
  </si>
  <si>
    <t>C937_疾患開始日</t>
  </si>
  <si>
    <t>C939_疾患開始日</t>
  </si>
  <si>
    <t>C940_疾患開始日</t>
  </si>
  <si>
    <t>C942_疾患開始日</t>
  </si>
  <si>
    <t>C943_疾患開始日</t>
  </si>
  <si>
    <t>C944_疾患開始日</t>
  </si>
  <si>
    <t>C946_疾患開始日</t>
  </si>
  <si>
    <t>C947_疾患開始日</t>
  </si>
  <si>
    <t>C950_疾患開始日</t>
  </si>
  <si>
    <t>C951_疾患開始日</t>
  </si>
  <si>
    <t>C957_疾患開始日</t>
  </si>
  <si>
    <t>C959_疾患開始日</t>
  </si>
  <si>
    <t>C960_疾患開始日</t>
  </si>
  <si>
    <t>C962_疾患開始日</t>
  </si>
  <si>
    <t>C964_疾患開始日</t>
  </si>
  <si>
    <t>C965_疾患開始日</t>
  </si>
  <si>
    <t>C966_疾患開始日</t>
  </si>
  <si>
    <t>C967_疾患開始日</t>
  </si>
  <si>
    <t>C968_疾患開始日</t>
  </si>
  <si>
    <t>C969_疾患開始日</t>
  </si>
  <si>
    <t>F000_疾患開始日</t>
  </si>
  <si>
    <t>F001_疾患開始日</t>
  </si>
  <si>
    <t>F002_疾患開始日</t>
  </si>
  <si>
    <t>F009_疾患開始日</t>
  </si>
  <si>
    <t>F010_疾患開始日</t>
  </si>
  <si>
    <t>F011_疾患開始日</t>
  </si>
  <si>
    <t>F012_疾患開始日</t>
  </si>
  <si>
    <t>F013_疾患開始日</t>
  </si>
  <si>
    <t>F018_疾患開始日</t>
  </si>
  <si>
    <t>F019_疾患開始日</t>
  </si>
  <si>
    <t>F020_疾患開始日</t>
  </si>
  <si>
    <t>F021_疾患開始日</t>
  </si>
  <si>
    <t>F022_疾患開始日</t>
  </si>
  <si>
    <t>F023_疾患開始日</t>
  </si>
  <si>
    <t>F024_疾患開始日</t>
  </si>
  <si>
    <t>F028_疾患開始日</t>
  </si>
  <si>
    <t>F051_疾患開始日</t>
  </si>
  <si>
    <t>G041_疾患開始日</t>
  </si>
  <si>
    <t>G114_疾患開始日</t>
  </si>
  <si>
    <t>G300_疾患開始日</t>
  </si>
  <si>
    <t>G301_疾患開始日</t>
  </si>
  <si>
    <t>G308_疾患開始日</t>
  </si>
  <si>
    <t>G309_疾患開始日</t>
  </si>
  <si>
    <t>G311_疾患開始日</t>
  </si>
  <si>
    <t>G450_疾患開始日</t>
  </si>
  <si>
    <t>G451_疾患開始日</t>
  </si>
  <si>
    <t>G452_疾患開始日</t>
  </si>
  <si>
    <t>G453_疾患開始日</t>
  </si>
  <si>
    <t>G454_疾患開始日</t>
  </si>
  <si>
    <t>G458_疾患開始日</t>
  </si>
  <si>
    <t>G459_疾患開始日</t>
  </si>
  <si>
    <t>G460_疾患開始日</t>
  </si>
  <si>
    <t>G461_疾患開始日</t>
  </si>
  <si>
    <t>G462_疾患開始日</t>
  </si>
  <si>
    <t>G463_疾患開始日</t>
  </si>
  <si>
    <t>G464_疾患開始日</t>
  </si>
  <si>
    <t>G465_疾患開始日</t>
  </si>
  <si>
    <t>G466_疾患開始日</t>
  </si>
  <si>
    <t>G467_疾患開始日</t>
  </si>
  <si>
    <t>G468_疾患開始日</t>
  </si>
  <si>
    <t>G801_疾患開始日</t>
  </si>
  <si>
    <t>G802_疾患開始日</t>
  </si>
  <si>
    <t>G810_疾患開始日</t>
  </si>
  <si>
    <t>G811_疾患開始日</t>
  </si>
  <si>
    <t>G819_疾患開始日</t>
  </si>
  <si>
    <t>G820_疾患開始日</t>
  </si>
  <si>
    <t>G821_疾患開始日</t>
  </si>
  <si>
    <t>G822_疾患開始日</t>
  </si>
  <si>
    <t>G823_疾患開始日</t>
  </si>
  <si>
    <t>G824_疾患開始日</t>
  </si>
  <si>
    <t>G825_疾患開始日</t>
  </si>
  <si>
    <t>G830_疾患開始日</t>
  </si>
  <si>
    <t>G831_疾患開始日</t>
  </si>
  <si>
    <t>G832_疾患開始日</t>
  </si>
  <si>
    <t>G833_疾患開始日</t>
  </si>
  <si>
    <t>G834_疾患開始日</t>
  </si>
  <si>
    <t>G839_疾患開始日</t>
  </si>
  <si>
    <t>H340_疾患開始日</t>
  </si>
  <si>
    <t>I099_疾患開始日</t>
  </si>
  <si>
    <t>I110_疾患開始日</t>
  </si>
  <si>
    <t>I120_疾患開始日</t>
  </si>
  <si>
    <t>I210_疾患開始日</t>
  </si>
  <si>
    <t>I211_疾患開始日</t>
  </si>
  <si>
    <t>I212_疾患開始日</t>
  </si>
  <si>
    <t>I213_疾患開始日</t>
  </si>
  <si>
    <t>I214_疾患開始日</t>
  </si>
  <si>
    <t>I219_疾患開始日</t>
  </si>
  <si>
    <t>I220_疾患開始日</t>
  </si>
  <si>
    <t>I221_疾患開始日</t>
  </si>
  <si>
    <t>I228_疾患開始日</t>
  </si>
  <si>
    <t>I229_疾患開始日</t>
  </si>
  <si>
    <t>I278_疾患開始日</t>
  </si>
  <si>
    <t>I279_疾患開始日</t>
  </si>
  <si>
    <t>I420_疾患開始日</t>
  </si>
  <si>
    <t>I425_疾患開始日</t>
  </si>
  <si>
    <t>I426_疾患開始日</t>
  </si>
  <si>
    <t>I427_疾患開始日</t>
  </si>
  <si>
    <t>I428_疾患開始日</t>
  </si>
  <si>
    <t>I429_疾患開始日</t>
  </si>
  <si>
    <t>I430_疾患開始日</t>
  </si>
  <si>
    <t>I431_疾患開始日</t>
  </si>
  <si>
    <t>I432_疾患開始日</t>
  </si>
  <si>
    <t>I438_疾患開始日</t>
  </si>
  <si>
    <t>I500_疾患開始日</t>
  </si>
  <si>
    <t>I501_疾患開始日</t>
  </si>
  <si>
    <t>I509_疾患開始日</t>
  </si>
  <si>
    <t>I600_疾患開始日</t>
  </si>
  <si>
    <t>I601_疾患開始日</t>
  </si>
  <si>
    <t>I602_疾患開始日</t>
  </si>
  <si>
    <t>I603_疾患開始日</t>
  </si>
  <si>
    <t>I604_疾患開始日</t>
  </si>
  <si>
    <t>I605_疾患開始日</t>
  </si>
  <si>
    <t>I606_疾患開始日</t>
  </si>
  <si>
    <t>I607_疾患開始日</t>
  </si>
  <si>
    <t>I608_疾患開始日</t>
  </si>
  <si>
    <t>I609_疾患開始日</t>
  </si>
  <si>
    <t>I610_疾患開始日</t>
  </si>
  <si>
    <t>I611_疾患開始日</t>
  </si>
  <si>
    <t>I612_疾患開始日</t>
  </si>
  <si>
    <t>I613_疾患開始日</t>
  </si>
  <si>
    <t>I614_疾患開始日</t>
  </si>
  <si>
    <t>I615_疾患開始日</t>
  </si>
  <si>
    <t>I616_疾患開始日</t>
  </si>
  <si>
    <t>I618_疾患開始日</t>
  </si>
  <si>
    <t>I619_疾患開始日</t>
  </si>
  <si>
    <t>I620_疾患開始日</t>
  </si>
  <si>
    <t>I621_疾患開始日</t>
  </si>
  <si>
    <t>I629_疾患開始日</t>
  </si>
  <si>
    <t>I630_疾患開始日</t>
  </si>
  <si>
    <t>I631_疾患開始日</t>
  </si>
  <si>
    <t>I632_疾患開始日</t>
  </si>
  <si>
    <t>I633_疾患開始日</t>
  </si>
  <si>
    <t>I634_疾患開始日</t>
  </si>
  <si>
    <t>I635_疾患開始日</t>
  </si>
  <si>
    <t>I636_疾患開始日</t>
  </si>
  <si>
    <t>I638_疾患開始日</t>
  </si>
  <si>
    <t>I639_疾患開始日</t>
  </si>
  <si>
    <t>I650_疾患開始日</t>
  </si>
  <si>
    <t>I651_疾患開始日</t>
  </si>
  <si>
    <t>I652_疾患開始日</t>
  </si>
  <si>
    <t>I653_疾患開始日</t>
  </si>
  <si>
    <t>I658_疾患開始日</t>
  </si>
  <si>
    <t>I659_疾患開始日</t>
  </si>
  <si>
    <t>I660_疾患開始日</t>
  </si>
  <si>
    <t>I661_疾患開始日</t>
  </si>
  <si>
    <t>I662_疾患開始日</t>
  </si>
  <si>
    <t>I663_疾患開始日</t>
  </si>
  <si>
    <t>I664_疾患開始日</t>
  </si>
  <si>
    <t>I668_疾患開始日</t>
  </si>
  <si>
    <t>I669_疾患開始日</t>
  </si>
  <si>
    <t>I670_疾患開始日</t>
  </si>
  <si>
    <t>I671_疾患開始日</t>
  </si>
  <si>
    <t>I672_疾患開始日</t>
  </si>
  <si>
    <t>I673_疾患開始日</t>
  </si>
  <si>
    <t>I674_疾患開始日</t>
  </si>
  <si>
    <t>I675_疾患開始日</t>
  </si>
  <si>
    <t>I676_疾患開始日</t>
  </si>
  <si>
    <t>I677_疾患開始日</t>
  </si>
  <si>
    <t>I678_疾患開始日</t>
  </si>
  <si>
    <t>I679_疾患開始日</t>
  </si>
  <si>
    <t>I680_疾患開始日</t>
  </si>
  <si>
    <t>I681_疾患開始日</t>
  </si>
  <si>
    <t>I682_疾患開始日</t>
  </si>
  <si>
    <t>I688_疾患開始日</t>
  </si>
  <si>
    <t>I690_疾患開始日</t>
  </si>
  <si>
    <t>I691_疾患開始日</t>
  </si>
  <si>
    <t>I692_疾患開始日</t>
  </si>
  <si>
    <t>I693_疾患開始日</t>
  </si>
  <si>
    <t>I694_疾患開始日</t>
  </si>
  <si>
    <t>I698_疾患開始日</t>
  </si>
  <si>
    <t>I700_疾患開始日</t>
  </si>
  <si>
    <t>I701_疾患開始日</t>
  </si>
  <si>
    <t>I702_疾患開始日</t>
  </si>
  <si>
    <t>I708_疾患開始日</t>
  </si>
  <si>
    <t>I709_疾患開始日</t>
  </si>
  <si>
    <t>I710_疾患開始日</t>
  </si>
  <si>
    <t>I711_疾患開始日</t>
  </si>
  <si>
    <t>I712_疾患開始日</t>
  </si>
  <si>
    <t>I713_疾患開始日</t>
  </si>
  <si>
    <t>I714_疾患開始日</t>
  </si>
  <si>
    <t>I715_疾患開始日</t>
  </si>
  <si>
    <t>I716_疾患開始日</t>
  </si>
  <si>
    <t>I718_疾患開始日</t>
  </si>
  <si>
    <t>I719_疾患開始日</t>
  </si>
  <si>
    <t>I731_疾患開始日</t>
  </si>
  <si>
    <t>I738_疾患開始日</t>
  </si>
  <si>
    <t>I739_疾患開始日</t>
  </si>
  <si>
    <t>I771_疾患開始日</t>
  </si>
  <si>
    <t>I790_疾患開始日</t>
  </si>
  <si>
    <t>I792_疾患開始日</t>
  </si>
  <si>
    <t>I850_疾患開始日</t>
  </si>
  <si>
    <t>I859_疾患開始日</t>
  </si>
  <si>
    <t>I864_疾患開始日</t>
  </si>
  <si>
    <t>I982_疾患開始日</t>
  </si>
  <si>
    <t>J410_疾患開始日</t>
  </si>
  <si>
    <t>J411_疾患開始日</t>
  </si>
  <si>
    <t>J418_疾患開始日</t>
  </si>
  <si>
    <t>J430_疾患開始日</t>
  </si>
  <si>
    <t>J431_疾患開始日</t>
  </si>
  <si>
    <t>J432_疾患開始日</t>
  </si>
  <si>
    <t>J438_疾患開始日</t>
  </si>
  <si>
    <t>J439_疾患開始日</t>
  </si>
  <si>
    <t>J440_疾患開始日</t>
  </si>
  <si>
    <t>J441_疾患開始日</t>
  </si>
  <si>
    <t>J448_疾患開始日</t>
  </si>
  <si>
    <t>J449_疾患開始日</t>
  </si>
  <si>
    <t>J450_疾患開始日</t>
  </si>
  <si>
    <t>J451_疾患開始日</t>
  </si>
  <si>
    <t>J458_疾患開始日</t>
  </si>
  <si>
    <t>J459_疾患開始日</t>
  </si>
  <si>
    <t>J620_疾患開始日</t>
  </si>
  <si>
    <t>J628_疾患開始日</t>
  </si>
  <si>
    <t>J630_疾患開始日</t>
  </si>
  <si>
    <t>J631_疾患開始日</t>
  </si>
  <si>
    <t>J632_疾患開始日</t>
  </si>
  <si>
    <t>J633_疾患開始日</t>
  </si>
  <si>
    <t>J634_疾患開始日</t>
  </si>
  <si>
    <t>J635_疾患開始日</t>
  </si>
  <si>
    <t>J638_疾患開始日</t>
  </si>
  <si>
    <t>J660_疾患開始日</t>
  </si>
  <si>
    <t>J661_疾患開始日</t>
  </si>
  <si>
    <t>J662_疾患開始日</t>
  </si>
  <si>
    <t>J668_疾患開始日</t>
  </si>
  <si>
    <t>J670_疾患開始日</t>
  </si>
  <si>
    <t>J671_疾患開始日</t>
  </si>
  <si>
    <t>J672_疾患開始日</t>
  </si>
  <si>
    <t>J673_疾患開始日</t>
  </si>
  <si>
    <t>J674_疾患開始日</t>
  </si>
  <si>
    <t>J675_疾患開始日</t>
  </si>
  <si>
    <t>J676_疾患開始日</t>
  </si>
  <si>
    <t>J677_疾患開始日</t>
  </si>
  <si>
    <t>J678_疾患開始日</t>
  </si>
  <si>
    <t>J679_疾患開始日</t>
  </si>
  <si>
    <t>J684_疾患開始日</t>
  </si>
  <si>
    <t>J701_疾患開始日</t>
  </si>
  <si>
    <t>J703_疾患開始日</t>
  </si>
  <si>
    <t>K250_疾患開始日</t>
  </si>
  <si>
    <t>K251_疾患開始日</t>
  </si>
  <si>
    <t>K252_疾患開始日</t>
  </si>
  <si>
    <t>K253_疾患開始日</t>
  </si>
  <si>
    <t>K254_疾患開始日</t>
  </si>
  <si>
    <t>K255_疾患開始日</t>
  </si>
  <si>
    <t>K256_疾患開始日</t>
  </si>
  <si>
    <t>K257_疾患開始日</t>
  </si>
  <si>
    <t>K259_疾患開始日</t>
  </si>
  <si>
    <t>K260_疾患開始日</t>
  </si>
  <si>
    <t>K261_疾患開始日</t>
  </si>
  <si>
    <t>K262_疾患開始日</t>
  </si>
  <si>
    <t>K263_疾患開始日</t>
  </si>
  <si>
    <t>K264_疾患開始日</t>
  </si>
  <si>
    <t>K265_疾患開始日</t>
  </si>
  <si>
    <t>K266_疾患開始日</t>
  </si>
  <si>
    <t>K267_疾患開始日</t>
  </si>
  <si>
    <t>K269_疾患開始日</t>
  </si>
  <si>
    <t>K270_疾患開始日</t>
  </si>
  <si>
    <t>K271_疾患開始日</t>
  </si>
  <si>
    <t>K272_疾患開始日</t>
  </si>
  <si>
    <t>K273_疾患開始日</t>
  </si>
  <si>
    <t>K274_疾患開始日</t>
  </si>
  <si>
    <t>K275_疾患開始日</t>
  </si>
  <si>
    <t>K276_疾患開始日</t>
  </si>
  <si>
    <t>K277_疾患開始日</t>
  </si>
  <si>
    <t>K279_疾患開始日</t>
  </si>
  <si>
    <t>K280_疾患開始日</t>
  </si>
  <si>
    <t>K281_疾患開始日</t>
  </si>
  <si>
    <t>K282_疾患開始日</t>
  </si>
  <si>
    <t>K283_疾患開始日</t>
  </si>
  <si>
    <t>K284_疾患開始日</t>
  </si>
  <si>
    <t>K285_疾患開始日</t>
  </si>
  <si>
    <t>K286_疾患開始日</t>
  </si>
  <si>
    <t>K287_疾患開始日</t>
  </si>
  <si>
    <t>K289_疾患開始日</t>
  </si>
  <si>
    <t>K551_疾患開始日</t>
  </si>
  <si>
    <t>K558_疾患開始日</t>
  </si>
  <si>
    <t>K559_疾患開始日</t>
  </si>
  <si>
    <t>K704_疾患開始日</t>
  </si>
  <si>
    <t>K711_疾患開始日</t>
  </si>
  <si>
    <t>K721_疾患開始日</t>
  </si>
  <si>
    <t>K729_疾患開始日</t>
  </si>
  <si>
    <t>K730_疾患開始日</t>
  </si>
  <si>
    <t>K731_疾患開始日</t>
  </si>
  <si>
    <t>K732_疾患開始日</t>
  </si>
  <si>
    <t>K738_疾患開始日</t>
  </si>
  <si>
    <t>K739_疾患開始日</t>
  </si>
  <si>
    <t>K740_疾患開始日</t>
  </si>
  <si>
    <t>K741_疾患開始日</t>
  </si>
  <si>
    <t>K742_疾患開始日</t>
  </si>
  <si>
    <t>K743_疾患開始日</t>
  </si>
  <si>
    <t>K744_疾患開始日</t>
  </si>
  <si>
    <t>K745_疾患開始日</t>
  </si>
  <si>
    <t>K746_疾患開始日</t>
  </si>
  <si>
    <t>K765_疾患開始日</t>
  </si>
  <si>
    <t>K766_疾患開始日</t>
  </si>
  <si>
    <t>K767_疾患開始日</t>
  </si>
  <si>
    <t>M050_疾患開始日</t>
  </si>
  <si>
    <t>M051_疾患開始日</t>
  </si>
  <si>
    <t>M052_疾患開始日</t>
  </si>
  <si>
    <t>M053_疾患開始日</t>
  </si>
  <si>
    <t>M058_疾患開始日</t>
  </si>
  <si>
    <t>M059_疾患開始日</t>
  </si>
  <si>
    <t>M060_疾患開始日</t>
  </si>
  <si>
    <t>M061_疾患開始日</t>
  </si>
  <si>
    <t>M062_疾患開始日</t>
  </si>
  <si>
    <t>M063_疾患開始日</t>
  </si>
  <si>
    <t>M064_疾患開始日</t>
  </si>
  <si>
    <t>M068_疾患開始日</t>
  </si>
  <si>
    <t>M069_疾患開始日</t>
  </si>
  <si>
    <t>M315_疾患開始日</t>
  </si>
  <si>
    <t>M320_疾患開始日</t>
  </si>
  <si>
    <t>M321_疾患開始日</t>
  </si>
  <si>
    <t>M328_疾患開始日</t>
  </si>
  <si>
    <t>M329_疾患開始日</t>
  </si>
  <si>
    <t>M330_疾患開始日</t>
  </si>
  <si>
    <t>M331_疾患開始日</t>
  </si>
  <si>
    <t>M332_疾患開始日</t>
  </si>
  <si>
    <t>M339_疾患開始日</t>
  </si>
  <si>
    <t>M340_疾患開始日</t>
  </si>
  <si>
    <t>M341_疾患開始日</t>
  </si>
  <si>
    <t>M342_疾患開始日</t>
  </si>
  <si>
    <t>M348_疾患開始日</t>
  </si>
  <si>
    <t>M349_疾患開始日</t>
  </si>
  <si>
    <t>M351_疾患開始日</t>
  </si>
  <si>
    <t>M353_疾患開始日</t>
  </si>
  <si>
    <t>M360_疾患開始日</t>
  </si>
  <si>
    <t>N032_疾患開始日</t>
  </si>
  <si>
    <t>N033_疾患開始日</t>
  </si>
  <si>
    <t>N034_疾患開始日</t>
  </si>
  <si>
    <t>N035_疾患開始日</t>
  </si>
  <si>
    <t>N036_疾患開始日</t>
  </si>
  <si>
    <t>N037_疾患開始日</t>
  </si>
  <si>
    <t>N052_疾患開始日</t>
  </si>
  <si>
    <t>N053_疾患開始日</t>
  </si>
  <si>
    <t>N054_疾患開始日</t>
  </si>
  <si>
    <t>N055_疾患開始日</t>
  </si>
  <si>
    <t>N056_疾患開始日</t>
  </si>
  <si>
    <t>N057_疾患開始日</t>
  </si>
  <si>
    <t>N181_疾患開始日</t>
  </si>
  <si>
    <t>N182_疾患開始日</t>
  </si>
  <si>
    <t>N183_疾患開始日</t>
  </si>
  <si>
    <t>N184_疾患開始日</t>
  </si>
  <si>
    <t>N185_疾患開始日</t>
  </si>
  <si>
    <t>N189_疾患開始日</t>
  </si>
  <si>
    <t>N250_疾患開始日</t>
  </si>
  <si>
    <t>P290_疾患開始日</t>
  </si>
  <si>
    <t>Z490_疾患開始日</t>
  </si>
  <si>
    <t>Z491_疾患開始日</t>
  </si>
  <si>
    <t>Z492_疾患開始日</t>
  </si>
  <si>
    <t>Z958_疾患開始日</t>
  </si>
  <si>
    <t>Z959_疾患開始日</t>
  </si>
  <si>
    <t>Z992_疾患開始日</t>
  </si>
  <si>
    <t>文字列</t>
    <phoneticPr fontId="8"/>
  </si>
  <si>
    <t>文字列</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</si>
</sst>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60">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83">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1" xfId="1" applyFont="1" applyBorder="1" applyAlignment="1">
      <alignment vertical="center"/>
    </xf>
    <xf numFmtId="0" fontId="25" fillId="0" borderId="0"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47" xfId="1" applyFont="1" applyBorder="1">
      <alignment vertical="center"/>
    </xf>
    <xf numFmtId="0" fontId="25" fillId="0" borderId="43" xfId="1" applyFont="1" applyBorder="1">
      <alignment vertical="center"/>
    </xf>
    <xf numFmtId="0" fontId="25" fillId="0" borderId="5" xfId="1" applyFont="1" applyFill="1" applyBorder="1">
      <alignment vertical="center"/>
    </xf>
    <xf numFmtId="0" fontId="25" fillId="0" borderId="41"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3"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59" xfId="1" applyFont="1" applyBorder="1">
      <alignment vertical="center"/>
    </xf>
    <xf numFmtId="0" fontId="25" fillId="0" borderId="59" xfId="1" applyFont="1" applyFill="1" applyBorder="1">
      <alignment vertical="center"/>
    </xf>
    <xf numFmtId="0" fontId="25" fillId="0" borderId="42" xfId="1" applyFont="1" applyBorder="1">
      <alignment vertical="center"/>
    </xf>
    <xf numFmtId="0" fontId="25" fillId="0" borderId="0"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0" borderId="31" xfId="0" applyFont="1" applyBorder="1" applyAlignment="1" applyProtection="1">
      <alignment vertical="center" wrapText="1"/>
    </xf>
    <xf numFmtId="0" fontId="25" fillId="0" borderId="21" xfId="1" applyFont="1" applyBorder="1" applyAlignment="1">
      <alignment vertical="center"/>
    </xf>
    <xf numFmtId="0" fontId="25" fillId="0" borderId="0" xfId="1" applyFont="1" applyBorder="1" applyAlignment="1">
      <alignment horizontal="center" vertical="center" wrapText="1"/>
    </xf>
    <xf numFmtId="0" fontId="25" fillId="0" borderId="0" xfId="1" applyFont="1" applyBorder="1" applyAlignment="1">
      <alignment vertical="center" wrapText="1"/>
    </xf>
    <xf numFmtId="0" fontId="25" fillId="0" borderId="41" xfId="1" applyFont="1" applyBorder="1" applyAlignment="1">
      <alignment vertical="center" wrapText="1"/>
    </xf>
    <xf numFmtId="0" fontId="25" fillId="0" borderId="44" xfId="1" applyFont="1" applyBorder="1" applyAlignment="1">
      <alignment horizontal="center" vertical="center" wrapText="1"/>
    </xf>
    <xf numFmtId="0" fontId="25" fillId="0" borderId="47"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0" borderId="55" xfId="2" applyFont="1" applyBorder="1" applyAlignment="1" applyProtection="1">
      <alignment horizontal="center" vertical="center" shrinkToFit="1"/>
    </xf>
    <xf numFmtId="0" fontId="16" fillId="0" borderId="56" xfId="2" applyFont="1" applyFill="1" applyBorder="1" applyAlignment="1">
      <alignment vertical="center" wrapText="1"/>
    </xf>
    <xf numFmtId="0" fontId="14" fillId="0" borderId="57" xfId="0" applyFont="1" applyBorder="1" applyAlignment="1" applyProtection="1">
      <alignment vertical="center" wrapText="1"/>
    </xf>
    <xf numFmtId="0" fontId="14" fillId="0" borderId="30" xfId="2" applyFont="1" applyBorder="1" applyAlignment="1" applyProtection="1">
      <alignment horizontal="center" vertical="center" shrinkToFit="1"/>
    </xf>
    <xf numFmtId="0" fontId="25" fillId="0" borderId="47"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0" fontId="14" fillId="4" borderId="53" xfId="8" applyFont="1" applyFill="1" applyBorder="1" applyAlignment="1">
      <alignment vertical="top"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4" fillId="4" borderId="21" xfId="8" applyFont="1" applyFill="1" applyBorder="1" applyAlignment="1">
      <alignment vertical="top"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1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sharedStrings" Target="sharedString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calcChain" Target="calcChain.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theme" Target="theme/theme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1074</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1086</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1098</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1110</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1122</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1134</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1146</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1158</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1170</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1182</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1194</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1206</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1218</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1230</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1242</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1254</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1266</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1278</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1290</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1302</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1314</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1326</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1338</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1350</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1362</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1374</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1386</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1398</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1422</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1434</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1446</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1458</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1470</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1482</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1494</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1506</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1518</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1530</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1542</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1554</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1566</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1578</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1590</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1602</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1614</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738</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750</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762</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774</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786</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798</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810</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822</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834</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846</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858</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870</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882</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894</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906</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918</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930</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942</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954</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966</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978</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990</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1002</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1014</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1026</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1038</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1050</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1062</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636</xdr:row>
      <xdr:rowOff>213360</xdr:rowOff>
    </xdr:from>
    <xdr:ext cx="4463081" cy="692497"/>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681</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549140" y="162376485"/>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690</xdr:row>
      <xdr:rowOff>213360</xdr:rowOff>
    </xdr:from>
    <xdr:ext cx="4463081" cy="392415"/>
    <xdr:sp macro="" textlink="">
      <xdr:nvSpPr>
        <xdr:cNvPr id="111" name="テキスト ボックス 110">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699</xdr:row>
      <xdr:rowOff>213360</xdr:rowOff>
    </xdr:from>
    <xdr:ext cx="4463081" cy="392415"/>
    <xdr:sp macro="" textlink="">
      <xdr:nvSpPr>
        <xdr:cNvPr id="112" name="テキスト ボックス 111">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708</xdr:row>
      <xdr:rowOff>213360</xdr:rowOff>
    </xdr:from>
    <xdr:ext cx="4463081" cy="392415"/>
    <xdr:sp macro="" textlink="">
      <xdr:nvSpPr>
        <xdr:cNvPr id="113" name="テキスト ボックス 112">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717</xdr:row>
      <xdr:rowOff>213360</xdr:rowOff>
    </xdr:from>
    <xdr:ext cx="4463081" cy="392415"/>
    <xdr:sp macro="" textlink="">
      <xdr:nvSpPr>
        <xdr:cNvPr id="114" name="テキスト ボックス 113">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726</xdr:row>
      <xdr:rowOff>213360</xdr:rowOff>
    </xdr:from>
    <xdr:ext cx="4463081" cy="392415"/>
    <xdr:sp macro="" textlink="">
      <xdr:nvSpPr>
        <xdr:cNvPr id="115" name="テキスト ボックス 114">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170</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40</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30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157</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151</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42</xdr:row>
      <xdr:rowOff>0</xdr:rowOff>
    </xdr:from>
    <xdr:ext cx="3860159"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10001250"/>
          <a:ext cx="38601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12</xdr:col>
      <xdr:colOff>891540</xdr:colOff>
      <xdr:row>69</xdr:row>
      <xdr:rowOff>175260</xdr:rowOff>
    </xdr:from>
    <xdr:ext cx="1183273"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8183880" y="1434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82</xdr:row>
      <xdr:rowOff>0</xdr:rowOff>
    </xdr:from>
    <xdr:ext cx="1183273"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1439525" y="2381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76</xdr:row>
      <xdr:rowOff>0</xdr:rowOff>
    </xdr:from>
    <xdr:ext cx="1183273"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1014412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4219575" y="2024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102</xdr:row>
      <xdr:rowOff>167640</xdr:rowOff>
    </xdr:from>
    <xdr:ext cx="1183273"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706374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7040880" y="16535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7040880" y="15118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1183273"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200787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111</xdr:row>
      <xdr:rowOff>167640</xdr:rowOff>
    </xdr:from>
    <xdr:ext cx="1183273"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81762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97</xdr:row>
      <xdr:rowOff>0</xdr:rowOff>
    </xdr:from>
    <xdr:ext cx="1183273"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8206740" y="207873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106</xdr:row>
      <xdr:rowOff>0</xdr:rowOff>
    </xdr:from>
    <xdr:ext cx="1183273"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9121140" y="229133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22860</xdr:colOff>
      <xdr:row>117</xdr:row>
      <xdr:rowOff>167640</xdr:rowOff>
    </xdr:from>
    <xdr:ext cx="1183273"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817620" y="242620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115</xdr:row>
      <xdr:rowOff>0</xdr:rowOff>
    </xdr:from>
    <xdr:ext cx="1183273"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10287000" y="25039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xdr:row>
      <xdr:rowOff>0</xdr:rowOff>
    </xdr:from>
    <xdr:ext cx="1723549"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4219575" y="347662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施設が名古屋第一以外</a:t>
          </a:r>
        </a:p>
      </xdr:txBody>
    </xdr:sp>
    <xdr:clientData/>
  </xdr:oneCellAnchor>
  <xdr:oneCellAnchor>
    <xdr:from>
      <xdr:col>14</xdr:col>
      <xdr:colOff>0</xdr:colOff>
      <xdr:row>133</xdr:row>
      <xdr:rowOff>0</xdr:rowOff>
    </xdr:from>
    <xdr:ext cx="1106521"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11439525" y="3595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xdr:row>
      <xdr:rowOff>0</xdr:rowOff>
    </xdr:from>
    <xdr:ext cx="1415772"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4219575" y="3619500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a:t>
          </a:r>
        </a:p>
      </xdr:txBody>
    </xdr:sp>
    <xdr:clientData/>
  </xdr:oneCellAnchor>
  <xdr:oneCellAnchor>
    <xdr:from>
      <xdr:col>14</xdr:col>
      <xdr:colOff>0</xdr:colOff>
      <xdr:row>129</xdr:row>
      <xdr:rowOff>0</xdr:rowOff>
    </xdr:from>
    <xdr:ext cx="3982116"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10144125" y="30718125"/>
          <a:ext cx="398211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患者、検査（表示名）で集約し、表示名が</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種とも存在</a:t>
          </a:r>
        </a:p>
      </xdr:txBody>
    </xdr:sp>
    <xdr:clientData/>
  </xdr:oneCellAnchor>
  <xdr:oneCellAnchor>
    <xdr:from>
      <xdr:col>11</xdr:col>
      <xdr:colOff>0</xdr:colOff>
      <xdr:row>130</xdr:row>
      <xdr:rowOff>0</xdr:rowOff>
    </xdr:from>
    <xdr:ext cx="3706271"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7829550" y="3095625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11</xdr:col>
      <xdr:colOff>0</xdr:colOff>
      <xdr:row>136</xdr:row>
      <xdr:rowOff>0</xdr:rowOff>
    </xdr:from>
    <xdr:ext cx="3706271"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7829550" y="3238500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46</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0538460" y="614172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7040880" y="85039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046220" y="803148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10538460" y="826770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56</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7040880" y="10866120"/>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受領ファイルの「薬剤マスタ」シート分を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66</xdr:row>
      <xdr:rowOff>0</xdr:rowOff>
    </xdr:from>
    <xdr:ext cx="3416320" cy="692497"/>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受領ファイルの「検体検査マスタ」シート分を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76</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受領ファイルの「診療行為マスタ」シート分を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201</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4219575" y="37576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4219575" y="37861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4219575" y="38147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4219575" y="384333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16</xdr:col>
      <xdr:colOff>0</xdr:colOff>
      <xdr:row>9</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15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175260</xdr:colOff>
      <xdr:row>5</xdr:row>
      <xdr:rowOff>152400</xdr:rowOff>
    </xdr:from>
    <xdr:ext cx="1960986" cy="392415"/>
    <xdr:sp macro="" textlink="">
      <xdr:nvSpPr>
        <xdr:cNvPr id="37" name="テキスト ボックス 36">
          <a:extLst>
            <a:ext uri="{FF2B5EF4-FFF2-40B4-BE49-F238E27FC236}">
              <a16:creationId xmlns:a16="http://schemas.microsoft.com/office/drawing/2014/main" id="{00000000-0008-0000-0500-000016000000}"/>
            </a:ext>
          </a:extLst>
        </xdr:cNvPr>
        <xdr:cNvSpPr txBox="1"/>
      </xdr:nvSpPr>
      <xdr:spPr>
        <a:xfrm>
          <a:off x="3970020" y="1333500"/>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14</xdr:col>
      <xdr:colOff>0</xdr:colOff>
      <xdr:row>27</xdr:row>
      <xdr:rowOff>0</xdr:rowOff>
    </xdr:from>
    <xdr:ext cx="755913" cy="392415"/>
    <xdr:sp macro="" textlink="">
      <xdr:nvSpPr>
        <xdr:cNvPr id="38" name="テキスト ボックス 37">
          <a:extLst>
            <a:ext uri="{FF2B5EF4-FFF2-40B4-BE49-F238E27FC236}">
              <a16:creationId xmlns:a16="http://schemas.microsoft.com/office/drawing/2014/main" id="{00000000-0008-0000-0500-00002B000000}"/>
            </a:ext>
          </a:extLst>
        </xdr:cNvPr>
        <xdr:cNvSpPr txBox="1"/>
      </xdr:nvSpPr>
      <xdr:spPr>
        <a:xfrm>
          <a:off x="10144125" y="23812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19</xdr:row>
      <xdr:rowOff>0</xdr:rowOff>
    </xdr:from>
    <xdr:ext cx="3570849" cy="392415"/>
    <xdr:sp macro="" textlink="">
      <xdr:nvSpPr>
        <xdr:cNvPr id="39" name="テキスト ボックス 38">
          <a:extLst>
            <a:ext uri="{FF2B5EF4-FFF2-40B4-BE49-F238E27FC236}">
              <a16:creationId xmlns:a16="http://schemas.microsoft.com/office/drawing/2014/main" id="{00000000-0008-0000-0500-00002F000000}"/>
            </a:ext>
          </a:extLst>
        </xdr:cNvPr>
        <xdr:cNvSpPr txBox="1"/>
      </xdr:nvSpPr>
      <xdr:spPr>
        <a:xfrm>
          <a:off x="4046220" y="5196840"/>
          <a:ext cx="35708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 かつ </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24</xdr:row>
      <xdr:rowOff>0</xdr:rowOff>
    </xdr:from>
    <xdr:ext cx="1183273" cy="392415"/>
    <xdr:sp macro="" textlink="">
      <xdr:nvSpPr>
        <xdr:cNvPr id="40" name="テキスト ボックス 39">
          <a:extLst>
            <a:ext uri="{FF2B5EF4-FFF2-40B4-BE49-F238E27FC236}">
              <a16:creationId xmlns:a16="http://schemas.microsoft.com/office/drawing/2014/main" id="{00000000-0008-0000-0500-000030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21</xdr:row>
      <xdr:rowOff>0</xdr:rowOff>
    </xdr:from>
    <xdr:ext cx="784830" cy="392415"/>
    <xdr:sp macro="" textlink="">
      <xdr:nvSpPr>
        <xdr:cNvPr id="41" name="テキスト ボックス 40">
          <a:extLst>
            <a:ext uri="{FF2B5EF4-FFF2-40B4-BE49-F238E27FC236}">
              <a16:creationId xmlns:a16="http://schemas.microsoft.com/office/drawing/2014/main" id="{00000000-0008-0000-0500-000034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1183273" cy="392415"/>
    <xdr:sp macro="" textlink="">
      <xdr:nvSpPr>
        <xdr:cNvPr id="42" name="テキスト ボックス 41">
          <a:extLst>
            <a:ext uri="{FF2B5EF4-FFF2-40B4-BE49-F238E27FC236}">
              <a16:creationId xmlns:a16="http://schemas.microsoft.com/office/drawing/2014/main" id="{00000000-0008-0000-0500-000036000000}"/>
            </a:ext>
          </a:extLst>
        </xdr:cNvPr>
        <xdr:cNvSpPr txBox="1"/>
      </xdr:nvSpPr>
      <xdr:spPr>
        <a:xfrm>
          <a:off x="7829550" y="2524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28</xdr:row>
      <xdr:rowOff>0</xdr:rowOff>
    </xdr:from>
    <xdr:ext cx="3570849" cy="392415"/>
    <xdr:sp macro="" textlink="">
      <xdr:nvSpPr>
        <xdr:cNvPr id="43" name="テキスト ボックス 42">
          <a:extLst>
            <a:ext uri="{FF2B5EF4-FFF2-40B4-BE49-F238E27FC236}">
              <a16:creationId xmlns:a16="http://schemas.microsoft.com/office/drawing/2014/main" id="{00000000-0008-0000-0500-000037000000}"/>
            </a:ext>
          </a:extLst>
        </xdr:cNvPr>
        <xdr:cNvSpPr txBox="1"/>
      </xdr:nvSpPr>
      <xdr:spPr>
        <a:xfrm>
          <a:off x="4046220" y="7322820"/>
          <a:ext cx="35708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ja-JP" altLang="en-US" sz="1200" b="1">
              <a:solidFill>
                <a:srgbClr val="FF0000"/>
              </a:solidFill>
              <a:latin typeface="メイリオ" panose="020B0604030504040204" pitchFamily="50" charset="-128"/>
              <a:ea typeface="メイリオ" panose="020B0604030504040204" pitchFamily="50" charset="-128"/>
            </a:rPr>
            <a:t>かつ</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36</xdr:row>
      <xdr:rowOff>0</xdr:rowOff>
    </xdr:from>
    <xdr:ext cx="1183273" cy="392415"/>
    <xdr:sp macro="" textlink="">
      <xdr:nvSpPr>
        <xdr:cNvPr id="44" name="テキスト ボックス 43">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83273" cy="392415"/>
    <xdr:sp macro="" textlink="">
      <xdr:nvSpPr>
        <xdr:cNvPr id="45" name="テキスト ボックス 44">
          <a:extLst>
            <a:ext uri="{FF2B5EF4-FFF2-40B4-BE49-F238E27FC236}">
              <a16:creationId xmlns:a16="http://schemas.microsoft.com/office/drawing/2014/main" id="{00000000-0008-0000-0500-000043000000}"/>
            </a:ext>
          </a:extLst>
        </xdr:cNvPr>
        <xdr:cNvSpPr txBox="1"/>
      </xdr:nvSpPr>
      <xdr:spPr>
        <a:xfrm>
          <a:off x="7829550" y="2738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42</xdr:row>
      <xdr:rowOff>0</xdr:rowOff>
    </xdr:from>
    <xdr:ext cx="1183273" cy="392415"/>
    <xdr:sp macro="" textlink="">
      <xdr:nvSpPr>
        <xdr:cNvPr id="46" name="テキスト ボックス 45">
          <a:extLst>
            <a:ext uri="{FF2B5EF4-FFF2-40B4-BE49-F238E27FC236}">
              <a16:creationId xmlns:a16="http://schemas.microsoft.com/office/drawing/2014/main" id="{00000000-0008-0000-0500-000044000000}"/>
            </a:ext>
          </a:extLst>
        </xdr:cNvPr>
        <xdr:cNvSpPr txBox="1"/>
      </xdr:nvSpPr>
      <xdr:spPr>
        <a:xfrm>
          <a:off x="11439525" y="2667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43</xdr:row>
      <xdr:rowOff>0</xdr:rowOff>
    </xdr:from>
    <xdr:ext cx="1480213" cy="392415"/>
    <xdr:sp macro="" textlink="">
      <xdr:nvSpPr>
        <xdr:cNvPr id="47" name="テキスト ボックス 46">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30</xdr:row>
      <xdr:rowOff>0</xdr:rowOff>
    </xdr:from>
    <xdr:ext cx="784830" cy="392415"/>
    <xdr:sp macro="" textlink="">
      <xdr:nvSpPr>
        <xdr:cNvPr id="48" name="テキスト ボックス 47">
          <a:extLst>
            <a:ext uri="{FF2B5EF4-FFF2-40B4-BE49-F238E27FC236}">
              <a16:creationId xmlns:a16="http://schemas.microsoft.com/office/drawing/2014/main" id="{00000000-0008-0000-0500-000034000000}"/>
            </a:ext>
          </a:extLst>
        </xdr:cNvPr>
        <xdr:cNvSpPr txBox="1"/>
      </xdr:nvSpPr>
      <xdr:spPr>
        <a:xfrm>
          <a:off x="3794760" y="708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316</xdr:row>
      <xdr:rowOff>0</xdr:rowOff>
    </xdr:from>
    <xdr:ext cx="2308068" cy="392415"/>
    <xdr:sp macro="" textlink="">
      <xdr:nvSpPr>
        <xdr:cNvPr id="49" name="テキスト ボックス 48">
          <a:extLst>
            <a:ext uri="{FF2B5EF4-FFF2-40B4-BE49-F238E27FC236}">
              <a16:creationId xmlns:a16="http://schemas.microsoft.com/office/drawing/2014/main" id="{00000000-0008-0000-0500-000022000000}"/>
            </a:ext>
          </a:extLst>
        </xdr:cNvPr>
        <xdr:cNvSpPr txBox="1"/>
      </xdr:nvSpPr>
      <xdr:spPr>
        <a:xfrm>
          <a:off x="4219575" y="81200625"/>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325</xdr:row>
      <xdr:rowOff>0</xdr:rowOff>
    </xdr:from>
    <xdr:ext cx="2615844" cy="392415"/>
    <xdr:sp macro="" textlink="">
      <xdr:nvSpPr>
        <xdr:cNvPr id="50" name="テキスト ボックス 49">
          <a:extLst>
            <a:ext uri="{FF2B5EF4-FFF2-40B4-BE49-F238E27FC236}">
              <a16:creationId xmlns:a16="http://schemas.microsoft.com/office/drawing/2014/main" id="{00000000-0008-0000-0500-000029000000}"/>
            </a:ext>
          </a:extLst>
        </xdr:cNvPr>
        <xdr:cNvSpPr txBox="1"/>
      </xdr:nvSpPr>
      <xdr:spPr>
        <a:xfrm>
          <a:off x="4219575" y="8334375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334</xdr:row>
      <xdr:rowOff>0</xdr:rowOff>
    </xdr:from>
    <xdr:ext cx="2615844" cy="392415"/>
    <xdr:sp macro="" textlink="">
      <xdr:nvSpPr>
        <xdr:cNvPr id="51" name="テキスト ボックス 50">
          <a:extLst>
            <a:ext uri="{FF2B5EF4-FFF2-40B4-BE49-F238E27FC236}">
              <a16:creationId xmlns:a16="http://schemas.microsoft.com/office/drawing/2014/main" id="{00000000-0008-0000-0500-00002D000000}"/>
            </a:ext>
          </a:extLst>
        </xdr:cNvPr>
        <xdr:cNvSpPr txBox="1"/>
      </xdr:nvSpPr>
      <xdr:spPr>
        <a:xfrm>
          <a:off x="4219575" y="8548687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343</xdr:row>
      <xdr:rowOff>0</xdr:rowOff>
    </xdr:from>
    <xdr:ext cx="3385286" cy="392415"/>
    <xdr:sp macro="" textlink="">
      <xdr:nvSpPr>
        <xdr:cNvPr id="52" name="テキスト ボックス 51">
          <a:extLst>
            <a:ext uri="{FF2B5EF4-FFF2-40B4-BE49-F238E27FC236}">
              <a16:creationId xmlns:a16="http://schemas.microsoft.com/office/drawing/2014/main" id="{00000000-0008-0000-0500-000031000000}"/>
            </a:ext>
          </a:extLst>
        </xdr:cNvPr>
        <xdr:cNvSpPr txBox="1"/>
      </xdr:nvSpPr>
      <xdr:spPr>
        <a:xfrm>
          <a:off x="4219575" y="8763000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352</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4219575" y="8977312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361</xdr:row>
      <xdr:rowOff>0</xdr:rowOff>
    </xdr:from>
    <xdr:ext cx="2769733" cy="392415"/>
    <xdr:sp macro="" textlink="">
      <xdr:nvSpPr>
        <xdr:cNvPr id="54" name="テキスト ボックス 53">
          <a:extLst>
            <a:ext uri="{FF2B5EF4-FFF2-40B4-BE49-F238E27FC236}">
              <a16:creationId xmlns:a16="http://schemas.microsoft.com/office/drawing/2014/main" id="{00000000-0008-0000-0500-000039000000}"/>
            </a:ext>
          </a:extLst>
        </xdr:cNvPr>
        <xdr:cNvSpPr txBox="1"/>
      </xdr:nvSpPr>
      <xdr:spPr>
        <a:xfrm>
          <a:off x="4219575" y="9191625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370</xdr:row>
      <xdr:rowOff>0</xdr:rowOff>
    </xdr:from>
    <xdr:ext cx="2615844" cy="392415"/>
    <xdr:sp macro="" textlink="">
      <xdr:nvSpPr>
        <xdr:cNvPr id="55" name="テキスト ボックス 54">
          <a:extLst>
            <a:ext uri="{FF2B5EF4-FFF2-40B4-BE49-F238E27FC236}">
              <a16:creationId xmlns:a16="http://schemas.microsoft.com/office/drawing/2014/main" id="{00000000-0008-0000-0500-00003D000000}"/>
            </a:ext>
          </a:extLst>
        </xdr:cNvPr>
        <xdr:cNvSpPr txBox="1"/>
      </xdr:nvSpPr>
      <xdr:spPr>
        <a:xfrm>
          <a:off x="4219575" y="9405937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379</xdr:row>
      <xdr:rowOff>0</xdr:rowOff>
    </xdr:from>
    <xdr:ext cx="2923621" cy="392415"/>
    <xdr:sp macro="" textlink="">
      <xdr:nvSpPr>
        <xdr:cNvPr id="56" name="テキスト ボックス 55">
          <a:extLst>
            <a:ext uri="{FF2B5EF4-FFF2-40B4-BE49-F238E27FC236}">
              <a16:creationId xmlns:a16="http://schemas.microsoft.com/office/drawing/2014/main" id="{00000000-0008-0000-0500-000041000000}"/>
            </a:ext>
          </a:extLst>
        </xdr:cNvPr>
        <xdr:cNvSpPr txBox="1"/>
      </xdr:nvSpPr>
      <xdr:spPr>
        <a:xfrm>
          <a:off x="4219575" y="9620250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388</xdr:row>
      <xdr:rowOff>0</xdr:rowOff>
    </xdr:from>
    <xdr:ext cx="2000291" cy="392415"/>
    <xdr:sp macro="" textlink="">
      <xdr:nvSpPr>
        <xdr:cNvPr id="57" name="テキスト ボックス 56">
          <a:extLst>
            <a:ext uri="{FF2B5EF4-FFF2-40B4-BE49-F238E27FC236}">
              <a16:creationId xmlns:a16="http://schemas.microsoft.com/office/drawing/2014/main" id="{00000000-0008-0000-0500-000045000000}"/>
            </a:ext>
          </a:extLst>
        </xdr:cNvPr>
        <xdr:cNvSpPr txBox="1"/>
      </xdr:nvSpPr>
      <xdr:spPr>
        <a:xfrm>
          <a:off x="4219575" y="98345625"/>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397</xdr:row>
      <xdr:rowOff>0</xdr:rowOff>
    </xdr:from>
    <xdr:ext cx="2923621" cy="392415"/>
    <xdr:sp macro="" textlink="">
      <xdr:nvSpPr>
        <xdr:cNvPr id="58" name="テキスト ボックス 57">
          <a:extLst>
            <a:ext uri="{FF2B5EF4-FFF2-40B4-BE49-F238E27FC236}">
              <a16:creationId xmlns:a16="http://schemas.microsoft.com/office/drawing/2014/main" id="{00000000-0008-0000-0500-000048000000}"/>
            </a:ext>
          </a:extLst>
        </xdr:cNvPr>
        <xdr:cNvSpPr txBox="1"/>
      </xdr:nvSpPr>
      <xdr:spPr>
        <a:xfrm>
          <a:off x="4219575" y="10048875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406</xdr:row>
      <xdr:rowOff>0</xdr:rowOff>
    </xdr:from>
    <xdr:ext cx="2769733" cy="392415"/>
    <xdr:sp macro="" textlink="">
      <xdr:nvSpPr>
        <xdr:cNvPr id="59" name="テキスト ボックス 58">
          <a:extLst>
            <a:ext uri="{FF2B5EF4-FFF2-40B4-BE49-F238E27FC236}">
              <a16:creationId xmlns:a16="http://schemas.microsoft.com/office/drawing/2014/main" id="{00000000-0008-0000-0500-000049000000}"/>
            </a:ext>
          </a:extLst>
        </xdr:cNvPr>
        <xdr:cNvSpPr txBox="1"/>
      </xdr:nvSpPr>
      <xdr:spPr>
        <a:xfrm>
          <a:off x="4219575" y="102631875"/>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415</xdr:row>
      <xdr:rowOff>0</xdr:rowOff>
    </xdr:from>
    <xdr:ext cx="2461956" cy="392415"/>
    <xdr:sp macro="" textlink="">
      <xdr:nvSpPr>
        <xdr:cNvPr id="60" name="テキスト ボックス 59">
          <a:extLst>
            <a:ext uri="{FF2B5EF4-FFF2-40B4-BE49-F238E27FC236}">
              <a16:creationId xmlns:a16="http://schemas.microsoft.com/office/drawing/2014/main" id="{00000000-0008-0000-0500-00004A000000}"/>
            </a:ext>
          </a:extLst>
        </xdr:cNvPr>
        <xdr:cNvSpPr txBox="1"/>
      </xdr:nvSpPr>
      <xdr:spPr>
        <a:xfrm>
          <a:off x="4219575" y="10477500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424</xdr:row>
      <xdr:rowOff>0</xdr:rowOff>
    </xdr:from>
    <xdr:ext cx="2308068" cy="392415"/>
    <xdr:sp macro="" textlink="">
      <xdr:nvSpPr>
        <xdr:cNvPr id="61" name="テキスト ボックス 60">
          <a:extLst>
            <a:ext uri="{FF2B5EF4-FFF2-40B4-BE49-F238E27FC236}">
              <a16:creationId xmlns:a16="http://schemas.microsoft.com/office/drawing/2014/main" id="{00000000-0008-0000-0500-00004B000000}"/>
            </a:ext>
          </a:extLst>
        </xdr:cNvPr>
        <xdr:cNvSpPr txBox="1"/>
      </xdr:nvSpPr>
      <xdr:spPr>
        <a:xfrm>
          <a:off x="4219575" y="106918125"/>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426</xdr:row>
      <xdr:rowOff>0</xdr:rowOff>
    </xdr:from>
    <xdr:ext cx="1183273" cy="392415"/>
    <xdr:sp macro="" textlink="">
      <xdr:nvSpPr>
        <xdr:cNvPr id="62" name="テキスト ボックス 61">
          <a:extLst>
            <a:ext uri="{FF2B5EF4-FFF2-40B4-BE49-F238E27FC236}">
              <a16:creationId xmlns:a16="http://schemas.microsoft.com/office/drawing/2014/main" id="{00000000-0008-0000-0500-00004F000000}"/>
            </a:ext>
          </a:extLst>
        </xdr:cNvPr>
        <xdr:cNvSpPr txBox="1"/>
      </xdr:nvSpPr>
      <xdr:spPr>
        <a:xfrm>
          <a:off x="7829550" y="10739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150</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B000000}"/>
            </a:ext>
          </a:extLst>
        </xdr:cNvPr>
        <xdr:cNvSpPr txBox="1"/>
      </xdr:nvSpPr>
      <xdr:spPr>
        <a:xfrm>
          <a:off x="78295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147</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3C000000}"/>
            </a:ext>
          </a:extLst>
        </xdr:cNvPr>
        <xdr:cNvSpPr txBox="1"/>
      </xdr:nvSpPr>
      <xdr:spPr>
        <a:xfrm>
          <a:off x="11439525"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148</xdr:row>
      <xdr:rowOff>0</xdr:rowOff>
    </xdr:from>
    <xdr:ext cx="1441100" cy="392415"/>
    <xdr:sp macro="" textlink="">
      <xdr:nvSpPr>
        <xdr:cNvPr id="65" name="テキスト ボックス 64">
          <a:extLst>
            <a:ext uri="{FF2B5EF4-FFF2-40B4-BE49-F238E27FC236}">
              <a16:creationId xmlns:a16="http://schemas.microsoft.com/office/drawing/2014/main" id="{00000000-0008-0000-0500-00003E000000}"/>
            </a:ext>
          </a:extLst>
        </xdr:cNvPr>
        <xdr:cNvSpPr txBox="1"/>
      </xdr:nvSpPr>
      <xdr:spPr>
        <a:xfrm>
          <a:off x="9124950"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63</xdr:row>
      <xdr:rowOff>0</xdr:rowOff>
    </xdr:from>
    <xdr:ext cx="1183273" cy="392415"/>
    <xdr:sp macro="" textlink="">
      <xdr:nvSpPr>
        <xdr:cNvPr id="66" name="テキスト ボックス 65">
          <a:extLst>
            <a:ext uri="{FF2B5EF4-FFF2-40B4-BE49-F238E27FC236}">
              <a16:creationId xmlns:a16="http://schemas.microsoft.com/office/drawing/2014/main" id="{00000000-0008-0000-0500-00003F000000}"/>
            </a:ext>
          </a:extLst>
        </xdr:cNvPr>
        <xdr:cNvSpPr txBox="1"/>
      </xdr:nvSpPr>
      <xdr:spPr>
        <a:xfrm>
          <a:off x="7829550" y="3167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60</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0000000}"/>
            </a:ext>
          </a:extLst>
        </xdr:cNvPr>
        <xdr:cNvSpPr txBox="1"/>
      </xdr:nvSpPr>
      <xdr:spPr>
        <a:xfrm>
          <a:off x="11439525" y="3095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61</xdr:row>
      <xdr:rowOff>0</xdr:rowOff>
    </xdr:from>
    <xdr:ext cx="1441100" cy="392415"/>
    <xdr:sp macro="" textlink="">
      <xdr:nvSpPr>
        <xdr:cNvPr id="68" name="テキスト ボックス 67">
          <a:extLst>
            <a:ext uri="{FF2B5EF4-FFF2-40B4-BE49-F238E27FC236}">
              <a16:creationId xmlns:a16="http://schemas.microsoft.com/office/drawing/2014/main" id="{00000000-0008-0000-0500-000042000000}"/>
            </a:ext>
          </a:extLst>
        </xdr:cNvPr>
        <xdr:cNvSpPr txBox="1"/>
      </xdr:nvSpPr>
      <xdr:spPr>
        <a:xfrm>
          <a:off x="9124950" y="3119437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78</xdr:row>
      <xdr:rowOff>0</xdr:rowOff>
    </xdr:from>
    <xdr:ext cx="1183273" cy="392415"/>
    <xdr:sp macro="" textlink="">
      <xdr:nvSpPr>
        <xdr:cNvPr id="69" name="テキスト ボックス 68">
          <a:extLst>
            <a:ext uri="{FF2B5EF4-FFF2-40B4-BE49-F238E27FC236}">
              <a16:creationId xmlns:a16="http://schemas.microsoft.com/office/drawing/2014/main" id="{00000000-0008-0000-0500-000047000000}"/>
            </a:ext>
          </a:extLst>
        </xdr:cNvPr>
        <xdr:cNvSpPr txBox="1"/>
      </xdr:nvSpPr>
      <xdr:spPr>
        <a:xfrm>
          <a:off x="78295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75</xdr:row>
      <xdr:rowOff>0</xdr:rowOff>
    </xdr:from>
    <xdr:ext cx="1183273" cy="392415"/>
    <xdr:sp macro="" textlink="">
      <xdr:nvSpPr>
        <xdr:cNvPr id="70" name="テキスト ボックス 69">
          <a:extLst>
            <a:ext uri="{FF2B5EF4-FFF2-40B4-BE49-F238E27FC236}">
              <a16:creationId xmlns:a16="http://schemas.microsoft.com/office/drawing/2014/main" id="{00000000-0008-0000-0500-00004C000000}"/>
            </a:ext>
          </a:extLst>
        </xdr:cNvPr>
        <xdr:cNvSpPr txBox="1"/>
      </xdr:nvSpPr>
      <xdr:spPr>
        <a:xfrm>
          <a:off x="11439525"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76</xdr:row>
      <xdr:rowOff>0</xdr:rowOff>
    </xdr:from>
    <xdr:ext cx="1480213" cy="392415"/>
    <xdr:sp macro="" textlink="">
      <xdr:nvSpPr>
        <xdr:cNvPr id="71" name="テキスト ボックス 70">
          <a:extLst>
            <a:ext uri="{FF2B5EF4-FFF2-40B4-BE49-F238E27FC236}">
              <a16:creationId xmlns:a16="http://schemas.microsoft.com/office/drawing/2014/main" id="{00000000-0008-0000-0500-00004D000000}"/>
            </a:ext>
          </a:extLst>
        </xdr:cNvPr>
        <xdr:cNvSpPr txBox="1"/>
      </xdr:nvSpPr>
      <xdr:spPr>
        <a:xfrm>
          <a:off x="9124950" y="347662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440</xdr:row>
      <xdr:rowOff>0</xdr:rowOff>
    </xdr:from>
    <xdr:ext cx="1183273" cy="392415"/>
    <xdr:sp macro="" textlink="">
      <xdr:nvSpPr>
        <xdr:cNvPr id="72" name="テキスト ボックス 71">
          <a:extLst>
            <a:ext uri="{FF2B5EF4-FFF2-40B4-BE49-F238E27FC236}">
              <a16:creationId xmlns:a16="http://schemas.microsoft.com/office/drawing/2014/main" id="{00000000-0008-0000-0500-00004E000000}"/>
            </a:ext>
          </a:extLst>
        </xdr:cNvPr>
        <xdr:cNvSpPr txBox="1"/>
      </xdr:nvSpPr>
      <xdr:spPr>
        <a:xfrm>
          <a:off x="7829550" y="1107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437</xdr:row>
      <xdr:rowOff>0</xdr:rowOff>
    </xdr:from>
    <xdr:ext cx="1183273" cy="392415"/>
    <xdr:sp macro="" textlink="">
      <xdr:nvSpPr>
        <xdr:cNvPr id="73" name="テキスト ボックス 72">
          <a:extLst>
            <a:ext uri="{FF2B5EF4-FFF2-40B4-BE49-F238E27FC236}">
              <a16:creationId xmlns:a16="http://schemas.microsoft.com/office/drawing/2014/main" id="{00000000-0008-0000-0500-000050000000}"/>
            </a:ext>
          </a:extLst>
        </xdr:cNvPr>
        <xdr:cNvSpPr txBox="1"/>
      </xdr:nvSpPr>
      <xdr:spPr>
        <a:xfrm>
          <a:off x="11439525" y="1100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438</xdr:row>
      <xdr:rowOff>0</xdr:rowOff>
    </xdr:from>
    <xdr:ext cx="1480213" cy="392415"/>
    <xdr:sp macro="" textlink="">
      <xdr:nvSpPr>
        <xdr:cNvPr id="74" name="テキスト ボックス 73">
          <a:extLst>
            <a:ext uri="{FF2B5EF4-FFF2-40B4-BE49-F238E27FC236}">
              <a16:creationId xmlns:a16="http://schemas.microsoft.com/office/drawing/2014/main" id="{00000000-0008-0000-0500-000051000000}"/>
            </a:ext>
          </a:extLst>
        </xdr:cNvPr>
        <xdr:cNvSpPr txBox="1"/>
      </xdr:nvSpPr>
      <xdr:spPr>
        <a:xfrm>
          <a:off x="9124950" y="1102518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58</xdr:row>
      <xdr:rowOff>0</xdr:rowOff>
    </xdr:from>
    <xdr:ext cx="2751010" cy="392415"/>
    <xdr:sp macro="" textlink="">
      <xdr:nvSpPr>
        <xdr:cNvPr id="75" name="テキスト ボックス 74">
          <a:extLst>
            <a:ext uri="{FF2B5EF4-FFF2-40B4-BE49-F238E27FC236}">
              <a16:creationId xmlns:a16="http://schemas.microsoft.com/office/drawing/2014/main" id="{00000000-0008-0000-0500-000053000000}"/>
            </a:ext>
          </a:extLst>
        </xdr:cNvPr>
        <xdr:cNvSpPr txBox="1"/>
      </xdr:nvSpPr>
      <xdr:spPr>
        <a:xfrm>
          <a:off x="4495800" y="30480000"/>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57</xdr:row>
      <xdr:rowOff>0</xdr:rowOff>
    </xdr:from>
    <xdr:ext cx="755913" cy="392415"/>
    <xdr:sp macro="" textlink="">
      <xdr:nvSpPr>
        <xdr:cNvPr id="76" name="テキスト ボックス 75">
          <a:extLst>
            <a:ext uri="{FF2B5EF4-FFF2-40B4-BE49-F238E27FC236}">
              <a16:creationId xmlns:a16="http://schemas.microsoft.com/office/drawing/2014/main" id="{00000000-0008-0000-0500-000056000000}"/>
            </a:ext>
          </a:extLst>
        </xdr:cNvPr>
        <xdr:cNvSpPr txBox="1"/>
      </xdr:nvSpPr>
      <xdr:spPr>
        <a:xfrm>
          <a:off x="7829550" y="3024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105</xdr:row>
      <xdr:rowOff>0</xdr:rowOff>
    </xdr:from>
    <xdr:ext cx="1183273" cy="392415"/>
    <xdr:sp macro="" textlink="">
      <xdr:nvSpPr>
        <xdr:cNvPr id="77" name="テキスト ボックス 76">
          <a:extLst>
            <a:ext uri="{FF2B5EF4-FFF2-40B4-BE49-F238E27FC236}">
              <a16:creationId xmlns:a16="http://schemas.microsoft.com/office/drawing/2014/main" id="{00000000-0008-0000-0500-000059000000}"/>
            </a:ext>
          </a:extLst>
        </xdr:cNvPr>
        <xdr:cNvSpPr txBox="1"/>
      </xdr:nvSpPr>
      <xdr:spPr>
        <a:xfrm>
          <a:off x="7829550" y="416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102</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5A000000}"/>
            </a:ext>
          </a:extLst>
        </xdr:cNvPr>
        <xdr:cNvSpPr txBox="1"/>
      </xdr:nvSpPr>
      <xdr:spPr>
        <a:xfrm>
          <a:off x="11439525" y="409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103</xdr:row>
      <xdr:rowOff>0</xdr:rowOff>
    </xdr:from>
    <xdr:ext cx="1441100" cy="392415"/>
    <xdr:sp macro="" textlink="">
      <xdr:nvSpPr>
        <xdr:cNvPr id="79" name="テキスト ボックス 78">
          <a:extLst>
            <a:ext uri="{FF2B5EF4-FFF2-40B4-BE49-F238E27FC236}">
              <a16:creationId xmlns:a16="http://schemas.microsoft.com/office/drawing/2014/main" id="{00000000-0008-0000-0500-00005B000000}"/>
            </a:ext>
          </a:extLst>
        </xdr:cNvPr>
        <xdr:cNvSpPr txBox="1"/>
      </xdr:nvSpPr>
      <xdr:spPr>
        <a:xfrm>
          <a:off x="9124950" y="411956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120</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C000000}"/>
            </a:ext>
          </a:extLst>
        </xdr:cNvPr>
        <xdr:cNvSpPr txBox="1"/>
      </xdr:nvSpPr>
      <xdr:spPr>
        <a:xfrm>
          <a:off x="7829550" y="452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117</xdr:row>
      <xdr:rowOff>0</xdr:rowOff>
    </xdr:from>
    <xdr:ext cx="1183273" cy="392415"/>
    <xdr:sp macro="" textlink="">
      <xdr:nvSpPr>
        <xdr:cNvPr id="81" name="テキスト ボックス 80">
          <a:extLst>
            <a:ext uri="{FF2B5EF4-FFF2-40B4-BE49-F238E27FC236}">
              <a16:creationId xmlns:a16="http://schemas.microsoft.com/office/drawing/2014/main" id="{00000000-0008-0000-0500-00005D000000}"/>
            </a:ext>
          </a:extLst>
        </xdr:cNvPr>
        <xdr:cNvSpPr txBox="1"/>
      </xdr:nvSpPr>
      <xdr:spPr>
        <a:xfrm>
          <a:off x="11439525" y="445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118</xdr:row>
      <xdr:rowOff>0</xdr:rowOff>
    </xdr:from>
    <xdr:ext cx="1480213" cy="392415"/>
    <xdr:sp macro="" textlink="">
      <xdr:nvSpPr>
        <xdr:cNvPr id="82" name="テキスト ボックス 81">
          <a:extLst>
            <a:ext uri="{FF2B5EF4-FFF2-40B4-BE49-F238E27FC236}">
              <a16:creationId xmlns:a16="http://schemas.microsoft.com/office/drawing/2014/main" id="{00000000-0008-0000-0500-00005E000000}"/>
            </a:ext>
          </a:extLst>
        </xdr:cNvPr>
        <xdr:cNvSpPr txBox="1"/>
      </xdr:nvSpPr>
      <xdr:spPr>
        <a:xfrm>
          <a:off x="9124950" y="4476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90</xdr:row>
      <xdr:rowOff>0</xdr:rowOff>
    </xdr:from>
    <xdr:ext cx="755913" cy="392415"/>
    <xdr:sp macro="" textlink="">
      <xdr:nvSpPr>
        <xdr:cNvPr id="83" name="テキスト ボックス 82">
          <a:extLst>
            <a:ext uri="{FF2B5EF4-FFF2-40B4-BE49-F238E27FC236}">
              <a16:creationId xmlns:a16="http://schemas.microsoft.com/office/drawing/2014/main" id="{00000000-0008-0000-0500-000065000000}"/>
            </a:ext>
          </a:extLst>
        </xdr:cNvPr>
        <xdr:cNvSpPr txBox="1"/>
      </xdr:nvSpPr>
      <xdr:spPr>
        <a:xfrm>
          <a:off x="4219575" y="381000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132</xdr:row>
      <xdr:rowOff>0</xdr:rowOff>
    </xdr:from>
    <xdr:ext cx="755913" cy="392415"/>
    <xdr:sp macro="" textlink="">
      <xdr:nvSpPr>
        <xdr:cNvPr id="84" name="テキスト ボックス 83">
          <a:extLst>
            <a:ext uri="{FF2B5EF4-FFF2-40B4-BE49-F238E27FC236}">
              <a16:creationId xmlns:a16="http://schemas.microsoft.com/office/drawing/2014/main" id="{00000000-0008-0000-0500-000066000000}"/>
            </a:ext>
          </a:extLst>
        </xdr:cNvPr>
        <xdr:cNvSpPr txBox="1"/>
      </xdr:nvSpPr>
      <xdr:spPr>
        <a:xfrm>
          <a:off x="4219575"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144</xdr:row>
      <xdr:rowOff>0</xdr:rowOff>
    </xdr:from>
    <xdr:ext cx="2477601" cy="392415"/>
    <xdr:sp macro="" textlink="">
      <xdr:nvSpPr>
        <xdr:cNvPr id="88" name="テキスト ボックス 87">
          <a:extLst>
            <a:ext uri="{FF2B5EF4-FFF2-40B4-BE49-F238E27FC236}">
              <a16:creationId xmlns:a16="http://schemas.microsoft.com/office/drawing/2014/main" id="{00000000-0008-0000-0500-00006A000000}"/>
            </a:ext>
          </a:extLst>
        </xdr:cNvPr>
        <xdr:cNvSpPr txBox="1"/>
      </xdr:nvSpPr>
      <xdr:spPr>
        <a:xfrm>
          <a:off x="7829550" y="509587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168</xdr:row>
      <xdr:rowOff>0</xdr:rowOff>
    </xdr:from>
    <xdr:ext cx="1183273" cy="392415"/>
    <xdr:sp macro="" textlink="">
      <xdr:nvSpPr>
        <xdr:cNvPr id="89" name="テキスト ボックス 88">
          <a:extLst>
            <a:ext uri="{FF2B5EF4-FFF2-40B4-BE49-F238E27FC236}">
              <a16:creationId xmlns:a16="http://schemas.microsoft.com/office/drawing/2014/main" id="{00000000-0008-0000-0500-00006D000000}"/>
            </a:ext>
          </a:extLst>
        </xdr:cNvPr>
        <xdr:cNvSpPr txBox="1"/>
      </xdr:nvSpPr>
      <xdr:spPr>
        <a:xfrm>
          <a:off x="78295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165</xdr:row>
      <xdr:rowOff>0</xdr:rowOff>
    </xdr:from>
    <xdr:ext cx="1183273" cy="392415"/>
    <xdr:sp macro="" textlink="">
      <xdr:nvSpPr>
        <xdr:cNvPr id="90" name="テキスト ボックス 89">
          <a:extLst>
            <a:ext uri="{FF2B5EF4-FFF2-40B4-BE49-F238E27FC236}">
              <a16:creationId xmlns:a16="http://schemas.microsoft.com/office/drawing/2014/main" id="{00000000-0008-0000-0500-00006E000000}"/>
            </a:ext>
          </a:extLst>
        </xdr:cNvPr>
        <xdr:cNvSpPr txBox="1"/>
      </xdr:nvSpPr>
      <xdr:spPr>
        <a:xfrm>
          <a:off x="11439525"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166</xdr:row>
      <xdr:rowOff>0</xdr:rowOff>
    </xdr:from>
    <xdr:ext cx="1441100" cy="392415"/>
    <xdr:sp macro="" textlink="">
      <xdr:nvSpPr>
        <xdr:cNvPr id="91" name="テキスト ボックス 90">
          <a:extLst>
            <a:ext uri="{FF2B5EF4-FFF2-40B4-BE49-F238E27FC236}">
              <a16:creationId xmlns:a16="http://schemas.microsoft.com/office/drawing/2014/main" id="{00000000-0008-0000-0500-00006F000000}"/>
            </a:ext>
          </a:extLst>
        </xdr:cNvPr>
        <xdr:cNvSpPr txBox="1"/>
      </xdr:nvSpPr>
      <xdr:spPr>
        <a:xfrm>
          <a:off x="9124950" y="604837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162</xdr:row>
      <xdr:rowOff>0</xdr:rowOff>
    </xdr:from>
    <xdr:ext cx="2477601" cy="392415"/>
    <xdr:sp macro="" textlink="">
      <xdr:nvSpPr>
        <xdr:cNvPr id="92" name="テキスト ボックス 91">
          <a:extLst>
            <a:ext uri="{FF2B5EF4-FFF2-40B4-BE49-F238E27FC236}">
              <a16:creationId xmlns:a16="http://schemas.microsoft.com/office/drawing/2014/main" id="{00000000-0008-0000-0500-000073000000}"/>
            </a:ext>
          </a:extLst>
        </xdr:cNvPr>
        <xdr:cNvSpPr txBox="1"/>
      </xdr:nvSpPr>
      <xdr:spPr>
        <a:xfrm>
          <a:off x="7829550" y="595312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198</xdr:row>
      <xdr:rowOff>0</xdr:rowOff>
    </xdr:from>
    <xdr:ext cx="1183273" cy="392415"/>
    <xdr:sp macro="" textlink="">
      <xdr:nvSpPr>
        <xdr:cNvPr id="93" name="テキスト ボックス 92">
          <a:extLst>
            <a:ext uri="{FF2B5EF4-FFF2-40B4-BE49-F238E27FC236}">
              <a16:creationId xmlns:a16="http://schemas.microsoft.com/office/drawing/2014/main" id="{00000000-0008-0000-0500-000075000000}"/>
            </a:ext>
          </a:extLst>
        </xdr:cNvPr>
        <xdr:cNvSpPr txBox="1"/>
      </xdr:nvSpPr>
      <xdr:spPr>
        <a:xfrm>
          <a:off x="78295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195</xdr:row>
      <xdr:rowOff>0</xdr:rowOff>
    </xdr:from>
    <xdr:ext cx="1183273" cy="392415"/>
    <xdr:sp macro="" textlink="">
      <xdr:nvSpPr>
        <xdr:cNvPr id="94" name="テキスト ボックス 93">
          <a:extLst>
            <a:ext uri="{FF2B5EF4-FFF2-40B4-BE49-F238E27FC236}">
              <a16:creationId xmlns:a16="http://schemas.microsoft.com/office/drawing/2014/main" id="{00000000-0008-0000-0500-000076000000}"/>
            </a:ext>
          </a:extLst>
        </xdr:cNvPr>
        <xdr:cNvSpPr txBox="1"/>
      </xdr:nvSpPr>
      <xdr:spPr>
        <a:xfrm>
          <a:off x="11439525"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196</xdr:row>
      <xdr:rowOff>0</xdr:rowOff>
    </xdr:from>
    <xdr:ext cx="1480213" cy="392415"/>
    <xdr:sp macro="" textlink="">
      <xdr:nvSpPr>
        <xdr:cNvPr id="95" name="テキスト ボックス 94">
          <a:extLst>
            <a:ext uri="{FF2B5EF4-FFF2-40B4-BE49-F238E27FC236}">
              <a16:creationId xmlns:a16="http://schemas.microsoft.com/office/drawing/2014/main" id="{00000000-0008-0000-0500-000077000000}"/>
            </a:ext>
          </a:extLst>
        </xdr:cNvPr>
        <xdr:cNvSpPr txBox="1"/>
      </xdr:nvSpPr>
      <xdr:spPr>
        <a:xfrm>
          <a:off x="9124950"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179</xdr:row>
      <xdr:rowOff>175260</xdr:rowOff>
    </xdr:from>
    <xdr:ext cx="1183273" cy="392415"/>
    <xdr:sp macro="" textlink="">
      <xdr:nvSpPr>
        <xdr:cNvPr id="96" name="テキスト ボックス 95">
          <a:extLst>
            <a:ext uri="{FF2B5EF4-FFF2-40B4-BE49-F238E27FC236}">
              <a16:creationId xmlns:a16="http://schemas.microsoft.com/office/drawing/2014/main" id="{00000000-0008-0000-0500-000079000000}"/>
            </a:ext>
          </a:extLst>
        </xdr:cNvPr>
        <xdr:cNvSpPr txBox="1"/>
      </xdr:nvSpPr>
      <xdr:spPr>
        <a:xfrm>
          <a:off x="8997315" y="6375463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186</xdr:row>
      <xdr:rowOff>0</xdr:rowOff>
    </xdr:from>
    <xdr:ext cx="1183273" cy="392415"/>
    <xdr:sp macro="" textlink="">
      <xdr:nvSpPr>
        <xdr:cNvPr id="97" name="テキスト ボックス 96">
          <a:extLst>
            <a:ext uri="{FF2B5EF4-FFF2-40B4-BE49-F238E27FC236}">
              <a16:creationId xmlns:a16="http://schemas.microsoft.com/office/drawing/2014/main" id="{00000000-0008-0000-0500-00007B000000}"/>
            </a:ext>
          </a:extLst>
        </xdr:cNvPr>
        <xdr:cNvSpPr txBox="1"/>
      </xdr:nvSpPr>
      <xdr:spPr>
        <a:xfrm>
          <a:off x="101441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183</xdr:row>
      <xdr:rowOff>0</xdr:rowOff>
    </xdr:from>
    <xdr:ext cx="3139129" cy="392415"/>
    <xdr:sp macro="" textlink="">
      <xdr:nvSpPr>
        <xdr:cNvPr id="98" name="テキスト ボックス 97">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231</xdr:row>
      <xdr:rowOff>0</xdr:rowOff>
    </xdr:from>
    <xdr:ext cx="1183273" cy="392415"/>
    <xdr:sp macro="" textlink="">
      <xdr:nvSpPr>
        <xdr:cNvPr id="99" name="テキスト ボックス 98">
          <a:extLst>
            <a:ext uri="{FF2B5EF4-FFF2-40B4-BE49-F238E27FC236}">
              <a16:creationId xmlns:a16="http://schemas.microsoft.com/office/drawing/2014/main" id="{00000000-0008-0000-0500-00007E000000}"/>
            </a:ext>
          </a:extLst>
        </xdr:cNvPr>
        <xdr:cNvSpPr txBox="1"/>
      </xdr:nvSpPr>
      <xdr:spPr>
        <a:xfrm>
          <a:off x="7829550" y="7596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891540</xdr:colOff>
      <xdr:row>212</xdr:row>
      <xdr:rowOff>175260</xdr:rowOff>
    </xdr:from>
    <xdr:ext cx="1183273" cy="392415"/>
    <xdr:sp macro="" textlink="">
      <xdr:nvSpPr>
        <xdr:cNvPr id="100" name="テキスト ボックス 99">
          <a:extLst>
            <a:ext uri="{FF2B5EF4-FFF2-40B4-BE49-F238E27FC236}">
              <a16:creationId xmlns:a16="http://schemas.microsoft.com/office/drawing/2014/main" id="{00000000-0008-0000-0500-000081000000}"/>
            </a:ext>
          </a:extLst>
        </xdr:cNvPr>
        <xdr:cNvSpPr txBox="1"/>
      </xdr:nvSpPr>
      <xdr:spPr>
        <a:xfrm>
          <a:off x="8997315" y="71612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219</xdr:row>
      <xdr:rowOff>0</xdr:rowOff>
    </xdr:from>
    <xdr:ext cx="1183273" cy="392415"/>
    <xdr:sp macro="" textlink="">
      <xdr:nvSpPr>
        <xdr:cNvPr id="101" name="テキスト ボックス 100">
          <a:extLst>
            <a:ext uri="{FF2B5EF4-FFF2-40B4-BE49-F238E27FC236}">
              <a16:creationId xmlns:a16="http://schemas.microsoft.com/office/drawing/2014/main" id="{00000000-0008-0000-0500-000083000000}"/>
            </a:ext>
          </a:extLst>
        </xdr:cNvPr>
        <xdr:cNvSpPr txBox="1"/>
      </xdr:nvSpPr>
      <xdr:spPr>
        <a:xfrm>
          <a:off x="10144125" y="7310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243</xdr:row>
      <xdr:rowOff>0</xdr:rowOff>
    </xdr:from>
    <xdr:ext cx="755913" cy="392415"/>
    <xdr:sp macro="" textlink="">
      <xdr:nvSpPr>
        <xdr:cNvPr id="102" name="テキスト ボックス 101">
          <a:extLst>
            <a:ext uri="{FF2B5EF4-FFF2-40B4-BE49-F238E27FC236}">
              <a16:creationId xmlns:a16="http://schemas.microsoft.com/office/drawing/2014/main" id="{00000000-0008-0000-0500-000086000000}"/>
            </a:ext>
          </a:extLst>
        </xdr:cNvPr>
        <xdr:cNvSpPr txBox="1"/>
      </xdr:nvSpPr>
      <xdr:spPr>
        <a:xfrm>
          <a:off x="4219575" y="788193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7</xdr:col>
      <xdr:colOff>0</xdr:colOff>
      <xdr:row>55</xdr:row>
      <xdr:rowOff>0</xdr:rowOff>
    </xdr:from>
    <xdr:ext cx="1922449" cy="392415"/>
    <xdr:sp macro="" textlink="">
      <xdr:nvSpPr>
        <xdr:cNvPr id="103" name="テキスト ボックス 102">
          <a:extLst>
            <a:ext uri="{FF2B5EF4-FFF2-40B4-BE49-F238E27FC236}">
              <a16:creationId xmlns:a16="http://schemas.microsoft.com/office/drawing/2014/main" id="{6CFABEA0-A65D-49F1-8AE4-14D6BA7EE443}"/>
            </a:ext>
          </a:extLst>
        </xdr:cNvPr>
        <xdr:cNvSpPr txBox="1"/>
      </xdr:nvSpPr>
      <xdr:spPr>
        <a:xfrm>
          <a:off x="4495800" y="29765625"/>
          <a:ext cx="19224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入院中</a:t>
          </a:r>
          <a:r>
            <a:rPr kumimoji="1" lang="en-US" altLang="ja-JP" sz="1200" b="1">
              <a:solidFill>
                <a:srgbClr val="FF0000"/>
              </a:solidFill>
              <a:latin typeface="メイリオ" panose="020B0604030504040204" pitchFamily="50" charset="-128"/>
              <a:ea typeface="メイリオ" panose="020B0604030504040204" pitchFamily="50" charset="-128"/>
            </a:rPr>
            <a:t>F</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（退院済み）</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189</xdr:row>
      <xdr:rowOff>0</xdr:rowOff>
    </xdr:from>
    <xdr:ext cx="3600794" cy="392415"/>
    <xdr:sp macro="" textlink="">
      <xdr:nvSpPr>
        <xdr:cNvPr id="105" name="テキスト ボックス 104">
          <a:extLst>
            <a:ext uri="{FF2B5EF4-FFF2-40B4-BE49-F238E27FC236}">
              <a16:creationId xmlns:a16="http://schemas.microsoft.com/office/drawing/2014/main" id="{00000000-0008-0000-0500-00007D000000}"/>
            </a:ext>
          </a:extLst>
        </xdr:cNvPr>
        <xdr:cNvSpPr txBox="1"/>
      </xdr:nvSpPr>
      <xdr:spPr>
        <a:xfrm>
          <a:off x="7040880" y="44645580"/>
          <a:ext cx="36007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、検査名、検査コード、単位）</a:t>
          </a:r>
        </a:p>
      </xdr:txBody>
    </xdr:sp>
    <xdr:clientData/>
  </xdr:oneCellAnchor>
  <xdr:oneCellAnchor>
    <xdr:from>
      <xdr:col>11</xdr:col>
      <xdr:colOff>0</xdr:colOff>
      <xdr:row>216</xdr:row>
      <xdr:rowOff>0</xdr:rowOff>
    </xdr:from>
    <xdr:ext cx="3819122" cy="392415"/>
    <xdr:sp macro="" textlink="">
      <xdr:nvSpPr>
        <xdr:cNvPr id="106" name="テキスト ボックス 105">
          <a:extLst>
            <a:ext uri="{FF2B5EF4-FFF2-40B4-BE49-F238E27FC236}">
              <a16:creationId xmlns:a16="http://schemas.microsoft.com/office/drawing/2014/main" id="{00000000-0008-0000-0500-00007D000000}"/>
            </a:ext>
          </a:extLst>
        </xdr:cNvPr>
        <xdr:cNvSpPr txBox="1"/>
      </xdr:nvSpPr>
      <xdr:spPr>
        <a:xfrm>
          <a:off x="7829550" y="723900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222</xdr:row>
      <xdr:rowOff>0</xdr:rowOff>
    </xdr:from>
    <xdr:ext cx="4434676" cy="392415"/>
    <xdr:sp macro="" textlink="">
      <xdr:nvSpPr>
        <xdr:cNvPr id="107" name="テキスト ボックス 106">
          <a:extLst>
            <a:ext uri="{FF2B5EF4-FFF2-40B4-BE49-F238E27FC236}">
              <a16:creationId xmlns:a16="http://schemas.microsoft.com/office/drawing/2014/main" id="{00000000-0008-0000-0500-00007D000000}"/>
            </a:ext>
          </a:extLst>
        </xdr:cNvPr>
        <xdr:cNvSpPr txBox="1"/>
      </xdr:nvSpPr>
      <xdr:spPr>
        <a:xfrm>
          <a:off x="7040880" y="52440840"/>
          <a:ext cx="44346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）、検査名、検査コード、単位）</a:t>
          </a:r>
        </a:p>
      </xdr:txBody>
    </xdr:sp>
    <xdr:clientData/>
  </xdr:oneCellAnchor>
  <xdr:oneCellAnchor>
    <xdr:from>
      <xdr:col>11</xdr:col>
      <xdr:colOff>0</xdr:colOff>
      <xdr:row>193</xdr:row>
      <xdr:rowOff>0</xdr:rowOff>
    </xdr:from>
    <xdr:ext cx="5293565" cy="392415"/>
    <xdr:sp macro="" textlink="">
      <xdr:nvSpPr>
        <xdr:cNvPr id="108" name="テキスト ボックス 107">
          <a:extLst>
            <a:ext uri="{FF2B5EF4-FFF2-40B4-BE49-F238E27FC236}">
              <a16:creationId xmlns:a16="http://schemas.microsoft.com/office/drawing/2014/main" id="{00000000-0008-0000-0500-00007D000000}"/>
            </a:ext>
          </a:extLst>
        </xdr:cNvPr>
        <xdr:cNvSpPr txBox="1"/>
      </xdr:nvSpPr>
      <xdr:spPr>
        <a:xfrm>
          <a:off x="7040880" y="45590460"/>
          <a:ext cx="529356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、検体名、検体コード、検査名、検査コード、単位）</a:t>
          </a:r>
        </a:p>
      </xdr:txBody>
    </xdr:sp>
    <xdr:clientData/>
  </xdr:oneCellAnchor>
  <xdr:oneCellAnchor>
    <xdr:from>
      <xdr:col>11</xdr:col>
      <xdr:colOff>0</xdr:colOff>
      <xdr:row>226</xdr:row>
      <xdr:rowOff>0</xdr:rowOff>
    </xdr:from>
    <xdr:ext cx="5973558" cy="392415"/>
    <xdr:sp macro="" textlink="">
      <xdr:nvSpPr>
        <xdr:cNvPr id="109" name="テキスト ボックス 108">
          <a:extLst>
            <a:ext uri="{FF2B5EF4-FFF2-40B4-BE49-F238E27FC236}">
              <a16:creationId xmlns:a16="http://schemas.microsoft.com/office/drawing/2014/main" id="{00000000-0008-0000-0500-00007D000000}"/>
            </a:ext>
          </a:extLst>
        </xdr:cNvPr>
        <xdr:cNvSpPr txBox="1"/>
      </xdr:nvSpPr>
      <xdr:spPr>
        <a:xfrm>
          <a:off x="7040880" y="53385720"/>
          <a:ext cx="597355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）、検体名、検体コード、検査名、検査コード、単位）</a:t>
          </a:r>
        </a:p>
      </xdr:txBody>
    </xdr:sp>
    <xdr:clientData/>
  </xdr:oneCellAnchor>
  <xdr:oneCellAnchor>
    <xdr:from>
      <xdr:col>10</xdr:col>
      <xdr:colOff>272415</xdr:colOff>
      <xdr:row>209</xdr:row>
      <xdr:rowOff>175260</xdr:rowOff>
    </xdr:from>
    <xdr:ext cx="784830" cy="392415"/>
    <xdr:sp macro="" textlink="">
      <xdr:nvSpPr>
        <xdr:cNvPr id="110" name="テキスト ボックス 109">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229</xdr:row>
      <xdr:rowOff>0</xdr:rowOff>
    </xdr:from>
    <xdr:ext cx="1480213" cy="392415"/>
    <xdr:sp macro="" textlink="">
      <xdr:nvSpPr>
        <xdr:cNvPr id="111" name="テキスト ボックス 110">
          <a:extLst>
            <a:ext uri="{FF2B5EF4-FFF2-40B4-BE49-F238E27FC236}">
              <a16:creationId xmlns:a16="http://schemas.microsoft.com/office/drawing/2014/main" id="{00000000-0008-0000-0500-000080000000}"/>
            </a:ext>
          </a:extLst>
        </xdr:cNvPr>
        <xdr:cNvSpPr txBox="1"/>
      </xdr:nvSpPr>
      <xdr:spPr>
        <a:xfrm>
          <a:off x="9124950" y="75485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228</xdr:row>
      <xdr:rowOff>0</xdr:rowOff>
    </xdr:from>
    <xdr:ext cx="1183273" cy="392415"/>
    <xdr:sp macro="" textlink="">
      <xdr:nvSpPr>
        <xdr:cNvPr id="112" name="テキスト ボックス 111">
          <a:extLst>
            <a:ext uri="{FF2B5EF4-FFF2-40B4-BE49-F238E27FC236}">
              <a16:creationId xmlns:a16="http://schemas.microsoft.com/office/drawing/2014/main" id="{00000000-0008-0000-0500-00007F000000}"/>
            </a:ext>
          </a:extLst>
        </xdr:cNvPr>
        <xdr:cNvSpPr txBox="1"/>
      </xdr:nvSpPr>
      <xdr:spPr>
        <a:xfrm>
          <a:off x="11439525" y="7524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178</xdr:row>
      <xdr:rowOff>0</xdr:rowOff>
    </xdr:from>
    <xdr:ext cx="1877437" cy="392415"/>
    <xdr:sp macro="" textlink="">
      <xdr:nvSpPr>
        <xdr:cNvPr id="113" name="テキスト ボックス 112">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208</xdr:row>
      <xdr:rowOff>0</xdr:rowOff>
    </xdr:from>
    <xdr:ext cx="1877437" cy="392415"/>
    <xdr:sp macro="" textlink="">
      <xdr:nvSpPr>
        <xdr:cNvPr id="114" name="テキスト ボックス 113">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211</xdr:row>
      <xdr:rowOff>0</xdr:rowOff>
    </xdr:from>
    <xdr:ext cx="3642985" cy="392415"/>
    <xdr:sp macro="" textlink="">
      <xdr:nvSpPr>
        <xdr:cNvPr id="115" name="テキスト ボックス 114">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11</xdr:col>
      <xdr:colOff>0</xdr:colOff>
      <xdr:row>258</xdr:row>
      <xdr:rowOff>0</xdr:rowOff>
    </xdr:from>
    <xdr:ext cx="1183273" cy="392415"/>
    <xdr:sp macro="" textlink="">
      <xdr:nvSpPr>
        <xdr:cNvPr id="116" name="テキスト ボックス 115">
          <a:extLst>
            <a:ext uri="{FF2B5EF4-FFF2-40B4-BE49-F238E27FC236}">
              <a16:creationId xmlns:a16="http://schemas.microsoft.com/office/drawing/2014/main" id="{00000000-0008-0000-0500-000014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255</xdr:row>
      <xdr:rowOff>0</xdr:rowOff>
    </xdr:from>
    <xdr:ext cx="1183273" cy="392415"/>
    <xdr:sp macro="" textlink="">
      <xdr:nvSpPr>
        <xdr:cNvPr id="117" name="テキスト ボックス 116">
          <a:extLst>
            <a:ext uri="{FF2B5EF4-FFF2-40B4-BE49-F238E27FC236}">
              <a16:creationId xmlns:a16="http://schemas.microsoft.com/office/drawing/2014/main" id="{00000000-0008-0000-0500-000015000000}"/>
            </a:ext>
          </a:extLst>
        </xdr:cNvPr>
        <xdr:cNvSpPr txBox="1"/>
      </xdr:nvSpPr>
      <xdr:spPr>
        <a:xfrm>
          <a:off x="1143952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256</xdr:row>
      <xdr:rowOff>0</xdr:rowOff>
    </xdr:from>
    <xdr:ext cx="1441100" cy="392415"/>
    <xdr:sp macro="" textlink="">
      <xdr:nvSpPr>
        <xdr:cNvPr id="118" name="テキスト ボックス 117">
          <a:extLst>
            <a:ext uri="{FF2B5EF4-FFF2-40B4-BE49-F238E27FC236}">
              <a16:creationId xmlns:a16="http://schemas.microsoft.com/office/drawing/2014/main" id="{00000000-0008-0000-0500-000016000000}"/>
            </a:ext>
          </a:extLst>
        </xdr:cNvPr>
        <xdr:cNvSpPr txBox="1"/>
      </xdr:nvSpPr>
      <xdr:spPr>
        <a:xfrm>
          <a:off x="9124950" y="6096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276</xdr:row>
      <xdr:rowOff>0</xdr:rowOff>
    </xdr:from>
    <xdr:ext cx="1183273" cy="392415"/>
    <xdr:sp macro="" textlink="">
      <xdr:nvSpPr>
        <xdr:cNvPr id="119" name="テキスト ボックス 118">
          <a:extLst>
            <a:ext uri="{FF2B5EF4-FFF2-40B4-BE49-F238E27FC236}">
              <a16:creationId xmlns:a16="http://schemas.microsoft.com/office/drawing/2014/main" id="{00000000-0008-0000-0500-000014000000}"/>
            </a:ext>
          </a:extLst>
        </xdr:cNvPr>
        <xdr:cNvSpPr txBox="1"/>
      </xdr:nvSpPr>
      <xdr:spPr>
        <a:xfrm>
          <a:off x="7829550" y="6143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14</xdr:col>
      <xdr:colOff>0</xdr:colOff>
      <xdr:row>273</xdr:row>
      <xdr:rowOff>0</xdr:rowOff>
    </xdr:from>
    <xdr:ext cx="1183273" cy="392415"/>
    <xdr:sp macro="" textlink="">
      <xdr:nvSpPr>
        <xdr:cNvPr id="120" name="テキスト ボックス 119">
          <a:extLst>
            <a:ext uri="{FF2B5EF4-FFF2-40B4-BE49-F238E27FC236}">
              <a16:creationId xmlns:a16="http://schemas.microsoft.com/office/drawing/2014/main" id="{00000000-0008-0000-0500-000015000000}"/>
            </a:ext>
          </a:extLst>
        </xdr:cNvPr>
        <xdr:cNvSpPr txBox="1"/>
      </xdr:nvSpPr>
      <xdr:spPr>
        <a:xfrm>
          <a:off x="11439525" y="6072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306</xdr:row>
      <xdr:rowOff>0</xdr:rowOff>
    </xdr:from>
    <xdr:ext cx="1106521" cy="392415"/>
    <xdr:sp macro="" textlink="">
      <xdr:nvSpPr>
        <xdr:cNvPr id="122" name="テキスト ボックス 121">
          <a:extLst>
            <a:ext uri="{FF2B5EF4-FFF2-40B4-BE49-F238E27FC236}">
              <a16:creationId xmlns:a16="http://schemas.microsoft.com/office/drawing/2014/main" id="{00000000-0008-0000-0500-000086000000}"/>
            </a:ext>
          </a:extLst>
        </xdr:cNvPr>
        <xdr:cNvSpPr txBox="1"/>
      </xdr:nvSpPr>
      <xdr:spPr>
        <a:xfrm>
          <a:off x="4219575" y="7286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en-US" altLang="ja-JP" sz="1200" b="1" baseline="0">
              <a:solidFill>
                <a:srgbClr val="FF0000"/>
              </a:solidFill>
              <a:latin typeface="メイリオ" panose="020B0604030504040204" pitchFamily="50" charset="-128"/>
              <a:ea typeface="メイリオ" panose="020B0604030504040204" pitchFamily="50" charset="-128"/>
            </a:rPr>
            <a:t>ALL</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268</xdr:row>
      <xdr:rowOff>0</xdr:rowOff>
    </xdr:from>
    <xdr:ext cx="1569660" cy="392415"/>
    <xdr:sp macro="" textlink="">
      <xdr:nvSpPr>
        <xdr:cNvPr id="123" name="テキスト ボックス 122">
          <a:extLst>
            <a:ext uri="{FF2B5EF4-FFF2-40B4-BE49-F238E27FC236}">
              <a16:creationId xmlns:a16="http://schemas.microsoft.com/office/drawing/2014/main" id="{00000000-0008-0000-0500-000016000000}"/>
            </a:ext>
          </a:extLst>
        </xdr:cNvPr>
        <xdr:cNvSpPr txBox="1"/>
      </xdr:nvSpPr>
      <xdr:spPr>
        <a:xfrm>
          <a:off x="4495800" y="6381750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項目名が身長と体重</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270</xdr:row>
      <xdr:rowOff>0</xdr:rowOff>
    </xdr:from>
    <xdr:ext cx="1183273" cy="392415"/>
    <xdr:sp macro="" textlink="">
      <xdr:nvSpPr>
        <xdr:cNvPr id="124" name="テキスト ボックス 123">
          <a:extLst>
            <a:ext uri="{FF2B5EF4-FFF2-40B4-BE49-F238E27FC236}">
              <a16:creationId xmlns:a16="http://schemas.microsoft.com/office/drawing/2014/main" id="{00000000-0008-0000-0500-000015000000}"/>
            </a:ext>
          </a:extLst>
        </xdr:cNvPr>
        <xdr:cNvSpPr txBox="1"/>
      </xdr:nvSpPr>
      <xdr:spPr>
        <a:xfrm>
          <a:off x="114395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274</xdr:row>
      <xdr:rowOff>0</xdr:rowOff>
    </xdr:from>
    <xdr:ext cx="1480213" cy="392415"/>
    <xdr:sp macro="" textlink="">
      <xdr:nvSpPr>
        <xdr:cNvPr id="126" name="テキスト ボックス 125">
          <a:extLst>
            <a:ext uri="{FF2B5EF4-FFF2-40B4-BE49-F238E27FC236}">
              <a16:creationId xmlns:a16="http://schemas.microsoft.com/office/drawing/2014/main" id="{00000000-0008-0000-0500-000016000000}"/>
            </a:ext>
          </a:extLst>
        </xdr:cNvPr>
        <xdr:cNvSpPr txBox="1"/>
      </xdr:nvSpPr>
      <xdr:spPr>
        <a:xfrm>
          <a:off x="8105775" y="654843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294</xdr:row>
      <xdr:rowOff>0</xdr:rowOff>
    </xdr:from>
    <xdr:ext cx="1183273" cy="392415"/>
    <xdr:sp macro="" textlink="">
      <xdr:nvSpPr>
        <xdr:cNvPr id="127" name="テキスト ボックス 126">
          <a:extLst>
            <a:ext uri="{FF2B5EF4-FFF2-40B4-BE49-F238E27FC236}">
              <a16:creationId xmlns:a16="http://schemas.microsoft.com/office/drawing/2014/main" id="{00000000-0008-0000-0500-000014000000}"/>
            </a:ext>
          </a:extLst>
        </xdr:cNvPr>
        <xdr:cNvSpPr txBox="1"/>
      </xdr:nvSpPr>
      <xdr:spPr>
        <a:xfrm>
          <a:off x="7829550" y="6572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14</xdr:col>
      <xdr:colOff>0</xdr:colOff>
      <xdr:row>291</xdr:row>
      <xdr:rowOff>0</xdr:rowOff>
    </xdr:from>
    <xdr:ext cx="1183273" cy="392415"/>
    <xdr:sp macro="" textlink="">
      <xdr:nvSpPr>
        <xdr:cNvPr id="128" name="テキスト ボックス 127">
          <a:extLst>
            <a:ext uri="{FF2B5EF4-FFF2-40B4-BE49-F238E27FC236}">
              <a16:creationId xmlns:a16="http://schemas.microsoft.com/office/drawing/2014/main" id="{00000000-0008-0000-0500-000015000000}"/>
            </a:ext>
          </a:extLst>
        </xdr:cNvPr>
        <xdr:cNvSpPr txBox="1"/>
      </xdr:nvSpPr>
      <xdr:spPr>
        <a:xfrm>
          <a:off x="10144125" y="6500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286</xdr:row>
      <xdr:rowOff>0</xdr:rowOff>
    </xdr:from>
    <xdr:ext cx="1569660" cy="392415"/>
    <xdr:sp macro="" textlink="">
      <xdr:nvSpPr>
        <xdr:cNvPr id="129" name="テキスト ボックス 128">
          <a:extLst>
            <a:ext uri="{FF2B5EF4-FFF2-40B4-BE49-F238E27FC236}">
              <a16:creationId xmlns:a16="http://schemas.microsoft.com/office/drawing/2014/main" id="{00000000-0008-0000-0500-000016000000}"/>
            </a:ext>
          </a:extLst>
        </xdr:cNvPr>
        <xdr:cNvSpPr txBox="1"/>
      </xdr:nvSpPr>
      <xdr:spPr>
        <a:xfrm>
          <a:off x="4495800" y="6381750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項目名が身長と体重</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288</xdr:row>
      <xdr:rowOff>0</xdr:rowOff>
    </xdr:from>
    <xdr:ext cx="1183273" cy="392415"/>
    <xdr:sp macro="" textlink="">
      <xdr:nvSpPr>
        <xdr:cNvPr id="130" name="テキスト ボックス 129">
          <a:extLst>
            <a:ext uri="{FF2B5EF4-FFF2-40B4-BE49-F238E27FC236}">
              <a16:creationId xmlns:a16="http://schemas.microsoft.com/office/drawing/2014/main" id="{00000000-0008-0000-0500-000015000000}"/>
            </a:ext>
          </a:extLst>
        </xdr:cNvPr>
        <xdr:cNvSpPr txBox="1"/>
      </xdr:nvSpPr>
      <xdr:spPr>
        <a:xfrm>
          <a:off x="11439525" y="6429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292</xdr:row>
      <xdr:rowOff>0</xdr:rowOff>
    </xdr:from>
    <xdr:ext cx="1480213" cy="392415"/>
    <xdr:sp macro="" textlink="">
      <xdr:nvSpPr>
        <xdr:cNvPr id="131" name="テキスト ボックス 130">
          <a:extLst>
            <a:ext uri="{FF2B5EF4-FFF2-40B4-BE49-F238E27FC236}">
              <a16:creationId xmlns:a16="http://schemas.microsoft.com/office/drawing/2014/main" id="{00000000-0008-0000-0500-000016000000}"/>
            </a:ext>
          </a:extLst>
        </xdr:cNvPr>
        <xdr:cNvSpPr txBox="1"/>
      </xdr:nvSpPr>
      <xdr:spPr>
        <a:xfrm>
          <a:off x="8105775" y="652462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22860</xdr:colOff>
      <xdr:row>459</xdr:row>
      <xdr:rowOff>53340</xdr:rowOff>
    </xdr:from>
    <xdr:ext cx="1183273" cy="392415"/>
    <xdr:sp macro="" textlink="">
      <xdr:nvSpPr>
        <xdr:cNvPr id="104" name="テキスト ボックス 103">
          <a:extLst>
            <a:ext uri="{FF2B5EF4-FFF2-40B4-BE49-F238E27FC236}">
              <a16:creationId xmlns:a16="http://schemas.microsoft.com/office/drawing/2014/main" id="{00000000-0008-0000-0500-00004E000000}"/>
            </a:ext>
          </a:extLst>
        </xdr:cNvPr>
        <xdr:cNvSpPr txBox="1"/>
      </xdr:nvSpPr>
      <xdr:spPr>
        <a:xfrm>
          <a:off x="7063740" y="108478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464</xdr:row>
      <xdr:rowOff>129540</xdr:rowOff>
    </xdr:from>
    <xdr:ext cx="1106521" cy="392415"/>
    <xdr:sp macro="" textlink="">
      <xdr:nvSpPr>
        <xdr:cNvPr id="121" name="テキスト ボックス 120">
          <a:extLst>
            <a:ext uri="{FF2B5EF4-FFF2-40B4-BE49-F238E27FC236}">
              <a16:creationId xmlns:a16="http://schemas.microsoft.com/office/drawing/2014/main" id="{00000000-0008-0000-0500-000050000000}"/>
            </a:ext>
          </a:extLst>
        </xdr:cNvPr>
        <xdr:cNvSpPr txBox="1"/>
      </xdr:nvSpPr>
      <xdr:spPr>
        <a:xfrm>
          <a:off x="10287000" y="10973562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r>
            <a:rPr kumimoji="1" lang="en-US" altLang="ja-JP" sz="1200" b="1" baseline="0">
              <a:solidFill>
                <a:srgbClr val="FF0000"/>
              </a:solidFill>
              <a:latin typeface="メイリオ" panose="020B0604030504040204" pitchFamily="50" charset="-128"/>
              <a:ea typeface="メイリオ" panose="020B0604030504040204" pitchFamily="50" charset="-128"/>
            </a:rPr>
            <a:t> ALL</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845820</xdr:colOff>
      <xdr:row>455</xdr:row>
      <xdr:rowOff>160020</xdr:rowOff>
    </xdr:from>
    <xdr:ext cx="1441100" cy="392415"/>
    <xdr:sp macro="" textlink="">
      <xdr:nvSpPr>
        <xdr:cNvPr id="125" name="テキスト ボックス 124">
          <a:extLst>
            <a:ext uri="{FF2B5EF4-FFF2-40B4-BE49-F238E27FC236}">
              <a16:creationId xmlns:a16="http://schemas.microsoft.com/office/drawing/2014/main" id="{00000000-0008-0000-0500-000051000000}"/>
            </a:ext>
          </a:extLst>
        </xdr:cNvPr>
        <xdr:cNvSpPr txBox="1"/>
      </xdr:nvSpPr>
      <xdr:spPr>
        <a:xfrm>
          <a:off x="6720840" y="10764012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6</xdr:col>
      <xdr:colOff>0</xdr:colOff>
      <xdr:row>450</xdr:row>
      <xdr:rowOff>0</xdr:rowOff>
    </xdr:from>
    <xdr:ext cx="4135748" cy="692497"/>
    <xdr:sp macro="" textlink="">
      <xdr:nvSpPr>
        <xdr:cNvPr id="132" name="テキスト ボックス 131">
          <a:extLst>
            <a:ext uri="{FF2B5EF4-FFF2-40B4-BE49-F238E27FC236}">
              <a16:creationId xmlns:a16="http://schemas.microsoft.com/office/drawing/2014/main" id="{00000000-0008-0000-0500-00004B000000}"/>
            </a:ext>
          </a:extLst>
        </xdr:cNvPr>
        <xdr:cNvSpPr txBox="1"/>
      </xdr:nvSpPr>
      <xdr:spPr>
        <a:xfrm>
          <a:off x="3794760" y="106299000"/>
          <a:ext cx="4135748"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桁）が一致かつ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レセプト電算処理コードが</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始まり</a:t>
          </a:r>
          <a:r>
            <a:rPr kumimoji="1" lang="en-US" altLang="ja-JP" sz="1200" b="1">
              <a:solidFill>
                <a:srgbClr val="FF0000"/>
              </a:solidFill>
              <a:latin typeface="メイリオ" panose="020B0604030504040204" pitchFamily="50" charset="-128"/>
              <a:ea typeface="メイリオ" panose="020B0604030504040204" pitchFamily="50" charset="-128"/>
            </a:rPr>
            <a:t>(9</a:t>
          </a:r>
          <a:r>
            <a:rPr kumimoji="1" lang="ja-JP" altLang="en-US" sz="1200" b="1">
              <a:solidFill>
                <a:srgbClr val="FF0000"/>
              </a:solidFill>
              <a:latin typeface="メイリオ" panose="020B0604030504040204" pitchFamily="50" charset="-128"/>
              <a:ea typeface="メイリオ" panose="020B0604030504040204" pitchFamily="50" charset="-128"/>
            </a:rPr>
            <a:t>桁</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か</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始まり</a:t>
          </a:r>
          <a:r>
            <a:rPr kumimoji="1" lang="en-US" altLang="ja-JP" sz="1200" b="1">
              <a:solidFill>
                <a:srgbClr val="FF0000"/>
              </a:solidFill>
              <a:latin typeface="メイリオ" panose="020B0604030504040204" pitchFamily="50" charset="-128"/>
              <a:ea typeface="メイリオ" panose="020B0604030504040204" pitchFamily="50" charset="-128"/>
            </a:rPr>
            <a:t>(9</a:t>
          </a:r>
          <a:r>
            <a:rPr kumimoji="1" lang="ja-JP" altLang="en-US" sz="1200" b="1">
              <a:solidFill>
                <a:srgbClr val="FF0000"/>
              </a:solidFill>
              <a:latin typeface="メイリオ" panose="020B0604030504040204" pitchFamily="50" charset="-128"/>
              <a:ea typeface="メイリオ" panose="020B0604030504040204" pitchFamily="50" charset="-128"/>
            </a:rPr>
            <a:t>桁</a:t>
          </a:r>
          <a:r>
            <a:rPr kumimoji="1" lang="en-US" altLang="ja-JP" sz="1200" b="1">
              <a:solidFill>
                <a:srgbClr val="FF0000"/>
              </a:solidFill>
              <a:latin typeface="メイリオ" panose="020B0604030504040204" pitchFamily="50" charset="-128"/>
              <a:ea typeface="メイリオ" panose="020B0604030504040204" pitchFamily="50" charset="-128"/>
            </a:rPr>
            <a:t>)</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452</xdr:row>
      <xdr:rowOff>0</xdr:rowOff>
    </xdr:from>
    <xdr:ext cx="1106521" cy="392415"/>
    <xdr:sp macro="" textlink="">
      <xdr:nvSpPr>
        <xdr:cNvPr id="133" name="テキスト ボックス 132">
          <a:extLst>
            <a:ext uri="{FF2B5EF4-FFF2-40B4-BE49-F238E27FC236}">
              <a16:creationId xmlns:a16="http://schemas.microsoft.com/office/drawing/2014/main" id="{00000000-0008-0000-0500-00004F000000}"/>
            </a:ext>
          </a:extLst>
        </xdr:cNvPr>
        <xdr:cNvSpPr txBox="1"/>
      </xdr:nvSpPr>
      <xdr:spPr>
        <a:xfrm>
          <a:off x="7040880" y="10677144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253</xdr:row>
      <xdr:rowOff>0</xdr:rowOff>
    </xdr:from>
    <xdr:ext cx="2751010" cy="392415"/>
    <xdr:sp macro="" textlink="">
      <xdr:nvSpPr>
        <xdr:cNvPr id="138" name="テキスト ボックス 137">
          <a:extLst>
            <a:ext uri="{FF2B5EF4-FFF2-40B4-BE49-F238E27FC236}">
              <a16:creationId xmlns:a16="http://schemas.microsoft.com/office/drawing/2014/main" id="{00000000-0008-0000-0500-000053000000}"/>
            </a:ext>
          </a:extLst>
        </xdr:cNvPr>
        <xdr:cNvSpPr txBox="1"/>
      </xdr:nvSpPr>
      <xdr:spPr>
        <a:xfrm>
          <a:off x="4495800" y="6024562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769620</xdr:colOff>
      <xdr:row>39</xdr:row>
      <xdr:rowOff>220980</xdr:rowOff>
    </xdr:from>
    <xdr:ext cx="1183273" cy="392415"/>
    <xdr:sp macro="" textlink="">
      <xdr:nvSpPr>
        <xdr:cNvPr id="137" name="テキスト ボックス 136">
          <a:extLst>
            <a:ext uri="{FF2B5EF4-FFF2-40B4-BE49-F238E27FC236}">
              <a16:creationId xmlns:a16="http://schemas.microsoft.com/office/drawing/2014/main" id="{00000000-0008-0000-0500-000034000000}"/>
            </a:ext>
          </a:extLst>
        </xdr:cNvPr>
        <xdr:cNvSpPr txBox="1"/>
      </xdr:nvSpPr>
      <xdr:spPr>
        <a:xfrm>
          <a:off x="8976360" y="94335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4135748" cy="692497"/>
    <xdr:sp macro="" textlink="">
      <xdr:nvSpPr>
        <xdr:cNvPr id="139" name="テキスト ボックス 138">
          <a:extLst>
            <a:ext uri="{FF2B5EF4-FFF2-40B4-BE49-F238E27FC236}">
              <a16:creationId xmlns:a16="http://schemas.microsoft.com/office/drawing/2014/main" id="{00000000-0008-0000-0500-00004B000000}"/>
            </a:ext>
          </a:extLst>
        </xdr:cNvPr>
        <xdr:cNvSpPr txBox="1"/>
      </xdr:nvSpPr>
      <xdr:spPr>
        <a:xfrm>
          <a:off x="3794760" y="107007660"/>
          <a:ext cx="4135748"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桁）が一致かつ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レセプト電算処理コードが</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始まり</a:t>
          </a:r>
          <a:r>
            <a:rPr kumimoji="1" lang="en-US" altLang="ja-JP" sz="1200" b="1">
              <a:solidFill>
                <a:srgbClr val="FF0000"/>
              </a:solidFill>
              <a:latin typeface="メイリオ" panose="020B0604030504040204" pitchFamily="50" charset="-128"/>
              <a:ea typeface="メイリオ" panose="020B0604030504040204" pitchFamily="50" charset="-128"/>
            </a:rPr>
            <a:t>(9</a:t>
          </a:r>
          <a:r>
            <a:rPr kumimoji="1" lang="ja-JP" altLang="en-US" sz="1200" b="1">
              <a:solidFill>
                <a:srgbClr val="FF0000"/>
              </a:solidFill>
              <a:latin typeface="メイリオ" panose="020B0604030504040204" pitchFamily="50" charset="-128"/>
              <a:ea typeface="メイリオ" panose="020B0604030504040204" pitchFamily="50" charset="-128"/>
            </a:rPr>
            <a:t>桁</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か</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始まり</a:t>
          </a:r>
          <a:r>
            <a:rPr kumimoji="1" lang="en-US" altLang="ja-JP" sz="1200" b="1">
              <a:solidFill>
                <a:srgbClr val="FF0000"/>
              </a:solidFill>
              <a:latin typeface="メイリオ" panose="020B0604030504040204" pitchFamily="50" charset="-128"/>
              <a:ea typeface="メイリオ" panose="020B0604030504040204" pitchFamily="50" charset="-128"/>
            </a:rPr>
            <a:t>(9</a:t>
          </a:r>
          <a:r>
            <a:rPr kumimoji="1" lang="ja-JP" altLang="en-US" sz="1200" b="1">
              <a:solidFill>
                <a:srgbClr val="FF0000"/>
              </a:solidFill>
              <a:latin typeface="メイリオ" panose="020B0604030504040204" pitchFamily="50" charset="-128"/>
              <a:ea typeface="メイリオ" panose="020B0604030504040204" pitchFamily="50" charset="-128"/>
            </a:rPr>
            <a:t>桁</a:t>
          </a:r>
          <a:r>
            <a:rPr kumimoji="1" lang="en-US" altLang="ja-JP" sz="1200" b="1">
              <a:solidFill>
                <a:srgbClr val="FF0000"/>
              </a:solidFill>
              <a:latin typeface="メイリオ" panose="020B0604030504040204" pitchFamily="50" charset="-128"/>
              <a:ea typeface="メイリオ" panose="020B0604030504040204" pitchFamily="50" charset="-128"/>
            </a:rPr>
            <a:t>)</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456</xdr:row>
      <xdr:rowOff>0</xdr:rowOff>
    </xdr:from>
    <xdr:ext cx="1183273" cy="392415"/>
    <xdr:sp macro="" textlink="">
      <xdr:nvSpPr>
        <xdr:cNvPr id="141" name="テキスト ボックス 140">
          <a:extLst>
            <a:ext uri="{FF2B5EF4-FFF2-40B4-BE49-F238E27FC236}">
              <a16:creationId xmlns:a16="http://schemas.microsoft.com/office/drawing/2014/main" id="{00000000-0008-0000-0500-00004E000000}"/>
            </a:ext>
          </a:extLst>
        </xdr:cNvPr>
        <xdr:cNvSpPr txBox="1"/>
      </xdr:nvSpPr>
      <xdr:spPr>
        <a:xfrm>
          <a:off x="8206740" y="107716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14</xdr:col>
      <xdr:colOff>0</xdr:colOff>
      <xdr:row>462</xdr:row>
      <xdr:rowOff>0</xdr:rowOff>
    </xdr:from>
    <xdr:ext cx="4736168" cy="392415"/>
    <xdr:sp macro="" textlink="">
      <xdr:nvSpPr>
        <xdr:cNvPr id="142" name="テキスト ボックス 141">
          <a:extLst>
            <a:ext uri="{FF2B5EF4-FFF2-40B4-BE49-F238E27FC236}">
              <a16:creationId xmlns:a16="http://schemas.microsoft.com/office/drawing/2014/main" id="{00000000-0008-0000-0500-00004F000000}"/>
            </a:ext>
          </a:extLst>
        </xdr:cNvPr>
        <xdr:cNvSpPr txBox="1"/>
      </xdr:nvSpPr>
      <xdr:spPr>
        <a:xfrm>
          <a:off x="9121140" y="109133640"/>
          <a:ext cx="47361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桁）が施設データ利用可能期間内）</a:t>
          </a:r>
        </a:p>
      </xdr:txBody>
    </xdr:sp>
    <xdr:clientData/>
  </xdr:oneCellAnchor>
  <xdr:oneCellAnchor>
    <xdr:from>
      <xdr:col>13</xdr:col>
      <xdr:colOff>0</xdr:colOff>
      <xdr:row>468</xdr:row>
      <xdr:rowOff>0</xdr:rowOff>
    </xdr:from>
    <xdr:ext cx="4428392" cy="392415"/>
    <xdr:sp macro="" textlink="">
      <xdr:nvSpPr>
        <xdr:cNvPr id="143" name="テキスト ボックス 142">
          <a:extLst>
            <a:ext uri="{FF2B5EF4-FFF2-40B4-BE49-F238E27FC236}">
              <a16:creationId xmlns:a16="http://schemas.microsoft.com/office/drawing/2014/main" id="{00000000-0008-0000-0500-00004F000000}"/>
            </a:ext>
          </a:extLst>
        </xdr:cNvPr>
        <xdr:cNvSpPr txBox="1"/>
      </xdr:nvSpPr>
      <xdr:spPr>
        <a:xfrm>
          <a:off x="8206740" y="110550960"/>
          <a:ext cx="442839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桁）が施設データ利用可能期間内）</a:t>
          </a:r>
        </a:p>
      </xdr:txBody>
    </xdr:sp>
    <xdr:clientData/>
  </xdr:oneCellAnchor>
  <xdr:oneCellAnchor>
    <xdr:from>
      <xdr:col>15</xdr:col>
      <xdr:colOff>205740</xdr:colOff>
      <xdr:row>451</xdr:row>
      <xdr:rowOff>0</xdr:rowOff>
    </xdr:from>
    <xdr:ext cx="1307859" cy="392415"/>
    <xdr:sp macro="" textlink="">
      <xdr:nvSpPr>
        <xdr:cNvPr id="144" name="テキスト ボックス 143">
          <a:extLst>
            <a:ext uri="{FF2B5EF4-FFF2-40B4-BE49-F238E27FC236}">
              <a16:creationId xmlns:a16="http://schemas.microsoft.com/office/drawing/2014/main" id="{00000000-0008-0000-0500-000051000000}"/>
            </a:ext>
          </a:extLst>
        </xdr:cNvPr>
        <xdr:cNvSpPr txBox="1"/>
      </xdr:nvSpPr>
      <xdr:spPr>
        <a:xfrm>
          <a:off x="10241280" y="10653522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0</xdr:colOff>
      <xdr:row>12</xdr:row>
      <xdr:rowOff>0</xdr:rowOff>
    </xdr:from>
    <xdr:ext cx="1183273" cy="392415"/>
    <xdr:sp macro="" textlink="">
      <xdr:nvSpPr>
        <xdr:cNvPr id="105" name="テキスト ボックス 104">
          <a:extLst>
            <a:ext uri="{FF2B5EF4-FFF2-40B4-BE49-F238E27FC236}">
              <a16:creationId xmlns:a16="http://schemas.microsoft.com/office/drawing/2014/main" id="{00000000-0008-0000-0500-000015000000}"/>
            </a:ext>
          </a:extLst>
        </xdr:cNvPr>
        <xdr:cNvSpPr txBox="1"/>
      </xdr:nvSpPr>
      <xdr:spPr>
        <a:xfrm>
          <a:off x="3794760" y="28346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4</xdr:col>
      <xdr:colOff>883920</xdr:colOff>
      <xdr:row>8</xdr:row>
      <xdr:rowOff>144780</xdr:rowOff>
    </xdr:from>
    <xdr:ext cx="1700017" cy="392415"/>
    <xdr:sp macro="" textlink="">
      <xdr:nvSpPr>
        <xdr:cNvPr id="106" name="テキスト ボックス 105">
          <a:extLst>
            <a:ext uri="{FF2B5EF4-FFF2-40B4-BE49-F238E27FC236}">
              <a16:creationId xmlns:a16="http://schemas.microsoft.com/office/drawing/2014/main" id="{00000000-0008-0000-0500-000016000000}"/>
            </a:ext>
          </a:extLst>
        </xdr:cNvPr>
        <xdr:cNvSpPr txBox="1"/>
      </xdr:nvSpPr>
      <xdr:spPr>
        <a:xfrm>
          <a:off x="3512820" y="2034540"/>
          <a:ext cx="17000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主傷病フラグが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8</xdr:col>
      <xdr:colOff>381000</xdr:colOff>
      <xdr:row>8</xdr:row>
      <xdr:rowOff>152400</xdr:rowOff>
    </xdr:from>
    <xdr:ext cx="1307859" cy="392415"/>
    <xdr:sp macro="" textlink="">
      <xdr:nvSpPr>
        <xdr:cNvPr id="107" name="テキスト ボックス 106">
          <a:extLst>
            <a:ext uri="{FF2B5EF4-FFF2-40B4-BE49-F238E27FC236}">
              <a16:creationId xmlns:a16="http://schemas.microsoft.com/office/drawing/2014/main" id="{00000000-0008-0000-0500-000016000000}"/>
            </a:ext>
          </a:extLst>
        </xdr:cNvPr>
        <xdr:cNvSpPr txBox="1"/>
      </xdr:nvSpPr>
      <xdr:spPr>
        <a:xfrm>
          <a:off x="5341620" y="204216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83273" cy="392415"/>
    <xdr:sp macro="" textlink="">
      <xdr:nvSpPr>
        <xdr:cNvPr id="109" name="テキスト ボックス 108">
          <a:extLst>
            <a:ext uri="{FF2B5EF4-FFF2-40B4-BE49-F238E27FC236}">
              <a16:creationId xmlns:a16="http://schemas.microsoft.com/office/drawing/2014/main" id="{00000000-0008-0000-0500-000015000000}"/>
            </a:ext>
          </a:extLst>
        </xdr:cNvPr>
        <xdr:cNvSpPr txBox="1"/>
      </xdr:nvSpPr>
      <xdr:spPr>
        <a:xfrm>
          <a:off x="7040880" y="21259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14</xdr:col>
      <xdr:colOff>0</xdr:colOff>
      <xdr:row>15</xdr:row>
      <xdr:rowOff>0</xdr:rowOff>
    </xdr:from>
    <xdr:ext cx="1183273" cy="392415"/>
    <xdr:sp macro="" textlink="">
      <xdr:nvSpPr>
        <xdr:cNvPr id="110" name="テキスト ボックス 109">
          <a:extLst>
            <a:ext uri="{FF2B5EF4-FFF2-40B4-BE49-F238E27FC236}">
              <a16:creationId xmlns:a16="http://schemas.microsoft.com/office/drawing/2014/main" id="{00000000-0008-0000-0500-000015000000}"/>
            </a:ext>
          </a:extLst>
        </xdr:cNvPr>
        <xdr:cNvSpPr txBox="1"/>
      </xdr:nvSpPr>
      <xdr:spPr>
        <a:xfrm>
          <a:off x="9121140" y="35433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22</xdr:row>
      <xdr:rowOff>144780</xdr:rowOff>
    </xdr:from>
    <xdr:ext cx="1818768" cy="392415"/>
    <xdr:sp macro="" textlink="">
      <xdr:nvSpPr>
        <xdr:cNvPr id="111" name="テキスト ボックス 110">
          <a:extLst>
            <a:ext uri="{FF2B5EF4-FFF2-40B4-BE49-F238E27FC236}">
              <a16:creationId xmlns:a16="http://schemas.microsoft.com/office/drawing/2014/main" id="{00000000-0008-0000-0500-000016000000}"/>
            </a:ext>
          </a:extLst>
        </xdr:cNvPr>
        <xdr:cNvSpPr txBox="1"/>
      </xdr:nvSpPr>
      <xdr:spPr>
        <a:xfrm>
          <a:off x="4046220" y="5341620"/>
          <a:ext cx="18187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主傷病フラグが</a:t>
          </a:r>
          <a:r>
            <a:rPr kumimoji="1" lang="en-US" altLang="ja-JP" sz="1200" b="1">
              <a:solidFill>
                <a:srgbClr val="FF0000"/>
              </a:solidFill>
              <a:latin typeface="メイリオ" panose="020B0604030504040204" pitchFamily="50" charset="-128"/>
              <a:ea typeface="メイリオ" panose="020B0604030504040204" pitchFamily="50" charset="-128"/>
            </a:rPr>
            <a:t>FALSE </a:t>
          </a:r>
        </a:p>
      </xdr:txBody>
    </xdr:sp>
    <xdr:clientData/>
  </xdr:oneCellAnchor>
  <xdr:oneCellAnchor>
    <xdr:from>
      <xdr:col>10</xdr:col>
      <xdr:colOff>236220</xdr:colOff>
      <xdr:row>24</xdr:row>
      <xdr:rowOff>121920</xdr:rowOff>
    </xdr:from>
    <xdr:ext cx="3109890" cy="392415"/>
    <xdr:sp macro="" textlink="">
      <xdr:nvSpPr>
        <xdr:cNvPr id="113" name="テキスト ボックス 112">
          <a:extLst>
            <a:ext uri="{FF2B5EF4-FFF2-40B4-BE49-F238E27FC236}">
              <a16:creationId xmlns:a16="http://schemas.microsoft.com/office/drawing/2014/main" id="{00000000-0008-0000-0500-000016000000}"/>
            </a:ext>
          </a:extLst>
        </xdr:cNvPr>
        <xdr:cNvSpPr txBox="1"/>
      </xdr:nvSpPr>
      <xdr:spPr>
        <a:xfrm>
          <a:off x="7025640" y="5791200"/>
          <a:ext cx="310989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主傷病開始日の</a:t>
          </a:r>
          <a:r>
            <a:rPr kumimoji="1" lang="en-US" altLang="ja-JP" sz="1200" b="1">
              <a:solidFill>
                <a:srgbClr val="FF0000"/>
              </a:solidFill>
              <a:latin typeface="メイリオ" panose="020B0604030504040204" pitchFamily="50" charset="-128"/>
              <a:ea typeface="メイリオ" panose="020B0604030504040204" pitchFamily="50" charset="-128"/>
            </a:rPr>
            <a:t>1</a:t>
          </a:r>
          <a:r>
            <a:rPr kumimoji="1" lang="ja-JP" altLang="en-US" sz="1200" b="1">
              <a:solidFill>
                <a:srgbClr val="FF0000"/>
              </a:solidFill>
              <a:latin typeface="メイリオ" panose="020B0604030504040204" pitchFamily="50" charset="-128"/>
              <a:ea typeface="メイリオ" panose="020B0604030504040204" pitchFamily="50" charset="-128"/>
            </a:rPr>
            <a:t>年前から観察期間終了日 </a:t>
          </a:r>
        </a:p>
      </xdr:txBody>
    </xdr:sp>
    <xdr:clientData/>
  </xdr:oneCellAnchor>
  <xdr:oneCellAnchor>
    <xdr:from>
      <xdr:col>7</xdr:col>
      <xdr:colOff>0</xdr:colOff>
      <xdr:row>34</xdr:row>
      <xdr:rowOff>144780</xdr:rowOff>
    </xdr:from>
    <xdr:ext cx="2185214" cy="392415"/>
    <xdr:sp macro="" textlink="">
      <xdr:nvSpPr>
        <xdr:cNvPr id="119" name="テキスト ボックス 118">
          <a:extLst>
            <a:ext uri="{FF2B5EF4-FFF2-40B4-BE49-F238E27FC236}">
              <a16:creationId xmlns:a16="http://schemas.microsoft.com/office/drawing/2014/main" id="{00000000-0008-0000-0500-000016000000}"/>
            </a:ext>
          </a:extLst>
        </xdr:cNvPr>
        <xdr:cNvSpPr txBox="1"/>
      </xdr:nvSpPr>
      <xdr:spPr>
        <a:xfrm>
          <a:off x="4046220" y="534162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退院年月日が空のものを除く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22860</xdr:colOff>
      <xdr:row>39</xdr:row>
      <xdr:rowOff>45720</xdr:rowOff>
    </xdr:from>
    <xdr:ext cx="3262432" cy="392415"/>
    <xdr:sp macro="" textlink="">
      <xdr:nvSpPr>
        <xdr:cNvPr id="120" name="テキスト ボックス 119">
          <a:extLst>
            <a:ext uri="{FF2B5EF4-FFF2-40B4-BE49-F238E27FC236}">
              <a16:creationId xmlns:a16="http://schemas.microsoft.com/office/drawing/2014/main" id="{00000000-0008-0000-0500-000016000000}"/>
            </a:ext>
          </a:extLst>
        </xdr:cNvPr>
        <xdr:cNvSpPr txBox="1"/>
      </xdr:nvSpPr>
      <xdr:spPr>
        <a:xfrm>
          <a:off x="8229600" y="6423660"/>
          <a:ext cx="326243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来院年月日が観察開始日から観察終了日の間</a:t>
          </a:r>
        </a:p>
      </xdr:txBody>
    </xdr:sp>
    <xdr:clientData/>
  </xdr:oneCellAnchor>
  <xdr:oneCellAnchor>
    <xdr:from>
      <xdr:col>11</xdr:col>
      <xdr:colOff>0</xdr:colOff>
      <xdr:row>38</xdr:row>
      <xdr:rowOff>0</xdr:rowOff>
    </xdr:from>
    <xdr:ext cx="1106521" cy="392415"/>
    <xdr:sp macro="" textlink="">
      <xdr:nvSpPr>
        <xdr:cNvPr id="121" name="テキスト ボックス 120">
          <a:extLst>
            <a:ext uri="{FF2B5EF4-FFF2-40B4-BE49-F238E27FC236}">
              <a16:creationId xmlns:a16="http://schemas.microsoft.com/office/drawing/2014/main" id="{00000000-0008-0000-0500-000015000000}"/>
            </a:ext>
          </a:extLst>
        </xdr:cNvPr>
        <xdr:cNvSpPr txBox="1"/>
      </xdr:nvSpPr>
      <xdr:spPr>
        <a:xfrm>
          <a:off x="7040880" y="614172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p>
      </xdr:txBody>
    </xdr:sp>
    <xdr:clientData/>
  </xdr:oneCellAnchor>
  <xdr:oneCellAnchor>
    <xdr:from>
      <xdr:col>13</xdr:col>
      <xdr:colOff>0</xdr:colOff>
      <xdr:row>41</xdr:row>
      <xdr:rowOff>0</xdr:rowOff>
    </xdr:from>
    <xdr:ext cx="784830" cy="392415"/>
    <xdr:sp macro="" textlink="">
      <xdr:nvSpPr>
        <xdr:cNvPr id="122" name="テキスト ボックス 121">
          <a:extLst>
            <a:ext uri="{FF2B5EF4-FFF2-40B4-BE49-F238E27FC236}">
              <a16:creationId xmlns:a16="http://schemas.microsoft.com/office/drawing/2014/main" id="{00000000-0008-0000-0500-000015000000}"/>
            </a:ext>
          </a:extLst>
        </xdr:cNvPr>
        <xdr:cNvSpPr txBox="1"/>
      </xdr:nvSpPr>
      <xdr:spPr>
        <a:xfrm>
          <a:off x="8206740" y="6850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26</xdr:row>
      <xdr:rowOff>0</xdr:rowOff>
    </xdr:from>
    <xdr:ext cx="784830" cy="392415"/>
    <xdr:sp macro="" textlink="">
      <xdr:nvSpPr>
        <xdr:cNvPr id="123" name="テキスト ボックス 122">
          <a:extLst>
            <a:ext uri="{FF2B5EF4-FFF2-40B4-BE49-F238E27FC236}">
              <a16:creationId xmlns:a16="http://schemas.microsoft.com/office/drawing/2014/main" id="{00000000-0008-0000-0500-000015000000}"/>
            </a:ext>
          </a:extLst>
        </xdr:cNvPr>
        <xdr:cNvSpPr txBox="1"/>
      </xdr:nvSpPr>
      <xdr:spPr>
        <a:xfrm>
          <a:off x="7040880" y="6141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13</xdr:col>
      <xdr:colOff>38100</xdr:colOff>
      <xdr:row>22</xdr:row>
      <xdr:rowOff>129540</xdr:rowOff>
    </xdr:from>
    <xdr:ext cx="2231188" cy="392415"/>
    <xdr:sp macro="" textlink="">
      <xdr:nvSpPr>
        <xdr:cNvPr id="124" name="テキスト ボックス 123">
          <a:extLst>
            <a:ext uri="{FF2B5EF4-FFF2-40B4-BE49-F238E27FC236}">
              <a16:creationId xmlns:a16="http://schemas.microsoft.com/office/drawing/2014/main" id="{00000000-0008-0000-0500-000016000000}"/>
            </a:ext>
          </a:extLst>
        </xdr:cNvPr>
        <xdr:cNvSpPr txBox="1"/>
      </xdr:nvSpPr>
      <xdr:spPr>
        <a:xfrm>
          <a:off x="8244840" y="5326380"/>
          <a:ext cx="22311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、疾患表示名で集約</a:t>
          </a:r>
        </a:p>
      </xdr:txBody>
    </xdr:sp>
    <xdr:clientData/>
  </xdr:oneCellAnchor>
  <xdr:oneCellAnchor>
    <xdr:from>
      <xdr:col>11</xdr:col>
      <xdr:colOff>7620</xdr:colOff>
      <xdr:row>54</xdr:row>
      <xdr:rowOff>83820</xdr:rowOff>
    </xdr:from>
    <xdr:ext cx="3262432" cy="392415"/>
    <xdr:sp macro="" textlink="">
      <xdr:nvSpPr>
        <xdr:cNvPr id="126" name="テキスト ボックス 125">
          <a:extLst>
            <a:ext uri="{FF2B5EF4-FFF2-40B4-BE49-F238E27FC236}">
              <a16:creationId xmlns:a16="http://schemas.microsoft.com/office/drawing/2014/main" id="{00000000-0008-0000-0500-000016000000}"/>
            </a:ext>
          </a:extLst>
        </xdr:cNvPr>
        <xdr:cNvSpPr txBox="1"/>
      </xdr:nvSpPr>
      <xdr:spPr>
        <a:xfrm>
          <a:off x="7048500" y="12839700"/>
          <a:ext cx="326243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実施年月日が観察開始日から観察終了日の間</a:t>
          </a:r>
        </a:p>
      </xdr:txBody>
    </xdr:sp>
    <xdr:clientData/>
  </xdr:oneCellAnchor>
  <xdr:oneCellAnchor>
    <xdr:from>
      <xdr:col>6</xdr:col>
      <xdr:colOff>0</xdr:colOff>
      <xdr:row>53</xdr:row>
      <xdr:rowOff>0</xdr:rowOff>
    </xdr:from>
    <xdr:ext cx="1183273" cy="392415"/>
    <xdr:sp macro="" textlink="">
      <xdr:nvSpPr>
        <xdr:cNvPr id="129" name="テキスト ボックス 128">
          <a:extLst>
            <a:ext uri="{FF2B5EF4-FFF2-40B4-BE49-F238E27FC236}">
              <a16:creationId xmlns:a16="http://schemas.microsoft.com/office/drawing/2014/main" id="{00000000-0008-0000-0500-000015000000}"/>
            </a:ext>
          </a:extLst>
        </xdr:cNvPr>
        <xdr:cNvSpPr txBox="1"/>
      </xdr:nvSpPr>
      <xdr:spPr>
        <a:xfrm>
          <a:off x="3794760" y="125196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56</xdr:row>
      <xdr:rowOff>0</xdr:rowOff>
    </xdr:from>
    <xdr:ext cx="784830" cy="392415"/>
    <xdr:sp macro="" textlink="">
      <xdr:nvSpPr>
        <xdr:cNvPr id="130" name="テキスト ボックス 129">
          <a:extLst>
            <a:ext uri="{FF2B5EF4-FFF2-40B4-BE49-F238E27FC236}">
              <a16:creationId xmlns:a16="http://schemas.microsoft.com/office/drawing/2014/main" id="{00000000-0008-0000-0500-000015000000}"/>
            </a:ext>
          </a:extLst>
        </xdr:cNvPr>
        <xdr:cNvSpPr txBox="1"/>
      </xdr:nvSpPr>
      <xdr:spPr>
        <a:xfrm>
          <a:off x="7040880" y="13228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49</xdr:row>
      <xdr:rowOff>129540</xdr:rowOff>
    </xdr:from>
    <xdr:ext cx="3308406" cy="392415"/>
    <xdr:sp macro="" textlink="">
      <xdr:nvSpPr>
        <xdr:cNvPr id="131" name="テキスト ボックス 130">
          <a:extLst>
            <a:ext uri="{FF2B5EF4-FFF2-40B4-BE49-F238E27FC236}">
              <a16:creationId xmlns:a16="http://schemas.microsoft.com/office/drawing/2014/main" id="{00000000-0008-0000-0500-000016000000}"/>
            </a:ext>
          </a:extLst>
        </xdr:cNvPr>
        <xdr:cNvSpPr txBox="1"/>
      </xdr:nvSpPr>
      <xdr:spPr>
        <a:xfrm>
          <a:off x="7040880" y="11704320"/>
          <a:ext cx="33084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、医薬品一般名、実施年月日で集約</a:t>
          </a:r>
        </a:p>
      </xdr:txBody>
    </xdr:sp>
    <xdr:clientData/>
  </xdr:oneCellAnchor>
  <xdr:oneCellAnchor>
    <xdr:from>
      <xdr:col>12</xdr:col>
      <xdr:colOff>868680</xdr:colOff>
      <xdr:row>69</xdr:row>
      <xdr:rowOff>213360</xdr:rowOff>
    </xdr:from>
    <xdr:ext cx="3108543" cy="392415"/>
    <xdr:sp macro="" textlink="">
      <xdr:nvSpPr>
        <xdr:cNvPr id="19" name="テキスト ボックス 18">
          <a:extLst>
            <a:ext uri="{FF2B5EF4-FFF2-40B4-BE49-F238E27FC236}">
              <a16:creationId xmlns:a16="http://schemas.microsoft.com/office/drawing/2014/main" id="{00000000-0008-0000-0500-000016000000}"/>
            </a:ext>
          </a:extLst>
        </xdr:cNvPr>
        <xdr:cNvSpPr txBox="1"/>
      </xdr:nvSpPr>
      <xdr:spPr>
        <a:xfrm>
          <a:off x="8161020" y="16512540"/>
          <a:ext cx="310854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採取日時が観察開始日から観察終了日の間</a:t>
          </a:r>
        </a:p>
      </xdr:txBody>
    </xdr:sp>
    <xdr:clientData/>
  </xdr:oneCellAnchor>
  <xdr:oneCellAnchor>
    <xdr:from>
      <xdr:col>6</xdr:col>
      <xdr:colOff>0</xdr:colOff>
      <xdr:row>68</xdr:row>
      <xdr:rowOff>0</xdr:rowOff>
    </xdr:from>
    <xdr:ext cx="1183273" cy="392415"/>
    <xdr:sp macro="" textlink="">
      <xdr:nvSpPr>
        <xdr:cNvPr id="20" name="テキスト ボックス 19">
          <a:extLst>
            <a:ext uri="{FF2B5EF4-FFF2-40B4-BE49-F238E27FC236}">
              <a16:creationId xmlns:a16="http://schemas.microsoft.com/office/drawing/2014/main" id="{00000000-0008-0000-0500-000015000000}"/>
            </a:ext>
          </a:extLst>
        </xdr:cNvPr>
        <xdr:cNvSpPr txBox="1"/>
      </xdr:nvSpPr>
      <xdr:spPr>
        <a:xfrm>
          <a:off x="3794760" y="125196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30480</xdr:colOff>
      <xdr:row>64</xdr:row>
      <xdr:rowOff>144780</xdr:rowOff>
    </xdr:from>
    <xdr:ext cx="2031325" cy="392415"/>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3573780" y="1526286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数値結果が空のものを除く</a:t>
          </a:r>
        </a:p>
      </xdr:txBody>
    </xdr:sp>
    <xdr:clientData/>
  </xdr:oneCellAnchor>
  <xdr:oneCellAnchor>
    <xdr:from>
      <xdr:col>13</xdr:col>
      <xdr:colOff>0</xdr:colOff>
      <xdr:row>74</xdr:row>
      <xdr:rowOff>0</xdr:rowOff>
    </xdr:from>
    <xdr:ext cx="784830" cy="392415"/>
    <xdr:sp macro="" textlink="">
      <xdr:nvSpPr>
        <xdr:cNvPr id="24" name="テキスト ボックス 23">
          <a:extLst>
            <a:ext uri="{FF2B5EF4-FFF2-40B4-BE49-F238E27FC236}">
              <a16:creationId xmlns:a16="http://schemas.microsoft.com/office/drawing/2014/main" id="{00000000-0008-0000-0500-000015000000}"/>
            </a:ext>
          </a:extLst>
        </xdr:cNvPr>
        <xdr:cNvSpPr txBox="1"/>
      </xdr:nvSpPr>
      <xdr:spPr>
        <a:xfrm>
          <a:off x="8206740" y="17480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72</xdr:row>
      <xdr:rowOff>0</xdr:rowOff>
    </xdr:from>
    <xdr:ext cx="1183273" cy="392415"/>
    <xdr:sp macro="" textlink="">
      <xdr:nvSpPr>
        <xdr:cNvPr id="25" name="テキスト ボックス 24">
          <a:extLst>
            <a:ext uri="{FF2B5EF4-FFF2-40B4-BE49-F238E27FC236}">
              <a16:creationId xmlns:a16="http://schemas.microsoft.com/office/drawing/2014/main" id="{00000000-0008-0000-0500-000015000000}"/>
            </a:ext>
          </a:extLst>
        </xdr:cNvPr>
        <xdr:cNvSpPr txBox="1"/>
      </xdr:nvSpPr>
      <xdr:spPr>
        <a:xfrm>
          <a:off x="7040880" y="170078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38100</xdr:colOff>
      <xdr:row>64</xdr:row>
      <xdr:rowOff>121920</xdr:rowOff>
    </xdr:from>
    <xdr:ext cx="1212127" cy="392415"/>
    <xdr:sp macro="" textlink="">
      <xdr:nvSpPr>
        <xdr:cNvPr id="26" name="テキスト ボックス 25">
          <a:extLst>
            <a:ext uri="{FF2B5EF4-FFF2-40B4-BE49-F238E27FC236}">
              <a16:creationId xmlns:a16="http://schemas.microsoft.com/office/drawing/2014/main" id="{00000000-0008-0000-0500-000016000000}"/>
            </a:ext>
          </a:extLst>
        </xdr:cNvPr>
        <xdr:cNvSpPr txBox="1"/>
      </xdr:nvSpPr>
      <xdr:spPr>
        <a:xfrm>
          <a:off x="8244840" y="15240000"/>
          <a:ext cx="121212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検査値が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以外</a:t>
          </a:r>
        </a:p>
      </xdr:txBody>
    </xdr:sp>
    <xdr:clientData/>
  </xdr:oneCellAnchor>
  <xdr:oneCellAnchor>
    <xdr:from>
      <xdr:col>12</xdr:col>
      <xdr:colOff>868680</xdr:colOff>
      <xdr:row>87</xdr:row>
      <xdr:rowOff>213360</xdr:rowOff>
    </xdr:from>
    <xdr:ext cx="3108543" cy="392415"/>
    <xdr:sp macro="" textlink="">
      <xdr:nvSpPr>
        <xdr:cNvPr id="27" name="テキスト ボックス 26">
          <a:extLst>
            <a:ext uri="{FF2B5EF4-FFF2-40B4-BE49-F238E27FC236}">
              <a16:creationId xmlns:a16="http://schemas.microsoft.com/office/drawing/2014/main" id="{00000000-0008-0000-0500-000016000000}"/>
            </a:ext>
          </a:extLst>
        </xdr:cNvPr>
        <xdr:cNvSpPr txBox="1"/>
      </xdr:nvSpPr>
      <xdr:spPr>
        <a:xfrm>
          <a:off x="8161020" y="16512540"/>
          <a:ext cx="310854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採取日時が観察開始日から観察終了日の間</a:t>
          </a:r>
        </a:p>
      </xdr:txBody>
    </xdr:sp>
    <xdr:clientData/>
  </xdr:oneCellAnchor>
  <xdr:oneCellAnchor>
    <xdr:from>
      <xdr:col>6</xdr:col>
      <xdr:colOff>0</xdr:colOff>
      <xdr:row>86</xdr:row>
      <xdr:rowOff>0</xdr:rowOff>
    </xdr:from>
    <xdr:ext cx="1183273" cy="392415"/>
    <xdr:sp macro="" textlink="">
      <xdr:nvSpPr>
        <xdr:cNvPr id="28" name="テキスト ボックス 27">
          <a:extLst>
            <a:ext uri="{FF2B5EF4-FFF2-40B4-BE49-F238E27FC236}">
              <a16:creationId xmlns:a16="http://schemas.microsoft.com/office/drawing/2014/main" id="{00000000-0008-0000-0500-000015000000}"/>
            </a:ext>
          </a:extLst>
        </xdr:cNvPr>
        <xdr:cNvSpPr txBox="1"/>
      </xdr:nvSpPr>
      <xdr:spPr>
        <a:xfrm>
          <a:off x="3794760" y="16062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30480</xdr:colOff>
      <xdr:row>82</xdr:row>
      <xdr:rowOff>144780</xdr:rowOff>
    </xdr:from>
    <xdr:ext cx="2031325" cy="392415"/>
    <xdr:sp macro="" textlink="">
      <xdr:nvSpPr>
        <xdr:cNvPr id="29" name="テキスト ボックス 28">
          <a:extLst>
            <a:ext uri="{FF2B5EF4-FFF2-40B4-BE49-F238E27FC236}">
              <a16:creationId xmlns:a16="http://schemas.microsoft.com/office/drawing/2014/main" id="{00000000-0008-0000-0500-000016000000}"/>
            </a:ext>
          </a:extLst>
        </xdr:cNvPr>
        <xdr:cNvSpPr txBox="1"/>
      </xdr:nvSpPr>
      <xdr:spPr>
        <a:xfrm>
          <a:off x="3573780" y="1526286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数値結果が空のものを除く</a:t>
          </a:r>
        </a:p>
      </xdr:txBody>
    </xdr:sp>
    <xdr:clientData/>
  </xdr:oneCellAnchor>
  <xdr:oneCellAnchor>
    <xdr:from>
      <xdr:col>13</xdr:col>
      <xdr:colOff>0</xdr:colOff>
      <xdr:row>92</xdr:row>
      <xdr:rowOff>0</xdr:rowOff>
    </xdr:from>
    <xdr:ext cx="784830" cy="392415"/>
    <xdr:sp macro="" textlink="">
      <xdr:nvSpPr>
        <xdr:cNvPr id="30" name="テキスト ボックス 29">
          <a:extLst>
            <a:ext uri="{FF2B5EF4-FFF2-40B4-BE49-F238E27FC236}">
              <a16:creationId xmlns:a16="http://schemas.microsoft.com/office/drawing/2014/main" id="{00000000-0008-0000-0500-000015000000}"/>
            </a:ext>
          </a:extLst>
        </xdr:cNvPr>
        <xdr:cNvSpPr txBox="1"/>
      </xdr:nvSpPr>
      <xdr:spPr>
        <a:xfrm>
          <a:off x="8206740" y="17480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90</xdr:row>
      <xdr:rowOff>0</xdr:rowOff>
    </xdr:from>
    <xdr:ext cx="1183273" cy="392415"/>
    <xdr:sp macro="" textlink="">
      <xdr:nvSpPr>
        <xdr:cNvPr id="31" name="テキスト ボックス 30">
          <a:extLst>
            <a:ext uri="{FF2B5EF4-FFF2-40B4-BE49-F238E27FC236}">
              <a16:creationId xmlns:a16="http://schemas.microsoft.com/office/drawing/2014/main" id="{00000000-0008-0000-0500-000015000000}"/>
            </a:ext>
          </a:extLst>
        </xdr:cNvPr>
        <xdr:cNvSpPr txBox="1"/>
      </xdr:nvSpPr>
      <xdr:spPr>
        <a:xfrm>
          <a:off x="7040880" y="170078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38100</xdr:colOff>
      <xdr:row>82</xdr:row>
      <xdr:rowOff>121920</xdr:rowOff>
    </xdr:from>
    <xdr:ext cx="1212127" cy="392415"/>
    <xdr:sp macro="" textlink="">
      <xdr:nvSpPr>
        <xdr:cNvPr id="32" name="テキスト ボックス 31">
          <a:extLst>
            <a:ext uri="{FF2B5EF4-FFF2-40B4-BE49-F238E27FC236}">
              <a16:creationId xmlns:a16="http://schemas.microsoft.com/office/drawing/2014/main" id="{00000000-0008-0000-0500-000016000000}"/>
            </a:ext>
          </a:extLst>
        </xdr:cNvPr>
        <xdr:cNvSpPr txBox="1"/>
      </xdr:nvSpPr>
      <xdr:spPr>
        <a:xfrm>
          <a:off x="8244840" y="15240000"/>
          <a:ext cx="121212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検査値が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以外</a:t>
          </a:r>
        </a:p>
      </xdr:txBody>
    </xdr:sp>
    <xdr:clientData/>
  </xdr:oneCellAnchor>
  <xdr:oneCellAnchor>
    <xdr:from>
      <xdr:col>11</xdr:col>
      <xdr:colOff>7620</xdr:colOff>
      <xdr:row>105</xdr:row>
      <xdr:rowOff>83820</xdr:rowOff>
    </xdr:from>
    <xdr:ext cx="3262432" cy="392415"/>
    <xdr:sp macro="" textlink="">
      <xdr:nvSpPr>
        <xdr:cNvPr id="33" name="テキスト ボックス 32">
          <a:extLst>
            <a:ext uri="{FF2B5EF4-FFF2-40B4-BE49-F238E27FC236}">
              <a16:creationId xmlns:a16="http://schemas.microsoft.com/office/drawing/2014/main" id="{00000000-0008-0000-0500-000016000000}"/>
            </a:ext>
          </a:extLst>
        </xdr:cNvPr>
        <xdr:cNvSpPr txBox="1"/>
      </xdr:nvSpPr>
      <xdr:spPr>
        <a:xfrm>
          <a:off x="7048500" y="12839700"/>
          <a:ext cx="326243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実施年月日が観察開始日から観察終了日の間</a:t>
          </a:r>
        </a:p>
      </xdr:txBody>
    </xdr:sp>
    <xdr:clientData/>
  </xdr:oneCellAnchor>
  <xdr:oneCellAnchor>
    <xdr:from>
      <xdr:col>6</xdr:col>
      <xdr:colOff>0</xdr:colOff>
      <xdr:row>104</xdr:row>
      <xdr:rowOff>0</xdr:rowOff>
    </xdr:from>
    <xdr:ext cx="1183273" cy="392415"/>
    <xdr:sp macro="" textlink="">
      <xdr:nvSpPr>
        <xdr:cNvPr id="34" name="テキスト ボックス 33">
          <a:extLst>
            <a:ext uri="{FF2B5EF4-FFF2-40B4-BE49-F238E27FC236}">
              <a16:creationId xmlns:a16="http://schemas.microsoft.com/office/drawing/2014/main" id="{00000000-0008-0000-0500-000015000000}"/>
            </a:ext>
          </a:extLst>
        </xdr:cNvPr>
        <xdr:cNvSpPr txBox="1"/>
      </xdr:nvSpPr>
      <xdr:spPr>
        <a:xfrm>
          <a:off x="3794760" y="125196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107</xdr:row>
      <xdr:rowOff>0</xdr:rowOff>
    </xdr:from>
    <xdr:ext cx="784830" cy="392415"/>
    <xdr:sp macro="" textlink="">
      <xdr:nvSpPr>
        <xdr:cNvPr id="35" name="テキスト ボックス 34">
          <a:extLst>
            <a:ext uri="{FF2B5EF4-FFF2-40B4-BE49-F238E27FC236}">
              <a16:creationId xmlns:a16="http://schemas.microsoft.com/office/drawing/2014/main" id="{00000000-0008-0000-0500-000015000000}"/>
            </a:ext>
          </a:extLst>
        </xdr:cNvPr>
        <xdr:cNvSpPr txBox="1"/>
      </xdr:nvSpPr>
      <xdr:spPr>
        <a:xfrm>
          <a:off x="7040880" y="13228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7</xdr:col>
      <xdr:colOff>0</xdr:colOff>
      <xdr:row>117</xdr:row>
      <xdr:rowOff>0</xdr:rowOff>
    </xdr:from>
    <xdr:ext cx="6032421" cy="692497"/>
    <xdr:sp macro="" textlink="">
      <xdr:nvSpPr>
        <xdr:cNvPr id="40" name="テキスト ボックス 39">
          <a:extLst>
            <a:ext uri="{FF2B5EF4-FFF2-40B4-BE49-F238E27FC236}">
              <a16:creationId xmlns:a16="http://schemas.microsoft.com/office/drawing/2014/main" id="{00000000-0008-0000-0500-000016000000}"/>
            </a:ext>
          </a:extLst>
        </xdr:cNvPr>
        <xdr:cNvSpPr txBox="1"/>
      </xdr:nvSpPr>
      <xdr:spPr>
        <a:xfrm>
          <a:off x="4046220" y="27637740"/>
          <a:ext cx="603242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・同一患者内で他の入院情報の入院期間内となっているレコードが存在した場合除外</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・入院期間中に外来が存在した場合は除外</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14</xdr:row>
      <xdr:rowOff>137160</xdr:rowOff>
    </xdr:from>
    <xdr:ext cx="1569660" cy="392415"/>
    <xdr:sp macro="" textlink="">
      <xdr:nvSpPr>
        <xdr:cNvPr id="3" name="テキスト ボックス 2">
          <a:extLst>
            <a:ext uri="{FF2B5EF4-FFF2-40B4-BE49-F238E27FC236}">
              <a16:creationId xmlns:a16="http://schemas.microsoft.com/office/drawing/2014/main" id="{00000000-0008-0000-0500-000016000000}"/>
            </a:ext>
          </a:extLst>
        </xdr:cNvPr>
        <xdr:cNvSpPr txBox="1"/>
      </xdr:nvSpPr>
      <xdr:spPr>
        <a:xfrm>
          <a:off x="3794760" y="344424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医薬品一般名で集約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213360</xdr:colOff>
      <xdr:row>23</xdr:row>
      <xdr:rowOff>152400</xdr:rowOff>
    </xdr:from>
    <xdr:ext cx="2385077" cy="392415"/>
    <xdr:sp macro="" textlink="">
      <xdr:nvSpPr>
        <xdr:cNvPr id="6" name="テキスト ボックス 5">
          <a:extLst>
            <a:ext uri="{FF2B5EF4-FFF2-40B4-BE49-F238E27FC236}">
              <a16:creationId xmlns:a16="http://schemas.microsoft.com/office/drawing/2014/main" id="{00000000-0008-0000-0500-000016000000}"/>
            </a:ext>
          </a:extLst>
        </xdr:cNvPr>
        <xdr:cNvSpPr txBox="1"/>
      </xdr:nvSpPr>
      <xdr:spPr>
        <a:xfrm>
          <a:off x="3756660" y="3459480"/>
          <a:ext cx="23850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、医薬品一般名で集約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23</xdr:row>
      <xdr:rowOff>167640</xdr:rowOff>
    </xdr:from>
    <xdr:ext cx="2031325" cy="392415"/>
    <xdr:sp macro="" textlink="">
      <xdr:nvSpPr>
        <xdr:cNvPr id="7" name="テキスト ボックス 6">
          <a:extLst>
            <a:ext uri="{FF2B5EF4-FFF2-40B4-BE49-F238E27FC236}">
              <a16:creationId xmlns:a16="http://schemas.microsoft.com/office/drawing/2014/main" id="{00000000-0008-0000-0500-000016000000}"/>
            </a:ext>
          </a:extLst>
        </xdr:cNvPr>
        <xdr:cNvSpPr txBox="1"/>
      </xdr:nvSpPr>
      <xdr:spPr>
        <a:xfrm>
          <a:off x="7292340" y="347472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医薬品一般名、期間で集約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213360</xdr:colOff>
      <xdr:row>32</xdr:row>
      <xdr:rowOff>152400</xdr:rowOff>
    </xdr:from>
    <xdr:ext cx="1415772" cy="392415"/>
    <xdr:sp macro="" textlink="">
      <xdr:nvSpPr>
        <xdr:cNvPr id="8" name="テキスト ボックス 7">
          <a:extLst>
            <a:ext uri="{FF2B5EF4-FFF2-40B4-BE49-F238E27FC236}">
              <a16:creationId xmlns:a16="http://schemas.microsoft.com/office/drawing/2014/main" id="{00000000-0008-0000-0500-000016000000}"/>
            </a:ext>
          </a:extLst>
        </xdr:cNvPr>
        <xdr:cNvSpPr txBox="1"/>
      </xdr:nvSpPr>
      <xdr:spPr>
        <a:xfrm>
          <a:off x="3756660" y="558546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診療行為名で集約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213360</xdr:colOff>
      <xdr:row>41</xdr:row>
      <xdr:rowOff>152400</xdr:rowOff>
    </xdr:from>
    <xdr:ext cx="1107996" cy="392415"/>
    <xdr:sp macro="" textlink="">
      <xdr:nvSpPr>
        <xdr:cNvPr id="10" name="テキスト ボックス 9">
          <a:extLst>
            <a:ext uri="{FF2B5EF4-FFF2-40B4-BE49-F238E27FC236}">
              <a16:creationId xmlns:a16="http://schemas.microsoft.com/office/drawing/2014/main" id="{00000000-0008-0000-0500-000016000000}"/>
            </a:ext>
          </a:extLst>
        </xdr:cNvPr>
        <xdr:cNvSpPr txBox="1"/>
      </xdr:nvSpPr>
      <xdr:spPr>
        <a:xfrm>
          <a:off x="3756660" y="771144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213360</xdr:colOff>
      <xdr:row>50</xdr:row>
      <xdr:rowOff>152400</xdr:rowOff>
    </xdr:from>
    <xdr:ext cx="954107" cy="392415"/>
    <xdr:sp macro="" textlink="">
      <xdr:nvSpPr>
        <xdr:cNvPr id="11" name="テキスト ボックス 10">
          <a:extLst>
            <a:ext uri="{FF2B5EF4-FFF2-40B4-BE49-F238E27FC236}">
              <a16:creationId xmlns:a16="http://schemas.microsoft.com/office/drawing/2014/main" id="{00000000-0008-0000-0500-000016000000}"/>
            </a:ext>
          </a:extLst>
        </xdr:cNvPr>
        <xdr:cNvSpPr txBox="1"/>
      </xdr:nvSpPr>
      <xdr:spPr>
        <a:xfrm>
          <a:off x="3756660" y="983742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213360</xdr:colOff>
      <xdr:row>59</xdr:row>
      <xdr:rowOff>152400</xdr:rowOff>
    </xdr:from>
    <xdr:ext cx="954107" cy="392415"/>
    <xdr:sp macro="" textlink="">
      <xdr:nvSpPr>
        <xdr:cNvPr id="12" name="テキスト ボックス 11">
          <a:extLst>
            <a:ext uri="{FF2B5EF4-FFF2-40B4-BE49-F238E27FC236}">
              <a16:creationId xmlns:a16="http://schemas.microsoft.com/office/drawing/2014/main" id="{00000000-0008-0000-0500-000016000000}"/>
            </a:ext>
          </a:extLst>
        </xdr:cNvPr>
        <xdr:cNvSpPr txBox="1"/>
      </xdr:nvSpPr>
      <xdr:spPr>
        <a:xfrm>
          <a:off x="3756660" y="1196340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213360</xdr:colOff>
      <xdr:row>68</xdr:row>
      <xdr:rowOff>152400</xdr:rowOff>
    </xdr:from>
    <xdr:ext cx="1261884" cy="392415"/>
    <xdr:sp macro="" textlink="">
      <xdr:nvSpPr>
        <xdr:cNvPr id="13" name="テキスト ボックス 12">
          <a:extLst>
            <a:ext uri="{FF2B5EF4-FFF2-40B4-BE49-F238E27FC236}">
              <a16:creationId xmlns:a16="http://schemas.microsoft.com/office/drawing/2014/main" id="{00000000-0008-0000-0500-000016000000}"/>
            </a:ext>
          </a:extLst>
        </xdr:cNvPr>
        <xdr:cNvSpPr txBox="1"/>
      </xdr:nvSpPr>
      <xdr:spPr>
        <a:xfrm>
          <a:off x="3756660" y="14089380"/>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男女区分で集約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838200</xdr:colOff>
      <xdr:row>77</xdr:row>
      <xdr:rowOff>121920</xdr:rowOff>
    </xdr:from>
    <xdr:ext cx="954107" cy="392415"/>
    <xdr:sp macro="" textlink="">
      <xdr:nvSpPr>
        <xdr:cNvPr id="14" name="テキスト ボックス 13">
          <a:extLst>
            <a:ext uri="{FF2B5EF4-FFF2-40B4-BE49-F238E27FC236}">
              <a16:creationId xmlns:a16="http://schemas.microsoft.com/office/drawing/2014/main" id="{00000000-0008-0000-0500-000016000000}"/>
            </a:ext>
          </a:extLst>
        </xdr:cNvPr>
        <xdr:cNvSpPr txBox="1"/>
      </xdr:nvSpPr>
      <xdr:spPr>
        <a:xfrm>
          <a:off x="4884420" y="1831086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15240</xdr:colOff>
      <xdr:row>101</xdr:row>
      <xdr:rowOff>106680</xdr:rowOff>
    </xdr:from>
    <xdr:ext cx="1569660" cy="392415"/>
    <xdr:sp macro="" textlink="">
      <xdr:nvSpPr>
        <xdr:cNvPr id="15" name="テキスト ボックス 14">
          <a:extLst>
            <a:ext uri="{FF2B5EF4-FFF2-40B4-BE49-F238E27FC236}">
              <a16:creationId xmlns:a16="http://schemas.microsoft.com/office/drawing/2014/main" id="{00000000-0008-0000-0500-000016000000}"/>
            </a:ext>
          </a:extLst>
        </xdr:cNvPr>
        <xdr:cNvSpPr txBox="1"/>
      </xdr:nvSpPr>
      <xdr:spPr>
        <a:xfrm>
          <a:off x="4975860" y="1829562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医薬品一般名で集約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104</xdr:row>
      <xdr:rowOff>144780</xdr:rowOff>
    </xdr:from>
    <xdr:ext cx="1548181" cy="392415"/>
    <xdr:sp macro="" textlink="">
      <xdr:nvSpPr>
        <xdr:cNvPr id="16" name="テキスト ボックス 15">
          <a:extLst>
            <a:ext uri="{FF2B5EF4-FFF2-40B4-BE49-F238E27FC236}">
              <a16:creationId xmlns:a16="http://schemas.microsoft.com/office/drawing/2014/main" id="{00000000-0008-0000-0500-000016000000}"/>
            </a:ext>
          </a:extLst>
        </xdr:cNvPr>
        <xdr:cNvSpPr txBox="1"/>
      </xdr:nvSpPr>
      <xdr:spPr>
        <a:xfrm>
          <a:off x="3543300" y="1904238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838200</xdr:colOff>
      <xdr:row>113</xdr:row>
      <xdr:rowOff>137160</xdr:rowOff>
    </xdr:from>
    <xdr:ext cx="2385077" cy="392415"/>
    <xdr:sp macro="" textlink="">
      <xdr:nvSpPr>
        <xdr:cNvPr id="18" name="テキスト ボックス 17">
          <a:extLst>
            <a:ext uri="{FF2B5EF4-FFF2-40B4-BE49-F238E27FC236}">
              <a16:creationId xmlns:a16="http://schemas.microsoft.com/office/drawing/2014/main" id="{00000000-0008-0000-0500-000016000000}"/>
            </a:ext>
          </a:extLst>
        </xdr:cNvPr>
        <xdr:cNvSpPr txBox="1"/>
      </xdr:nvSpPr>
      <xdr:spPr>
        <a:xfrm>
          <a:off x="4884420" y="21160740"/>
          <a:ext cx="23850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、医薬品一般名で集約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116</xdr:row>
      <xdr:rowOff>144780</xdr:rowOff>
    </xdr:from>
    <xdr:ext cx="1548181" cy="392415"/>
    <xdr:sp macro="" textlink="">
      <xdr:nvSpPr>
        <xdr:cNvPr id="19" name="テキスト ボックス 18">
          <a:extLst>
            <a:ext uri="{FF2B5EF4-FFF2-40B4-BE49-F238E27FC236}">
              <a16:creationId xmlns:a16="http://schemas.microsoft.com/office/drawing/2014/main" id="{00000000-0008-0000-0500-000016000000}"/>
            </a:ext>
          </a:extLst>
        </xdr:cNvPr>
        <xdr:cNvSpPr txBox="1"/>
      </xdr:nvSpPr>
      <xdr:spPr>
        <a:xfrm>
          <a:off x="3543300" y="2187702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8</xdr:col>
      <xdr:colOff>0</xdr:colOff>
      <xdr:row>105</xdr:row>
      <xdr:rowOff>0</xdr:rowOff>
    </xdr:from>
    <xdr:ext cx="1183273" cy="392415"/>
    <xdr:sp macro="" textlink="">
      <xdr:nvSpPr>
        <xdr:cNvPr id="23" name="テキスト ボックス 22">
          <a:extLst>
            <a:ext uri="{FF2B5EF4-FFF2-40B4-BE49-F238E27FC236}">
              <a16:creationId xmlns:a16="http://schemas.microsoft.com/office/drawing/2014/main" id="{00000000-0008-0000-0500-000015000000}"/>
            </a:ext>
          </a:extLst>
        </xdr:cNvPr>
        <xdr:cNvSpPr txBox="1"/>
      </xdr:nvSpPr>
      <xdr:spPr>
        <a:xfrm>
          <a:off x="4960620" y="24803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792480</xdr:colOff>
      <xdr:row>113</xdr:row>
      <xdr:rowOff>137160</xdr:rowOff>
    </xdr:from>
    <xdr:ext cx="2031325" cy="392415"/>
    <xdr:sp macro="" textlink="">
      <xdr:nvSpPr>
        <xdr:cNvPr id="24" name="テキスト ボックス 23">
          <a:extLst>
            <a:ext uri="{FF2B5EF4-FFF2-40B4-BE49-F238E27FC236}">
              <a16:creationId xmlns:a16="http://schemas.microsoft.com/office/drawing/2014/main" id="{00000000-0008-0000-0500-000016000000}"/>
            </a:ext>
          </a:extLst>
        </xdr:cNvPr>
        <xdr:cNvSpPr txBox="1"/>
      </xdr:nvSpPr>
      <xdr:spPr>
        <a:xfrm>
          <a:off x="8084820" y="2116074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医薬品一般名、期間で集約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838200</xdr:colOff>
      <xdr:row>125</xdr:row>
      <xdr:rowOff>137160</xdr:rowOff>
    </xdr:from>
    <xdr:ext cx="1415772" cy="392415"/>
    <xdr:sp macro="" textlink="">
      <xdr:nvSpPr>
        <xdr:cNvPr id="25" name="テキスト ボックス 24">
          <a:extLst>
            <a:ext uri="{FF2B5EF4-FFF2-40B4-BE49-F238E27FC236}">
              <a16:creationId xmlns:a16="http://schemas.microsoft.com/office/drawing/2014/main" id="{00000000-0008-0000-0500-000016000000}"/>
            </a:ext>
          </a:extLst>
        </xdr:cNvPr>
        <xdr:cNvSpPr txBox="1"/>
      </xdr:nvSpPr>
      <xdr:spPr>
        <a:xfrm>
          <a:off x="4884420" y="2399538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診療行為名で集約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128</xdr:row>
      <xdr:rowOff>144780</xdr:rowOff>
    </xdr:from>
    <xdr:ext cx="1548181" cy="392415"/>
    <xdr:sp macro="" textlink="">
      <xdr:nvSpPr>
        <xdr:cNvPr id="26" name="テキスト ボックス 25">
          <a:extLst>
            <a:ext uri="{FF2B5EF4-FFF2-40B4-BE49-F238E27FC236}">
              <a16:creationId xmlns:a16="http://schemas.microsoft.com/office/drawing/2014/main" id="{00000000-0008-0000-0500-000016000000}"/>
            </a:ext>
          </a:extLst>
        </xdr:cNvPr>
        <xdr:cNvSpPr txBox="1"/>
      </xdr:nvSpPr>
      <xdr:spPr>
        <a:xfrm>
          <a:off x="3543300" y="2187702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5</xdr:col>
      <xdr:colOff>0</xdr:colOff>
      <xdr:row>140</xdr:row>
      <xdr:rowOff>144780</xdr:rowOff>
    </xdr:from>
    <xdr:ext cx="1548181" cy="392415"/>
    <xdr:sp macro="" textlink="">
      <xdr:nvSpPr>
        <xdr:cNvPr id="30" name="テキスト ボックス 29">
          <a:extLst>
            <a:ext uri="{FF2B5EF4-FFF2-40B4-BE49-F238E27FC236}">
              <a16:creationId xmlns:a16="http://schemas.microsoft.com/office/drawing/2014/main" id="{00000000-0008-0000-0500-000016000000}"/>
            </a:ext>
          </a:extLst>
        </xdr:cNvPr>
        <xdr:cNvSpPr txBox="1"/>
      </xdr:nvSpPr>
      <xdr:spPr>
        <a:xfrm>
          <a:off x="3543300" y="2471166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899160</xdr:colOff>
      <xdr:row>137</xdr:row>
      <xdr:rowOff>167640</xdr:rowOff>
    </xdr:from>
    <xdr:ext cx="1107996" cy="392415"/>
    <xdr:sp macro="" textlink="">
      <xdr:nvSpPr>
        <xdr:cNvPr id="32" name="テキスト ボックス 31">
          <a:extLst>
            <a:ext uri="{FF2B5EF4-FFF2-40B4-BE49-F238E27FC236}">
              <a16:creationId xmlns:a16="http://schemas.microsoft.com/office/drawing/2014/main" id="{00000000-0008-0000-0500-000016000000}"/>
            </a:ext>
          </a:extLst>
        </xdr:cNvPr>
        <xdr:cNvSpPr txBox="1"/>
      </xdr:nvSpPr>
      <xdr:spPr>
        <a:xfrm>
          <a:off x="4945380" y="2686050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152</xdr:row>
      <xdr:rowOff>144780</xdr:rowOff>
    </xdr:from>
    <xdr:ext cx="1548181" cy="392415"/>
    <xdr:sp macro="" textlink="">
      <xdr:nvSpPr>
        <xdr:cNvPr id="33" name="テキスト ボックス 32">
          <a:extLst>
            <a:ext uri="{FF2B5EF4-FFF2-40B4-BE49-F238E27FC236}">
              <a16:creationId xmlns:a16="http://schemas.microsoft.com/office/drawing/2014/main" id="{00000000-0008-0000-0500-000016000000}"/>
            </a:ext>
          </a:extLst>
        </xdr:cNvPr>
        <xdr:cNvSpPr txBox="1"/>
      </xdr:nvSpPr>
      <xdr:spPr>
        <a:xfrm>
          <a:off x="3543300" y="2754630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891540</xdr:colOff>
      <xdr:row>149</xdr:row>
      <xdr:rowOff>91440</xdr:rowOff>
    </xdr:from>
    <xdr:ext cx="954107" cy="392415"/>
    <xdr:sp macro="" textlink="">
      <xdr:nvSpPr>
        <xdr:cNvPr id="36" name="テキスト ボックス 35">
          <a:extLst>
            <a:ext uri="{FF2B5EF4-FFF2-40B4-BE49-F238E27FC236}">
              <a16:creationId xmlns:a16="http://schemas.microsoft.com/office/drawing/2014/main" id="{00000000-0008-0000-0500-000016000000}"/>
            </a:ext>
          </a:extLst>
        </xdr:cNvPr>
        <xdr:cNvSpPr txBox="1"/>
      </xdr:nvSpPr>
      <xdr:spPr>
        <a:xfrm>
          <a:off x="4937760" y="2961894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164</xdr:row>
      <xdr:rowOff>144780</xdr:rowOff>
    </xdr:from>
    <xdr:ext cx="1548181" cy="392415"/>
    <xdr:sp macro="" textlink="">
      <xdr:nvSpPr>
        <xdr:cNvPr id="37" name="テキスト ボックス 36">
          <a:extLst>
            <a:ext uri="{FF2B5EF4-FFF2-40B4-BE49-F238E27FC236}">
              <a16:creationId xmlns:a16="http://schemas.microsoft.com/office/drawing/2014/main" id="{00000000-0008-0000-0500-000016000000}"/>
            </a:ext>
          </a:extLst>
        </xdr:cNvPr>
        <xdr:cNvSpPr txBox="1"/>
      </xdr:nvSpPr>
      <xdr:spPr>
        <a:xfrm>
          <a:off x="3543300" y="3038094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891540</xdr:colOff>
      <xdr:row>161</xdr:row>
      <xdr:rowOff>91440</xdr:rowOff>
    </xdr:from>
    <xdr:ext cx="954107" cy="392415"/>
    <xdr:sp macro="" textlink="">
      <xdr:nvSpPr>
        <xdr:cNvPr id="39" name="テキスト ボックス 38">
          <a:extLst>
            <a:ext uri="{FF2B5EF4-FFF2-40B4-BE49-F238E27FC236}">
              <a16:creationId xmlns:a16="http://schemas.microsoft.com/office/drawing/2014/main" id="{00000000-0008-0000-0500-000016000000}"/>
            </a:ext>
          </a:extLst>
        </xdr:cNvPr>
        <xdr:cNvSpPr txBox="1"/>
      </xdr:nvSpPr>
      <xdr:spPr>
        <a:xfrm>
          <a:off x="4937760" y="3245358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176</xdr:row>
      <xdr:rowOff>144780</xdr:rowOff>
    </xdr:from>
    <xdr:ext cx="1548181" cy="392415"/>
    <xdr:sp macro="" textlink="">
      <xdr:nvSpPr>
        <xdr:cNvPr id="40" name="テキスト ボックス 39">
          <a:extLst>
            <a:ext uri="{FF2B5EF4-FFF2-40B4-BE49-F238E27FC236}">
              <a16:creationId xmlns:a16="http://schemas.microsoft.com/office/drawing/2014/main" id="{00000000-0008-0000-0500-000016000000}"/>
            </a:ext>
          </a:extLst>
        </xdr:cNvPr>
        <xdr:cNvSpPr txBox="1"/>
      </xdr:nvSpPr>
      <xdr:spPr>
        <a:xfrm>
          <a:off x="3543300" y="3321558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891540</xdr:colOff>
      <xdr:row>173</xdr:row>
      <xdr:rowOff>91440</xdr:rowOff>
    </xdr:from>
    <xdr:ext cx="1261884" cy="392415"/>
    <xdr:sp macro="" textlink="">
      <xdr:nvSpPr>
        <xdr:cNvPr id="42" name="テキスト ボックス 41">
          <a:extLst>
            <a:ext uri="{FF2B5EF4-FFF2-40B4-BE49-F238E27FC236}">
              <a16:creationId xmlns:a16="http://schemas.microsoft.com/office/drawing/2014/main" id="{00000000-0008-0000-0500-000016000000}"/>
            </a:ext>
          </a:extLst>
        </xdr:cNvPr>
        <xdr:cNvSpPr txBox="1"/>
      </xdr:nvSpPr>
      <xdr:spPr>
        <a:xfrm>
          <a:off x="4937760" y="35288220"/>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男女区分で集約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191</xdr:row>
      <xdr:rowOff>144780</xdr:rowOff>
    </xdr:from>
    <xdr:ext cx="1548181" cy="392415"/>
    <xdr:sp macro="" textlink="">
      <xdr:nvSpPr>
        <xdr:cNvPr id="43" name="テキスト ボックス 42">
          <a:extLst>
            <a:ext uri="{FF2B5EF4-FFF2-40B4-BE49-F238E27FC236}">
              <a16:creationId xmlns:a16="http://schemas.microsoft.com/office/drawing/2014/main" id="{00000000-0008-0000-0500-000016000000}"/>
            </a:ext>
          </a:extLst>
        </xdr:cNvPr>
        <xdr:cNvSpPr txBox="1"/>
      </xdr:nvSpPr>
      <xdr:spPr>
        <a:xfrm>
          <a:off x="3543300" y="3605022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10</xdr:col>
      <xdr:colOff>220980</xdr:colOff>
      <xdr:row>185</xdr:row>
      <xdr:rowOff>106680</xdr:rowOff>
    </xdr:from>
    <xdr:ext cx="954107" cy="392415"/>
    <xdr:sp macro="" textlink="">
      <xdr:nvSpPr>
        <xdr:cNvPr id="45" name="テキスト ボックス 44">
          <a:extLst>
            <a:ext uri="{FF2B5EF4-FFF2-40B4-BE49-F238E27FC236}">
              <a16:creationId xmlns:a16="http://schemas.microsoft.com/office/drawing/2014/main" id="{00000000-0008-0000-0500-000016000000}"/>
            </a:ext>
          </a:extLst>
        </xdr:cNvPr>
        <xdr:cNvSpPr txBox="1"/>
      </xdr:nvSpPr>
      <xdr:spPr>
        <a:xfrm>
          <a:off x="7010400" y="4380738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22860</xdr:colOff>
      <xdr:row>215</xdr:row>
      <xdr:rowOff>91440</xdr:rowOff>
    </xdr:from>
    <xdr:ext cx="1569660" cy="392415"/>
    <xdr:sp macro="" textlink="">
      <xdr:nvSpPr>
        <xdr:cNvPr id="46" name="テキスト ボックス 45">
          <a:extLst>
            <a:ext uri="{FF2B5EF4-FFF2-40B4-BE49-F238E27FC236}">
              <a16:creationId xmlns:a16="http://schemas.microsoft.com/office/drawing/2014/main" id="{00000000-0008-0000-0500-000016000000}"/>
            </a:ext>
          </a:extLst>
        </xdr:cNvPr>
        <xdr:cNvSpPr txBox="1"/>
      </xdr:nvSpPr>
      <xdr:spPr>
        <a:xfrm>
          <a:off x="4983480" y="4095750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医薬品一般名で集約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218</xdr:row>
      <xdr:rowOff>144780</xdr:rowOff>
    </xdr:from>
    <xdr:ext cx="2032672" cy="392415"/>
    <xdr:sp macro="" textlink="">
      <xdr:nvSpPr>
        <xdr:cNvPr id="47" name="テキスト ボックス 46">
          <a:extLst>
            <a:ext uri="{FF2B5EF4-FFF2-40B4-BE49-F238E27FC236}">
              <a16:creationId xmlns:a16="http://schemas.microsoft.com/office/drawing/2014/main" id="{00000000-0008-0000-0500-000016000000}"/>
            </a:ext>
          </a:extLst>
        </xdr:cNvPr>
        <xdr:cNvSpPr txBox="1"/>
      </xdr:nvSpPr>
      <xdr:spPr>
        <a:xfrm>
          <a:off x="3543300" y="4171950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5</xdr:col>
      <xdr:colOff>0</xdr:colOff>
      <xdr:row>230</xdr:row>
      <xdr:rowOff>144780</xdr:rowOff>
    </xdr:from>
    <xdr:ext cx="2032672" cy="392415"/>
    <xdr:sp macro="" textlink="">
      <xdr:nvSpPr>
        <xdr:cNvPr id="50" name="テキスト ボックス 49">
          <a:extLst>
            <a:ext uri="{FF2B5EF4-FFF2-40B4-BE49-F238E27FC236}">
              <a16:creationId xmlns:a16="http://schemas.microsoft.com/office/drawing/2014/main" id="{00000000-0008-0000-0500-000016000000}"/>
            </a:ext>
          </a:extLst>
        </xdr:cNvPr>
        <xdr:cNvSpPr txBox="1"/>
      </xdr:nvSpPr>
      <xdr:spPr>
        <a:xfrm>
          <a:off x="3543300" y="4171950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7</xdr:col>
      <xdr:colOff>876300</xdr:colOff>
      <xdr:row>227</xdr:row>
      <xdr:rowOff>137160</xdr:rowOff>
    </xdr:from>
    <xdr:ext cx="2385077" cy="392415"/>
    <xdr:sp macro="" textlink="">
      <xdr:nvSpPr>
        <xdr:cNvPr id="52" name="テキスト ボックス 51">
          <a:extLst>
            <a:ext uri="{FF2B5EF4-FFF2-40B4-BE49-F238E27FC236}">
              <a16:creationId xmlns:a16="http://schemas.microsoft.com/office/drawing/2014/main" id="{00000000-0008-0000-0500-000016000000}"/>
            </a:ext>
          </a:extLst>
        </xdr:cNvPr>
        <xdr:cNvSpPr txBox="1"/>
      </xdr:nvSpPr>
      <xdr:spPr>
        <a:xfrm>
          <a:off x="4922520" y="43837860"/>
          <a:ext cx="23850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、医薬品一般名で集約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830580</xdr:colOff>
      <xdr:row>227</xdr:row>
      <xdr:rowOff>137160</xdr:rowOff>
    </xdr:from>
    <xdr:ext cx="2031325" cy="392415"/>
    <xdr:sp macro="" textlink="">
      <xdr:nvSpPr>
        <xdr:cNvPr id="53" name="テキスト ボックス 52">
          <a:extLst>
            <a:ext uri="{FF2B5EF4-FFF2-40B4-BE49-F238E27FC236}">
              <a16:creationId xmlns:a16="http://schemas.microsoft.com/office/drawing/2014/main" id="{00000000-0008-0000-0500-000016000000}"/>
            </a:ext>
          </a:extLst>
        </xdr:cNvPr>
        <xdr:cNvSpPr txBox="1"/>
      </xdr:nvSpPr>
      <xdr:spPr>
        <a:xfrm>
          <a:off x="8122920" y="43837860"/>
          <a:ext cx="20313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医薬品一般名、期間で集約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242</xdr:row>
      <xdr:rowOff>144780</xdr:rowOff>
    </xdr:from>
    <xdr:ext cx="2032672" cy="392415"/>
    <xdr:sp macro="" textlink="">
      <xdr:nvSpPr>
        <xdr:cNvPr id="55" name="テキスト ボックス 54">
          <a:extLst>
            <a:ext uri="{FF2B5EF4-FFF2-40B4-BE49-F238E27FC236}">
              <a16:creationId xmlns:a16="http://schemas.microsoft.com/office/drawing/2014/main" id="{00000000-0008-0000-0500-000016000000}"/>
            </a:ext>
          </a:extLst>
        </xdr:cNvPr>
        <xdr:cNvSpPr txBox="1"/>
      </xdr:nvSpPr>
      <xdr:spPr>
        <a:xfrm>
          <a:off x="3543300" y="4171950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7</xdr:col>
      <xdr:colOff>876300</xdr:colOff>
      <xdr:row>239</xdr:row>
      <xdr:rowOff>144780</xdr:rowOff>
    </xdr:from>
    <xdr:ext cx="1415772" cy="392415"/>
    <xdr:sp macro="" textlink="">
      <xdr:nvSpPr>
        <xdr:cNvPr id="57" name="テキスト ボックス 56">
          <a:extLst>
            <a:ext uri="{FF2B5EF4-FFF2-40B4-BE49-F238E27FC236}">
              <a16:creationId xmlns:a16="http://schemas.microsoft.com/office/drawing/2014/main" id="{00000000-0008-0000-0500-000016000000}"/>
            </a:ext>
          </a:extLst>
        </xdr:cNvPr>
        <xdr:cNvSpPr txBox="1"/>
      </xdr:nvSpPr>
      <xdr:spPr>
        <a:xfrm>
          <a:off x="4922520" y="4668012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診療行為名で集約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254</xdr:row>
      <xdr:rowOff>144780</xdr:rowOff>
    </xdr:from>
    <xdr:ext cx="2032672" cy="392415"/>
    <xdr:sp macro="" textlink="">
      <xdr:nvSpPr>
        <xdr:cNvPr id="58" name="テキスト ボックス 57">
          <a:extLst>
            <a:ext uri="{FF2B5EF4-FFF2-40B4-BE49-F238E27FC236}">
              <a16:creationId xmlns:a16="http://schemas.microsoft.com/office/drawing/2014/main" id="{00000000-0008-0000-0500-000016000000}"/>
            </a:ext>
          </a:extLst>
        </xdr:cNvPr>
        <xdr:cNvSpPr txBox="1"/>
      </xdr:nvSpPr>
      <xdr:spPr>
        <a:xfrm>
          <a:off x="3543300" y="4738878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7</xdr:col>
      <xdr:colOff>876300</xdr:colOff>
      <xdr:row>251</xdr:row>
      <xdr:rowOff>144780</xdr:rowOff>
    </xdr:from>
    <xdr:ext cx="1107996" cy="392415"/>
    <xdr:sp macro="" textlink="">
      <xdr:nvSpPr>
        <xdr:cNvPr id="60" name="テキスト ボックス 59">
          <a:extLst>
            <a:ext uri="{FF2B5EF4-FFF2-40B4-BE49-F238E27FC236}">
              <a16:creationId xmlns:a16="http://schemas.microsoft.com/office/drawing/2014/main" id="{00000000-0008-0000-0500-000016000000}"/>
            </a:ext>
          </a:extLst>
        </xdr:cNvPr>
        <xdr:cNvSpPr txBox="1"/>
      </xdr:nvSpPr>
      <xdr:spPr>
        <a:xfrm>
          <a:off x="4922520" y="4951476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266</xdr:row>
      <xdr:rowOff>144780</xdr:rowOff>
    </xdr:from>
    <xdr:ext cx="2032672" cy="392415"/>
    <xdr:sp macro="" textlink="">
      <xdr:nvSpPr>
        <xdr:cNvPr id="61" name="テキスト ボックス 60">
          <a:extLst>
            <a:ext uri="{FF2B5EF4-FFF2-40B4-BE49-F238E27FC236}">
              <a16:creationId xmlns:a16="http://schemas.microsoft.com/office/drawing/2014/main" id="{00000000-0008-0000-0500-000016000000}"/>
            </a:ext>
          </a:extLst>
        </xdr:cNvPr>
        <xdr:cNvSpPr txBox="1"/>
      </xdr:nvSpPr>
      <xdr:spPr>
        <a:xfrm>
          <a:off x="3543300" y="5022342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7</xdr:col>
      <xdr:colOff>876300</xdr:colOff>
      <xdr:row>263</xdr:row>
      <xdr:rowOff>144780</xdr:rowOff>
    </xdr:from>
    <xdr:ext cx="954107" cy="392415"/>
    <xdr:sp macro="" textlink="">
      <xdr:nvSpPr>
        <xdr:cNvPr id="63" name="テキスト ボックス 62">
          <a:extLst>
            <a:ext uri="{FF2B5EF4-FFF2-40B4-BE49-F238E27FC236}">
              <a16:creationId xmlns:a16="http://schemas.microsoft.com/office/drawing/2014/main" id="{00000000-0008-0000-0500-000016000000}"/>
            </a:ext>
          </a:extLst>
        </xdr:cNvPr>
        <xdr:cNvSpPr txBox="1"/>
      </xdr:nvSpPr>
      <xdr:spPr>
        <a:xfrm>
          <a:off x="4922520" y="5234940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278</xdr:row>
      <xdr:rowOff>144780</xdr:rowOff>
    </xdr:from>
    <xdr:ext cx="2032672" cy="392415"/>
    <xdr:sp macro="" textlink="">
      <xdr:nvSpPr>
        <xdr:cNvPr id="64" name="テキスト ボックス 63">
          <a:extLst>
            <a:ext uri="{FF2B5EF4-FFF2-40B4-BE49-F238E27FC236}">
              <a16:creationId xmlns:a16="http://schemas.microsoft.com/office/drawing/2014/main" id="{00000000-0008-0000-0500-000016000000}"/>
            </a:ext>
          </a:extLst>
        </xdr:cNvPr>
        <xdr:cNvSpPr txBox="1"/>
      </xdr:nvSpPr>
      <xdr:spPr>
        <a:xfrm>
          <a:off x="3543300" y="5305806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7</xdr:col>
      <xdr:colOff>876300</xdr:colOff>
      <xdr:row>275</xdr:row>
      <xdr:rowOff>144780</xdr:rowOff>
    </xdr:from>
    <xdr:ext cx="954107" cy="392415"/>
    <xdr:sp macro="" textlink="">
      <xdr:nvSpPr>
        <xdr:cNvPr id="66" name="テキスト ボックス 65">
          <a:extLst>
            <a:ext uri="{FF2B5EF4-FFF2-40B4-BE49-F238E27FC236}">
              <a16:creationId xmlns:a16="http://schemas.microsoft.com/office/drawing/2014/main" id="{00000000-0008-0000-0500-000016000000}"/>
            </a:ext>
          </a:extLst>
        </xdr:cNvPr>
        <xdr:cNvSpPr txBox="1"/>
      </xdr:nvSpPr>
      <xdr:spPr>
        <a:xfrm>
          <a:off x="4922520" y="5518404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年齢で集約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290</xdr:row>
      <xdr:rowOff>144780</xdr:rowOff>
    </xdr:from>
    <xdr:ext cx="2032672" cy="392415"/>
    <xdr:sp macro="" textlink="">
      <xdr:nvSpPr>
        <xdr:cNvPr id="67" name="テキスト ボックス 66">
          <a:extLst>
            <a:ext uri="{FF2B5EF4-FFF2-40B4-BE49-F238E27FC236}">
              <a16:creationId xmlns:a16="http://schemas.microsoft.com/office/drawing/2014/main" id="{00000000-0008-0000-0500-000016000000}"/>
            </a:ext>
          </a:extLst>
        </xdr:cNvPr>
        <xdr:cNvSpPr txBox="1"/>
      </xdr:nvSpPr>
      <xdr:spPr>
        <a:xfrm>
          <a:off x="3543300" y="5589270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7</xdr:col>
      <xdr:colOff>876300</xdr:colOff>
      <xdr:row>287</xdr:row>
      <xdr:rowOff>144780</xdr:rowOff>
    </xdr:from>
    <xdr:ext cx="1261884" cy="392415"/>
    <xdr:sp macro="" textlink="">
      <xdr:nvSpPr>
        <xdr:cNvPr id="69" name="テキスト ボックス 68">
          <a:extLst>
            <a:ext uri="{FF2B5EF4-FFF2-40B4-BE49-F238E27FC236}">
              <a16:creationId xmlns:a16="http://schemas.microsoft.com/office/drawing/2014/main" id="{00000000-0008-0000-0500-000016000000}"/>
            </a:ext>
          </a:extLst>
        </xdr:cNvPr>
        <xdr:cNvSpPr txBox="1"/>
      </xdr:nvSpPr>
      <xdr:spPr>
        <a:xfrm>
          <a:off x="4922520" y="58018680"/>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男女区分で集約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305</xdr:row>
      <xdr:rowOff>144780</xdr:rowOff>
    </xdr:from>
    <xdr:ext cx="2032672" cy="392415"/>
    <xdr:sp macro="" textlink="">
      <xdr:nvSpPr>
        <xdr:cNvPr id="70" name="テキスト ボックス 69">
          <a:extLst>
            <a:ext uri="{FF2B5EF4-FFF2-40B4-BE49-F238E27FC236}">
              <a16:creationId xmlns:a16="http://schemas.microsoft.com/office/drawing/2014/main" id="{00000000-0008-0000-0500-000016000000}"/>
            </a:ext>
          </a:extLst>
        </xdr:cNvPr>
        <xdr:cNvSpPr txBox="1"/>
      </xdr:nvSpPr>
      <xdr:spPr>
        <a:xfrm>
          <a:off x="3543300" y="5872734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7</xdr:col>
      <xdr:colOff>876300</xdr:colOff>
      <xdr:row>299</xdr:row>
      <xdr:rowOff>144780</xdr:rowOff>
    </xdr:from>
    <xdr:ext cx="954107" cy="392415"/>
    <xdr:sp macro="" textlink="">
      <xdr:nvSpPr>
        <xdr:cNvPr id="72" name="テキスト ボックス 71">
          <a:extLst>
            <a:ext uri="{FF2B5EF4-FFF2-40B4-BE49-F238E27FC236}">
              <a16:creationId xmlns:a16="http://schemas.microsoft.com/office/drawing/2014/main" id="{00000000-0008-0000-0500-000016000000}"/>
            </a:ext>
          </a:extLst>
        </xdr:cNvPr>
        <xdr:cNvSpPr txBox="1"/>
      </xdr:nvSpPr>
      <xdr:spPr>
        <a:xfrm>
          <a:off x="4922520" y="6085332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9</xdr:col>
      <xdr:colOff>0</xdr:colOff>
      <xdr:row>7</xdr:row>
      <xdr:rowOff>0</xdr:rowOff>
    </xdr:from>
    <xdr:ext cx="156966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5875020" y="165354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81</xdr:row>
      <xdr:rowOff>0</xdr:rowOff>
    </xdr:from>
    <xdr:ext cx="1183273" cy="392415"/>
    <xdr:sp macro="" textlink="">
      <xdr:nvSpPr>
        <xdr:cNvPr id="73" name="テキスト ボックス 72">
          <a:extLst>
            <a:ext uri="{FF2B5EF4-FFF2-40B4-BE49-F238E27FC236}">
              <a16:creationId xmlns:a16="http://schemas.microsoft.com/office/drawing/2014/main" id="{00000000-0008-0000-0500-000015000000}"/>
            </a:ext>
          </a:extLst>
        </xdr:cNvPr>
        <xdr:cNvSpPr txBox="1"/>
      </xdr:nvSpPr>
      <xdr:spPr>
        <a:xfrm>
          <a:off x="3794760" y="191338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708660</xdr:colOff>
      <xdr:row>89</xdr:row>
      <xdr:rowOff>106680</xdr:rowOff>
    </xdr:from>
    <xdr:ext cx="954107" cy="392415"/>
    <xdr:sp macro="" textlink="">
      <xdr:nvSpPr>
        <xdr:cNvPr id="74" name="テキスト ボックス 73">
          <a:extLst>
            <a:ext uri="{FF2B5EF4-FFF2-40B4-BE49-F238E27FC236}">
              <a16:creationId xmlns:a16="http://schemas.microsoft.com/office/drawing/2014/main" id="{00000000-0008-0000-0500-000016000000}"/>
            </a:ext>
          </a:extLst>
        </xdr:cNvPr>
        <xdr:cNvSpPr txBox="1"/>
      </xdr:nvSpPr>
      <xdr:spPr>
        <a:xfrm>
          <a:off x="8915400" y="2113026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93</xdr:row>
      <xdr:rowOff>0</xdr:rowOff>
    </xdr:from>
    <xdr:ext cx="1183273" cy="392415"/>
    <xdr:sp macro="" textlink="">
      <xdr:nvSpPr>
        <xdr:cNvPr id="77" name="テキスト ボックス 76">
          <a:extLst>
            <a:ext uri="{FF2B5EF4-FFF2-40B4-BE49-F238E27FC236}">
              <a16:creationId xmlns:a16="http://schemas.microsoft.com/office/drawing/2014/main" id="{00000000-0008-0000-0500-000015000000}"/>
            </a:ext>
          </a:extLst>
        </xdr:cNvPr>
        <xdr:cNvSpPr txBox="1"/>
      </xdr:nvSpPr>
      <xdr:spPr>
        <a:xfrm>
          <a:off x="7040880" y="2196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205740</xdr:colOff>
      <xdr:row>92</xdr:row>
      <xdr:rowOff>114300</xdr:rowOff>
    </xdr:from>
    <xdr:ext cx="1307859" cy="392415"/>
    <xdr:sp macro="" textlink="">
      <xdr:nvSpPr>
        <xdr:cNvPr id="78" name="テキスト ボックス 77">
          <a:extLst>
            <a:ext uri="{FF2B5EF4-FFF2-40B4-BE49-F238E27FC236}">
              <a16:creationId xmlns:a16="http://schemas.microsoft.com/office/drawing/2014/main" id="{00000000-0008-0000-0500-000016000000}"/>
            </a:ext>
          </a:extLst>
        </xdr:cNvPr>
        <xdr:cNvSpPr txBox="1"/>
      </xdr:nvSpPr>
      <xdr:spPr>
        <a:xfrm>
          <a:off x="3749040" y="2184654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708660</xdr:colOff>
      <xdr:row>200</xdr:row>
      <xdr:rowOff>106680</xdr:rowOff>
    </xdr:from>
    <xdr:ext cx="954107" cy="392415"/>
    <xdr:sp macro="" textlink="">
      <xdr:nvSpPr>
        <xdr:cNvPr id="79" name="テキスト ボックス 78">
          <a:extLst>
            <a:ext uri="{FF2B5EF4-FFF2-40B4-BE49-F238E27FC236}">
              <a16:creationId xmlns:a16="http://schemas.microsoft.com/office/drawing/2014/main" id="{00000000-0008-0000-0500-000016000000}"/>
            </a:ext>
          </a:extLst>
        </xdr:cNvPr>
        <xdr:cNvSpPr txBox="1"/>
      </xdr:nvSpPr>
      <xdr:spPr>
        <a:xfrm>
          <a:off x="8915400" y="2113026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207</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15000000}"/>
            </a:ext>
          </a:extLst>
        </xdr:cNvPr>
        <xdr:cNvSpPr txBox="1"/>
      </xdr:nvSpPr>
      <xdr:spPr>
        <a:xfrm>
          <a:off x="7040880" y="2196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205740</xdr:colOff>
      <xdr:row>206</xdr:row>
      <xdr:rowOff>114300</xdr:rowOff>
    </xdr:from>
    <xdr:ext cx="1307859" cy="392415"/>
    <xdr:sp macro="" textlink="">
      <xdr:nvSpPr>
        <xdr:cNvPr id="81" name="テキスト ボックス 80">
          <a:extLst>
            <a:ext uri="{FF2B5EF4-FFF2-40B4-BE49-F238E27FC236}">
              <a16:creationId xmlns:a16="http://schemas.microsoft.com/office/drawing/2014/main" id="{00000000-0008-0000-0500-000016000000}"/>
            </a:ext>
          </a:extLst>
        </xdr:cNvPr>
        <xdr:cNvSpPr txBox="1"/>
      </xdr:nvSpPr>
      <xdr:spPr>
        <a:xfrm>
          <a:off x="3749040" y="2184654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0</xdr:colOff>
      <xdr:row>203</xdr:row>
      <xdr:rowOff>144780</xdr:rowOff>
    </xdr:from>
    <xdr:ext cx="1548181" cy="392415"/>
    <xdr:sp macro="" textlink="">
      <xdr:nvSpPr>
        <xdr:cNvPr id="82" name="テキスト ボックス 81">
          <a:extLst>
            <a:ext uri="{FF2B5EF4-FFF2-40B4-BE49-F238E27FC236}">
              <a16:creationId xmlns:a16="http://schemas.microsoft.com/office/drawing/2014/main" id="{00000000-0008-0000-0500-000016000000}"/>
            </a:ext>
          </a:extLst>
        </xdr:cNvPr>
        <xdr:cNvSpPr txBox="1"/>
      </xdr:nvSpPr>
      <xdr:spPr>
        <a:xfrm>
          <a:off x="3543300" y="44554140"/>
          <a:ext cx="15481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a:t>
          </a:r>
          <a:r>
            <a:rPr kumimoji="1" lang="en-US" altLang="ja-JP" sz="1200" b="1">
              <a:solidFill>
                <a:srgbClr val="FF0000"/>
              </a:solidFill>
              <a:latin typeface="メイリオ" panose="020B0604030504040204" pitchFamily="50" charset="-128"/>
              <a:ea typeface="メイリオ" panose="020B0604030504040204" pitchFamily="50" charset="-128"/>
            </a:rPr>
            <a:t>1q21+</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13</xdr:col>
      <xdr:colOff>708660</xdr:colOff>
      <xdr:row>314</xdr:row>
      <xdr:rowOff>106680</xdr:rowOff>
    </xdr:from>
    <xdr:ext cx="954107" cy="392415"/>
    <xdr:sp macro="" textlink="">
      <xdr:nvSpPr>
        <xdr:cNvPr id="84" name="テキスト ボックス 83">
          <a:extLst>
            <a:ext uri="{FF2B5EF4-FFF2-40B4-BE49-F238E27FC236}">
              <a16:creationId xmlns:a16="http://schemas.microsoft.com/office/drawing/2014/main" id="{00000000-0008-0000-0500-000016000000}"/>
            </a:ext>
          </a:extLst>
        </xdr:cNvPr>
        <xdr:cNvSpPr txBox="1"/>
      </xdr:nvSpPr>
      <xdr:spPr>
        <a:xfrm>
          <a:off x="8915400" y="4664202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期間で集約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321</xdr:row>
      <xdr:rowOff>0</xdr:rowOff>
    </xdr:from>
    <xdr:ext cx="1183273" cy="392415"/>
    <xdr:sp macro="" textlink="">
      <xdr:nvSpPr>
        <xdr:cNvPr id="85" name="テキスト ボックス 84">
          <a:extLst>
            <a:ext uri="{FF2B5EF4-FFF2-40B4-BE49-F238E27FC236}">
              <a16:creationId xmlns:a16="http://schemas.microsoft.com/office/drawing/2014/main" id="{00000000-0008-0000-0500-000015000000}"/>
            </a:ext>
          </a:extLst>
        </xdr:cNvPr>
        <xdr:cNvSpPr txBox="1"/>
      </xdr:nvSpPr>
      <xdr:spPr>
        <a:xfrm>
          <a:off x="7040880" y="481888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205740</xdr:colOff>
      <xdr:row>320</xdr:row>
      <xdr:rowOff>114300</xdr:rowOff>
    </xdr:from>
    <xdr:ext cx="1307859" cy="392415"/>
    <xdr:sp macro="" textlink="">
      <xdr:nvSpPr>
        <xdr:cNvPr id="86" name="テキスト ボックス 85">
          <a:extLst>
            <a:ext uri="{FF2B5EF4-FFF2-40B4-BE49-F238E27FC236}">
              <a16:creationId xmlns:a16="http://schemas.microsoft.com/office/drawing/2014/main" id="{00000000-0008-0000-0500-000016000000}"/>
            </a:ext>
          </a:extLst>
        </xdr:cNvPr>
        <xdr:cNvSpPr txBox="1"/>
      </xdr:nvSpPr>
      <xdr:spPr>
        <a:xfrm>
          <a:off x="3749040" y="4806696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853440</xdr:colOff>
      <xdr:row>317</xdr:row>
      <xdr:rowOff>45720</xdr:rowOff>
    </xdr:from>
    <xdr:ext cx="2032672" cy="392415"/>
    <xdr:sp macro="" textlink="">
      <xdr:nvSpPr>
        <xdr:cNvPr id="89" name="テキスト ボックス 88">
          <a:extLst>
            <a:ext uri="{FF2B5EF4-FFF2-40B4-BE49-F238E27FC236}">
              <a16:creationId xmlns:a16="http://schemas.microsoft.com/office/drawing/2014/main" id="{00000000-0008-0000-0500-000016000000}"/>
            </a:ext>
          </a:extLst>
        </xdr:cNvPr>
        <xdr:cNvSpPr txBox="1"/>
      </xdr:nvSpPr>
      <xdr:spPr>
        <a:xfrm>
          <a:off x="3482340" y="73510140"/>
          <a:ext cx="20326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区分が「ハイリスク</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a:t>
          </a:r>
        </a:p>
      </xdr:txBody>
    </xdr:sp>
    <xdr:clientData/>
  </xdr:oneCellAnchor>
  <xdr:oneCellAnchor>
    <xdr:from>
      <xdr:col>6</xdr:col>
      <xdr:colOff>0</xdr:colOff>
      <xdr:row>189</xdr:row>
      <xdr:rowOff>0</xdr:rowOff>
    </xdr:from>
    <xdr:ext cx="1183273" cy="392415"/>
    <xdr:sp macro="" textlink="">
      <xdr:nvSpPr>
        <xdr:cNvPr id="90" name="テキスト ボックス 89">
          <a:extLst>
            <a:ext uri="{FF2B5EF4-FFF2-40B4-BE49-F238E27FC236}">
              <a16:creationId xmlns:a16="http://schemas.microsoft.com/office/drawing/2014/main" id="{00000000-0008-0000-0500-000015000000}"/>
            </a:ext>
          </a:extLst>
        </xdr:cNvPr>
        <xdr:cNvSpPr txBox="1"/>
      </xdr:nvSpPr>
      <xdr:spPr>
        <a:xfrm>
          <a:off x="3794760" y="191338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388620</xdr:colOff>
      <xdr:row>103</xdr:row>
      <xdr:rowOff>83820</xdr:rowOff>
    </xdr:from>
    <xdr:to>
      <xdr:col>14</xdr:col>
      <xdr:colOff>129540</xdr:colOff>
      <xdr:row>105</xdr:row>
      <xdr:rowOff>137160</xdr:rowOff>
    </xdr:to>
    <xdr:sp macro="" textlink="">
      <xdr:nvSpPr>
        <xdr:cNvPr id="2" name="角丸四角形吹き出し 1"/>
        <xdr:cNvSpPr/>
      </xdr:nvSpPr>
      <xdr:spPr>
        <a:xfrm>
          <a:off x="6263640" y="2441448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861060</xdr:colOff>
      <xdr:row>117</xdr:row>
      <xdr:rowOff>68580</xdr:rowOff>
    </xdr:from>
    <xdr:ext cx="1183273" cy="392415"/>
    <xdr:sp macro="" textlink="">
      <xdr:nvSpPr>
        <xdr:cNvPr id="98" name="テキスト ボックス 97">
          <a:extLst>
            <a:ext uri="{FF2B5EF4-FFF2-40B4-BE49-F238E27FC236}">
              <a16:creationId xmlns:a16="http://schemas.microsoft.com/office/drawing/2014/main" id="{00000000-0008-0000-0500-000015000000}"/>
            </a:ext>
          </a:extLst>
        </xdr:cNvPr>
        <xdr:cNvSpPr txBox="1"/>
      </xdr:nvSpPr>
      <xdr:spPr>
        <a:xfrm>
          <a:off x="4907280" y="27706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335280</xdr:colOff>
      <xdr:row>115</xdr:row>
      <xdr:rowOff>152400</xdr:rowOff>
    </xdr:from>
    <xdr:to>
      <xdr:col>14</xdr:col>
      <xdr:colOff>76200</xdr:colOff>
      <xdr:row>117</xdr:row>
      <xdr:rowOff>205740</xdr:rowOff>
    </xdr:to>
    <xdr:sp macro="" textlink="">
      <xdr:nvSpPr>
        <xdr:cNvPr id="99" name="角丸四角形吹き出し 98"/>
        <xdr:cNvSpPr/>
      </xdr:nvSpPr>
      <xdr:spPr>
        <a:xfrm>
          <a:off x="6210300" y="2731770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8</xdr:col>
      <xdr:colOff>7620</xdr:colOff>
      <xdr:row>129</xdr:row>
      <xdr:rowOff>68580</xdr:rowOff>
    </xdr:from>
    <xdr:ext cx="1183273" cy="392415"/>
    <xdr:sp macro="" textlink="">
      <xdr:nvSpPr>
        <xdr:cNvPr id="100" name="テキスト ボックス 99">
          <a:extLst>
            <a:ext uri="{FF2B5EF4-FFF2-40B4-BE49-F238E27FC236}">
              <a16:creationId xmlns:a16="http://schemas.microsoft.com/office/drawing/2014/main" id="{00000000-0008-0000-0500-000015000000}"/>
            </a:ext>
          </a:extLst>
        </xdr:cNvPr>
        <xdr:cNvSpPr txBox="1"/>
      </xdr:nvSpPr>
      <xdr:spPr>
        <a:xfrm>
          <a:off x="4968240" y="30540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396240</xdr:colOff>
      <xdr:row>127</xdr:row>
      <xdr:rowOff>152400</xdr:rowOff>
    </xdr:from>
    <xdr:to>
      <xdr:col>14</xdr:col>
      <xdr:colOff>137160</xdr:colOff>
      <xdr:row>129</xdr:row>
      <xdr:rowOff>205740</xdr:rowOff>
    </xdr:to>
    <xdr:sp macro="" textlink="">
      <xdr:nvSpPr>
        <xdr:cNvPr id="101" name="角丸四角形吹き出し 100"/>
        <xdr:cNvSpPr/>
      </xdr:nvSpPr>
      <xdr:spPr>
        <a:xfrm>
          <a:off x="6271260" y="3015234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8</xdr:col>
      <xdr:colOff>7620</xdr:colOff>
      <xdr:row>141</xdr:row>
      <xdr:rowOff>76200</xdr:rowOff>
    </xdr:from>
    <xdr:ext cx="1183273" cy="392415"/>
    <xdr:sp macro="" textlink="">
      <xdr:nvSpPr>
        <xdr:cNvPr id="102" name="テキスト ボックス 101">
          <a:extLst>
            <a:ext uri="{FF2B5EF4-FFF2-40B4-BE49-F238E27FC236}">
              <a16:creationId xmlns:a16="http://schemas.microsoft.com/office/drawing/2014/main" id="{00000000-0008-0000-0500-000015000000}"/>
            </a:ext>
          </a:extLst>
        </xdr:cNvPr>
        <xdr:cNvSpPr txBox="1"/>
      </xdr:nvSpPr>
      <xdr:spPr>
        <a:xfrm>
          <a:off x="4968240" y="333832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396240</xdr:colOff>
      <xdr:row>139</xdr:row>
      <xdr:rowOff>160020</xdr:rowOff>
    </xdr:from>
    <xdr:to>
      <xdr:col>14</xdr:col>
      <xdr:colOff>137160</xdr:colOff>
      <xdr:row>141</xdr:row>
      <xdr:rowOff>213360</xdr:rowOff>
    </xdr:to>
    <xdr:sp macro="" textlink="">
      <xdr:nvSpPr>
        <xdr:cNvPr id="103" name="角丸四角形吹き出し 102"/>
        <xdr:cNvSpPr/>
      </xdr:nvSpPr>
      <xdr:spPr>
        <a:xfrm>
          <a:off x="6271260" y="3299460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891540</xdr:colOff>
      <xdr:row>165</xdr:row>
      <xdr:rowOff>45720</xdr:rowOff>
    </xdr:from>
    <xdr:ext cx="1183273" cy="392415"/>
    <xdr:sp macro="" textlink="">
      <xdr:nvSpPr>
        <xdr:cNvPr id="104" name="テキスト ボックス 103">
          <a:extLst>
            <a:ext uri="{FF2B5EF4-FFF2-40B4-BE49-F238E27FC236}">
              <a16:creationId xmlns:a16="http://schemas.microsoft.com/office/drawing/2014/main" id="{00000000-0008-0000-0500-000015000000}"/>
            </a:ext>
          </a:extLst>
        </xdr:cNvPr>
        <xdr:cNvSpPr txBox="1"/>
      </xdr:nvSpPr>
      <xdr:spPr>
        <a:xfrm>
          <a:off x="4937760" y="39022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350520</xdr:colOff>
      <xdr:row>163</xdr:row>
      <xdr:rowOff>144780</xdr:rowOff>
    </xdr:from>
    <xdr:to>
      <xdr:col>14</xdr:col>
      <xdr:colOff>91440</xdr:colOff>
      <xdr:row>165</xdr:row>
      <xdr:rowOff>198120</xdr:rowOff>
    </xdr:to>
    <xdr:sp macro="" textlink="">
      <xdr:nvSpPr>
        <xdr:cNvPr id="105" name="角丸四角形吹き出し 104"/>
        <xdr:cNvSpPr/>
      </xdr:nvSpPr>
      <xdr:spPr>
        <a:xfrm>
          <a:off x="6225540" y="3864864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891540</xdr:colOff>
      <xdr:row>153</xdr:row>
      <xdr:rowOff>53340</xdr:rowOff>
    </xdr:from>
    <xdr:ext cx="1183273" cy="392415"/>
    <xdr:sp macro="" textlink="">
      <xdr:nvSpPr>
        <xdr:cNvPr id="108" name="テキスト ボックス 107">
          <a:extLst>
            <a:ext uri="{FF2B5EF4-FFF2-40B4-BE49-F238E27FC236}">
              <a16:creationId xmlns:a16="http://schemas.microsoft.com/office/drawing/2014/main" id="{00000000-0008-0000-0500-000015000000}"/>
            </a:ext>
          </a:extLst>
        </xdr:cNvPr>
        <xdr:cNvSpPr txBox="1"/>
      </xdr:nvSpPr>
      <xdr:spPr>
        <a:xfrm>
          <a:off x="4937760" y="3619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365760</xdr:colOff>
      <xdr:row>151</xdr:row>
      <xdr:rowOff>137160</xdr:rowOff>
    </xdr:from>
    <xdr:to>
      <xdr:col>14</xdr:col>
      <xdr:colOff>106680</xdr:colOff>
      <xdr:row>153</xdr:row>
      <xdr:rowOff>190500</xdr:rowOff>
    </xdr:to>
    <xdr:sp macro="" textlink="">
      <xdr:nvSpPr>
        <xdr:cNvPr id="109" name="角丸四角形吹き出し 108"/>
        <xdr:cNvSpPr/>
      </xdr:nvSpPr>
      <xdr:spPr>
        <a:xfrm>
          <a:off x="6240780" y="3580638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8</xdr:col>
      <xdr:colOff>15240</xdr:colOff>
      <xdr:row>177</xdr:row>
      <xdr:rowOff>91440</xdr:rowOff>
    </xdr:from>
    <xdr:ext cx="1183273" cy="392415"/>
    <xdr:sp macro="" textlink="">
      <xdr:nvSpPr>
        <xdr:cNvPr id="112" name="テキスト ボックス 111">
          <a:extLst>
            <a:ext uri="{FF2B5EF4-FFF2-40B4-BE49-F238E27FC236}">
              <a16:creationId xmlns:a16="http://schemas.microsoft.com/office/drawing/2014/main" id="{00000000-0008-0000-0500-000015000000}"/>
            </a:ext>
          </a:extLst>
        </xdr:cNvPr>
        <xdr:cNvSpPr txBox="1"/>
      </xdr:nvSpPr>
      <xdr:spPr>
        <a:xfrm>
          <a:off x="4975860" y="419023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403860</xdr:colOff>
      <xdr:row>175</xdr:row>
      <xdr:rowOff>175260</xdr:rowOff>
    </xdr:from>
    <xdr:to>
      <xdr:col>14</xdr:col>
      <xdr:colOff>144780</xdr:colOff>
      <xdr:row>177</xdr:row>
      <xdr:rowOff>228600</xdr:rowOff>
    </xdr:to>
    <xdr:sp macro="" textlink="">
      <xdr:nvSpPr>
        <xdr:cNvPr id="113" name="角丸四角形吹き出し 112"/>
        <xdr:cNvSpPr/>
      </xdr:nvSpPr>
      <xdr:spPr>
        <a:xfrm>
          <a:off x="6278880" y="4151376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10</xdr:col>
      <xdr:colOff>236220</xdr:colOff>
      <xdr:row>192</xdr:row>
      <xdr:rowOff>60960</xdr:rowOff>
    </xdr:from>
    <xdr:ext cx="1183273" cy="392415"/>
    <xdr:sp macro="" textlink="">
      <xdr:nvSpPr>
        <xdr:cNvPr id="114" name="テキスト ボックス 113">
          <a:extLst>
            <a:ext uri="{FF2B5EF4-FFF2-40B4-BE49-F238E27FC236}">
              <a16:creationId xmlns:a16="http://schemas.microsoft.com/office/drawing/2014/main" id="{00000000-0008-0000-0500-000015000000}"/>
            </a:ext>
          </a:extLst>
        </xdr:cNvPr>
        <xdr:cNvSpPr txBox="1"/>
      </xdr:nvSpPr>
      <xdr:spPr>
        <a:xfrm>
          <a:off x="7025640" y="454152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13</xdr:col>
      <xdr:colOff>121920</xdr:colOff>
      <xdr:row>190</xdr:row>
      <xdr:rowOff>144780</xdr:rowOff>
    </xdr:from>
    <xdr:to>
      <xdr:col>17</xdr:col>
      <xdr:colOff>777240</xdr:colOff>
      <xdr:row>192</xdr:row>
      <xdr:rowOff>198120</xdr:rowOff>
    </xdr:to>
    <xdr:sp macro="" textlink="">
      <xdr:nvSpPr>
        <xdr:cNvPr id="115" name="角丸四角形吹き出し 114"/>
        <xdr:cNvSpPr/>
      </xdr:nvSpPr>
      <xdr:spPr>
        <a:xfrm>
          <a:off x="8328660" y="4502658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883920</xdr:colOff>
      <xdr:row>204</xdr:row>
      <xdr:rowOff>68580</xdr:rowOff>
    </xdr:from>
    <xdr:ext cx="1183273" cy="392415"/>
    <xdr:sp macro="" textlink="">
      <xdr:nvSpPr>
        <xdr:cNvPr id="116" name="テキスト ボックス 115">
          <a:extLst>
            <a:ext uri="{FF2B5EF4-FFF2-40B4-BE49-F238E27FC236}">
              <a16:creationId xmlns:a16="http://schemas.microsoft.com/office/drawing/2014/main" id="{00000000-0008-0000-0500-000015000000}"/>
            </a:ext>
          </a:extLst>
        </xdr:cNvPr>
        <xdr:cNvSpPr txBox="1"/>
      </xdr:nvSpPr>
      <xdr:spPr>
        <a:xfrm>
          <a:off x="4930140" y="48257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358140</xdr:colOff>
      <xdr:row>202</xdr:row>
      <xdr:rowOff>152400</xdr:rowOff>
    </xdr:from>
    <xdr:to>
      <xdr:col>14</xdr:col>
      <xdr:colOff>99060</xdr:colOff>
      <xdr:row>204</xdr:row>
      <xdr:rowOff>205740</xdr:rowOff>
    </xdr:to>
    <xdr:sp macro="" textlink="">
      <xdr:nvSpPr>
        <xdr:cNvPr id="117" name="角丸四角形吹き出し 116"/>
        <xdr:cNvSpPr/>
      </xdr:nvSpPr>
      <xdr:spPr>
        <a:xfrm>
          <a:off x="6233160" y="4786884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8</xdr:col>
      <xdr:colOff>0</xdr:colOff>
      <xdr:row>219</xdr:row>
      <xdr:rowOff>152400</xdr:rowOff>
    </xdr:from>
    <xdr:ext cx="1183273" cy="392415"/>
    <xdr:sp macro="" textlink="">
      <xdr:nvSpPr>
        <xdr:cNvPr id="118" name="テキスト ボックス 117">
          <a:extLst>
            <a:ext uri="{FF2B5EF4-FFF2-40B4-BE49-F238E27FC236}">
              <a16:creationId xmlns:a16="http://schemas.microsoft.com/office/drawing/2014/main" id="{00000000-0008-0000-0500-000015000000}"/>
            </a:ext>
          </a:extLst>
        </xdr:cNvPr>
        <xdr:cNvSpPr txBox="1"/>
      </xdr:nvSpPr>
      <xdr:spPr>
        <a:xfrm>
          <a:off x="4960620" y="518845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388620</xdr:colOff>
      <xdr:row>218</xdr:row>
      <xdr:rowOff>0</xdr:rowOff>
    </xdr:from>
    <xdr:to>
      <xdr:col>14</xdr:col>
      <xdr:colOff>129540</xdr:colOff>
      <xdr:row>220</xdr:row>
      <xdr:rowOff>53340</xdr:rowOff>
    </xdr:to>
    <xdr:sp macro="" textlink="">
      <xdr:nvSpPr>
        <xdr:cNvPr id="119" name="角丸四角形吹き出し 118"/>
        <xdr:cNvSpPr/>
      </xdr:nvSpPr>
      <xdr:spPr>
        <a:xfrm>
          <a:off x="6263640" y="5149596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899160</xdr:colOff>
      <xdr:row>231</xdr:row>
      <xdr:rowOff>137160</xdr:rowOff>
    </xdr:from>
    <xdr:ext cx="1183273" cy="392415"/>
    <xdr:sp macro="" textlink="">
      <xdr:nvSpPr>
        <xdr:cNvPr id="120" name="テキスト ボックス 119">
          <a:extLst>
            <a:ext uri="{FF2B5EF4-FFF2-40B4-BE49-F238E27FC236}">
              <a16:creationId xmlns:a16="http://schemas.microsoft.com/office/drawing/2014/main" id="{00000000-0008-0000-0500-000015000000}"/>
            </a:ext>
          </a:extLst>
        </xdr:cNvPr>
        <xdr:cNvSpPr txBox="1"/>
      </xdr:nvSpPr>
      <xdr:spPr>
        <a:xfrm>
          <a:off x="4945380" y="547039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373380</xdr:colOff>
      <xdr:row>229</xdr:row>
      <xdr:rowOff>220980</xdr:rowOff>
    </xdr:from>
    <xdr:to>
      <xdr:col>14</xdr:col>
      <xdr:colOff>114300</xdr:colOff>
      <xdr:row>232</xdr:row>
      <xdr:rowOff>38100</xdr:rowOff>
    </xdr:to>
    <xdr:sp macro="" textlink="">
      <xdr:nvSpPr>
        <xdr:cNvPr id="121" name="角丸四角形吹き出し 120"/>
        <xdr:cNvSpPr/>
      </xdr:nvSpPr>
      <xdr:spPr>
        <a:xfrm>
          <a:off x="6248400" y="5431536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868680</xdr:colOff>
      <xdr:row>243</xdr:row>
      <xdr:rowOff>152400</xdr:rowOff>
    </xdr:from>
    <xdr:ext cx="1183273" cy="392415"/>
    <xdr:sp macro="" textlink="">
      <xdr:nvSpPr>
        <xdr:cNvPr id="122" name="テキスト ボックス 121">
          <a:extLst>
            <a:ext uri="{FF2B5EF4-FFF2-40B4-BE49-F238E27FC236}">
              <a16:creationId xmlns:a16="http://schemas.microsoft.com/office/drawing/2014/main" id="{00000000-0008-0000-0500-000015000000}"/>
            </a:ext>
          </a:extLst>
        </xdr:cNvPr>
        <xdr:cNvSpPr txBox="1"/>
      </xdr:nvSpPr>
      <xdr:spPr>
        <a:xfrm>
          <a:off x="4914900" y="575538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342900</xdr:colOff>
      <xdr:row>242</xdr:row>
      <xdr:rowOff>0</xdr:rowOff>
    </xdr:from>
    <xdr:to>
      <xdr:col>14</xdr:col>
      <xdr:colOff>83820</xdr:colOff>
      <xdr:row>244</xdr:row>
      <xdr:rowOff>53340</xdr:rowOff>
    </xdr:to>
    <xdr:sp macro="" textlink="">
      <xdr:nvSpPr>
        <xdr:cNvPr id="123" name="角丸四角形吹き出し 122"/>
        <xdr:cNvSpPr/>
      </xdr:nvSpPr>
      <xdr:spPr>
        <a:xfrm>
          <a:off x="6217920" y="5716524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830580</xdr:colOff>
      <xdr:row>255</xdr:row>
      <xdr:rowOff>152400</xdr:rowOff>
    </xdr:from>
    <xdr:ext cx="1183273" cy="392415"/>
    <xdr:sp macro="" textlink="">
      <xdr:nvSpPr>
        <xdr:cNvPr id="124" name="テキスト ボックス 123">
          <a:extLst>
            <a:ext uri="{FF2B5EF4-FFF2-40B4-BE49-F238E27FC236}">
              <a16:creationId xmlns:a16="http://schemas.microsoft.com/office/drawing/2014/main" id="{00000000-0008-0000-0500-000015000000}"/>
            </a:ext>
          </a:extLst>
        </xdr:cNvPr>
        <xdr:cNvSpPr txBox="1"/>
      </xdr:nvSpPr>
      <xdr:spPr>
        <a:xfrm>
          <a:off x="4876800" y="60388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304800</xdr:colOff>
      <xdr:row>254</xdr:row>
      <xdr:rowOff>0</xdr:rowOff>
    </xdr:from>
    <xdr:to>
      <xdr:col>14</xdr:col>
      <xdr:colOff>45720</xdr:colOff>
      <xdr:row>256</xdr:row>
      <xdr:rowOff>53340</xdr:rowOff>
    </xdr:to>
    <xdr:sp macro="" textlink="">
      <xdr:nvSpPr>
        <xdr:cNvPr id="125" name="角丸四角形吹き出し 124"/>
        <xdr:cNvSpPr/>
      </xdr:nvSpPr>
      <xdr:spPr>
        <a:xfrm>
          <a:off x="6179820" y="5999988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838200</xdr:colOff>
      <xdr:row>268</xdr:row>
      <xdr:rowOff>0</xdr:rowOff>
    </xdr:from>
    <xdr:ext cx="1183273" cy="392415"/>
    <xdr:sp macro="" textlink="">
      <xdr:nvSpPr>
        <xdr:cNvPr id="126" name="テキスト ボックス 125">
          <a:extLst>
            <a:ext uri="{FF2B5EF4-FFF2-40B4-BE49-F238E27FC236}">
              <a16:creationId xmlns:a16="http://schemas.microsoft.com/office/drawing/2014/main" id="{00000000-0008-0000-0500-000015000000}"/>
            </a:ext>
          </a:extLst>
        </xdr:cNvPr>
        <xdr:cNvSpPr txBox="1"/>
      </xdr:nvSpPr>
      <xdr:spPr>
        <a:xfrm>
          <a:off x="4884420" y="633069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312420</xdr:colOff>
      <xdr:row>266</xdr:row>
      <xdr:rowOff>83820</xdr:rowOff>
    </xdr:from>
    <xdr:to>
      <xdr:col>14</xdr:col>
      <xdr:colOff>53340</xdr:colOff>
      <xdr:row>268</xdr:row>
      <xdr:rowOff>137160</xdr:rowOff>
    </xdr:to>
    <xdr:sp macro="" textlink="">
      <xdr:nvSpPr>
        <xdr:cNvPr id="127" name="角丸四角形吹き出し 126"/>
        <xdr:cNvSpPr/>
      </xdr:nvSpPr>
      <xdr:spPr>
        <a:xfrm>
          <a:off x="6187440" y="6291834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883920</xdr:colOff>
      <xdr:row>279</xdr:row>
      <xdr:rowOff>213360</xdr:rowOff>
    </xdr:from>
    <xdr:ext cx="1183273" cy="392415"/>
    <xdr:sp macro="" textlink="">
      <xdr:nvSpPr>
        <xdr:cNvPr id="128" name="テキスト ボックス 127">
          <a:extLst>
            <a:ext uri="{FF2B5EF4-FFF2-40B4-BE49-F238E27FC236}">
              <a16:creationId xmlns:a16="http://schemas.microsoft.com/office/drawing/2014/main" id="{00000000-0008-0000-0500-000015000000}"/>
            </a:ext>
          </a:extLst>
        </xdr:cNvPr>
        <xdr:cNvSpPr txBox="1"/>
      </xdr:nvSpPr>
      <xdr:spPr>
        <a:xfrm>
          <a:off x="4930140" y="661187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358140</xdr:colOff>
      <xdr:row>278</xdr:row>
      <xdr:rowOff>60960</xdr:rowOff>
    </xdr:from>
    <xdr:to>
      <xdr:col>14</xdr:col>
      <xdr:colOff>99060</xdr:colOff>
      <xdr:row>280</xdr:row>
      <xdr:rowOff>114300</xdr:rowOff>
    </xdr:to>
    <xdr:sp macro="" textlink="">
      <xdr:nvSpPr>
        <xdr:cNvPr id="129" name="角丸四角形吹き出し 128"/>
        <xdr:cNvSpPr/>
      </xdr:nvSpPr>
      <xdr:spPr>
        <a:xfrm>
          <a:off x="6233160" y="6573012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7</xdr:col>
      <xdr:colOff>838200</xdr:colOff>
      <xdr:row>291</xdr:row>
      <xdr:rowOff>190500</xdr:rowOff>
    </xdr:from>
    <xdr:ext cx="1183273" cy="392415"/>
    <xdr:sp macro="" textlink="">
      <xdr:nvSpPr>
        <xdr:cNvPr id="130" name="テキスト ボックス 129">
          <a:extLst>
            <a:ext uri="{FF2B5EF4-FFF2-40B4-BE49-F238E27FC236}">
              <a16:creationId xmlns:a16="http://schemas.microsoft.com/office/drawing/2014/main" id="{00000000-0008-0000-0500-000015000000}"/>
            </a:ext>
          </a:extLst>
        </xdr:cNvPr>
        <xdr:cNvSpPr txBox="1"/>
      </xdr:nvSpPr>
      <xdr:spPr>
        <a:xfrm>
          <a:off x="4884420" y="689305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312420</xdr:colOff>
      <xdr:row>290</xdr:row>
      <xdr:rowOff>38100</xdr:rowOff>
    </xdr:from>
    <xdr:to>
      <xdr:col>14</xdr:col>
      <xdr:colOff>53340</xdr:colOff>
      <xdr:row>292</xdr:row>
      <xdr:rowOff>91440</xdr:rowOff>
    </xdr:to>
    <xdr:sp macro="" textlink="">
      <xdr:nvSpPr>
        <xdr:cNvPr id="131" name="角丸四角形吹き出し 130"/>
        <xdr:cNvSpPr/>
      </xdr:nvSpPr>
      <xdr:spPr>
        <a:xfrm>
          <a:off x="6187440" y="6854190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8</xdr:col>
      <xdr:colOff>0</xdr:colOff>
      <xdr:row>318</xdr:row>
      <xdr:rowOff>152400</xdr:rowOff>
    </xdr:from>
    <xdr:ext cx="1183273" cy="392415"/>
    <xdr:sp macro="" textlink="">
      <xdr:nvSpPr>
        <xdr:cNvPr id="134" name="テキスト ボックス 133">
          <a:extLst>
            <a:ext uri="{FF2B5EF4-FFF2-40B4-BE49-F238E27FC236}">
              <a16:creationId xmlns:a16="http://schemas.microsoft.com/office/drawing/2014/main" id="{00000000-0008-0000-0500-000015000000}"/>
            </a:ext>
          </a:extLst>
        </xdr:cNvPr>
        <xdr:cNvSpPr txBox="1"/>
      </xdr:nvSpPr>
      <xdr:spPr>
        <a:xfrm>
          <a:off x="4960620" y="745617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9</xdr:col>
      <xdr:colOff>388620</xdr:colOff>
      <xdr:row>317</xdr:row>
      <xdr:rowOff>0</xdr:rowOff>
    </xdr:from>
    <xdr:to>
      <xdr:col>14</xdr:col>
      <xdr:colOff>129540</xdr:colOff>
      <xdr:row>319</xdr:row>
      <xdr:rowOff>53340</xdr:rowOff>
    </xdr:to>
    <xdr:sp macro="" textlink="">
      <xdr:nvSpPr>
        <xdr:cNvPr id="135" name="角丸四角形吹き出し 134"/>
        <xdr:cNvSpPr/>
      </xdr:nvSpPr>
      <xdr:spPr>
        <a:xfrm>
          <a:off x="6263640" y="7417308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6</xdr:col>
      <xdr:colOff>0</xdr:colOff>
      <xdr:row>303</xdr:row>
      <xdr:rowOff>0</xdr:rowOff>
    </xdr:from>
    <xdr:ext cx="1183273" cy="392415"/>
    <xdr:sp macro="" textlink="">
      <xdr:nvSpPr>
        <xdr:cNvPr id="136" name="テキスト ボックス 135">
          <a:extLst>
            <a:ext uri="{FF2B5EF4-FFF2-40B4-BE49-F238E27FC236}">
              <a16:creationId xmlns:a16="http://schemas.microsoft.com/office/drawing/2014/main" id="{00000000-0008-0000-0500-000015000000}"/>
            </a:ext>
          </a:extLst>
        </xdr:cNvPr>
        <xdr:cNvSpPr txBox="1"/>
      </xdr:nvSpPr>
      <xdr:spPr>
        <a:xfrm>
          <a:off x="3794760" y="446455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305</xdr:row>
      <xdr:rowOff>152400</xdr:rowOff>
    </xdr:from>
    <xdr:ext cx="1183273" cy="392415"/>
    <xdr:sp macro="" textlink="">
      <xdr:nvSpPr>
        <xdr:cNvPr id="139" name="テキスト ボックス 138">
          <a:extLst>
            <a:ext uri="{FF2B5EF4-FFF2-40B4-BE49-F238E27FC236}">
              <a16:creationId xmlns:a16="http://schemas.microsoft.com/office/drawing/2014/main" id="{00000000-0008-0000-0500-000015000000}"/>
            </a:ext>
          </a:extLst>
        </xdr:cNvPr>
        <xdr:cNvSpPr txBox="1"/>
      </xdr:nvSpPr>
      <xdr:spPr>
        <a:xfrm>
          <a:off x="7040880" y="72199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twoCellAnchor>
    <xdr:from>
      <xdr:col>13</xdr:col>
      <xdr:colOff>137160</xdr:colOff>
      <xdr:row>304</xdr:row>
      <xdr:rowOff>0</xdr:rowOff>
    </xdr:from>
    <xdr:to>
      <xdr:col>17</xdr:col>
      <xdr:colOff>792480</xdr:colOff>
      <xdr:row>306</xdr:row>
      <xdr:rowOff>53340</xdr:rowOff>
    </xdr:to>
    <xdr:sp macro="" textlink="">
      <xdr:nvSpPr>
        <xdr:cNvPr id="140" name="角丸四角形吹き出し 139"/>
        <xdr:cNvSpPr/>
      </xdr:nvSpPr>
      <xdr:spPr>
        <a:xfrm>
          <a:off x="8343900" y="71810880"/>
          <a:ext cx="2987040" cy="525780"/>
        </a:xfrm>
        <a:prstGeom prst="wedgeRoundRectCallout">
          <a:avLst>
            <a:gd name="adj1" fmla="val -51700"/>
            <a:gd name="adj2" fmla="val 653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1"/>
            <a:t>EXISTS</a:t>
          </a:r>
          <a:r>
            <a:rPr lang="ja-JP" altLang="en-US" b="1"/>
            <a:t>では患者情報が取得できなかったため</a:t>
          </a:r>
          <a:r>
            <a:rPr lang="en-US" altLang="ja-JP" b="1"/>
            <a:t>INNER JOIN</a:t>
          </a:r>
          <a:r>
            <a:rPr lang="ja-JP" altLang="en-US" b="1"/>
            <a:t>とする</a:t>
          </a:r>
          <a:endParaRPr kumimoji="1" lang="ja-JP" altLang="en-US" sz="1100" b="1"/>
        </a:p>
      </xdr:txBody>
    </xdr:sp>
    <xdr:clientData/>
  </xdr:twoCellAnchor>
  <xdr:oneCellAnchor>
    <xdr:from>
      <xdr:col>9</xdr:col>
      <xdr:colOff>434340</xdr:colOff>
      <xdr:row>328</xdr:row>
      <xdr:rowOff>144780</xdr:rowOff>
    </xdr:from>
    <xdr:ext cx="2339102" cy="692497"/>
    <xdr:sp macro="" textlink="">
      <xdr:nvSpPr>
        <xdr:cNvPr id="96" name="テキスト ボックス 95">
          <a:extLst>
            <a:ext uri="{FF2B5EF4-FFF2-40B4-BE49-F238E27FC236}">
              <a16:creationId xmlns:a16="http://schemas.microsoft.com/office/drawing/2014/main" id="{00000000-0008-0000-0500-000016000000}"/>
            </a:ext>
          </a:extLst>
        </xdr:cNvPr>
        <xdr:cNvSpPr txBox="1"/>
      </xdr:nvSpPr>
      <xdr:spPr>
        <a:xfrm>
          <a:off x="6309360" y="77624940"/>
          <a:ext cx="233910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、患者</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、病名、</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疾患開始日、疾患終了日で集約</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868680</xdr:colOff>
      <xdr:row>335</xdr:row>
      <xdr:rowOff>160020</xdr:rowOff>
    </xdr:from>
    <xdr:ext cx="1106521" cy="392415"/>
    <xdr:sp macro="" textlink="">
      <xdr:nvSpPr>
        <xdr:cNvPr id="97" name="テキスト ボックス 96">
          <a:extLst>
            <a:ext uri="{FF2B5EF4-FFF2-40B4-BE49-F238E27FC236}">
              <a16:creationId xmlns:a16="http://schemas.microsoft.com/office/drawing/2014/main" id="{00000000-0008-0000-0500-000015000000}"/>
            </a:ext>
          </a:extLst>
        </xdr:cNvPr>
        <xdr:cNvSpPr txBox="1"/>
      </xdr:nvSpPr>
      <xdr:spPr>
        <a:xfrm>
          <a:off x="5829300" y="7929372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p>
      </xdr:txBody>
    </xdr:sp>
    <xdr:clientData/>
  </xdr:oneCellAnchor>
  <xdr:oneCellAnchor>
    <xdr:from>
      <xdr:col>4</xdr:col>
      <xdr:colOff>883920</xdr:colOff>
      <xdr:row>331</xdr:row>
      <xdr:rowOff>0</xdr:rowOff>
    </xdr:from>
    <xdr:ext cx="3570849" cy="392415"/>
    <xdr:sp macro="" textlink="">
      <xdr:nvSpPr>
        <xdr:cNvPr id="107" name="テキスト ボックス 106">
          <a:extLst>
            <a:ext uri="{FF2B5EF4-FFF2-40B4-BE49-F238E27FC236}">
              <a16:creationId xmlns:a16="http://schemas.microsoft.com/office/drawing/2014/main" id="{00000000-0008-0000-0500-000016000000}"/>
            </a:ext>
          </a:extLst>
        </xdr:cNvPr>
        <xdr:cNvSpPr txBox="1"/>
      </xdr:nvSpPr>
      <xdr:spPr>
        <a:xfrm>
          <a:off x="3512820" y="78188820"/>
          <a:ext cx="35708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 かつ </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4</xdr:col>
      <xdr:colOff>876300</xdr:colOff>
      <xdr:row>336</xdr:row>
      <xdr:rowOff>190500</xdr:rowOff>
    </xdr:from>
    <xdr:ext cx="3570849" cy="392415"/>
    <xdr:sp macro="" textlink="">
      <xdr:nvSpPr>
        <xdr:cNvPr id="132" name="テキスト ボックス 131">
          <a:extLst>
            <a:ext uri="{FF2B5EF4-FFF2-40B4-BE49-F238E27FC236}">
              <a16:creationId xmlns:a16="http://schemas.microsoft.com/office/drawing/2014/main" id="{00000000-0008-0000-0500-000016000000}"/>
            </a:ext>
          </a:extLst>
        </xdr:cNvPr>
        <xdr:cNvSpPr txBox="1"/>
      </xdr:nvSpPr>
      <xdr:spPr>
        <a:xfrm>
          <a:off x="3505200" y="79560420"/>
          <a:ext cx="35708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 かつ </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6</xdr:col>
      <xdr:colOff>0</xdr:colOff>
      <xdr:row>333</xdr:row>
      <xdr:rowOff>0</xdr:rowOff>
    </xdr:from>
    <xdr:ext cx="1183273" cy="392415"/>
    <xdr:sp macro="" textlink="">
      <xdr:nvSpPr>
        <xdr:cNvPr id="138" name="テキスト ボックス 137">
          <a:extLst>
            <a:ext uri="{FF2B5EF4-FFF2-40B4-BE49-F238E27FC236}">
              <a16:creationId xmlns:a16="http://schemas.microsoft.com/office/drawing/2014/main" id="{00000000-0008-0000-0500-000015000000}"/>
            </a:ext>
          </a:extLst>
        </xdr:cNvPr>
        <xdr:cNvSpPr txBox="1"/>
      </xdr:nvSpPr>
      <xdr:spPr>
        <a:xfrm>
          <a:off x="3794760" y="786612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339</xdr:row>
      <xdr:rowOff>0</xdr:rowOff>
    </xdr:from>
    <xdr:ext cx="1183273" cy="392415"/>
    <xdr:sp macro="" textlink="">
      <xdr:nvSpPr>
        <xdr:cNvPr id="141" name="テキスト ボックス 140">
          <a:extLst>
            <a:ext uri="{FF2B5EF4-FFF2-40B4-BE49-F238E27FC236}">
              <a16:creationId xmlns:a16="http://schemas.microsoft.com/office/drawing/2014/main" id="{00000000-0008-0000-0500-000015000000}"/>
            </a:ext>
          </a:extLst>
        </xdr:cNvPr>
        <xdr:cNvSpPr txBox="1"/>
      </xdr:nvSpPr>
      <xdr:spPr>
        <a:xfrm>
          <a:off x="3794760" y="800785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342</xdr:row>
      <xdr:rowOff>0</xdr:rowOff>
    </xdr:from>
    <xdr:ext cx="1183273" cy="392415"/>
    <xdr:sp macro="" textlink="">
      <xdr:nvSpPr>
        <xdr:cNvPr id="142" name="テキスト ボックス 141">
          <a:extLst>
            <a:ext uri="{FF2B5EF4-FFF2-40B4-BE49-F238E27FC236}">
              <a16:creationId xmlns:a16="http://schemas.microsoft.com/office/drawing/2014/main" id="{00000000-0008-0000-0500-00003A000000}"/>
            </a:ext>
          </a:extLst>
        </xdr:cNvPr>
        <xdr:cNvSpPr txBox="1"/>
      </xdr:nvSpPr>
      <xdr:spPr>
        <a:xfrm>
          <a:off x="3794760" y="807872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708660</xdr:colOff>
      <xdr:row>344</xdr:row>
      <xdr:rowOff>114300</xdr:rowOff>
    </xdr:from>
    <xdr:ext cx="1183273" cy="392415"/>
    <xdr:sp macro="" textlink="">
      <xdr:nvSpPr>
        <xdr:cNvPr id="143" name="テキスト ボックス 142">
          <a:extLst>
            <a:ext uri="{FF2B5EF4-FFF2-40B4-BE49-F238E27FC236}">
              <a16:creationId xmlns:a16="http://schemas.microsoft.com/office/drawing/2014/main" id="{00000000-0008-0000-0500-00003A000000}"/>
            </a:ext>
          </a:extLst>
        </xdr:cNvPr>
        <xdr:cNvSpPr txBox="1"/>
      </xdr:nvSpPr>
      <xdr:spPr>
        <a:xfrm>
          <a:off x="8001000" y="813739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351</xdr:row>
      <xdr:rowOff>0</xdr:rowOff>
    </xdr:from>
    <xdr:ext cx="1183273" cy="392415"/>
    <xdr:sp macro="" textlink="">
      <xdr:nvSpPr>
        <xdr:cNvPr id="144" name="テキスト ボックス 143">
          <a:extLst>
            <a:ext uri="{FF2B5EF4-FFF2-40B4-BE49-F238E27FC236}">
              <a16:creationId xmlns:a16="http://schemas.microsoft.com/office/drawing/2014/main" id="{00000000-0008-0000-0500-00003A000000}"/>
            </a:ext>
          </a:extLst>
        </xdr:cNvPr>
        <xdr:cNvSpPr txBox="1"/>
      </xdr:nvSpPr>
      <xdr:spPr>
        <a:xfrm>
          <a:off x="7040880" y="829132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348</xdr:row>
      <xdr:rowOff>0</xdr:rowOff>
    </xdr:from>
    <xdr:ext cx="1183273" cy="392415"/>
    <xdr:sp macro="" textlink="">
      <xdr:nvSpPr>
        <xdr:cNvPr id="145" name="テキスト ボックス 144">
          <a:extLst>
            <a:ext uri="{FF2B5EF4-FFF2-40B4-BE49-F238E27FC236}">
              <a16:creationId xmlns:a16="http://schemas.microsoft.com/office/drawing/2014/main" id="{00000000-0008-0000-0500-00003A000000}"/>
            </a:ext>
          </a:extLst>
        </xdr:cNvPr>
        <xdr:cNvSpPr txBox="1"/>
      </xdr:nvSpPr>
      <xdr:spPr>
        <a:xfrm>
          <a:off x="10287000" y="822045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349</xdr:row>
      <xdr:rowOff>0</xdr:rowOff>
    </xdr:from>
    <xdr:ext cx="1480213" cy="392415"/>
    <xdr:sp macro="" textlink="">
      <xdr:nvSpPr>
        <xdr:cNvPr id="147" name="テキスト ボックス 146">
          <a:extLst>
            <a:ext uri="{FF2B5EF4-FFF2-40B4-BE49-F238E27FC236}">
              <a16:creationId xmlns:a16="http://schemas.microsoft.com/office/drawing/2014/main" id="{00000000-0008-0000-0500-000046000000}"/>
            </a:ext>
          </a:extLst>
        </xdr:cNvPr>
        <xdr:cNvSpPr txBox="1"/>
      </xdr:nvSpPr>
      <xdr:spPr>
        <a:xfrm>
          <a:off x="8206740" y="8244078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11</xdr:col>
      <xdr:colOff>0</xdr:colOff>
      <xdr:row>57</xdr:row>
      <xdr:rowOff>0</xdr:rowOff>
    </xdr:from>
    <xdr:ext cx="755913" cy="392415"/>
    <xdr:sp macro="" textlink="">
      <xdr:nvSpPr>
        <xdr:cNvPr id="11" name="テキスト ボックス 10">
          <a:extLst>
            <a:ext uri="{FF2B5EF4-FFF2-40B4-BE49-F238E27FC236}">
              <a16:creationId xmlns:a16="http://schemas.microsoft.com/office/drawing/2014/main" id="{00000000-0008-0000-0500-000015000000}"/>
            </a:ext>
          </a:extLst>
        </xdr:cNvPr>
        <xdr:cNvSpPr txBox="1"/>
      </xdr:nvSpPr>
      <xdr:spPr>
        <a:xfrm>
          <a:off x="7829550" y="64293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13</xdr:col>
      <xdr:colOff>0</xdr:colOff>
      <xdr:row>60</xdr:row>
      <xdr:rowOff>0</xdr:rowOff>
    </xdr:from>
    <xdr:ext cx="1029769" cy="392415"/>
    <xdr:sp macro="" textlink="">
      <xdr:nvSpPr>
        <xdr:cNvPr id="12" name="テキスト ボックス 11">
          <a:extLst>
            <a:ext uri="{FF2B5EF4-FFF2-40B4-BE49-F238E27FC236}">
              <a16:creationId xmlns:a16="http://schemas.microsoft.com/office/drawing/2014/main" id="{00000000-0008-0000-0500-000015000000}"/>
            </a:ext>
          </a:extLst>
        </xdr:cNvPr>
        <xdr:cNvSpPr txBox="1"/>
      </xdr:nvSpPr>
      <xdr:spPr>
        <a:xfrm>
          <a:off x="9124950" y="714375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p>
      </xdr:txBody>
    </xdr:sp>
    <xdr:clientData/>
  </xdr:oneCellAnchor>
  <xdr:oneCellAnchor>
    <xdr:from>
      <xdr:col>12</xdr:col>
      <xdr:colOff>0</xdr:colOff>
      <xdr:row>16</xdr:row>
      <xdr:rowOff>0</xdr:rowOff>
    </xdr:from>
    <xdr:ext cx="1307859" cy="392415"/>
    <xdr:sp macro="" textlink="">
      <xdr:nvSpPr>
        <xdr:cNvPr id="36" name="テキスト ボックス 35">
          <a:extLst>
            <a:ext uri="{FF2B5EF4-FFF2-40B4-BE49-F238E27FC236}">
              <a16:creationId xmlns:a16="http://schemas.microsoft.com/office/drawing/2014/main" id="{00000000-0008-0000-0500-000016000000}"/>
            </a:ext>
          </a:extLst>
        </xdr:cNvPr>
        <xdr:cNvSpPr txBox="1"/>
      </xdr:nvSpPr>
      <xdr:spPr>
        <a:xfrm>
          <a:off x="8105775" y="381000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12</xdr:col>
      <xdr:colOff>0</xdr:colOff>
      <xdr:row>25</xdr:row>
      <xdr:rowOff>0</xdr:rowOff>
    </xdr:from>
    <xdr:ext cx="954107" cy="392415"/>
    <xdr:sp macro="" textlink="">
      <xdr:nvSpPr>
        <xdr:cNvPr id="37" name="テキスト ボックス 36">
          <a:extLst>
            <a:ext uri="{FF2B5EF4-FFF2-40B4-BE49-F238E27FC236}">
              <a16:creationId xmlns:a16="http://schemas.microsoft.com/office/drawing/2014/main" id="{00000000-0008-0000-0500-000016000000}"/>
            </a:ext>
          </a:extLst>
        </xdr:cNvPr>
        <xdr:cNvSpPr txBox="1"/>
      </xdr:nvSpPr>
      <xdr:spPr>
        <a:xfrm>
          <a:off x="8105775" y="9525000"/>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インポート</a:t>
          </a:r>
        </a:p>
      </xdr:txBody>
    </xdr:sp>
    <xdr:clientData/>
  </xdr:oneCellAnchor>
  <xdr:oneCellAnchor>
    <xdr:from>
      <xdr:col>13</xdr:col>
      <xdr:colOff>0</xdr:colOff>
      <xdr:row>34</xdr:row>
      <xdr:rowOff>0</xdr:rowOff>
    </xdr:from>
    <xdr:ext cx="2077300" cy="392415"/>
    <xdr:sp macro="" textlink="">
      <xdr:nvSpPr>
        <xdr:cNvPr id="38" name="テキスト ボックス 37">
          <a:extLst>
            <a:ext uri="{FF2B5EF4-FFF2-40B4-BE49-F238E27FC236}">
              <a16:creationId xmlns:a16="http://schemas.microsoft.com/office/drawing/2014/main" id="{00000000-0008-0000-0500-000016000000}"/>
            </a:ext>
          </a:extLst>
        </xdr:cNvPr>
        <xdr:cNvSpPr txBox="1"/>
      </xdr:nvSpPr>
      <xdr:spPr>
        <a:xfrm>
          <a:off x="9124950" y="11668125"/>
          <a:ext cx="20773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、採取日時で集約</a:t>
          </a:r>
        </a:p>
      </xdr:txBody>
    </xdr:sp>
    <xdr:clientData/>
  </xdr:oneCellAnchor>
  <xdr:oneCellAnchor>
    <xdr:from>
      <xdr:col>13</xdr:col>
      <xdr:colOff>0</xdr:colOff>
      <xdr:row>43</xdr:row>
      <xdr:rowOff>0</xdr:rowOff>
    </xdr:from>
    <xdr:ext cx="2231188" cy="392415"/>
    <xdr:sp macro="" textlink="">
      <xdr:nvSpPr>
        <xdr:cNvPr id="39" name="テキスト ボックス 38">
          <a:extLst>
            <a:ext uri="{FF2B5EF4-FFF2-40B4-BE49-F238E27FC236}">
              <a16:creationId xmlns:a16="http://schemas.microsoft.com/office/drawing/2014/main" id="{00000000-0008-0000-0500-000016000000}"/>
            </a:ext>
          </a:extLst>
        </xdr:cNvPr>
        <xdr:cNvSpPr txBox="1"/>
      </xdr:nvSpPr>
      <xdr:spPr>
        <a:xfrm>
          <a:off x="9124950" y="13811250"/>
          <a:ext cx="223118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、実施年月日で集約</a:t>
          </a:r>
        </a:p>
      </xdr:txBody>
    </xdr:sp>
    <xdr:clientData/>
  </xdr:oneCellAnchor>
  <xdr:oneCellAnchor>
    <xdr:from>
      <xdr:col>11</xdr:col>
      <xdr:colOff>0</xdr:colOff>
      <xdr:row>54</xdr:row>
      <xdr:rowOff>0</xdr:rowOff>
    </xdr:from>
    <xdr:ext cx="755913" cy="392415"/>
    <xdr:sp macro="" textlink="">
      <xdr:nvSpPr>
        <xdr:cNvPr id="40" name="テキスト ボックス 39">
          <a:extLst>
            <a:ext uri="{FF2B5EF4-FFF2-40B4-BE49-F238E27FC236}">
              <a16:creationId xmlns:a16="http://schemas.microsoft.com/office/drawing/2014/main" id="{00000000-0008-0000-0500-000015000000}"/>
            </a:ext>
          </a:extLst>
        </xdr:cNvPr>
        <xdr:cNvSpPr txBox="1"/>
      </xdr:nvSpPr>
      <xdr:spPr>
        <a:xfrm>
          <a:off x="7829550" y="1357312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5</xdr:col>
      <xdr:colOff>228600</xdr:colOff>
      <xdr:row>32</xdr:row>
      <xdr:rowOff>123825</xdr:rowOff>
    </xdr:from>
    <xdr:ext cx="1907253" cy="392415"/>
    <xdr:sp macro="" textlink="">
      <xdr:nvSpPr>
        <xdr:cNvPr id="13" name="テキスト ボックス 12">
          <a:extLst>
            <a:ext uri="{FF2B5EF4-FFF2-40B4-BE49-F238E27FC236}">
              <a16:creationId xmlns:a16="http://schemas.microsoft.com/office/drawing/2014/main" id="{00000000-0008-0000-0500-000016000000}"/>
            </a:ext>
          </a:extLst>
        </xdr:cNvPr>
        <xdr:cNvSpPr txBox="1"/>
      </xdr:nvSpPr>
      <xdr:spPr>
        <a:xfrm>
          <a:off x="4171950" y="7743825"/>
          <a:ext cx="190725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row_no</a:t>
          </a:r>
          <a:r>
            <a:rPr kumimoji="1" lang="en-US" altLang="ja-JP" sz="1200" b="1" baseline="0">
              <a:solidFill>
                <a:srgbClr val="FF0000"/>
              </a:solidFill>
              <a:latin typeface="メイリオ" panose="020B0604030504040204" pitchFamily="50" charset="-128"/>
              <a:ea typeface="メイリオ" panose="020B0604030504040204" pitchFamily="50" charset="-128"/>
            </a:rPr>
            <a:t> = 1</a:t>
          </a:r>
          <a:r>
            <a:rPr kumimoji="1" lang="ja-JP" altLang="en-US" sz="1200" b="1" baseline="0">
              <a:solidFill>
                <a:srgbClr val="FF0000"/>
              </a:solidFill>
              <a:latin typeface="メイリオ" panose="020B0604030504040204" pitchFamily="50" charset="-128"/>
              <a:ea typeface="メイリオ" panose="020B0604030504040204" pitchFamily="50" charset="-128"/>
            </a:rPr>
            <a:t>で絞り込み</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235.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237.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239.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24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242.xml.rels><?xml version="1.0" encoding="UTF-8" standalone="yes"?>
<Relationships xmlns="http://schemas.openxmlformats.org/package/2006/relationships"><Relationship Id="rId1" Type="http://schemas.openxmlformats.org/officeDocument/2006/relationships/printerSettings" Target="../printerSettings/printerSettings242.bin"/></Relationships>
</file>

<file path=xl/worksheets/_rels/sheet243.xml.rels><?xml version="1.0" encoding="UTF-8" standalone="yes"?>
<Relationships xmlns="http://schemas.openxmlformats.org/package/2006/relationships"><Relationship Id="rId1" Type="http://schemas.openxmlformats.org/officeDocument/2006/relationships/printerSettings" Target="../printerSettings/printerSettings243.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244.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246.xml.rels><?xml version="1.0" encoding="UTF-8" standalone="yes"?>
<Relationships xmlns="http://schemas.openxmlformats.org/package/2006/relationships"><Relationship Id="rId1" Type="http://schemas.openxmlformats.org/officeDocument/2006/relationships/printerSettings" Target="../printerSettings/printerSettings24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4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24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250.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252.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252.bin"/></Relationships>
</file>

<file path=xl/worksheets/_rels/sheet254.xml.rels><?xml version="1.0" encoding="UTF-8" standalone="yes"?>
<Relationships xmlns="http://schemas.openxmlformats.org/package/2006/relationships"><Relationship Id="rId1" Type="http://schemas.openxmlformats.org/officeDocument/2006/relationships/printerSettings" Target="../printerSettings/printerSettings253.bin"/></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2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8"/>
  <sheetViews>
    <sheetView showGridLines="0" topLeftCell="A667" zoomScaleNormal="100" workbookViewId="0">
      <selection activeCell="G681" sqref="G681"/>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3179</v>
      </c>
      <c r="D3" s="78"/>
      <c r="W3" s="35" t="str">
        <f>"-- "&amp;B3&amp;" : "&amp;C3</f>
        <v>-- SQL_ID : 01_01</v>
      </c>
    </row>
    <row r="4" spans="2:23" ht="18.75" customHeight="1">
      <c r="B4" s="43" t="s">
        <v>158</v>
      </c>
      <c r="C4" s="147" t="str">
        <f>R7&amp;"登録"</f>
        <v>バックアップ_疾患データ_組み入れ第一条件登録</v>
      </c>
      <c r="D4" s="148"/>
      <c r="E4" s="148"/>
      <c r="F4" s="148"/>
      <c r="G4" s="148"/>
      <c r="H4" s="148"/>
      <c r="I4" s="148"/>
      <c r="J4" s="148"/>
      <c r="K4" s="148"/>
      <c r="L4" s="148"/>
      <c r="M4" s="148"/>
      <c r="N4" s="148"/>
      <c r="O4" s="148"/>
      <c r="P4" s="148"/>
      <c r="Q4" s="148"/>
      <c r="R4" s="148"/>
      <c r="S4" s="148"/>
      <c r="T4" s="148"/>
      <c r="U4" s="149"/>
      <c r="W4" s="35" t="str">
        <f>"-- "&amp;C4</f>
        <v>-- バックアップ_疾患データ_組み入れ第一条件登録</v>
      </c>
    </row>
    <row r="5" spans="2:23" ht="18.75" customHeight="1">
      <c r="B5" s="43" t="s">
        <v>159</v>
      </c>
      <c r="C5" s="136"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37"/>
      <c r="E5" s="137"/>
      <c r="F5" s="137"/>
      <c r="G5" s="137"/>
      <c r="H5" s="137"/>
      <c r="I5" s="137"/>
      <c r="J5" s="137"/>
      <c r="K5" s="137"/>
      <c r="L5" s="137"/>
      <c r="M5" s="137"/>
      <c r="N5" s="137"/>
      <c r="O5" s="137"/>
      <c r="P5" s="137"/>
      <c r="Q5" s="137"/>
      <c r="R5" s="137"/>
      <c r="S5" s="137"/>
      <c r="T5" s="137"/>
      <c r="U5" s="138"/>
      <c r="W5" s="35" t="str">
        <f>"-- "&amp;C5</f>
        <v>-- MML診断履歴情報モジュールからICD10コードがC900のもので絞り込んだ結果の一覧をバックアップ_疾患データ_組み入れ第一条件テーブルに格納する。</v>
      </c>
    </row>
    <row r="7" spans="2:23" ht="18.75" customHeight="1">
      <c r="C7" s="139" t="s">
        <v>3785</v>
      </c>
      <c r="D7" s="140"/>
      <c r="E7" s="143" t="s">
        <v>162</v>
      </c>
      <c r="F7" s="36"/>
      <c r="G7" s="36"/>
      <c r="H7" s="36"/>
      <c r="I7" s="36"/>
      <c r="J7" s="36"/>
      <c r="M7" s="36"/>
      <c r="N7" s="36"/>
      <c r="O7" s="36"/>
      <c r="P7" s="36"/>
      <c r="Q7" s="36"/>
      <c r="R7" s="139" t="s">
        <v>3784</v>
      </c>
      <c r="S7" s="140"/>
      <c r="T7" s="145" t="str">
        <f>エンティティ一覧!$O$2</f>
        <v>milscm_2023_009</v>
      </c>
    </row>
    <row r="8" spans="2:23" ht="18.75" customHeight="1">
      <c r="C8" s="141"/>
      <c r="D8" s="142"/>
      <c r="E8" s="144"/>
      <c r="F8" s="37"/>
      <c r="G8" s="37"/>
      <c r="H8" s="37"/>
      <c r="I8" s="37"/>
      <c r="J8" s="37"/>
      <c r="K8" s="37"/>
      <c r="L8" s="38"/>
      <c r="M8" s="37"/>
      <c r="N8" s="37"/>
      <c r="O8" s="37"/>
      <c r="P8" s="37"/>
      <c r="Q8" s="37"/>
      <c r="R8" s="141"/>
      <c r="S8" s="142"/>
      <c r="T8" s="146"/>
    </row>
    <row r="9" spans="2:23" ht="18.75" customHeight="1">
      <c r="K9" s="39"/>
      <c r="L9" s="40"/>
    </row>
    <row r="10" spans="2:23" ht="18.75" customHeight="1">
      <c r="C10" s="139" t="s">
        <v>3786</v>
      </c>
      <c r="D10" s="140"/>
      <c r="E10" s="143" t="s">
        <v>162</v>
      </c>
      <c r="F10" s="36"/>
      <c r="G10" s="36"/>
      <c r="H10" s="36"/>
      <c r="I10" s="36"/>
      <c r="J10" s="36"/>
      <c r="L10" s="41"/>
    </row>
    <row r="11" spans="2:23" ht="18.75" customHeight="1">
      <c r="C11" s="141"/>
      <c r="D11" s="142"/>
      <c r="E11" s="144"/>
      <c r="F11" s="37"/>
      <c r="G11" s="38"/>
      <c r="H11" s="37"/>
      <c r="I11" s="37"/>
      <c r="J11" s="37"/>
      <c r="K11" s="37"/>
    </row>
    <row r="12" spans="2:23" ht="18.75" customHeight="1">
      <c r="G12" s="41"/>
    </row>
    <row r="13" spans="2:23" ht="18.75" customHeight="1">
      <c r="C13" s="139" t="s">
        <v>3666</v>
      </c>
      <c r="D13" s="140"/>
      <c r="E13" s="143" t="s">
        <v>162</v>
      </c>
      <c r="F13" s="36"/>
      <c r="G13" s="41"/>
      <c r="H13" s="94"/>
      <c r="I13" s="94"/>
      <c r="J13" s="94"/>
      <c r="K13" s="94"/>
      <c r="L13" s="94"/>
    </row>
    <row r="14" spans="2:23" ht="18.75" customHeight="1">
      <c r="C14" s="141"/>
      <c r="D14" s="142"/>
      <c r="E14" s="144"/>
      <c r="F14" s="37"/>
      <c r="G14" s="94"/>
      <c r="H14" s="94"/>
      <c r="I14" s="94"/>
      <c r="J14" s="94"/>
      <c r="K14" s="94"/>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3182</v>
      </c>
      <c r="D20" s="78"/>
      <c r="W20" s="35" t="str">
        <f>"-- "&amp;B20&amp;" : "&amp;C20</f>
        <v>-- SQL_ID : 01_02</v>
      </c>
    </row>
    <row r="21" spans="2:23" ht="18.75" customHeight="1">
      <c r="B21" s="43" t="s">
        <v>158</v>
      </c>
      <c r="C21" s="147" t="str">
        <f>R24&amp;"登録"</f>
        <v>バックアップ_患者マスタ_組入れ第一条件登録</v>
      </c>
      <c r="D21" s="148"/>
      <c r="E21" s="148"/>
      <c r="F21" s="148"/>
      <c r="G21" s="148"/>
      <c r="H21" s="148"/>
      <c r="I21" s="148"/>
      <c r="J21" s="148"/>
      <c r="K21" s="148"/>
      <c r="L21" s="148"/>
      <c r="M21" s="148"/>
      <c r="N21" s="148"/>
      <c r="O21" s="148"/>
      <c r="P21" s="148"/>
      <c r="Q21" s="148"/>
      <c r="R21" s="148"/>
      <c r="S21" s="148"/>
      <c r="T21" s="148"/>
      <c r="U21" s="149"/>
      <c r="W21" s="35" t="str">
        <f>"-- "&amp;C21</f>
        <v>-- バックアップ_患者マスタ_組入れ第一条件登録</v>
      </c>
    </row>
    <row r="22" spans="2:23" ht="18.75" customHeight="1">
      <c r="B22" s="43" t="s">
        <v>159</v>
      </c>
      <c r="C22" s="136"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37"/>
      <c r="E22" s="137"/>
      <c r="F22" s="137"/>
      <c r="G22" s="137"/>
      <c r="H22" s="137"/>
      <c r="I22" s="137"/>
      <c r="J22" s="137"/>
      <c r="K22" s="137"/>
      <c r="L22" s="137"/>
      <c r="M22" s="137"/>
      <c r="N22" s="137"/>
      <c r="O22" s="137"/>
      <c r="P22" s="137"/>
      <c r="Q22" s="137"/>
      <c r="R22" s="137"/>
      <c r="S22" s="137"/>
      <c r="T22" s="137"/>
      <c r="U22" s="138"/>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39" t="s">
        <v>3180</v>
      </c>
      <c r="I24" s="140"/>
      <c r="J24" s="143" t="s">
        <v>162</v>
      </c>
      <c r="K24" s="36"/>
      <c r="M24" s="36"/>
      <c r="N24" s="36"/>
      <c r="O24" s="36"/>
      <c r="R24" s="139" t="s">
        <v>3674</v>
      </c>
      <c r="S24" s="140"/>
      <c r="T24" s="145" t="str">
        <f>エンティティ一覧!$O$2</f>
        <v>milscm_2023_009</v>
      </c>
    </row>
    <row r="25" spans="2:23" ht="18.75" customHeight="1">
      <c r="H25" s="141"/>
      <c r="I25" s="142"/>
      <c r="J25" s="144"/>
      <c r="K25" s="37"/>
      <c r="L25" s="38"/>
      <c r="M25" s="37"/>
      <c r="N25" s="37"/>
      <c r="O25" s="37"/>
      <c r="P25" s="37"/>
      <c r="Q25" s="38"/>
      <c r="R25" s="141"/>
      <c r="S25" s="142"/>
      <c r="T25" s="146"/>
    </row>
    <row r="26" spans="2:23" ht="18.75" customHeight="1">
      <c r="K26" s="39"/>
      <c r="L26" s="40"/>
      <c r="P26" s="39"/>
      <c r="Q26" s="40"/>
    </row>
    <row r="27" spans="2:23" ht="18.75" customHeight="1">
      <c r="C27" s="139" t="s">
        <v>3180</v>
      </c>
      <c r="D27" s="140"/>
      <c r="E27" s="143" t="s">
        <v>162</v>
      </c>
      <c r="H27" s="36"/>
      <c r="I27" s="36"/>
      <c r="J27" s="36"/>
      <c r="L27" s="41"/>
      <c r="P27" s="39"/>
      <c r="Q27" s="40"/>
    </row>
    <row r="28" spans="2:23" ht="18.75" customHeight="1">
      <c r="C28" s="141"/>
      <c r="D28" s="142"/>
      <c r="E28" s="144"/>
      <c r="F28" s="37"/>
      <c r="G28" s="38"/>
      <c r="H28" s="37"/>
      <c r="I28" s="37"/>
      <c r="J28" s="37"/>
      <c r="K28" s="37"/>
      <c r="P28" s="39"/>
      <c r="Q28" s="40"/>
    </row>
    <row r="29" spans="2:23" ht="18.75" customHeight="1">
      <c r="F29" s="39"/>
      <c r="G29" s="40"/>
      <c r="P29" s="39"/>
      <c r="Q29" s="40"/>
    </row>
    <row r="30" spans="2:23" ht="18.75" customHeight="1">
      <c r="C30" s="139" t="s">
        <v>3784</v>
      </c>
      <c r="D30" s="140"/>
      <c r="E30" s="145" t="str">
        <f>エンティティ一覧!$O$2</f>
        <v>milscm_2023_009</v>
      </c>
      <c r="G30" s="41"/>
      <c r="P30" s="39"/>
      <c r="Q30" s="40"/>
    </row>
    <row r="31" spans="2:23" ht="18.75" customHeight="1">
      <c r="C31" s="141"/>
      <c r="D31" s="142"/>
      <c r="E31" s="146"/>
      <c r="F31" s="37"/>
      <c r="P31" s="39"/>
      <c r="Q31" s="40"/>
    </row>
    <row r="32" spans="2:23" ht="18.75" customHeight="1">
      <c r="P32" s="39"/>
      <c r="Q32" s="40"/>
    </row>
    <row r="33" spans="2:23" ht="18.75" customHeight="1">
      <c r="M33" s="139" t="s">
        <v>3665</v>
      </c>
      <c r="N33" s="140"/>
      <c r="O33" s="143" t="s">
        <v>162</v>
      </c>
      <c r="Q33" s="41"/>
    </row>
    <row r="34" spans="2:23" ht="18.75" customHeight="1">
      <c r="M34" s="141"/>
      <c r="N34" s="142"/>
      <c r="O34" s="144"/>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3479</v>
      </c>
      <c r="D39" s="88"/>
      <c r="W39" s="35" t="str">
        <f>"-- "&amp;B39&amp;" : "&amp;C39</f>
        <v>-- SQL_ID : 01_A1-02</v>
      </c>
    </row>
    <row r="40" spans="2:23" ht="18.75" customHeight="1">
      <c r="B40" s="43" t="s">
        <v>158</v>
      </c>
      <c r="C40" s="147" t="str">
        <f>R43&amp;"登録"</f>
        <v>バックアップ_処方データ登録</v>
      </c>
      <c r="D40" s="148"/>
      <c r="E40" s="148"/>
      <c r="F40" s="148"/>
      <c r="G40" s="148"/>
      <c r="H40" s="148"/>
      <c r="I40" s="148"/>
      <c r="J40" s="148"/>
      <c r="K40" s="148"/>
      <c r="L40" s="148"/>
      <c r="M40" s="148"/>
      <c r="N40" s="148"/>
      <c r="O40" s="148"/>
      <c r="P40" s="148"/>
      <c r="Q40" s="148"/>
      <c r="R40" s="148"/>
      <c r="S40" s="148"/>
      <c r="T40" s="148"/>
      <c r="U40" s="149"/>
      <c r="W40" s="35" t="str">
        <f>"-- "&amp;C40</f>
        <v>-- バックアップ_処方データ登録</v>
      </c>
    </row>
    <row r="41" spans="2:23" ht="18.75" customHeight="1">
      <c r="B41" s="43" t="s">
        <v>159</v>
      </c>
      <c r="C41" s="136"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37"/>
      <c r="E41" s="137"/>
      <c r="F41" s="137"/>
      <c r="G41" s="137"/>
      <c r="H41" s="137"/>
      <c r="I41" s="137"/>
      <c r="J41" s="137"/>
      <c r="K41" s="137"/>
      <c r="L41" s="137"/>
      <c r="M41" s="137"/>
      <c r="N41" s="137"/>
      <c r="O41" s="137"/>
      <c r="P41" s="137"/>
      <c r="Q41" s="137"/>
      <c r="R41" s="137"/>
      <c r="S41" s="137"/>
      <c r="T41" s="137"/>
      <c r="U41" s="138"/>
      <c r="W41" s="35" t="str">
        <f>"-- "&amp;C41</f>
        <v>-- 処方データテーブルから組入れ条件の第一条件で絞り込んだ結果をバックアップ_処方データテーブルに格納する。</v>
      </c>
    </row>
    <row r="43" spans="2:23" ht="18.75" customHeight="1">
      <c r="C43" s="139" t="s">
        <v>3482</v>
      </c>
      <c r="D43" s="140"/>
      <c r="E43" s="143" t="s">
        <v>162</v>
      </c>
      <c r="H43" s="36"/>
      <c r="I43" s="36"/>
      <c r="J43" s="36"/>
      <c r="K43" s="36"/>
      <c r="L43" s="36"/>
      <c r="M43" s="36"/>
      <c r="N43" s="36"/>
      <c r="O43" s="36"/>
      <c r="P43" s="36"/>
      <c r="Q43" s="36"/>
      <c r="R43" s="139" t="str">
        <f>"バックアップ_"&amp;SUBSTITUTE(C43,"_結合","")</f>
        <v>バックアップ_処方データ</v>
      </c>
      <c r="S43" s="140"/>
      <c r="T43" s="145" t="str">
        <f>エンティティ一覧!$O$2</f>
        <v>milscm_2023_009</v>
      </c>
    </row>
    <row r="44" spans="2:23" ht="18.75" customHeight="1">
      <c r="C44" s="141"/>
      <c r="D44" s="142"/>
      <c r="E44" s="144"/>
      <c r="F44" s="37"/>
      <c r="G44" s="38"/>
      <c r="H44" s="37"/>
      <c r="I44" s="37"/>
      <c r="J44" s="37"/>
      <c r="K44" s="37"/>
      <c r="L44" s="37"/>
      <c r="M44" s="37"/>
      <c r="N44" s="37"/>
      <c r="O44" s="37"/>
      <c r="P44" s="37"/>
      <c r="Q44" s="37"/>
      <c r="R44" s="141"/>
      <c r="S44" s="142"/>
      <c r="T44" s="146"/>
    </row>
    <row r="45" spans="2:23" ht="18.75" customHeight="1">
      <c r="F45" s="39"/>
      <c r="G45" s="40"/>
    </row>
    <row r="46" spans="2:23" ht="18.75" customHeight="1">
      <c r="C46" s="139" t="s">
        <v>3181</v>
      </c>
      <c r="D46" s="140"/>
      <c r="E46" s="145" t="str">
        <f>エンティティ一覧!$O$2</f>
        <v>milscm_2023_009</v>
      </c>
      <c r="G46" s="41"/>
    </row>
    <row r="47" spans="2:23" ht="18.75" customHeight="1">
      <c r="C47" s="141"/>
      <c r="D47" s="142"/>
      <c r="E47" s="146"/>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3480</v>
      </c>
      <c r="D51" s="88"/>
      <c r="W51" s="35" t="str">
        <f>"-- "&amp;B51&amp;" : "&amp;C51</f>
        <v>-- SQL_ID : 01_A1-03</v>
      </c>
    </row>
    <row r="52" spans="2:23" ht="18.75" customHeight="1">
      <c r="B52" s="43" t="s">
        <v>158</v>
      </c>
      <c r="C52" s="147" t="str">
        <f>R55&amp;"登録"</f>
        <v>バックアップ_診療行為データ登録</v>
      </c>
      <c r="D52" s="148"/>
      <c r="E52" s="148"/>
      <c r="F52" s="148"/>
      <c r="G52" s="148"/>
      <c r="H52" s="148"/>
      <c r="I52" s="148"/>
      <c r="J52" s="148"/>
      <c r="K52" s="148"/>
      <c r="L52" s="148"/>
      <c r="M52" s="148"/>
      <c r="N52" s="148"/>
      <c r="O52" s="148"/>
      <c r="P52" s="148"/>
      <c r="Q52" s="148"/>
      <c r="R52" s="148"/>
      <c r="S52" s="148"/>
      <c r="T52" s="148"/>
      <c r="U52" s="149"/>
      <c r="W52" s="35" t="str">
        <f>"-- "&amp;C52</f>
        <v>-- バックアップ_診療行為データ登録</v>
      </c>
    </row>
    <row r="53" spans="2:23" ht="18.75" customHeight="1">
      <c r="B53" s="43" t="s">
        <v>159</v>
      </c>
      <c r="C53" s="136"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37"/>
      <c r="E53" s="137"/>
      <c r="F53" s="137"/>
      <c r="G53" s="137"/>
      <c r="H53" s="137"/>
      <c r="I53" s="137"/>
      <c r="J53" s="137"/>
      <c r="K53" s="137"/>
      <c r="L53" s="137"/>
      <c r="M53" s="137"/>
      <c r="N53" s="137"/>
      <c r="O53" s="137"/>
      <c r="P53" s="137"/>
      <c r="Q53" s="137"/>
      <c r="R53" s="137"/>
      <c r="S53" s="137"/>
      <c r="T53" s="137"/>
      <c r="U53" s="138"/>
      <c r="W53" s="35" t="str">
        <f>"-- "&amp;C53</f>
        <v>-- 診療行為データテーブルから組入れ条件の第一条件で絞り込んだ結果をバックアップ_診療行為データテーブルに格納する。</v>
      </c>
    </row>
    <row r="55" spans="2:23" ht="18.75" customHeight="1">
      <c r="C55" s="139" t="s">
        <v>3481</v>
      </c>
      <c r="D55" s="140"/>
      <c r="E55" s="143" t="s">
        <v>162</v>
      </c>
      <c r="H55" s="36"/>
      <c r="I55" s="36"/>
      <c r="J55" s="36"/>
      <c r="K55" s="36"/>
      <c r="L55" s="36"/>
      <c r="M55" s="36"/>
      <c r="N55" s="36"/>
      <c r="O55" s="36"/>
      <c r="P55" s="36"/>
      <c r="Q55" s="36"/>
      <c r="R55" s="139" t="str">
        <f>"バックアップ_"&amp;SUBSTITUTE(C55,"_結合","")</f>
        <v>バックアップ_診療行為データ</v>
      </c>
      <c r="S55" s="140"/>
      <c r="T55" s="145" t="str">
        <f>エンティティ一覧!$O$2</f>
        <v>milscm_2023_009</v>
      </c>
    </row>
    <row r="56" spans="2:23" ht="18.75" customHeight="1">
      <c r="C56" s="141"/>
      <c r="D56" s="142"/>
      <c r="E56" s="144"/>
      <c r="F56" s="37"/>
      <c r="G56" s="38"/>
      <c r="H56" s="37"/>
      <c r="I56" s="37"/>
      <c r="J56" s="37"/>
      <c r="K56" s="37"/>
      <c r="L56" s="37"/>
      <c r="M56" s="37"/>
      <c r="N56" s="37"/>
      <c r="O56" s="37"/>
      <c r="P56" s="37"/>
      <c r="Q56" s="37"/>
      <c r="R56" s="141"/>
      <c r="S56" s="142"/>
      <c r="T56" s="146"/>
    </row>
    <row r="57" spans="2:23" ht="18.75" customHeight="1">
      <c r="F57" s="39"/>
      <c r="G57" s="40"/>
    </row>
    <row r="58" spans="2:23" ht="18.75" customHeight="1">
      <c r="C58" s="139" t="s">
        <v>3181</v>
      </c>
      <c r="D58" s="140"/>
      <c r="E58" s="145" t="str">
        <f>エンティティ一覧!$O$2</f>
        <v>milscm_2023_009</v>
      </c>
      <c r="G58" s="41"/>
    </row>
    <row r="59" spans="2:23" ht="18.75" customHeight="1">
      <c r="C59" s="141"/>
      <c r="D59" s="142"/>
      <c r="E59" s="146"/>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3483</v>
      </c>
      <c r="D63" s="88"/>
      <c r="W63" s="35" t="str">
        <f>"-- "&amp;B63&amp;" : "&amp;C63</f>
        <v>-- SQL_ID : 01_A1-04</v>
      </c>
    </row>
    <row r="64" spans="2:23" ht="18.75" customHeight="1">
      <c r="B64" s="43" t="s">
        <v>158</v>
      </c>
      <c r="C64" s="147" t="str">
        <f>R67&amp;"登録"</f>
        <v>バックアップ_疾患データ登録</v>
      </c>
      <c r="D64" s="148"/>
      <c r="E64" s="148"/>
      <c r="F64" s="148"/>
      <c r="G64" s="148"/>
      <c r="H64" s="148"/>
      <c r="I64" s="148"/>
      <c r="J64" s="148"/>
      <c r="K64" s="148"/>
      <c r="L64" s="148"/>
      <c r="M64" s="148"/>
      <c r="N64" s="148"/>
      <c r="O64" s="148"/>
      <c r="P64" s="148"/>
      <c r="Q64" s="148"/>
      <c r="R64" s="148"/>
      <c r="S64" s="148"/>
      <c r="T64" s="148"/>
      <c r="U64" s="149"/>
      <c r="W64" s="35" t="str">
        <f>"-- "&amp;C64</f>
        <v>-- バックアップ_疾患データ登録</v>
      </c>
    </row>
    <row r="65" spans="2:23" ht="18.75" customHeight="1">
      <c r="B65" s="43" t="s">
        <v>159</v>
      </c>
      <c r="C65" s="136"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37"/>
      <c r="E65" s="137"/>
      <c r="F65" s="137"/>
      <c r="G65" s="137"/>
      <c r="H65" s="137"/>
      <c r="I65" s="137"/>
      <c r="J65" s="137"/>
      <c r="K65" s="137"/>
      <c r="L65" s="137"/>
      <c r="M65" s="137"/>
      <c r="N65" s="137"/>
      <c r="O65" s="137"/>
      <c r="P65" s="137"/>
      <c r="Q65" s="137"/>
      <c r="R65" s="137"/>
      <c r="S65" s="137"/>
      <c r="T65" s="137"/>
      <c r="U65" s="138"/>
      <c r="W65" s="35" t="str">
        <f>"-- "&amp;C65</f>
        <v>-- 疾患データテーブルから組入れ条件の第一条件で絞り込んだ結果をバックアップ_疾患データテーブルに格納する。</v>
      </c>
    </row>
    <row r="67" spans="2:23" ht="18.75" customHeight="1">
      <c r="C67" s="139" t="s">
        <v>3484</v>
      </c>
      <c r="D67" s="140"/>
      <c r="E67" s="143" t="s">
        <v>162</v>
      </c>
      <c r="H67" s="36"/>
      <c r="I67" s="36"/>
      <c r="J67" s="36"/>
      <c r="K67" s="36"/>
      <c r="L67" s="36"/>
      <c r="M67" s="36"/>
      <c r="N67" s="36"/>
      <c r="O67" s="36"/>
      <c r="P67" s="36"/>
      <c r="Q67" s="36"/>
      <c r="R67" s="139" t="str">
        <f>"バックアップ_"&amp;SUBSTITUTE(C67,"_結合","")</f>
        <v>バックアップ_疾患データ</v>
      </c>
      <c r="S67" s="140"/>
      <c r="T67" s="145" t="str">
        <f>エンティティ一覧!$O$2</f>
        <v>milscm_2023_009</v>
      </c>
    </row>
    <row r="68" spans="2:23" ht="18.75" customHeight="1">
      <c r="C68" s="141"/>
      <c r="D68" s="142"/>
      <c r="E68" s="144"/>
      <c r="F68" s="37"/>
      <c r="G68" s="38"/>
      <c r="H68" s="37"/>
      <c r="I68" s="37"/>
      <c r="J68" s="37"/>
      <c r="K68" s="37"/>
      <c r="L68" s="37"/>
      <c r="M68" s="37"/>
      <c r="N68" s="37"/>
      <c r="O68" s="37"/>
      <c r="P68" s="37"/>
      <c r="Q68" s="37"/>
      <c r="R68" s="141"/>
      <c r="S68" s="142"/>
      <c r="T68" s="146"/>
    </row>
    <row r="69" spans="2:23" ht="18.75" customHeight="1">
      <c r="F69" s="39"/>
      <c r="G69" s="40"/>
    </row>
    <row r="70" spans="2:23" ht="18.75" customHeight="1">
      <c r="C70" s="139" t="s">
        <v>3181</v>
      </c>
      <c r="D70" s="140"/>
      <c r="E70" s="145" t="str">
        <f>エンティティ一覧!$O$2</f>
        <v>milscm_2023_009</v>
      </c>
      <c r="G70" s="41"/>
    </row>
    <row r="71" spans="2:23" ht="18.75" customHeight="1">
      <c r="C71" s="141"/>
      <c r="D71" s="142"/>
      <c r="E71" s="146"/>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3485</v>
      </c>
      <c r="D75" s="88"/>
      <c r="W75" s="35" t="str">
        <f>"-- "&amp;B75&amp;" : "&amp;C75</f>
        <v>-- SQL_ID : 01_A1-05</v>
      </c>
    </row>
    <row r="76" spans="2:23" ht="18.75" customHeight="1">
      <c r="B76" s="43" t="s">
        <v>158</v>
      </c>
      <c r="C76" s="147" t="str">
        <f>R79&amp;"登録"</f>
        <v>バックアップ_疾患診療科データ登録</v>
      </c>
      <c r="D76" s="148"/>
      <c r="E76" s="148"/>
      <c r="F76" s="148"/>
      <c r="G76" s="148"/>
      <c r="H76" s="148"/>
      <c r="I76" s="148"/>
      <c r="J76" s="148"/>
      <c r="K76" s="148"/>
      <c r="L76" s="148"/>
      <c r="M76" s="148"/>
      <c r="N76" s="148"/>
      <c r="O76" s="148"/>
      <c r="P76" s="148"/>
      <c r="Q76" s="148"/>
      <c r="R76" s="148"/>
      <c r="S76" s="148"/>
      <c r="T76" s="148"/>
      <c r="U76" s="149"/>
      <c r="W76" s="35" t="str">
        <f>"-- "&amp;C76</f>
        <v>-- バックアップ_疾患診療科データ登録</v>
      </c>
    </row>
    <row r="77" spans="2:23" ht="18.75" customHeight="1">
      <c r="B77" s="43" t="s">
        <v>159</v>
      </c>
      <c r="C77" s="136"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37"/>
      <c r="E77" s="137"/>
      <c r="F77" s="137"/>
      <c r="G77" s="137"/>
      <c r="H77" s="137"/>
      <c r="I77" s="137"/>
      <c r="J77" s="137"/>
      <c r="K77" s="137"/>
      <c r="L77" s="137"/>
      <c r="M77" s="137"/>
      <c r="N77" s="137"/>
      <c r="O77" s="137"/>
      <c r="P77" s="137"/>
      <c r="Q77" s="137"/>
      <c r="R77" s="137"/>
      <c r="S77" s="137"/>
      <c r="T77" s="137"/>
      <c r="U77" s="138"/>
      <c r="W77" s="35" t="str">
        <f>"-- "&amp;C77</f>
        <v>-- 疾患診療科データテーブルから組入れ条件の第一条件で絞り込んだ結果をバックアップ_疾患診療科データテーブルに格納する。</v>
      </c>
    </row>
    <row r="79" spans="2:23" ht="18.75" customHeight="1">
      <c r="C79" s="139" t="s">
        <v>3486</v>
      </c>
      <c r="D79" s="140"/>
      <c r="E79" s="143" t="s">
        <v>162</v>
      </c>
      <c r="F79" s="36"/>
      <c r="G79" s="36"/>
      <c r="H79" s="36"/>
      <c r="I79" s="36"/>
      <c r="J79" s="36"/>
      <c r="K79" s="36"/>
      <c r="L79" s="36"/>
      <c r="M79" s="36"/>
      <c r="N79" s="36"/>
      <c r="O79" s="36"/>
      <c r="P79" s="36"/>
      <c r="Q79" s="36"/>
      <c r="R79" s="139" t="str">
        <f>"バックアップ_"&amp;SUBSTITUTE(C79,"_結合","")</f>
        <v>バックアップ_疾患診療科データ</v>
      </c>
      <c r="S79" s="140"/>
      <c r="T79" s="145" t="str">
        <f>エンティティ一覧!$O$2</f>
        <v>milscm_2023_009</v>
      </c>
    </row>
    <row r="80" spans="2:23" ht="18.75" customHeight="1">
      <c r="C80" s="141"/>
      <c r="D80" s="142"/>
      <c r="E80" s="144"/>
      <c r="F80" s="37"/>
      <c r="G80" s="37"/>
      <c r="H80" s="37"/>
      <c r="I80" s="37"/>
      <c r="J80" s="37"/>
      <c r="K80" s="37"/>
      <c r="L80" s="37"/>
      <c r="M80" s="37"/>
      <c r="N80" s="37"/>
      <c r="O80" s="37"/>
      <c r="P80" s="37"/>
      <c r="Q80" s="37"/>
      <c r="R80" s="141"/>
      <c r="S80" s="142"/>
      <c r="T80" s="146"/>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3487</v>
      </c>
      <c r="D84" s="88"/>
      <c r="W84" s="35" t="str">
        <f>"-- "&amp;B84&amp;" : "&amp;C84</f>
        <v>-- SQL_ID : 01_A1-06</v>
      </c>
    </row>
    <row r="85" spans="2:23" ht="18.75" customHeight="1">
      <c r="B85" s="43" t="s">
        <v>158</v>
      </c>
      <c r="C85" s="147" t="str">
        <f>R88&amp;"登録"</f>
        <v>バックアップ_入院退院データ登録</v>
      </c>
      <c r="D85" s="148"/>
      <c r="E85" s="148"/>
      <c r="F85" s="148"/>
      <c r="G85" s="148"/>
      <c r="H85" s="148"/>
      <c r="I85" s="148"/>
      <c r="J85" s="148"/>
      <c r="K85" s="148"/>
      <c r="L85" s="148"/>
      <c r="M85" s="148"/>
      <c r="N85" s="148"/>
      <c r="O85" s="148"/>
      <c r="P85" s="148"/>
      <c r="Q85" s="148"/>
      <c r="R85" s="148"/>
      <c r="S85" s="148"/>
      <c r="T85" s="148"/>
      <c r="U85" s="149"/>
      <c r="W85" s="35" t="str">
        <f>"-- "&amp;C85</f>
        <v>-- バックアップ_入院退院データ登録</v>
      </c>
    </row>
    <row r="86" spans="2:23" ht="18.75" customHeight="1">
      <c r="B86" s="43" t="s">
        <v>159</v>
      </c>
      <c r="C86" s="136"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37"/>
      <c r="E86" s="137"/>
      <c r="F86" s="137"/>
      <c r="G86" s="137"/>
      <c r="H86" s="137"/>
      <c r="I86" s="137"/>
      <c r="J86" s="137"/>
      <c r="K86" s="137"/>
      <c r="L86" s="137"/>
      <c r="M86" s="137"/>
      <c r="N86" s="137"/>
      <c r="O86" s="137"/>
      <c r="P86" s="137"/>
      <c r="Q86" s="137"/>
      <c r="R86" s="137"/>
      <c r="S86" s="137"/>
      <c r="T86" s="137"/>
      <c r="U86" s="138"/>
      <c r="W86" s="35" t="str">
        <f>"-- "&amp;C86</f>
        <v>-- 入院退院データテーブルから組入れ条件の第一条件で絞り込んだ結果をバックアップ_入院退院データテーブルに格納する。</v>
      </c>
    </row>
    <row r="88" spans="2:23" ht="18.75" customHeight="1">
      <c r="C88" s="139" t="s">
        <v>3488</v>
      </c>
      <c r="D88" s="140"/>
      <c r="E88" s="143" t="s">
        <v>162</v>
      </c>
      <c r="H88" s="36"/>
      <c r="I88" s="36"/>
      <c r="J88" s="36"/>
      <c r="K88" s="36"/>
      <c r="L88" s="36"/>
      <c r="M88" s="36"/>
      <c r="N88" s="36"/>
      <c r="O88" s="36"/>
      <c r="P88" s="36"/>
      <c r="Q88" s="36"/>
      <c r="R88" s="139" t="str">
        <f>"バックアップ_"&amp;SUBSTITUTE(C88,"_結合","")</f>
        <v>バックアップ_入院退院データ</v>
      </c>
      <c r="S88" s="140"/>
      <c r="T88" s="145" t="str">
        <f>エンティティ一覧!$O$2</f>
        <v>milscm_2023_009</v>
      </c>
    </row>
    <row r="89" spans="2:23" ht="18.75" customHeight="1">
      <c r="C89" s="141"/>
      <c r="D89" s="142"/>
      <c r="E89" s="144"/>
      <c r="F89" s="37"/>
      <c r="G89" s="38"/>
      <c r="H89" s="37"/>
      <c r="I89" s="37"/>
      <c r="J89" s="37"/>
      <c r="K89" s="37"/>
      <c r="L89" s="37"/>
      <c r="M89" s="37"/>
      <c r="N89" s="37"/>
      <c r="O89" s="37"/>
      <c r="P89" s="37"/>
      <c r="Q89" s="37"/>
      <c r="R89" s="141"/>
      <c r="S89" s="142"/>
      <c r="T89" s="146"/>
    </row>
    <row r="90" spans="2:23" ht="18.75" customHeight="1">
      <c r="F90" s="39"/>
      <c r="G90" s="40"/>
    </row>
    <row r="91" spans="2:23" ht="18.75" customHeight="1">
      <c r="C91" s="139" t="s">
        <v>3181</v>
      </c>
      <c r="D91" s="140"/>
      <c r="E91" s="145" t="str">
        <f>エンティティ一覧!$O$2</f>
        <v>milscm_2023_009</v>
      </c>
      <c r="G91" s="41"/>
    </row>
    <row r="92" spans="2:23" ht="18.75" customHeight="1">
      <c r="C92" s="141"/>
      <c r="D92" s="142"/>
      <c r="E92" s="146"/>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3489</v>
      </c>
      <c r="D96" s="88"/>
      <c r="W96" s="35" t="str">
        <f>"-- "&amp;B96&amp;" : "&amp;C96</f>
        <v>-- SQL_ID : 01_A1-07</v>
      </c>
    </row>
    <row r="97" spans="2:23" ht="18.75" customHeight="1">
      <c r="B97" s="43" t="s">
        <v>158</v>
      </c>
      <c r="C97" s="147" t="str">
        <f>R100&amp;"登録"</f>
        <v>バックアップ_二次利用DB登録患者データ登録</v>
      </c>
      <c r="D97" s="148"/>
      <c r="E97" s="148"/>
      <c r="F97" s="148"/>
      <c r="G97" s="148"/>
      <c r="H97" s="148"/>
      <c r="I97" s="148"/>
      <c r="J97" s="148"/>
      <c r="K97" s="148"/>
      <c r="L97" s="148"/>
      <c r="M97" s="148"/>
      <c r="N97" s="148"/>
      <c r="O97" s="148"/>
      <c r="P97" s="148"/>
      <c r="Q97" s="148"/>
      <c r="R97" s="148"/>
      <c r="S97" s="148"/>
      <c r="T97" s="148"/>
      <c r="U97" s="149"/>
      <c r="W97" s="35" t="str">
        <f>"-- "&amp;C97</f>
        <v>-- バックアップ_二次利用DB登録患者データ登録</v>
      </c>
    </row>
    <row r="98" spans="2:23" ht="18.75" customHeight="1">
      <c r="B98" s="43" t="s">
        <v>159</v>
      </c>
      <c r="C98" s="136"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37"/>
      <c r="E98" s="137"/>
      <c r="F98" s="137"/>
      <c r="G98" s="137"/>
      <c r="H98" s="137"/>
      <c r="I98" s="137"/>
      <c r="J98" s="137"/>
      <c r="K98" s="137"/>
      <c r="L98" s="137"/>
      <c r="M98" s="137"/>
      <c r="N98" s="137"/>
      <c r="O98" s="137"/>
      <c r="P98" s="137"/>
      <c r="Q98" s="137"/>
      <c r="R98" s="137"/>
      <c r="S98" s="137"/>
      <c r="T98" s="137"/>
      <c r="U98" s="138"/>
      <c r="W98" s="35" t="str">
        <f>"-- "&amp;C98</f>
        <v>-- 二次利用DB登録患者データテーブルから組入れ条件の第一条件で絞り込んだ結果をバックアップ_二次利用DB登録患者データテーブルに格納する。</v>
      </c>
    </row>
    <row r="100" spans="2:23" ht="18.75" customHeight="1">
      <c r="C100" s="139" t="s">
        <v>3490</v>
      </c>
      <c r="D100" s="140"/>
      <c r="E100" s="143" t="s">
        <v>162</v>
      </c>
      <c r="H100" s="36"/>
      <c r="I100" s="36"/>
      <c r="J100" s="36"/>
      <c r="K100" s="36"/>
      <c r="L100" s="36"/>
      <c r="M100" s="36"/>
      <c r="N100" s="36"/>
      <c r="O100" s="36"/>
      <c r="P100" s="36"/>
      <c r="Q100" s="36"/>
      <c r="R100" s="139" t="str">
        <f>"バックアップ_"&amp;SUBSTITUTE(C100,"_結合","")</f>
        <v>バックアップ_二次利用DB登録患者データ</v>
      </c>
      <c r="S100" s="140"/>
      <c r="T100" s="145" t="str">
        <f>エンティティ一覧!$O$2</f>
        <v>milscm_2023_009</v>
      </c>
    </row>
    <row r="101" spans="2:23" ht="18.75" customHeight="1">
      <c r="C101" s="141"/>
      <c r="D101" s="142"/>
      <c r="E101" s="144"/>
      <c r="F101" s="37"/>
      <c r="G101" s="38"/>
      <c r="H101" s="37"/>
      <c r="I101" s="37"/>
      <c r="J101" s="37"/>
      <c r="K101" s="37"/>
      <c r="L101" s="37"/>
      <c r="M101" s="37"/>
      <c r="N101" s="37"/>
      <c r="O101" s="37"/>
      <c r="P101" s="37"/>
      <c r="Q101" s="37"/>
      <c r="R101" s="141"/>
      <c r="S101" s="142"/>
      <c r="T101" s="146"/>
    </row>
    <row r="102" spans="2:23" ht="18.75" customHeight="1">
      <c r="F102" s="39"/>
      <c r="G102" s="40"/>
    </row>
    <row r="103" spans="2:23" ht="18.75" customHeight="1">
      <c r="C103" s="139" t="s">
        <v>3181</v>
      </c>
      <c r="D103" s="140"/>
      <c r="E103" s="145" t="str">
        <f>エンティティ一覧!$O$2</f>
        <v>milscm_2023_009</v>
      </c>
      <c r="G103" s="41"/>
    </row>
    <row r="104" spans="2:23" ht="18.75" customHeight="1">
      <c r="C104" s="141"/>
      <c r="D104" s="142"/>
      <c r="E104" s="146"/>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3491</v>
      </c>
      <c r="D108" s="88"/>
      <c r="W108" s="35" t="str">
        <f>"-- "&amp;B108&amp;" : "&amp;C108</f>
        <v>-- SQL_ID : 01_A1-08</v>
      </c>
    </row>
    <row r="109" spans="2:23" ht="18.75" customHeight="1">
      <c r="B109" s="43" t="s">
        <v>158</v>
      </c>
      <c r="C109" s="147" t="str">
        <f>R112&amp;"登録"</f>
        <v>バックアップ_二次利用DB登録患者データ_DPC登録</v>
      </c>
      <c r="D109" s="148"/>
      <c r="E109" s="148"/>
      <c r="F109" s="148"/>
      <c r="G109" s="148"/>
      <c r="H109" s="148"/>
      <c r="I109" s="148"/>
      <c r="J109" s="148"/>
      <c r="K109" s="148"/>
      <c r="L109" s="148"/>
      <c r="M109" s="148"/>
      <c r="N109" s="148"/>
      <c r="O109" s="148"/>
      <c r="P109" s="148"/>
      <c r="Q109" s="148"/>
      <c r="R109" s="148"/>
      <c r="S109" s="148"/>
      <c r="T109" s="148"/>
      <c r="U109" s="149"/>
      <c r="W109" s="35" t="str">
        <f>"-- "&amp;C109</f>
        <v>-- バックアップ_二次利用DB登録患者データ_DPC登録</v>
      </c>
    </row>
    <row r="110" spans="2:23" ht="18.75" customHeight="1">
      <c r="B110" s="43" t="s">
        <v>159</v>
      </c>
      <c r="C110" s="136"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37"/>
      <c r="E110" s="137"/>
      <c r="F110" s="137"/>
      <c r="G110" s="137"/>
      <c r="H110" s="137"/>
      <c r="I110" s="137"/>
      <c r="J110" s="137"/>
      <c r="K110" s="137"/>
      <c r="L110" s="137"/>
      <c r="M110" s="137"/>
      <c r="N110" s="137"/>
      <c r="O110" s="137"/>
      <c r="P110" s="137"/>
      <c r="Q110" s="137"/>
      <c r="R110" s="137"/>
      <c r="S110" s="137"/>
      <c r="T110" s="137"/>
      <c r="U110" s="138"/>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39" t="s">
        <v>3492</v>
      </c>
      <c r="D112" s="140"/>
      <c r="E112" s="143" t="s">
        <v>162</v>
      </c>
      <c r="H112" s="36"/>
      <c r="I112" s="36"/>
      <c r="J112" s="36"/>
      <c r="K112" s="36"/>
      <c r="L112" s="36"/>
      <c r="M112" s="36"/>
      <c r="N112" s="36"/>
      <c r="O112" s="36"/>
      <c r="P112" s="36"/>
      <c r="Q112" s="36"/>
      <c r="R112" s="139" t="str">
        <f>"バックアップ_"&amp;SUBSTITUTE(C112,"_結合","")</f>
        <v>バックアップ_二次利用DB登録患者データ_DPC</v>
      </c>
      <c r="S112" s="140"/>
      <c r="T112" s="145" t="str">
        <f>エンティティ一覧!$O$2</f>
        <v>milscm_2023_009</v>
      </c>
    </row>
    <row r="113" spans="2:23" ht="18.75" customHeight="1">
      <c r="C113" s="141"/>
      <c r="D113" s="142"/>
      <c r="E113" s="144"/>
      <c r="F113" s="37"/>
      <c r="G113" s="38"/>
      <c r="H113" s="37"/>
      <c r="I113" s="37"/>
      <c r="J113" s="37"/>
      <c r="K113" s="37"/>
      <c r="L113" s="37"/>
      <c r="M113" s="37"/>
      <c r="N113" s="37"/>
      <c r="O113" s="37"/>
      <c r="P113" s="37"/>
      <c r="Q113" s="37"/>
      <c r="R113" s="141"/>
      <c r="S113" s="142"/>
      <c r="T113" s="146"/>
    </row>
    <row r="114" spans="2:23" ht="18.75" customHeight="1">
      <c r="F114" s="39"/>
      <c r="G114" s="40"/>
    </row>
    <row r="115" spans="2:23" ht="18.75" customHeight="1">
      <c r="C115" s="139" t="s">
        <v>3181</v>
      </c>
      <c r="D115" s="140"/>
      <c r="E115" s="145" t="str">
        <f>エンティティ一覧!$O$2</f>
        <v>milscm_2023_009</v>
      </c>
      <c r="G115" s="41"/>
    </row>
    <row r="116" spans="2:23" ht="18.75" customHeight="1">
      <c r="C116" s="141"/>
      <c r="D116" s="142"/>
      <c r="E116" s="146"/>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3493</v>
      </c>
      <c r="D120" s="88"/>
      <c r="W120" s="35" t="str">
        <f>"-- "&amp;B120&amp;" : "&amp;C120</f>
        <v>-- SQL_ID : 01_A1-09</v>
      </c>
    </row>
    <row r="121" spans="2:23" ht="18.75" customHeight="1">
      <c r="B121" s="43" t="s">
        <v>158</v>
      </c>
      <c r="C121" s="147" t="str">
        <f>R124&amp;"登録"</f>
        <v>バックアップ_二次利用DB登録患者データ_レセプト登録</v>
      </c>
      <c r="D121" s="148"/>
      <c r="E121" s="148"/>
      <c r="F121" s="148"/>
      <c r="G121" s="148"/>
      <c r="H121" s="148"/>
      <c r="I121" s="148"/>
      <c r="J121" s="148"/>
      <c r="K121" s="148"/>
      <c r="L121" s="148"/>
      <c r="M121" s="148"/>
      <c r="N121" s="148"/>
      <c r="O121" s="148"/>
      <c r="P121" s="148"/>
      <c r="Q121" s="148"/>
      <c r="R121" s="148"/>
      <c r="S121" s="148"/>
      <c r="T121" s="148"/>
      <c r="U121" s="149"/>
      <c r="W121" s="35" t="str">
        <f>"-- "&amp;C121</f>
        <v>-- バックアップ_二次利用DB登録患者データ_レセプト登録</v>
      </c>
    </row>
    <row r="122" spans="2:23" ht="18.75" customHeight="1">
      <c r="B122" s="43" t="s">
        <v>159</v>
      </c>
      <c r="C122" s="136"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37"/>
      <c r="E122" s="137"/>
      <c r="F122" s="137"/>
      <c r="G122" s="137"/>
      <c r="H122" s="137"/>
      <c r="I122" s="137"/>
      <c r="J122" s="137"/>
      <c r="K122" s="137"/>
      <c r="L122" s="137"/>
      <c r="M122" s="137"/>
      <c r="N122" s="137"/>
      <c r="O122" s="137"/>
      <c r="P122" s="137"/>
      <c r="Q122" s="137"/>
      <c r="R122" s="137"/>
      <c r="S122" s="137"/>
      <c r="T122" s="137"/>
      <c r="U122" s="138"/>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39" t="s">
        <v>3494</v>
      </c>
      <c r="D124" s="140"/>
      <c r="E124" s="143" t="s">
        <v>162</v>
      </c>
      <c r="H124" s="36"/>
      <c r="I124" s="36"/>
      <c r="J124" s="36"/>
      <c r="K124" s="36"/>
      <c r="L124" s="36"/>
      <c r="M124" s="36"/>
      <c r="N124" s="36"/>
      <c r="O124" s="36"/>
      <c r="P124" s="36"/>
      <c r="Q124" s="36"/>
      <c r="R124" s="139" t="str">
        <f>"バックアップ_"&amp;SUBSTITUTE(C124,"_結合","")</f>
        <v>バックアップ_二次利用DB登録患者データ_レセプト</v>
      </c>
      <c r="S124" s="140"/>
      <c r="T124" s="145" t="str">
        <f>エンティティ一覧!$O$2</f>
        <v>milscm_2023_009</v>
      </c>
    </row>
    <row r="125" spans="2:23" ht="18.75" customHeight="1">
      <c r="C125" s="141"/>
      <c r="D125" s="142"/>
      <c r="E125" s="144"/>
      <c r="F125" s="37"/>
      <c r="G125" s="38"/>
      <c r="H125" s="37"/>
      <c r="I125" s="37"/>
      <c r="J125" s="37"/>
      <c r="K125" s="37"/>
      <c r="L125" s="37"/>
      <c r="M125" s="37"/>
      <c r="N125" s="37"/>
      <c r="O125" s="37"/>
      <c r="P125" s="37"/>
      <c r="Q125" s="37"/>
      <c r="R125" s="141"/>
      <c r="S125" s="142"/>
      <c r="T125" s="146"/>
    </row>
    <row r="126" spans="2:23" ht="18.75" customHeight="1">
      <c r="F126" s="39"/>
      <c r="G126" s="40"/>
    </row>
    <row r="127" spans="2:23" ht="18.75" customHeight="1">
      <c r="C127" s="139" t="s">
        <v>3181</v>
      </c>
      <c r="D127" s="140"/>
      <c r="E127" s="145" t="str">
        <f>エンティティ一覧!$O$2</f>
        <v>milscm_2023_009</v>
      </c>
      <c r="G127" s="41"/>
    </row>
    <row r="128" spans="2:23" ht="18.75" customHeight="1">
      <c r="C128" s="141"/>
      <c r="D128" s="142"/>
      <c r="E128" s="146"/>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3495</v>
      </c>
      <c r="D132" s="88"/>
      <c r="W132" s="35" t="str">
        <f>"-- "&amp;B132&amp;" : "&amp;C132</f>
        <v>-- SQL_ID : 01_A1-10</v>
      </c>
    </row>
    <row r="133" spans="2:23" ht="18.75" customHeight="1">
      <c r="B133" s="43" t="s">
        <v>158</v>
      </c>
      <c r="C133" s="147" t="str">
        <f>R136&amp;"登録"</f>
        <v>バックアップ_二次利用DB登録患者データ_MML登録</v>
      </c>
      <c r="D133" s="148"/>
      <c r="E133" s="148"/>
      <c r="F133" s="148"/>
      <c r="G133" s="148"/>
      <c r="H133" s="148"/>
      <c r="I133" s="148"/>
      <c r="J133" s="148"/>
      <c r="K133" s="148"/>
      <c r="L133" s="148"/>
      <c r="M133" s="148"/>
      <c r="N133" s="148"/>
      <c r="O133" s="148"/>
      <c r="P133" s="148"/>
      <c r="Q133" s="148"/>
      <c r="R133" s="148"/>
      <c r="S133" s="148"/>
      <c r="T133" s="148"/>
      <c r="U133" s="149"/>
      <c r="W133" s="35" t="str">
        <f>"-- "&amp;C133</f>
        <v>-- バックアップ_二次利用DB登録患者データ_MML登録</v>
      </c>
    </row>
    <row r="134" spans="2:23" ht="18.75" customHeight="1">
      <c r="B134" s="43" t="s">
        <v>159</v>
      </c>
      <c r="C134" s="136"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37"/>
      <c r="E134" s="137"/>
      <c r="F134" s="137"/>
      <c r="G134" s="137"/>
      <c r="H134" s="137"/>
      <c r="I134" s="137"/>
      <c r="J134" s="137"/>
      <c r="K134" s="137"/>
      <c r="L134" s="137"/>
      <c r="M134" s="137"/>
      <c r="N134" s="137"/>
      <c r="O134" s="137"/>
      <c r="P134" s="137"/>
      <c r="Q134" s="137"/>
      <c r="R134" s="137"/>
      <c r="S134" s="137"/>
      <c r="T134" s="137"/>
      <c r="U134" s="138"/>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39" t="s">
        <v>3496</v>
      </c>
      <c r="D136" s="140"/>
      <c r="E136" s="143" t="s">
        <v>162</v>
      </c>
      <c r="H136" s="36"/>
      <c r="I136" s="36"/>
      <c r="J136" s="36"/>
      <c r="K136" s="36"/>
      <c r="L136" s="36"/>
      <c r="M136" s="36"/>
      <c r="N136" s="36"/>
      <c r="O136" s="36"/>
      <c r="P136" s="36"/>
      <c r="Q136" s="36"/>
      <c r="R136" s="139" t="str">
        <f>"バックアップ_"&amp;SUBSTITUTE(C136,"_結合","")</f>
        <v>バックアップ_二次利用DB登録患者データ_MML</v>
      </c>
      <c r="S136" s="140"/>
      <c r="T136" s="145" t="str">
        <f>エンティティ一覧!$O$2</f>
        <v>milscm_2023_009</v>
      </c>
    </row>
    <row r="137" spans="2:23" ht="18.75" customHeight="1">
      <c r="C137" s="141"/>
      <c r="D137" s="142"/>
      <c r="E137" s="144"/>
      <c r="F137" s="37"/>
      <c r="G137" s="38"/>
      <c r="H137" s="37"/>
      <c r="I137" s="37"/>
      <c r="J137" s="37"/>
      <c r="K137" s="37"/>
      <c r="L137" s="37"/>
      <c r="M137" s="37"/>
      <c r="N137" s="37"/>
      <c r="O137" s="37"/>
      <c r="P137" s="37"/>
      <c r="Q137" s="37"/>
      <c r="R137" s="141"/>
      <c r="S137" s="142"/>
      <c r="T137" s="146"/>
    </row>
    <row r="138" spans="2:23" ht="18.75" customHeight="1">
      <c r="F138" s="39"/>
      <c r="G138" s="40"/>
    </row>
    <row r="139" spans="2:23" ht="18.75" customHeight="1">
      <c r="C139" s="139" t="s">
        <v>3181</v>
      </c>
      <c r="D139" s="140"/>
      <c r="E139" s="145" t="str">
        <f>エンティティ一覧!$O$2</f>
        <v>milscm_2023_009</v>
      </c>
      <c r="G139" s="41"/>
    </row>
    <row r="140" spans="2:23" ht="18.75" customHeight="1">
      <c r="C140" s="141"/>
      <c r="D140" s="142"/>
      <c r="E140" s="146"/>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3497</v>
      </c>
      <c r="D144" s="88"/>
      <c r="W144" s="35" t="str">
        <f>"-- "&amp;B144&amp;" : "&amp;C144</f>
        <v>-- SQL_ID : 01_A1-11</v>
      </c>
    </row>
    <row r="145" spans="2:23" ht="18.75" customHeight="1">
      <c r="B145" s="43" t="s">
        <v>158</v>
      </c>
      <c r="C145" s="147" t="str">
        <f>R148&amp;"登録"</f>
        <v>バックアップ_二次利用DB登録患者紐付けデータ登録</v>
      </c>
      <c r="D145" s="148"/>
      <c r="E145" s="148"/>
      <c r="F145" s="148"/>
      <c r="G145" s="148"/>
      <c r="H145" s="148"/>
      <c r="I145" s="148"/>
      <c r="J145" s="148"/>
      <c r="K145" s="148"/>
      <c r="L145" s="148"/>
      <c r="M145" s="148"/>
      <c r="N145" s="148"/>
      <c r="O145" s="148"/>
      <c r="P145" s="148"/>
      <c r="Q145" s="148"/>
      <c r="R145" s="148"/>
      <c r="S145" s="148"/>
      <c r="T145" s="148"/>
      <c r="U145" s="149"/>
      <c r="W145" s="35" t="str">
        <f>"-- "&amp;C145</f>
        <v>-- バックアップ_二次利用DB登録患者紐付けデータ登録</v>
      </c>
    </row>
    <row r="146" spans="2:23" ht="18.75" customHeight="1">
      <c r="B146" s="43" t="s">
        <v>159</v>
      </c>
      <c r="C146" s="136"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37"/>
      <c r="E146" s="137"/>
      <c r="F146" s="137"/>
      <c r="G146" s="137"/>
      <c r="H146" s="137"/>
      <c r="I146" s="137"/>
      <c r="J146" s="137"/>
      <c r="K146" s="137"/>
      <c r="L146" s="137"/>
      <c r="M146" s="137"/>
      <c r="N146" s="137"/>
      <c r="O146" s="137"/>
      <c r="P146" s="137"/>
      <c r="Q146" s="137"/>
      <c r="R146" s="137"/>
      <c r="S146" s="137"/>
      <c r="T146" s="137"/>
      <c r="U146" s="138"/>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39" t="s">
        <v>3498</v>
      </c>
      <c r="D148" s="140"/>
      <c r="E148" s="143" t="s">
        <v>162</v>
      </c>
      <c r="H148" s="36"/>
      <c r="I148" s="36"/>
      <c r="J148" s="36"/>
      <c r="K148" s="36"/>
      <c r="L148" s="36"/>
      <c r="M148" s="36"/>
      <c r="N148" s="36"/>
      <c r="O148" s="36"/>
      <c r="P148" s="36"/>
      <c r="Q148" s="36"/>
      <c r="R148" s="139" t="str">
        <f>"バックアップ_"&amp;SUBSTITUTE(C148,"_結合","")</f>
        <v>バックアップ_二次利用DB登録患者紐付けデータ</v>
      </c>
      <c r="S148" s="140"/>
      <c r="T148" s="145" t="str">
        <f>エンティティ一覧!$O$2</f>
        <v>milscm_2023_009</v>
      </c>
    </row>
    <row r="149" spans="2:23" ht="18.75" customHeight="1">
      <c r="C149" s="141"/>
      <c r="D149" s="142"/>
      <c r="E149" s="144"/>
      <c r="F149" s="37"/>
      <c r="G149" s="38"/>
      <c r="H149" s="37"/>
      <c r="I149" s="37"/>
      <c r="J149" s="37"/>
      <c r="K149" s="37"/>
      <c r="L149" s="37"/>
      <c r="M149" s="37"/>
      <c r="N149" s="37"/>
      <c r="O149" s="37"/>
      <c r="P149" s="37"/>
      <c r="Q149" s="37"/>
      <c r="R149" s="141"/>
      <c r="S149" s="142"/>
      <c r="T149" s="146"/>
    </row>
    <row r="150" spans="2:23" ht="18.75" customHeight="1">
      <c r="F150" s="39"/>
      <c r="G150" s="40"/>
    </row>
    <row r="151" spans="2:23" ht="18.75" customHeight="1">
      <c r="C151" s="139" t="s">
        <v>3181</v>
      </c>
      <c r="D151" s="140"/>
      <c r="E151" s="145" t="str">
        <f>エンティティ一覧!$O$2</f>
        <v>milscm_2023_009</v>
      </c>
      <c r="G151" s="41"/>
    </row>
    <row r="152" spans="2:23" ht="18.75" customHeight="1">
      <c r="C152" s="141"/>
      <c r="D152" s="142"/>
      <c r="E152" s="146"/>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3499</v>
      </c>
      <c r="D156" s="88"/>
      <c r="W156" s="35" t="str">
        <f>"-- "&amp;B156&amp;" : "&amp;C156</f>
        <v>-- SQL_ID : 01_A1-13</v>
      </c>
    </row>
    <row r="157" spans="2:23" ht="18.75" customHeight="1">
      <c r="B157" s="43" t="s">
        <v>158</v>
      </c>
      <c r="C157" s="147" t="str">
        <f>R160&amp;"登録"</f>
        <v>バックアップ_エラー患者データ登録</v>
      </c>
      <c r="D157" s="148"/>
      <c r="E157" s="148"/>
      <c r="F157" s="148"/>
      <c r="G157" s="148"/>
      <c r="H157" s="148"/>
      <c r="I157" s="148"/>
      <c r="J157" s="148"/>
      <c r="K157" s="148"/>
      <c r="L157" s="148"/>
      <c r="M157" s="148"/>
      <c r="N157" s="148"/>
      <c r="O157" s="148"/>
      <c r="P157" s="148"/>
      <c r="Q157" s="148"/>
      <c r="R157" s="148"/>
      <c r="S157" s="148"/>
      <c r="T157" s="148"/>
      <c r="U157" s="149"/>
      <c r="W157" s="35" t="str">
        <f>"-- "&amp;C157</f>
        <v>-- バックアップ_エラー患者データ登録</v>
      </c>
    </row>
    <row r="158" spans="2:23" ht="18.75" customHeight="1">
      <c r="B158" s="43" t="s">
        <v>159</v>
      </c>
      <c r="C158" s="136"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37"/>
      <c r="E158" s="137"/>
      <c r="F158" s="137"/>
      <c r="G158" s="137"/>
      <c r="H158" s="137"/>
      <c r="I158" s="137"/>
      <c r="J158" s="137"/>
      <c r="K158" s="137"/>
      <c r="L158" s="137"/>
      <c r="M158" s="137"/>
      <c r="N158" s="137"/>
      <c r="O158" s="137"/>
      <c r="P158" s="137"/>
      <c r="Q158" s="137"/>
      <c r="R158" s="137"/>
      <c r="S158" s="137"/>
      <c r="T158" s="137"/>
      <c r="U158" s="138"/>
      <c r="W158" s="35" t="str">
        <f>"-- "&amp;C158</f>
        <v>-- エラー患者データテーブルから組入れ条件の第一条件で絞り込んだ結果をバックアップ_エラー患者データテーブルに格納する。</v>
      </c>
    </row>
    <row r="160" spans="2:23" ht="18.75" customHeight="1">
      <c r="C160" s="139" t="s">
        <v>3500</v>
      </c>
      <c r="D160" s="140"/>
      <c r="E160" s="143" t="s">
        <v>162</v>
      </c>
      <c r="H160" s="36"/>
      <c r="I160" s="36"/>
      <c r="J160" s="36"/>
      <c r="K160" s="36"/>
      <c r="L160" s="36"/>
      <c r="M160" s="36"/>
      <c r="N160" s="36"/>
      <c r="O160" s="36"/>
      <c r="P160" s="36"/>
      <c r="Q160" s="36"/>
      <c r="R160" s="139" t="str">
        <f>"バックアップ_"&amp;SUBSTITUTE(C160,"_結合","")</f>
        <v>バックアップ_エラー患者データ</v>
      </c>
      <c r="S160" s="140"/>
      <c r="T160" s="145" t="str">
        <f>エンティティ一覧!$O$2</f>
        <v>milscm_2023_009</v>
      </c>
    </row>
    <row r="161" spans="2:23" ht="18.75" customHeight="1">
      <c r="C161" s="141"/>
      <c r="D161" s="142"/>
      <c r="E161" s="144"/>
      <c r="F161" s="37"/>
      <c r="G161" s="38"/>
      <c r="H161" s="37"/>
      <c r="I161" s="37"/>
      <c r="J161" s="37"/>
      <c r="K161" s="37"/>
      <c r="L161" s="37"/>
      <c r="M161" s="37"/>
      <c r="N161" s="37"/>
      <c r="O161" s="37"/>
      <c r="P161" s="37"/>
      <c r="Q161" s="37"/>
      <c r="R161" s="141"/>
      <c r="S161" s="142"/>
      <c r="T161" s="146"/>
    </row>
    <row r="162" spans="2:23" ht="18.75" customHeight="1">
      <c r="F162" s="39"/>
      <c r="G162" s="40"/>
    </row>
    <row r="163" spans="2:23" ht="18.75" customHeight="1">
      <c r="C163" s="139" t="s">
        <v>3181</v>
      </c>
      <c r="D163" s="140"/>
      <c r="E163" s="145" t="str">
        <f>エンティティ一覧!$O$2</f>
        <v>milscm_2023_009</v>
      </c>
      <c r="G163" s="41"/>
    </row>
    <row r="164" spans="2:23" ht="18.75" customHeight="1">
      <c r="C164" s="141"/>
      <c r="D164" s="142"/>
      <c r="E164" s="146"/>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3501</v>
      </c>
      <c r="D168" s="88"/>
      <c r="W168" s="35" t="str">
        <f>"-- "&amp;B168&amp;" : "&amp;C168</f>
        <v>-- SQL_ID : 01_A1-14</v>
      </c>
    </row>
    <row r="169" spans="2:23" ht="18.75" customHeight="1">
      <c r="B169" s="43" t="s">
        <v>158</v>
      </c>
      <c r="C169" s="147" t="str">
        <f>R172&amp;"登録"</f>
        <v>バックアップ_患者基本データ登録</v>
      </c>
      <c r="D169" s="148"/>
      <c r="E169" s="148"/>
      <c r="F169" s="148"/>
      <c r="G169" s="148"/>
      <c r="H169" s="148"/>
      <c r="I169" s="148"/>
      <c r="J169" s="148"/>
      <c r="K169" s="148"/>
      <c r="L169" s="148"/>
      <c r="M169" s="148"/>
      <c r="N169" s="148"/>
      <c r="O169" s="148"/>
      <c r="P169" s="148"/>
      <c r="Q169" s="148"/>
      <c r="R169" s="148"/>
      <c r="S169" s="148"/>
      <c r="T169" s="148"/>
      <c r="U169" s="149"/>
      <c r="W169" s="35" t="str">
        <f>"-- "&amp;C169</f>
        <v>-- バックアップ_患者基本データ登録</v>
      </c>
    </row>
    <row r="170" spans="2:23" ht="18.75" customHeight="1">
      <c r="B170" s="43" t="s">
        <v>159</v>
      </c>
      <c r="C170" s="136"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37"/>
      <c r="E170" s="137"/>
      <c r="F170" s="137"/>
      <c r="G170" s="137"/>
      <c r="H170" s="137"/>
      <c r="I170" s="137"/>
      <c r="J170" s="137"/>
      <c r="K170" s="137"/>
      <c r="L170" s="137"/>
      <c r="M170" s="137"/>
      <c r="N170" s="137"/>
      <c r="O170" s="137"/>
      <c r="P170" s="137"/>
      <c r="Q170" s="137"/>
      <c r="R170" s="137"/>
      <c r="S170" s="137"/>
      <c r="T170" s="137"/>
      <c r="U170" s="138"/>
      <c r="W170" s="35" t="str">
        <f>"-- "&amp;C170</f>
        <v>-- 患者基本データテーブルから組入れ条件の第一条件で絞り込んだ結果をバックアップ_患者基本データテーブルに格納する。</v>
      </c>
    </row>
    <row r="172" spans="2:23" ht="18.75" customHeight="1">
      <c r="C172" s="139" t="s">
        <v>3502</v>
      </c>
      <c r="D172" s="140"/>
      <c r="E172" s="143" t="s">
        <v>162</v>
      </c>
      <c r="H172" s="36"/>
      <c r="I172" s="36"/>
      <c r="J172" s="36"/>
      <c r="K172" s="36"/>
      <c r="L172" s="36"/>
      <c r="M172" s="36"/>
      <c r="N172" s="36"/>
      <c r="O172" s="36"/>
      <c r="P172" s="36"/>
      <c r="Q172" s="36"/>
      <c r="R172" s="139" t="str">
        <f>"バックアップ_"&amp;SUBSTITUTE(C172,"_結合","")</f>
        <v>バックアップ_患者基本データ</v>
      </c>
      <c r="S172" s="140"/>
      <c r="T172" s="145" t="str">
        <f>エンティティ一覧!$O$2</f>
        <v>milscm_2023_009</v>
      </c>
    </row>
    <row r="173" spans="2:23" ht="18.75" customHeight="1">
      <c r="C173" s="141"/>
      <c r="D173" s="142"/>
      <c r="E173" s="144"/>
      <c r="F173" s="37"/>
      <c r="G173" s="38"/>
      <c r="H173" s="37"/>
      <c r="I173" s="37"/>
      <c r="J173" s="37"/>
      <c r="K173" s="37"/>
      <c r="L173" s="37"/>
      <c r="M173" s="37"/>
      <c r="N173" s="37"/>
      <c r="O173" s="37"/>
      <c r="P173" s="37"/>
      <c r="Q173" s="37"/>
      <c r="R173" s="141"/>
      <c r="S173" s="142"/>
      <c r="T173" s="146"/>
    </row>
    <row r="174" spans="2:23" ht="18.75" customHeight="1">
      <c r="F174" s="39"/>
      <c r="G174" s="40"/>
    </row>
    <row r="175" spans="2:23" ht="18.75" customHeight="1">
      <c r="C175" s="139" t="s">
        <v>3181</v>
      </c>
      <c r="D175" s="140"/>
      <c r="E175" s="145" t="str">
        <f>エンティティ一覧!$O$2</f>
        <v>milscm_2023_009</v>
      </c>
      <c r="G175" s="41"/>
    </row>
    <row r="176" spans="2:23" ht="18.75" customHeight="1">
      <c r="C176" s="141"/>
      <c r="D176" s="142"/>
      <c r="E176" s="146"/>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3503</v>
      </c>
      <c r="D180" s="88"/>
      <c r="W180" s="35" t="str">
        <f>"-- "&amp;B180&amp;" : "&amp;C180</f>
        <v>-- SQL_ID : 01_A3-02</v>
      </c>
    </row>
    <row r="181" spans="2:23" ht="18.75" customHeight="1">
      <c r="B181" s="43" t="s">
        <v>158</v>
      </c>
      <c r="C181" s="147" t="str">
        <f>R184&amp;"登録"</f>
        <v>バックアップ_施設属性マスタ取込用登録</v>
      </c>
      <c r="D181" s="148"/>
      <c r="E181" s="148"/>
      <c r="F181" s="148"/>
      <c r="G181" s="148"/>
      <c r="H181" s="148"/>
      <c r="I181" s="148"/>
      <c r="J181" s="148"/>
      <c r="K181" s="148"/>
      <c r="L181" s="148"/>
      <c r="M181" s="148"/>
      <c r="N181" s="148"/>
      <c r="O181" s="148"/>
      <c r="P181" s="148"/>
      <c r="Q181" s="148"/>
      <c r="R181" s="148"/>
      <c r="S181" s="148"/>
      <c r="T181" s="148"/>
      <c r="U181" s="149"/>
      <c r="W181" s="35" t="str">
        <f>"-- "&amp;C181</f>
        <v>-- バックアップ_施設属性マスタ取込用登録</v>
      </c>
    </row>
    <row r="182" spans="2:23" ht="18.75" customHeight="1">
      <c r="B182" s="43" t="s">
        <v>159</v>
      </c>
      <c r="C182" s="136" t="str">
        <f>C184&amp;"テーブルのレコードを"&amp;R184&amp;"テーブルに格納する。"</f>
        <v>施設属性マスタ取込用テーブルのレコードをバックアップ_施設属性マスタ取込用テーブルに格納する。</v>
      </c>
      <c r="D182" s="137"/>
      <c r="E182" s="137"/>
      <c r="F182" s="137"/>
      <c r="G182" s="137"/>
      <c r="H182" s="137"/>
      <c r="I182" s="137"/>
      <c r="J182" s="137"/>
      <c r="K182" s="137"/>
      <c r="L182" s="137"/>
      <c r="M182" s="137"/>
      <c r="N182" s="137"/>
      <c r="O182" s="137"/>
      <c r="P182" s="137"/>
      <c r="Q182" s="137"/>
      <c r="R182" s="137"/>
      <c r="S182" s="137"/>
      <c r="T182" s="137"/>
      <c r="U182" s="138"/>
      <c r="W182" s="35" t="str">
        <f>"-- "&amp;C182</f>
        <v>-- 施設属性マスタ取込用テーブルのレコードをバックアップ_施設属性マスタ取込用テーブルに格納する。</v>
      </c>
    </row>
    <row r="184" spans="2:23" ht="18.75" customHeight="1">
      <c r="C184" s="139" t="s">
        <v>3504</v>
      </c>
      <c r="D184" s="140"/>
      <c r="E184" s="143" t="s">
        <v>162</v>
      </c>
      <c r="F184" s="36"/>
      <c r="G184" s="36"/>
      <c r="H184" s="36"/>
      <c r="I184" s="36"/>
      <c r="J184" s="36"/>
      <c r="K184" s="36"/>
      <c r="L184" s="36"/>
      <c r="M184" s="36"/>
      <c r="N184" s="36"/>
      <c r="O184" s="36"/>
      <c r="P184" s="36"/>
      <c r="Q184" s="36"/>
      <c r="R184" s="139" t="str">
        <f>"バックアップ_"&amp;SUBSTITUTE(C184,"_結合","")</f>
        <v>バックアップ_施設属性マスタ取込用</v>
      </c>
      <c r="S184" s="140"/>
      <c r="T184" s="145" t="str">
        <f>エンティティ一覧!$O$2</f>
        <v>milscm_2023_009</v>
      </c>
    </row>
    <row r="185" spans="2:23" ht="18.75" customHeight="1">
      <c r="C185" s="141"/>
      <c r="D185" s="142"/>
      <c r="E185" s="144"/>
      <c r="F185" s="37"/>
      <c r="G185" s="37"/>
      <c r="H185" s="37"/>
      <c r="I185" s="37"/>
      <c r="J185" s="37"/>
      <c r="K185" s="37"/>
      <c r="L185" s="37"/>
      <c r="M185" s="37"/>
      <c r="N185" s="37"/>
      <c r="O185" s="37"/>
      <c r="P185" s="37"/>
      <c r="Q185" s="37"/>
      <c r="R185" s="141"/>
      <c r="S185" s="142"/>
      <c r="T185" s="146"/>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3505</v>
      </c>
      <c r="D189" s="88"/>
      <c r="W189" s="35" t="str">
        <f>"-- "&amp;B189&amp;" : "&amp;C189</f>
        <v>-- SQL_ID : 01_A3-03</v>
      </c>
    </row>
    <row r="190" spans="2:23" ht="18.75" customHeight="1">
      <c r="B190" s="43" t="s">
        <v>158</v>
      </c>
      <c r="C190" s="147" t="str">
        <f>R193&amp;"登録"</f>
        <v>バックアップ_二次医療圏マスタ取込用登録</v>
      </c>
      <c r="D190" s="148"/>
      <c r="E190" s="148"/>
      <c r="F190" s="148"/>
      <c r="G190" s="148"/>
      <c r="H190" s="148"/>
      <c r="I190" s="148"/>
      <c r="J190" s="148"/>
      <c r="K190" s="148"/>
      <c r="L190" s="148"/>
      <c r="M190" s="148"/>
      <c r="N190" s="148"/>
      <c r="O190" s="148"/>
      <c r="P190" s="148"/>
      <c r="Q190" s="148"/>
      <c r="R190" s="148"/>
      <c r="S190" s="148"/>
      <c r="T190" s="148"/>
      <c r="U190" s="149"/>
      <c r="W190" s="35" t="str">
        <f>"-- "&amp;C190</f>
        <v>-- バックアップ_二次医療圏マスタ取込用登録</v>
      </c>
    </row>
    <row r="191" spans="2:23" ht="18.75" customHeight="1">
      <c r="B191" s="43" t="s">
        <v>159</v>
      </c>
      <c r="C191" s="136" t="str">
        <f>C193&amp;"テーブルのレコードを"&amp;R193&amp;"テーブルに格納する。"</f>
        <v>二次医療圏マスタ取込用テーブルのレコードをバックアップ_二次医療圏マスタ取込用テーブルに格納する。</v>
      </c>
      <c r="D191" s="137"/>
      <c r="E191" s="137"/>
      <c r="F191" s="137"/>
      <c r="G191" s="137"/>
      <c r="H191" s="137"/>
      <c r="I191" s="137"/>
      <c r="J191" s="137"/>
      <c r="K191" s="137"/>
      <c r="L191" s="137"/>
      <c r="M191" s="137"/>
      <c r="N191" s="137"/>
      <c r="O191" s="137"/>
      <c r="P191" s="137"/>
      <c r="Q191" s="137"/>
      <c r="R191" s="137"/>
      <c r="S191" s="137"/>
      <c r="T191" s="137"/>
      <c r="U191" s="138"/>
      <c r="W191" s="35" t="str">
        <f>"-- "&amp;C191</f>
        <v>-- 二次医療圏マスタ取込用テーブルのレコードをバックアップ_二次医療圏マスタ取込用テーブルに格納する。</v>
      </c>
    </row>
    <row r="193" spans="2:23" ht="18.75" customHeight="1">
      <c r="C193" s="139" t="s">
        <v>3506</v>
      </c>
      <c r="D193" s="140"/>
      <c r="E193" s="143" t="s">
        <v>162</v>
      </c>
      <c r="F193" s="36"/>
      <c r="G193" s="36"/>
      <c r="H193" s="36"/>
      <c r="I193" s="36"/>
      <c r="J193" s="36"/>
      <c r="K193" s="36"/>
      <c r="L193" s="36"/>
      <c r="M193" s="36"/>
      <c r="N193" s="36"/>
      <c r="O193" s="36"/>
      <c r="P193" s="36"/>
      <c r="Q193" s="36"/>
      <c r="R193" s="139" t="str">
        <f>"バックアップ_"&amp;SUBSTITUTE(C193,"_結合","")</f>
        <v>バックアップ_二次医療圏マスタ取込用</v>
      </c>
      <c r="S193" s="140"/>
      <c r="T193" s="145" t="str">
        <f>エンティティ一覧!$O$2</f>
        <v>milscm_2023_009</v>
      </c>
    </row>
    <row r="194" spans="2:23" ht="18.75" customHeight="1">
      <c r="C194" s="141"/>
      <c r="D194" s="142"/>
      <c r="E194" s="144"/>
      <c r="F194" s="37"/>
      <c r="G194" s="37"/>
      <c r="H194" s="37"/>
      <c r="I194" s="37"/>
      <c r="J194" s="37"/>
      <c r="K194" s="37"/>
      <c r="L194" s="37"/>
      <c r="M194" s="37"/>
      <c r="N194" s="37"/>
      <c r="O194" s="37"/>
      <c r="P194" s="37"/>
      <c r="Q194" s="37"/>
      <c r="R194" s="141"/>
      <c r="S194" s="142"/>
      <c r="T194" s="146"/>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3507</v>
      </c>
      <c r="D198" s="88"/>
      <c r="W198" s="35" t="str">
        <f>"-- "&amp;B198&amp;" : "&amp;C198</f>
        <v>-- SQL_ID : 01_A3-04</v>
      </c>
    </row>
    <row r="199" spans="2:23" ht="18.75" customHeight="1">
      <c r="B199" s="43" t="s">
        <v>158</v>
      </c>
      <c r="C199" s="147" t="str">
        <f>R202&amp;"登録"</f>
        <v>バックアップ_新旧医薬品コードマスタ取込用登録</v>
      </c>
      <c r="D199" s="148"/>
      <c r="E199" s="148"/>
      <c r="F199" s="148"/>
      <c r="G199" s="148"/>
      <c r="H199" s="148"/>
      <c r="I199" s="148"/>
      <c r="J199" s="148"/>
      <c r="K199" s="148"/>
      <c r="L199" s="148"/>
      <c r="M199" s="148"/>
      <c r="N199" s="148"/>
      <c r="O199" s="148"/>
      <c r="P199" s="148"/>
      <c r="Q199" s="148"/>
      <c r="R199" s="148"/>
      <c r="S199" s="148"/>
      <c r="T199" s="148"/>
      <c r="U199" s="149"/>
      <c r="W199" s="35" t="str">
        <f>"-- "&amp;C199</f>
        <v>-- バックアップ_新旧医薬品コードマスタ取込用登録</v>
      </c>
    </row>
    <row r="200" spans="2:23" ht="18.75" customHeight="1">
      <c r="B200" s="43" t="s">
        <v>159</v>
      </c>
      <c r="C200" s="136" t="str">
        <f>C202&amp;"テーブルのレコードを"&amp;R202&amp;"テーブルに格納する。"</f>
        <v>新旧医薬品コードマスタ取込用テーブルのレコードをバックアップ_新旧医薬品コードマスタ取込用テーブルに格納する。</v>
      </c>
      <c r="D200" s="137"/>
      <c r="E200" s="137"/>
      <c r="F200" s="137"/>
      <c r="G200" s="137"/>
      <c r="H200" s="137"/>
      <c r="I200" s="137"/>
      <c r="J200" s="137"/>
      <c r="K200" s="137"/>
      <c r="L200" s="137"/>
      <c r="M200" s="137"/>
      <c r="N200" s="137"/>
      <c r="O200" s="137"/>
      <c r="P200" s="137"/>
      <c r="Q200" s="137"/>
      <c r="R200" s="137"/>
      <c r="S200" s="137"/>
      <c r="T200" s="137"/>
      <c r="U200" s="138"/>
      <c r="W200" s="35" t="str">
        <f>"-- "&amp;C200</f>
        <v>-- 新旧医薬品コードマスタ取込用テーブルのレコードをバックアップ_新旧医薬品コードマスタ取込用テーブルに格納する。</v>
      </c>
    </row>
    <row r="202" spans="2:23" ht="18.75" customHeight="1">
      <c r="C202" s="139" t="s">
        <v>3508</v>
      </c>
      <c r="D202" s="140"/>
      <c r="E202" s="143" t="s">
        <v>162</v>
      </c>
      <c r="F202" s="36"/>
      <c r="G202" s="36"/>
      <c r="H202" s="36"/>
      <c r="I202" s="36"/>
      <c r="J202" s="36"/>
      <c r="K202" s="36"/>
      <c r="L202" s="36"/>
      <c r="M202" s="36"/>
      <c r="N202" s="36"/>
      <c r="O202" s="36"/>
      <c r="P202" s="36"/>
      <c r="Q202" s="36"/>
      <c r="R202" s="139" t="str">
        <f>"バックアップ_"&amp;SUBSTITUTE(C202,"_結合","")</f>
        <v>バックアップ_新旧医薬品コードマスタ取込用</v>
      </c>
      <c r="S202" s="140"/>
      <c r="T202" s="145" t="str">
        <f>エンティティ一覧!$O$2</f>
        <v>milscm_2023_009</v>
      </c>
    </row>
    <row r="203" spans="2:23" ht="18.75" customHeight="1">
      <c r="C203" s="141"/>
      <c r="D203" s="142"/>
      <c r="E203" s="144"/>
      <c r="F203" s="37"/>
      <c r="G203" s="37"/>
      <c r="H203" s="37"/>
      <c r="I203" s="37"/>
      <c r="J203" s="37"/>
      <c r="K203" s="37"/>
      <c r="L203" s="37"/>
      <c r="M203" s="37"/>
      <c r="N203" s="37"/>
      <c r="O203" s="37"/>
      <c r="P203" s="37"/>
      <c r="Q203" s="37"/>
      <c r="R203" s="141"/>
      <c r="S203" s="142"/>
      <c r="T203" s="146"/>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3509</v>
      </c>
      <c r="D207" s="88"/>
      <c r="W207" s="35" t="str">
        <f>"-- "&amp;B207&amp;" : "&amp;C207</f>
        <v>-- SQL_ID : 01_A3-05</v>
      </c>
    </row>
    <row r="208" spans="2:23" ht="18.75" customHeight="1">
      <c r="B208" s="43" t="s">
        <v>158</v>
      </c>
      <c r="C208" s="147" t="str">
        <f>R211&amp;"登録"</f>
        <v>バックアップ_DPC6ICD10対応表マスタ取込用登録</v>
      </c>
      <c r="D208" s="148"/>
      <c r="E208" s="148"/>
      <c r="F208" s="148"/>
      <c r="G208" s="148"/>
      <c r="H208" s="148"/>
      <c r="I208" s="148"/>
      <c r="J208" s="148"/>
      <c r="K208" s="148"/>
      <c r="L208" s="148"/>
      <c r="M208" s="148"/>
      <c r="N208" s="148"/>
      <c r="O208" s="148"/>
      <c r="P208" s="148"/>
      <c r="Q208" s="148"/>
      <c r="R208" s="148"/>
      <c r="S208" s="148"/>
      <c r="T208" s="148"/>
      <c r="U208" s="149"/>
      <c r="W208" s="35" t="str">
        <f>"-- "&amp;C208</f>
        <v>-- バックアップ_DPC6ICD10対応表マスタ取込用登録</v>
      </c>
    </row>
    <row r="209" spans="2:23" ht="18.75" customHeight="1">
      <c r="B209" s="43" t="s">
        <v>159</v>
      </c>
      <c r="C209" s="136" t="str">
        <f>C211&amp;"テーブルのレコードを"&amp;R211&amp;"テーブルに格納する。"</f>
        <v>DPC6ICD10対応表マスタ取込用テーブルのレコードをバックアップ_DPC6ICD10対応表マスタ取込用テーブルに格納する。</v>
      </c>
      <c r="D209" s="137"/>
      <c r="E209" s="137"/>
      <c r="F209" s="137"/>
      <c r="G209" s="137"/>
      <c r="H209" s="137"/>
      <c r="I209" s="137"/>
      <c r="J209" s="137"/>
      <c r="K209" s="137"/>
      <c r="L209" s="137"/>
      <c r="M209" s="137"/>
      <c r="N209" s="137"/>
      <c r="O209" s="137"/>
      <c r="P209" s="137"/>
      <c r="Q209" s="137"/>
      <c r="R209" s="137"/>
      <c r="S209" s="137"/>
      <c r="T209" s="137"/>
      <c r="U209" s="138"/>
      <c r="W209" s="35" t="str">
        <f>"-- "&amp;C209</f>
        <v>-- DPC6ICD10対応表マスタ取込用テーブルのレコードをバックアップ_DPC6ICD10対応表マスタ取込用テーブルに格納する。</v>
      </c>
    </row>
    <row r="211" spans="2:23" ht="18.75" customHeight="1">
      <c r="C211" s="139" t="s">
        <v>3510</v>
      </c>
      <c r="D211" s="140"/>
      <c r="E211" s="143" t="s">
        <v>162</v>
      </c>
      <c r="F211" s="36"/>
      <c r="G211" s="36"/>
      <c r="H211" s="36"/>
      <c r="I211" s="36"/>
      <c r="J211" s="36"/>
      <c r="K211" s="36"/>
      <c r="L211" s="36"/>
      <c r="M211" s="36"/>
      <c r="N211" s="36"/>
      <c r="O211" s="36"/>
      <c r="P211" s="36"/>
      <c r="Q211" s="36"/>
      <c r="R211" s="139" t="str">
        <f>"バックアップ_"&amp;SUBSTITUTE(C211,"_結合","")</f>
        <v>バックアップ_DPC6ICD10対応表マスタ取込用</v>
      </c>
      <c r="S211" s="140"/>
      <c r="T211" s="145" t="str">
        <f>エンティティ一覧!$O$2</f>
        <v>milscm_2023_009</v>
      </c>
    </row>
    <row r="212" spans="2:23" ht="18.75" customHeight="1">
      <c r="C212" s="141"/>
      <c r="D212" s="142"/>
      <c r="E212" s="144"/>
      <c r="F212" s="37"/>
      <c r="G212" s="37"/>
      <c r="H212" s="37"/>
      <c r="I212" s="37"/>
      <c r="J212" s="37"/>
      <c r="K212" s="37"/>
      <c r="L212" s="37"/>
      <c r="M212" s="37"/>
      <c r="N212" s="37"/>
      <c r="O212" s="37"/>
      <c r="P212" s="37"/>
      <c r="Q212" s="37"/>
      <c r="R212" s="141"/>
      <c r="S212" s="142"/>
      <c r="T212" s="146"/>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3511</v>
      </c>
      <c r="D216" s="88"/>
      <c r="W216" s="35" t="str">
        <f>"-- "&amp;B216&amp;" : "&amp;C216</f>
        <v>-- SQL_ID : 01_A3-06</v>
      </c>
    </row>
    <row r="217" spans="2:23" ht="18.75" customHeight="1">
      <c r="B217" s="43" t="s">
        <v>158</v>
      </c>
      <c r="C217" s="147" t="str">
        <f>R220&amp;"登録"</f>
        <v>バックアップ_修飾語マスタ取込用登録</v>
      </c>
      <c r="D217" s="148"/>
      <c r="E217" s="148"/>
      <c r="F217" s="148"/>
      <c r="G217" s="148"/>
      <c r="H217" s="148"/>
      <c r="I217" s="148"/>
      <c r="J217" s="148"/>
      <c r="K217" s="148"/>
      <c r="L217" s="148"/>
      <c r="M217" s="148"/>
      <c r="N217" s="148"/>
      <c r="O217" s="148"/>
      <c r="P217" s="148"/>
      <c r="Q217" s="148"/>
      <c r="R217" s="148"/>
      <c r="S217" s="148"/>
      <c r="T217" s="148"/>
      <c r="U217" s="149"/>
      <c r="W217" s="35" t="str">
        <f>"-- "&amp;C217</f>
        <v>-- バックアップ_修飾語マスタ取込用登録</v>
      </c>
    </row>
    <row r="218" spans="2:23" ht="18.75" customHeight="1">
      <c r="B218" s="43" t="s">
        <v>159</v>
      </c>
      <c r="C218" s="136" t="str">
        <f>C220&amp;"テーブルのレコードを"&amp;R220&amp;"テーブルに格納する。"</f>
        <v>修飾語マスタ取込用テーブルのレコードをバックアップ_修飾語マスタ取込用テーブルに格納する。</v>
      </c>
      <c r="D218" s="137"/>
      <c r="E218" s="137"/>
      <c r="F218" s="137"/>
      <c r="G218" s="137"/>
      <c r="H218" s="137"/>
      <c r="I218" s="137"/>
      <c r="J218" s="137"/>
      <c r="K218" s="137"/>
      <c r="L218" s="137"/>
      <c r="M218" s="137"/>
      <c r="N218" s="137"/>
      <c r="O218" s="137"/>
      <c r="P218" s="137"/>
      <c r="Q218" s="137"/>
      <c r="R218" s="137"/>
      <c r="S218" s="137"/>
      <c r="T218" s="137"/>
      <c r="U218" s="138"/>
      <c r="W218" s="35" t="str">
        <f>"-- "&amp;C218</f>
        <v>-- 修飾語マスタ取込用テーブルのレコードをバックアップ_修飾語マスタ取込用テーブルに格納する。</v>
      </c>
    </row>
    <row r="220" spans="2:23" ht="18.75" customHeight="1">
      <c r="C220" s="139" t="s">
        <v>3512</v>
      </c>
      <c r="D220" s="140"/>
      <c r="E220" s="143" t="s">
        <v>162</v>
      </c>
      <c r="F220" s="36"/>
      <c r="G220" s="36"/>
      <c r="H220" s="36"/>
      <c r="I220" s="36"/>
      <c r="J220" s="36"/>
      <c r="K220" s="36"/>
      <c r="L220" s="36"/>
      <c r="M220" s="36"/>
      <c r="N220" s="36"/>
      <c r="O220" s="36"/>
      <c r="P220" s="36"/>
      <c r="Q220" s="36"/>
      <c r="R220" s="139" t="str">
        <f>"バックアップ_"&amp;SUBSTITUTE(C220,"_結合","")</f>
        <v>バックアップ_修飾語マスタ取込用</v>
      </c>
      <c r="S220" s="140"/>
      <c r="T220" s="145" t="str">
        <f>エンティティ一覧!$O$2</f>
        <v>milscm_2023_009</v>
      </c>
    </row>
    <row r="221" spans="2:23" ht="18.75" customHeight="1">
      <c r="C221" s="141"/>
      <c r="D221" s="142"/>
      <c r="E221" s="144"/>
      <c r="F221" s="37"/>
      <c r="G221" s="37"/>
      <c r="H221" s="37"/>
      <c r="I221" s="37"/>
      <c r="J221" s="37"/>
      <c r="K221" s="37"/>
      <c r="L221" s="37"/>
      <c r="M221" s="37"/>
      <c r="N221" s="37"/>
      <c r="O221" s="37"/>
      <c r="P221" s="37"/>
      <c r="Q221" s="37"/>
      <c r="R221" s="141"/>
      <c r="S221" s="142"/>
      <c r="T221" s="146"/>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3513</v>
      </c>
      <c r="D225" s="88"/>
      <c r="W225" s="35" t="str">
        <f>"-- "&amp;B225&amp;" : "&amp;C225</f>
        <v>-- SQL_ID : 01_A3-07</v>
      </c>
    </row>
    <row r="226" spans="2:23" ht="18.75" customHeight="1">
      <c r="B226" s="43" t="s">
        <v>158</v>
      </c>
      <c r="C226" s="147" t="str">
        <f>R229&amp;"登録"</f>
        <v>バックアップ_コメントマスタ取込用登録</v>
      </c>
      <c r="D226" s="148"/>
      <c r="E226" s="148"/>
      <c r="F226" s="148"/>
      <c r="G226" s="148"/>
      <c r="H226" s="148"/>
      <c r="I226" s="148"/>
      <c r="J226" s="148"/>
      <c r="K226" s="148"/>
      <c r="L226" s="148"/>
      <c r="M226" s="148"/>
      <c r="N226" s="148"/>
      <c r="O226" s="148"/>
      <c r="P226" s="148"/>
      <c r="Q226" s="148"/>
      <c r="R226" s="148"/>
      <c r="S226" s="148"/>
      <c r="T226" s="148"/>
      <c r="U226" s="149"/>
      <c r="W226" s="35" t="str">
        <f>"-- "&amp;C226</f>
        <v>-- バックアップ_コメントマスタ取込用登録</v>
      </c>
    </row>
    <row r="227" spans="2:23" ht="18.75" customHeight="1">
      <c r="B227" s="43" t="s">
        <v>159</v>
      </c>
      <c r="C227" s="136" t="str">
        <f>C229&amp;"テーブルのレコードを"&amp;R229&amp;"テーブルに格納する。"</f>
        <v>コメントマスタ取込用テーブルのレコードをバックアップ_コメントマスタ取込用テーブルに格納する。</v>
      </c>
      <c r="D227" s="137"/>
      <c r="E227" s="137"/>
      <c r="F227" s="137"/>
      <c r="G227" s="137"/>
      <c r="H227" s="137"/>
      <c r="I227" s="137"/>
      <c r="J227" s="137"/>
      <c r="K227" s="137"/>
      <c r="L227" s="137"/>
      <c r="M227" s="137"/>
      <c r="N227" s="137"/>
      <c r="O227" s="137"/>
      <c r="P227" s="137"/>
      <c r="Q227" s="137"/>
      <c r="R227" s="137"/>
      <c r="S227" s="137"/>
      <c r="T227" s="137"/>
      <c r="U227" s="138"/>
      <c r="W227" s="35" t="str">
        <f>"-- "&amp;C227</f>
        <v>-- コメントマスタ取込用テーブルのレコードをバックアップ_コメントマスタ取込用テーブルに格納する。</v>
      </c>
    </row>
    <row r="229" spans="2:23" ht="18.75" customHeight="1">
      <c r="C229" s="139" t="s">
        <v>3514</v>
      </c>
      <c r="D229" s="140"/>
      <c r="E229" s="143" t="s">
        <v>162</v>
      </c>
      <c r="F229" s="36"/>
      <c r="G229" s="36"/>
      <c r="H229" s="36"/>
      <c r="I229" s="36"/>
      <c r="J229" s="36"/>
      <c r="K229" s="36"/>
      <c r="L229" s="36"/>
      <c r="M229" s="36"/>
      <c r="N229" s="36"/>
      <c r="O229" s="36"/>
      <c r="P229" s="36"/>
      <c r="Q229" s="36"/>
      <c r="R229" s="139" t="str">
        <f>"バックアップ_"&amp;SUBSTITUTE(C229,"_結合","")</f>
        <v>バックアップ_コメントマスタ取込用</v>
      </c>
      <c r="S229" s="140"/>
      <c r="T229" s="145" t="str">
        <f>エンティティ一覧!$O$2</f>
        <v>milscm_2023_009</v>
      </c>
    </row>
    <row r="230" spans="2:23" ht="18.75" customHeight="1">
      <c r="C230" s="141"/>
      <c r="D230" s="142"/>
      <c r="E230" s="144"/>
      <c r="F230" s="37"/>
      <c r="G230" s="37"/>
      <c r="H230" s="37"/>
      <c r="I230" s="37"/>
      <c r="J230" s="37"/>
      <c r="K230" s="37"/>
      <c r="L230" s="37"/>
      <c r="M230" s="37"/>
      <c r="N230" s="37"/>
      <c r="O230" s="37"/>
      <c r="P230" s="37"/>
      <c r="Q230" s="37"/>
      <c r="R230" s="141"/>
      <c r="S230" s="142"/>
      <c r="T230" s="146"/>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3515</v>
      </c>
      <c r="D234" s="88"/>
      <c r="W234" s="35" t="str">
        <f>"-- "&amp;B234&amp;" : "&amp;C234</f>
        <v>-- SQL_ID : 01_A3-08</v>
      </c>
    </row>
    <row r="235" spans="2:23" ht="18.75" customHeight="1">
      <c r="B235" s="43" t="s">
        <v>158</v>
      </c>
      <c r="C235" s="147" t="str">
        <f>R238&amp;"登録"</f>
        <v>バックアップ_成分量マスタ取込用登録</v>
      </c>
      <c r="D235" s="148"/>
      <c r="E235" s="148"/>
      <c r="F235" s="148"/>
      <c r="G235" s="148"/>
      <c r="H235" s="148"/>
      <c r="I235" s="148"/>
      <c r="J235" s="148"/>
      <c r="K235" s="148"/>
      <c r="L235" s="148"/>
      <c r="M235" s="148"/>
      <c r="N235" s="148"/>
      <c r="O235" s="148"/>
      <c r="P235" s="148"/>
      <c r="Q235" s="148"/>
      <c r="R235" s="148"/>
      <c r="S235" s="148"/>
      <c r="T235" s="148"/>
      <c r="U235" s="149"/>
      <c r="W235" s="35" t="str">
        <f>"-- "&amp;C235</f>
        <v>-- バックアップ_成分量マスタ取込用登録</v>
      </c>
    </row>
    <row r="236" spans="2:23" ht="18.75" customHeight="1">
      <c r="B236" s="43" t="s">
        <v>159</v>
      </c>
      <c r="C236" s="136" t="str">
        <f>C238&amp;"テーブルのレコードを"&amp;R238&amp;"テーブルに格納する。"</f>
        <v>成分量マスタ取込用テーブルのレコードをバックアップ_成分量マスタ取込用テーブルに格納する。</v>
      </c>
      <c r="D236" s="137"/>
      <c r="E236" s="137"/>
      <c r="F236" s="137"/>
      <c r="G236" s="137"/>
      <c r="H236" s="137"/>
      <c r="I236" s="137"/>
      <c r="J236" s="137"/>
      <c r="K236" s="137"/>
      <c r="L236" s="137"/>
      <c r="M236" s="137"/>
      <c r="N236" s="137"/>
      <c r="O236" s="137"/>
      <c r="P236" s="137"/>
      <c r="Q236" s="137"/>
      <c r="R236" s="137"/>
      <c r="S236" s="137"/>
      <c r="T236" s="137"/>
      <c r="U236" s="138"/>
      <c r="W236" s="35" t="str">
        <f>"-- "&amp;C236</f>
        <v>-- 成分量マスタ取込用テーブルのレコードをバックアップ_成分量マスタ取込用テーブルに格納する。</v>
      </c>
    </row>
    <row r="238" spans="2:23" ht="18.75" customHeight="1">
      <c r="C238" s="139" t="s">
        <v>3516</v>
      </c>
      <c r="D238" s="140"/>
      <c r="E238" s="143" t="s">
        <v>162</v>
      </c>
      <c r="F238" s="36"/>
      <c r="G238" s="36"/>
      <c r="H238" s="36"/>
      <c r="I238" s="36"/>
      <c r="J238" s="36"/>
      <c r="K238" s="36"/>
      <c r="L238" s="36"/>
      <c r="M238" s="36"/>
      <c r="N238" s="36"/>
      <c r="O238" s="36"/>
      <c r="P238" s="36"/>
      <c r="Q238" s="36"/>
      <c r="R238" s="139" t="str">
        <f>"バックアップ_"&amp;SUBSTITUTE(C238,"_結合","")</f>
        <v>バックアップ_成分量マスタ取込用</v>
      </c>
      <c r="S238" s="140"/>
      <c r="T238" s="145" t="str">
        <f>エンティティ一覧!$O$2</f>
        <v>milscm_2023_009</v>
      </c>
    </row>
    <row r="239" spans="2:23" ht="18.75" customHeight="1">
      <c r="C239" s="141"/>
      <c r="D239" s="142"/>
      <c r="E239" s="144"/>
      <c r="F239" s="37"/>
      <c r="G239" s="37"/>
      <c r="H239" s="37"/>
      <c r="I239" s="37"/>
      <c r="J239" s="37"/>
      <c r="K239" s="37"/>
      <c r="L239" s="37"/>
      <c r="M239" s="37"/>
      <c r="N239" s="37"/>
      <c r="O239" s="37"/>
      <c r="P239" s="37"/>
      <c r="Q239" s="37"/>
      <c r="R239" s="141"/>
      <c r="S239" s="142"/>
      <c r="T239" s="146"/>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3517</v>
      </c>
      <c r="D243" s="88"/>
      <c r="W243" s="35" t="str">
        <f>"-- "&amp;B243&amp;" : "&amp;C243</f>
        <v>-- SQL_ID : 01_A3-09</v>
      </c>
    </row>
    <row r="244" spans="2:23" ht="18.75" customHeight="1">
      <c r="B244" s="43" t="s">
        <v>158</v>
      </c>
      <c r="C244" s="147" t="str">
        <f>R247&amp;"登録"</f>
        <v>バックアップ_成分名マスタ取込用登録</v>
      </c>
      <c r="D244" s="148"/>
      <c r="E244" s="148"/>
      <c r="F244" s="148"/>
      <c r="G244" s="148"/>
      <c r="H244" s="148"/>
      <c r="I244" s="148"/>
      <c r="J244" s="148"/>
      <c r="K244" s="148"/>
      <c r="L244" s="148"/>
      <c r="M244" s="148"/>
      <c r="N244" s="148"/>
      <c r="O244" s="148"/>
      <c r="P244" s="148"/>
      <c r="Q244" s="148"/>
      <c r="R244" s="148"/>
      <c r="S244" s="148"/>
      <c r="T244" s="148"/>
      <c r="U244" s="149"/>
      <c r="W244" s="35" t="str">
        <f>"-- "&amp;C244</f>
        <v>-- バックアップ_成分名マスタ取込用登録</v>
      </c>
    </row>
    <row r="245" spans="2:23" ht="18.75" customHeight="1">
      <c r="B245" s="43" t="s">
        <v>159</v>
      </c>
      <c r="C245" s="136" t="str">
        <f>C247&amp;"テーブルのレコードを"&amp;R247&amp;"テーブルに格納する。"</f>
        <v>成分名マスタ取込用テーブルのレコードをバックアップ_成分名マスタ取込用テーブルに格納する。</v>
      </c>
      <c r="D245" s="137"/>
      <c r="E245" s="137"/>
      <c r="F245" s="137"/>
      <c r="G245" s="137"/>
      <c r="H245" s="137"/>
      <c r="I245" s="137"/>
      <c r="J245" s="137"/>
      <c r="K245" s="137"/>
      <c r="L245" s="137"/>
      <c r="M245" s="137"/>
      <c r="N245" s="137"/>
      <c r="O245" s="137"/>
      <c r="P245" s="137"/>
      <c r="Q245" s="137"/>
      <c r="R245" s="137"/>
      <c r="S245" s="137"/>
      <c r="T245" s="137"/>
      <c r="U245" s="138"/>
      <c r="W245" s="35" t="str">
        <f>"-- "&amp;C245</f>
        <v>-- 成分名マスタ取込用テーブルのレコードをバックアップ_成分名マスタ取込用テーブルに格納する。</v>
      </c>
    </row>
    <row r="247" spans="2:23" ht="18.75" customHeight="1">
      <c r="C247" s="139" t="s">
        <v>3518</v>
      </c>
      <c r="D247" s="140"/>
      <c r="E247" s="143" t="s">
        <v>162</v>
      </c>
      <c r="F247" s="36"/>
      <c r="G247" s="36"/>
      <c r="H247" s="36"/>
      <c r="I247" s="36"/>
      <c r="J247" s="36"/>
      <c r="K247" s="36"/>
      <c r="L247" s="36"/>
      <c r="M247" s="36"/>
      <c r="N247" s="36"/>
      <c r="O247" s="36"/>
      <c r="P247" s="36"/>
      <c r="Q247" s="36"/>
      <c r="R247" s="139" t="str">
        <f>"バックアップ_"&amp;SUBSTITUTE(C247,"_結合","")</f>
        <v>バックアップ_成分名マスタ取込用</v>
      </c>
      <c r="S247" s="140"/>
      <c r="T247" s="145" t="str">
        <f>エンティティ一覧!$O$2</f>
        <v>milscm_2023_009</v>
      </c>
    </row>
    <row r="248" spans="2:23" ht="18.75" customHeight="1">
      <c r="C248" s="141"/>
      <c r="D248" s="142"/>
      <c r="E248" s="144"/>
      <c r="F248" s="37"/>
      <c r="G248" s="37"/>
      <c r="H248" s="37"/>
      <c r="I248" s="37"/>
      <c r="J248" s="37"/>
      <c r="K248" s="37"/>
      <c r="L248" s="37"/>
      <c r="M248" s="37"/>
      <c r="N248" s="37"/>
      <c r="O248" s="37"/>
      <c r="P248" s="37"/>
      <c r="Q248" s="37"/>
      <c r="R248" s="141"/>
      <c r="S248" s="142"/>
      <c r="T248" s="146"/>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3519</v>
      </c>
      <c r="D252" s="88"/>
      <c r="W252" s="35" t="str">
        <f>"-- "&amp;B252&amp;" : "&amp;C252</f>
        <v>-- SQL_ID : 01_A3-10</v>
      </c>
    </row>
    <row r="253" spans="2:23" ht="18.75" customHeight="1">
      <c r="B253" s="43" t="s">
        <v>158</v>
      </c>
      <c r="C253" s="147" t="str">
        <f>R256&amp;"登録"</f>
        <v>バックアップ_単位マスタ取込用登録</v>
      </c>
      <c r="D253" s="148"/>
      <c r="E253" s="148"/>
      <c r="F253" s="148"/>
      <c r="G253" s="148"/>
      <c r="H253" s="148"/>
      <c r="I253" s="148"/>
      <c r="J253" s="148"/>
      <c r="K253" s="148"/>
      <c r="L253" s="148"/>
      <c r="M253" s="148"/>
      <c r="N253" s="148"/>
      <c r="O253" s="148"/>
      <c r="P253" s="148"/>
      <c r="Q253" s="148"/>
      <c r="R253" s="148"/>
      <c r="S253" s="148"/>
      <c r="T253" s="148"/>
      <c r="U253" s="149"/>
      <c r="W253" s="35" t="str">
        <f>"-- "&amp;C253</f>
        <v>-- バックアップ_単位マスタ取込用登録</v>
      </c>
    </row>
    <row r="254" spans="2:23" ht="18.75" customHeight="1">
      <c r="B254" s="43" t="s">
        <v>159</v>
      </c>
      <c r="C254" s="136" t="str">
        <f>C256&amp;"テーブルのレコードを"&amp;R256&amp;"テーブルに格納する。"</f>
        <v>単位マスタ取込用テーブルのレコードをバックアップ_単位マスタ取込用テーブルに格納する。</v>
      </c>
      <c r="D254" s="137"/>
      <c r="E254" s="137"/>
      <c r="F254" s="137"/>
      <c r="G254" s="137"/>
      <c r="H254" s="137"/>
      <c r="I254" s="137"/>
      <c r="J254" s="137"/>
      <c r="K254" s="137"/>
      <c r="L254" s="137"/>
      <c r="M254" s="137"/>
      <c r="N254" s="137"/>
      <c r="O254" s="137"/>
      <c r="P254" s="137"/>
      <c r="Q254" s="137"/>
      <c r="R254" s="137"/>
      <c r="S254" s="137"/>
      <c r="T254" s="137"/>
      <c r="U254" s="138"/>
      <c r="W254" s="35" t="str">
        <f>"-- "&amp;C254</f>
        <v>-- 単位マスタ取込用テーブルのレコードをバックアップ_単位マスタ取込用テーブルに格納する。</v>
      </c>
    </row>
    <row r="256" spans="2:23" ht="18.75" customHeight="1">
      <c r="C256" s="139" t="s">
        <v>3520</v>
      </c>
      <c r="D256" s="140"/>
      <c r="E256" s="143" t="s">
        <v>162</v>
      </c>
      <c r="F256" s="36"/>
      <c r="G256" s="36"/>
      <c r="H256" s="36"/>
      <c r="I256" s="36"/>
      <c r="J256" s="36"/>
      <c r="K256" s="36"/>
      <c r="L256" s="36"/>
      <c r="M256" s="36"/>
      <c r="N256" s="36"/>
      <c r="O256" s="36"/>
      <c r="P256" s="36"/>
      <c r="Q256" s="36"/>
      <c r="R256" s="139" t="str">
        <f>"バックアップ_"&amp;SUBSTITUTE(C256,"_結合","")</f>
        <v>バックアップ_単位マスタ取込用</v>
      </c>
      <c r="S256" s="140"/>
      <c r="T256" s="145" t="str">
        <f>エンティティ一覧!$O$2</f>
        <v>milscm_2023_009</v>
      </c>
    </row>
    <row r="257" spans="2:23" ht="18.75" customHeight="1">
      <c r="C257" s="141"/>
      <c r="D257" s="142"/>
      <c r="E257" s="144"/>
      <c r="F257" s="37"/>
      <c r="G257" s="37"/>
      <c r="H257" s="37"/>
      <c r="I257" s="37"/>
      <c r="J257" s="37"/>
      <c r="K257" s="37"/>
      <c r="L257" s="37"/>
      <c r="M257" s="37"/>
      <c r="N257" s="37"/>
      <c r="O257" s="37"/>
      <c r="P257" s="37"/>
      <c r="Q257" s="37"/>
      <c r="R257" s="141"/>
      <c r="S257" s="142"/>
      <c r="T257" s="146"/>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3521</v>
      </c>
      <c r="D261" s="88"/>
      <c r="W261" s="35" t="str">
        <f>"-- "&amp;B261&amp;" : "&amp;C261</f>
        <v>-- SQL_ID : 01_A3-11</v>
      </c>
    </row>
    <row r="262" spans="2:23" ht="18.75" customHeight="1">
      <c r="B262" s="43" t="s">
        <v>158</v>
      </c>
      <c r="C262" s="147" t="str">
        <f>R265&amp;"登録"</f>
        <v>バックアップ_適応病名レセ病名組み合わせ関係リンクマスタ取込用登録</v>
      </c>
      <c r="D262" s="148"/>
      <c r="E262" s="148"/>
      <c r="F262" s="148"/>
      <c r="G262" s="148"/>
      <c r="H262" s="148"/>
      <c r="I262" s="148"/>
      <c r="J262" s="148"/>
      <c r="K262" s="148"/>
      <c r="L262" s="148"/>
      <c r="M262" s="148"/>
      <c r="N262" s="148"/>
      <c r="O262" s="148"/>
      <c r="P262" s="148"/>
      <c r="Q262" s="148"/>
      <c r="R262" s="148"/>
      <c r="S262" s="148"/>
      <c r="T262" s="148"/>
      <c r="U262" s="149"/>
      <c r="W262" s="35" t="str">
        <f>"-- "&amp;C262</f>
        <v>-- バックアップ_適応病名レセ病名組み合わせ関係リンクマスタ取込用登録</v>
      </c>
    </row>
    <row r="263" spans="2:23" ht="18.75" customHeight="1">
      <c r="B263" s="43" t="s">
        <v>159</v>
      </c>
      <c r="C263" s="136"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37"/>
      <c r="E263" s="137"/>
      <c r="F263" s="137"/>
      <c r="G263" s="137"/>
      <c r="H263" s="137"/>
      <c r="I263" s="137"/>
      <c r="J263" s="137"/>
      <c r="K263" s="137"/>
      <c r="L263" s="137"/>
      <c r="M263" s="137"/>
      <c r="N263" s="137"/>
      <c r="O263" s="137"/>
      <c r="P263" s="137"/>
      <c r="Q263" s="137"/>
      <c r="R263" s="137"/>
      <c r="S263" s="137"/>
      <c r="T263" s="137"/>
      <c r="U263" s="138"/>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39" t="s">
        <v>3522</v>
      </c>
      <c r="D265" s="140"/>
      <c r="E265" s="143" t="s">
        <v>162</v>
      </c>
      <c r="F265" s="36"/>
      <c r="G265" s="36"/>
      <c r="H265" s="36"/>
      <c r="I265" s="36"/>
      <c r="J265" s="36"/>
      <c r="K265" s="36"/>
      <c r="L265" s="36"/>
      <c r="M265" s="36"/>
      <c r="N265" s="36"/>
      <c r="O265" s="36"/>
      <c r="P265" s="36"/>
      <c r="Q265" s="36"/>
      <c r="R265" s="154" t="str">
        <f>"バックアップ_"&amp;SUBSTITUTE(C265,"_結合","")</f>
        <v>バックアップ_適応病名レセ病名組み合わせ関係リンクマスタ取込用</v>
      </c>
      <c r="S265" s="155"/>
      <c r="T265" s="145" t="str">
        <f>エンティティ一覧!$O$2</f>
        <v>milscm_2023_009</v>
      </c>
    </row>
    <row r="266" spans="2:23" ht="18.75" customHeight="1">
      <c r="C266" s="141"/>
      <c r="D266" s="142"/>
      <c r="E266" s="144"/>
      <c r="F266" s="37"/>
      <c r="G266" s="37"/>
      <c r="H266" s="37"/>
      <c r="I266" s="37"/>
      <c r="J266" s="37"/>
      <c r="K266" s="37"/>
      <c r="L266" s="37"/>
      <c r="M266" s="37"/>
      <c r="N266" s="37"/>
      <c r="O266" s="37"/>
      <c r="P266" s="37"/>
      <c r="Q266" s="37"/>
      <c r="R266" s="156"/>
      <c r="S266" s="157"/>
      <c r="T266" s="146"/>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3523</v>
      </c>
      <c r="D270" s="88"/>
      <c r="W270" s="35" t="str">
        <f>"-- "&amp;B270&amp;" : "&amp;C270</f>
        <v>-- SQL_ID : 01_A3-12</v>
      </c>
    </row>
    <row r="271" spans="2:23" ht="18.75" customHeight="1">
      <c r="B271" s="43" t="s">
        <v>158</v>
      </c>
      <c r="C271" s="147" t="str">
        <f>R274&amp;"登録"</f>
        <v>バックアップ_適応病名レセ病名組み合わせ関係リンク親子マスタ取込用登録</v>
      </c>
      <c r="D271" s="148"/>
      <c r="E271" s="148"/>
      <c r="F271" s="148"/>
      <c r="G271" s="148"/>
      <c r="H271" s="148"/>
      <c r="I271" s="148"/>
      <c r="J271" s="148"/>
      <c r="K271" s="148"/>
      <c r="L271" s="148"/>
      <c r="M271" s="148"/>
      <c r="N271" s="148"/>
      <c r="O271" s="148"/>
      <c r="P271" s="148"/>
      <c r="Q271" s="148"/>
      <c r="R271" s="148"/>
      <c r="S271" s="148"/>
      <c r="T271" s="148"/>
      <c r="U271" s="149"/>
      <c r="W271" s="35" t="str">
        <f>"-- "&amp;C271</f>
        <v>-- バックアップ_適応病名レセ病名組み合わせ関係リンク親子マスタ取込用登録</v>
      </c>
    </row>
    <row r="272" spans="2:23" ht="18.75" customHeight="1">
      <c r="B272" s="43" t="s">
        <v>159</v>
      </c>
      <c r="C272" s="136"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37"/>
      <c r="E272" s="137"/>
      <c r="F272" s="137"/>
      <c r="G272" s="137"/>
      <c r="H272" s="137"/>
      <c r="I272" s="137"/>
      <c r="J272" s="137"/>
      <c r="K272" s="137"/>
      <c r="L272" s="137"/>
      <c r="M272" s="137"/>
      <c r="N272" s="137"/>
      <c r="O272" s="137"/>
      <c r="P272" s="137"/>
      <c r="Q272" s="137"/>
      <c r="R272" s="137"/>
      <c r="S272" s="137"/>
      <c r="T272" s="137"/>
      <c r="U272" s="138"/>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50" t="s">
        <v>3524</v>
      </c>
      <c r="D274" s="151"/>
      <c r="E274" s="143" t="s">
        <v>162</v>
      </c>
      <c r="F274" s="36"/>
      <c r="G274" s="36"/>
      <c r="H274" s="36"/>
      <c r="I274" s="36"/>
      <c r="J274" s="36"/>
      <c r="K274" s="36"/>
      <c r="L274" s="36"/>
      <c r="M274" s="36"/>
      <c r="N274" s="36"/>
      <c r="O274" s="36"/>
      <c r="P274" s="36"/>
      <c r="Q274" s="36"/>
      <c r="R274" s="154" t="str">
        <f>"バックアップ_"&amp;SUBSTITUTE(C274,"_結合","")</f>
        <v>バックアップ_適応病名レセ病名組み合わせ関係リンク親子マスタ取込用</v>
      </c>
      <c r="S274" s="155"/>
      <c r="T274" s="145" t="str">
        <f>エンティティ一覧!$O$2</f>
        <v>milscm_2023_009</v>
      </c>
    </row>
    <row r="275" spans="2:23" ht="18.75" customHeight="1">
      <c r="C275" s="152"/>
      <c r="D275" s="153"/>
      <c r="E275" s="144"/>
      <c r="F275" s="37"/>
      <c r="G275" s="37"/>
      <c r="H275" s="37"/>
      <c r="I275" s="37"/>
      <c r="J275" s="37"/>
      <c r="K275" s="37"/>
      <c r="L275" s="37"/>
      <c r="M275" s="37"/>
      <c r="N275" s="37"/>
      <c r="O275" s="37"/>
      <c r="P275" s="37"/>
      <c r="Q275" s="37"/>
      <c r="R275" s="156"/>
      <c r="S275" s="157"/>
      <c r="T275" s="146"/>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3525</v>
      </c>
      <c r="D279" s="88"/>
      <c r="W279" s="35" t="str">
        <f>"-- "&amp;B279&amp;" : "&amp;C279</f>
        <v>-- SQL_ID : 01_A3-13</v>
      </c>
    </row>
    <row r="280" spans="2:23" ht="18.75" customHeight="1">
      <c r="B280" s="43" t="s">
        <v>158</v>
      </c>
      <c r="C280" s="147" t="str">
        <f>R283&amp;"登録"</f>
        <v>バックアップ_適用病名マスタ取込用登録</v>
      </c>
      <c r="D280" s="148"/>
      <c r="E280" s="148"/>
      <c r="F280" s="148"/>
      <c r="G280" s="148"/>
      <c r="H280" s="148"/>
      <c r="I280" s="148"/>
      <c r="J280" s="148"/>
      <c r="K280" s="148"/>
      <c r="L280" s="148"/>
      <c r="M280" s="148"/>
      <c r="N280" s="148"/>
      <c r="O280" s="148"/>
      <c r="P280" s="148"/>
      <c r="Q280" s="148"/>
      <c r="R280" s="148"/>
      <c r="S280" s="148"/>
      <c r="T280" s="148"/>
      <c r="U280" s="149"/>
      <c r="W280" s="35" t="str">
        <f>"-- "&amp;C280</f>
        <v>-- バックアップ_適用病名マスタ取込用登録</v>
      </c>
    </row>
    <row r="281" spans="2:23" ht="18.75" customHeight="1">
      <c r="B281" s="43" t="s">
        <v>159</v>
      </c>
      <c r="C281" s="136" t="str">
        <f>C283&amp;"テーブルのレコードを"&amp;R283&amp;"テーブルに格納する。"</f>
        <v>適用病名マスタ取込用テーブルのレコードをバックアップ_適用病名マスタ取込用テーブルに格納する。</v>
      </c>
      <c r="D281" s="137"/>
      <c r="E281" s="137"/>
      <c r="F281" s="137"/>
      <c r="G281" s="137"/>
      <c r="H281" s="137"/>
      <c r="I281" s="137"/>
      <c r="J281" s="137"/>
      <c r="K281" s="137"/>
      <c r="L281" s="137"/>
      <c r="M281" s="137"/>
      <c r="N281" s="137"/>
      <c r="O281" s="137"/>
      <c r="P281" s="137"/>
      <c r="Q281" s="137"/>
      <c r="R281" s="137"/>
      <c r="S281" s="137"/>
      <c r="T281" s="137"/>
      <c r="U281" s="138"/>
      <c r="W281" s="35" t="str">
        <f>"-- "&amp;C281</f>
        <v>-- 適用病名マスタ取込用テーブルのレコードをバックアップ_適用病名マスタ取込用テーブルに格納する。</v>
      </c>
    </row>
    <row r="283" spans="2:23" ht="18.75" customHeight="1">
      <c r="C283" s="139" t="s">
        <v>3526</v>
      </c>
      <c r="D283" s="140"/>
      <c r="E283" s="143" t="s">
        <v>162</v>
      </c>
      <c r="F283" s="36"/>
      <c r="G283" s="36"/>
      <c r="H283" s="36"/>
      <c r="I283" s="36"/>
      <c r="J283" s="36"/>
      <c r="K283" s="36"/>
      <c r="L283" s="36"/>
      <c r="M283" s="36"/>
      <c r="N283" s="36"/>
      <c r="O283" s="36"/>
      <c r="P283" s="36"/>
      <c r="Q283" s="36"/>
      <c r="R283" s="139" t="str">
        <f>"バックアップ_"&amp;SUBSTITUTE(C283,"_結合","")</f>
        <v>バックアップ_適用病名マスタ取込用</v>
      </c>
      <c r="S283" s="140"/>
      <c r="T283" s="145" t="str">
        <f>エンティティ一覧!$O$2</f>
        <v>milscm_2023_009</v>
      </c>
    </row>
    <row r="284" spans="2:23" ht="18.75" customHeight="1">
      <c r="C284" s="141"/>
      <c r="D284" s="142"/>
      <c r="E284" s="144"/>
      <c r="F284" s="37"/>
      <c r="G284" s="37"/>
      <c r="H284" s="37"/>
      <c r="I284" s="37"/>
      <c r="J284" s="37"/>
      <c r="K284" s="37"/>
      <c r="L284" s="37"/>
      <c r="M284" s="37"/>
      <c r="N284" s="37"/>
      <c r="O284" s="37"/>
      <c r="P284" s="37"/>
      <c r="Q284" s="37"/>
      <c r="R284" s="141"/>
      <c r="S284" s="142"/>
      <c r="T284" s="146"/>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3527</v>
      </c>
      <c r="D288" s="88"/>
      <c r="W288" s="35" t="str">
        <f>"-- "&amp;B288&amp;" : "&amp;C288</f>
        <v>-- SQL_ID : 01_A3-14</v>
      </c>
    </row>
    <row r="289" spans="2:23" ht="18.75" customHeight="1">
      <c r="B289" s="43" t="s">
        <v>158</v>
      </c>
      <c r="C289" s="147" t="str">
        <f>R292&amp;"登録"</f>
        <v>バックアップ_ＹＪコード医薬品コードリンクマスタ取込用登録</v>
      </c>
      <c r="D289" s="148"/>
      <c r="E289" s="148"/>
      <c r="F289" s="148"/>
      <c r="G289" s="148"/>
      <c r="H289" s="148"/>
      <c r="I289" s="148"/>
      <c r="J289" s="148"/>
      <c r="K289" s="148"/>
      <c r="L289" s="148"/>
      <c r="M289" s="148"/>
      <c r="N289" s="148"/>
      <c r="O289" s="148"/>
      <c r="P289" s="148"/>
      <c r="Q289" s="148"/>
      <c r="R289" s="148"/>
      <c r="S289" s="148"/>
      <c r="T289" s="148"/>
      <c r="U289" s="149"/>
      <c r="W289" s="35" t="str">
        <f>"-- "&amp;C289</f>
        <v>-- バックアップ_ＹＪコード医薬品コードリンクマスタ取込用登録</v>
      </c>
    </row>
    <row r="290" spans="2:23" ht="18.75" customHeight="1">
      <c r="B290" s="43" t="s">
        <v>159</v>
      </c>
      <c r="C290" s="136"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37"/>
      <c r="E290" s="137"/>
      <c r="F290" s="137"/>
      <c r="G290" s="137"/>
      <c r="H290" s="137"/>
      <c r="I290" s="137"/>
      <c r="J290" s="137"/>
      <c r="K290" s="137"/>
      <c r="L290" s="137"/>
      <c r="M290" s="137"/>
      <c r="N290" s="137"/>
      <c r="O290" s="137"/>
      <c r="P290" s="137"/>
      <c r="Q290" s="137"/>
      <c r="R290" s="137"/>
      <c r="S290" s="137"/>
      <c r="T290" s="137"/>
      <c r="U290" s="138"/>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39" t="s">
        <v>3528</v>
      </c>
      <c r="D292" s="140"/>
      <c r="E292" s="143" t="s">
        <v>162</v>
      </c>
      <c r="F292" s="36"/>
      <c r="G292" s="36"/>
      <c r="H292" s="36"/>
      <c r="I292" s="36"/>
      <c r="J292" s="36"/>
      <c r="K292" s="36"/>
      <c r="L292" s="36"/>
      <c r="M292" s="36"/>
      <c r="N292" s="36"/>
      <c r="O292" s="36"/>
      <c r="P292" s="36"/>
      <c r="Q292" s="36"/>
      <c r="R292" s="150" t="str">
        <f>"バックアップ_"&amp;SUBSTITUTE(C292,"_結合","")</f>
        <v>バックアップ_ＹＪコード医薬品コードリンクマスタ取込用</v>
      </c>
      <c r="S292" s="151"/>
      <c r="T292" s="145" t="str">
        <f>エンティティ一覧!$O$2</f>
        <v>milscm_2023_009</v>
      </c>
    </row>
    <row r="293" spans="2:23" ht="18.75" customHeight="1">
      <c r="C293" s="141"/>
      <c r="D293" s="142"/>
      <c r="E293" s="144"/>
      <c r="F293" s="37"/>
      <c r="G293" s="37"/>
      <c r="H293" s="37"/>
      <c r="I293" s="37"/>
      <c r="J293" s="37"/>
      <c r="K293" s="37"/>
      <c r="L293" s="37"/>
      <c r="M293" s="37"/>
      <c r="N293" s="37"/>
      <c r="O293" s="37"/>
      <c r="P293" s="37"/>
      <c r="Q293" s="37"/>
      <c r="R293" s="152"/>
      <c r="S293" s="153"/>
      <c r="T293" s="146"/>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3529</v>
      </c>
      <c r="D297" s="88"/>
      <c r="W297" s="35" t="str">
        <f>"-- "&amp;B297&amp;" : "&amp;C297</f>
        <v>-- SQL_ID : 01_A3-15</v>
      </c>
    </row>
    <row r="298" spans="2:23" ht="18.75" customHeight="1">
      <c r="B298" s="43" t="s">
        <v>158</v>
      </c>
      <c r="C298" s="147" t="str">
        <f>R301&amp;"登録"</f>
        <v>バックアップ_診療行為付加情報マスタ取込用登録</v>
      </c>
      <c r="D298" s="148"/>
      <c r="E298" s="148"/>
      <c r="F298" s="148"/>
      <c r="G298" s="148"/>
      <c r="H298" s="148"/>
      <c r="I298" s="148"/>
      <c r="J298" s="148"/>
      <c r="K298" s="148"/>
      <c r="L298" s="148"/>
      <c r="M298" s="148"/>
      <c r="N298" s="148"/>
      <c r="O298" s="148"/>
      <c r="P298" s="148"/>
      <c r="Q298" s="148"/>
      <c r="R298" s="148"/>
      <c r="S298" s="148"/>
      <c r="T298" s="148"/>
      <c r="U298" s="149"/>
      <c r="W298" s="35" t="str">
        <f>"-- "&amp;C298</f>
        <v>-- バックアップ_診療行為付加情報マスタ取込用登録</v>
      </c>
    </row>
    <row r="299" spans="2:23" ht="18.75" customHeight="1">
      <c r="B299" s="43" t="s">
        <v>159</v>
      </c>
      <c r="C299" s="136" t="str">
        <f>C301&amp;"テーブルのレコードを"&amp;R301&amp;"テーブルに格納する。"</f>
        <v>診療行為付加情報マスタ取込用テーブルのレコードをバックアップ_診療行為付加情報マスタ取込用テーブルに格納する。</v>
      </c>
      <c r="D299" s="137"/>
      <c r="E299" s="137"/>
      <c r="F299" s="137"/>
      <c r="G299" s="137"/>
      <c r="H299" s="137"/>
      <c r="I299" s="137"/>
      <c r="J299" s="137"/>
      <c r="K299" s="137"/>
      <c r="L299" s="137"/>
      <c r="M299" s="137"/>
      <c r="N299" s="137"/>
      <c r="O299" s="137"/>
      <c r="P299" s="137"/>
      <c r="Q299" s="137"/>
      <c r="R299" s="137"/>
      <c r="S299" s="137"/>
      <c r="T299" s="137"/>
      <c r="U299" s="138"/>
      <c r="W299" s="35" t="str">
        <f>"-- "&amp;C299</f>
        <v>-- 診療行為付加情報マスタ取込用テーブルのレコードをバックアップ_診療行為付加情報マスタ取込用テーブルに格納する。</v>
      </c>
    </row>
    <row r="301" spans="2:23" ht="18.75" customHeight="1">
      <c r="C301" s="139" t="s">
        <v>3530</v>
      </c>
      <c r="D301" s="140"/>
      <c r="E301" s="143" t="s">
        <v>162</v>
      </c>
      <c r="F301" s="36"/>
      <c r="G301" s="36"/>
      <c r="H301" s="36"/>
      <c r="I301" s="36"/>
      <c r="J301" s="36"/>
      <c r="K301" s="36"/>
      <c r="L301" s="36"/>
      <c r="M301" s="36"/>
      <c r="N301" s="36"/>
      <c r="O301" s="36"/>
      <c r="P301" s="36"/>
      <c r="Q301" s="36"/>
      <c r="R301" s="139" t="str">
        <f>"バックアップ_"&amp;SUBSTITUTE(C301,"_結合","")</f>
        <v>バックアップ_診療行為付加情報マスタ取込用</v>
      </c>
      <c r="S301" s="140"/>
      <c r="T301" s="145" t="str">
        <f>エンティティ一覧!$O$2</f>
        <v>milscm_2023_009</v>
      </c>
    </row>
    <row r="302" spans="2:23" ht="18.75" customHeight="1">
      <c r="C302" s="141"/>
      <c r="D302" s="142"/>
      <c r="E302" s="144"/>
      <c r="F302" s="37"/>
      <c r="G302" s="37"/>
      <c r="H302" s="37"/>
      <c r="I302" s="37"/>
      <c r="J302" s="37"/>
      <c r="K302" s="37"/>
      <c r="L302" s="37"/>
      <c r="M302" s="37"/>
      <c r="N302" s="37"/>
      <c r="O302" s="37"/>
      <c r="P302" s="37"/>
      <c r="Q302" s="37"/>
      <c r="R302" s="141"/>
      <c r="S302" s="142"/>
      <c r="T302" s="146"/>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3531</v>
      </c>
      <c r="D306" s="88"/>
      <c r="W306" s="35" t="str">
        <f>"-- "&amp;B306&amp;" : "&amp;C306</f>
        <v>-- SQL_ID : 01_A3-16</v>
      </c>
    </row>
    <row r="307" spans="2:23" ht="18.75" customHeight="1">
      <c r="B307" s="43" t="s">
        <v>158</v>
      </c>
      <c r="C307" s="147" t="str">
        <f>R310&amp;"登録"</f>
        <v>バックアップ_処理対象施設マスタ登録</v>
      </c>
      <c r="D307" s="148"/>
      <c r="E307" s="148"/>
      <c r="F307" s="148"/>
      <c r="G307" s="148"/>
      <c r="H307" s="148"/>
      <c r="I307" s="148"/>
      <c r="J307" s="148"/>
      <c r="K307" s="148"/>
      <c r="L307" s="148"/>
      <c r="M307" s="148"/>
      <c r="N307" s="148"/>
      <c r="O307" s="148"/>
      <c r="P307" s="148"/>
      <c r="Q307" s="148"/>
      <c r="R307" s="148"/>
      <c r="S307" s="148"/>
      <c r="T307" s="148"/>
      <c r="U307" s="149"/>
      <c r="W307" s="35" t="str">
        <f>"-- "&amp;C307</f>
        <v>-- バックアップ_処理対象施設マスタ登録</v>
      </c>
    </row>
    <row r="308" spans="2:23" ht="18.75" customHeight="1">
      <c r="B308" s="43" t="s">
        <v>159</v>
      </c>
      <c r="C308" s="136" t="str">
        <f>C310&amp;"テーブルのレコードを"&amp;R310&amp;"テーブルに格納する。"</f>
        <v>処理対象施設マスタテーブルのレコードをバックアップ_処理対象施設マスタテーブルに格納する。</v>
      </c>
      <c r="D308" s="137"/>
      <c r="E308" s="137"/>
      <c r="F308" s="137"/>
      <c r="G308" s="137"/>
      <c r="H308" s="137"/>
      <c r="I308" s="137"/>
      <c r="J308" s="137"/>
      <c r="K308" s="137"/>
      <c r="L308" s="137"/>
      <c r="M308" s="137"/>
      <c r="N308" s="137"/>
      <c r="O308" s="137"/>
      <c r="P308" s="137"/>
      <c r="Q308" s="137"/>
      <c r="R308" s="137"/>
      <c r="S308" s="137"/>
      <c r="T308" s="137"/>
      <c r="U308" s="138"/>
      <c r="W308" s="35" t="str">
        <f>"-- "&amp;C308</f>
        <v>-- 処理対象施設マスタテーブルのレコードをバックアップ_処理対象施設マスタテーブルに格納する。</v>
      </c>
    </row>
    <row r="310" spans="2:23" ht="18.75" customHeight="1">
      <c r="C310" s="139" t="s">
        <v>3532</v>
      </c>
      <c r="D310" s="140"/>
      <c r="E310" s="143" t="s">
        <v>162</v>
      </c>
      <c r="F310" s="36"/>
      <c r="G310" s="36"/>
      <c r="H310" s="36"/>
      <c r="I310" s="36"/>
      <c r="J310" s="36"/>
      <c r="K310" s="36"/>
      <c r="L310" s="36"/>
      <c r="M310" s="36"/>
      <c r="N310" s="36"/>
      <c r="O310" s="36"/>
      <c r="P310" s="36"/>
      <c r="Q310" s="36"/>
      <c r="R310" s="139" t="str">
        <f>"バックアップ_"&amp;SUBSTITUTE(C310,"_結合","")</f>
        <v>バックアップ_処理対象施設マスタ</v>
      </c>
      <c r="S310" s="140"/>
      <c r="T310" s="145" t="str">
        <f>エンティティ一覧!$O$2</f>
        <v>milscm_2023_009</v>
      </c>
    </row>
    <row r="311" spans="2:23" ht="18.75" customHeight="1">
      <c r="C311" s="141"/>
      <c r="D311" s="142"/>
      <c r="E311" s="144"/>
      <c r="F311" s="37"/>
      <c r="G311" s="37"/>
      <c r="H311" s="37"/>
      <c r="I311" s="37"/>
      <c r="J311" s="37"/>
      <c r="K311" s="37"/>
      <c r="L311" s="37"/>
      <c r="M311" s="37"/>
      <c r="N311" s="37"/>
      <c r="O311" s="37"/>
      <c r="P311" s="37"/>
      <c r="Q311" s="37"/>
      <c r="R311" s="141"/>
      <c r="S311" s="142"/>
      <c r="T311" s="146"/>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3533</v>
      </c>
      <c r="D315" s="88"/>
      <c r="W315" s="35" t="str">
        <f>"-- "&amp;B315&amp;" : "&amp;C315</f>
        <v>-- SQL_ID : 01_A3-17</v>
      </c>
    </row>
    <row r="316" spans="2:23" ht="18.75" customHeight="1">
      <c r="B316" s="43" t="s">
        <v>158</v>
      </c>
      <c r="C316" s="147" t="str">
        <f>R319&amp;"登録"</f>
        <v>バックアップ_処理対象施設マスタ管理登録</v>
      </c>
      <c r="D316" s="148"/>
      <c r="E316" s="148"/>
      <c r="F316" s="148"/>
      <c r="G316" s="148"/>
      <c r="H316" s="148"/>
      <c r="I316" s="148"/>
      <c r="J316" s="148"/>
      <c r="K316" s="148"/>
      <c r="L316" s="148"/>
      <c r="M316" s="148"/>
      <c r="N316" s="148"/>
      <c r="O316" s="148"/>
      <c r="P316" s="148"/>
      <c r="Q316" s="148"/>
      <c r="R316" s="148"/>
      <c r="S316" s="148"/>
      <c r="T316" s="148"/>
      <c r="U316" s="149"/>
      <c r="W316" s="35" t="str">
        <f>"-- "&amp;C316</f>
        <v>-- バックアップ_処理対象施設マスタ管理登録</v>
      </c>
    </row>
    <row r="317" spans="2:23" ht="18.75" customHeight="1">
      <c r="B317" s="43" t="s">
        <v>159</v>
      </c>
      <c r="C317" s="136" t="str">
        <f>C319&amp;"テーブルのレコードを"&amp;R319&amp;"テーブルに格納する。"</f>
        <v>処理対象施設マスタ管理テーブルのレコードをバックアップ_処理対象施設マスタ管理テーブルに格納する。</v>
      </c>
      <c r="D317" s="137"/>
      <c r="E317" s="137"/>
      <c r="F317" s="137"/>
      <c r="G317" s="137"/>
      <c r="H317" s="137"/>
      <c r="I317" s="137"/>
      <c r="J317" s="137"/>
      <c r="K317" s="137"/>
      <c r="L317" s="137"/>
      <c r="M317" s="137"/>
      <c r="N317" s="137"/>
      <c r="O317" s="137"/>
      <c r="P317" s="137"/>
      <c r="Q317" s="137"/>
      <c r="R317" s="137"/>
      <c r="S317" s="137"/>
      <c r="T317" s="137"/>
      <c r="U317" s="138"/>
      <c r="W317" s="35" t="str">
        <f>"-- "&amp;C317</f>
        <v>-- 処理対象施設マスタ管理テーブルのレコードをバックアップ_処理対象施設マスタ管理テーブルに格納する。</v>
      </c>
    </row>
    <row r="319" spans="2:23" ht="18.75" customHeight="1">
      <c r="C319" s="139" t="s">
        <v>3534</v>
      </c>
      <c r="D319" s="140"/>
      <c r="E319" s="143" t="s">
        <v>162</v>
      </c>
      <c r="F319" s="36"/>
      <c r="G319" s="36"/>
      <c r="H319" s="36"/>
      <c r="I319" s="36"/>
      <c r="J319" s="36"/>
      <c r="K319" s="36"/>
      <c r="L319" s="36"/>
      <c r="M319" s="36"/>
      <c r="N319" s="36"/>
      <c r="O319" s="36"/>
      <c r="P319" s="36"/>
      <c r="Q319" s="36"/>
      <c r="R319" s="139" t="str">
        <f>"バックアップ_"&amp;SUBSTITUTE(C319,"_結合","")</f>
        <v>バックアップ_処理対象施設マスタ管理</v>
      </c>
      <c r="S319" s="140"/>
      <c r="T319" s="145" t="str">
        <f>エンティティ一覧!$O$2</f>
        <v>milscm_2023_009</v>
      </c>
    </row>
    <row r="320" spans="2:23" ht="18.75" customHeight="1">
      <c r="C320" s="141"/>
      <c r="D320" s="142"/>
      <c r="E320" s="144"/>
      <c r="F320" s="37"/>
      <c r="G320" s="37"/>
      <c r="H320" s="37"/>
      <c r="I320" s="37"/>
      <c r="J320" s="37"/>
      <c r="K320" s="37"/>
      <c r="L320" s="37"/>
      <c r="M320" s="37"/>
      <c r="N320" s="37"/>
      <c r="O320" s="37"/>
      <c r="P320" s="37"/>
      <c r="Q320" s="37"/>
      <c r="R320" s="141"/>
      <c r="S320" s="142"/>
      <c r="T320" s="146"/>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3535</v>
      </c>
      <c r="D324" s="88"/>
      <c r="W324" s="35" t="str">
        <f>"-- "&amp;B324&amp;" : "&amp;C324</f>
        <v>-- SQL_ID : 01_A3-18</v>
      </c>
    </row>
    <row r="325" spans="2:23" ht="18.75" customHeight="1">
      <c r="B325" s="43" t="s">
        <v>158</v>
      </c>
      <c r="C325" s="147" t="str">
        <f>R328&amp;"登録"</f>
        <v>バックアップ_医薬品マスタ登録</v>
      </c>
      <c r="D325" s="148"/>
      <c r="E325" s="148"/>
      <c r="F325" s="148"/>
      <c r="G325" s="148"/>
      <c r="H325" s="148"/>
      <c r="I325" s="148"/>
      <c r="J325" s="148"/>
      <c r="K325" s="148"/>
      <c r="L325" s="148"/>
      <c r="M325" s="148"/>
      <c r="N325" s="148"/>
      <c r="O325" s="148"/>
      <c r="P325" s="148"/>
      <c r="Q325" s="148"/>
      <c r="R325" s="148"/>
      <c r="S325" s="148"/>
      <c r="T325" s="148"/>
      <c r="U325" s="149"/>
      <c r="W325" s="35" t="str">
        <f>"-- "&amp;C325</f>
        <v>-- バックアップ_医薬品マスタ登録</v>
      </c>
    </row>
    <row r="326" spans="2:23" ht="18.75" customHeight="1">
      <c r="B326" s="43" t="s">
        <v>159</v>
      </c>
      <c r="C326" s="136" t="str">
        <f>C328&amp;"テーブルのレコードを"&amp;R328&amp;"テーブルに格納する。"</f>
        <v>医薬品マスタテーブルのレコードをバックアップ_医薬品マスタテーブルに格納する。</v>
      </c>
      <c r="D326" s="137"/>
      <c r="E326" s="137"/>
      <c r="F326" s="137"/>
      <c r="G326" s="137"/>
      <c r="H326" s="137"/>
      <c r="I326" s="137"/>
      <c r="J326" s="137"/>
      <c r="K326" s="137"/>
      <c r="L326" s="137"/>
      <c r="M326" s="137"/>
      <c r="N326" s="137"/>
      <c r="O326" s="137"/>
      <c r="P326" s="137"/>
      <c r="Q326" s="137"/>
      <c r="R326" s="137"/>
      <c r="S326" s="137"/>
      <c r="T326" s="137"/>
      <c r="U326" s="138"/>
      <c r="W326" s="35" t="str">
        <f>"-- "&amp;C326</f>
        <v>-- 医薬品マスタテーブルのレコードをバックアップ_医薬品マスタテーブルに格納する。</v>
      </c>
    </row>
    <row r="328" spans="2:23" ht="18.75" customHeight="1">
      <c r="C328" s="139" t="s">
        <v>3536</v>
      </c>
      <c r="D328" s="140"/>
      <c r="E328" s="143" t="s">
        <v>162</v>
      </c>
      <c r="F328" s="36"/>
      <c r="G328" s="36"/>
      <c r="H328" s="36"/>
      <c r="I328" s="36"/>
      <c r="J328" s="36"/>
      <c r="K328" s="36"/>
      <c r="L328" s="36"/>
      <c r="M328" s="36"/>
      <c r="N328" s="36"/>
      <c r="O328" s="36"/>
      <c r="P328" s="36"/>
      <c r="Q328" s="36"/>
      <c r="R328" s="139" t="str">
        <f>"バックアップ_"&amp;SUBSTITUTE(C328,"_結合","")</f>
        <v>バックアップ_医薬品マスタ</v>
      </c>
      <c r="S328" s="140"/>
      <c r="T328" s="145" t="str">
        <f>エンティティ一覧!$O$2</f>
        <v>milscm_2023_009</v>
      </c>
    </row>
    <row r="329" spans="2:23" ht="18.75" customHeight="1">
      <c r="C329" s="141"/>
      <c r="D329" s="142"/>
      <c r="E329" s="144"/>
      <c r="F329" s="37"/>
      <c r="G329" s="37"/>
      <c r="H329" s="37"/>
      <c r="I329" s="37"/>
      <c r="J329" s="37"/>
      <c r="K329" s="37"/>
      <c r="L329" s="37"/>
      <c r="M329" s="37"/>
      <c r="N329" s="37"/>
      <c r="O329" s="37"/>
      <c r="P329" s="37"/>
      <c r="Q329" s="37"/>
      <c r="R329" s="141"/>
      <c r="S329" s="142"/>
      <c r="T329" s="146"/>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3537</v>
      </c>
      <c r="D333" s="88"/>
      <c r="W333" s="35" t="str">
        <f>"-- "&amp;B333&amp;" : "&amp;C333</f>
        <v>-- SQL_ID : 01_A3-19</v>
      </c>
    </row>
    <row r="334" spans="2:23" ht="18.75" customHeight="1">
      <c r="B334" s="43" t="s">
        <v>158</v>
      </c>
      <c r="C334" s="147" t="str">
        <f>R337&amp;"登録"</f>
        <v>バックアップ_医薬品ブランドマスタ登録</v>
      </c>
      <c r="D334" s="148"/>
      <c r="E334" s="148"/>
      <c r="F334" s="148"/>
      <c r="G334" s="148"/>
      <c r="H334" s="148"/>
      <c r="I334" s="148"/>
      <c r="J334" s="148"/>
      <c r="K334" s="148"/>
      <c r="L334" s="148"/>
      <c r="M334" s="148"/>
      <c r="N334" s="148"/>
      <c r="O334" s="148"/>
      <c r="P334" s="148"/>
      <c r="Q334" s="148"/>
      <c r="R334" s="148"/>
      <c r="S334" s="148"/>
      <c r="T334" s="148"/>
      <c r="U334" s="149"/>
      <c r="W334" s="35" t="str">
        <f>"-- "&amp;C334</f>
        <v>-- バックアップ_医薬品ブランドマスタ登録</v>
      </c>
    </row>
    <row r="335" spans="2:23" ht="18.75" customHeight="1">
      <c r="B335" s="43" t="s">
        <v>159</v>
      </c>
      <c r="C335" s="136" t="str">
        <f>C337&amp;"テーブルのレコードを"&amp;R337&amp;"テーブルに格納する。"</f>
        <v>医薬品ブランドマスタテーブルのレコードをバックアップ_医薬品ブランドマスタテーブルに格納する。</v>
      </c>
      <c r="D335" s="137"/>
      <c r="E335" s="137"/>
      <c r="F335" s="137"/>
      <c r="G335" s="137"/>
      <c r="H335" s="137"/>
      <c r="I335" s="137"/>
      <c r="J335" s="137"/>
      <c r="K335" s="137"/>
      <c r="L335" s="137"/>
      <c r="M335" s="137"/>
      <c r="N335" s="137"/>
      <c r="O335" s="137"/>
      <c r="P335" s="137"/>
      <c r="Q335" s="137"/>
      <c r="R335" s="137"/>
      <c r="S335" s="137"/>
      <c r="T335" s="137"/>
      <c r="U335" s="138"/>
      <c r="W335" s="35" t="str">
        <f>"-- "&amp;C335</f>
        <v>-- 医薬品ブランドマスタテーブルのレコードをバックアップ_医薬品ブランドマスタテーブルに格納する。</v>
      </c>
    </row>
    <row r="337" spans="2:23" ht="18.75" customHeight="1">
      <c r="C337" s="139" t="s">
        <v>3538</v>
      </c>
      <c r="D337" s="140"/>
      <c r="E337" s="143" t="s">
        <v>162</v>
      </c>
      <c r="F337" s="36"/>
      <c r="G337" s="36"/>
      <c r="H337" s="36"/>
      <c r="I337" s="36"/>
      <c r="J337" s="36"/>
      <c r="K337" s="36"/>
      <c r="L337" s="36"/>
      <c r="M337" s="36"/>
      <c r="N337" s="36"/>
      <c r="O337" s="36"/>
      <c r="P337" s="36"/>
      <c r="Q337" s="36"/>
      <c r="R337" s="139" t="str">
        <f>"バックアップ_"&amp;SUBSTITUTE(C337,"_結合","")</f>
        <v>バックアップ_医薬品ブランドマスタ</v>
      </c>
      <c r="S337" s="140"/>
      <c r="T337" s="145" t="str">
        <f>エンティティ一覧!$O$2</f>
        <v>milscm_2023_009</v>
      </c>
    </row>
    <row r="338" spans="2:23" ht="18.75" customHeight="1">
      <c r="C338" s="141"/>
      <c r="D338" s="142"/>
      <c r="E338" s="144"/>
      <c r="F338" s="37"/>
      <c r="G338" s="37"/>
      <c r="H338" s="37"/>
      <c r="I338" s="37"/>
      <c r="J338" s="37"/>
      <c r="K338" s="37"/>
      <c r="L338" s="37"/>
      <c r="M338" s="37"/>
      <c r="N338" s="37"/>
      <c r="O338" s="37"/>
      <c r="P338" s="37"/>
      <c r="Q338" s="37"/>
      <c r="R338" s="141"/>
      <c r="S338" s="142"/>
      <c r="T338" s="146"/>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3539</v>
      </c>
      <c r="D342" s="88"/>
      <c r="W342" s="35" t="str">
        <f>"-- "&amp;B342&amp;" : "&amp;C342</f>
        <v>-- SQL_ID : 01_A3-20</v>
      </c>
    </row>
    <row r="343" spans="2:23" ht="18.75" customHeight="1">
      <c r="B343" s="43" t="s">
        <v>158</v>
      </c>
      <c r="C343" s="147" t="str">
        <f>R346&amp;"登録"</f>
        <v>バックアップ_医薬品一般名マスタ登録</v>
      </c>
      <c r="D343" s="148"/>
      <c r="E343" s="148"/>
      <c r="F343" s="148"/>
      <c r="G343" s="148"/>
      <c r="H343" s="148"/>
      <c r="I343" s="148"/>
      <c r="J343" s="148"/>
      <c r="K343" s="148"/>
      <c r="L343" s="148"/>
      <c r="M343" s="148"/>
      <c r="N343" s="148"/>
      <c r="O343" s="148"/>
      <c r="P343" s="148"/>
      <c r="Q343" s="148"/>
      <c r="R343" s="148"/>
      <c r="S343" s="148"/>
      <c r="T343" s="148"/>
      <c r="U343" s="149"/>
      <c r="W343" s="35" t="str">
        <f>"-- "&amp;C343</f>
        <v>-- バックアップ_医薬品一般名マスタ登録</v>
      </c>
    </row>
    <row r="344" spans="2:23" ht="18.75" customHeight="1">
      <c r="B344" s="43" t="s">
        <v>159</v>
      </c>
      <c r="C344" s="136" t="str">
        <f>C346&amp;"テーブルのレコードを"&amp;R346&amp;"テーブルに格納する。"</f>
        <v>医薬品一般名マスタテーブルのレコードをバックアップ_医薬品一般名マスタテーブルに格納する。</v>
      </c>
      <c r="D344" s="137"/>
      <c r="E344" s="137"/>
      <c r="F344" s="137"/>
      <c r="G344" s="137"/>
      <c r="H344" s="137"/>
      <c r="I344" s="137"/>
      <c r="J344" s="137"/>
      <c r="K344" s="137"/>
      <c r="L344" s="137"/>
      <c r="M344" s="137"/>
      <c r="N344" s="137"/>
      <c r="O344" s="137"/>
      <c r="P344" s="137"/>
      <c r="Q344" s="137"/>
      <c r="R344" s="137"/>
      <c r="S344" s="137"/>
      <c r="T344" s="137"/>
      <c r="U344" s="138"/>
      <c r="W344" s="35" t="str">
        <f>"-- "&amp;C344</f>
        <v>-- 医薬品一般名マスタテーブルのレコードをバックアップ_医薬品一般名マスタテーブルに格納する。</v>
      </c>
    </row>
    <row r="346" spans="2:23" ht="18.75" customHeight="1">
      <c r="C346" s="139" t="s">
        <v>3540</v>
      </c>
      <c r="D346" s="140"/>
      <c r="E346" s="143" t="s">
        <v>162</v>
      </c>
      <c r="F346" s="36"/>
      <c r="G346" s="36"/>
      <c r="H346" s="36"/>
      <c r="I346" s="36"/>
      <c r="J346" s="36"/>
      <c r="K346" s="36"/>
      <c r="L346" s="36"/>
      <c r="M346" s="36"/>
      <c r="N346" s="36"/>
      <c r="O346" s="36"/>
      <c r="P346" s="36"/>
      <c r="Q346" s="36"/>
      <c r="R346" s="139" t="str">
        <f>"バックアップ_"&amp;SUBSTITUTE(C346,"_結合","")</f>
        <v>バックアップ_医薬品一般名マスタ</v>
      </c>
      <c r="S346" s="140"/>
      <c r="T346" s="145" t="str">
        <f>エンティティ一覧!$O$2</f>
        <v>milscm_2023_009</v>
      </c>
    </row>
    <row r="347" spans="2:23" ht="18.75" customHeight="1">
      <c r="C347" s="141"/>
      <c r="D347" s="142"/>
      <c r="E347" s="144"/>
      <c r="F347" s="37"/>
      <c r="G347" s="37"/>
      <c r="H347" s="37"/>
      <c r="I347" s="37"/>
      <c r="J347" s="37"/>
      <c r="K347" s="37"/>
      <c r="L347" s="37"/>
      <c r="M347" s="37"/>
      <c r="N347" s="37"/>
      <c r="O347" s="37"/>
      <c r="P347" s="37"/>
      <c r="Q347" s="37"/>
      <c r="R347" s="141"/>
      <c r="S347" s="142"/>
      <c r="T347" s="146"/>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3541</v>
      </c>
      <c r="D351" s="88"/>
      <c r="W351" s="35" t="str">
        <f>"-- "&amp;B351&amp;" : "&amp;C351</f>
        <v>-- SQL_ID : 01_A3-21</v>
      </c>
    </row>
    <row r="352" spans="2:23" ht="18.75" customHeight="1">
      <c r="B352" s="43" t="s">
        <v>158</v>
      </c>
      <c r="C352" s="147" t="str">
        <f>R355&amp;"登録"</f>
        <v>バックアップ_医薬品販売会社マスタ登録</v>
      </c>
      <c r="D352" s="148"/>
      <c r="E352" s="148"/>
      <c r="F352" s="148"/>
      <c r="G352" s="148"/>
      <c r="H352" s="148"/>
      <c r="I352" s="148"/>
      <c r="J352" s="148"/>
      <c r="K352" s="148"/>
      <c r="L352" s="148"/>
      <c r="M352" s="148"/>
      <c r="N352" s="148"/>
      <c r="O352" s="148"/>
      <c r="P352" s="148"/>
      <c r="Q352" s="148"/>
      <c r="R352" s="148"/>
      <c r="S352" s="148"/>
      <c r="T352" s="148"/>
      <c r="U352" s="149"/>
      <c r="W352" s="35" t="str">
        <f>"-- "&amp;C352</f>
        <v>-- バックアップ_医薬品販売会社マスタ登録</v>
      </c>
    </row>
    <row r="353" spans="2:23" ht="18.75" customHeight="1">
      <c r="B353" s="43" t="s">
        <v>159</v>
      </c>
      <c r="C353" s="136" t="str">
        <f>C355&amp;"テーブルのレコードを"&amp;R355&amp;"テーブルに格納する。"</f>
        <v>医薬品販売会社マスタテーブルのレコードをバックアップ_医薬品販売会社マスタテーブルに格納する。</v>
      </c>
      <c r="D353" s="137"/>
      <c r="E353" s="137"/>
      <c r="F353" s="137"/>
      <c r="G353" s="137"/>
      <c r="H353" s="137"/>
      <c r="I353" s="137"/>
      <c r="J353" s="137"/>
      <c r="K353" s="137"/>
      <c r="L353" s="137"/>
      <c r="M353" s="137"/>
      <c r="N353" s="137"/>
      <c r="O353" s="137"/>
      <c r="P353" s="137"/>
      <c r="Q353" s="137"/>
      <c r="R353" s="137"/>
      <c r="S353" s="137"/>
      <c r="T353" s="137"/>
      <c r="U353" s="138"/>
      <c r="W353" s="35" t="str">
        <f>"-- "&amp;C353</f>
        <v>-- 医薬品販売会社マスタテーブルのレコードをバックアップ_医薬品販売会社マスタテーブルに格納する。</v>
      </c>
    </row>
    <row r="355" spans="2:23" ht="18.75" customHeight="1">
      <c r="C355" s="139" t="s">
        <v>3542</v>
      </c>
      <c r="D355" s="140"/>
      <c r="E355" s="143" t="s">
        <v>162</v>
      </c>
      <c r="F355" s="36"/>
      <c r="G355" s="36"/>
      <c r="H355" s="36"/>
      <c r="I355" s="36"/>
      <c r="J355" s="36"/>
      <c r="K355" s="36"/>
      <c r="L355" s="36"/>
      <c r="M355" s="36"/>
      <c r="N355" s="36"/>
      <c r="O355" s="36"/>
      <c r="P355" s="36"/>
      <c r="Q355" s="36"/>
      <c r="R355" s="139" t="str">
        <f>"バックアップ_"&amp;SUBSTITUTE(C355,"_結合","")</f>
        <v>バックアップ_医薬品販売会社マスタ</v>
      </c>
      <c r="S355" s="140"/>
      <c r="T355" s="145" t="str">
        <f>エンティティ一覧!$O$2</f>
        <v>milscm_2023_009</v>
      </c>
    </row>
    <row r="356" spans="2:23" ht="18.75" customHeight="1">
      <c r="C356" s="141"/>
      <c r="D356" s="142"/>
      <c r="E356" s="144"/>
      <c r="F356" s="37"/>
      <c r="G356" s="37"/>
      <c r="H356" s="37"/>
      <c r="I356" s="37"/>
      <c r="J356" s="37"/>
      <c r="K356" s="37"/>
      <c r="L356" s="37"/>
      <c r="M356" s="37"/>
      <c r="N356" s="37"/>
      <c r="O356" s="37"/>
      <c r="P356" s="37"/>
      <c r="Q356" s="37"/>
      <c r="R356" s="141"/>
      <c r="S356" s="142"/>
      <c r="T356" s="146"/>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3543</v>
      </c>
      <c r="D360" s="88"/>
      <c r="W360" s="35" t="str">
        <f>"-- "&amp;B360&amp;" : "&amp;C360</f>
        <v>-- SQL_ID : 01_A3-22</v>
      </c>
    </row>
    <row r="361" spans="2:23" ht="18.75" customHeight="1">
      <c r="B361" s="43" t="s">
        <v>158</v>
      </c>
      <c r="C361" s="147" t="str">
        <f>R364&amp;"登録"</f>
        <v>バックアップ_メーカマスタ登録</v>
      </c>
      <c r="D361" s="148"/>
      <c r="E361" s="148"/>
      <c r="F361" s="148"/>
      <c r="G361" s="148"/>
      <c r="H361" s="148"/>
      <c r="I361" s="148"/>
      <c r="J361" s="148"/>
      <c r="K361" s="148"/>
      <c r="L361" s="148"/>
      <c r="M361" s="148"/>
      <c r="N361" s="148"/>
      <c r="O361" s="148"/>
      <c r="P361" s="148"/>
      <c r="Q361" s="148"/>
      <c r="R361" s="148"/>
      <c r="S361" s="148"/>
      <c r="T361" s="148"/>
      <c r="U361" s="149"/>
      <c r="W361" s="35" t="str">
        <f>"-- "&amp;C361</f>
        <v>-- バックアップ_メーカマスタ登録</v>
      </c>
    </row>
    <row r="362" spans="2:23" ht="18.75" customHeight="1">
      <c r="B362" s="43" t="s">
        <v>159</v>
      </c>
      <c r="C362" s="136" t="str">
        <f>C364&amp;"テーブルのレコードを"&amp;R364&amp;"テーブルに格納する。"</f>
        <v>メーカマスタテーブルのレコードをバックアップ_メーカマスタテーブルに格納する。</v>
      </c>
      <c r="D362" s="137"/>
      <c r="E362" s="137"/>
      <c r="F362" s="137"/>
      <c r="G362" s="137"/>
      <c r="H362" s="137"/>
      <c r="I362" s="137"/>
      <c r="J362" s="137"/>
      <c r="K362" s="137"/>
      <c r="L362" s="137"/>
      <c r="M362" s="137"/>
      <c r="N362" s="137"/>
      <c r="O362" s="137"/>
      <c r="P362" s="137"/>
      <c r="Q362" s="137"/>
      <c r="R362" s="137"/>
      <c r="S362" s="137"/>
      <c r="T362" s="137"/>
      <c r="U362" s="138"/>
      <c r="W362" s="35" t="str">
        <f>"-- "&amp;C362</f>
        <v>-- メーカマスタテーブルのレコードをバックアップ_メーカマスタテーブルに格納する。</v>
      </c>
    </row>
    <row r="364" spans="2:23" ht="18.75" customHeight="1">
      <c r="C364" s="139" t="s">
        <v>3544</v>
      </c>
      <c r="D364" s="140"/>
      <c r="E364" s="143" t="s">
        <v>162</v>
      </c>
      <c r="F364" s="36"/>
      <c r="G364" s="36"/>
      <c r="H364" s="36"/>
      <c r="I364" s="36"/>
      <c r="J364" s="36"/>
      <c r="K364" s="36"/>
      <c r="L364" s="36"/>
      <c r="M364" s="36"/>
      <c r="N364" s="36"/>
      <c r="O364" s="36"/>
      <c r="P364" s="36"/>
      <c r="Q364" s="36"/>
      <c r="R364" s="139" t="str">
        <f>"バックアップ_"&amp;SUBSTITUTE(C364,"_結合","")</f>
        <v>バックアップ_メーカマスタ</v>
      </c>
      <c r="S364" s="140"/>
      <c r="T364" s="145" t="str">
        <f>エンティティ一覧!$O$2</f>
        <v>milscm_2023_009</v>
      </c>
    </row>
    <row r="365" spans="2:23" ht="18.75" customHeight="1">
      <c r="C365" s="141"/>
      <c r="D365" s="142"/>
      <c r="E365" s="144"/>
      <c r="F365" s="37"/>
      <c r="G365" s="37"/>
      <c r="H365" s="37"/>
      <c r="I365" s="37"/>
      <c r="J365" s="37"/>
      <c r="K365" s="37"/>
      <c r="L365" s="37"/>
      <c r="M365" s="37"/>
      <c r="N365" s="37"/>
      <c r="O365" s="37"/>
      <c r="P365" s="37"/>
      <c r="Q365" s="37"/>
      <c r="R365" s="141"/>
      <c r="S365" s="142"/>
      <c r="T365" s="146"/>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3545</v>
      </c>
      <c r="D369" s="88"/>
      <c r="W369" s="35" t="str">
        <f>"-- "&amp;B369&amp;" : "&amp;C369</f>
        <v>-- SQL_ID : 01_A3-23</v>
      </c>
    </row>
    <row r="370" spans="2:23" ht="18.75" customHeight="1">
      <c r="B370" s="43" t="s">
        <v>158</v>
      </c>
      <c r="C370" s="147" t="str">
        <f>R373&amp;"登録"</f>
        <v>バックアップ_薬価マスタ登録</v>
      </c>
      <c r="D370" s="148"/>
      <c r="E370" s="148"/>
      <c r="F370" s="148"/>
      <c r="G370" s="148"/>
      <c r="H370" s="148"/>
      <c r="I370" s="148"/>
      <c r="J370" s="148"/>
      <c r="K370" s="148"/>
      <c r="L370" s="148"/>
      <c r="M370" s="148"/>
      <c r="N370" s="148"/>
      <c r="O370" s="148"/>
      <c r="P370" s="148"/>
      <c r="Q370" s="148"/>
      <c r="R370" s="148"/>
      <c r="S370" s="148"/>
      <c r="T370" s="148"/>
      <c r="U370" s="149"/>
      <c r="W370" s="35" t="str">
        <f>"-- "&amp;C370</f>
        <v>-- バックアップ_薬価マスタ登録</v>
      </c>
    </row>
    <row r="371" spans="2:23" ht="18.75" customHeight="1">
      <c r="B371" s="43" t="s">
        <v>159</v>
      </c>
      <c r="C371" s="136" t="str">
        <f>C373&amp;"テーブルのレコードを"&amp;R373&amp;"テーブルに格納する。"</f>
        <v>薬価マスタテーブルのレコードをバックアップ_薬価マスタテーブルに格納する。</v>
      </c>
      <c r="D371" s="137"/>
      <c r="E371" s="137"/>
      <c r="F371" s="137"/>
      <c r="G371" s="137"/>
      <c r="H371" s="137"/>
      <c r="I371" s="137"/>
      <c r="J371" s="137"/>
      <c r="K371" s="137"/>
      <c r="L371" s="137"/>
      <c r="M371" s="137"/>
      <c r="N371" s="137"/>
      <c r="O371" s="137"/>
      <c r="P371" s="137"/>
      <c r="Q371" s="137"/>
      <c r="R371" s="137"/>
      <c r="S371" s="137"/>
      <c r="T371" s="137"/>
      <c r="U371" s="138"/>
      <c r="W371" s="35" t="str">
        <f>"-- "&amp;C371</f>
        <v>-- 薬価マスタテーブルのレコードをバックアップ_薬価マスタテーブルに格納する。</v>
      </c>
    </row>
    <row r="373" spans="2:23" ht="18.75" customHeight="1">
      <c r="C373" s="139" t="s">
        <v>3546</v>
      </c>
      <c r="D373" s="140"/>
      <c r="E373" s="143" t="s">
        <v>162</v>
      </c>
      <c r="F373" s="36"/>
      <c r="G373" s="36"/>
      <c r="H373" s="36"/>
      <c r="I373" s="36"/>
      <c r="J373" s="36"/>
      <c r="K373" s="36"/>
      <c r="L373" s="36"/>
      <c r="M373" s="36"/>
      <c r="N373" s="36"/>
      <c r="O373" s="36"/>
      <c r="P373" s="36"/>
      <c r="Q373" s="36"/>
      <c r="R373" s="139" t="str">
        <f>"バックアップ_"&amp;SUBSTITUTE(C373,"_結合","")</f>
        <v>バックアップ_薬価マスタ</v>
      </c>
      <c r="S373" s="140"/>
      <c r="T373" s="145" t="str">
        <f>エンティティ一覧!$O$2</f>
        <v>milscm_2023_009</v>
      </c>
    </row>
    <row r="374" spans="2:23" ht="18.75" customHeight="1">
      <c r="C374" s="141"/>
      <c r="D374" s="142"/>
      <c r="E374" s="144"/>
      <c r="F374" s="37"/>
      <c r="G374" s="37"/>
      <c r="H374" s="37"/>
      <c r="I374" s="37"/>
      <c r="J374" s="37"/>
      <c r="K374" s="37"/>
      <c r="L374" s="37"/>
      <c r="M374" s="37"/>
      <c r="N374" s="37"/>
      <c r="O374" s="37"/>
      <c r="P374" s="37"/>
      <c r="Q374" s="37"/>
      <c r="R374" s="141"/>
      <c r="S374" s="142"/>
      <c r="T374" s="146"/>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3547</v>
      </c>
      <c r="D378" s="88"/>
      <c r="W378" s="35" t="str">
        <f>"-- "&amp;B378&amp;" : "&amp;C378</f>
        <v>-- SQL_ID : 01_A3-24</v>
      </c>
    </row>
    <row r="379" spans="2:23" ht="18.75" customHeight="1">
      <c r="B379" s="43" t="s">
        <v>158</v>
      </c>
      <c r="C379" s="147" t="str">
        <f>R382&amp;"登録"</f>
        <v>バックアップ_薬効ATC分類1マスタ登録</v>
      </c>
      <c r="D379" s="148"/>
      <c r="E379" s="148"/>
      <c r="F379" s="148"/>
      <c r="G379" s="148"/>
      <c r="H379" s="148"/>
      <c r="I379" s="148"/>
      <c r="J379" s="148"/>
      <c r="K379" s="148"/>
      <c r="L379" s="148"/>
      <c r="M379" s="148"/>
      <c r="N379" s="148"/>
      <c r="O379" s="148"/>
      <c r="P379" s="148"/>
      <c r="Q379" s="148"/>
      <c r="R379" s="148"/>
      <c r="S379" s="148"/>
      <c r="T379" s="148"/>
      <c r="U379" s="149"/>
      <c r="W379" s="35" t="str">
        <f>"-- "&amp;C379</f>
        <v>-- バックアップ_薬効ATC分類1マスタ登録</v>
      </c>
    </row>
    <row r="380" spans="2:23" ht="18.75" customHeight="1">
      <c r="B380" s="43" t="s">
        <v>159</v>
      </c>
      <c r="C380" s="136" t="str">
        <f>C382&amp;"テーブルのレコードを"&amp;R382&amp;"テーブルに格納する。"</f>
        <v>薬効ATC分類1マスタテーブルのレコードをバックアップ_薬効ATC分類1マスタテーブルに格納する。</v>
      </c>
      <c r="D380" s="137"/>
      <c r="E380" s="137"/>
      <c r="F380" s="137"/>
      <c r="G380" s="137"/>
      <c r="H380" s="137"/>
      <c r="I380" s="137"/>
      <c r="J380" s="137"/>
      <c r="K380" s="137"/>
      <c r="L380" s="137"/>
      <c r="M380" s="137"/>
      <c r="N380" s="137"/>
      <c r="O380" s="137"/>
      <c r="P380" s="137"/>
      <c r="Q380" s="137"/>
      <c r="R380" s="137"/>
      <c r="S380" s="137"/>
      <c r="T380" s="137"/>
      <c r="U380" s="138"/>
      <c r="W380" s="35" t="str">
        <f>"-- "&amp;C380</f>
        <v>-- 薬効ATC分類1マスタテーブルのレコードをバックアップ_薬効ATC分類1マスタテーブルに格納する。</v>
      </c>
    </row>
    <row r="382" spans="2:23" ht="18.75" customHeight="1">
      <c r="C382" s="139" t="s">
        <v>3548</v>
      </c>
      <c r="D382" s="140"/>
      <c r="E382" s="143" t="s">
        <v>162</v>
      </c>
      <c r="F382" s="36"/>
      <c r="G382" s="36"/>
      <c r="H382" s="36"/>
      <c r="I382" s="36"/>
      <c r="J382" s="36"/>
      <c r="K382" s="36"/>
      <c r="L382" s="36"/>
      <c r="M382" s="36"/>
      <c r="N382" s="36"/>
      <c r="O382" s="36"/>
      <c r="P382" s="36"/>
      <c r="Q382" s="36"/>
      <c r="R382" s="139" t="str">
        <f>"バックアップ_"&amp;SUBSTITUTE(C382,"_結合","")</f>
        <v>バックアップ_薬効ATC分類1マスタ</v>
      </c>
      <c r="S382" s="140"/>
      <c r="T382" s="145" t="str">
        <f>エンティティ一覧!$O$2</f>
        <v>milscm_2023_009</v>
      </c>
    </row>
    <row r="383" spans="2:23" ht="18.75" customHeight="1">
      <c r="C383" s="141"/>
      <c r="D383" s="142"/>
      <c r="E383" s="144"/>
      <c r="F383" s="37"/>
      <c r="G383" s="37"/>
      <c r="H383" s="37"/>
      <c r="I383" s="37"/>
      <c r="J383" s="37"/>
      <c r="K383" s="37"/>
      <c r="L383" s="37"/>
      <c r="M383" s="37"/>
      <c r="N383" s="37"/>
      <c r="O383" s="37"/>
      <c r="P383" s="37"/>
      <c r="Q383" s="37"/>
      <c r="R383" s="141"/>
      <c r="S383" s="142"/>
      <c r="T383" s="146"/>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3549</v>
      </c>
      <c r="D387" s="88"/>
      <c r="W387" s="35" t="str">
        <f>"-- "&amp;B387&amp;" : "&amp;C387</f>
        <v>-- SQL_ID : 01_A3-25</v>
      </c>
    </row>
    <row r="388" spans="2:23" ht="18.75" customHeight="1">
      <c r="B388" s="43" t="s">
        <v>158</v>
      </c>
      <c r="C388" s="147" t="str">
        <f>R391&amp;"登録"</f>
        <v>バックアップ_薬効ATC分類2マスタ登録</v>
      </c>
      <c r="D388" s="148"/>
      <c r="E388" s="148"/>
      <c r="F388" s="148"/>
      <c r="G388" s="148"/>
      <c r="H388" s="148"/>
      <c r="I388" s="148"/>
      <c r="J388" s="148"/>
      <c r="K388" s="148"/>
      <c r="L388" s="148"/>
      <c r="M388" s="148"/>
      <c r="N388" s="148"/>
      <c r="O388" s="148"/>
      <c r="P388" s="148"/>
      <c r="Q388" s="148"/>
      <c r="R388" s="148"/>
      <c r="S388" s="148"/>
      <c r="T388" s="148"/>
      <c r="U388" s="149"/>
      <c r="W388" s="35" t="str">
        <f>"-- "&amp;C388</f>
        <v>-- バックアップ_薬効ATC分類2マスタ登録</v>
      </c>
    </row>
    <row r="389" spans="2:23" ht="18.75" customHeight="1">
      <c r="B389" s="43" t="s">
        <v>159</v>
      </c>
      <c r="C389" s="136" t="str">
        <f>C391&amp;"テーブルのレコードを"&amp;R391&amp;"テーブルに格納する。"</f>
        <v>薬効ATC分類2マスタテーブルのレコードをバックアップ_薬効ATC分類2マスタテーブルに格納する。</v>
      </c>
      <c r="D389" s="137"/>
      <c r="E389" s="137"/>
      <c r="F389" s="137"/>
      <c r="G389" s="137"/>
      <c r="H389" s="137"/>
      <c r="I389" s="137"/>
      <c r="J389" s="137"/>
      <c r="K389" s="137"/>
      <c r="L389" s="137"/>
      <c r="M389" s="137"/>
      <c r="N389" s="137"/>
      <c r="O389" s="137"/>
      <c r="P389" s="137"/>
      <c r="Q389" s="137"/>
      <c r="R389" s="137"/>
      <c r="S389" s="137"/>
      <c r="T389" s="137"/>
      <c r="U389" s="138"/>
      <c r="W389" s="35" t="str">
        <f>"-- "&amp;C389</f>
        <v>-- 薬効ATC分類2マスタテーブルのレコードをバックアップ_薬効ATC分類2マスタテーブルに格納する。</v>
      </c>
    </row>
    <row r="391" spans="2:23" ht="18.75" customHeight="1">
      <c r="C391" s="139" t="s">
        <v>3550</v>
      </c>
      <c r="D391" s="140"/>
      <c r="E391" s="143" t="s">
        <v>162</v>
      </c>
      <c r="F391" s="36"/>
      <c r="G391" s="36"/>
      <c r="H391" s="36"/>
      <c r="I391" s="36"/>
      <c r="J391" s="36"/>
      <c r="K391" s="36"/>
      <c r="L391" s="36"/>
      <c r="M391" s="36"/>
      <c r="N391" s="36"/>
      <c r="O391" s="36"/>
      <c r="P391" s="36"/>
      <c r="Q391" s="36"/>
      <c r="R391" s="139" t="str">
        <f>"バックアップ_"&amp;SUBSTITUTE(C391,"_結合","")</f>
        <v>バックアップ_薬効ATC分類2マスタ</v>
      </c>
      <c r="S391" s="140"/>
      <c r="T391" s="145" t="str">
        <f>エンティティ一覧!$O$2</f>
        <v>milscm_2023_009</v>
      </c>
    </row>
    <row r="392" spans="2:23" ht="18.75" customHeight="1">
      <c r="C392" s="141"/>
      <c r="D392" s="142"/>
      <c r="E392" s="144"/>
      <c r="F392" s="37"/>
      <c r="G392" s="37"/>
      <c r="H392" s="37"/>
      <c r="I392" s="37"/>
      <c r="J392" s="37"/>
      <c r="K392" s="37"/>
      <c r="L392" s="37"/>
      <c r="M392" s="37"/>
      <c r="N392" s="37"/>
      <c r="O392" s="37"/>
      <c r="P392" s="37"/>
      <c r="Q392" s="37"/>
      <c r="R392" s="141"/>
      <c r="S392" s="142"/>
      <c r="T392" s="146"/>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3551</v>
      </c>
      <c r="D396" s="88"/>
      <c r="W396" s="35" t="str">
        <f>"-- "&amp;B396&amp;" : "&amp;C396</f>
        <v>-- SQL_ID : 01_A3-26</v>
      </c>
    </row>
    <row r="397" spans="2:23" ht="18.75" customHeight="1">
      <c r="B397" s="43" t="s">
        <v>158</v>
      </c>
      <c r="C397" s="147" t="str">
        <f>R400&amp;"登録"</f>
        <v>バックアップ_薬効ATC分類3マスタ登録</v>
      </c>
      <c r="D397" s="148"/>
      <c r="E397" s="148"/>
      <c r="F397" s="148"/>
      <c r="G397" s="148"/>
      <c r="H397" s="148"/>
      <c r="I397" s="148"/>
      <c r="J397" s="148"/>
      <c r="K397" s="148"/>
      <c r="L397" s="148"/>
      <c r="M397" s="148"/>
      <c r="N397" s="148"/>
      <c r="O397" s="148"/>
      <c r="P397" s="148"/>
      <c r="Q397" s="148"/>
      <c r="R397" s="148"/>
      <c r="S397" s="148"/>
      <c r="T397" s="148"/>
      <c r="U397" s="149"/>
      <c r="W397" s="35" t="str">
        <f>"-- "&amp;C397</f>
        <v>-- バックアップ_薬効ATC分類3マスタ登録</v>
      </c>
    </row>
    <row r="398" spans="2:23" ht="18.75" customHeight="1">
      <c r="B398" s="43" t="s">
        <v>159</v>
      </c>
      <c r="C398" s="136" t="str">
        <f>C400&amp;"テーブルのレコードを"&amp;R400&amp;"テーブルに格納する。"</f>
        <v>薬効ATC分類3マスタテーブルのレコードをバックアップ_薬効ATC分類3マスタテーブルに格納する。</v>
      </c>
      <c r="D398" s="137"/>
      <c r="E398" s="137"/>
      <c r="F398" s="137"/>
      <c r="G398" s="137"/>
      <c r="H398" s="137"/>
      <c r="I398" s="137"/>
      <c r="J398" s="137"/>
      <c r="K398" s="137"/>
      <c r="L398" s="137"/>
      <c r="M398" s="137"/>
      <c r="N398" s="137"/>
      <c r="O398" s="137"/>
      <c r="P398" s="137"/>
      <c r="Q398" s="137"/>
      <c r="R398" s="137"/>
      <c r="S398" s="137"/>
      <c r="T398" s="137"/>
      <c r="U398" s="138"/>
      <c r="W398" s="35" t="str">
        <f>"-- "&amp;C398</f>
        <v>-- 薬効ATC分類3マスタテーブルのレコードをバックアップ_薬効ATC分類3マスタテーブルに格納する。</v>
      </c>
    </row>
    <row r="400" spans="2:23" ht="18.75" customHeight="1">
      <c r="C400" s="139" t="s">
        <v>3552</v>
      </c>
      <c r="D400" s="140"/>
      <c r="E400" s="143" t="s">
        <v>162</v>
      </c>
      <c r="F400" s="36"/>
      <c r="G400" s="36"/>
      <c r="H400" s="36"/>
      <c r="I400" s="36"/>
      <c r="J400" s="36"/>
      <c r="K400" s="36"/>
      <c r="L400" s="36"/>
      <c r="M400" s="36"/>
      <c r="N400" s="36"/>
      <c r="O400" s="36"/>
      <c r="P400" s="36"/>
      <c r="Q400" s="36"/>
      <c r="R400" s="139" t="str">
        <f>"バックアップ_"&amp;SUBSTITUTE(C400,"_結合","")</f>
        <v>バックアップ_薬効ATC分類3マスタ</v>
      </c>
      <c r="S400" s="140"/>
      <c r="T400" s="145" t="str">
        <f>エンティティ一覧!$O$2</f>
        <v>milscm_2023_009</v>
      </c>
    </row>
    <row r="401" spans="2:23" ht="18.75" customHeight="1">
      <c r="C401" s="141"/>
      <c r="D401" s="142"/>
      <c r="E401" s="144"/>
      <c r="F401" s="37"/>
      <c r="G401" s="37"/>
      <c r="H401" s="37"/>
      <c r="I401" s="37"/>
      <c r="J401" s="37"/>
      <c r="K401" s="37"/>
      <c r="L401" s="37"/>
      <c r="M401" s="37"/>
      <c r="N401" s="37"/>
      <c r="O401" s="37"/>
      <c r="P401" s="37"/>
      <c r="Q401" s="37"/>
      <c r="R401" s="141"/>
      <c r="S401" s="142"/>
      <c r="T401" s="146"/>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3553</v>
      </c>
      <c r="D405" s="88"/>
      <c r="W405" s="35" t="str">
        <f>"-- "&amp;B405&amp;" : "&amp;C405</f>
        <v>-- SQL_ID : 01_A3-27</v>
      </c>
    </row>
    <row r="406" spans="2:23" ht="18.75" customHeight="1">
      <c r="B406" s="43" t="s">
        <v>158</v>
      </c>
      <c r="C406" s="147" t="str">
        <f>R409&amp;"登録"</f>
        <v>バックアップ_薬効ATC分類4マスタ登録</v>
      </c>
      <c r="D406" s="148"/>
      <c r="E406" s="148"/>
      <c r="F406" s="148"/>
      <c r="G406" s="148"/>
      <c r="H406" s="148"/>
      <c r="I406" s="148"/>
      <c r="J406" s="148"/>
      <c r="K406" s="148"/>
      <c r="L406" s="148"/>
      <c r="M406" s="148"/>
      <c r="N406" s="148"/>
      <c r="O406" s="148"/>
      <c r="P406" s="148"/>
      <c r="Q406" s="148"/>
      <c r="R406" s="148"/>
      <c r="S406" s="148"/>
      <c r="T406" s="148"/>
      <c r="U406" s="149"/>
      <c r="W406" s="35" t="str">
        <f>"-- "&amp;C406</f>
        <v>-- バックアップ_薬効ATC分類4マスタ登録</v>
      </c>
    </row>
    <row r="407" spans="2:23" ht="18.75" customHeight="1">
      <c r="B407" s="43" t="s">
        <v>159</v>
      </c>
      <c r="C407" s="136" t="str">
        <f>C409&amp;"テーブルのレコードを"&amp;R409&amp;"テーブルに格納する。"</f>
        <v>薬効ATC分類4マスタテーブルのレコードをバックアップ_薬効ATC分類4マスタテーブルに格納する。</v>
      </c>
      <c r="D407" s="137"/>
      <c r="E407" s="137"/>
      <c r="F407" s="137"/>
      <c r="G407" s="137"/>
      <c r="H407" s="137"/>
      <c r="I407" s="137"/>
      <c r="J407" s="137"/>
      <c r="K407" s="137"/>
      <c r="L407" s="137"/>
      <c r="M407" s="137"/>
      <c r="N407" s="137"/>
      <c r="O407" s="137"/>
      <c r="P407" s="137"/>
      <c r="Q407" s="137"/>
      <c r="R407" s="137"/>
      <c r="S407" s="137"/>
      <c r="T407" s="137"/>
      <c r="U407" s="138"/>
      <c r="W407" s="35" t="str">
        <f>"-- "&amp;C407</f>
        <v>-- 薬効ATC分類4マスタテーブルのレコードをバックアップ_薬効ATC分類4マスタテーブルに格納する。</v>
      </c>
    </row>
    <row r="409" spans="2:23" ht="18.75" customHeight="1">
      <c r="C409" s="139" t="s">
        <v>3554</v>
      </c>
      <c r="D409" s="140"/>
      <c r="E409" s="143" t="s">
        <v>162</v>
      </c>
      <c r="F409" s="36"/>
      <c r="G409" s="36"/>
      <c r="H409" s="36"/>
      <c r="I409" s="36"/>
      <c r="J409" s="36"/>
      <c r="K409" s="36"/>
      <c r="L409" s="36"/>
      <c r="M409" s="36"/>
      <c r="N409" s="36"/>
      <c r="O409" s="36"/>
      <c r="P409" s="36"/>
      <c r="Q409" s="36"/>
      <c r="R409" s="139" t="str">
        <f>"バックアップ_"&amp;SUBSTITUTE(C409,"_結合","")</f>
        <v>バックアップ_薬効ATC分類4マスタ</v>
      </c>
      <c r="S409" s="140"/>
      <c r="T409" s="145" t="str">
        <f>エンティティ一覧!$O$2</f>
        <v>milscm_2023_009</v>
      </c>
    </row>
    <row r="410" spans="2:23" ht="18.75" customHeight="1">
      <c r="C410" s="141"/>
      <c r="D410" s="142"/>
      <c r="E410" s="144"/>
      <c r="F410" s="37"/>
      <c r="G410" s="37"/>
      <c r="H410" s="37"/>
      <c r="I410" s="37"/>
      <c r="J410" s="37"/>
      <c r="K410" s="37"/>
      <c r="L410" s="37"/>
      <c r="M410" s="37"/>
      <c r="N410" s="37"/>
      <c r="O410" s="37"/>
      <c r="P410" s="37"/>
      <c r="Q410" s="37"/>
      <c r="R410" s="141"/>
      <c r="S410" s="142"/>
      <c r="T410" s="146"/>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3555</v>
      </c>
      <c r="D414" s="88"/>
      <c r="W414" s="35" t="str">
        <f>"-- "&amp;B414&amp;" : "&amp;C414</f>
        <v>-- SQL_ID : 01_A3-28</v>
      </c>
    </row>
    <row r="415" spans="2:23" ht="18.75" customHeight="1">
      <c r="B415" s="43" t="s">
        <v>158</v>
      </c>
      <c r="C415" s="147" t="str">
        <f>R418&amp;"登録"</f>
        <v>バックアップ_薬効ATC分類5マスタ登録</v>
      </c>
      <c r="D415" s="148"/>
      <c r="E415" s="148"/>
      <c r="F415" s="148"/>
      <c r="G415" s="148"/>
      <c r="H415" s="148"/>
      <c r="I415" s="148"/>
      <c r="J415" s="148"/>
      <c r="K415" s="148"/>
      <c r="L415" s="148"/>
      <c r="M415" s="148"/>
      <c r="N415" s="148"/>
      <c r="O415" s="148"/>
      <c r="P415" s="148"/>
      <c r="Q415" s="148"/>
      <c r="R415" s="148"/>
      <c r="S415" s="148"/>
      <c r="T415" s="148"/>
      <c r="U415" s="149"/>
      <c r="W415" s="35" t="str">
        <f>"-- "&amp;C415</f>
        <v>-- バックアップ_薬効ATC分類5マスタ登録</v>
      </c>
    </row>
    <row r="416" spans="2:23" ht="18.75" customHeight="1">
      <c r="B416" s="43" t="s">
        <v>159</v>
      </c>
      <c r="C416" s="136" t="str">
        <f>C418&amp;"テーブルのレコードを"&amp;R418&amp;"テーブルに格納する。"</f>
        <v>薬効ATC分類5マスタテーブルのレコードをバックアップ_薬効ATC分類5マスタテーブルに格納する。</v>
      </c>
      <c r="D416" s="137"/>
      <c r="E416" s="137"/>
      <c r="F416" s="137"/>
      <c r="G416" s="137"/>
      <c r="H416" s="137"/>
      <c r="I416" s="137"/>
      <c r="J416" s="137"/>
      <c r="K416" s="137"/>
      <c r="L416" s="137"/>
      <c r="M416" s="137"/>
      <c r="N416" s="137"/>
      <c r="O416" s="137"/>
      <c r="P416" s="137"/>
      <c r="Q416" s="137"/>
      <c r="R416" s="137"/>
      <c r="S416" s="137"/>
      <c r="T416" s="137"/>
      <c r="U416" s="138"/>
      <c r="W416" s="35" t="str">
        <f>"-- "&amp;C416</f>
        <v>-- 薬効ATC分類5マスタテーブルのレコードをバックアップ_薬効ATC分類5マスタテーブルに格納する。</v>
      </c>
    </row>
    <row r="418" spans="2:23" ht="18.75" customHeight="1">
      <c r="C418" s="139" t="s">
        <v>3556</v>
      </c>
      <c r="D418" s="140"/>
      <c r="E418" s="143" t="s">
        <v>162</v>
      </c>
      <c r="F418" s="36"/>
      <c r="G418" s="36"/>
      <c r="H418" s="36"/>
      <c r="I418" s="36"/>
      <c r="J418" s="36"/>
      <c r="K418" s="36"/>
      <c r="L418" s="36"/>
      <c r="M418" s="36"/>
      <c r="N418" s="36"/>
      <c r="O418" s="36"/>
      <c r="P418" s="36"/>
      <c r="Q418" s="36"/>
      <c r="R418" s="139" t="str">
        <f>"バックアップ_"&amp;SUBSTITUTE(C418,"_結合","")</f>
        <v>バックアップ_薬効ATC分類5マスタ</v>
      </c>
      <c r="S418" s="140"/>
      <c r="T418" s="145" t="str">
        <f>エンティティ一覧!$O$2</f>
        <v>milscm_2023_009</v>
      </c>
    </row>
    <row r="419" spans="2:23" ht="18.75" customHeight="1">
      <c r="C419" s="141"/>
      <c r="D419" s="142"/>
      <c r="E419" s="144"/>
      <c r="F419" s="37"/>
      <c r="G419" s="37"/>
      <c r="H419" s="37"/>
      <c r="I419" s="37"/>
      <c r="J419" s="37"/>
      <c r="K419" s="37"/>
      <c r="L419" s="37"/>
      <c r="M419" s="37"/>
      <c r="N419" s="37"/>
      <c r="O419" s="37"/>
      <c r="P419" s="37"/>
      <c r="Q419" s="37"/>
      <c r="R419" s="141"/>
      <c r="S419" s="142"/>
      <c r="T419" s="146"/>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3557</v>
      </c>
      <c r="D423" s="88"/>
      <c r="W423" s="35" t="str">
        <f>"-- "&amp;B423&amp;" : "&amp;C423</f>
        <v>-- SQL_ID : 01_A3-29</v>
      </c>
    </row>
    <row r="424" spans="2:23" ht="18.75" customHeight="1">
      <c r="B424" s="43" t="s">
        <v>158</v>
      </c>
      <c r="C424" s="147" t="str">
        <f>R427&amp;"登録"</f>
        <v>バックアップ_疾病マスタ登録</v>
      </c>
      <c r="D424" s="148"/>
      <c r="E424" s="148"/>
      <c r="F424" s="148"/>
      <c r="G424" s="148"/>
      <c r="H424" s="148"/>
      <c r="I424" s="148"/>
      <c r="J424" s="148"/>
      <c r="K424" s="148"/>
      <c r="L424" s="148"/>
      <c r="M424" s="148"/>
      <c r="N424" s="148"/>
      <c r="O424" s="148"/>
      <c r="P424" s="148"/>
      <c r="Q424" s="148"/>
      <c r="R424" s="148"/>
      <c r="S424" s="148"/>
      <c r="T424" s="148"/>
      <c r="U424" s="149"/>
      <c r="W424" s="35" t="str">
        <f>"-- "&amp;C424</f>
        <v>-- バックアップ_疾病マスタ登録</v>
      </c>
    </row>
    <row r="425" spans="2:23" ht="18.75" customHeight="1">
      <c r="B425" s="43" t="s">
        <v>159</v>
      </c>
      <c r="C425" s="136" t="str">
        <f>C427&amp;"テーブルのレコードを"&amp;R427&amp;"テーブルに格納する。"</f>
        <v>疾病マスタテーブルのレコードをバックアップ_疾病マスタテーブルに格納する。</v>
      </c>
      <c r="D425" s="137"/>
      <c r="E425" s="137"/>
      <c r="F425" s="137"/>
      <c r="G425" s="137"/>
      <c r="H425" s="137"/>
      <c r="I425" s="137"/>
      <c r="J425" s="137"/>
      <c r="K425" s="137"/>
      <c r="L425" s="137"/>
      <c r="M425" s="137"/>
      <c r="N425" s="137"/>
      <c r="O425" s="137"/>
      <c r="P425" s="137"/>
      <c r="Q425" s="137"/>
      <c r="R425" s="137"/>
      <c r="S425" s="137"/>
      <c r="T425" s="137"/>
      <c r="U425" s="138"/>
      <c r="W425" s="35" t="str">
        <f>"-- "&amp;C425</f>
        <v>-- 疾病マスタテーブルのレコードをバックアップ_疾病マスタテーブルに格納する。</v>
      </c>
    </row>
    <row r="427" spans="2:23" ht="18.75" customHeight="1">
      <c r="C427" s="139" t="s">
        <v>3558</v>
      </c>
      <c r="D427" s="140"/>
      <c r="E427" s="143" t="s">
        <v>162</v>
      </c>
      <c r="F427" s="36"/>
      <c r="G427" s="36"/>
      <c r="H427" s="36"/>
      <c r="I427" s="36"/>
      <c r="J427" s="36"/>
      <c r="K427" s="36"/>
      <c r="L427" s="36"/>
      <c r="M427" s="36"/>
      <c r="N427" s="36"/>
      <c r="O427" s="36"/>
      <c r="P427" s="36"/>
      <c r="Q427" s="36"/>
      <c r="R427" s="139" t="str">
        <f>"バックアップ_"&amp;SUBSTITUTE(C427,"_結合","")</f>
        <v>バックアップ_疾病マスタ</v>
      </c>
      <c r="S427" s="140"/>
      <c r="T427" s="145" t="str">
        <f>エンティティ一覧!$O$2</f>
        <v>milscm_2023_009</v>
      </c>
    </row>
    <row r="428" spans="2:23" ht="18.75" customHeight="1">
      <c r="C428" s="141"/>
      <c r="D428" s="142"/>
      <c r="E428" s="144"/>
      <c r="F428" s="37"/>
      <c r="G428" s="37"/>
      <c r="H428" s="37"/>
      <c r="I428" s="37"/>
      <c r="J428" s="37"/>
      <c r="K428" s="37"/>
      <c r="L428" s="37"/>
      <c r="M428" s="37"/>
      <c r="N428" s="37"/>
      <c r="O428" s="37"/>
      <c r="P428" s="37"/>
      <c r="Q428" s="37"/>
      <c r="R428" s="141"/>
      <c r="S428" s="142"/>
      <c r="T428" s="146"/>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3559</v>
      </c>
      <c r="D432" s="88"/>
      <c r="W432" s="35" t="str">
        <f>"-- "&amp;B432&amp;" : "&amp;C432</f>
        <v>-- SQL_ID : 01_A3-30</v>
      </c>
    </row>
    <row r="433" spans="2:23" ht="18.75" customHeight="1">
      <c r="B433" s="43" t="s">
        <v>158</v>
      </c>
      <c r="C433" s="147" t="str">
        <f>R436&amp;"登録"</f>
        <v>バックアップ_ICD10大分類マスタ登録</v>
      </c>
      <c r="D433" s="148"/>
      <c r="E433" s="148"/>
      <c r="F433" s="148"/>
      <c r="G433" s="148"/>
      <c r="H433" s="148"/>
      <c r="I433" s="148"/>
      <c r="J433" s="148"/>
      <c r="K433" s="148"/>
      <c r="L433" s="148"/>
      <c r="M433" s="148"/>
      <c r="N433" s="148"/>
      <c r="O433" s="148"/>
      <c r="P433" s="148"/>
      <c r="Q433" s="148"/>
      <c r="R433" s="148"/>
      <c r="S433" s="148"/>
      <c r="T433" s="148"/>
      <c r="U433" s="149"/>
      <c r="W433" s="35" t="str">
        <f>"-- "&amp;C433</f>
        <v>-- バックアップ_ICD10大分類マスタ登録</v>
      </c>
    </row>
    <row r="434" spans="2:23" ht="18.75" customHeight="1">
      <c r="B434" s="43" t="s">
        <v>159</v>
      </c>
      <c r="C434" s="136" t="str">
        <f>C436&amp;"テーブルのレコードを"&amp;R436&amp;"テーブルに格納する。"</f>
        <v>ICD10大分類マスタテーブルのレコードをバックアップ_ICD10大分類マスタテーブルに格納する。</v>
      </c>
      <c r="D434" s="137"/>
      <c r="E434" s="137"/>
      <c r="F434" s="137"/>
      <c r="G434" s="137"/>
      <c r="H434" s="137"/>
      <c r="I434" s="137"/>
      <c r="J434" s="137"/>
      <c r="K434" s="137"/>
      <c r="L434" s="137"/>
      <c r="M434" s="137"/>
      <c r="N434" s="137"/>
      <c r="O434" s="137"/>
      <c r="P434" s="137"/>
      <c r="Q434" s="137"/>
      <c r="R434" s="137"/>
      <c r="S434" s="137"/>
      <c r="T434" s="137"/>
      <c r="U434" s="138"/>
      <c r="W434" s="35" t="str">
        <f>"-- "&amp;C434</f>
        <v>-- ICD10大分類マスタテーブルのレコードをバックアップ_ICD10大分類マスタテーブルに格納する。</v>
      </c>
    </row>
    <row r="436" spans="2:23" ht="18.75" customHeight="1">
      <c r="C436" s="139" t="s">
        <v>3560</v>
      </c>
      <c r="D436" s="140"/>
      <c r="E436" s="143" t="s">
        <v>162</v>
      </c>
      <c r="F436" s="36"/>
      <c r="G436" s="36"/>
      <c r="H436" s="36"/>
      <c r="I436" s="36"/>
      <c r="J436" s="36"/>
      <c r="K436" s="36"/>
      <c r="L436" s="36"/>
      <c r="M436" s="36"/>
      <c r="N436" s="36"/>
      <c r="O436" s="36"/>
      <c r="P436" s="36"/>
      <c r="Q436" s="36"/>
      <c r="R436" s="139" t="str">
        <f>"バックアップ_"&amp;SUBSTITUTE(C436,"_結合","")</f>
        <v>バックアップ_ICD10大分類マスタ</v>
      </c>
      <c r="S436" s="140"/>
      <c r="T436" s="145" t="str">
        <f>エンティティ一覧!$O$2</f>
        <v>milscm_2023_009</v>
      </c>
    </row>
    <row r="437" spans="2:23" ht="18.75" customHeight="1">
      <c r="C437" s="141"/>
      <c r="D437" s="142"/>
      <c r="E437" s="144"/>
      <c r="F437" s="37"/>
      <c r="G437" s="37"/>
      <c r="H437" s="37"/>
      <c r="I437" s="37"/>
      <c r="J437" s="37"/>
      <c r="K437" s="37"/>
      <c r="L437" s="37"/>
      <c r="M437" s="37"/>
      <c r="N437" s="37"/>
      <c r="O437" s="37"/>
      <c r="P437" s="37"/>
      <c r="Q437" s="37"/>
      <c r="R437" s="141"/>
      <c r="S437" s="142"/>
      <c r="T437" s="146"/>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3561</v>
      </c>
      <c r="D441" s="88"/>
      <c r="W441" s="35" t="str">
        <f>"-- "&amp;B441&amp;" : "&amp;C441</f>
        <v>-- SQL_ID : 01_A3-31</v>
      </c>
    </row>
    <row r="442" spans="2:23" ht="18.75" customHeight="1">
      <c r="B442" s="43" t="s">
        <v>158</v>
      </c>
      <c r="C442" s="147" t="str">
        <f>R445&amp;"登録"</f>
        <v>バックアップ_ICD10中分類マスタ登録</v>
      </c>
      <c r="D442" s="148"/>
      <c r="E442" s="148"/>
      <c r="F442" s="148"/>
      <c r="G442" s="148"/>
      <c r="H442" s="148"/>
      <c r="I442" s="148"/>
      <c r="J442" s="148"/>
      <c r="K442" s="148"/>
      <c r="L442" s="148"/>
      <c r="M442" s="148"/>
      <c r="N442" s="148"/>
      <c r="O442" s="148"/>
      <c r="P442" s="148"/>
      <c r="Q442" s="148"/>
      <c r="R442" s="148"/>
      <c r="S442" s="148"/>
      <c r="T442" s="148"/>
      <c r="U442" s="149"/>
      <c r="W442" s="35" t="str">
        <f>"-- "&amp;C442</f>
        <v>-- バックアップ_ICD10中分類マスタ登録</v>
      </c>
    </row>
    <row r="443" spans="2:23" ht="18.75" customHeight="1">
      <c r="B443" s="43" t="s">
        <v>159</v>
      </c>
      <c r="C443" s="136" t="str">
        <f>C445&amp;"テーブルのレコードを"&amp;R445&amp;"テーブルに格納する。"</f>
        <v>ICD10中分類マスタテーブルのレコードをバックアップ_ICD10中分類マスタテーブルに格納する。</v>
      </c>
      <c r="D443" s="137"/>
      <c r="E443" s="137"/>
      <c r="F443" s="137"/>
      <c r="G443" s="137"/>
      <c r="H443" s="137"/>
      <c r="I443" s="137"/>
      <c r="J443" s="137"/>
      <c r="K443" s="137"/>
      <c r="L443" s="137"/>
      <c r="M443" s="137"/>
      <c r="N443" s="137"/>
      <c r="O443" s="137"/>
      <c r="P443" s="137"/>
      <c r="Q443" s="137"/>
      <c r="R443" s="137"/>
      <c r="S443" s="137"/>
      <c r="T443" s="137"/>
      <c r="U443" s="138"/>
      <c r="W443" s="35" t="str">
        <f>"-- "&amp;C443</f>
        <v>-- ICD10中分類マスタテーブルのレコードをバックアップ_ICD10中分類マスタテーブルに格納する。</v>
      </c>
    </row>
    <row r="445" spans="2:23" ht="18.75" customHeight="1">
      <c r="C445" s="139" t="s">
        <v>3562</v>
      </c>
      <c r="D445" s="140"/>
      <c r="E445" s="143" t="s">
        <v>162</v>
      </c>
      <c r="F445" s="36"/>
      <c r="G445" s="36"/>
      <c r="H445" s="36"/>
      <c r="I445" s="36"/>
      <c r="J445" s="36"/>
      <c r="K445" s="36"/>
      <c r="L445" s="36"/>
      <c r="M445" s="36"/>
      <c r="N445" s="36"/>
      <c r="O445" s="36"/>
      <c r="P445" s="36"/>
      <c r="Q445" s="36"/>
      <c r="R445" s="139" t="str">
        <f>"バックアップ_"&amp;SUBSTITUTE(C445,"_結合","")</f>
        <v>バックアップ_ICD10中分類マスタ</v>
      </c>
      <c r="S445" s="140"/>
      <c r="T445" s="145" t="str">
        <f>エンティティ一覧!$O$2</f>
        <v>milscm_2023_009</v>
      </c>
    </row>
    <row r="446" spans="2:23" ht="18.75" customHeight="1">
      <c r="C446" s="141"/>
      <c r="D446" s="142"/>
      <c r="E446" s="144"/>
      <c r="F446" s="37"/>
      <c r="G446" s="37"/>
      <c r="H446" s="37"/>
      <c r="I446" s="37"/>
      <c r="J446" s="37"/>
      <c r="K446" s="37"/>
      <c r="L446" s="37"/>
      <c r="M446" s="37"/>
      <c r="N446" s="37"/>
      <c r="O446" s="37"/>
      <c r="P446" s="37"/>
      <c r="Q446" s="37"/>
      <c r="R446" s="141"/>
      <c r="S446" s="142"/>
      <c r="T446" s="146"/>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3563</v>
      </c>
      <c r="D450" s="88"/>
      <c r="W450" s="35" t="str">
        <f>"-- "&amp;B450&amp;" : "&amp;C450</f>
        <v>-- SQL_ID : 01_A3-32</v>
      </c>
    </row>
    <row r="451" spans="2:23" ht="18.75" customHeight="1">
      <c r="B451" s="43" t="s">
        <v>158</v>
      </c>
      <c r="C451" s="147" t="str">
        <f>R454&amp;"登録"</f>
        <v>バックアップ_ICD10小分類マスタ登録</v>
      </c>
      <c r="D451" s="148"/>
      <c r="E451" s="148"/>
      <c r="F451" s="148"/>
      <c r="G451" s="148"/>
      <c r="H451" s="148"/>
      <c r="I451" s="148"/>
      <c r="J451" s="148"/>
      <c r="K451" s="148"/>
      <c r="L451" s="148"/>
      <c r="M451" s="148"/>
      <c r="N451" s="148"/>
      <c r="O451" s="148"/>
      <c r="P451" s="148"/>
      <c r="Q451" s="148"/>
      <c r="R451" s="148"/>
      <c r="S451" s="148"/>
      <c r="T451" s="148"/>
      <c r="U451" s="149"/>
      <c r="W451" s="35" t="str">
        <f>"-- "&amp;C451</f>
        <v>-- バックアップ_ICD10小分類マスタ登録</v>
      </c>
    </row>
    <row r="452" spans="2:23" ht="18.75" customHeight="1">
      <c r="B452" s="43" t="s">
        <v>159</v>
      </c>
      <c r="C452" s="136" t="str">
        <f>C454&amp;"テーブルのレコードを"&amp;R454&amp;"テーブルに格納する。"</f>
        <v>ICD10小分類マスタテーブルのレコードをバックアップ_ICD10小分類マスタテーブルに格納する。</v>
      </c>
      <c r="D452" s="137"/>
      <c r="E452" s="137"/>
      <c r="F452" s="137"/>
      <c r="G452" s="137"/>
      <c r="H452" s="137"/>
      <c r="I452" s="137"/>
      <c r="J452" s="137"/>
      <c r="K452" s="137"/>
      <c r="L452" s="137"/>
      <c r="M452" s="137"/>
      <c r="N452" s="137"/>
      <c r="O452" s="137"/>
      <c r="P452" s="137"/>
      <c r="Q452" s="137"/>
      <c r="R452" s="137"/>
      <c r="S452" s="137"/>
      <c r="T452" s="137"/>
      <c r="U452" s="138"/>
      <c r="W452" s="35" t="str">
        <f>"-- "&amp;C452</f>
        <v>-- ICD10小分類マスタテーブルのレコードをバックアップ_ICD10小分類マスタテーブルに格納する。</v>
      </c>
    </row>
    <row r="454" spans="2:23" ht="18.75" customHeight="1">
      <c r="C454" s="139" t="s">
        <v>3564</v>
      </c>
      <c r="D454" s="140"/>
      <c r="E454" s="143" t="s">
        <v>162</v>
      </c>
      <c r="F454" s="36"/>
      <c r="G454" s="36"/>
      <c r="H454" s="36"/>
      <c r="I454" s="36"/>
      <c r="J454" s="36"/>
      <c r="K454" s="36"/>
      <c r="L454" s="36"/>
      <c r="M454" s="36"/>
      <c r="N454" s="36"/>
      <c r="O454" s="36"/>
      <c r="P454" s="36"/>
      <c r="Q454" s="36"/>
      <c r="R454" s="139" t="str">
        <f>"バックアップ_"&amp;SUBSTITUTE(C454,"_結合","")</f>
        <v>バックアップ_ICD10小分類マスタ</v>
      </c>
      <c r="S454" s="140"/>
      <c r="T454" s="145" t="str">
        <f>エンティティ一覧!$O$2</f>
        <v>milscm_2023_009</v>
      </c>
    </row>
    <row r="455" spans="2:23" ht="18.75" customHeight="1">
      <c r="C455" s="141"/>
      <c r="D455" s="142"/>
      <c r="E455" s="144"/>
      <c r="F455" s="37"/>
      <c r="G455" s="37"/>
      <c r="H455" s="37"/>
      <c r="I455" s="37"/>
      <c r="J455" s="37"/>
      <c r="K455" s="37"/>
      <c r="L455" s="37"/>
      <c r="M455" s="37"/>
      <c r="N455" s="37"/>
      <c r="O455" s="37"/>
      <c r="P455" s="37"/>
      <c r="Q455" s="37"/>
      <c r="R455" s="141"/>
      <c r="S455" s="142"/>
      <c r="T455" s="146"/>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3565</v>
      </c>
      <c r="D459" s="88"/>
      <c r="W459" s="35" t="str">
        <f>"-- "&amp;B459&amp;" : "&amp;C459</f>
        <v>-- SQL_ID : 01_A3-33</v>
      </c>
    </row>
    <row r="460" spans="2:23" ht="18.75" customHeight="1">
      <c r="B460" s="43" t="s">
        <v>158</v>
      </c>
      <c r="C460" s="147" t="str">
        <f>R463&amp;"登録"</f>
        <v>バックアップ_ICD10細分類マスタ登録</v>
      </c>
      <c r="D460" s="148"/>
      <c r="E460" s="148"/>
      <c r="F460" s="148"/>
      <c r="G460" s="148"/>
      <c r="H460" s="148"/>
      <c r="I460" s="148"/>
      <c r="J460" s="148"/>
      <c r="K460" s="148"/>
      <c r="L460" s="148"/>
      <c r="M460" s="148"/>
      <c r="N460" s="148"/>
      <c r="O460" s="148"/>
      <c r="P460" s="148"/>
      <c r="Q460" s="148"/>
      <c r="R460" s="148"/>
      <c r="S460" s="148"/>
      <c r="T460" s="148"/>
      <c r="U460" s="149"/>
      <c r="W460" s="35" t="str">
        <f>"-- "&amp;C460</f>
        <v>-- バックアップ_ICD10細分類マスタ登録</v>
      </c>
    </row>
    <row r="461" spans="2:23" ht="18.75" customHeight="1">
      <c r="B461" s="43" t="s">
        <v>159</v>
      </c>
      <c r="C461" s="136" t="str">
        <f>C463&amp;"テーブルのレコードを"&amp;R463&amp;"テーブルに格納する。"</f>
        <v>ICD10細分類マスタテーブルのレコードをバックアップ_ICD10細分類マスタテーブルに格納する。</v>
      </c>
      <c r="D461" s="137"/>
      <c r="E461" s="137"/>
      <c r="F461" s="137"/>
      <c r="G461" s="137"/>
      <c r="H461" s="137"/>
      <c r="I461" s="137"/>
      <c r="J461" s="137"/>
      <c r="K461" s="137"/>
      <c r="L461" s="137"/>
      <c r="M461" s="137"/>
      <c r="N461" s="137"/>
      <c r="O461" s="137"/>
      <c r="P461" s="137"/>
      <c r="Q461" s="137"/>
      <c r="R461" s="137"/>
      <c r="S461" s="137"/>
      <c r="T461" s="137"/>
      <c r="U461" s="138"/>
      <c r="W461" s="35" t="str">
        <f>"-- "&amp;C461</f>
        <v>-- ICD10細分類マスタテーブルのレコードをバックアップ_ICD10細分類マスタテーブルに格納する。</v>
      </c>
    </row>
    <row r="463" spans="2:23" ht="18.75" customHeight="1">
      <c r="C463" s="139" t="s">
        <v>3566</v>
      </c>
      <c r="D463" s="140"/>
      <c r="E463" s="143" t="s">
        <v>162</v>
      </c>
      <c r="F463" s="36"/>
      <c r="G463" s="36"/>
      <c r="H463" s="36"/>
      <c r="I463" s="36"/>
      <c r="J463" s="36"/>
      <c r="K463" s="36"/>
      <c r="L463" s="36"/>
      <c r="M463" s="36"/>
      <c r="N463" s="36"/>
      <c r="O463" s="36"/>
      <c r="P463" s="36"/>
      <c r="Q463" s="36"/>
      <c r="R463" s="139" t="str">
        <f>"バックアップ_"&amp;SUBSTITUTE(C463,"_結合","")</f>
        <v>バックアップ_ICD10細分類マスタ</v>
      </c>
      <c r="S463" s="140"/>
      <c r="T463" s="145" t="str">
        <f>エンティティ一覧!$O$2</f>
        <v>milscm_2023_009</v>
      </c>
    </row>
    <row r="464" spans="2:23" ht="18.75" customHeight="1">
      <c r="C464" s="141"/>
      <c r="D464" s="142"/>
      <c r="E464" s="144"/>
      <c r="F464" s="37"/>
      <c r="G464" s="37"/>
      <c r="H464" s="37"/>
      <c r="I464" s="37"/>
      <c r="J464" s="37"/>
      <c r="K464" s="37"/>
      <c r="L464" s="37"/>
      <c r="M464" s="37"/>
      <c r="N464" s="37"/>
      <c r="O464" s="37"/>
      <c r="P464" s="37"/>
      <c r="Q464" s="37"/>
      <c r="R464" s="141"/>
      <c r="S464" s="142"/>
      <c r="T464" s="146"/>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3567</v>
      </c>
      <c r="D468" s="88"/>
      <c r="W468" s="35" t="str">
        <f>"-- "&amp;B468&amp;" : "&amp;C468</f>
        <v>-- SQL_ID : 01_A3-34</v>
      </c>
    </row>
    <row r="469" spans="2:23" ht="18.75" customHeight="1">
      <c r="B469" s="43" t="s">
        <v>158</v>
      </c>
      <c r="C469" s="147" t="str">
        <f>R472&amp;"登録"</f>
        <v>バックアップ_DPC2桁マスタ登録</v>
      </c>
      <c r="D469" s="148"/>
      <c r="E469" s="148"/>
      <c r="F469" s="148"/>
      <c r="G469" s="148"/>
      <c r="H469" s="148"/>
      <c r="I469" s="148"/>
      <c r="J469" s="148"/>
      <c r="K469" s="148"/>
      <c r="L469" s="148"/>
      <c r="M469" s="148"/>
      <c r="N469" s="148"/>
      <c r="O469" s="148"/>
      <c r="P469" s="148"/>
      <c r="Q469" s="148"/>
      <c r="R469" s="148"/>
      <c r="S469" s="148"/>
      <c r="T469" s="148"/>
      <c r="U469" s="149"/>
      <c r="W469" s="35" t="str">
        <f>"-- "&amp;C469</f>
        <v>-- バックアップ_DPC2桁マスタ登録</v>
      </c>
    </row>
    <row r="470" spans="2:23" ht="18.75" customHeight="1">
      <c r="B470" s="43" t="s">
        <v>159</v>
      </c>
      <c r="C470" s="136" t="str">
        <f>C472&amp;"テーブルのレコードを"&amp;R472&amp;"テーブルに格納する。"</f>
        <v>DPC2桁マスタテーブルのレコードをバックアップ_DPC2桁マスタテーブルに格納する。</v>
      </c>
      <c r="D470" s="137"/>
      <c r="E470" s="137"/>
      <c r="F470" s="137"/>
      <c r="G470" s="137"/>
      <c r="H470" s="137"/>
      <c r="I470" s="137"/>
      <c r="J470" s="137"/>
      <c r="K470" s="137"/>
      <c r="L470" s="137"/>
      <c r="M470" s="137"/>
      <c r="N470" s="137"/>
      <c r="O470" s="137"/>
      <c r="P470" s="137"/>
      <c r="Q470" s="137"/>
      <c r="R470" s="137"/>
      <c r="S470" s="137"/>
      <c r="T470" s="137"/>
      <c r="U470" s="138"/>
      <c r="W470" s="35" t="str">
        <f>"-- "&amp;C470</f>
        <v>-- DPC2桁マスタテーブルのレコードをバックアップ_DPC2桁マスタテーブルに格納する。</v>
      </c>
    </row>
    <row r="472" spans="2:23" ht="18.75" customHeight="1">
      <c r="C472" s="139" t="s">
        <v>3568</v>
      </c>
      <c r="D472" s="140"/>
      <c r="E472" s="143" t="s">
        <v>162</v>
      </c>
      <c r="F472" s="36"/>
      <c r="G472" s="36"/>
      <c r="H472" s="36"/>
      <c r="I472" s="36"/>
      <c r="J472" s="36"/>
      <c r="K472" s="36"/>
      <c r="L472" s="36"/>
      <c r="M472" s="36"/>
      <c r="N472" s="36"/>
      <c r="O472" s="36"/>
      <c r="P472" s="36"/>
      <c r="Q472" s="36"/>
      <c r="R472" s="139" t="str">
        <f>"バックアップ_"&amp;SUBSTITUTE(C472,"_結合","")</f>
        <v>バックアップ_DPC2桁マスタ</v>
      </c>
      <c r="S472" s="140"/>
      <c r="T472" s="145" t="str">
        <f>エンティティ一覧!$O$2</f>
        <v>milscm_2023_009</v>
      </c>
    </row>
    <row r="473" spans="2:23" ht="18.75" customHeight="1">
      <c r="C473" s="141"/>
      <c r="D473" s="142"/>
      <c r="E473" s="144"/>
      <c r="F473" s="37"/>
      <c r="G473" s="37"/>
      <c r="H473" s="37"/>
      <c r="I473" s="37"/>
      <c r="J473" s="37"/>
      <c r="K473" s="37"/>
      <c r="L473" s="37"/>
      <c r="M473" s="37"/>
      <c r="N473" s="37"/>
      <c r="O473" s="37"/>
      <c r="P473" s="37"/>
      <c r="Q473" s="37"/>
      <c r="R473" s="141"/>
      <c r="S473" s="142"/>
      <c r="T473" s="146"/>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3569</v>
      </c>
      <c r="D477" s="88"/>
      <c r="W477" s="35" t="str">
        <f>"-- "&amp;B477&amp;" : "&amp;C477</f>
        <v>-- SQL_ID : 01_A3-35</v>
      </c>
    </row>
    <row r="478" spans="2:23" ht="18.75" customHeight="1">
      <c r="B478" s="43" t="s">
        <v>158</v>
      </c>
      <c r="C478" s="147" t="str">
        <f>R481&amp;"登録"</f>
        <v>バックアップ_DPC6桁マスタ登録</v>
      </c>
      <c r="D478" s="148"/>
      <c r="E478" s="148"/>
      <c r="F478" s="148"/>
      <c r="G478" s="148"/>
      <c r="H478" s="148"/>
      <c r="I478" s="148"/>
      <c r="J478" s="148"/>
      <c r="K478" s="148"/>
      <c r="L478" s="148"/>
      <c r="M478" s="148"/>
      <c r="N478" s="148"/>
      <c r="O478" s="148"/>
      <c r="P478" s="148"/>
      <c r="Q478" s="148"/>
      <c r="R478" s="148"/>
      <c r="S478" s="148"/>
      <c r="T478" s="148"/>
      <c r="U478" s="149"/>
      <c r="W478" s="35" t="str">
        <f>"-- "&amp;C478</f>
        <v>-- バックアップ_DPC6桁マスタ登録</v>
      </c>
    </row>
    <row r="479" spans="2:23" ht="18.75" customHeight="1">
      <c r="B479" s="43" t="s">
        <v>159</v>
      </c>
      <c r="C479" s="136" t="str">
        <f>C481&amp;"テーブルのレコードを"&amp;R481&amp;"テーブルに格納する。"</f>
        <v>DPC6桁マスタテーブルのレコードをバックアップ_DPC6桁マスタテーブルに格納する。</v>
      </c>
      <c r="D479" s="137"/>
      <c r="E479" s="137"/>
      <c r="F479" s="137"/>
      <c r="G479" s="137"/>
      <c r="H479" s="137"/>
      <c r="I479" s="137"/>
      <c r="J479" s="137"/>
      <c r="K479" s="137"/>
      <c r="L479" s="137"/>
      <c r="M479" s="137"/>
      <c r="N479" s="137"/>
      <c r="O479" s="137"/>
      <c r="P479" s="137"/>
      <c r="Q479" s="137"/>
      <c r="R479" s="137"/>
      <c r="S479" s="137"/>
      <c r="T479" s="137"/>
      <c r="U479" s="138"/>
      <c r="W479" s="35" t="str">
        <f>"-- "&amp;C479</f>
        <v>-- DPC6桁マスタテーブルのレコードをバックアップ_DPC6桁マスタテーブルに格納する。</v>
      </c>
    </row>
    <row r="481" spans="2:23" ht="18.75" customHeight="1">
      <c r="C481" s="139" t="s">
        <v>3570</v>
      </c>
      <c r="D481" s="140"/>
      <c r="E481" s="143" t="s">
        <v>162</v>
      </c>
      <c r="F481" s="36"/>
      <c r="G481" s="36"/>
      <c r="H481" s="36"/>
      <c r="I481" s="36"/>
      <c r="J481" s="36"/>
      <c r="K481" s="36"/>
      <c r="L481" s="36"/>
      <c r="M481" s="36"/>
      <c r="N481" s="36"/>
      <c r="O481" s="36"/>
      <c r="P481" s="36"/>
      <c r="Q481" s="36"/>
      <c r="R481" s="139" t="str">
        <f>"バックアップ_"&amp;SUBSTITUTE(C481,"_結合","")</f>
        <v>バックアップ_DPC6桁マスタ</v>
      </c>
      <c r="S481" s="140"/>
      <c r="T481" s="145" t="str">
        <f>エンティティ一覧!$O$2</f>
        <v>milscm_2023_009</v>
      </c>
    </row>
    <row r="482" spans="2:23" ht="18.75" customHeight="1">
      <c r="C482" s="141"/>
      <c r="D482" s="142"/>
      <c r="E482" s="144"/>
      <c r="F482" s="37"/>
      <c r="G482" s="37"/>
      <c r="H482" s="37"/>
      <c r="I482" s="37"/>
      <c r="J482" s="37"/>
      <c r="K482" s="37"/>
      <c r="L482" s="37"/>
      <c r="M482" s="37"/>
      <c r="N482" s="37"/>
      <c r="O482" s="37"/>
      <c r="P482" s="37"/>
      <c r="Q482" s="37"/>
      <c r="R482" s="141"/>
      <c r="S482" s="142"/>
      <c r="T482" s="146"/>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3571</v>
      </c>
      <c r="D486" s="88"/>
      <c r="W486" s="35" t="str">
        <f>"-- "&amp;B486&amp;" : "&amp;C486</f>
        <v>-- SQL_ID : 01_A3-36</v>
      </c>
    </row>
    <row r="487" spans="2:23" ht="18.75" customHeight="1">
      <c r="B487" s="43" t="s">
        <v>158</v>
      </c>
      <c r="C487" s="147" t="str">
        <f>R490&amp;"登録"</f>
        <v>バックアップ_郵便番号マスタ登録</v>
      </c>
      <c r="D487" s="148"/>
      <c r="E487" s="148"/>
      <c r="F487" s="148"/>
      <c r="G487" s="148"/>
      <c r="H487" s="148"/>
      <c r="I487" s="148"/>
      <c r="J487" s="148"/>
      <c r="K487" s="148"/>
      <c r="L487" s="148"/>
      <c r="M487" s="148"/>
      <c r="N487" s="148"/>
      <c r="O487" s="148"/>
      <c r="P487" s="148"/>
      <c r="Q487" s="148"/>
      <c r="R487" s="148"/>
      <c r="S487" s="148"/>
      <c r="T487" s="148"/>
      <c r="U487" s="149"/>
      <c r="W487" s="35" t="str">
        <f>"-- "&amp;C487</f>
        <v>-- バックアップ_郵便番号マスタ登録</v>
      </c>
    </row>
    <row r="488" spans="2:23" ht="18.75" customHeight="1">
      <c r="B488" s="43" t="s">
        <v>159</v>
      </c>
      <c r="C488" s="136" t="str">
        <f>C490&amp;"テーブルのレコードを"&amp;R490&amp;"テーブルに格納する。"</f>
        <v>郵便番号マスタテーブルのレコードをバックアップ_郵便番号マスタテーブルに格納する。</v>
      </c>
      <c r="D488" s="137"/>
      <c r="E488" s="137"/>
      <c r="F488" s="137"/>
      <c r="G488" s="137"/>
      <c r="H488" s="137"/>
      <c r="I488" s="137"/>
      <c r="J488" s="137"/>
      <c r="K488" s="137"/>
      <c r="L488" s="137"/>
      <c r="M488" s="137"/>
      <c r="N488" s="137"/>
      <c r="O488" s="137"/>
      <c r="P488" s="137"/>
      <c r="Q488" s="137"/>
      <c r="R488" s="137"/>
      <c r="S488" s="137"/>
      <c r="T488" s="137"/>
      <c r="U488" s="138"/>
      <c r="W488" s="35" t="str">
        <f>"-- "&amp;C488</f>
        <v>-- 郵便番号マスタテーブルのレコードをバックアップ_郵便番号マスタテーブルに格納する。</v>
      </c>
    </row>
    <row r="490" spans="2:23" ht="18.75" customHeight="1">
      <c r="C490" s="139" t="s">
        <v>3572</v>
      </c>
      <c r="D490" s="140"/>
      <c r="E490" s="143" t="s">
        <v>162</v>
      </c>
      <c r="F490" s="36"/>
      <c r="G490" s="36"/>
      <c r="H490" s="36"/>
      <c r="I490" s="36"/>
      <c r="J490" s="36"/>
      <c r="K490" s="36"/>
      <c r="L490" s="36"/>
      <c r="M490" s="36"/>
      <c r="N490" s="36"/>
      <c r="O490" s="36"/>
      <c r="P490" s="36"/>
      <c r="Q490" s="36"/>
      <c r="R490" s="139" t="str">
        <f>"バックアップ_"&amp;SUBSTITUTE(C490,"_結合","")</f>
        <v>バックアップ_郵便番号マスタ</v>
      </c>
      <c r="S490" s="140"/>
      <c r="T490" s="145" t="str">
        <f>エンティティ一覧!$O$2</f>
        <v>milscm_2023_009</v>
      </c>
    </row>
    <row r="491" spans="2:23" ht="18.75" customHeight="1">
      <c r="C491" s="141"/>
      <c r="D491" s="142"/>
      <c r="E491" s="144"/>
      <c r="F491" s="37"/>
      <c r="G491" s="37"/>
      <c r="H491" s="37"/>
      <c r="I491" s="37"/>
      <c r="J491" s="37"/>
      <c r="K491" s="37"/>
      <c r="L491" s="37"/>
      <c r="M491" s="37"/>
      <c r="N491" s="37"/>
      <c r="O491" s="37"/>
      <c r="P491" s="37"/>
      <c r="Q491" s="37"/>
      <c r="R491" s="141"/>
      <c r="S491" s="142"/>
      <c r="T491" s="146"/>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3573</v>
      </c>
      <c r="D495" s="88"/>
      <c r="W495" s="35" t="str">
        <f>"-- "&amp;B495&amp;" : "&amp;C495</f>
        <v>-- SQL_ID : 01_A3-37</v>
      </c>
    </row>
    <row r="496" spans="2:23" ht="18.75" customHeight="1">
      <c r="B496" s="43" t="s">
        <v>158</v>
      </c>
      <c r="C496" s="147" t="str">
        <f>R499&amp;"登録"</f>
        <v>バックアップ_特定機材マスタ登録</v>
      </c>
      <c r="D496" s="148"/>
      <c r="E496" s="148"/>
      <c r="F496" s="148"/>
      <c r="G496" s="148"/>
      <c r="H496" s="148"/>
      <c r="I496" s="148"/>
      <c r="J496" s="148"/>
      <c r="K496" s="148"/>
      <c r="L496" s="148"/>
      <c r="M496" s="148"/>
      <c r="N496" s="148"/>
      <c r="O496" s="148"/>
      <c r="P496" s="148"/>
      <c r="Q496" s="148"/>
      <c r="R496" s="148"/>
      <c r="S496" s="148"/>
      <c r="T496" s="148"/>
      <c r="U496" s="149"/>
      <c r="W496" s="35" t="str">
        <f>"-- "&amp;C496</f>
        <v>-- バックアップ_特定機材マスタ登録</v>
      </c>
    </row>
    <row r="497" spans="2:23" ht="18.75" customHeight="1">
      <c r="B497" s="43" t="s">
        <v>159</v>
      </c>
      <c r="C497" s="136" t="str">
        <f>C499&amp;"テーブルのレコードを"&amp;R499&amp;"テーブルに格納する。"</f>
        <v>特定機材マスタテーブルのレコードをバックアップ_特定機材マスタテーブルに格納する。</v>
      </c>
      <c r="D497" s="137"/>
      <c r="E497" s="137"/>
      <c r="F497" s="137"/>
      <c r="G497" s="137"/>
      <c r="H497" s="137"/>
      <c r="I497" s="137"/>
      <c r="J497" s="137"/>
      <c r="K497" s="137"/>
      <c r="L497" s="137"/>
      <c r="M497" s="137"/>
      <c r="N497" s="137"/>
      <c r="O497" s="137"/>
      <c r="P497" s="137"/>
      <c r="Q497" s="137"/>
      <c r="R497" s="137"/>
      <c r="S497" s="137"/>
      <c r="T497" s="137"/>
      <c r="U497" s="138"/>
      <c r="W497" s="35" t="str">
        <f>"-- "&amp;C497</f>
        <v>-- 特定機材マスタテーブルのレコードをバックアップ_特定機材マスタテーブルに格納する。</v>
      </c>
    </row>
    <row r="499" spans="2:23" ht="18.75" customHeight="1">
      <c r="C499" s="139" t="s">
        <v>3574</v>
      </c>
      <c r="D499" s="140"/>
      <c r="E499" s="143" t="s">
        <v>162</v>
      </c>
      <c r="F499" s="36"/>
      <c r="G499" s="36"/>
      <c r="H499" s="36"/>
      <c r="I499" s="36"/>
      <c r="J499" s="36"/>
      <c r="K499" s="36"/>
      <c r="L499" s="36"/>
      <c r="M499" s="36"/>
      <c r="N499" s="36"/>
      <c r="O499" s="36"/>
      <c r="P499" s="36"/>
      <c r="Q499" s="36"/>
      <c r="R499" s="139" t="str">
        <f>"バックアップ_"&amp;SUBSTITUTE(C499,"_結合","")</f>
        <v>バックアップ_特定機材マスタ</v>
      </c>
      <c r="S499" s="140"/>
      <c r="T499" s="145" t="str">
        <f>エンティティ一覧!$O$2</f>
        <v>milscm_2023_009</v>
      </c>
    </row>
    <row r="500" spans="2:23" ht="18.75" customHeight="1">
      <c r="C500" s="141"/>
      <c r="D500" s="142"/>
      <c r="E500" s="144"/>
      <c r="F500" s="37"/>
      <c r="G500" s="37"/>
      <c r="H500" s="37"/>
      <c r="I500" s="37"/>
      <c r="J500" s="37"/>
      <c r="K500" s="37"/>
      <c r="L500" s="37"/>
      <c r="M500" s="37"/>
      <c r="N500" s="37"/>
      <c r="O500" s="37"/>
      <c r="P500" s="37"/>
      <c r="Q500" s="37"/>
      <c r="R500" s="141"/>
      <c r="S500" s="142"/>
      <c r="T500" s="146"/>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3575</v>
      </c>
      <c r="D504" s="88"/>
      <c r="W504" s="35" t="str">
        <f>"-- "&amp;B504&amp;" : "&amp;C504</f>
        <v>-- SQL_ID : 01_A4-01</v>
      </c>
    </row>
    <row r="505" spans="2:23" ht="18.75" customHeight="1">
      <c r="B505" s="43" t="s">
        <v>158</v>
      </c>
      <c r="C505" s="147" t="str">
        <f>R508&amp;"登録"</f>
        <v>バックアップ_年度マスタ登録</v>
      </c>
      <c r="D505" s="148"/>
      <c r="E505" s="148"/>
      <c r="F505" s="148"/>
      <c r="G505" s="148"/>
      <c r="H505" s="148"/>
      <c r="I505" s="148"/>
      <c r="J505" s="148"/>
      <c r="K505" s="148"/>
      <c r="L505" s="148"/>
      <c r="M505" s="148"/>
      <c r="N505" s="148"/>
      <c r="O505" s="148"/>
      <c r="P505" s="148"/>
      <c r="Q505" s="148"/>
      <c r="R505" s="148"/>
      <c r="S505" s="148"/>
      <c r="T505" s="148"/>
      <c r="U505" s="149"/>
      <c r="W505" s="35" t="str">
        <f>"-- "&amp;C505</f>
        <v>-- バックアップ_年度マスタ登録</v>
      </c>
    </row>
    <row r="506" spans="2:23" ht="18.75" customHeight="1">
      <c r="B506" s="43" t="s">
        <v>159</v>
      </c>
      <c r="C506" s="136" t="str">
        <f>C508&amp;"テーブルのレコードを"&amp;R508&amp;"テーブルに格納する。"</f>
        <v>年度マスタテーブルのレコードをバックアップ_年度マスタテーブルに格納する。</v>
      </c>
      <c r="D506" s="137"/>
      <c r="E506" s="137"/>
      <c r="F506" s="137"/>
      <c r="G506" s="137"/>
      <c r="H506" s="137"/>
      <c r="I506" s="137"/>
      <c r="J506" s="137"/>
      <c r="K506" s="137"/>
      <c r="L506" s="137"/>
      <c r="M506" s="137"/>
      <c r="N506" s="137"/>
      <c r="O506" s="137"/>
      <c r="P506" s="137"/>
      <c r="Q506" s="137"/>
      <c r="R506" s="137"/>
      <c r="S506" s="137"/>
      <c r="T506" s="137"/>
      <c r="U506" s="138"/>
      <c r="W506" s="35" t="str">
        <f>"-- "&amp;C506</f>
        <v>-- 年度マスタテーブルのレコードをバックアップ_年度マスタテーブルに格納する。</v>
      </c>
    </row>
    <row r="508" spans="2:23" ht="18.75" customHeight="1">
      <c r="C508" s="139" t="s">
        <v>3576</v>
      </c>
      <c r="D508" s="140"/>
      <c r="E508" s="143" t="s">
        <v>162</v>
      </c>
      <c r="F508" s="36"/>
      <c r="G508" s="36"/>
      <c r="H508" s="36"/>
      <c r="I508" s="36"/>
      <c r="J508" s="36"/>
      <c r="K508" s="36"/>
      <c r="L508" s="36"/>
      <c r="M508" s="36"/>
      <c r="N508" s="36"/>
      <c r="O508" s="36"/>
      <c r="P508" s="36"/>
      <c r="Q508" s="36"/>
      <c r="R508" s="139" t="str">
        <f>"バックアップ_"&amp;SUBSTITUTE(C508,"_結合","")</f>
        <v>バックアップ_年度マスタ</v>
      </c>
      <c r="S508" s="140"/>
      <c r="T508" s="145" t="str">
        <f>エンティティ一覧!$O$2</f>
        <v>milscm_2023_009</v>
      </c>
    </row>
    <row r="509" spans="2:23" ht="18.75" customHeight="1">
      <c r="C509" s="141"/>
      <c r="D509" s="142"/>
      <c r="E509" s="144"/>
      <c r="F509" s="37"/>
      <c r="G509" s="37"/>
      <c r="H509" s="37"/>
      <c r="I509" s="37"/>
      <c r="J509" s="37"/>
      <c r="K509" s="37"/>
      <c r="L509" s="37"/>
      <c r="M509" s="37"/>
      <c r="N509" s="37"/>
      <c r="O509" s="37"/>
      <c r="P509" s="37"/>
      <c r="Q509" s="37"/>
      <c r="R509" s="141"/>
      <c r="S509" s="142"/>
      <c r="T509" s="146"/>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3577</v>
      </c>
      <c r="D513" s="88"/>
      <c r="W513" s="35" t="str">
        <f>"-- "&amp;B513&amp;" : "&amp;C513</f>
        <v>-- SQL_ID : 01_A4-02</v>
      </c>
    </row>
    <row r="514" spans="2:23" ht="18.75" customHeight="1">
      <c r="B514" s="43" t="s">
        <v>158</v>
      </c>
      <c r="C514" s="147" t="str">
        <f>R517&amp;"登録"</f>
        <v>バックアップ_都道府県地方コードマスタ登録</v>
      </c>
      <c r="D514" s="148"/>
      <c r="E514" s="148"/>
      <c r="F514" s="148"/>
      <c r="G514" s="148"/>
      <c r="H514" s="148"/>
      <c r="I514" s="148"/>
      <c r="J514" s="148"/>
      <c r="K514" s="148"/>
      <c r="L514" s="148"/>
      <c r="M514" s="148"/>
      <c r="N514" s="148"/>
      <c r="O514" s="148"/>
      <c r="P514" s="148"/>
      <c r="Q514" s="148"/>
      <c r="R514" s="148"/>
      <c r="S514" s="148"/>
      <c r="T514" s="148"/>
      <c r="U514" s="149"/>
      <c r="W514" s="35" t="str">
        <f>"-- "&amp;C514</f>
        <v>-- バックアップ_都道府県地方コードマスタ登録</v>
      </c>
    </row>
    <row r="515" spans="2:23" ht="18.75" customHeight="1">
      <c r="B515" s="43" t="s">
        <v>159</v>
      </c>
      <c r="C515" s="136" t="str">
        <f>C517&amp;"テーブルのレコードを"&amp;R517&amp;"テーブルに格納する。"</f>
        <v>都道府県地方コードマスタテーブルのレコードをバックアップ_都道府県地方コードマスタテーブルに格納する。</v>
      </c>
      <c r="D515" s="137"/>
      <c r="E515" s="137"/>
      <c r="F515" s="137"/>
      <c r="G515" s="137"/>
      <c r="H515" s="137"/>
      <c r="I515" s="137"/>
      <c r="J515" s="137"/>
      <c r="K515" s="137"/>
      <c r="L515" s="137"/>
      <c r="M515" s="137"/>
      <c r="N515" s="137"/>
      <c r="O515" s="137"/>
      <c r="P515" s="137"/>
      <c r="Q515" s="137"/>
      <c r="R515" s="137"/>
      <c r="S515" s="137"/>
      <c r="T515" s="137"/>
      <c r="U515" s="138"/>
      <c r="W515" s="35" t="str">
        <f>"-- "&amp;C515</f>
        <v>-- 都道府県地方コードマスタテーブルのレコードをバックアップ_都道府県地方コードマスタテーブルに格納する。</v>
      </c>
    </row>
    <row r="517" spans="2:23" ht="18.75" customHeight="1">
      <c r="C517" s="139" t="s">
        <v>3578</v>
      </c>
      <c r="D517" s="140"/>
      <c r="E517" s="143" t="s">
        <v>162</v>
      </c>
      <c r="F517" s="36"/>
      <c r="G517" s="36"/>
      <c r="H517" s="36"/>
      <c r="I517" s="36"/>
      <c r="J517" s="36"/>
      <c r="K517" s="36"/>
      <c r="L517" s="36"/>
      <c r="M517" s="36"/>
      <c r="N517" s="36"/>
      <c r="O517" s="36"/>
      <c r="P517" s="36"/>
      <c r="Q517" s="36"/>
      <c r="R517" s="139" t="str">
        <f>"バックアップ_"&amp;SUBSTITUTE(C517,"_結合","")</f>
        <v>バックアップ_都道府県地方コードマスタ</v>
      </c>
      <c r="S517" s="140"/>
      <c r="T517" s="145" t="str">
        <f>エンティティ一覧!$O$2</f>
        <v>milscm_2023_009</v>
      </c>
    </row>
    <row r="518" spans="2:23" ht="18.75" customHeight="1">
      <c r="C518" s="141"/>
      <c r="D518" s="142"/>
      <c r="E518" s="144"/>
      <c r="F518" s="37"/>
      <c r="G518" s="37"/>
      <c r="H518" s="37"/>
      <c r="I518" s="37"/>
      <c r="J518" s="37"/>
      <c r="K518" s="37"/>
      <c r="L518" s="37"/>
      <c r="M518" s="37"/>
      <c r="N518" s="37"/>
      <c r="O518" s="37"/>
      <c r="P518" s="37"/>
      <c r="Q518" s="37"/>
      <c r="R518" s="141"/>
      <c r="S518" s="142"/>
      <c r="T518" s="146"/>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3579</v>
      </c>
      <c r="D522" s="88"/>
      <c r="W522" s="35" t="str">
        <f>"-- "&amp;B522&amp;" : "&amp;C522</f>
        <v>-- SQL_ID : 01_A4-03</v>
      </c>
    </row>
    <row r="523" spans="2:23" ht="18.75" customHeight="1">
      <c r="B523" s="43" t="s">
        <v>158</v>
      </c>
      <c r="C523" s="147" t="str">
        <f>R526&amp;"登録"</f>
        <v>バックアップ_施設属性マスタ登録</v>
      </c>
      <c r="D523" s="148"/>
      <c r="E523" s="148"/>
      <c r="F523" s="148"/>
      <c r="G523" s="148"/>
      <c r="H523" s="148"/>
      <c r="I523" s="148"/>
      <c r="J523" s="148"/>
      <c r="K523" s="148"/>
      <c r="L523" s="148"/>
      <c r="M523" s="148"/>
      <c r="N523" s="148"/>
      <c r="O523" s="148"/>
      <c r="P523" s="148"/>
      <c r="Q523" s="148"/>
      <c r="R523" s="148"/>
      <c r="S523" s="148"/>
      <c r="T523" s="148"/>
      <c r="U523" s="149"/>
      <c r="W523" s="35" t="str">
        <f>"-- "&amp;C523</f>
        <v>-- バックアップ_施設属性マスタ登録</v>
      </c>
    </row>
    <row r="524" spans="2:23" ht="18.75" customHeight="1">
      <c r="B524" s="43" t="s">
        <v>159</v>
      </c>
      <c r="C524" s="136" t="str">
        <f>C526&amp;"テーブルのレコードを"&amp;R526&amp;"テーブルに格納する。"</f>
        <v>施設属性マスタテーブルのレコードをバックアップ_施設属性マスタテーブルに格納する。</v>
      </c>
      <c r="D524" s="137"/>
      <c r="E524" s="137"/>
      <c r="F524" s="137"/>
      <c r="G524" s="137"/>
      <c r="H524" s="137"/>
      <c r="I524" s="137"/>
      <c r="J524" s="137"/>
      <c r="K524" s="137"/>
      <c r="L524" s="137"/>
      <c r="M524" s="137"/>
      <c r="N524" s="137"/>
      <c r="O524" s="137"/>
      <c r="P524" s="137"/>
      <c r="Q524" s="137"/>
      <c r="R524" s="137"/>
      <c r="S524" s="137"/>
      <c r="T524" s="137"/>
      <c r="U524" s="138"/>
      <c r="W524" s="35" t="str">
        <f>"-- "&amp;C524</f>
        <v>-- 施設属性マスタテーブルのレコードをバックアップ_施設属性マスタテーブルに格納する。</v>
      </c>
    </row>
    <row r="526" spans="2:23" ht="18.75" customHeight="1">
      <c r="C526" s="139" t="s">
        <v>3580</v>
      </c>
      <c r="D526" s="140"/>
      <c r="E526" s="143" t="s">
        <v>162</v>
      </c>
      <c r="F526" s="36"/>
      <c r="G526" s="36"/>
      <c r="H526" s="36"/>
      <c r="I526" s="36"/>
      <c r="J526" s="36"/>
      <c r="K526" s="36"/>
      <c r="L526" s="36"/>
      <c r="M526" s="36"/>
      <c r="N526" s="36"/>
      <c r="O526" s="36"/>
      <c r="P526" s="36"/>
      <c r="Q526" s="36"/>
      <c r="R526" s="139" t="str">
        <f>"バックアップ_"&amp;SUBSTITUTE(C526,"_結合","")</f>
        <v>バックアップ_施設属性マスタ</v>
      </c>
      <c r="S526" s="140"/>
      <c r="T526" s="145" t="str">
        <f>エンティティ一覧!$O$2</f>
        <v>milscm_2023_009</v>
      </c>
    </row>
    <row r="527" spans="2:23" ht="18.75" customHeight="1">
      <c r="C527" s="141"/>
      <c r="D527" s="142"/>
      <c r="E527" s="144"/>
      <c r="F527" s="37"/>
      <c r="G527" s="37"/>
      <c r="H527" s="37"/>
      <c r="I527" s="37"/>
      <c r="J527" s="37"/>
      <c r="K527" s="37"/>
      <c r="L527" s="37"/>
      <c r="M527" s="37"/>
      <c r="N527" s="37"/>
      <c r="O527" s="37"/>
      <c r="P527" s="37"/>
      <c r="Q527" s="37"/>
      <c r="R527" s="141"/>
      <c r="S527" s="142"/>
      <c r="T527" s="146"/>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3581</v>
      </c>
      <c r="D531" s="88"/>
      <c r="W531" s="35" t="str">
        <f>"-- "&amp;B531&amp;" : "&amp;C531</f>
        <v>-- SQL_ID : 01_A4-04</v>
      </c>
    </row>
    <row r="532" spans="2:23" ht="18.75" customHeight="1">
      <c r="B532" s="43" t="s">
        <v>158</v>
      </c>
      <c r="C532" s="147" t="str">
        <f>R535&amp;"登録"</f>
        <v>バックアップ_二次医療圏マスタ登録</v>
      </c>
      <c r="D532" s="148"/>
      <c r="E532" s="148"/>
      <c r="F532" s="148"/>
      <c r="G532" s="148"/>
      <c r="H532" s="148"/>
      <c r="I532" s="148"/>
      <c r="J532" s="148"/>
      <c r="K532" s="148"/>
      <c r="L532" s="148"/>
      <c r="M532" s="148"/>
      <c r="N532" s="148"/>
      <c r="O532" s="148"/>
      <c r="P532" s="148"/>
      <c r="Q532" s="148"/>
      <c r="R532" s="148"/>
      <c r="S532" s="148"/>
      <c r="T532" s="148"/>
      <c r="U532" s="149"/>
      <c r="W532" s="35" t="str">
        <f>"-- "&amp;C532</f>
        <v>-- バックアップ_二次医療圏マスタ登録</v>
      </c>
    </row>
    <row r="533" spans="2:23" ht="18.75" customHeight="1">
      <c r="B533" s="43" t="s">
        <v>159</v>
      </c>
      <c r="C533" s="136" t="str">
        <f>C535&amp;"テーブルのレコードを"&amp;R535&amp;"テーブルに格納する。"</f>
        <v>二次医療圏マスタテーブルのレコードをバックアップ_二次医療圏マスタテーブルに格納する。</v>
      </c>
      <c r="D533" s="137"/>
      <c r="E533" s="137"/>
      <c r="F533" s="137"/>
      <c r="G533" s="137"/>
      <c r="H533" s="137"/>
      <c r="I533" s="137"/>
      <c r="J533" s="137"/>
      <c r="K533" s="137"/>
      <c r="L533" s="137"/>
      <c r="M533" s="137"/>
      <c r="N533" s="137"/>
      <c r="O533" s="137"/>
      <c r="P533" s="137"/>
      <c r="Q533" s="137"/>
      <c r="R533" s="137"/>
      <c r="S533" s="137"/>
      <c r="T533" s="137"/>
      <c r="U533" s="138"/>
      <c r="W533" s="35" t="str">
        <f>"-- "&amp;C533</f>
        <v>-- 二次医療圏マスタテーブルのレコードをバックアップ_二次医療圏マスタテーブルに格納する。</v>
      </c>
    </row>
    <row r="535" spans="2:23" ht="18.75" customHeight="1">
      <c r="C535" s="139" t="s">
        <v>3582</v>
      </c>
      <c r="D535" s="140"/>
      <c r="E535" s="143" t="s">
        <v>162</v>
      </c>
      <c r="F535" s="36"/>
      <c r="G535" s="36"/>
      <c r="H535" s="36"/>
      <c r="I535" s="36"/>
      <c r="J535" s="36"/>
      <c r="K535" s="36"/>
      <c r="L535" s="36"/>
      <c r="M535" s="36"/>
      <c r="N535" s="36"/>
      <c r="O535" s="36"/>
      <c r="P535" s="36"/>
      <c r="Q535" s="36"/>
      <c r="R535" s="139" t="str">
        <f>"バックアップ_"&amp;SUBSTITUTE(C535,"_結合","")</f>
        <v>バックアップ_二次医療圏マスタ</v>
      </c>
      <c r="S535" s="140"/>
      <c r="T535" s="145" t="str">
        <f>エンティティ一覧!$O$2</f>
        <v>milscm_2023_009</v>
      </c>
    </row>
    <row r="536" spans="2:23" ht="18.75" customHeight="1">
      <c r="C536" s="141"/>
      <c r="D536" s="142"/>
      <c r="E536" s="144"/>
      <c r="F536" s="37"/>
      <c r="G536" s="37"/>
      <c r="H536" s="37"/>
      <c r="I536" s="37"/>
      <c r="J536" s="37"/>
      <c r="K536" s="37"/>
      <c r="L536" s="37"/>
      <c r="M536" s="37"/>
      <c r="N536" s="37"/>
      <c r="O536" s="37"/>
      <c r="P536" s="37"/>
      <c r="Q536" s="37"/>
      <c r="R536" s="141"/>
      <c r="S536" s="142"/>
      <c r="T536" s="146"/>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3583</v>
      </c>
      <c r="D540" s="88"/>
      <c r="W540" s="35" t="str">
        <f>"-- "&amp;B540&amp;" : "&amp;C540</f>
        <v>-- SQL_ID : 01_A4-05</v>
      </c>
    </row>
    <row r="541" spans="2:23" ht="18.75" customHeight="1">
      <c r="B541" s="43" t="s">
        <v>158</v>
      </c>
      <c r="C541" s="147" t="str">
        <f>R544&amp;"登録"</f>
        <v>バックアップ_施設ID対応マスタ登録</v>
      </c>
      <c r="D541" s="148"/>
      <c r="E541" s="148"/>
      <c r="F541" s="148"/>
      <c r="G541" s="148"/>
      <c r="H541" s="148"/>
      <c r="I541" s="148"/>
      <c r="J541" s="148"/>
      <c r="K541" s="148"/>
      <c r="L541" s="148"/>
      <c r="M541" s="148"/>
      <c r="N541" s="148"/>
      <c r="O541" s="148"/>
      <c r="P541" s="148"/>
      <c r="Q541" s="148"/>
      <c r="R541" s="148"/>
      <c r="S541" s="148"/>
      <c r="T541" s="148"/>
      <c r="U541" s="149"/>
      <c r="W541" s="35" t="str">
        <f>"-- "&amp;C541</f>
        <v>-- バックアップ_施設ID対応マスタ登録</v>
      </c>
    </row>
    <row r="542" spans="2:23" ht="18.75" customHeight="1">
      <c r="B542" s="43" t="s">
        <v>159</v>
      </c>
      <c r="C542" s="136" t="str">
        <f>C544&amp;"テーブルのレコードを"&amp;R544&amp;"テーブルに格納する。"</f>
        <v>施設ID対応マスタテーブルのレコードをバックアップ_施設ID対応マスタテーブルに格納する。</v>
      </c>
      <c r="D542" s="137"/>
      <c r="E542" s="137"/>
      <c r="F542" s="137"/>
      <c r="G542" s="137"/>
      <c r="H542" s="137"/>
      <c r="I542" s="137"/>
      <c r="J542" s="137"/>
      <c r="K542" s="137"/>
      <c r="L542" s="137"/>
      <c r="M542" s="137"/>
      <c r="N542" s="137"/>
      <c r="O542" s="137"/>
      <c r="P542" s="137"/>
      <c r="Q542" s="137"/>
      <c r="R542" s="137"/>
      <c r="S542" s="137"/>
      <c r="T542" s="137"/>
      <c r="U542" s="138"/>
      <c r="W542" s="35" t="str">
        <f>"-- "&amp;C542</f>
        <v>-- 施設ID対応マスタテーブルのレコードをバックアップ_施設ID対応マスタテーブルに格納する。</v>
      </c>
    </row>
    <row r="544" spans="2:23" ht="18.75" customHeight="1">
      <c r="C544" s="139" t="s">
        <v>3584</v>
      </c>
      <c r="D544" s="140"/>
      <c r="E544" s="143" t="s">
        <v>162</v>
      </c>
      <c r="F544" s="36"/>
      <c r="G544" s="36"/>
      <c r="H544" s="36"/>
      <c r="I544" s="36"/>
      <c r="J544" s="36"/>
      <c r="K544" s="36"/>
      <c r="L544" s="36"/>
      <c r="M544" s="36"/>
      <c r="N544" s="36"/>
      <c r="O544" s="36"/>
      <c r="P544" s="36"/>
      <c r="Q544" s="36"/>
      <c r="R544" s="139" t="str">
        <f>"バックアップ_"&amp;SUBSTITUTE(C544,"_結合","")</f>
        <v>バックアップ_施設ID対応マスタ</v>
      </c>
      <c r="S544" s="140"/>
      <c r="T544" s="145" t="str">
        <f>エンティティ一覧!$O$2</f>
        <v>milscm_2023_009</v>
      </c>
    </row>
    <row r="545" spans="2:23" ht="18.75" customHeight="1">
      <c r="C545" s="141"/>
      <c r="D545" s="142"/>
      <c r="E545" s="144"/>
      <c r="F545" s="37"/>
      <c r="G545" s="37"/>
      <c r="H545" s="37"/>
      <c r="I545" s="37"/>
      <c r="J545" s="37"/>
      <c r="K545" s="37"/>
      <c r="L545" s="37"/>
      <c r="M545" s="37"/>
      <c r="N545" s="37"/>
      <c r="O545" s="37"/>
      <c r="P545" s="37"/>
      <c r="Q545" s="37"/>
      <c r="R545" s="141"/>
      <c r="S545" s="142"/>
      <c r="T545" s="146"/>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3585</v>
      </c>
      <c r="D549" s="88"/>
      <c r="W549" s="35" t="str">
        <f>"-- "&amp;B549&amp;" : "&amp;C549</f>
        <v>-- SQL_ID : 01_A4-07</v>
      </c>
    </row>
    <row r="550" spans="2:23" ht="18.75" customHeight="1">
      <c r="B550" s="43" t="s">
        <v>158</v>
      </c>
      <c r="C550" s="147" t="str">
        <f>R553&amp;"登録"</f>
        <v>バックアップ_医薬品関連マスタ登録</v>
      </c>
      <c r="D550" s="148"/>
      <c r="E550" s="148"/>
      <c r="F550" s="148"/>
      <c r="G550" s="148"/>
      <c r="H550" s="148"/>
      <c r="I550" s="148"/>
      <c r="J550" s="148"/>
      <c r="K550" s="148"/>
      <c r="L550" s="148"/>
      <c r="M550" s="148"/>
      <c r="N550" s="148"/>
      <c r="O550" s="148"/>
      <c r="P550" s="148"/>
      <c r="Q550" s="148"/>
      <c r="R550" s="148"/>
      <c r="S550" s="148"/>
      <c r="T550" s="148"/>
      <c r="U550" s="149"/>
      <c r="W550" s="35" t="str">
        <f>"-- "&amp;C550</f>
        <v>-- バックアップ_医薬品関連マスタ登録</v>
      </c>
    </row>
    <row r="551" spans="2:23" ht="18.75" customHeight="1">
      <c r="B551" s="43" t="s">
        <v>159</v>
      </c>
      <c r="C551" s="136" t="str">
        <f>C553&amp;"テーブルのレコードを"&amp;R553&amp;"テーブルに格納する。"</f>
        <v>医薬品関連マスタテーブルのレコードをバックアップ_医薬品関連マスタテーブルに格納する。</v>
      </c>
      <c r="D551" s="137"/>
      <c r="E551" s="137"/>
      <c r="F551" s="137"/>
      <c r="G551" s="137"/>
      <c r="H551" s="137"/>
      <c r="I551" s="137"/>
      <c r="J551" s="137"/>
      <c r="K551" s="137"/>
      <c r="L551" s="137"/>
      <c r="M551" s="137"/>
      <c r="N551" s="137"/>
      <c r="O551" s="137"/>
      <c r="P551" s="137"/>
      <c r="Q551" s="137"/>
      <c r="R551" s="137"/>
      <c r="S551" s="137"/>
      <c r="T551" s="137"/>
      <c r="U551" s="138"/>
      <c r="W551" s="35" t="str">
        <f>"-- "&amp;C551</f>
        <v>-- 医薬品関連マスタテーブルのレコードをバックアップ_医薬品関連マスタテーブルに格納する。</v>
      </c>
    </row>
    <row r="553" spans="2:23" ht="18.75" customHeight="1">
      <c r="C553" s="139" t="s">
        <v>3586</v>
      </c>
      <c r="D553" s="140"/>
      <c r="E553" s="143" t="s">
        <v>162</v>
      </c>
      <c r="F553" s="36"/>
      <c r="G553" s="36"/>
      <c r="H553" s="36"/>
      <c r="I553" s="36"/>
      <c r="J553" s="36"/>
      <c r="K553" s="36"/>
      <c r="L553" s="36"/>
      <c r="M553" s="36"/>
      <c r="N553" s="36"/>
      <c r="O553" s="36"/>
      <c r="P553" s="36"/>
      <c r="Q553" s="36"/>
      <c r="R553" s="139" t="str">
        <f>"バックアップ_"&amp;SUBSTITUTE(C553,"_結合","")</f>
        <v>バックアップ_医薬品関連マスタ</v>
      </c>
      <c r="S553" s="140"/>
      <c r="T553" s="145" t="str">
        <f>エンティティ一覧!$O$2</f>
        <v>milscm_2023_009</v>
      </c>
    </row>
    <row r="554" spans="2:23" ht="18.75" customHeight="1">
      <c r="C554" s="141"/>
      <c r="D554" s="142"/>
      <c r="E554" s="144"/>
      <c r="F554" s="37"/>
      <c r="G554" s="37"/>
      <c r="H554" s="37"/>
      <c r="I554" s="37"/>
      <c r="J554" s="37"/>
      <c r="K554" s="37"/>
      <c r="L554" s="37"/>
      <c r="M554" s="37"/>
      <c r="N554" s="37"/>
      <c r="O554" s="37"/>
      <c r="P554" s="37"/>
      <c r="Q554" s="37"/>
      <c r="R554" s="141"/>
      <c r="S554" s="142"/>
      <c r="T554" s="146"/>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3587</v>
      </c>
      <c r="D558" s="88"/>
      <c r="W558" s="35" t="str">
        <f>"-- "&amp;B558&amp;" : "&amp;C558</f>
        <v>-- SQL_ID : 01_A4-08</v>
      </c>
    </row>
    <row r="559" spans="2:23" ht="18.75" customHeight="1">
      <c r="B559" s="43" t="s">
        <v>158</v>
      </c>
      <c r="C559" s="147" t="str">
        <f>R562&amp;"登録"</f>
        <v>バックアップ_薬価関連マスタ登録</v>
      </c>
      <c r="D559" s="148"/>
      <c r="E559" s="148"/>
      <c r="F559" s="148"/>
      <c r="G559" s="148"/>
      <c r="H559" s="148"/>
      <c r="I559" s="148"/>
      <c r="J559" s="148"/>
      <c r="K559" s="148"/>
      <c r="L559" s="148"/>
      <c r="M559" s="148"/>
      <c r="N559" s="148"/>
      <c r="O559" s="148"/>
      <c r="P559" s="148"/>
      <c r="Q559" s="148"/>
      <c r="R559" s="148"/>
      <c r="S559" s="148"/>
      <c r="T559" s="148"/>
      <c r="U559" s="149"/>
      <c r="W559" s="35" t="str">
        <f>"-- "&amp;C559</f>
        <v>-- バックアップ_薬価関連マスタ登録</v>
      </c>
    </row>
    <row r="560" spans="2:23" ht="18.75" customHeight="1">
      <c r="B560" s="43" t="s">
        <v>159</v>
      </c>
      <c r="C560" s="136" t="str">
        <f>C562&amp;"テーブルのレコードを"&amp;R562&amp;"テーブルに格納する。"</f>
        <v>薬価関連マスタテーブルのレコードをバックアップ_薬価関連マスタテーブルに格納する。</v>
      </c>
      <c r="D560" s="137"/>
      <c r="E560" s="137"/>
      <c r="F560" s="137"/>
      <c r="G560" s="137"/>
      <c r="H560" s="137"/>
      <c r="I560" s="137"/>
      <c r="J560" s="137"/>
      <c r="K560" s="137"/>
      <c r="L560" s="137"/>
      <c r="M560" s="137"/>
      <c r="N560" s="137"/>
      <c r="O560" s="137"/>
      <c r="P560" s="137"/>
      <c r="Q560" s="137"/>
      <c r="R560" s="137"/>
      <c r="S560" s="137"/>
      <c r="T560" s="137"/>
      <c r="U560" s="138"/>
      <c r="W560" s="35" t="str">
        <f>"-- "&amp;C560</f>
        <v>-- 薬価関連マスタテーブルのレコードをバックアップ_薬価関連マスタテーブルに格納する。</v>
      </c>
    </row>
    <row r="562" spans="2:23" ht="18.75" customHeight="1">
      <c r="C562" s="139" t="s">
        <v>3588</v>
      </c>
      <c r="D562" s="140"/>
      <c r="E562" s="143" t="s">
        <v>162</v>
      </c>
      <c r="F562" s="36"/>
      <c r="G562" s="36"/>
      <c r="H562" s="36"/>
      <c r="I562" s="36"/>
      <c r="J562" s="36"/>
      <c r="K562" s="36"/>
      <c r="L562" s="36"/>
      <c r="M562" s="36"/>
      <c r="N562" s="36"/>
      <c r="O562" s="36"/>
      <c r="P562" s="36"/>
      <c r="Q562" s="36"/>
      <c r="R562" s="139" t="str">
        <f>"バックアップ_"&amp;SUBSTITUTE(C562,"_結合","")</f>
        <v>バックアップ_薬価関連マスタ</v>
      </c>
      <c r="S562" s="140"/>
      <c r="T562" s="145" t="str">
        <f>エンティティ一覧!$O$2</f>
        <v>milscm_2023_009</v>
      </c>
    </row>
    <row r="563" spans="2:23" ht="18.75" customHeight="1">
      <c r="C563" s="141"/>
      <c r="D563" s="142"/>
      <c r="E563" s="144"/>
      <c r="F563" s="37"/>
      <c r="G563" s="37"/>
      <c r="H563" s="37"/>
      <c r="I563" s="37"/>
      <c r="J563" s="37"/>
      <c r="K563" s="37"/>
      <c r="L563" s="37"/>
      <c r="M563" s="37"/>
      <c r="N563" s="37"/>
      <c r="O563" s="37"/>
      <c r="P563" s="37"/>
      <c r="Q563" s="37"/>
      <c r="R563" s="141"/>
      <c r="S563" s="142"/>
      <c r="T563" s="146"/>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3589</v>
      </c>
      <c r="D567" s="88"/>
      <c r="W567" s="35" t="str">
        <f>"-- "&amp;B567&amp;" : "&amp;C567</f>
        <v>-- SQL_ID : 01_A4-09</v>
      </c>
    </row>
    <row r="568" spans="2:23" ht="18.75" customHeight="1">
      <c r="B568" s="43" t="s">
        <v>158</v>
      </c>
      <c r="C568" s="147" t="str">
        <f>R571&amp;"登録"</f>
        <v>バックアップ_診療行為関連マスタ登録</v>
      </c>
      <c r="D568" s="148"/>
      <c r="E568" s="148"/>
      <c r="F568" s="148"/>
      <c r="G568" s="148"/>
      <c r="H568" s="148"/>
      <c r="I568" s="148"/>
      <c r="J568" s="148"/>
      <c r="K568" s="148"/>
      <c r="L568" s="148"/>
      <c r="M568" s="148"/>
      <c r="N568" s="148"/>
      <c r="O568" s="148"/>
      <c r="P568" s="148"/>
      <c r="Q568" s="148"/>
      <c r="R568" s="148"/>
      <c r="S568" s="148"/>
      <c r="T568" s="148"/>
      <c r="U568" s="149"/>
      <c r="W568" s="35" t="str">
        <f>"-- "&amp;C568</f>
        <v>-- バックアップ_診療行為関連マスタ登録</v>
      </c>
    </row>
    <row r="569" spans="2:23" ht="18.75" customHeight="1">
      <c r="B569" s="43" t="s">
        <v>159</v>
      </c>
      <c r="C569" s="136" t="str">
        <f>C571&amp;"テーブルのレコードを"&amp;R571&amp;"テーブルに格納する。"</f>
        <v>診療行為関連マスタテーブルのレコードをバックアップ_診療行為関連マスタテーブルに格納する。</v>
      </c>
      <c r="D569" s="137"/>
      <c r="E569" s="137"/>
      <c r="F569" s="137"/>
      <c r="G569" s="137"/>
      <c r="H569" s="137"/>
      <c r="I569" s="137"/>
      <c r="J569" s="137"/>
      <c r="K569" s="137"/>
      <c r="L569" s="137"/>
      <c r="M569" s="137"/>
      <c r="N569" s="137"/>
      <c r="O569" s="137"/>
      <c r="P569" s="137"/>
      <c r="Q569" s="137"/>
      <c r="R569" s="137"/>
      <c r="S569" s="137"/>
      <c r="T569" s="137"/>
      <c r="U569" s="138"/>
      <c r="W569" s="35" t="str">
        <f>"-- "&amp;C569</f>
        <v>-- 診療行為関連マスタテーブルのレコードをバックアップ_診療行為関連マスタテーブルに格納する。</v>
      </c>
    </row>
    <row r="571" spans="2:23" ht="18.75" customHeight="1">
      <c r="C571" s="139" t="s">
        <v>3590</v>
      </c>
      <c r="D571" s="140"/>
      <c r="E571" s="143" t="s">
        <v>162</v>
      </c>
      <c r="F571" s="36"/>
      <c r="G571" s="36"/>
      <c r="H571" s="36"/>
      <c r="I571" s="36"/>
      <c r="J571" s="36"/>
      <c r="K571" s="36"/>
      <c r="L571" s="36"/>
      <c r="M571" s="36"/>
      <c r="N571" s="36"/>
      <c r="O571" s="36"/>
      <c r="P571" s="36"/>
      <c r="Q571" s="36"/>
      <c r="R571" s="139" t="str">
        <f>"バックアップ_"&amp;SUBSTITUTE(C571,"_結合","")</f>
        <v>バックアップ_診療行為関連マスタ</v>
      </c>
      <c r="S571" s="140"/>
      <c r="T571" s="145" t="str">
        <f>エンティティ一覧!$O$2</f>
        <v>milscm_2023_009</v>
      </c>
    </row>
    <row r="572" spans="2:23" ht="18.75" customHeight="1">
      <c r="C572" s="141"/>
      <c r="D572" s="142"/>
      <c r="E572" s="144"/>
      <c r="F572" s="37"/>
      <c r="G572" s="37"/>
      <c r="H572" s="37"/>
      <c r="I572" s="37"/>
      <c r="J572" s="37"/>
      <c r="K572" s="37"/>
      <c r="L572" s="37"/>
      <c r="M572" s="37"/>
      <c r="N572" s="37"/>
      <c r="O572" s="37"/>
      <c r="P572" s="37"/>
      <c r="Q572" s="37"/>
      <c r="R572" s="141"/>
      <c r="S572" s="142"/>
      <c r="T572" s="146"/>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3591</v>
      </c>
      <c r="D576" s="88"/>
      <c r="W576" s="35" t="str">
        <f>"-- "&amp;B576&amp;" : "&amp;C576</f>
        <v>-- SQL_ID : 01_A4-10</v>
      </c>
    </row>
    <row r="577" spans="2:23" ht="18.75" customHeight="1">
      <c r="B577" s="43" t="s">
        <v>158</v>
      </c>
      <c r="C577" s="147" t="str">
        <f>R580&amp;"登録"</f>
        <v>バックアップ_特定器材関連マスタ登録</v>
      </c>
      <c r="D577" s="148"/>
      <c r="E577" s="148"/>
      <c r="F577" s="148"/>
      <c r="G577" s="148"/>
      <c r="H577" s="148"/>
      <c r="I577" s="148"/>
      <c r="J577" s="148"/>
      <c r="K577" s="148"/>
      <c r="L577" s="148"/>
      <c r="M577" s="148"/>
      <c r="N577" s="148"/>
      <c r="O577" s="148"/>
      <c r="P577" s="148"/>
      <c r="Q577" s="148"/>
      <c r="R577" s="148"/>
      <c r="S577" s="148"/>
      <c r="T577" s="148"/>
      <c r="U577" s="149"/>
      <c r="W577" s="35" t="str">
        <f>"-- "&amp;C577</f>
        <v>-- バックアップ_特定器材関連マスタ登録</v>
      </c>
    </row>
    <row r="578" spans="2:23" ht="18.75" customHeight="1">
      <c r="B578" s="43" t="s">
        <v>159</v>
      </c>
      <c r="C578" s="136" t="str">
        <f>C580&amp;"テーブルのレコードを"&amp;R580&amp;"テーブルに格納する。"</f>
        <v>特定器材関連マスタテーブルのレコードをバックアップ_特定器材関連マスタテーブルに格納する。</v>
      </c>
      <c r="D578" s="137"/>
      <c r="E578" s="137"/>
      <c r="F578" s="137"/>
      <c r="G578" s="137"/>
      <c r="H578" s="137"/>
      <c r="I578" s="137"/>
      <c r="J578" s="137"/>
      <c r="K578" s="137"/>
      <c r="L578" s="137"/>
      <c r="M578" s="137"/>
      <c r="N578" s="137"/>
      <c r="O578" s="137"/>
      <c r="P578" s="137"/>
      <c r="Q578" s="137"/>
      <c r="R578" s="137"/>
      <c r="S578" s="137"/>
      <c r="T578" s="137"/>
      <c r="U578" s="138"/>
      <c r="W578" s="35" t="str">
        <f>"-- "&amp;C578</f>
        <v>-- 特定器材関連マスタテーブルのレコードをバックアップ_特定器材関連マスタテーブルに格納する。</v>
      </c>
    </row>
    <row r="580" spans="2:23" ht="18.75" customHeight="1">
      <c r="C580" s="139" t="s">
        <v>3592</v>
      </c>
      <c r="D580" s="140"/>
      <c r="E580" s="143" t="s">
        <v>162</v>
      </c>
      <c r="F580" s="36"/>
      <c r="G580" s="36"/>
      <c r="H580" s="36"/>
      <c r="I580" s="36"/>
      <c r="J580" s="36"/>
      <c r="K580" s="36"/>
      <c r="L580" s="36"/>
      <c r="M580" s="36"/>
      <c r="N580" s="36"/>
      <c r="O580" s="36"/>
      <c r="P580" s="36"/>
      <c r="Q580" s="36"/>
      <c r="R580" s="139" t="str">
        <f>"バックアップ_"&amp;SUBSTITUTE(C580,"_結合","")</f>
        <v>バックアップ_特定器材関連マスタ</v>
      </c>
      <c r="S580" s="140"/>
      <c r="T580" s="145" t="str">
        <f>エンティティ一覧!$O$2</f>
        <v>milscm_2023_009</v>
      </c>
    </row>
    <row r="581" spans="2:23" ht="18.75" customHeight="1">
      <c r="C581" s="141"/>
      <c r="D581" s="142"/>
      <c r="E581" s="144"/>
      <c r="F581" s="37"/>
      <c r="G581" s="37"/>
      <c r="H581" s="37"/>
      <c r="I581" s="37"/>
      <c r="J581" s="37"/>
      <c r="K581" s="37"/>
      <c r="L581" s="37"/>
      <c r="M581" s="37"/>
      <c r="N581" s="37"/>
      <c r="O581" s="37"/>
      <c r="P581" s="37"/>
      <c r="Q581" s="37"/>
      <c r="R581" s="141"/>
      <c r="S581" s="142"/>
      <c r="T581" s="146"/>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3593</v>
      </c>
      <c r="D585" s="88"/>
      <c r="W585" s="35" t="str">
        <f>"-- "&amp;B585&amp;" : "&amp;C585</f>
        <v>-- SQL_ID : 01_A4-11</v>
      </c>
    </row>
    <row r="586" spans="2:23" ht="18.75" customHeight="1">
      <c r="B586" s="43" t="s">
        <v>158</v>
      </c>
      <c r="C586" s="147" t="str">
        <f>R589&amp;"登録"</f>
        <v>バックアップ_DPC関連マスタ登録</v>
      </c>
      <c r="D586" s="148"/>
      <c r="E586" s="148"/>
      <c r="F586" s="148"/>
      <c r="G586" s="148"/>
      <c r="H586" s="148"/>
      <c r="I586" s="148"/>
      <c r="J586" s="148"/>
      <c r="K586" s="148"/>
      <c r="L586" s="148"/>
      <c r="M586" s="148"/>
      <c r="N586" s="148"/>
      <c r="O586" s="148"/>
      <c r="P586" s="148"/>
      <c r="Q586" s="148"/>
      <c r="R586" s="148"/>
      <c r="S586" s="148"/>
      <c r="T586" s="148"/>
      <c r="U586" s="149"/>
      <c r="W586" s="35" t="str">
        <f>"-- "&amp;C586</f>
        <v>-- バックアップ_DPC関連マスタ登録</v>
      </c>
    </row>
    <row r="587" spans="2:23" ht="18.75" customHeight="1">
      <c r="B587" s="43" t="s">
        <v>159</v>
      </c>
      <c r="C587" s="136" t="str">
        <f>C589&amp;"テーブルのレコードを"&amp;R589&amp;"テーブルに格納する。"</f>
        <v>DPC関連マスタテーブルのレコードをバックアップ_DPC関連マスタテーブルに格納する。</v>
      </c>
      <c r="D587" s="137"/>
      <c r="E587" s="137"/>
      <c r="F587" s="137"/>
      <c r="G587" s="137"/>
      <c r="H587" s="137"/>
      <c r="I587" s="137"/>
      <c r="J587" s="137"/>
      <c r="K587" s="137"/>
      <c r="L587" s="137"/>
      <c r="M587" s="137"/>
      <c r="N587" s="137"/>
      <c r="O587" s="137"/>
      <c r="P587" s="137"/>
      <c r="Q587" s="137"/>
      <c r="R587" s="137"/>
      <c r="S587" s="137"/>
      <c r="T587" s="137"/>
      <c r="U587" s="138"/>
      <c r="W587" s="35" t="str">
        <f>"-- "&amp;C587</f>
        <v>-- DPC関連マスタテーブルのレコードをバックアップ_DPC関連マスタテーブルに格納する。</v>
      </c>
    </row>
    <row r="589" spans="2:23" ht="18.75" customHeight="1">
      <c r="C589" s="139" t="s">
        <v>3594</v>
      </c>
      <c r="D589" s="140"/>
      <c r="E589" s="143" t="s">
        <v>162</v>
      </c>
      <c r="F589" s="36"/>
      <c r="G589" s="36"/>
      <c r="H589" s="36"/>
      <c r="I589" s="36"/>
      <c r="J589" s="36"/>
      <c r="K589" s="36"/>
      <c r="L589" s="36"/>
      <c r="M589" s="36"/>
      <c r="N589" s="36"/>
      <c r="O589" s="36"/>
      <c r="P589" s="36"/>
      <c r="Q589" s="36"/>
      <c r="R589" s="139" t="str">
        <f>"バックアップ_"&amp;SUBSTITUTE(C589,"_結合","")</f>
        <v>バックアップ_DPC関連マスタ</v>
      </c>
      <c r="S589" s="140"/>
      <c r="T589" s="145" t="str">
        <f>エンティティ一覧!$O$2</f>
        <v>milscm_2023_009</v>
      </c>
    </row>
    <row r="590" spans="2:23" ht="18.75" customHeight="1">
      <c r="C590" s="141"/>
      <c r="D590" s="142"/>
      <c r="E590" s="144"/>
      <c r="F590" s="37"/>
      <c r="G590" s="37"/>
      <c r="H590" s="37"/>
      <c r="I590" s="37"/>
      <c r="J590" s="37"/>
      <c r="K590" s="37"/>
      <c r="L590" s="37"/>
      <c r="M590" s="37"/>
      <c r="N590" s="37"/>
      <c r="O590" s="37"/>
      <c r="P590" s="37"/>
      <c r="Q590" s="37"/>
      <c r="R590" s="141"/>
      <c r="S590" s="142"/>
      <c r="T590" s="146"/>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3595</v>
      </c>
      <c r="D594" s="88"/>
      <c r="W594" s="35" t="str">
        <f>"-- "&amp;B594&amp;" : "&amp;C594</f>
        <v>-- SQL_ID : 01_A4-12</v>
      </c>
    </row>
    <row r="595" spans="2:23" ht="18.75" customHeight="1">
      <c r="B595" s="43" t="s">
        <v>158</v>
      </c>
      <c r="C595" s="147" t="str">
        <f>R598&amp;"登録"</f>
        <v>バックアップ_疾患関連マスタ登録</v>
      </c>
      <c r="D595" s="148"/>
      <c r="E595" s="148"/>
      <c r="F595" s="148"/>
      <c r="G595" s="148"/>
      <c r="H595" s="148"/>
      <c r="I595" s="148"/>
      <c r="J595" s="148"/>
      <c r="K595" s="148"/>
      <c r="L595" s="148"/>
      <c r="M595" s="148"/>
      <c r="N595" s="148"/>
      <c r="O595" s="148"/>
      <c r="P595" s="148"/>
      <c r="Q595" s="148"/>
      <c r="R595" s="148"/>
      <c r="S595" s="148"/>
      <c r="T595" s="148"/>
      <c r="U595" s="149"/>
      <c r="W595" s="35" t="str">
        <f>"-- "&amp;C595</f>
        <v>-- バックアップ_疾患関連マスタ登録</v>
      </c>
    </row>
    <row r="596" spans="2:23" ht="18.75" customHeight="1">
      <c r="B596" s="43" t="s">
        <v>159</v>
      </c>
      <c r="C596" s="136" t="str">
        <f>C598&amp;"テーブルのレコードを"&amp;R598&amp;"テーブルに格納する。"</f>
        <v>疾患関連マスタテーブルのレコードをバックアップ_疾患関連マスタテーブルに格納する。</v>
      </c>
      <c r="D596" s="137"/>
      <c r="E596" s="137"/>
      <c r="F596" s="137"/>
      <c r="G596" s="137"/>
      <c r="H596" s="137"/>
      <c r="I596" s="137"/>
      <c r="J596" s="137"/>
      <c r="K596" s="137"/>
      <c r="L596" s="137"/>
      <c r="M596" s="137"/>
      <c r="N596" s="137"/>
      <c r="O596" s="137"/>
      <c r="P596" s="137"/>
      <c r="Q596" s="137"/>
      <c r="R596" s="137"/>
      <c r="S596" s="137"/>
      <c r="T596" s="137"/>
      <c r="U596" s="138"/>
      <c r="W596" s="35" t="str">
        <f>"-- "&amp;C596</f>
        <v>-- 疾患関連マスタテーブルのレコードをバックアップ_疾患関連マスタテーブルに格納する。</v>
      </c>
    </row>
    <row r="598" spans="2:23" ht="18.75" customHeight="1">
      <c r="C598" s="139" t="s">
        <v>3596</v>
      </c>
      <c r="D598" s="140"/>
      <c r="E598" s="143" t="s">
        <v>162</v>
      </c>
      <c r="F598" s="36"/>
      <c r="G598" s="36"/>
      <c r="H598" s="36"/>
      <c r="I598" s="36"/>
      <c r="J598" s="36"/>
      <c r="K598" s="36"/>
      <c r="L598" s="36"/>
      <c r="M598" s="36"/>
      <c r="N598" s="36"/>
      <c r="O598" s="36"/>
      <c r="P598" s="36"/>
      <c r="Q598" s="36"/>
      <c r="R598" s="139" t="str">
        <f>"バックアップ_"&amp;SUBSTITUTE(C598,"_結合","")</f>
        <v>バックアップ_疾患関連マスタ</v>
      </c>
      <c r="S598" s="140"/>
      <c r="T598" s="145" t="str">
        <f>エンティティ一覧!$O$2</f>
        <v>milscm_2023_009</v>
      </c>
    </row>
    <row r="599" spans="2:23" ht="18.75" customHeight="1">
      <c r="C599" s="141"/>
      <c r="D599" s="142"/>
      <c r="E599" s="144"/>
      <c r="F599" s="37"/>
      <c r="G599" s="37"/>
      <c r="H599" s="37"/>
      <c r="I599" s="37"/>
      <c r="J599" s="37"/>
      <c r="K599" s="37"/>
      <c r="L599" s="37"/>
      <c r="M599" s="37"/>
      <c r="N599" s="37"/>
      <c r="O599" s="37"/>
      <c r="P599" s="37"/>
      <c r="Q599" s="37"/>
      <c r="R599" s="141"/>
      <c r="S599" s="142"/>
      <c r="T599" s="146"/>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3597</v>
      </c>
      <c r="D603" s="88"/>
      <c r="W603" s="35" t="str">
        <f>"-- "&amp;B603&amp;" : "&amp;C603</f>
        <v>-- SQL_ID : 01_A4-13</v>
      </c>
    </row>
    <row r="604" spans="2:23" ht="18.75" customHeight="1">
      <c r="B604" s="43" t="s">
        <v>158</v>
      </c>
      <c r="C604" s="147" t="str">
        <f>R607&amp;"登録"</f>
        <v>バックアップ_医薬品成分関連マスタ登録</v>
      </c>
      <c r="D604" s="148"/>
      <c r="E604" s="148"/>
      <c r="F604" s="148"/>
      <c r="G604" s="148"/>
      <c r="H604" s="148"/>
      <c r="I604" s="148"/>
      <c r="J604" s="148"/>
      <c r="K604" s="148"/>
      <c r="L604" s="148"/>
      <c r="M604" s="148"/>
      <c r="N604" s="148"/>
      <c r="O604" s="148"/>
      <c r="P604" s="148"/>
      <c r="Q604" s="148"/>
      <c r="R604" s="148"/>
      <c r="S604" s="148"/>
      <c r="T604" s="148"/>
      <c r="U604" s="149"/>
      <c r="W604" s="35" t="str">
        <f>"-- "&amp;C604</f>
        <v>-- バックアップ_医薬品成分関連マスタ登録</v>
      </c>
    </row>
    <row r="605" spans="2:23" ht="18.75" customHeight="1">
      <c r="B605" s="43" t="s">
        <v>159</v>
      </c>
      <c r="C605" s="136" t="str">
        <f>C607&amp;"テーブルのレコードを"&amp;R607&amp;"テーブルに格納する。"</f>
        <v>医薬品成分関連マスタテーブルのレコードをバックアップ_医薬品成分関連マスタテーブルに格納する。</v>
      </c>
      <c r="D605" s="137"/>
      <c r="E605" s="137"/>
      <c r="F605" s="137"/>
      <c r="G605" s="137"/>
      <c r="H605" s="137"/>
      <c r="I605" s="137"/>
      <c r="J605" s="137"/>
      <c r="K605" s="137"/>
      <c r="L605" s="137"/>
      <c r="M605" s="137"/>
      <c r="N605" s="137"/>
      <c r="O605" s="137"/>
      <c r="P605" s="137"/>
      <c r="Q605" s="137"/>
      <c r="R605" s="137"/>
      <c r="S605" s="137"/>
      <c r="T605" s="137"/>
      <c r="U605" s="138"/>
      <c r="W605" s="35" t="str">
        <f>"-- "&amp;C605</f>
        <v>-- 医薬品成分関連マスタテーブルのレコードをバックアップ_医薬品成分関連マスタテーブルに格納する。</v>
      </c>
    </row>
    <row r="607" spans="2:23" ht="18.75" customHeight="1">
      <c r="C607" s="139" t="s">
        <v>3598</v>
      </c>
      <c r="D607" s="140"/>
      <c r="E607" s="143" t="s">
        <v>162</v>
      </c>
      <c r="F607" s="36"/>
      <c r="G607" s="36"/>
      <c r="H607" s="36"/>
      <c r="I607" s="36"/>
      <c r="J607" s="36"/>
      <c r="K607" s="36"/>
      <c r="L607" s="36"/>
      <c r="M607" s="36"/>
      <c r="N607" s="36"/>
      <c r="O607" s="36"/>
      <c r="P607" s="36"/>
      <c r="Q607" s="36"/>
      <c r="R607" s="139" t="str">
        <f>"バックアップ_"&amp;SUBSTITUTE(C607,"_結合","")</f>
        <v>バックアップ_医薬品成分関連マスタ</v>
      </c>
      <c r="S607" s="140"/>
      <c r="T607" s="145" t="str">
        <f>エンティティ一覧!$O$2</f>
        <v>milscm_2023_009</v>
      </c>
    </row>
    <row r="608" spans="2:23" ht="18.75" customHeight="1">
      <c r="C608" s="141"/>
      <c r="D608" s="142"/>
      <c r="E608" s="144"/>
      <c r="F608" s="37"/>
      <c r="G608" s="37"/>
      <c r="H608" s="37"/>
      <c r="I608" s="37"/>
      <c r="J608" s="37"/>
      <c r="K608" s="37"/>
      <c r="L608" s="37"/>
      <c r="M608" s="37"/>
      <c r="N608" s="37"/>
      <c r="O608" s="37"/>
      <c r="P608" s="37"/>
      <c r="Q608" s="37"/>
      <c r="R608" s="141"/>
      <c r="S608" s="142"/>
      <c r="T608" s="146"/>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3599</v>
      </c>
      <c r="D612" s="88"/>
      <c r="W612" s="35" t="str">
        <f>"-- "&amp;B612&amp;" : "&amp;C612</f>
        <v>-- SQL_ID : 01_A4-14</v>
      </c>
    </row>
    <row r="613" spans="2:23" ht="18.75" customHeight="1">
      <c r="B613" s="43" t="s">
        <v>158</v>
      </c>
      <c r="C613" s="147" t="str">
        <f>R616&amp;"登録"</f>
        <v>バックアップ_医薬品適用病名関連マスタ登録</v>
      </c>
      <c r="D613" s="148"/>
      <c r="E613" s="148"/>
      <c r="F613" s="148"/>
      <c r="G613" s="148"/>
      <c r="H613" s="148"/>
      <c r="I613" s="148"/>
      <c r="J613" s="148"/>
      <c r="K613" s="148"/>
      <c r="L613" s="148"/>
      <c r="M613" s="148"/>
      <c r="N613" s="148"/>
      <c r="O613" s="148"/>
      <c r="P613" s="148"/>
      <c r="Q613" s="148"/>
      <c r="R613" s="148"/>
      <c r="S613" s="148"/>
      <c r="T613" s="148"/>
      <c r="U613" s="149"/>
      <c r="W613" s="35" t="str">
        <f>"-- "&amp;C613</f>
        <v>-- バックアップ_医薬品適用病名関連マスタ登録</v>
      </c>
    </row>
    <row r="614" spans="2:23" ht="18.75" customHeight="1">
      <c r="B614" s="43" t="s">
        <v>159</v>
      </c>
      <c r="C614" s="136" t="str">
        <f>C616&amp;"テーブルのレコードを"&amp;R616&amp;"テーブルに格納する。"</f>
        <v>医薬品適用病名関連マスタテーブルのレコードをバックアップ_医薬品適用病名関連マスタテーブルに格納する。</v>
      </c>
      <c r="D614" s="137"/>
      <c r="E614" s="137"/>
      <c r="F614" s="137"/>
      <c r="G614" s="137"/>
      <c r="H614" s="137"/>
      <c r="I614" s="137"/>
      <c r="J614" s="137"/>
      <c r="K614" s="137"/>
      <c r="L614" s="137"/>
      <c r="M614" s="137"/>
      <c r="N614" s="137"/>
      <c r="O614" s="137"/>
      <c r="P614" s="137"/>
      <c r="Q614" s="137"/>
      <c r="R614" s="137"/>
      <c r="S614" s="137"/>
      <c r="T614" s="137"/>
      <c r="U614" s="138"/>
      <c r="W614" s="35" t="str">
        <f>"-- "&amp;C614</f>
        <v>-- 医薬品適用病名関連マスタテーブルのレコードをバックアップ_医薬品適用病名関連マスタテーブルに格納する。</v>
      </c>
    </row>
    <row r="616" spans="2:23" ht="18.75" customHeight="1">
      <c r="C616" s="139" t="s">
        <v>3600</v>
      </c>
      <c r="D616" s="140"/>
      <c r="E616" s="143" t="s">
        <v>162</v>
      </c>
      <c r="F616" s="36"/>
      <c r="G616" s="36"/>
      <c r="H616" s="36"/>
      <c r="I616" s="36"/>
      <c r="J616" s="36"/>
      <c r="K616" s="36"/>
      <c r="L616" s="36"/>
      <c r="M616" s="36"/>
      <c r="N616" s="36"/>
      <c r="O616" s="36"/>
      <c r="P616" s="36"/>
      <c r="Q616" s="36"/>
      <c r="R616" s="139" t="str">
        <f>"バックアップ_"&amp;SUBSTITUTE(C616,"_結合","")</f>
        <v>バックアップ_医薬品適用病名関連マスタ</v>
      </c>
      <c r="S616" s="140"/>
      <c r="T616" s="145" t="str">
        <f>エンティティ一覧!$O$2</f>
        <v>milscm_2023_009</v>
      </c>
    </row>
    <row r="617" spans="2:23" ht="18.75" customHeight="1">
      <c r="C617" s="141"/>
      <c r="D617" s="142"/>
      <c r="E617" s="144"/>
      <c r="F617" s="37"/>
      <c r="G617" s="37"/>
      <c r="H617" s="37"/>
      <c r="I617" s="37"/>
      <c r="J617" s="37"/>
      <c r="K617" s="37"/>
      <c r="L617" s="37"/>
      <c r="M617" s="37"/>
      <c r="N617" s="37"/>
      <c r="O617" s="37"/>
      <c r="P617" s="37"/>
      <c r="Q617" s="37"/>
      <c r="R617" s="141"/>
      <c r="S617" s="142"/>
      <c r="T617" s="146"/>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3601</v>
      </c>
      <c r="D621" s="88"/>
      <c r="W621" s="35" t="str">
        <f>"-- "&amp;B621&amp;" : "&amp;C621</f>
        <v>-- SQL_ID : 01_A6-02</v>
      </c>
    </row>
    <row r="622" spans="2:23" ht="18.75" customHeight="1">
      <c r="B622" s="43" t="s">
        <v>158</v>
      </c>
      <c r="C622" s="147" t="str">
        <f>R625&amp;"登録"</f>
        <v>バックアップ_MML共通登録</v>
      </c>
      <c r="D622" s="148"/>
      <c r="E622" s="148"/>
      <c r="F622" s="148"/>
      <c r="G622" s="148"/>
      <c r="H622" s="148"/>
      <c r="I622" s="148"/>
      <c r="J622" s="148"/>
      <c r="K622" s="148"/>
      <c r="L622" s="148"/>
      <c r="M622" s="148"/>
      <c r="N622" s="148"/>
      <c r="O622" s="148"/>
      <c r="P622" s="148"/>
      <c r="Q622" s="148"/>
      <c r="R622" s="148"/>
      <c r="S622" s="148"/>
      <c r="T622" s="148"/>
      <c r="U622" s="149"/>
      <c r="W622" s="35" t="str">
        <f>"-- "&amp;C622</f>
        <v>-- バックアップ_MML共通登録</v>
      </c>
    </row>
    <row r="623" spans="2:23" ht="18.75" customHeight="1">
      <c r="B623" s="43" t="s">
        <v>159</v>
      </c>
      <c r="C623" s="136"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37"/>
      <c r="E623" s="137"/>
      <c r="F623" s="137"/>
      <c r="G623" s="137"/>
      <c r="H623" s="137"/>
      <c r="I623" s="137"/>
      <c r="J623" s="137"/>
      <c r="K623" s="137"/>
      <c r="L623" s="137"/>
      <c r="M623" s="137"/>
      <c r="N623" s="137"/>
      <c r="O623" s="137"/>
      <c r="P623" s="137"/>
      <c r="Q623" s="137"/>
      <c r="R623" s="137"/>
      <c r="S623" s="137"/>
      <c r="T623" s="137"/>
      <c r="U623" s="138"/>
      <c r="W623" s="35" t="str">
        <f>"-- "&amp;C623</f>
        <v>-- MML共通テーブルから組入れ条件の第一条件で絞り込んだ結果をバックアップ_MML共通テーブルに格納する。</v>
      </c>
    </row>
    <row r="625" spans="2:23" ht="18.75" customHeight="1">
      <c r="C625" s="139" t="s">
        <v>3602</v>
      </c>
      <c r="D625" s="140"/>
      <c r="E625" s="143" t="s">
        <v>162</v>
      </c>
      <c r="F625" s="36"/>
      <c r="G625" s="36"/>
      <c r="H625" s="36"/>
      <c r="I625" s="36"/>
      <c r="J625" s="36"/>
      <c r="M625" s="36"/>
      <c r="N625" s="36"/>
      <c r="O625" s="36"/>
      <c r="P625" s="36"/>
      <c r="Q625" s="36"/>
      <c r="R625" s="139" t="str">
        <f>"バックアップ_"&amp;SUBSTITUTE(C625,"_結合","")</f>
        <v>バックアップ_MML共通</v>
      </c>
      <c r="S625" s="140"/>
      <c r="T625" s="145" t="str">
        <f>エンティティ一覧!$O$2</f>
        <v>milscm_2023_009</v>
      </c>
    </row>
    <row r="626" spans="2:23" ht="18.75" customHeight="1">
      <c r="C626" s="141"/>
      <c r="D626" s="142"/>
      <c r="E626" s="144"/>
      <c r="F626" s="37"/>
      <c r="G626" s="37"/>
      <c r="H626" s="37"/>
      <c r="I626" s="37"/>
      <c r="J626" s="37"/>
      <c r="K626" s="37"/>
      <c r="L626" s="38"/>
      <c r="M626" s="37"/>
      <c r="N626" s="37"/>
      <c r="O626" s="37"/>
      <c r="P626" s="37"/>
      <c r="Q626" s="37"/>
      <c r="R626" s="141"/>
      <c r="S626" s="142"/>
      <c r="T626" s="146"/>
    </row>
    <row r="627" spans="2:23" ht="18.75" customHeight="1">
      <c r="K627" s="39"/>
      <c r="L627" s="40"/>
    </row>
    <row r="628" spans="2:23" ht="18.75" customHeight="1">
      <c r="C628" s="139" t="s">
        <v>3181</v>
      </c>
      <c r="D628" s="140"/>
      <c r="E628" s="145" t="str">
        <f>エンティティ一覧!$O$2</f>
        <v>milscm_2023_009</v>
      </c>
      <c r="F628" s="36"/>
      <c r="G628" s="36"/>
      <c r="H628" s="36"/>
      <c r="I628" s="36"/>
      <c r="J628" s="36"/>
      <c r="L628" s="41"/>
    </row>
    <row r="629" spans="2:23" ht="18.75" customHeight="1">
      <c r="C629" s="141"/>
      <c r="D629" s="142"/>
      <c r="E629" s="146"/>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3967</v>
      </c>
      <c r="D633" s="100"/>
      <c r="W633" s="35" t="str">
        <f>"-- "&amp;B633&amp;" : "&amp;C633</f>
        <v>-- SQL_ID : 01_A6-02-01</v>
      </c>
    </row>
    <row r="634" spans="2:23" ht="18.75" customHeight="1">
      <c r="B634" s="43" t="s">
        <v>158</v>
      </c>
      <c r="C634" s="147" t="s">
        <v>3968</v>
      </c>
      <c r="D634" s="148"/>
      <c r="E634" s="148"/>
      <c r="F634" s="148"/>
      <c r="G634" s="148"/>
      <c r="H634" s="148"/>
      <c r="I634" s="148"/>
      <c r="J634" s="148"/>
      <c r="K634" s="148"/>
      <c r="L634" s="148"/>
      <c r="M634" s="148"/>
      <c r="N634" s="148"/>
      <c r="O634" s="148"/>
      <c r="P634" s="148"/>
      <c r="Q634" s="148"/>
      <c r="R634" s="148"/>
      <c r="S634" s="148"/>
      <c r="T634" s="148"/>
      <c r="U634" s="149"/>
      <c r="W634" s="35" t="str">
        <f>"-- "&amp;C634</f>
        <v>-- バックアップ_MML共通_名古屋第一_Lb登録</v>
      </c>
    </row>
    <row r="635" spans="2:23" ht="18.75" customHeight="1">
      <c r="B635" s="43" t="s">
        <v>159</v>
      </c>
      <c r="C635" s="136" t="str">
        <f>C637&amp;"テーブルから名古屋第一、Lbモジュールの条件で絞り込んだ結果を"&amp;R637&amp;"テーブルに格納する。"</f>
        <v>MML共通テーブルから名古屋第一、Lbモジュールの条件で絞り込んだ結果をバックアップ_MML共通テーブルに格納する。</v>
      </c>
      <c r="D635" s="137"/>
      <c r="E635" s="137"/>
      <c r="F635" s="137"/>
      <c r="G635" s="137"/>
      <c r="H635" s="137"/>
      <c r="I635" s="137"/>
      <c r="J635" s="137"/>
      <c r="K635" s="137"/>
      <c r="L635" s="137"/>
      <c r="M635" s="137"/>
      <c r="N635" s="137"/>
      <c r="O635" s="137"/>
      <c r="P635" s="137"/>
      <c r="Q635" s="137"/>
      <c r="R635" s="137"/>
      <c r="S635" s="137"/>
      <c r="T635" s="137"/>
      <c r="U635" s="138"/>
      <c r="W635" s="35" t="str">
        <f>"-- "&amp;C635</f>
        <v>-- MML共通テーブルから名古屋第一、Lbモジュールの条件で絞り込んだ結果をバックアップ_MML共通テーブルに格納する。</v>
      </c>
    </row>
    <row r="637" spans="2:23" ht="18.75" customHeight="1">
      <c r="C637" s="139" t="s">
        <v>3602</v>
      </c>
      <c r="D637" s="140"/>
      <c r="E637" s="143" t="s">
        <v>162</v>
      </c>
      <c r="F637" s="36"/>
      <c r="G637" s="36"/>
      <c r="H637" s="36"/>
      <c r="I637" s="36"/>
      <c r="J637" s="36"/>
      <c r="M637" s="36"/>
      <c r="N637" s="36"/>
      <c r="O637" s="36"/>
      <c r="P637" s="36"/>
      <c r="Q637" s="36"/>
      <c r="R637" s="139" t="str">
        <f>"バックアップ_"&amp;SUBSTITUTE(C637,"_結合","")</f>
        <v>バックアップ_MML共通</v>
      </c>
      <c r="S637" s="140"/>
      <c r="T637" s="145" t="str">
        <f>エンティティ一覧!$O$2</f>
        <v>milscm_2023_009</v>
      </c>
    </row>
    <row r="638" spans="2:23" ht="18.75" customHeight="1">
      <c r="C638" s="141"/>
      <c r="D638" s="142"/>
      <c r="E638" s="144"/>
      <c r="F638" s="37"/>
      <c r="G638" s="37"/>
      <c r="H638" s="37"/>
      <c r="I638" s="37"/>
      <c r="J638" s="37"/>
      <c r="K638" s="37"/>
      <c r="L638" s="37"/>
      <c r="M638" s="37"/>
      <c r="N638" s="37"/>
      <c r="O638" s="37"/>
      <c r="P638" s="37"/>
      <c r="Q638" s="37"/>
      <c r="R638" s="141"/>
      <c r="S638" s="142"/>
      <c r="T638" s="146"/>
    </row>
    <row r="639" spans="2:23" ht="18.75" customHeight="1">
      <c r="K639" s="39"/>
      <c r="L639" s="101"/>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3603</v>
      </c>
      <c r="D642" s="88"/>
      <c r="W642" s="35" t="str">
        <f>"-- "&amp;B642&amp;" : "&amp;C642</f>
        <v>-- SQL_ID : 01_A6-03</v>
      </c>
    </row>
    <row r="643" spans="2:23" ht="18.75" customHeight="1">
      <c r="B643" s="43" t="s">
        <v>158</v>
      </c>
      <c r="C643" s="147" t="str">
        <f>R646&amp;"登録"</f>
        <v>バックアップ_MML_診断履歴情報モジュール_本文登録</v>
      </c>
      <c r="D643" s="148"/>
      <c r="E643" s="148"/>
      <c r="F643" s="148"/>
      <c r="G643" s="148"/>
      <c r="H643" s="148"/>
      <c r="I643" s="148"/>
      <c r="J643" s="148"/>
      <c r="K643" s="148"/>
      <c r="L643" s="148"/>
      <c r="M643" s="148"/>
      <c r="N643" s="148"/>
      <c r="O643" s="148"/>
      <c r="P643" s="148"/>
      <c r="Q643" s="148"/>
      <c r="R643" s="148"/>
      <c r="S643" s="148"/>
      <c r="T643" s="148"/>
      <c r="U643" s="149"/>
      <c r="W643" s="35" t="str">
        <f>"-- "&amp;C643</f>
        <v>-- バックアップ_MML_診断履歴情報モジュール_本文登録</v>
      </c>
    </row>
    <row r="644" spans="2:23" ht="18.75" customHeight="1">
      <c r="B644" s="43" t="s">
        <v>159</v>
      </c>
      <c r="C644" s="136" t="str">
        <f>C646&amp;"テーブルから組入れ条件の第一条件で絞り込んだ結果を"&amp;R646&amp;"テーブルに格納する。"</f>
        <v>MML_診断履歴情報モジュール_本文テーブルから組入れ条件の第一条件で絞り込んだ結果をバックアップ_MML_診断履歴情報モジュール_本文テーブルに格納する。</v>
      </c>
      <c r="D644" s="137"/>
      <c r="E644" s="137"/>
      <c r="F644" s="137"/>
      <c r="G644" s="137"/>
      <c r="H644" s="137"/>
      <c r="I644" s="137"/>
      <c r="J644" s="137"/>
      <c r="K644" s="137"/>
      <c r="L644" s="137"/>
      <c r="M644" s="137"/>
      <c r="N644" s="137"/>
      <c r="O644" s="137"/>
      <c r="P644" s="137"/>
      <c r="Q644" s="137"/>
      <c r="R644" s="137"/>
      <c r="S644" s="137"/>
      <c r="T644" s="137"/>
      <c r="U644" s="138"/>
      <c r="W644" s="35" t="str">
        <f>"-- "&amp;C644</f>
        <v>-- MML_診断履歴情報モジュール_本文テーブルから組入れ条件の第一条件で絞り込んだ結果をバックアップ_MML_診断履歴情報モジュール_本文テーブルに格納する。</v>
      </c>
    </row>
    <row r="646" spans="2:23" ht="18.75" customHeight="1">
      <c r="C646" s="139" t="s">
        <v>3604</v>
      </c>
      <c r="D646" s="140"/>
      <c r="E646" s="143" t="s">
        <v>162</v>
      </c>
      <c r="H646" s="36"/>
      <c r="I646" s="36"/>
      <c r="J646" s="36"/>
      <c r="K646" s="36"/>
      <c r="L646" s="36"/>
      <c r="M646" s="36"/>
      <c r="N646" s="36"/>
      <c r="O646" s="36"/>
      <c r="P646" s="36"/>
      <c r="Q646" s="36"/>
      <c r="R646" s="139" t="str">
        <f>"バックアップ_"&amp;SUBSTITUTE(C646,"_結合","")</f>
        <v>バックアップ_MML_診断履歴情報モジュール_本文</v>
      </c>
      <c r="S646" s="140"/>
      <c r="T646" s="145" t="str">
        <f>エンティティ一覧!$O$2</f>
        <v>milscm_2023_009</v>
      </c>
    </row>
    <row r="647" spans="2:23" ht="18.75" customHeight="1">
      <c r="C647" s="141"/>
      <c r="D647" s="142"/>
      <c r="E647" s="144"/>
      <c r="F647" s="37"/>
      <c r="G647" s="38"/>
      <c r="H647" s="37"/>
      <c r="I647" s="37"/>
      <c r="J647" s="37"/>
      <c r="K647" s="37"/>
      <c r="L647" s="37"/>
      <c r="M647" s="37"/>
      <c r="N647" s="37"/>
      <c r="O647" s="37"/>
      <c r="P647" s="37"/>
      <c r="Q647" s="37"/>
      <c r="R647" s="141"/>
      <c r="S647" s="142"/>
      <c r="T647" s="146"/>
    </row>
    <row r="648" spans="2:23" ht="18.75" customHeight="1">
      <c r="F648" s="39"/>
      <c r="G648" s="40"/>
    </row>
    <row r="649" spans="2:23" ht="18.75" customHeight="1">
      <c r="C649" s="139" t="s">
        <v>3181</v>
      </c>
      <c r="D649" s="140"/>
      <c r="E649" s="145" t="str">
        <f>エンティティ一覧!$O$2</f>
        <v>milscm_2023_009</v>
      </c>
      <c r="G649" s="41"/>
    </row>
    <row r="650" spans="2:23" ht="18.75" customHeight="1">
      <c r="C650" s="141"/>
      <c r="D650" s="142"/>
      <c r="E650" s="146"/>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3605</v>
      </c>
      <c r="D654" s="88"/>
      <c r="W654" s="35" t="str">
        <f>"-- "&amp;B654&amp;" : "&amp;C654</f>
        <v>-- SQL_ID : 01_A6-04</v>
      </c>
    </row>
    <row r="655" spans="2:23" ht="18.75" customHeight="1">
      <c r="B655" s="43" t="s">
        <v>158</v>
      </c>
      <c r="C655" s="147" t="str">
        <f>R658&amp;"登録"</f>
        <v>バックアップ_MML_診断履歴情報モジュール_病名登録</v>
      </c>
      <c r="D655" s="148"/>
      <c r="E655" s="148"/>
      <c r="F655" s="148"/>
      <c r="G655" s="148"/>
      <c r="H655" s="148"/>
      <c r="I655" s="148"/>
      <c r="J655" s="148"/>
      <c r="K655" s="148"/>
      <c r="L655" s="148"/>
      <c r="M655" s="148"/>
      <c r="N655" s="148"/>
      <c r="O655" s="148"/>
      <c r="P655" s="148"/>
      <c r="Q655" s="148"/>
      <c r="R655" s="148"/>
      <c r="S655" s="148"/>
      <c r="T655" s="148"/>
      <c r="U655" s="149"/>
      <c r="W655" s="35" t="str">
        <f>"-- "&amp;C655</f>
        <v>-- バックアップ_MML_診断履歴情報モジュール_病名登録</v>
      </c>
    </row>
    <row r="656" spans="2:23" ht="18.75" customHeight="1">
      <c r="B656" s="43" t="s">
        <v>159</v>
      </c>
      <c r="C656" s="136" t="str">
        <f>C658&amp;"テーブルから組入れ条件の第一条件で絞り込んだ結果を"&amp;R658&amp;"テーブルに格納する。"</f>
        <v>MML_診断履歴情報モジュール_病名テーブルから組入れ条件の第一条件で絞り込んだ結果をバックアップ_MML_診断履歴情報モジュール_病名テーブルに格納する。</v>
      </c>
      <c r="D656" s="137"/>
      <c r="E656" s="137"/>
      <c r="F656" s="137"/>
      <c r="G656" s="137"/>
      <c r="H656" s="137"/>
      <c r="I656" s="137"/>
      <c r="J656" s="137"/>
      <c r="K656" s="137"/>
      <c r="L656" s="137"/>
      <c r="M656" s="137"/>
      <c r="N656" s="137"/>
      <c r="O656" s="137"/>
      <c r="P656" s="137"/>
      <c r="Q656" s="137"/>
      <c r="R656" s="137"/>
      <c r="S656" s="137"/>
      <c r="T656" s="137"/>
      <c r="U656" s="138"/>
      <c r="W656" s="35" t="str">
        <f>"-- "&amp;C656</f>
        <v>-- MML_診断履歴情報モジュール_病名テーブルから組入れ条件の第一条件で絞り込んだ結果をバックアップ_MML_診断履歴情報モジュール_病名テーブルに格納する。</v>
      </c>
    </row>
    <row r="658" spans="2:23" ht="18.75" customHeight="1">
      <c r="C658" s="139" t="s">
        <v>3606</v>
      </c>
      <c r="D658" s="140"/>
      <c r="E658" s="143" t="s">
        <v>162</v>
      </c>
      <c r="H658" s="36"/>
      <c r="I658" s="36"/>
      <c r="J658" s="36"/>
      <c r="K658" s="36"/>
      <c r="L658" s="36"/>
      <c r="M658" s="36"/>
      <c r="N658" s="36"/>
      <c r="O658" s="36"/>
      <c r="P658" s="36"/>
      <c r="Q658" s="36"/>
      <c r="R658" s="139" t="str">
        <f>"バックアップ_"&amp;SUBSTITUTE(C658,"_結合","")</f>
        <v>バックアップ_MML_診断履歴情報モジュール_病名</v>
      </c>
      <c r="S658" s="140"/>
      <c r="T658" s="145" t="str">
        <f>エンティティ一覧!$O$2</f>
        <v>milscm_2023_009</v>
      </c>
    </row>
    <row r="659" spans="2:23" ht="18.75" customHeight="1">
      <c r="C659" s="141"/>
      <c r="D659" s="142"/>
      <c r="E659" s="144"/>
      <c r="F659" s="37"/>
      <c r="G659" s="38"/>
      <c r="H659" s="37"/>
      <c r="I659" s="37"/>
      <c r="J659" s="37"/>
      <c r="K659" s="37"/>
      <c r="L659" s="37"/>
      <c r="M659" s="37"/>
      <c r="N659" s="37"/>
      <c r="O659" s="37"/>
      <c r="P659" s="37"/>
      <c r="Q659" s="37"/>
      <c r="R659" s="141"/>
      <c r="S659" s="142"/>
      <c r="T659" s="146"/>
    </row>
    <row r="660" spans="2:23" ht="18.75" customHeight="1">
      <c r="F660" s="39"/>
      <c r="G660" s="40"/>
    </row>
    <row r="661" spans="2:23" ht="18.75" customHeight="1">
      <c r="C661" s="139" t="s">
        <v>3181</v>
      </c>
      <c r="D661" s="140"/>
      <c r="E661" s="145" t="str">
        <f>エンティティ一覧!$O$2</f>
        <v>milscm_2023_009</v>
      </c>
      <c r="G661" s="41"/>
    </row>
    <row r="662" spans="2:23" ht="18.75" customHeight="1">
      <c r="C662" s="141"/>
      <c r="D662" s="142"/>
      <c r="E662" s="146"/>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3607</v>
      </c>
      <c r="D666" s="88"/>
      <c r="W666" s="35" t="str">
        <f>"-- "&amp;B666&amp;" : "&amp;C666</f>
        <v>-- SQL_ID : 01_A6-05</v>
      </c>
    </row>
    <row r="667" spans="2:23" ht="18.75" customHeight="1">
      <c r="B667" s="43" t="s">
        <v>158</v>
      </c>
      <c r="C667" s="147" t="str">
        <f>R670&amp;"登録"</f>
        <v>バックアップ_MML_診断履歴情報モジュール_カテゴリ名登録</v>
      </c>
      <c r="D667" s="148"/>
      <c r="E667" s="148"/>
      <c r="F667" s="148"/>
      <c r="G667" s="148"/>
      <c r="H667" s="148"/>
      <c r="I667" s="148"/>
      <c r="J667" s="148"/>
      <c r="K667" s="148"/>
      <c r="L667" s="148"/>
      <c r="M667" s="148"/>
      <c r="N667" s="148"/>
      <c r="O667" s="148"/>
      <c r="P667" s="148"/>
      <c r="Q667" s="148"/>
      <c r="R667" s="148"/>
      <c r="S667" s="148"/>
      <c r="T667" s="148"/>
      <c r="U667" s="149"/>
      <c r="W667" s="35" t="str">
        <f>"-- "&amp;C667</f>
        <v>-- バックアップ_MML_診断履歴情報モジュール_カテゴリ名登録</v>
      </c>
    </row>
    <row r="668" spans="2:23" ht="18.75" customHeight="1">
      <c r="B668" s="43" t="s">
        <v>159</v>
      </c>
      <c r="C668" s="136" t="str">
        <f>C670&amp;"テーブルから組入れ条件の第一条件で絞り込んだ結果を"&amp;R670&amp;"テーブルに格納する。"</f>
        <v>MML_診断履歴情報モジュール_カテゴリ名テーブルから組入れ条件の第一条件で絞り込んだ結果をバックアップ_MML_診断履歴情報モジュール_カテゴリ名テーブルに格納する。</v>
      </c>
      <c r="D668" s="137"/>
      <c r="E668" s="137"/>
      <c r="F668" s="137"/>
      <c r="G668" s="137"/>
      <c r="H668" s="137"/>
      <c r="I668" s="137"/>
      <c r="J668" s="137"/>
      <c r="K668" s="137"/>
      <c r="L668" s="137"/>
      <c r="M668" s="137"/>
      <c r="N668" s="137"/>
      <c r="O668" s="137"/>
      <c r="P668" s="137"/>
      <c r="Q668" s="137"/>
      <c r="R668" s="137"/>
      <c r="S668" s="137"/>
      <c r="T668" s="137"/>
      <c r="U668" s="138"/>
      <c r="W668" s="35" t="str">
        <f>"-- "&amp;C668</f>
        <v>-- MML_診断履歴情報モジュール_カテゴリ名テーブルから組入れ条件の第一条件で絞り込んだ結果をバックアップ_MML_診断履歴情報モジュール_カテゴリ名テーブルに格納する。</v>
      </c>
    </row>
    <row r="670" spans="2:23" ht="18.75" customHeight="1">
      <c r="C670" s="139" t="s">
        <v>3608</v>
      </c>
      <c r="D670" s="140"/>
      <c r="E670" s="143" t="s">
        <v>162</v>
      </c>
      <c r="H670" s="36"/>
      <c r="I670" s="36"/>
      <c r="J670" s="36"/>
      <c r="K670" s="36"/>
      <c r="L670" s="36"/>
      <c r="M670" s="36"/>
      <c r="N670" s="36"/>
      <c r="O670" s="36"/>
      <c r="P670" s="36"/>
      <c r="Q670" s="36"/>
      <c r="R670" s="150" t="str">
        <f>"バックアップ_"&amp;SUBSTITUTE(C670,"_結合","")</f>
        <v>バックアップ_MML_診断履歴情報モジュール_カテゴリ名</v>
      </c>
      <c r="S670" s="151"/>
      <c r="T670" s="145" t="str">
        <f>エンティティ一覧!$O$2</f>
        <v>milscm_2023_009</v>
      </c>
    </row>
    <row r="671" spans="2:23" ht="18.75" customHeight="1">
      <c r="C671" s="141"/>
      <c r="D671" s="142"/>
      <c r="E671" s="144"/>
      <c r="F671" s="37"/>
      <c r="G671" s="38"/>
      <c r="H671" s="37"/>
      <c r="I671" s="37"/>
      <c r="J671" s="37"/>
      <c r="K671" s="37"/>
      <c r="L671" s="37"/>
      <c r="M671" s="37"/>
      <c r="N671" s="37"/>
      <c r="O671" s="37"/>
      <c r="P671" s="37"/>
      <c r="Q671" s="37"/>
      <c r="R671" s="152"/>
      <c r="S671" s="153"/>
      <c r="T671" s="146"/>
    </row>
    <row r="672" spans="2:23" ht="18.75" customHeight="1">
      <c r="F672" s="39"/>
      <c r="G672" s="40"/>
    </row>
    <row r="673" spans="2:23" ht="18.75" customHeight="1">
      <c r="C673" s="139" t="s">
        <v>3181</v>
      </c>
      <c r="D673" s="140"/>
      <c r="E673" s="145" t="str">
        <f>エンティティ一覧!$O$2</f>
        <v>milscm_2023_009</v>
      </c>
      <c r="G673" s="41"/>
    </row>
    <row r="674" spans="2:23" ht="18.75" customHeight="1">
      <c r="C674" s="141"/>
      <c r="D674" s="142"/>
      <c r="E674" s="146"/>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3969</v>
      </c>
      <c r="D678" s="100"/>
      <c r="W678" s="35" t="str">
        <f>"-- "&amp;B678&amp;" : "&amp;C678</f>
        <v>-- SQL_ID : 01_A6-18</v>
      </c>
    </row>
    <row r="679" spans="2:23" ht="18.75" customHeight="1">
      <c r="B679" s="43" t="s">
        <v>158</v>
      </c>
      <c r="C679" s="147" t="str">
        <f>R682&amp;"登録"</f>
        <v>バックアップ_MML_検歴情報モジュール_本文登録</v>
      </c>
      <c r="D679" s="148"/>
      <c r="E679" s="148"/>
      <c r="F679" s="148"/>
      <c r="G679" s="148"/>
      <c r="H679" s="148"/>
      <c r="I679" s="148"/>
      <c r="J679" s="148"/>
      <c r="K679" s="148"/>
      <c r="L679" s="148"/>
      <c r="M679" s="148"/>
      <c r="N679" s="148"/>
      <c r="O679" s="148"/>
      <c r="P679" s="148"/>
      <c r="Q679" s="148"/>
      <c r="R679" s="148"/>
      <c r="S679" s="148"/>
      <c r="T679" s="148"/>
      <c r="U679" s="149"/>
      <c r="W679" s="35" t="str">
        <f>"-- "&amp;C679</f>
        <v>-- バックアップ_MML_検歴情報モジュール_本文登録</v>
      </c>
    </row>
    <row r="680" spans="2:23" ht="18.75" customHeight="1">
      <c r="B680" s="43" t="s">
        <v>159</v>
      </c>
      <c r="C680" s="136" t="str">
        <f>C682&amp;"テーブルから名古屋第一の条件で絞り込んだ結果を"&amp;R682&amp;"テーブルに格納する。"</f>
        <v>MML_検歴情報モジュール_本文テーブルから名古屋第一の条件で絞り込んだ結果をバックアップ_MML_検歴情報モジュール_本文テーブルに格納する。</v>
      </c>
      <c r="D680" s="137"/>
      <c r="E680" s="137"/>
      <c r="F680" s="137"/>
      <c r="G680" s="137"/>
      <c r="H680" s="137"/>
      <c r="I680" s="137"/>
      <c r="J680" s="137"/>
      <c r="K680" s="137"/>
      <c r="L680" s="137"/>
      <c r="M680" s="137"/>
      <c r="N680" s="137"/>
      <c r="O680" s="137"/>
      <c r="P680" s="137"/>
      <c r="Q680" s="137"/>
      <c r="R680" s="137"/>
      <c r="S680" s="137"/>
      <c r="T680" s="137"/>
      <c r="U680" s="138"/>
      <c r="W680" s="35" t="str">
        <f>"-- "&amp;C680</f>
        <v>-- MML_検歴情報モジュール_本文テーブルから名古屋第一の条件で絞り込んだ結果をバックアップ_MML_検歴情報モジュール_本文テーブルに格納する。</v>
      </c>
    </row>
    <row r="682" spans="2:23" ht="18.75" customHeight="1">
      <c r="C682" s="139" t="s">
        <v>3970</v>
      </c>
      <c r="D682" s="140"/>
      <c r="E682" s="143" t="s">
        <v>162</v>
      </c>
      <c r="F682" s="36"/>
      <c r="G682" s="36"/>
      <c r="H682" s="36"/>
      <c r="I682" s="36"/>
      <c r="J682" s="36"/>
      <c r="M682" s="36"/>
      <c r="N682" s="36"/>
      <c r="O682" s="36"/>
      <c r="P682" s="36"/>
      <c r="Q682" s="36"/>
      <c r="R682" s="139" t="str">
        <f>"バックアップ_"&amp;SUBSTITUTE(C682,"_結合","")</f>
        <v>バックアップ_MML_検歴情報モジュール_本文</v>
      </c>
      <c r="S682" s="140"/>
      <c r="T682" s="145" t="str">
        <f>エンティティ一覧!$O$2</f>
        <v>milscm_2023_009</v>
      </c>
    </row>
    <row r="683" spans="2:23" ht="18.75" customHeight="1">
      <c r="C683" s="141"/>
      <c r="D683" s="142"/>
      <c r="E683" s="144"/>
      <c r="F683" s="37"/>
      <c r="G683" s="37"/>
      <c r="H683" s="37"/>
      <c r="I683" s="37"/>
      <c r="J683" s="37"/>
      <c r="K683" s="37"/>
      <c r="L683" s="37"/>
      <c r="M683" s="37"/>
      <c r="N683" s="37"/>
      <c r="O683" s="37"/>
      <c r="P683" s="37"/>
      <c r="Q683" s="37"/>
      <c r="R683" s="141"/>
      <c r="S683" s="142"/>
      <c r="T683" s="146"/>
    </row>
    <row r="684" spans="2:23" ht="18.75" customHeight="1">
      <c r="K684" s="39"/>
      <c r="L684" s="101"/>
    </row>
    <row r="685" spans="2:23" ht="18.75" customHeight="1" thickBot="1">
      <c r="B685" s="42"/>
      <c r="C685" s="42"/>
      <c r="D685" s="42"/>
      <c r="E685" s="42"/>
      <c r="F685" s="42"/>
      <c r="G685" s="42"/>
      <c r="H685" s="42"/>
      <c r="I685" s="42"/>
      <c r="J685" s="42"/>
      <c r="K685" s="42"/>
      <c r="L685" s="42"/>
      <c r="M685" s="42"/>
      <c r="N685" s="42"/>
      <c r="O685" s="42"/>
      <c r="P685" s="42"/>
      <c r="Q685" s="42"/>
      <c r="R685" s="42"/>
      <c r="S685" s="42"/>
      <c r="T685" s="42"/>
      <c r="U685" s="42"/>
    </row>
    <row r="687" spans="2:23" ht="18.75" customHeight="1">
      <c r="B687" s="43" t="s">
        <v>163</v>
      </c>
      <c r="C687" s="51" t="s">
        <v>3971</v>
      </c>
      <c r="D687" s="100"/>
      <c r="W687" s="35" t="str">
        <f>"-- "&amp;B687&amp;" : "&amp;C687</f>
        <v>-- SQL_ID : 01_A6-19</v>
      </c>
    </row>
    <row r="688" spans="2:23" ht="18.75" customHeight="1">
      <c r="B688" s="43" t="s">
        <v>158</v>
      </c>
      <c r="C688" s="147" t="str">
        <f>R691&amp;"登録"</f>
        <v>バックアップ_MML_検歴情報モジュール_報告コメント登録</v>
      </c>
      <c r="D688" s="148"/>
      <c r="E688" s="148"/>
      <c r="F688" s="148"/>
      <c r="G688" s="148"/>
      <c r="H688" s="148"/>
      <c r="I688" s="148"/>
      <c r="J688" s="148"/>
      <c r="K688" s="148"/>
      <c r="L688" s="148"/>
      <c r="M688" s="148"/>
      <c r="N688" s="148"/>
      <c r="O688" s="148"/>
      <c r="P688" s="148"/>
      <c r="Q688" s="148"/>
      <c r="R688" s="148"/>
      <c r="S688" s="148"/>
      <c r="T688" s="148"/>
      <c r="U688" s="149"/>
      <c r="W688" s="35" t="str">
        <f>"-- "&amp;C688</f>
        <v>-- バックアップ_MML_検歴情報モジュール_報告コメント登録</v>
      </c>
    </row>
    <row r="689" spans="2:23" ht="18.75" customHeight="1">
      <c r="B689" s="43" t="s">
        <v>159</v>
      </c>
      <c r="C689" s="136" t="str">
        <f>C691&amp;"テーブルから名古屋第一の条件で絞り込んだ結果を"&amp;R691&amp;"テーブルに格納する。"</f>
        <v>MML_検歴情報モジュール_報告コメントテーブルから名古屋第一の条件で絞り込んだ結果をバックアップ_MML_検歴情報モジュール_報告コメントテーブルに格納する。</v>
      </c>
      <c r="D689" s="137"/>
      <c r="E689" s="137"/>
      <c r="F689" s="137"/>
      <c r="G689" s="137"/>
      <c r="H689" s="137"/>
      <c r="I689" s="137"/>
      <c r="J689" s="137"/>
      <c r="K689" s="137"/>
      <c r="L689" s="137"/>
      <c r="M689" s="137"/>
      <c r="N689" s="137"/>
      <c r="O689" s="137"/>
      <c r="P689" s="137"/>
      <c r="Q689" s="137"/>
      <c r="R689" s="137"/>
      <c r="S689" s="137"/>
      <c r="T689" s="137"/>
      <c r="U689" s="138"/>
      <c r="W689" s="35" t="str">
        <f>"-- "&amp;C689</f>
        <v>-- MML_検歴情報モジュール_報告コメントテーブルから名古屋第一の条件で絞り込んだ結果をバックアップ_MML_検歴情報モジュール_報告コメントテーブルに格納する。</v>
      </c>
    </row>
    <row r="691" spans="2:23" ht="18.75" customHeight="1">
      <c r="C691" s="139" t="s">
        <v>3972</v>
      </c>
      <c r="D691" s="140"/>
      <c r="E691" s="143" t="s">
        <v>162</v>
      </c>
      <c r="F691" s="36"/>
      <c r="G691" s="36"/>
      <c r="H691" s="36"/>
      <c r="I691" s="36"/>
      <c r="J691" s="36"/>
      <c r="M691" s="36"/>
      <c r="N691" s="36"/>
      <c r="O691" s="36"/>
      <c r="P691" s="36"/>
      <c r="Q691" s="36"/>
      <c r="R691" s="139" t="str">
        <f>"バックアップ_"&amp;SUBSTITUTE(C691,"_結合","")</f>
        <v>バックアップ_MML_検歴情報モジュール_報告コメント</v>
      </c>
      <c r="S691" s="140"/>
      <c r="T691" s="145" t="str">
        <f>エンティティ一覧!$O$2</f>
        <v>milscm_2023_009</v>
      </c>
    </row>
    <row r="692" spans="2:23" ht="18.75" customHeight="1">
      <c r="C692" s="141"/>
      <c r="D692" s="142"/>
      <c r="E692" s="144"/>
      <c r="F692" s="37"/>
      <c r="G692" s="37"/>
      <c r="H692" s="37"/>
      <c r="I692" s="37"/>
      <c r="J692" s="37"/>
      <c r="K692" s="37"/>
      <c r="L692" s="37"/>
      <c r="M692" s="37"/>
      <c r="N692" s="37"/>
      <c r="O692" s="37"/>
      <c r="P692" s="37"/>
      <c r="Q692" s="37"/>
      <c r="R692" s="141"/>
      <c r="S692" s="142"/>
      <c r="T692" s="146"/>
    </row>
    <row r="693" spans="2:23" ht="18.75" customHeight="1">
      <c r="K693" s="39"/>
      <c r="L693" s="101"/>
    </row>
    <row r="694" spans="2:23" ht="18.75" customHeight="1" thickBot="1">
      <c r="B694" s="42"/>
      <c r="C694" s="42"/>
      <c r="D694" s="42"/>
      <c r="E694" s="42"/>
      <c r="F694" s="42"/>
      <c r="G694" s="42"/>
      <c r="H694" s="42"/>
      <c r="I694" s="42"/>
      <c r="J694" s="42"/>
      <c r="K694" s="42"/>
      <c r="L694" s="42"/>
      <c r="M694" s="42"/>
      <c r="N694" s="42"/>
      <c r="O694" s="42"/>
      <c r="P694" s="42"/>
      <c r="Q694" s="42"/>
      <c r="R694" s="42"/>
      <c r="S694" s="42"/>
      <c r="T694" s="42"/>
      <c r="U694" s="42"/>
    </row>
    <row r="696" spans="2:23" ht="18.75" customHeight="1">
      <c r="B696" s="43" t="s">
        <v>163</v>
      </c>
      <c r="C696" s="51" t="s">
        <v>3973</v>
      </c>
      <c r="D696" s="100"/>
      <c r="W696" s="35" t="str">
        <f>"-- "&amp;B696&amp;" : "&amp;C696</f>
        <v>-- SQL_ID : 01_A6-20</v>
      </c>
    </row>
    <row r="697" spans="2:23" ht="18.75" customHeight="1">
      <c r="B697" s="43" t="s">
        <v>158</v>
      </c>
      <c r="C697" s="147" t="str">
        <f>R700&amp;"登録"</f>
        <v>バックアップ_MML_検歴情報モジュール_検体検査結果情報登録</v>
      </c>
      <c r="D697" s="148"/>
      <c r="E697" s="148"/>
      <c r="F697" s="148"/>
      <c r="G697" s="148"/>
      <c r="H697" s="148"/>
      <c r="I697" s="148"/>
      <c r="J697" s="148"/>
      <c r="K697" s="148"/>
      <c r="L697" s="148"/>
      <c r="M697" s="148"/>
      <c r="N697" s="148"/>
      <c r="O697" s="148"/>
      <c r="P697" s="148"/>
      <c r="Q697" s="148"/>
      <c r="R697" s="148"/>
      <c r="S697" s="148"/>
      <c r="T697" s="148"/>
      <c r="U697" s="149"/>
      <c r="W697" s="35" t="str">
        <f>"-- "&amp;C697</f>
        <v>-- バックアップ_MML_検歴情報モジュール_検体検査結果情報登録</v>
      </c>
    </row>
    <row r="698" spans="2:23" ht="18.75" customHeight="1">
      <c r="B698" s="43" t="s">
        <v>159</v>
      </c>
      <c r="C698" s="136" t="str">
        <f>C700&amp;"テーブルから名古屋第一の条件で絞り込んだ結果を"&amp;R700&amp;"テーブルに格納する。"</f>
        <v>MML_検歴情報モジュール_検体検査結果情報テーブルから名古屋第一の条件で絞り込んだ結果をバックアップ_MML_検歴情報モジュール_検体検査結果情報テーブルに格納する。</v>
      </c>
      <c r="D698" s="137"/>
      <c r="E698" s="137"/>
      <c r="F698" s="137"/>
      <c r="G698" s="137"/>
      <c r="H698" s="137"/>
      <c r="I698" s="137"/>
      <c r="J698" s="137"/>
      <c r="K698" s="137"/>
      <c r="L698" s="137"/>
      <c r="M698" s="137"/>
      <c r="N698" s="137"/>
      <c r="O698" s="137"/>
      <c r="P698" s="137"/>
      <c r="Q698" s="137"/>
      <c r="R698" s="137"/>
      <c r="S698" s="137"/>
      <c r="T698" s="137"/>
      <c r="U698" s="138"/>
      <c r="W698" s="35" t="str">
        <f>"-- "&amp;C698</f>
        <v>-- MML_検歴情報モジュール_検体検査結果情報テーブルから名古屋第一の条件で絞り込んだ結果をバックアップ_MML_検歴情報モジュール_検体検査結果情報テーブルに格納する。</v>
      </c>
    </row>
    <row r="700" spans="2:23" ht="18.75" customHeight="1">
      <c r="C700" s="139" t="s">
        <v>3974</v>
      </c>
      <c r="D700" s="140"/>
      <c r="E700" s="143" t="s">
        <v>162</v>
      </c>
      <c r="F700" s="36"/>
      <c r="G700" s="36"/>
      <c r="H700" s="36"/>
      <c r="I700" s="36"/>
      <c r="J700" s="36"/>
      <c r="M700" s="36"/>
      <c r="N700" s="36"/>
      <c r="O700" s="36"/>
      <c r="P700" s="36"/>
      <c r="Q700" s="36"/>
      <c r="R700" s="139" t="str">
        <f>"バックアップ_"&amp;SUBSTITUTE(C700,"_結合","")</f>
        <v>バックアップ_MML_検歴情報モジュール_検体検査結果情報</v>
      </c>
      <c r="S700" s="140"/>
      <c r="T700" s="145" t="str">
        <f>エンティティ一覧!$O$2</f>
        <v>milscm_2023_009</v>
      </c>
    </row>
    <row r="701" spans="2:23" ht="18.75" customHeight="1">
      <c r="C701" s="141"/>
      <c r="D701" s="142"/>
      <c r="E701" s="144"/>
      <c r="F701" s="37"/>
      <c r="G701" s="37"/>
      <c r="H701" s="37"/>
      <c r="I701" s="37"/>
      <c r="J701" s="37"/>
      <c r="K701" s="37"/>
      <c r="L701" s="37"/>
      <c r="M701" s="37"/>
      <c r="N701" s="37"/>
      <c r="O701" s="37"/>
      <c r="P701" s="37"/>
      <c r="Q701" s="37"/>
      <c r="R701" s="141"/>
      <c r="S701" s="142"/>
      <c r="T701" s="146"/>
    </row>
    <row r="702" spans="2:23" ht="18.75" customHeight="1">
      <c r="K702" s="39"/>
      <c r="L702" s="101"/>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3975</v>
      </c>
      <c r="D705" s="100"/>
      <c r="W705" s="35" t="str">
        <f>"-- "&amp;B705&amp;" : "&amp;C705</f>
        <v>-- SQL_ID : 01_A6-21</v>
      </c>
    </row>
    <row r="706" spans="2:23" ht="18.75" customHeight="1">
      <c r="B706" s="43" t="s">
        <v>158</v>
      </c>
      <c r="C706" s="147" t="str">
        <f>R709&amp;"登録"</f>
        <v>バックアップ_MML_検歴情報モジュール_検体コメント登録</v>
      </c>
      <c r="D706" s="148"/>
      <c r="E706" s="148"/>
      <c r="F706" s="148"/>
      <c r="G706" s="148"/>
      <c r="H706" s="148"/>
      <c r="I706" s="148"/>
      <c r="J706" s="148"/>
      <c r="K706" s="148"/>
      <c r="L706" s="148"/>
      <c r="M706" s="148"/>
      <c r="N706" s="148"/>
      <c r="O706" s="148"/>
      <c r="P706" s="148"/>
      <c r="Q706" s="148"/>
      <c r="R706" s="148"/>
      <c r="S706" s="148"/>
      <c r="T706" s="148"/>
      <c r="U706" s="149"/>
      <c r="W706" s="35" t="str">
        <f>"-- "&amp;C706</f>
        <v>-- バックアップ_MML_検歴情報モジュール_検体コメント登録</v>
      </c>
    </row>
    <row r="707" spans="2:23" ht="18.75" customHeight="1">
      <c r="B707" s="43" t="s">
        <v>159</v>
      </c>
      <c r="C707" s="136" t="str">
        <f>C709&amp;"テーブルから名古屋第一の条件で絞り込んだ結果を"&amp;R709&amp;"テーブルに格納する。"</f>
        <v>MML_検歴情報モジュール_検体コメントテーブルから名古屋第一の条件で絞り込んだ結果をバックアップ_MML_検歴情報モジュール_検体コメントテーブルに格納する。</v>
      </c>
      <c r="D707" s="137"/>
      <c r="E707" s="137"/>
      <c r="F707" s="137"/>
      <c r="G707" s="137"/>
      <c r="H707" s="137"/>
      <c r="I707" s="137"/>
      <c r="J707" s="137"/>
      <c r="K707" s="137"/>
      <c r="L707" s="137"/>
      <c r="M707" s="137"/>
      <c r="N707" s="137"/>
      <c r="O707" s="137"/>
      <c r="P707" s="137"/>
      <c r="Q707" s="137"/>
      <c r="R707" s="137"/>
      <c r="S707" s="137"/>
      <c r="T707" s="137"/>
      <c r="U707" s="138"/>
      <c r="W707" s="35" t="str">
        <f>"-- "&amp;C707</f>
        <v>-- MML_検歴情報モジュール_検体コメントテーブルから名古屋第一の条件で絞り込んだ結果をバックアップ_MML_検歴情報モジュール_検体コメントテーブルに格納する。</v>
      </c>
    </row>
    <row r="709" spans="2:23" ht="18.75" customHeight="1">
      <c r="C709" s="139" t="s">
        <v>3976</v>
      </c>
      <c r="D709" s="140"/>
      <c r="E709" s="143" t="s">
        <v>162</v>
      </c>
      <c r="F709" s="36"/>
      <c r="G709" s="36"/>
      <c r="H709" s="36"/>
      <c r="I709" s="36"/>
      <c r="J709" s="36"/>
      <c r="M709" s="36"/>
      <c r="N709" s="36"/>
      <c r="O709" s="36"/>
      <c r="P709" s="36"/>
      <c r="Q709" s="36"/>
      <c r="R709" s="139" t="str">
        <f>"バックアップ_"&amp;SUBSTITUTE(C709,"_結合","")</f>
        <v>バックアップ_MML_検歴情報モジュール_検体コメント</v>
      </c>
      <c r="S709" s="140"/>
      <c r="T709" s="145" t="str">
        <f>エンティティ一覧!$O$2</f>
        <v>milscm_2023_009</v>
      </c>
    </row>
    <row r="710" spans="2:23" ht="18.75" customHeight="1">
      <c r="C710" s="141"/>
      <c r="D710" s="142"/>
      <c r="E710" s="144"/>
      <c r="F710" s="37"/>
      <c r="G710" s="37"/>
      <c r="H710" s="37"/>
      <c r="I710" s="37"/>
      <c r="J710" s="37"/>
      <c r="K710" s="37"/>
      <c r="L710" s="37"/>
      <c r="M710" s="37"/>
      <c r="N710" s="37"/>
      <c r="O710" s="37"/>
      <c r="P710" s="37"/>
      <c r="Q710" s="37"/>
      <c r="R710" s="141"/>
      <c r="S710" s="142"/>
      <c r="T710" s="146"/>
    </row>
    <row r="711" spans="2:23" ht="18.75" customHeight="1">
      <c r="K711" s="39"/>
      <c r="L711" s="101"/>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3977</v>
      </c>
      <c r="D714" s="100"/>
      <c r="W714" s="35" t="str">
        <f>"-- "&amp;B714&amp;" : "&amp;C714</f>
        <v>-- SQL_ID : 01_A6-22</v>
      </c>
    </row>
    <row r="715" spans="2:23" ht="18.75" customHeight="1">
      <c r="B715" s="43" t="s">
        <v>158</v>
      </c>
      <c r="C715" s="147" t="str">
        <f>R718&amp;"登録"</f>
        <v>バックアップ_MML_検歴情報モジュール_検査項目登録</v>
      </c>
      <c r="D715" s="148"/>
      <c r="E715" s="148"/>
      <c r="F715" s="148"/>
      <c r="G715" s="148"/>
      <c r="H715" s="148"/>
      <c r="I715" s="148"/>
      <c r="J715" s="148"/>
      <c r="K715" s="148"/>
      <c r="L715" s="148"/>
      <c r="M715" s="148"/>
      <c r="N715" s="148"/>
      <c r="O715" s="148"/>
      <c r="P715" s="148"/>
      <c r="Q715" s="148"/>
      <c r="R715" s="148"/>
      <c r="S715" s="148"/>
      <c r="T715" s="148"/>
      <c r="U715" s="149"/>
      <c r="W715" s="35" t="str">
        <f>"-- "&amp;C715</f>
        <v>-- バックアップ_MML_検歴情報モジュール_検査項目登録</v>
      </c>
    </row>
    <row r="716" spans="2:23" ht="18.75" customHeight="1">
      <c r="B716" s="43" t="s">
        <v>159</v>
      </c>
      <c r="C716" s="136" t="str">
        <f>C718&amp;"テーブルから名古屋第一の条件で絞り込んだ結果を"&amp;R718&amp;"テーブルに格納する。"</f>
        <v>MML_検歴情報モジュール_検査項目テーブルから名古屋第一の条件で絞り込んだ結果をバックアップ_MML_検歴情報モジュール_検査項目テーブルに格納する。</v>
      </c>
      <c r="D716" s="137"/>
      <c r="E716" s="137"/>
      <c r="F716" s="137"/>
      <c r="G716" s="137"/>
      <c r="H716" s="137"/>
      <c r="I716" s="137"/>
      <c r="J716" s="137"/>
      <c r="K716" s="137"/>
      <c r="L716" s="137"/>
      <c r="M716" s="137"/>
      <c r="N716" s="137"/>
      <c r="O716" s="137"/>
      <c r="P716" s="137"/>
      <c r="Q716" s="137"/>
      <c r="R716" s="137"/>
      <c r="S716" s="137"/>
      <c r="T716" s="137"/>
      <c r="U716" s="138"/>
      <c r="W716" s="35" t="str">
        <f>"-- "&amp;C716</f>
        <v>-- MML_検歴情報モジュール_検査項目テーブルから名古屋第一の条件で絞り込んだ結果をバックアップ_MML_検歴情報モジュール_検査項目テーブルに格納する。</v>
      </c>
    </row>
    <row r="718" spans="2:23" ht="18.75" customHeight="1">
      <c r="C718" s="139" t="s">
        <v>3978</v>
      </c>
      <c r="D718" s="140"/>
      <c r="E718" s="143" t="s">
        <v>162</v>
      </c>
      <c r="F718" s="36"/>
      <c r="G718" s="36"/>
      <c r="H718" s="36"/>
      <c r="I718" s="36"/>
      <c r="J718" s="36"/>
      <c r="M718" s="36"/>
      <c r="N718" s="36"/>
      <c r="O718" s="36"/>
      <c r="P718" s="36"/>
      <c r="Q718" s="36"/>
      <c r="R718" s="139" t="str">
        <f>"バックアップ_"&amp;SUBSTITUTE(C718,"_結合","")</f>
        <v>バックアップ_MML_検歴情報モジュール_検査項目</v>
      </c>
      <c r="S718" s="140"/>
      <c r="T718" s="145" t="str">
        <f>エンティティ一覧!$O$2</f>
        <v>milscm_2023_009</v>
      </c>
    </row>
    <row r="719" spans="2:23" ht="18.75" customHeight="1">
      <c r="C719" s="141"/>
      <c r="D719" s="142"/>
      <c r="E719" s="144"/>
      <c r="F719" s="37"/>
      <c r="G719" s="37"/>
      <c r="H719" s="37"/>
      <c r="I719" s="37"/>
      <c r="J719" s="37"/>
      <c r="K719" s="37"/>
      <c r="L719" s="37"/>
      <c r="M719" s="37"/>
      <c r="N719" s="37"/>
      <c r="O719" s="37"/>
      <c r="P719" s="37"/>
      <c r="Q719" s="37"/>
      <c r="R719" s="141"/>
      <c r="S719" s="142"/>
      <c r="T719" s="146"/>
    </row>
    <row r="720" spans="2:23" ht="18.75" customHeight="1">
      <c r="K720" s="39"/>
      <c r="L720" s="101"/>
    </row>
    <row r="721" spans="2:23" ht="18.75" customHeight="1" thickBot="1">
      <c r="B721" s="42"/>
      <c r="C721" s="42"/>
      <c r="D721" s="42"/>
      <c r="E721" s="42"/>
      <c r="F721" s="42"/>
      <c r="G721" s="42"/>
      <c r="H721" s="42"/>
      <c r="I721" s="42"/>
      <c r="J721" s="42"/>
      <c r="K721" s="42"/>
      <c r="L721" s="42"/>
      <c r="M721" s="42"/>
      <c r="N721" s="42"/>
      <c r="O721" s="42"/>
      <c r="P721" s="42"/>
      <c r="Q721" s="42"/>
      <c r="R721" s="42"/>
      <c r="S721" s="42"/>
      <c r="T721" s="42"/>
      <c r="U721" s="42"/>
    </row>
    <row r="723" spans="2:23" ht="18.75" customHeight="1">
      <c r="B723" s="43" t="s">
        <v>163</v>
      </c>
      <c r="C723" s="51" t="s">
        <v>3979</v>
      </c>
      <c r="D723" s="100"/>
      <c r="W723" s="35" t="str">
        <f>"-- "&amp;B723&amp;" : "&amp;C723</f>
        <v>-- SQL_ID : 01_A6-23</v>
      </c>
    </row>
    <row r="724" spans="2:23" ht="18.75" customHeight="1">
      <c r="B724" s="43" t="s">
        <v>158</v>
      </c>
      <c r="C724" s="147" t="str">
        <f>R727&amp;"登録"</f>
        <v>バックアップ_MML_検歴情報モジュール_検査項目コメント登録</v>
      </c>
      <c r="D724" s="148"/>
      <c r="E724" s="148"/>
      <c r="F724" s="148"/>
      <c r="G724" s="148"/>
      <c r="H724" s="148"/>
      <c r="I724" s="148"/>
      <c r="J724" s="148"/>
      <c r="K724" s="148"/>
      <c r="L724" s="148"/>
      <c r="M724" s="148"/>
      <c r="N724" s="148"/>
      <c r="O724" s="148"/>
      <c r="P724" s="148"/>
      <c r="Q724" s="148"/>
      <c r="R724" s="148"/>
      <c r="S724" s="148"/>
      <c r="T724" s="148"/>
      <c r="U724" s="149"/>
      <c r="W724" s="35" t="str">
        <f>"-- "&amp;C724</f>
        <v>-- バックアップ_MML_検歴情報モジュール_検査項目コメント登録</v>
      </c>
    </row>
    <row r="725" spans="2:23" ht="18.75" customHeight="1">
      <c r="B725" s="43" t="s">
        <v>159</v>
      </c>
      <c r="C725" s="136" t="str">
        <f>C727&amp;"テーブルから名古屋第一の条件で絞り込んだ結果を"&amp;R727&amp;"テーブルに格納する。"</f>
        <v>MML_検歴情報モジュール_検査項目コメントテーブルから名古屋第一の条件で絞り込んだ結果をバックアップ_MML_検歴情報モジュール_検査項目コメントテーブルに格納する。</v>
      </c>
      <c r="D725" s="137"/>
      <c r="E725" s="137"/>
      <c r="F725" s="137"/>
      <c r="G725" s="137"/>
      <c r="H725" s="137"/>
      <c r="I725" s="137"/>
      <c r="J725" s="137"/>
      <c r="K725" s="137"/>
      <c r="L725" s="137"/>
      <c r="M725" s="137"/>
      <c r="N725" s="137"/>
      <c r="O725" s="137"/>
      <c r="P725" s="137"/>
      <c r="Q725" s="137"/>
      <c r="R725" s="137"/>
      <c r="S725" s="137"/>
      <c r="T725" s="137"/>
      <c r="U725" s="138"/>
      <c r="W725" s="35" t="str">
        <f>"-- "&amp;C725</f>
        <v>-- MML_検歴情報モジュール_検査項目コメントテーブルから名古屋第一の条件で絞り込んだ結果をバックアップ_MML_検歴情報モジュール_検査項目コメントテーブルに格納する。</v>
      </c>
    </row>
    <row r="727" spans="2:23" ht="18.75" customHeight="1">
      <c r="C727" s="139" t="s">
        <v>3980</v>
      </c>
      <c r="D727" s="140"/>
      <c r="E727" s="143" t="s">
        <v>162</v>
      </c>
      <c r="F727" s="36"/>
      <c r="G727" s="36"/>
      <c r="H727" s="36"/>
      <c r="I727" s="36"/>
      <c r="J727" s="36"/>
      <c r="M727" s="36"/>
      <c r="N727" s="36"/>
      <c r="O727" s="36"/>
      <c r="P727" s="36"/>
      <c r="Q727" s="36"/>
      <c r="R727" s="150" t="str">
        <f>"バックアップ_"&amp;SUBSTITUTE(C727,"_結合","")</f>
        <v>バックアップ_MML_検歴情報モジュール_検査項目コメント</v>
      </c>
      <c r="S727" s="151"/>
      <c r="T727" s="145" t="str">
        <f>エンティティ一覧!$O$2</f>
        <v>milscm_2023_009</v>
      </c>
    </row>
    <row r="728" spans="2:23" ht="18.75" customHeight="1">
      <c r="C728" s="141"/>
      <c r="D728" s="142"/>
      <c r="E728" s="144"/>
      <c r="F728" s="37"/>
      <c r="G728" s="37"/>
      <c r="H728" s="37"/>
      <c r="I728" s="37"/>
      <c r="J728" s="37"/>
      <c r="K728" s="37"/>
      <c r="L728" s="37"/>
      <c r="M728" s="37"/>
      <c r="N728" s="37"/>
      <c r="O728" s="37"/>
      <c r="P728" s="37"/>
      <c r="Q728" s="37"/>
      <c r="R728" s="152"/>
      <c r="S728" s="153"/>
      <c r="T728" s="146"/>
    </row>
    <row r="729" spans="2:23" ht="18.75" customHeight="1">
      <c r="K729" s="39"/>
      <c r="L729" s="101"/>
    </row>
    <row r="730" spans="2:23" ht="18.75" customHeight="1" thickBot="1">
      <c r="B730" s="42"/>
      <c r="C730" s="42"/>
      <c r="D730" s="42"/>
      <c r="E730" s="42"/>
      <c r="F730" s="42"/>
      <c r="G730" s="42"/>
      <c r="H730" s="42"/>
      <c r="I730" s="42"/>
      <c r="J730" s="42"/>
      <c r="K730" s="42"/>
      <c r="L730" s="42"/>
      <c r="M730" s="42"/>
      <c r="N730" s="42"/>
      <c r="O730" s="42"/>
      <c r="P730" s="42"/>
      <c r="Q730" s="42"/>
      <c r="R730" s="42"/>
      <c r="S730" s="42"/>
      <c r="T730" s="42"/>
      <c r="U730" s="42"/>
    </row>
    <row r="732" spans="2:23" ht="18.75" customHeight="1">
      <c r="B732" s="43" t="s">
        <v>163</v>
      </c>
      <c r="C732" s="51" t="s">
        <v>3609</v>
      </c>
      <c r="D732" s="88"/>
      <c r="W732" s="35" t="str">
        <f>"-- "&amp;B732&amp;" : "&amp;C732</f>
        <v>-- SQL_ID : 01_A6-24</v>
      </c>
    </row>
    <row r="733" spans="2:23" ht="18.75" customHeight="1">
      <c r="B733" s="43" t="s">
        <v>158</v>
      </c>
      <c r="C733" s="147" t="str">
        <f>R736&amp;"登録"</f>
        <v>バックアップ_MML_処方箋モジュール_本文登録</v>
      </c>
      <c r="D733" s="148"/>
      <c r="E733" s="148"/>
      <c r="F733" s="148"/>
      <c r="G733" s="148"/>
      <c r="H733" s="148"/>
      <c r="I733" s="148"/>
      <c r="J733" s="148"/>
      <c r="K733" s="148"/>
      <c r="L733" s="148"/>
      <c r="M733" s="148"/>
      <c r="N733" s="148"/>
      <c r="O733" s="148"/>
      <c r="P733" s="148"/>
      <c r="Q733" s="148"/>
      <c r="R733" s="148"/>
      <c r="S733" s="148"/>
      <c r="T733" s="148"/>
      <c r="U733" s="149"/>
      <c r="W733" s="35" t="str">
        <f>"-- "&amp;C733</f>
        <v>-- バックアップ_MML_処方箋モジュール_本文登録</v>
      </c>
    </row>
    <row r="734" spans="2:23" ht="18.75" customHeight="1">
      <c r="B734" s="43" t="s">
        <v>159</v>
      </c>
      <c r="C734" s="136" t="str">
        <f>C736&amp;"テーブルから組入れ条件の第一条件で絞り込んだ結果を"&amp;R736&amp;"テーブルに格納する。"</f>
        <v>MML_処方箋モジュール_本文テーブルから組入れ条件の第一条件で絞り込んだ結果をバックアップ_MML_処方箋モジュール_本文テーブルに格納する。</v>
      </c>
      <c r="D734" s="137"/>
      <c r="E734" s="137"/>
      <c r="F734" s="137"/>
      <c r="G734" s="137"/>
      <c r="H734" s="137"/>
      <c r="I734" s="137"/>
      <c r="J734" s="137"/>
      <c r="K734" s="137"/>
      <c r="L734" s="137"/>
      <c r="M734" s="137"/>
      <c r="N734" s="137"/>
      <c r="O734" s="137"/>
      <c r="P734" s="137"/>
      <c r="Q734" s="137"/>
      <c r="R734" s="137"/>
      <c r="S734" s="137"/>
      <c r="T734" s="137"/>
      <c r="U734" s="138"/>
      <c r="W734" s="35" t="str">
        <f>"-- "&amp;C734</f>
        <v>-- MML_処方箋モジュール_本文テーブルから組入れ条件の第一条件で絞り込んだ結果をバックアップ_MML_処方箋モジュール_本文テーブルに格納する。</v>
      </c>
    </row>
    <row r="736" spans="2:23" ht="18.75" customHeight="1">
      <c r="C736" s="139" t="s">
        <v>3610</v>
      </c>
      <c r="D736" s="140"/>
      <c r="E736" s="143" t="s">
        <v>162</v>
      </c>
      <c r="H736" s="36"/>
      <c r="I736" s="36"/>
      <c r="J736" s="36"/>
      <c r="K736" s="36"/>
      <c r="L736" s="36"/>
      <c r="M736" s="36"/>
      <c r="N736" s="36"/>
      <c r="O736" s="36"/>
      <c r="P736" s="36"/>
      <c r="Q736" s="36"/>
      <c r="R736" s="139" t="str">
        <f>"バックアップ_"&amp;SUBSTITUTE(C736,"_結合","")</f>
        <v>バックアップ_MML_処方箋モジュール_本文</v>
      </c>
      <c r="S736" s="140"/>
      <c r="T736" s="145" t="str">
        <f>エンティティ一覧!$O$2</f>
        <v>milscm_2023_009</v>
      </c>
    </row>
    <row r="737" spans="2:23" ht="18.75" customHeight="1">
      <c r="C737" s="141"/>
      <c r="D737" s="142"/>
      <c r="E737" s="144"/>
      <c r="F737" s="37"/>
      <c r="G737" s="38"/>
      <c r="H737" s="37"/>
      <c r="I737" s="37"/>
      <c r="J737" s="37"/>
      <c r="K737" s="37"/>
      <c r="L737" s="37"/>
      <c r="M737" s="37"/>
      <c r="N737" s="37"/>
      <c r="O737" s="37"/>
      <c r="P737" s="37"/>
      <c r="Q737" s="37"/>
      <c r="R737" s="141"/>
      <c r="S737" s="142"/>
      <c r="T737" s="146"/>
    </row>
    <row r="738" spans="2:23" ht="18.75" customHeight="1">
      <c r="F738" s="39"/>
      <c r="G738" s="40"/>
    </row>
    <row r="739" spans="2:23" ht="18.75" customHeight="1">
      <c r="C739" s="139" t="s">
        <v>3181</v>
      </c>
      <c r="D739" s="140"/>
      <c r="E739" s="145" t="str">
        <f>エンティティ一覧!$O$2</f>
        <v>milscm_2023_009</v>
      </c>
      <c r="G739" s="41"/>
    </row>
    <row r="740" spans="2:23" ht="18.75" customHeight="1">
      <c r="C740" s="141"/>
      <c r="D740" s="142"/>
      <c r="E740" s="146"/>
      <c r="F740" s="37"/>
    </row>
    <row r="742" spans="2:23" ht="18.75" customHeight="1" thickBot="1">
      <c r="B742" s="42"/>
      <c r="C742" s="42"/>
      <c r="D742" s="42"/>
      <c r="E742" s="42"/>
      <c r="F742" s="42"/>
      <c r="G742" s="42"/>
      <c r="H742" s="42"/>
      <c r="I742" s="42"/>
      <c r="J742" s="42"/>
      <c r="K742" s="42"/>
      <c r="L742" s="42"/>
      <c r="M742" s="42"/>
      <c r="N742" s="42"/>
      <c r="O742" s="42"/>
      <c r="P742" s="42"/>
      <c r="Q742" s="42"/>
      <c r="R742" s="42"/>
      <c r="S742" s="42"/>
      <c r="T742" s="42"/>
      <c r="U742" s="42"/>
    </row>
    <row r="744" spans="2:23" ht="18.75" customHeight="1">
      <c r="B744" s="43" t="s">
        <v>163</v>
      </c>
      <c r="C744" s="51" t="s">
        <v>3611</v>
      </c>
      <c r="D744" s="88"/>
      <c r="W744" s="35" t="str">
        <f>"-- "&amp;B744&amp;" : "&amp;C744</f>
        <v>-- SQL_ID : 01_A6-25</v>
      </c>
    </row>
    <row r="745" spans="2:23" ht="18.75" customHeight="1">
      <c r="B745" s="43" t="s">
        <v>158</v>
      </c>
      <c r="C745" s="147" t="str">
        <f>R748&amp;"登録"</f>
        <v>バックアップ_MML_処方箋モジュール_投薬登録</v>
      </c>
      <c r="D745" s="148"/>
      <c r="E745" s="148"/>
      <c r="F745" s="148"/>
      <c r="G745" s="148"/>
      <c r="H745" s="148"/>
      <c r="I745" s="148"/>
      <c r="J745" s="148"/>
      <c r="K745" s="148"/>
      <c r="L745" s="148"/>
      <c r="M745" s="148"/>
      <c r="N745" s="148"/>
      <c r="O745" s="148"/>
      <c r="P745" s="148"/>
      <c r="Q745" s="148"/>
      <c r="R745" s="148"/>
      <c r="S745" s="148"/>
      <c r="T745" s="148"/>
      <c r="U745" s="149"/>
      <c r="W745" s="35" t="str">
        <f>"-- "&amp;C745</f>
        <v>-- バックアップ_MML_処方箋モジュール_投薬登録</v>
      </c>
    </row>
    <row r="746" spans="2:23" ht="18.75" customHeight="1">
      <c r="B746" s="43" t="s">
        <v>159</v>
      </c>
      <c r="C746" s="136" t="str">
        <f>C748&amp;"テーブルから組入れ条件の第一条件で絞り込んだ結果を"&amp;R748&amp;"テーブルに格納する。"</f>
        <v>MML_処方箋モジュール_投薬テーブルから組入れ条件の第一条件で絞り込んだ結果をバックアップ_MML_処方箋モジュール_投薬テーブルに格納する。</v>
      </c>
      <c r="D746" s="137"/>
      <c r="E746" s="137"/>
      <c r="F746" s="137"/>
      <c r="G746" s="137"/>
      <c r="H746" s="137"/>
      <c r="I746" s="137"/>
      <c r="J746" s="137"/>
      <c r="K746" s="137"/>
      <c r="L746" s="137"/>
      <c r="M746" s="137"/>
      <c r="N746" s="137"/>
      <c r="O746" s="137"/>
      <c r="P746" s="137"/>
      <c r="Q746" s="137"/>
      <c r="R746" s="137"/>
      <c r="S746" s="137"/>
      <c r="T746" s="137"/>
      <c r="U746" s="138"/>
      <c r="W746" s="35" t="str">
        <f>"-- "&amp;C746</f>
        <v>-- MML_処方箋モジュール_投薬テーブルから組入れ条件の第一条件で絞り込んだ結果をバックアップ_MML_処方箋モジュール_投薬テーブルに格納する。</v>
      </c>
    </row>
    <row r="748" spans="2:23" ht="18.75" customHeight="1">
      <c r="C748" s="139" t="s">
        <v>3612</v>
      </c>
      <c r="D748" s="140"/>
      <c r="E748" s="143" t="s">
        <v>162</v>
      </c>
      <c r="H748" s="36"/>
      <c r="I748" s="36"/>
      <c r="J748" s="36"/>
      <c r="K748" s="36"/>
      <c r="L748" s="36"/>
      <c r="M748" s="36"/>
      <c r="N748" s="36"/>
      <c r="O748" s="36"/>
      <c r="P748" s="36"/>
      <c r="Q748" s="36"/>
      <c r="R748" s="139" t="str">
        <f>"バックアップ_"&amp;SUBSTITUTE(C748,"_結合","")</f>
        <v>バックアップ_MML_処方箋モジュール_投薬</v>
      </c>
      <c r="S748" s="140"/>
      <c r="T748" s="145" t="str">
        <f>エンティティ一覧!$O$2</f>
        <v>milscm_2023_009</v>
      </c>
    </row>
    <row r="749" spans="2:23" ht="18.75" customHeight="1">
      <c r="C749" s="141"/>
      <c r="D749" s="142"/>
      <c r="E749" s="144"/>
      <c r="F749" s="37"/>
      <c r="G749" s="38"/>
      <c r="H749" s="37"/>
      <c r="I749" s="37"/>
      <c r="J749" s="37"/>
      <c r="K749" s="37"/>
      <c r="L749" s="37"/>
      <c r="M749" s="37"/>
      <c r="N749" s="37"/>
      <c r="O749" s="37"/>
      <c r="P749" s="37"/>
      <c r="Q749" s="37"/>
      <c r="R749" s="141"/>
      <c r="S749" s="142"/>
      <c r="T749" s="146"/>
    </row>
    <row r="750" spans="2:23" ht="18.75" customHeight="1">
      <c r="F750" s="39"/>
      <c r="G750" s="40"/>
    </row>
    <row r="751" spans="2:23" ht="18.75" customHeight="1">
      <c r="C751" s="139" t="s">
        <v>3181</v>
      </c>
      <c r="D751" s="140"/>
      <c r="E751" s="145" t="str">
        <f>エンティティ一覧!$O$2</f>
        <v>milscm_2023_009</v>
      </c>
      <c r="G751" s="41"/>
    </row>
    <row r="752" spans="2:23" ht="18.75" customHeight="1">
      <c r="C752" s="141"/>
      <c r="D752" s="142"/>
      <c r="E752" s="146"/>
      <c r="F752" s="37"/>
    </row>
    <row r="754" spans="2:23" ht="18.75" customHeight="1" thickBot="1">
      <c r="B754" s="42"/>
      <c r="C754" s="42"/>
      <c r="D754" s="42"/>
      <c r="E754" s="42"/>
      <c r="F754" s="42"/>
      <c r="G754" s="42"/>
      <c r="H754" s="42"/>
      <c r="I754" s="42"/>
      <c r="J754" s="42"/>
      <c r="K754" s="42"/>
      <c r="L754" s="42"/>
      <c r="M754" s="42"/>
      <c r="N754" s="42"/>
      <c r="O754" s="42"/>
      <c r="P754" s="42"/>
      <c r="Q754" s="42"/>
      <c r="R754" s="42"/>
      <c r="S754" s="42"/>
      <c r="T754" s="42"/>
      <c r="U754" s="42"/>
    </row>
    <row r="756" spans="2:23" ht="18.75" customHeight="1">
      <c r="B756" s="43" t="s">
        <v>163</v>
      </c>
      <c r="C756" s="51" t="s">
        <v>3613</v>
      </c>
      <c r="D756" s="88"/>
      <c r="W756" s="35" t="str">
        <f>"-- "&amp;B756&amp;" : "&amp;C756</f>
        <v>-- SQL_ID : 01_A6-26</v>
      </c>
    </row>
    <row r="757" spans="2:23" ht="18.75" customHeight="1">
      <c r="B757" s="43" t="s">
        <v>158</v>
      </c>
      <c r="C757" s="147" t="str">
        <f>R760&amp;"登録"</f>
        <v>バックアップ_MML_処方箋モジュール_薬剤登録</v>
      </c>
      <c r="D757" s="148"/>
      <c r="E757" s="148"/>
      <c r="F757" s="148"/>
      <c r="G757" s="148"/>
      <c r="H757" s="148"/>
      <c r="I757" s="148"/>
      <c r="J757" s="148"/>
      <c r="K757" s="148"/>
      <c r="L757" s="148"/>
      <c r="M757" s="148"/>
      <c r="N757" s="148"/>
      <c r="O757" s="148"/>
      <c r="P757" s="148"/>
      <c r="Q757" s="148"/>
      <c r="R757" s="148"/>
      <c r="S757" s="148"/>
      <c r="T757" s="148"/>
      <c r="U757" s="149"/>
      <c r="W757" s="35" t="str">
        <f>"-- "&amp;C757</f>
        <v>-- バックアップ_MML_処方箋モジュール_薬剤登録</v>
      </c>
    </row>
    <row r="758" spans="2:23" ht="18.75" customHeight="1">
      <c r="B758" s="43" t="s">
        <v>159</v>
      </c>
      <c r="C758" s="136" t="str">
        <f>C760&amp;"テーブルから組入れ条件の第一条件で絞り込んだ結果を"&amp;R760&amp;"テーブルに格納する。"</f>
        <v>MML_処方箋モジュール_薬剤テーブルから組入れ条件の第一条件で絞り込んだ結果をバックアップ_MML_処方箋モジュール_薬剤テーブルに格納する。</v>
      </c>
      <c r="D758" s="137"/>
      <c r="E758" s="137"/>
      <c r="F758" s="137"/>
      <c r="G758" s="137"/>
      <c r="H758" s="137"/>
      <c r="I758" s="137"/>
      <c r="J758" s="137"/>
      <c r="K758" s="137"/>
      <c r="L758" s="137"/>
      <c r="M758" s="137"/>
      <c r="N758" s="137"/>
      <c r="O758" s="137"/>
      <c r="P758" s="137"/>
      <c r="Q758" s="137"/>
      <c r="R758" s="137"/>
      <c r="S758" s="137"/>
      <c r="T758" s="137"/>
      <c r="U758" s="138"/>
      <c r="W758" s="35" t="str">
        <f>"-- "&amp;C758</f>
        <v>-- MML_処方箋モジュール_薬剤テーブルから組入れ条件の第一条件で絞り込んだ結果をバックアップ_MML_処方箋モジュール_薬剤テーブルに格納する。</v>
      </c>
    </row>
    <row r="760" spans="2:23" ht="18.75" customHeight="1">
      <c r="C760" s="139" t="s">
        <v>3614</v>
      </c>
      <c r="D760" s="140"/>
      <c r="E760" s="143" t="s">
        <v>162</v>
      </c>
      <c r="H760" s="36"/>
      <c r="I760" s="36"/>
      <c r="J760" s="36"/>
      <c r="K760" s="36"/>
      <c r="L760" s="36"/>
      <c r="M760" s="36"/>
      <c r="N760" s="36"/>
      <c r="O760" s="36"/>
      <c r="P760" s="36"/>
      <c r="Q760" s="36"/>
      <c r="R760" s="139" t="str">
        <f>"バックアップ_"&amp;SUBSTITUTE(C760,"_結合","")</f>
        <v>バックアップ_MML_処方箋モジュール_薬剤</v>
      </c>
      <c r="S760" s="140"/>
      <c r="T760" s="145" t="str">
        <f>エンティティ一覧!$O$2</f>
        <v>milscm_2023_009</v>
      </c>
    </row>
    <row r="761" spans="2:23" ht="18.75" customHeight="1">
      <c r="C761" s="141"/>
      <c r="D761" s="142"/>
      <c r="E761" s="144"/>
      <c r="F761" s="37"/>
      <c r="G761" s="38"/>
      <c r="H761" s="37"/>
      <c r="I761" s="37"/>
      <c r="J761" s="37"/>
      <c r="K761" s="37"/>
      <c r="L761" s="37"/>
      <c r="M761" s="37"/>
      <c r="N761" s="37"/>
      <c r="O761" s="37"/>
      <c r="P761" s="37"/>
      <c r="Q761" s="37"/>
      <c r="R761" s="141"/>
      <c r="S761" s="142"/>
      <c r="T761" s="146"/>
    </row>
    <row r="762" spans="2:23" ht="18.75" customHeight="1">
      <c r="F762" s="39"/>
      <c r="G762" s="40"/>
    </row>
    <row r="763" spans="2:23" ht="18.75" customHeight="1">
      <c r="C763" s="139" t="s">
        <v>3181</v>
      </c>
      <c r="D763" s="140"/>
      <c r="E763" s="145" t="str">
        <f>エンティティ一覧!$O$2</f>
        <v>milscm_2023_009</v>
      </c>
      <c r="G763" s="41"/>
    </row>
    <row r="764" spans="2:23" ht="18.75" customHeight="1">
      <c r="C764" s="141"/>
      <c r="D764" s="142"/>
      <c r="E764" s="146"/>
      <c r="F764" s="37"/>
    </row>
    <row r="766" spans="2:23" ht="18.75" customHeight="1" thickBot="1">
      <c r="B766" s="42"/>
      <c r="C766" s="42"/>
      <c r="D766" s="42"/>
      <c r="E766" s="42"/>
      <c r="F766" s="42"/>
      <c r="G766" s="42"/>
      <c r="H766" s="42"/>
      <c r="I766" s="42"/>
      <c r="J766" s="42"/>
      <c r="K766" s="42"/>
      <c r="L766" s="42"/>
      <c r="M766" s="42"/>
      <c r="N766" s="42"/>
      <c r="O766" s="42"/>
      <c r="P766" s="42"/>
      <c r="Q766" s="42"/>
      <c r="R766" s="42"/>
      <c r="S766" s="42"/>
      <c r="T766" s="42"/>
      <c r="U766" s="42"/>
    </row>
    <row r="768" spans="2:23" ht="18.75" customHeight="1">
      <c r="B768" s="43" t="s">
        <v>163</v>
      </c>
      <c r="C768" s="51" t="s">
        <v>3615</v>
      </c>
      <c r="D768" s="88"/>
      <c r="W768" s="35" t="str">
        <f>"-- "&amp;B768&amp;" : "&amp;C768</f>
        <v>-- SQL_ID : 01_A6-27</v>
      </c>
    </row>
    <row r="769" spans="2:23" ht="18.75" customHeight="1">
      <c r="B769" s="43" t="s">
        <v>158</v>
      </c>
      <c r="C769" s="147" t="str">
        <f>R772&amp;"登録"</f>
        <v>バックアップ_MML_注射記録モジュール_本文登録</v>
      </c>
      <c r="D769" s="148"/>
      <c r="E769" s="148"/>
      <c r="F769" s="148"/>
      <c r="G769" s="148"/>
      <c r="H769" s="148"/>
      <c r="I769" s="148"/>
      <c r="J769" s="148"/>
      <c r="K769" s="148"/>
      <c r="L769" s="148"/>
      <c r="M769" s="148"/>
      <c r="N769" s="148"/>
      <c r="O769" s="148"/>
      <c r="P769" s="148"/>
      <c r="Q769" s="148"/>
      <c r="R769" s="148"/>
      <c r="S769" s="148"/>
      <c r="T769" s="148"/>
      <c r="U769" s="149"/>
      <c r="W769" s="35" t="str">
        <f>"-- "&amp;C769</f>
        <v>-- バックアップ_MML_注射記録モジュール_本文登録</v>
      </c>
    </row>
    <row r="770" spans="2:23" ht="18.75" customHeight="1">
      <c r="B770" s="43" t="s">
        <v>159</v>
      </c>
      <c r="C770" s="136" t="str">
        <f>C772&amp;"テーブルから組入れ条件の第一条件で絞り込んだ結果を"&amp;R772&amp;"テーブルに格納する。"</f>
        <v>MML_注射記録モジュール_本文テーブルから組入れ条件の第一条件で絞り込んだ結果をバックアップ_MML_注射記録モジュール_本文テーブルに格納する。</v>
      </c>
      <c r="D770" s="137"/>
      <c r="E770" s="137"/>
      <c r="F770" s="137"/>
      <c r="G770" s="137"/>
      <c r="H770" s="137"/>
      <c r="I770" s="137"/>
      <c r="J770" s="137"/>
      <c r="K770" s="137"/>
      <c r="L770" s="137"/>
      <c r="M770" s="137"/>
      <c r="N770" s="137"/>
      <c r="O770" s="137"/>
      <c r="P770" s="137"/>
      <c r="Q770" s="137"/>
      <c r="R770" s="137"/>
      <c r="S770" s="137"/>
      <c r="T770" s="137"/>
      <c r="U770" s="138"/>
      <c r="W770" s="35" t="str">
        <f>"-- "&amp;C770</f>
        <v>-- MML_注射記録モジュール_本文テーブルから組入れ条件の第一条件で絞り込んだ結果をバックアップ_MML_注射記録モジュール_本文テーブルに格納する。</v>
      </c>
    </row>
    <row r="772" spans="2:23" ht="18.75" customHeight="1">
      <c r="C772" s="139" t="s">
        <v>3616</v>
      </c>
      <c r="D772" s="140"/>
      <c r="E772" s="143" t="s">
        <v>162</v>
      </c>
      <c r="H772" s="36"/>
      <c r="I772" s="36"/>
      <c r="J772" s="36"/>
      <c r="K772" s="36"/>
      <c r="L772" s="36"/>
      <c r="M772" s="36"/>
      <c r="N772" s="36"/>
      <c r="O772" s="36"/>
      <c r="P772" s="36"/>
      <c r="Q772" s="36"/>
      <c r="R772" s="139" t="str">
        <f>"バックアップ_"&amp;SUBSTITUTE(C772,"_結合","")</f>
        <v>バックアップ_MML_注射記録モジュール_本文</v>
      </c>
      <c r="S772" s="140"/>
      <c r="T772" s="145" t="str">
        <f>エンティティ一覧!$O$2</f>
        <v>milscm_2023_009</v>
      </c>
    </row>
    <row r="773" spans="2:23" ht="18.75" customHeight="1">
      <c r="C773" s="141"/>
      <c r="D773" s="142"/>
      <c r="E773" s="144"/>
      <c r="F773" s="37"/>
      <c r="G773" s="38"/>
      <c r="H773" s="37"/>
      <c r="I773" s="37"/>
      <c r="J773" s="37"/>
      <c r="K773" s="37"/>
      <c r="L773" s="37"/>
      <c r="M773" s="37"/>
      <c r="N773" s="37"/>
      <c r="O773" s="37"/>
      <c r="P773" s="37"/>
      <c r="Q773" s="37"/>
      <c r="R773" s="141"/>
      <c r="S773" s="142"/>
      <c r="T773" s="146"/>
    </row>
    <row r="774" spans="2:23" ht="18.75" customHeight="1">
      <c r="F774" s="39"/>
      <c r="G774" s="40"/>
    </row>
    <row r="775" spans="2:23" ht="18.75" customHeight="1">
      <c r="C775" s="139" t="s">
        <v>3181</v>
      </c>
      <c r="D775" s="140"/>
      <c r="E775" s="145" t="str">
        <f>エンティティ一覧!$O$2</f>
        <v>milscm_2023_009</v>
      </c>
      <c r="G775" s="41"/>
    </row>
    <row r="776" spans="2:23" ht="18.75" customHeight="1">
      <c r="C776" s="141"/>
      <c r="D776" s="142"/>
      <c r="E776" s="146"/>
      <c r="F776" s="37"/>
    </row>
    <row r="778" spans="2:23" ht="18.75" customHeight="1" thickBot="1">
      <c r="B778" s="42"/>
      <c r="C778" s="42"/>
      <c r="D778" s="42"/>
      <c r="E778" s="42"/>
      <c r="F778" s="42"/>
      <c r="G778" s="42"/>
      <c r="H778" s="42"/>
      <c r="I778" s="42"/>
      <c r="J778" s="42"/>
      <c r="K778" s="42"/>
      <c r="L778" s="42"/>
      <c r="M778" s="42"/>
      <c r="N778" s="42"/>
      <c r="O778" s="42"/>
      <c r="P778" s="42"/>
      <c r="Q778" s="42"/>
      <c r="R778" s="42"/>
      <c r="S778" s="42"/>
      <c r="T778" s="42"/>
      <c r="U778" s="42"/>
    </row>
    <row r="780" spans="2:23" ht="18.75" customHeight="1">
      <c r="B780" s="43" t="s">
        <v>163</v>
      </c>
      <c r="C780" s="51" t="s">
        <v>3617</v>
      </c>
      <c r="D780" s="88"/>
      <c r="W780" s="35" t="str">
        <f>"-- "&amp;B780&amp;" : "&amp;C780</f>
        <v>-- SQL_ID : 01_A6-28</v>
      </c>
    </row>
    <row r="781" spans="2:23" ht="18.75" customHeight="1">
      <c r="B781" s="43" t="s">
        <v>158</v>
      </c>
      <c r="C781" s="147" t="str">
        <f>R784&amp;"登録"</f>
        <v>バックアップ_MML_注射記録モジュール_投薬登録</v>
      </c>
      <c r="D781" s="148"/>
      <c r="E781" s="148"/>
      <c r="F781" s="148"/>
      <c r="G781" s="148"/>
      <c r="H781" s="148"/>
      <c r="I781" s="148"/>
      <c r="J781" s="148"/>
      <c r="K781" s="148"/>
      <c r="L781" s="148"/>
      <c r="M781" s="148"/>
      <c r="N781" s="148"/>
      <c r="O781" s="148"/>
      <c r="P781" s="148"/>
      <c r="Q781" s="148"/>
      <c r="R781" s="148"/>
      <c r="S781" s="148"/>
      <c r="T781" s="148"/>
      <c r="U781" s="149"/>
      <c r="W781" s="35" t="str">
        <f>"-- "&amp;C781</f>
        <v>-- バックアップ_MML_注射記録モジュール_投薬登録</v>
      </c>
    </row>
    <row r="782" spans="2:23" ht="18.75" customHeight="1">
      <c r="B782" s="43" t="s">
        <v>159</v>
      </c>
      <c r="C782" s="136" t="str">
        <f>C784&amp;"テーブルから組入れ条件の第一条件で絞り込んだ結果を"&amp;R784&amp;"テーブルに格納する。"</f>
        <v>MML_注射記録モジュール_投薬テーブルから組入れ条件の第一条件で絞り込んだ結果をバックアップ_MML_注射記録モジュール_投薬テーブルに格納する。</v>
      </c>
      <c r="D782" s="137"/>
      <c r="E782" s="137"/>
      <c r="F782" s="137"/>
      <c r="G782" s="137"/>
      <c r="H782" s="137"/>
      <c r="I782" s="137"/>
      <c r="J782" s="137"/>
      <c r="K782" s="137"/>
      <c r="L782" s="137"/>
      <c r="M782" s="137"/>
      <c r="N782" s="137"/>
      <c r="O782" s="137"/>
      <c r="P782" s="137"/>
      <c r="Q782" s="137"/>
      <c r="R782" s="137"/>
      <c r="S782" s="137"/>
      <c r="T782" s="137"/>
      <c r="U782" s="138"/>
      <c r="W782" s="35" t="str">
        <f>"-- "&amp;C782</f>
        <v>-- MML_注射記録モジュール_投薬テーブルから組入れ条件の第一条件で絞り込んだ結果をバックアップ_MML_注射記録モジュール_投薬テーブルに格納する。</v>
      </c>
    </row>
    <row r="784" spans="2:23" ht="18.75" customHeight="1">
      <c r="C784" s="139" t="s">
        <v>3618</v>
      </c>
      <c r="D784" s="140"/>
      <c r="E784" s="143" t="s">
        <v>162</v>
      </c>
      <c r="H784" s="36"/>
      <c r="I784" s="36"/>
      <c r="J784" s="36"/>
      <c r="K784" s="36"/>
      <c r="L784" s="36"/>
      <c r="M784" s="36"/>
      <c r="N784" s="36"/>
      <c r="O784" s="36"/>
      <c r="P784" s="36"/>
      <c r="Q784" s="36"/>
      <c r="R784" s="139" t="str">
        <f>"バックアップ_"&amp;SUBSTITUTE(C784,"_結合","")</f>
        <v>バックアップ_MML_注射記録モジュール_投薬</v>
      </c>
      <c r="S784" s="140"/>
      <c r="T784" s="145" t="str">
        <f>エンティティ一覧!$O$2</f>
        <v>milscm_2023_009</v>
      </c>
    </row>
    <row r="785" spans="2:23" ht="18.75" customHeight="1">
      <c r="C785" s="141"/>
      <c r="D785" s="142"/>
      <c r="E785" s="144"/>
      <c r="F785" s="37"/>
      <c r="G785" s="38"/>
      <c r="H785" s="37"/>
      <c r="I785" s="37"/>
      <c r="J785" s="37"/>
      <c r="K785" s="37"/>
      <c r="L785" s="37"/>
      <c r="M785" s="37"/>
      <c r="N785" s="37"/>
      <c r="O785" s="37"/>
      <c r="P785" s="37"/>
      <c r="Q785" s="37"/>
      <c r="R785" s="141"/>
      <c r="S785" s="142"/>
      <c r="T785" s="146"/>
    </row>
    <row r="786" spans="2:23" ht="18.75" customHeight="1">
      <c r="F786" s="39"/>
      <c r="G786" s="40"/>
    </row>
    <row r="787" spans="2:23" ht="18.75" customHeight="1">
      <c r="C787" s="139" t="s">
        <v>3181</v>
      </c>
      <c r="D787" s="140"/>
      <c r="E787" s="145" t="str">
        <f>エンティティ一覧!$O$2</f>
        <v>milscm_2023_009</v>
      </c>
      <c r="G787" s="41"/>
    </row>
    <row r="788" spans="2:23" ht="18.75" customHeight="1">
      <c r="C788" s="141"/>
      <c r="D788" s="142"/>
      <c r="E788" s="146"/>
      <c r="F788" s="37"/>
    </row>
    <row r="790" spans="2:23" ht="18.75" customHeight="1" thickBot="1">
      <c r="B790" s="42"/>
      <c r="C790" s="42"/>
      <c r="D790" s="42"/>
      <c r="E790" s="42"/>
      <c r="F790" s="42"/>
      <c r="G790" s="42"/>
      <c r="H790" s="42"/>
      <c r="I790" s="42"/>
      <c r="J790" s="42"/>
      <c r="K790" s="42"/>
      <c r="L790" s="42"/>
      <c r="M790" s="42"/>
      <c r="N790" s="42"/>
      <c r="O790" s="42"/>
      <c r="P790" s="42"/>
      <c r="Q790" s="42"/>
      <c r="R790" s="42"/>
      <c r="S790" s="42"/>
      <c r="T790" s="42"/>
      <c r="U790" s="42"/>
    </row>
    <row r="792" spans="2:23" ht="18.75" customHeight="1">
      <c r="B792" s="43" t="s">
        <v>163</v>
      </c>
      <c r="C792" s="51" t="s">
        <v>3619</v>
      </c>
      <c r="D792" s="88"/>
      <c r="W792" s="35" t="str">
        <f>"-- "&amp;B792&amp;" : "&amp;C792</f>
        <v>-- SQL_ID : 01_A6-29</v>
      </c>
    </row>
    <row r="793" spans="2:23" ht="18.75" customHeight="1">
      <c r="B793" s="43" t="s">
        <v>158</v>
      </c>
      <c r="C793" s="147" t="str">
        <f>R796&amp;"登録"</f>
        <v>バックアップ_MML_注射記録モジュール_薬剤登録</v>
      </c>
      <c r="D793" s="148"/>
      <c r="E793" s="148"/>
      <c r="F793" s="148"/>
      <c r="G793" s="148"/>
      <c r="H793" s="148"/>
      <c r="I793" s="148"/>
      <c r="J793" s="148"/>
      <c r="K793" s="148"/>
      <c r="L793" s="148"/>
      <c r="M793" s="148"/>
      <c r="N793" s="148"/>
      <c r="O793" s="148"/>
      <c r="P793" s="148"/>
      <c r="Q793" s="148"/>
      <c r="R793" s="148"/>
      <c r="S793" s="148"/>
      <c r="T793" s="148"/>
      <c r="U793" s="149"/>
      <c r="W793" s="35" t="str">
        <f>"-- "&amp;C793</f>
        <v>-- バックアップ_MML_注射記録モジュール_薬剤登録</v>
      </c>
    </row>
    <row r="794" spans="2:23" ht="18.75" customHeight="1">
      <c r="B794" s="43" t="s">
        <v>159</v>
      </c>
      <c r="C794" s="136" t="str">
        <f>C796&amp;"テーブルから組入れ条件の第一条件で絞り込んだ結果を"&amp;R796&amp;"テーブルに格納する。"</f>
        <v>MML_注射記録モジュール_薬剤テーブルから組入れ条件の第一条件で絞り込んだ結果をバックアップ_MML_注射記録モジュール_薬剤テーブルに格納する。</v>
      </c>
      <c r="D794" s="137"/>
      <c r="E794" s="137"/>
      <c r="F794" s="137"/>
      <c r="G794" s="137"/>
      <c r="H794" s="137"/>
      <c r="I794" s="137"/>
      <c r="J794" s="137"/>
      <c r="K794" s="137"/>
      <c r="L794" s="137"/>
      <c r="M794" s="137"/>
      <c r="N794" s="137"/>
      <c r="O794" s="137"/>
      <c r="P794" s="137"/>
      <c r="Q794" s="137"/>
      <c r="R794" s="137"/>
      <c r="S794" s="137"/>
      <c r="T794" s="137"/>
      <c r="U794" s="138"/>
      <c r="W794" s="35" t="str">
        <f>"-- "&amp;C794</f>
        <v>-- MML_注射記録モジュール_薬剤テーブルから組入れ条件の第一条件で絞り込んだ結果をバックアップ_MML_注射記録モジュール_薬剤テーブルに格納する。</v>
      </c>
    </row>
    <row r="796" spans="2:23" ht="18.75" customHeight="1">
      <c r="C796" s="139" t="s">
        <v>3620</v>
      </c>
      <c r="D796" s="140"/>
      <c r="E796" s="143" t="s">
        <v>162</v>
      </c>
      <c r="H796" s="36"/>
      <c r="I796" s="36"/>
      <c r="J796" s="36"/>
      <c r="K796" s="36"/>
      <c r="L796" s="36"/>
      <c r="M796" s="36"/>
      <c r="N796" s="36"/>
      <c r="O796" s="36"/>
      <c r="P796" s="36"/>
      <c r="Q796" s="36"/>
      <c r="R796" s="139" t="str">
        <f>"バックアップ_"&amp;SUBSTITUTE(C796,"_結合","")</f>
        <v>バックアップ_MML_注射記録モジュール_薬剤</v>
      </c>
      <c r="S796" s="140"/>
      <c r="T796" s="145" t="str">
        <f>エンティティ一覧!$O$2</f>
        <v>milscm_2023_009</v>
      </c>
    </row>
    <row r="797" spans="2:23" ht="18.75" customHeight="1">
      <c r="C797" s="141"/>
      <c r="D797" s="142"/>
      <c r="E797" s="144"/>
      <c r="F797" s="37"/>
      <c r="G797" s="38"/>
      <c r="H797" s="37"/>
      <c r="I797" s="37"/>
      <c r="J797" s="37"/>
      <c r="K797" s="37"/>
      <c r="L797" s="37"/>
      <c r="M797" s="37"/>
      <c r="N797" s="37"/>
      <c r="O797" s="37"/>
      <c r="P797" s="37"/>
      <c r="Q797" s="37"/>
      <c r="R797" s="141"/>
      <c r="S797" s="142"/>
      <c r="T797" s="146"/>
    </row>
    <row r="798" spans="2:23" ht="18.75" customHeight="1">
      <c r="F798" s="39"/>
      <c r="G798" s="40"/>
    </row>
    <row r="799" spans="2:23" ht="18.75" customHeight="1">
      <c r="C799" s="139" t="s">
        <v>3181</v>
      </c>
      <c r="D799" s="140"/>
      <c r="E799" s="145" t="str">
        <f>エンティティ一覧!$O$2</f>
        <v>milscm_2023_009</v>
      </c>
      <c r="G799" s="41"/>
    </row>
    <row r="800" spans="2:23" ht="18.75" customHeight="1">
      <c r="C800" s="141"/>
      <c r="D800" s="142"/>
      <c r="E800" s="146"/>
      <c r="F800" s="37"/>
    </row>
    <row r="802" spans="2:23" ht="18.75" customHeight="1" thickBot="1">
      <c r="B802" s="42"/>
      <c r="C802" s="42"/>
      <c r="D802" s="42"/>
      <c r="E802" s="42"/>
      <c r="F802" s="42"/>
      <c r="G802" s="42"/>
      <c r="H802" s="42"/>
      <c r="I802" s="42"/>
      <c r="J802" s="42"/>
      <c r="K802" s="42"/>
      <c r="L802" s="42"/>
      <c r="M802" s="42"/>
      <c r="N802" s="42"/>
      <c r="O802" s="42"/>
      <c r="P802" s="42"/>
      <c r="Q802" s="42"/>
      <c r="R802" s="42"/>
      <c r="S802" s="42"/>
      <c r="T802" s="42"/>
      <c r="U802" s="42"/>
    </row>
    <row r="804" spans="2:23" ht="18.75" customHeight="1">
      <c r="B804" s="43" t="s">
        <v>163</v>
      </c>
      <c r="C804" s="51" t="s">
        <v>3621</v>
      </c>
      <c r="D804" s="88"/>
      <c r="W804" s="35" t="str">
        <f>"-- "&amp;B804&amp;" : "&amp;C804</f>
        <v>-- SQL_ID : 01_A6-42</v>
      </c>
    </row>
    <row r="805" spans="2:23" ht="18.75" customHeight="1">
      <c r="B805" s="43" t="s">
        <v>158</v>
      </c>
      <c r="C805" s="147" t="str">
        <f>R808&amp;"登録"</f>
        <v>バックアップ_MML_手術モジュール_手術項目登録</v>
      </c>
      <c r="D805" s="148"/>
      <c r="E805" s="148"/>
      <c r="F805" s="148"/>
      <c r="G805" s="148"/>
      <c r="H805" s="148"/>
      <c r="I805" s="148"/>
      <c r="J805" s="148"/>
      <c r="K805" s="148"/>
      <c r="L805" s="148"/>
      <c r="M805" s="148"/>
      <c r="N805" s="148"/>
      <c r="O805" s="148"/>
      <c r="P805" s="148"/>
      <c r="Q805" s="148"/>
      <c r="R805" s="148"/>
      <c r="S805" s="148"/>
      <c r="T805" s="148"/>
      <c r="U805" s="149"/>
      <c r="W805" s="35" t="str">
        <f>"-- "&amp;C805</f>
        <v>-- バックアップ_MML_手術モジュール_手術項目登録</v>
      </c>
    </row>
    <row r="806" spans="2:23" ht="18.75" customHeight="1">
      <c r="B806" s="43" t="s">
        <v>159</v>
      </c>
      <c r="C806" s="136" t="str">
        <f>C808&amp;"テーブルから組入れ条件の第一条件で絞り込んだ結果を"&amp;R808&amp;"テーブルに格納する。"</f>
        <v>MML_手術モジュール_手術項目テーブルから組入れ条件の第一条件で絞り込んだ結果をバックアップ_MML_手術モジュール_手術項目テーブルに格納する。</v>
      </c>
      <c r="D806" s="137"/>
      <c r="E806" s="137"/>
      <c r="F806" s="137"/>
      <c r="G806" s="137"/>
      <c r="H806" s="137"/>
      <c r="I806" s="137"/>
      <c r="J806" s="137"/>
      <c r="K806" s="137"/>
      <c r="L806" s="137"/>
      <c r="M806" s="137"/>
      <c r="N806" s="137"/>
      <c r="O806" s="137"/>
      <c r="P806" s="137"/>
      <c r="Q806" s="137"/>
      <c r="R806" s="137"/>
      <c r="S806" s="137"/>
      <c r="T806" s="137"/>
      <c r="U806" s="138"/>
      <c r="W806" s="35" t="str">
        <f>"-- "&amp;C806</f>
        <v>-- MML_手術モジュール_手術項目テーブルから組入れ条件の第一条件で絞り込んだ結果をバックアップ_MML_手術モジュール_手術項目テーブルに格納する。</v>
      </c>
    </row>
    <row r="808" spans="2:23" ht="18.75" customHeight="1">
      <c r="C808" s="139" t="s">
        <v>3622</v>
      </c>
      <c r="D808" s="140"/>
      <c r="E808" s="143" t="s">
        <v>162</v>
      </c>
      <c r="H808" s="36"/>
      <c r="I808" s="36"/>
      <c r="J808" s="36"/>
      <c r="K808" s="36"/>
      <c r="L808" s="36"/>
      <c r="M808" s="36"/>
      <c r="N808" s="36"/>
      <c r="O808" s="36"/>
      <c r="P808" s="36"/>
      <c r="Q808" s="36"/>
      <c r="R808" s="139" t="str">
        <f>"バックアップ_"&amp;SUBSTITUTE(C808,"_結合","")</f>
        <v>バックアップ_MML_手術モジュール_手術項目</v>
      </c>
      <c r="S808" s="140"/>
      <c r="T808" s="145" t="str">
        <f>エンティティ一覧!$O$2</f>
        <v>milscm_2023_009</v>
      </c>
    </row>
    <row r="809" spans="2:23" ht="18.75" customHeight="1">
      <c r="C809" s="141"/>
      <c r="D809" s="142"/>
      <c r="E809" s="144"/>
      <c r="F809" s="37"/>
      <c r="G809" s="38"/>
      <c r="H809" s="37"/>
      <c r="I809" s="37"/>
      <c r="J809" s="37"/>
      <c r="K809" s="37"/>
      <c r="L809" s="37"/>
      <c r="M809" s="37"/>
      <c r="N809" s="37"/>
      <c r="O809" s="37"/>
      <c r="P809" s="37"/>
      <c r="Q809" s="37"/>
      <c r="R809" s="141"/>
      <c r="S809" s="142"/>
      <c r="T809" s="146"/>
    </row>
    <row r="810" spans="2:23" ht="18.75" customHeight="1">
      <c r="F810" s="39"/>
      <c r="G810" s="40"/>
    </row>
    <row r="811" spans="2:23" ht="18.75" customHeight="1">
      <c r="C811" s="139" t="s">
        <v>3181</v>
      </c>
      <c r="D811" s="140"/>
      <c r="E811" s="145" t="str">
        <f>エンティティ一覧!$O$2</f>
        <v>milscm_2023_009</v>
      </c>
      <c r="G811" s="41"/>
    </row>
    <row r="812" spans="2:23" ht="18.75" customHeight="1">
      <c r="C812" s="141"/>
      <c r="D812" s="142"/>
      <c r="E812" s="146"/>
      <c r="F812" s="37"/>
    </row>
    <row r="814" spans="2:23" ht="18.75" customHeight="1" thickBot="1">
      <c r="B814" s="42"/>
      <c r="C814" s="42"/>
      <c r="D814" s="42"/>
      <c r="E814" s="42"/>
      <c r="F814" s="42"/>
      <c r="G814" s="42"/>
      <c r="H814" s="42"/>
      <c r="I814" s="42"/>
      <c r="J814" s="42"/>
      <c r="K814" s="42"/>
      <c r="L814" s="42"/>
      <c r="M814" s="42"/>
      <c r="N814" s="42"/>
      <c r="O814" s="42"/>
      <c r="P814" s="42"/>
      <c r="Q814" s="42"/>
      <c r="R814" s="42"/>
      <c r="S814" s="42"/>
      <c r="T814" s="42"/>
      <c r="U814" s="42"/>
    </row>
    <row r="816" spans="2:23" ht="18.75" customHeight="1">
      <c r="B816" s="43" t="s">
        <v>163</v>
      </c>
      <c r="C816" s="51" t="s">
        <v>3623</v>
      </c>
      <c r="D816" s="88"/>
      <c r="W816" s="35" t="str">
        <f>"-- "&amp;B816&amp;" : "&amp;C816</f>
        <v>-- SQL_ID : 01_A6-43</v>
      </c>
    </row>
    <row r="817" spans="2:23" ht="18.75" customHeight="1">
      <c r="B817" s="43" t="s">
        <v>158</v>
      </c>
      <c r="C817" s="147" t="str">
        <f>R820&amp;"登録"</f>
        <v>バックアップ_MML_手術モジュール_診療科情報登録</v>
      </c>
      <c r="D817" s="148"/>
      <c r="E817" s="148"/>
      <c r="F817" s="148"/>
      <c r="G817" s="148"/>
      <c r="H817" s="148"/>
      <c r="I817" s="148"/>
      <c r="J817" s="148"/>
      <c r="K817" s="148"/>
      <c r="L817" s="148"/>
      <c r="M817" s="148"/>
      <c r="N817" s="148"/>
      <c r="O817" s="148"/>
      <c r="P817" s="148"/>
      <c r="Q817" s="148"/>
      <c r="R817" s="148"/>
      <c r="S817" s="148"/>
      <c r="T817" s="148"/>
      <c r="U817" s="149"/>
      <c r="W817" s="35" t="str">
        <f>"-- "&amp;C817</f>
        <v>-- バックアップ_MML_手術モジュール_診療科情報登録</v>
      </c>
    </row>
    <row r="818" spans="2:23" ht="18.75" customHeight="1">
      <c r="B818" s="43" t="s">
        <v>159</v>
      </c>
      <c r="C818" s="136" t="str">
        <f>C820&amp;"テーブルから組入れ条件の第一条件で絞り込んだ結果を"&amp;R820&amp;"テーブルに格納する。"</f>
        <v>MML_手術モジュール_診療科情報テーブルから組入れ条件の第一条件で絞り込んだ結果をバックアップ_MML_手術モジュール_診療科情報テーブルに格納する。</v>
      </c>
      <c r="D818" s="137"/>
      <c r="E818" s="137"/>
      <c r="F818" s="137"/>
      <c r="G818" s="137"/>
      <c r="H818" s="137"/>
      <c r="I818" s="137"/>
      <c r="J818" s="137"/>
      <c r="K818" s="137"/>
      <c r="L818" s="137"/>
      <c r="M818" s="137"/>
      <c r="N818" s="137"/>
      <c r="O818" s="137"/>
      <c r="P818" s="137"/>
      <c r="Q818" s="137"/>
      <c r="R818" s="137"/>
      <c r="S818" s="137"/>
      <c r="T818" s="137"/>
      <c r="U818" s="138"/>
      <c r="W818" s="35" t="str">
        <f>"-- "&amp;C818</f>
        <v>-- MML_手術モジュール_診療科情報テーブルから組入れ条件の第一条件で絞り込んだ結果をバックアップ_MML_手術モジュール_診療科情報テーブルに格納する。</v>
      </c>
    </row>
    <row r="820" spans="2:23" ht="18.75" customHeight="1">
      <c r="C820" s="139" t="s">
        <v>3624</v>
      </c>
      <c r="D820" s="140"/>
      <c r="E820" s="143" t="s">
        <v>162</v>
      </c>
      <c r="H820" s="36"/>
      <c r="I820" s="36"/>
      <c r="J820" s="36"/>
      <c r="K820" s="36"/>
      <c r="L820" s="36"/>
      <c r="M820" s="36"/>
      <c r="N820" s="36"/>
      <c r="O820" s="36"/>
      <c r="P820" s="36"/>
      <c r="Q820" s="36"/>
      <c r="R820" s="139" t="str">
        <f>"バックアップ_"&amp;SUBSTITUTE(C820,"_結合","")</f>
        <v>バックアップ_MML_手術モジュール_診療科情報</v>
      </c>
      <c r="S820" s="140"/>
      <c r="T820" s="145" t="str">
        <f>エンティティ一覧!$O$2</f>
        <v>milscm_2023_009</v>
      </c>
    </row>
    <row r="821" spans="2:23" ht="18.75" customHeight="1">
      <c r="C821" s="141"/>
      <c r="D821" s="142"/>
      <c r="E821" s="144"/>
      <c r="F821" s="37"/>
      <c r="G821" s="38"/>
      <c r="H821" s="37"/>
      <c r="I821" s="37"/>
      <c r="J821" s="37"/>
      <c r="K821" s="37"/>
      <c r="L821" s="37"/>
      <c r="M821" s="37"/>
      <c r="N821" s="37"/>
      <c r="O821" s="37"/>
      <c r="P821" s="37"/>
      <c r="Q821" s="37"/>
      <c r="R821" s="141"/>
      <c r="S821" s="142"/>
      <c r="T821" s="146"/>
    </row>
    <row r="822" spans="2:23" ht="18.75" customHeight="1">
      <c r="F822" s="39"/>
      <c r="G822" s="40"/>
    </row>
    <row r="823" spans="2:23" ht="18.75" customHeight="1">
      <c r="C823" s="139" t="s">
        <v>3181</v>
      </c>
      <c r="D823" s="140"/>
      <c r="E823" s="145" t="str">
        <f>エンティティ一覧!$O$2</f>
        <v>milscm_2023_009</v>
      </c>
      <c r="G823" s="41"/>
    </row>
    <row r="824" spans="2:23" ht="18.75" customHeight="1">
      <c r="C824" s="141"/>
      <c r="D824" s="142"/>
      <c r="E824" s="146"/>
      <c r="F824" s="37"/>
    </row>
    <row r="826" spans="2:23" ht="18.75" customHeight="1" thickBot="1">
      <c r="B826" s="42"/>
      <c r="C826" s="42"/>
      <c r="D826" s="42"/>
      <c r="E826" s="42"/>
      <c r="F826" s="42"/>
      <c r="G826" s="42"/>
      <c r="H826" s="42"/>
      <c r="I826" s="42"/>
      <c r="J826" s="42"/>
      <c r="K826" s="42"/>
      <c r="L826" s="42"/>
      <c r="M826" s="42"/>
      <c r="N826" s="42"/>
      <c r="O826" s="42"/>
      <c r="P826" s="42"/>
      <c r="Q826" s="42"/>
      <c r="R826" s="42"/>
      <c r="S826" s="42"/>
      <c r="T826" s="42"/>
      <c r="U826" s="42"/>
    </row>
    <row r="828" spans="2:23" ht="18.75" customHeight="1">
      <c r="B828" s="43" t="s">
        <v>163</v>
      </c>
      <c r="C828" s="51" t="s">
        <v>3625</v>
      </c>
      <c r="D828" s="88"/>
      <c r="W828" s="35" t="str">
        <f>"-- "&amp;B828&amp;" : "&amp;C828</f>
        <v>-- SQL_ID : 01_A6-44</v>
      </c>
    </row>
    <row r="829" spans="2:23" ht="18.75" customHeight="1">
      <c r="B829" s="43" t="s">
        <v>158</v>
      </c>
      <c r="C829" s="147" t="str">
        <f>R832&amp;"登録"</f>
        <v>バックアップ_MML_手術モジュール_診断履歴情報登録</v>
      </c>
      <c r="D829" s="148"/>
      <c r="E829" s="148"/>
      <c r="F829" s="148"/>
      <c r="G829" s="148"/>
      <c r="H829" s="148"/>
      <c r="I829" s="148"/>
      <c r="J829" s="148"/>
      <c r="K829" s="148"/>
      <c r="L829" s="148"/>
      <c r="M829" s="148"/>
      <c r="N829" s="148"/>
      <c r="O829" s="148"/>
      <c r="P829" s="148"/>
      <c r="Q829" s="148"/>
      <c r="R829" s="148"/>
      <c r="S829" s="148"/>
      <c r="T829" s="148"/>
      <c r="U829" s="149"/>
      <c r="W829" s="35" t="str">
        <f>"-- "&amp;C829</f>
        <v>-- バックアップ_MML_手術モジュール_診断履歴情報登録</v>
      </c>
    </row>
    <row r="830" spans="2:23" ht="18.75" customHeight="1">
      <c r="B830" s="43" t="s">
        <v>159</v>
      </c>
      <c r="C830" s="136" t="str">
        <f>C832&amp;"テーブルから組入れ条件の第一条件で絞り込んだ結果を"&amp;R832&amp;"テーブルに格納する。"</f>
        <v>MML_手術モジュール_診断履歴情報テーブルから組入れ条件の第一条件で絞り込んだ結果をバックアップ_MML_手術モジュール_診断履歴情報テーブルに格納する。</v>
      </c>
      <c r="D830" s="137"/>
      <c r="E830" s="137"/>
      <c r="F830" s="137"/>
      <c r="G830" s="137"/>
      <c r="H830" s="137"/>
      <c r="I830" s="137"/>
      <c r="J830" s="137"/>
      <c r="K830" s="137"/>
      <c r="L830" s="137"/>
      <c r="M830" s="137"/>
      <c r="N830" s="137"/>
      <c r="O830" s="137"/>
      <c r="P830" s="137"/>
      <c r="Q830" s="137"/>
      <c r="R830" s="137"/>
      <c r="S830" s="137"/>
      <c r="T830" s="137"/>
      <c r="U830" s="138"/>
      <c r="W830" s="35" t="str">
        <f>"-- "&amp;C830</f>
        <v>-- MML_手術モジュール_診断履歴情報テーブルから組入れ条件の第一条件で絞り込んだ結果をバックアップ_MML_手術モジュール_診断履歴情報テーブルに格納する。</v>
      </c>
    </row>
    <row r="832" spans="2:23" ht="18.75" customHeight="1">
      <c r="C832" s="139" t="s">
        <v>3626</v>
      </c>
      <c r="D832" s="140"/>
      <c r="E832" s="143" t="s">
        <v>162</v>
      </c>
      <c r="H832" s="36"/>
      <c r="I832" s="36"/>
      <c r="J832" s="36"/>
      <c r="K832" s="36"/>
      <c r="L832" s="36"/>
      <c r="M832" s="36"/>
      <c r="N832" s="36"/>
      <c r="O832" s="36"/>
      <c r="P832" s="36"/>
      <c r="Q832" s="36"/>
      <c r="R832" s="139" t="str">
        <f>"バックアップ_"&amp;SUBSTITUTE(C832,"_結合","")</f>
        <v>バックアップ_MML_手術モジュール_診断履歴情報</v>
      </c>
      <c r="S832" s="140"/>
      <c r="T832" s="145" t="str">
        <f>エンティティ一覧!$O$2</f>
        <v>milscm_2023_009</v>
      </c>
    </row>
    <row r="833" spans="2:23" ht="18.75" customHeight="1">
      <c r="C833" s="141"/>
      <c r="D833" s="142"/>
      <c r="E833" s="144"/>
      <c r="F833" s="37"/>
      <c r="G833" s="38"/>
      <c r="H833" s="37"/>
      <c r="I833" s="37"/>
      <c r="J833" s="37"/>
      <c r="K833" s="37"/>
      <c r="L833" s="37"/>
      <c r="M833" s="37"/>
      <c r="N833" s="37"/>
      <c r="O833" s="37"/>
      <c r="P833" s="37"/>
      <c r="Q833" s="37"/>
      <c r="R833" s="141"/>
      <c r="S833" s="142"/>
      <c r="T833" s="146"/>
    </row>
    <row r="834" spans="2:23" ht="18.75" customHeight="1">
      <c r="F834" s="39"/>
      <c r="G834" s="40"/>
    </row>
    <row r="835" spans="2:23" ht="18.75" customHeight="1">
      <c r="C835" s="139" t="s">
        <v>3181</v>
      </c>
      <c r="D835" s="140"/>
      <c r="E835" s="145" t="str">
        <f>エンティティ一覧!$O$2</f>
        <v>milscm_2023_009</v>
      </c>
      <c r="G835" s="41"/>
    </row>
    <row r="836" spans="2:23" ht="18.75" customHeight="1">
      <c r="C836" s="141"/>
      <c r="D836" s="142"/>
      <c r="E836" s="146"/>
      <c r="F836" s="37"/>
    </row>
    <row r="838" spans="2:23" ht="18.75" customHeight="1" thickBot="1">
      <c r="B838" s="42"/>
      <c r="C838" s="42"/>
      <c r="D838" s="42"/>
      <c r="E838" s="42"/>
      <c r="F838" s="42"/>
      <c r="G838" s="42"/>
      <c r="H838" s="42"/>
      <c r="I838" s="42"/>
      <c r="J838" s="42"/>
      <c r="K838" s="42"/>
      <c r="L838" s="42"/>
      <c r="M838" s="42"/>
      <c r="N838" s="42"/>
      <c r="O838" s="42"/>
      <c r="P838" s="42"/>
      <c r="Q838" s="42"/>
      <c r="R838" s="42"/>
      <c r="S838" s="42"/>
      <c r="T838" s="42"/>
      <c r="U838" s="42"/>
    </row>
    <row r="840" spans="2:23" ht="18.75" customHeight="1">
      <c r="B840" s="43" t="s">
        <v>163</v>
      </c>
      <c r="C840" s="51" t="s">
        <v>3627</v>
      </c>
      <c r="D840" s="88"/>
      <c r="W840" s="35" t="str">
        <f>"-- "&amp;B840&amp;" : "&amp;C840</f>
        <v>-- SQL_ID : 01_A6-45</v>
      </c>
    </row>
    <row r="841" spans="2:23" ht="18.75" customHeight="1">
      <c r="B841" s="43" t="s">
        <v>158</v>
      </c>
      <c r="C841" s="147" t="str">
        <f>R844&amp;"登録"</f>
        <v>バックアップ_MML_手術モジュール_病名登録</v>
      </c>
      <c r="D841" s="148"/>
      <c r="E841" s="148"/>
      <c r="F841" s="148"/>
      <c r="G841" s="148"/>
      <c r="H841" s="148"/>
      <c r="I841" s="148"/>
      <c r="J841" s="148"/>
      <c r="K841" s="148"/>
      <c r="L841" s="148"/>
      <c r="M841" s="148"/>
      <c r="N841" s="148"/>
      <c r="O841" s="148"/>
      <c r="P841" s="148"/>
      <c r="Q841" s="148"/>
      <c r="R841" s="148"/>
      <c r="S841" s="148"/>
      <c r="T841" s="148"/>
      <c r="U841" s="149"/>
      <c r="W841" s="35" t="str">
        <f>"-- "&amp;C841</f>
        <v>-- バックアップ_MML_手術モジュール_病名登録</v>
      </c>
    </row>
    <row r="842" spans="2:23" ht="18.75" customHeight="1">
      <c r="B842" s="43" t="s">
        <v>159</v>
      </c>
      <c r="C842" s="136" t="str">
        <f>C844&amp;"テーブルから組入れ条件の第一条件で絞り込んだ結果を"&amp;R844&amp;"テーブルに格納する。"</f>
        <v>MML_手術モジュール_病名テーブルから組入れ条件の第一条件で絞り込んだ結果をバックアップ_MML_手術モジュール_病名テーブルに格納する。</v>
      </c>
      <c r="D842" s="137"/>
      <c r="E842" s="137"/>
      <c r="F842" s="137"/>
      <c r="G842" s="137"/>
      <c r="H842" s="137"/>
      <c r="I842" s="137"/>
      <c r="J842" s="137"/>
      <c r="K842" s="137"/>
      <c r="L842" s="137"/>
      <c r="M842" s="137"/>
      <c r="N842" s="137"/>
      <c r="O842" s="137"/>
      <c r="P842" s="137"/>
      <c r="Q842" s="137"/>
      <c r="R842" s="137"/>
      <c r="S842" s="137"/>
      <c r="T842" s="137"/>
      <c r="U842" s="138"/>
      <c r="W842" s="35" t="str">
        <f>"-- "&amp;C842</f>
        <v>-- MML_手術モジュール_病名テーブルから組入れ条件の第一条件で絞り込んだ結果をバックアップ_MML_手術モジュール_病名テーブルに格納する。</v>
      </c>
    </row>
    <row r="844" spans="2:23" ht="18.75" customHeight="1">
      <c r="C844" s="139" t="s">
        <v>3628</v>
      </c>
      <c r="D844" s="140"/>
      <c r="E844" s="143" t="s">
        <v>162</v>
      </c>
      <c r="H844" s="36"/>
      <c r="I844" s="36"/>
      <c r="J844" s="36"/>
      <c r="K844" s="36"/>
      <c r="L844" s="36"/>
      <c r="M844" s="36"/>
      <c r="N844" s="36"/>
      <c r="O844" s="36"/>
      <c r="P844" s="36"/>
      <c r="Q844" s="36"/>
      <c r="R844" s="139" t="str">
        <f>"バックアップ_"&amp;SUBSTITUTE(C844,"_結合","")</f>
        <v>バックアップ_MML_手術モジュール_病名</v>
      </c>
      <c r="S844" s="140"/>
      <c r="T844" s="145" t="str">
        <f>エンティティ一覧!$O$2</f>
        <v>milscm_2023_009</v>
      </c>
    </row>
    <row r="845" spans="2:23" ht="18.75" customHeight="1">
      <c r="C845" s="141"/>
      <c r="D845" s="142"/>
      <c r="E845" s="144"/>
      <c r="F845" s="37"/>
      <c r="G845" s="38"/>
      <c r="H845" s="37"/>
      <c r="I845" s="37"/>
      <c r="J845" s="37"/>
      <c r="K845" s="37"/>
      <c r="L845" s="37"/>
      <c r="M845" s="37"/>
      <c r="N845" s="37"/>
      <c r="O845" s="37"/>
      <c r="P845" s="37"/>
      <c r="Q845" s="37"/>
      <c r="R845" s="141"/>
      <c r="S845" s="142"/>
      <c r="T845" s="146"/>
    </row>
    <row r="846" spans="2:23" ht="18.75" customHeight="1">
      <c r="F846" s="39"/>
      <c r="G846" s="40"/>
    </row>
    <row r="847" spans="2:23" ht="18.75" customHeight="1">
      <c r="C847" s="139" t="s">
        <v>3181</v>
      </c>
      <c r="D847" s="140"/>
      <c r="E847" s="145" t="str">
        <f>エンティティ一覧!$O$2</f>
        <v>milscm_2023_009</v>
      </c>
      <c r="G847" s="41"/>
    </row>
    <row r="848" spans="2:23" ht="18.75" customHeight="1">
      <c r="C848" s="141"/>
      <c r="D848" s="142"/>
      <c r="E848" s="146"/>
      <c r="F848" s="37"/>
    </row>
    <row r="850" spans="2:23" ht="18.75" customHeight="1" thickBot="1">
      <c r="B850" s="42"/>
      <c r="C850" s="42"/>
      <c r="D850" s="42"/>
      <c r="E850" s="42"/>
      <c r="F850" s="42"/>
      <c r="G850" s="42"/>
      <c r="H850" s="42"/>
      <c r="I850" s="42"/>
      <c r="J850" s="42"/>
      <c r="K850" s="42"/>
      <c r="L850" s="42"/>
      <c r="M850" s="42"/>
      <c r="N850" s="42"/>
      <c r="O850" s="42"/>
      <c r="P850" s="42"/>
      <c r="Q850" s="42"/>
      <c r="R850" s="42"/>
      <c r="S850" s="42"/>
      <c r="T850" s="42"/>
      <c r="U850" s="42"/>
    </row>
    <row r="852" spans="2:23" ht="18.75" customHeight="1">
      <c r="B852" s="43" t="s">
        <v>163</v>
      </c>
      <c r="C852" s="51" t="s">
        <v>3629</v>
      </c>
      <c r="D852" s="88"/>
      <c r="W852" s="35" t="str">
        <f>"-- "&amp;B852&amp;" : "&amp;C852</f>
        <v>-- SQL_ID : 01_A6-46</v>
      </c>
    </row>
    <row r="853" spans="2:23" ht="18.75" customHeight="1">
      <c r="B853" s="43" t="s">
        <v>158</v>
      </c>
      <c r="C853" s="147" t="str">
        <f>R856&amp;"登録"</f>
        <v>バックアップ_MML_手術モジュール_カテゴリ名登録</v>
      </c>
      <c r="D853" s="148"/>
      <c r="E853" s="148"/>
      <c r="F853" s="148"/>
      <c r="G853" s="148"/>
      <c r="H853" s="148"/>
      <c r="I853" s="148"/>
      <c r="J853" s="148"/>
      <c r="K853" s="148"/>
      <c r="L853" s="148"/>
      <c r="M853" s="148"/>
      <c r="N853" s="148"/>
      <c r="O853" s="148"/>
      <c r="P853" s="148"/>
      <c r="Q853" s="148"/>
      <c r="R853" s="148"/>
      <c r="S853" s="148"/>
      <c r="T853" s="148"/>
      <c r="U853" s="149"/>
      <c r="W853" s="35" t="str">
        <f>"-- "&amp;C853</f>
        <v>-- バックアップ_MML_手術モジュール_カテゴリ名登録</v>
      </c>
    </row>
    <row r="854" spans="2:23" ht="18.75" customHeight="1">
      <c r="B854" s="43" t="s">
        <v>159</v>
      </c>
      <c r="C854" s="136" t="str">
        <f>C856&amp;"テーブルから組入れ条件の第一条件で絞り込んだ結果を"&amp;R856&amp;"テーブルに格納する。"</f>
        <v>MML_手術モジュール_カテゴリ名テーブルから組入れ条件の第一条件で絞り込んだ結果をバックアップ_MML_手術モジュール_カテゴリ名テーブルに格納する。</v>
      </c>
      <c r="D854" s="137"/>
      <c r="E854" s="137"/>
      <c r="F854" s="137"/>
      <c r="G854" s="137"/>
      <c r="H854" s="137"/>
      <c r="I854" s="137"/>
      <c r="J854" s="137"/>
      <c r="K854" s="137"/>
      <c r="L854" s="137"/>
      <c r="M854" s="137"/>
      <c r="N854" s="137"/>
      <c r="O854" s="137"/>
      <c r="P854" s="137"/>
      <c r="Q854" s="137"/>
      <c r="R854" s="137"/>
      <c r="S854" s="137"/>
      <c r="T854" s="137"/>
      <c r="U854" s="138"/>
      <c r="W854" s="35" t="str">
        <f>"-- "&amp;C854</f>
        <v>-- MML_手術モジュール_カテゴリ名テーブルから組入れ条件の第一条件で絞り込んだ結果をバックアップ_MML_手術モジュール_カテゴリ名テーブルに格納する。</v>
      </c>
    </row>
    <row r="856" spans="2:23" ht="18.75" customHeight="1">
      <c r="C856" s="139" t="s">
        <v>3630</v>
      </c>
      <c r="D856" s="140"/>
      <c r="E856" s="143" t="s">
        <v>162</v>
      </c>
      <c r="H856" s="36"/>
      <c r="I856" s="36"/>
      <c r="J856" s="36"/>
      <c r="K856" s="36"/>
      <c r="L856" s="36"/>
      <c r="M856" s="36"/>
      <c r="N856" s="36"/>
      <c r="O856" s="36"/>
      <c r="P856" s="36"/>
      <c r="Q856" s="36"/>
      <c r="R856" s="139" t="str">
        <f>"バックアップ_"&amp;SUBSTITUTE(C856,"_結合","")</f>
        <v>バックアップ_MML_手術モジュール_カテゴリ名</v>
      </c>
      <c r="S856" s="140"/>
      <c r="T856" s="145" t="str">
        <f>エンティティ一覧!$O$2</f>
        <v>milscm_2023_009</v>
      </c>
    </row>
    <row r="857" spans="2:23" ht="18.75" customHeight="1">
      <c r="C857" s="141"/>
      <c r="D857" s="142"/>
      <c r="E857" s="144"/>
      <c r="F857" s="37"/>
      <c r="G857" s="38"/>
      <c r="H857" s="37"/>
      <c r="I857" s="37"/>
      <c r="J857" s="37"/>
      <c r="K857" s="37"/>
      <c r="L857" s="37"/>
      <c r="M857" s="37"/>
      <c r="N857" s="37"/>
      <c r="O857" s="37"/>
      <c r="P857" s="37"/>
      <c r="Q857" s="37"/>
      <c r="R857" s="141"/>
      <c r="S857" s="142"/>
      <c r="T857" s="146"/>
    </row>
    <row r="858" spans="2:23" ht="18.75" customHeight="1">
      <c r="F858" s="39"/>
      <c r="G858" s="40"/>
    </row>
    <row r="859" spans="2:23" ht="18.75" customHeight="1">
      <c r="C859" s="139" t="s">
        <v>3181</v>
      </c>
      <c r="D859" s="140"/>
      <c r="E859" s="145" t="str">
        <f>エンティティ一覧!$O$2</f>
        <v>milscm_2023_009</v>
      </c>
      <c r="G859" s="41"/>
    </row>
    <row r="860" spans="2:23" ht="18.75" customHeight="1">
      <c r="C860" s="141"/>
      <c r="D860" s="142"/>
      <c r="E860" s="146"/>
      <c r="F860" s="37"/>
    </row>
    <row r="862" spans="2:23" ht="18.75" customHeight="1" thickBot="1">
      <c r="B862" s="42"/>
      <c r="C862" s="42"/>
      <c r="D862" s="42"/>
      <c r="E862" s="42"/>
      <c r="F862" s="42"/>
      <c r="G862" s="42"/>
      <c r="H862" s="42"/>
      <c r="I862" s="42"/>
      <c r="J862" s="42"/>
      <c r="K862" s="42"/>
      <c r="L862" s="42"/>
      <c r="M862" s="42"/>
      <c r="N862" s="42"/>
      <c r="O862" s="42"/>
      <c r="P862" s="42"/>
      <c r="Q862" s="42"/>
      <c r="R862" s="42"/>
      <c r="S862" s="42"/>
      <c r="T862" s="42"/>
      <c r="U862" s="42"/>
    </row>
    <row r="864" spans="2:23" ht="18.75" customHeight="1">
      <c r="B864" s="43" t="s">
        <v>163</v>
      </c>
      <c r="C864" s="51" t="s">
        <v>3631</v>
      </c>
      <c r="D864" s="88"/>
      <c r="W864" s="35" t="str">
        <f>"-- "&amp;B864&amp;" : "&amp;C864</f>
        <v>-- SQL_ID : 01_A6-47</v>
      </c>
    </row>
    <row r="865" spans="2:23" ht="18.75" customHeight="1">
      <c r="B865" s="43" t="s">
        <v>158</v>
      </c>
      <c r="C865" s="147" t="str">
        <f>R868&amp;"登録"</f>
        <v>バックアップ_MML_手術モジュール_手術法登録</v>
      </c>
      <c r="D865" s="148"/>
      <c r="E865" s="148"/>
      <c r="F865" s="148"/>
      <c r="G865" s="148"/>
      <c r="H865" s="148"/>
      <c r="I865" s="148"/>
      <c r="J865" s="148"/>
      <c r="K865" s="148"/>
      <c r="L865" s="148"/>
      <c r="M865" s="148"/>
      <c r="N865" s="148"/>
      <c r="O865" s="148"/>
      <c r="P865" s="148"/>
      <c r="Q865" s="148"/>
      <c r="R865" s="148"/>
      <c r="S865" s="148"/>
      <c r="T865" s="148"/>
      <c r="U865" s="149"/>
      <c r="W865" s="35" t="str">
        <f>"-- "&amp;C865</f>
        <v>-- バックアップ_MML_手術モジュール_手術法登録</v>
      </c>
    </row>
    <row r="866" spans="2:23" ht="18.75" customHeight="1">
      <c r="B866" s="43" t="s">
        <v>159</v>
      </c>
      <c r="C866" s="136" t="str">
        <f>C868&amp;"テーブルから組入れ条件の第一条件で絞り込んだ結果を"&amp;R868&amp;"テーブルに格納する。"</f>
        <v>MML_手術モジュール_手術法テーブルから組入れ条件の第一条件で絞り込んだ結果をバックアップ_MML_手術モジュール_手術法テーブルに格納する。</v>
      </c>
      <c r="D866" s="137"/>
      <c r="E866" s="137"/>
      <c r="F866" s="137"/>
      <c r="G866" s="137"/>
      <c r="H866" s="137"/>
      <c r="I866" s="137"/>
      <c r="J866" s="137"/>
      <c r="K866" s="137"/>
      <c r="L866" s="137"/>
      <c r="M866" s="137"/>
      <c r="N866" s="137"/>
      <c r="O866" s="137"/>
      <c r="P866" s="137"/>
      <c r="Q866" s="137"/>
      <c r="R866" s="137"/>
      <c r="S866" s="137"/>
      <c r="T866" s="137"/>
      <c r="U866" s="138"/>
      <c r="W866" s="35" t="str">
        <f>"-- "&amp;C866</f>
        <v>-- MML_手術モジュール_手術法テーブルから組入れ条件の第一条件で絞り込んだ結果をバックアップ_MML_手術モジュール_手術法テーブルに格納する。</v>
      </c>
    </row>
    <row r="868" spans="2:23" ht="18.75" customHeight="1">
      <c r="C868" s="139" t="s">
        <v>3632</v>
      </c>
      <c r="D868" s="140"/>
      <c r="E868" s="143" t="s">
        <v>162</v>
      </c>
      <c r="H868" s="36"/>
      <c r="I868" s="36"/>
      <c r="J868" s="36"/>
      <c r="K868" s="36"/>
      <c r="L868" s="36"/>
      <c r="M868" s="36"/>
      <c r="N868" s="36"/>
      <c r="O868" s="36"/>
      <c r="P868" s="36"/>
      <c r="Q868" s="36"/>
      <c r="R868" s="139" t="str">
        <f>"バックアップ_"&amp;SUBSTITUTE(C868,"_結合","")</f>
        <v>バックアップ_MML_手術モジュール_手術法</v>
      </c>
      <c r="S868" s="140"/>
      <c r="T868" s="145" t="str">
        <f>エンティティ一覧!$O$2</f>
        <v>milscm_2023_009</v>
      </c>
    </row>
    <row r="869" spans="2:23" ht="18.75" customHeight="1">
      <c r="C869" s="141"/>
      <c r="D869" s="142"/>
      <c r="E869" s="144"/>
      <c r="F869" s="37"/>
      <c r="G869" s="38"/>
      <c r="H869" s="37"/>
      <c r="I869" s="37"/>
      <c r="J869" s="37"/>
      <c r="K869" s="37"/>
      <c r="L869" s="37"/>
      <c r="M869" s="37"/>
      <c r="N869" s="37"/>
      <c r="O869" s="37"/>
      <c r="P869" s="37"/>
      <c r="Q869" s="37"/>
      <c r="R869" s="141"/>
      <c r="S869" s="142"/>
      <c r="T869" s="146"/>
    </row>
    <row r="870" spans="2:23" ht="18.75" customHeight="1">
      <c r="F870" s="39"/>
      <c r="G870" s="40"/>
    </row>
    <row r="871" spans="2:23" ht="18.75" customHeight="1">
      <c r="C871" s="139" t="s">
        <v>3181</v>
      </c>
      <c r="D871" s="140"/>
      <c r="E871" s="145" t="str">
        <f>エンティティ一覧!$O$2</f>
        <v>milscm_2023_009</v>
      </c>
      <c r="G871" s="41"/>
    </row>
    <row r="872" spans="2:23" ht="18.75" customHeight="1">
      <c r="C872" s="141"/>
      <c r="D872" s="142"/>
      <c r="E872" s="146"/>
      <c r="F872" s="37"/>
    </row>
    <row r="874" spans="2:23" ht="18.75" customHeight="1" thickBot="1">
      <c r="B874" s="42"/>
      <c r="C874" s="42"/>
      <c r="D874" s="42"/>
      <c r="E874" s="42"/>
      <c r="F874" s="42"/>
      <c r="G874" s="42"/>
      <c r="H874" s="42"/>
      <c r="I874" s="42"/>
      <c r="J874" s="42"/>
      <c r="K874" s="42"/>
      <c r="L874" s="42"/>
      <c r="M874" s="42"/>
      <c r="N874" s="42"/>
      <c r="O874" s="42"/>
      <c r="P874" s="42"/>
      <c r="Q874" s="42"/>
      <c r="R874" s="42"/>
      <c r="S874" s="42"/>
      <c r="T874" s="42"/>
      <c r="U874" s="42"/>
    </row>
    <row r="876" spans="2:23" ht="18.75" customHeight="1">
      <c r="B876" s="43" t="s">
        <v>163</v>
      </c>
      <c r="C876" s="51" t="s">
        <v>3633</v>
      </c>
      <c r="D876" s="88"/>
      <c r="W876" s="35" t="str">
        <f>"-- "&amp;B876&amp;" : "&amp;C876</f>
        <v>-- SQL_ID : 01_A6-48</v>
      </c>
    </row>
    <row r="877" spans="2:23" ht="18.75" customHeight="1">
      <c r="B877" s="43" t="s">
        <v>158</v>
      </c>
      <c r="C877" s="147" t="str">
        <f>R880&amp;"登録"</f>
        <v>バックアップ_MML_手術モジュール_手術要素登録</v>
      </c>
      <c r="D877" s="148"/>
      <c r="E877" s="148"/>
      <c r="F877" s="148"/>
      <c r="G877" s="148"/>
      <c r="H877" s="148"/>
      <c r="I877" s="148"/>
      <c r="J877" s="148"/>
      <c r="K877" s="148"/>
      <c r="L877" s="148"/>
      <c r="M877" s="148"/>
      <c r="N877" s="148"/>
      <c r="O877" s="148"/>
      <c r="P877" s="148"/>
      <c r="Q877" s="148"/>
      <c r="R877" s="148"/>
      <c r="S877" s="148"/>
      <c r="T877" s="148"/>
      <c r="U877" s="149"/>
      <c r="W877" s="35" t="str">
        <f>"-- "&amp;C877</f>
        <v>-- バックアップ_MML_手術モジュール_手術要素登録</v>
      </c>
    </row>
    <row r="878" spans="2:23" ht="18.75" customHeight="1">
      <c r="B878" s="43" t="s">
        <v>159</v>
      </c>
      <c r="C878" s="136" t="str">
        <f>C880&amp;"テーブルから組入れ条件の第一条件で絞り込んだ結果を"&amp;R880&amp;"テーブルに格納する。"</f>
        <v>MML_手術モジュール_手術要素テーブルから組入れ条件の第一条件で絞り込んだ結果をバックアップ_MML_手術モジュール_手術要素テーブルに格納する。</v>
      </c>
      <c r="D878" s="137"/>
      <c r="E878" s="137"/>
      <c r="F878" s="137"/>
      <c r="G878" s="137"/>
      <c r="H878" s="137"/>
      <c r="I878" s="137"/>
      <c r="J878" s="137"/>
      <c r="K878" s="137"/>
      <c r="L878" s="137"/>
      <c r="M878" s="137"/>
      <c r="N878" s="137"/>
      <c r="O878" s="137"/>
      <c r="P878" s="137"/>
      <c r="Q878" s="137"/>
      <c r="R878" s="137"/>
      <c r="S878" s="137"/>
      <c r="T878" s="137"/>
      <c r="U878" s="138"/>
      <c r="W878" s="35" t="str">
        <f>"-- "&amp;C878</f>
        <v>-- MML_手術モジュール_手術要素テーブルから組入れ条件の第一条件で絞り込んだ結果をバックアップ_MML_手術モジュール_手術要素テーブルに格納する。</v>
      </c>
    </row>
    <row r="880" spans="2:23" ht="18.75" customHeight="1">
      <c r="C880" s="139" t="s">
        <v>3634</v>
      </c>
      <c r="D880" s="140"/>
      <c r="E880" s="143" t="s">
        <v>162</v>
      </c>
      <c r="H880" s="36"/>
      <c r="I880" s="36"/>
      <c r="J880" s="36"/>
      <c r="K880" s="36"/>
      <c r="L880" s="36"/>
      <c r="M880" s="36"/>
      <c r="N880" s="36"/>
      <c r="O880" s="36"/>
      <c r="P880" s="36"/>
      <c r="Q880" s="36"/>
      <c r="R880" s="139" t="str">
        <f>"バックアップ_"&amp;SUBSTITUTE(C880,"_結合","")</f>
        <v>バックアップ_MML_手術モジュール_手術要素</v>
      </c>
      <c r="S880" s="140"/>
      <c r="T880" s="145" t="str">
        <f>エンティティ一覧!$O$2</f>
        <v>milscm_2023_009</v>
      </c>
    </row>
    <row r="881" spans="2:23" ht="18.75" customHeight="1">
      <c r="C881" s="141"/>
      <c r="D881" s="142"/>
      <c r="E881" s="144"/>
      <c r="F881" s="37"/>
      <c r="G881" s="38"/>
      <c r="H881" s="37"/>
      <c r="I881" s="37"/>
      <c r="J881" s="37"/>
      <c r="K881" s="37"/>
      <c r="L881" s="37"/>
      <c r="M881" s="37"/>
      <c r="N881" s="37"/>
      <c r="O881" s="37"/>
      <c r="P881" s="37"/>
      <c r="Q881" s="37"/>
      <c r="R881" s="141"/>
      <c r="S881" s="142"/>
      <c r="T881" s="146"/>
    </row>
    <row r="882" spans="2:23" ht="18.75" customHeight="1">
      <c r="F882" s="39"/>
      <c r="G882" s="40"/>
    </row>
    <row r="883" spans="2:23" ht="18.75" customHeight="1">
      <c r="C883" s="139" t="s">
        <v>3181</v>
      </c>
      <c r="D883" s="140"/>
      <c r="E883" s="145" t="str">
        <f>エンティティ一覧!$O$2</f>
        <v>milscm_2023_009</v>
      </c>
      <c r="G883" s="41"/>
    </row>
    <row r="884" spans="2:23" ht="18.75" customHeight="1">
      <c r="C884" s="141"/>
      <c r="D884" s="142"/>
      <c r="E884" s="146"/>
      <c r="F884" s="37"/>
    </row>
    <row r="886" spans="2:23" ht="18.75" customHeight="1" thickBot="1">
      <c r="B886" s="42"/>
      <c r="C886" s="42"/>
      <c r="D886" s="42"/>
      <c r="E886" s="42"/>
      <c r="F886" s="42"/>
      <c r="G886" s="42"/>
      <c r="H886" s="42"/>
      <c r="I886" s="42"/>
      <c r="J886" s="42"/>
      <c r="K886" s="42"/>
      <c r="L886" s="42"/>
      <c r="M886" s="42"/>
      <c r="N886" s="42"/>
      <c r="O886" s="42"/>
      <c r="P886" s="42"/>
      <c r="Q886" s="42"/>
      <c r="R886" s="42"/>
      <c r="S886" s="42"/>
      <c r="T886" s="42"/>
      <c r="U886" s="42"/>
    </row>
    <row r="888" spans="2:23" ht="18.75" customHeight="1">
      <c r="B888" s="43" t="s">
        <v>163</v>
      </c>
      <c r="C888" s="51" t="s">
        <v>3635</v>
      </c>
      <c r="D888" s="88"/>
      <c r="W888" s="35" t="str">
        <f>"-- "&amp;B888&amp;" : "&amp;C888</f>
        <v>-- SQL_ID : 01_A6-49</v>
      </c>
    </row>
    <row r="889" spans="2:23" ht="18.75" customHeight="1">
      <c r="B889" s="43" t="s">
        <v>158</v>
      </c>
      <c r="C889" s="147" t="str">
        <f>R892&amp;"登録"</f>
        <v>バックアップ_MML_手術モジュール_麻酔法登録</v>
      </c>
      <c r="D889" s="148"/>
      <c r="E889" s="148"/>
      <c r="F889" s="148"/>
      <c r="G889" s="148"/>
      <c r="H889" s="148"/>
      <c r="I889" s="148"/>
      <c r="J889" s="148"/>
      <c r="K889" s="148"/>
      <c r="L889" s="148"/>
      <c r="M889" s="148"/>
      <c r="N889" s="148"/>
      <c r="O889" s="148"/>
      <c r="P889" s="148"/>
      <c r="Q889" s="148"/>
      <c r="R889" s="148"/>
      <c r="S889" s="148"/>
      <c r="T889" s="148"/>
      <c r="U889" s="149"/>
      <c r="W889" s="35" t="str">
        <f>"-- "&amp;C889</f>
        <v>-- バックアップ_MML_手術モジュール_麻酔法登録</v>
      </c>
    </row>
    <row r="890" spans="2:23" ht="18.75" customHeight="1">
      <c r="B890" s="43" t="s">
        <v>159</v>
      </c>
      <c r="C890" s="136" t="str">
        <f>C892&amp;"テーブルから組入れ条件の第一条件で絞り込んだ結果を"&amp;R892&amp;"テーブルに格納する。"</f>
        <v>MML_手術モジュール_麻酔法テーブルから組入れ条件の第一条件で絞り込んだ結果をバックアップ_MML_手術モジュール_麻酔法テーブルに格納する。</v>
      </c>
      <c r="D890" s="137"/>
      <c r="E890" s="137"/>
      <c r="F890" s="137"/>
      <c r="G890" s="137"/>
      <c r="H890" s="137"/>
      <c r="I890" s="137"/>
      <c r="J890" s="137"/>
      <c r="K890" s="137"/>
      <c r="L890" s="137"/>
      <c r="M890" s="137"/>
      <c r="N890" s="137"/>
      <c r="O890" s="137"/>
      <c r="P890" s="137"/>
      <c r="Q890" s="137"/>
      <c r="R890" s="137"/>
      <c r="S890" s="137"/>
      <c r="T890" s="137"/>
      <c r="U890" s="138"/>
      <c r="W890" s="35" t="str">
        <f>"-- "&amp;C890</f>
        <v>-- MML_手術モジュール_麻酔法テーブルから組入れ条件の第一条件で絞り込んだ結果をバックアップ_MML_手術モジュール_麻酔法テーブルに格納する。</v>
      </c>
    </row>
    <row r="892" spans="2:23" ht="18.75" customHeight="1">
      <c r="C892" s="139" t="s">
        <v>3636</v>
      </c>
      <c r="D892" s="140"/>
      <c r="E892" s="143" t="s">
        <v>162</v>
      </c>
      <c r="H892" s="36"/>
      <c r="I892" s="36"/>
      <c r="J892" s="36"/>
      <c r="K892" s="36"/>
      <c r="L892" s="36"/>
      <c r="M892" s="36"/>
      <c r="N892" s="36"/>
      <c r="O892" s="36"/>
      <c r="P892" s="36"/>
      <c r="Q892" s="36"/>
      <c r="R892" s="139" t="str">
        <f>"バックアップ_"&amp;SUBSTITUTE(C892,"_結合","")</f>
        <v>バックアップ_MML_手術モジュール_麻酔法</v>
      </c>
      <c r="S892" s="140"/>
      <c r="T892" s="145" t="str">
        <f>エンティティ一覧!$O$2</f>
        <v>milscm_2023_009</v>
      </c>
    </row>
    <row r="893" spans="2:23" ht="18.75" customHeight="1">
      <c r="C893" s="141"/>
      <c r="D893" s="142"/>
      <c r="E893" s="144"/>
      <c r="F893" s="37"/>
      <c r="G893" s="38"/>
      <c r="H893" s="37"/>
      <c r="I893" s="37"/>
      <c r="J893" s="37"/>
      <c r="K893" s="37"/>
      <c r="L893" s="37"/>
      <c r="M893" s="37"/>
      <c r="N893" s="37"/>
      <c r="O893" s="37"/>
      <c r="P893" s="37"/>
      <c r="Q893" s="37"/>
      <c r="R893" s="141"/>
      <c r="S893" s="142"/>
      <c r="T893" s="146"/>
    </row>
    <row r="894" spans="2:23" ht="18.75" customHeight="1">
      <c r="F894" s="39"/>
      <c r="G894" s="40"/>
    </row>
    <row r="895" spans="2:23" ht="18.75" customHeight="1">
      <c r="C895" s="139" t="s">
        <v>3181</v>
      </c>
      <c r="D895" s="140"/>
      <c r="E895" s="145" t="str">
        <f>エンティティ一覧!$O$2</f>
        <v>milscm_2023_009</v>
      </c>
      <c r="G895" s="41"/>
    </row>
    <row r="896" spans="2:23" ht="18.75" customHeight="1">
      <c r="C896" s="141"/>
      <c r="D896" s="142"/>
      <c r="E896" s="146"/>
      <c r="F896" s="37"/>
    </row>
    <row r="898" spans="2:23" ht="18.75" customHeight="1" thickBot="1">
      <c r="B898" s="42"/>
      <c r="C898" s="42"/>
      <c r="D898" s="42"/>
      <c r="E898" s="42"/>
      <c r="F898" s="42"/>
      <c r="G898" s="42"/>
      <c r="H898" s="42"/>
      <c r="I898" s="42"/>
      <c r="J898" s="42"/>
      <c r="K898" s="42"/>
      <c r="L898" s="42"/>
      <c r="M898" s="42"/>
      <c r="N898" s="42"/>
      <c r="O898" s="42"/>
      <c r="P898" s="42"/>
      <c r="Q898" s="42"/>
      <c r="R898" s="42"/>
      <c r="S898" s="42"/>
      <c r="T898" s="42"/>
      <c r="U898" s="42"/>
    </row>
    <row r="900" spans="2:23" ht="18.75" customHeight="1">
      <c r="B900" s="43" t="s">
        <v>163</v>
      </c>
      <c r="C900" s="51" t="s">
        <v>3637</v>
      </c>
      <c r="D900" s="88"/>
      <c r="W900" s="35" t="str">
        <f>"-- "&amp;B900&amp;" : "&amp;C900</f>
        <v>-- SQL_ID : 01_A6-50</v>
      </c>
    </row>
    <row r="901" spans="2:23" ht="18.75" customHeight="1">
      <c r="B901" s="43" t="s">
        <v>158</v>
      </c>
      <c r="C901" s="147" t="str">
        <f>R904&amp;"登録"</f>
        <v>バックアップ_MML_報告書情報モジュール_本文登録</v>
      </c>
      <c r="D901" s="148"/>
      <c r="E901" s="148"/>
      <c r="F901" s="148"/>
      <c r="G901" s="148"/>
      <c r="H901" s="148"/>
      <c r="I901" s="148"/>
      <c r="J901" s="148"/>
      <c r="K901" s="148"/>
      <c r="L901" s="148"/>
      <c r="M901" s="148"/>
      <c r="N901" s="148"/>
      <c r="O901" s="148"/>
      <c r="P901" s="148"/>
      <c r="Q901" s="148"/>
      <c r="R901" s="148"/>
      <c r="S901" s="148"/>
      <c r="T901" s="148"/>
      <c r="U901" s="149"/>
      <c r="W901" s="35" t="str">
        <f>"-- "&amp;C901</f>
        <v>-- バックアップ_MML_報告書情報モジュール_本文登録</v>
      </c>
    </row>
    <row r="902" spans="2:23" ht="18.75" customHeight="1">
      <c r="B902" s="43" t="s">
        <v>159</v>
      </c>
      <c r="C902" s="136" t="str">
        <f>C904&amp;"テーブルから組入れ条件の第一条件で絞り込んだ結果を"&amp;R904&amp;"テーブルに格納する。"</f>
        <v>MML_報告書情報モジュール_本文テーブルから組入れ条件の第一条件で絞り込んだ結果をバックアップ_MML_報告書情報モジュール_本文テーブルに格納する。</v>
      </c>
      <c r="D902" s="137"/>
      <c r="E902" s="137"/>
      <c r="F902" s="137"/>
      <c r="G902" s="137"/>
      <c r="H902" s="137"/>
      <c r="I902" s="137"/>
      <c r="J902" s="137"/>
      <c r="K902" s="137"/>
      <c r="L902" s="137"/>
      <c r="M902" s="137"/>
      <c r="N902" s="137"/>
      <c r="O902" s="137"/>
      <c r="P902" s="137"/>
      <c r="Q902" s="137"/>
      <c r="R902" s="137"/>
      <c r="S902" s="137"/>
      <c r="T902" s="137"/>
      <c r="U902" s="138"/>
      <c r="W902" s="35" t="str">
        <f>"-- "&amp;C902</f>
        <v>-- MML_報告書情報モジュール_本文テーブルから組入れ条件の第一条件で絞り込んだ結果をバックアップ_MML_報告書情報モジュール_本文テーブルに格納する。</v>
      </c>
    </row>
    <row r="904" spans="2:23" ht="18.75" customHeight="1">
      <c r="C904" s="139" t="s">
        <v>3638</v>
      </c>
      <c r="D904" s="140"/>
      <c r="E904" s="143" t="s">
        <v>162</v>
      </c>
      <c r="H904" s="36"/>
      <c r="I904" s="36"/>
      <c r="J904" s="36"/>
      <c r="K904" s="36"/>
      <c r="L904" s="36"/>
      <c r="M904" s="36"/>
      <c r="N904" s="36"/>
      <c r="O904" s="36"/>
      <c r="P904" s="36"/>
      <c r="Q904" s="36"/>
      <c r="R904" s="139" t="str">
        <f>"バックアップ_"&amp;SUBSTITUTE(C904,"_結合","")</f>
        <v>バックアップ_MML_報告書情報モジュール_本文</v>
      </c>
      <c r="S904" s="140"/>
      <c r="T904" s="145" t="str">
        <f>エンティティ一覧!$O$2</f>
        <v>milscm_2023_009</v>
      </c>
    </row>
    <row r="905" spans="2:23" ht="18.75" customHeight="1">
      <c r="C905" s="141"/>
      <c r="D905" s="142"/>
      <c r="E905" s="144"/>
      <c r="F905" s="37"/>
      <c r="G905" s="38"/>
      <c r="H905" s="37"/>
      <c r="I905" s="37"/>
      <c r="J905" s="37"/>
      <c r="K905" s="37"/>
      <c r="L905" s="37"/>
      <c r="M905" s="37"/>
      <c r="N905" s="37"/>
      <c r="O905" s="37"/>
      <c r="P905" s="37"/>
      <c r="Q905" s="37"/>
      <c r="R905" s="141"/>
      <c r="S905" s="142"/>
      <c r="T905" s="146"/>
    </row>
    <row r="906" spans="2:23" ht="18.75" customHeight="1">
      <c r="F906" s="39"/>
      <c r="G906" s="40"/>
    </row>
    <row r="907" spans="2:23" ht="18.75" customHeight="1">
      <c r="C907" s="139" t="s">
        <v>3181</v>
      </c>
      <c r="D907" s="140"/>
      <c r="E907" s="145" t="str">
        <f>エンティティ一覧!$O$2</f>
        <v>milscm_2023_009</v>
      </c>
      <c r="G907" s="41"/>
    </row>
    <row r="908" spans="2:23" ht="18.75" customHeight="1">
      <c r="C908" s="141"/>
      <c r="D908" s="142"/>
      <c r="E908" s="146"/>
      <c r="F908" s="37"/>
    </row>
    <row r="910" spans="2:23" ht="18.75" customHeight="1" thickBot="1">
      <c r="B910" s="42"/>
      <c r="C910" s="42"/>
      <c r="D910" s="42"/>
      <c r="E910" s="42"/>
      <c r="F910" s="42"/>
      <c r="G910" s="42"/>
      <c r="H910" s="42"/>
      <c r="I910" s="42"/>
      <c r="J910" s="42"/>
      <c r="K910" s="42"/>
      <c r="L910" s="42"/>
      <c r="M910" s="42"/>
      <c r="N910" s="42"/>
      <c r="O910" s="42"/>
      <c r="P910" s="42"/>
      <c r="Q910" s="42"/>
      <c r="R910" s="42"/>
      <c r="S910" s="42"/>
      <c r="T910" s="42"/>
      <c r="U910" s="42"/>
    </row>
    <row r="912" spans="2:23" ht="18.75" customHeight="1">
      <c r="B912" s="43" t="s">
        <v>163</v>
      </c>
      <c r="C912" s="51" t="s">
        <v>3639</v>
      </c>
      <c r="D912" s="88"/>
      <c r="W912" s="35" t="str">
        <f>"-- "&amp;B912&amp;" : "&amp;C912</f>
        <v>-- SQL_ID : 01_A6-51</v>
      </c>
    </row>
    <row r="913" spans="2:23" ht="18.75" customHeight="1">
      <c r="B913" s="43" t="s">
        <v>158</v>
      </c>
      <c r="C913" s="147" t="str">
        <f>R916&amp;"登録"</f>
        <v>バックアップ_MML_報告書情報モジュール_検査コメント登録</v>
      </c>
      <c r="D913" s="148"/>
      <c r="E913" s="148"/>
      <c r="F913" s="148"/>
      <c r="G913" s="148"/>
      <c r="H913" s="148"/>
      <c r="I913" s="148"/>
      <c r="J913" s="148"/>
      <c r="K913" s="148"/>
      <c r="L913" s="148"/>
      <c r="M913" s="148"/>
      <c r="N913" s="148"/>
      <c r="O913" s="148"/>
      <c r="P913" s="148"/>
      <c r="Q913" s="148"/>
      <c r="R913" s="148"/>
      <c r="S913" s="148"/>
      <c r="T913" s="148"/>
      <c r="U913" s="149"/>
      <c r="W913" s="35" t="str">
        <f>"-- "&amp;C913</f>
        <v>-- バックアップ_MML_報告書情報モジュール_検査コメント登録</v>
      </c>
    </row>
    <row r="914" spans="2:23" ht="18.75" customHeight="1">
      <c r="B914" s="43" t="s">
        <v>159</v>
      </c>
      <c r="C914" s="136" t="str">
        <f>C916&amp;"テーブルから組入れ条件の第一条件で絞り込んだ結果を"&amp;R916&amp;"テーブルに格納する。"</f>
        <v>MML_報告書情報モジュール_検査コメントテーブルから組入れ条件の第一条件で絞り込んだ結果をバックアップ_MML_報告書情報モジュール_検査コメントテーブルに格納する。</v>
      </c>
      <c r="D914" s="137"/>
      <c r="E914" s="137"/>
      <c r="F914" s="137"/>
      <c r="G914" s="137"/>
      <c r="H914" s="137"/>
      <c r="I914" s="137"/>
      <c r="J914" s="137"/>
      <c r="K914" s="137"/>
      <c r="L914" s="137"/>
      <c r="M914" s="137"/>
      <c r="N914" s="137"/>
      <c r="O914" s="137"/>
      <c r="P914" s="137"/>
      <c r="Q914" s="137"/>
      <c r="R914" s="137"/>
      <c r="S914" s="137"/>
      <c r="T914" s="137"/>
      <c r="U914" s="138"/>
      <c r="W914" s="35" t="str">
        <f>"-- "&amp;C914</f>
        <v>-- MML_報告書情報モジュール_検査コメントテーブルから組入れ条件の第一条件で絞り込んだ結果をバックアップ_MML_報告書情報モジュール_検査コメントテーブルに格納する。</v>
      </c>
    </row>
    <row r="916" spans="2:23" ht="18.75" customHeight="1">
      <c r="C916" s="139" t="s">
        <v>3640</v>
      </c>
      <c r="D916" s="140"/>
      <c r="E916" s="143" t="s">
        <v>162</v>
      </c>
      <c r="H916" s="36"/>
      <c r="I916" s="36"/>
      <c r="J916" s="36"/>
      <c r="K916" s="36"/>
      <c r="L916" s="36"/>
      <c r="M916" s="36"/>
      <c r="N916" s="36"/>
      <c r="O916" s="36"/>
      <c r="P916" s="36"/>
      <c r="Q916" s="36"/>
      <c r="R916" s="150" t="str">
        <f>"バックアップ_"&amp;SUBSTITUTE(C916,"_結合","")</f>
        <v>バックアップ_MML_報告書情報モジュール_検査コメント</v>
      </c>
      <c r="S916" s="151"/>
      <c r="T916" s="145" t="str">
        <f>エンティティ一覧!$O$2</f>
        <v>milscm_2023_009</v>
      </c>
    </row>
    <row r="917" spans="2:23" ht="18.75" customHeight="1">
      <c r="C917" s="141"/>
      <c r="D917" s="142"/>
      <c r="E917" s="144"/>
      <c r="F917" s="37"/>
      <c r="G917" s="38"/>
      <c r="H917" s="37"/>
      <c r="I917" s="37"/>
      <c r="J917" s="37"/>
      <c r="K917" s="37"/>
      <c r="L917" s="37"/>
      <c r="M917" s="37"/>
      <c r="N917" s="37"/>
      <c r="O917" s="37"/>
      <c r="P917" s="37"/>
      <c r="Q917" s="37"/>
      <c r="R917" s="152"/>
      <c r="S917" s="153"/>
      <c r="T917" s="146"/>
    </row>
    <row r="918" spans="2:23" ht="18.75" customHeight="1">
      <c r="F918" s="39"/>
      <c r="G918" s="40"/>
    </row>
    <row r="919" spans="2:23" ht="18.75" customHeight="1">
      <c r="C919" s="139" t="s">
        <v>3181</v>
      </c>
      <c r="D919" s="140"/>
      <c r="E919" s="145" t="str">
        <f>エンティティ一覧!$O$2</f>
        <v>milscm_2023_009</v>
      </c>
      <c r="G919" s="41"/>
    </row>
    <row r="920" spans="2:23" ht="18.75" customHeight="1">
      <c r="C920" s="141"/>
      <c r="D920" s="142"/>
      <c r="E920" s="146"/>
      <c r="F920" s="37"/>
    </row>
    <row r="922" spans="2:23" ht="18.75" customHeight="1" thickBot="1">
      <c r="B922" s="42"/>
      <c r="C922" s="42"/>
      <c r="D922" s="42"/>
      <c r="E922" s="42"/>
      <c r="F922" s="42"/>
      <c r="G922" s="42"/>
      <c r="H922" s="42"/>
      <c r="I922" s="42"/>
      <c r="J922" s="42"/>
      <c r="K922" s="42"/>
      <c r="L922" s="42"/>
      <c r="M922" s="42"/>
      <c r="N922" s="42"/>
      <c r="O922" s="42"/>
      <c r="P922" s="42"/>
      <c r="Q922" s="42"/>
      <c r="R922" s="42"/>
      <c r="S922" s="42"/>
      <c r="T922" s="42"/>
      <c r="U922" s="42"/>
    </row>
    <row r="924" spans="2:23" ht="18.75" customHeight="1">
      <c r="B924" s="43" t="s">
        <v>163</v>
      </c>
      <c r="C924" s="51" t="s">
        <v>3641</v>
      </c>
      <c r="D924" s="88"/>
      <c r="W924" s="35" t="str">
        <f>"-- "&amp;B924&amp;" : "&amp;C924</f>
        <v>-- SQL_ID : 01_A6-52</v>
      </c>
    </row>
    <row r="925" spans="2:23" ht="18.75" customHeight="1">
      <c r="B925" s="43" t="s">
        <v>158</v>
      </c>
      <c r="C925" s="147" t="str">
        <f>R928&amp;"登録"</f>
        <v>バックアップ_MML_生活習慣情報モジュール_本文登録</v>
      </c>
      <c r="D925" s="148"/>
      <c r="E925" s="148"/>
      <c r="F925" s="148"/>
      <c r="G925" s="148"/>
      <c r="H925" s="148"/>
      <c r="I925" s="148"/>
      <c r="J925" s="148"/>
      <c r="K925" s="148"/>
      <c r="L925" s="148"/>
      <c r="M925" s="148"/>
      <c r="N925" s="148"/>
      <c r="O925" s="148"/>
      <c r="P925" s="148"/>
      <c r="Q925" s="148"/>
      <c r="R925" s="148"/>
      <c r="S925" s="148"/>
      <c r="T925" s="148"/>
      <c r="U925" s="149"/>
      <c r="W925" s="35" t="str">
        <f>"-- "&amp;C925</f>
        <v>-- バックアップ_MML_生活習慣情報モジュール_本文登録</v>
      </c>
    </row>
    <row r="926" spans="2:23" ht="18.75" customHeight="1">
      <c r="B926" s="43" t="s">
        <v>159</v>
      </c>
      <c r="C926" s="136" t="str">
        <f>C928&amp;"テーブルから組入れ条件の第一条件で絞り込んだ結果を"&amp;R928&amp;"テーブルに格納する。"</f>
        <v>MML_生活習慣情報モジュール_本文テーブルから組入れ条件の第一条件で絞り込んだ結果をバックアップ_MML_生活習慣情報モジュール_本文テーブルに格納する。</v>
      </c>
      <c r="D926" s="137"/>
      <c r="E926" s="137"/>
      <c r="F926" s="137"/>
      <c r="G926" s="137"/>
      <c r="H926" s="137"/>
      <c r="I926" s="137"/>
      <c r="J926" s="137"/>
      <c r="K926" s="137"/>
      <c r="L926" s="137"/>
      <c r="M926" s="137"/>
      <c r="N926" s="137"/>
      <c r="O926" s="137"/>
      <c r="P926" s="137"/>
      <c r="Q926" s="137"/>
      <c r="R926" s="137"/>
      <c r="S926" s="137"/>
      <c r="T926" s="137"/>
      <c r="U926" s="138"/>
      <c r="W926" s="35" t="str">
        <f>"-- "&amp;C926</f>
        <v>-- MML_生活習慣情報モジュール_本文テーブルから組入れ条件の第一条件で絞り込んだ結果をバックアップ_MML_生活習慣情報モジュール_本文テーブルに格納する。</v>
      </c>
    </row>
    <row r="928" spans="2:23" ht="18.75" customHeight="1">
      <c r="C928" s="139" t="s">
        <v>3642</v>
      </c>
      <c r="D928" s="140"/>
      <c r="E928" s="143" t="s">
        <v>162</v>
      </c>
      <c r="H928" s="36"/>
      <c r="I928" s="36"/>
      <c r="J928" s="36"/>
      <c r="K928" s="36"/>
      <c r="L928" s="36"/>
      <c r="M928" s="36"/>
      <c r="N928" s="36"/>
      <c r="O928" s="36"/>
      <c r="P928" s="36"/>
      <c r="Q928" s="36"/>
      <c r="R928" s="139" t="str">
        <f>"バックアップ_"&amp;SUBSTITUTE(C928,"_結合","")</f>
        <v>バックアップ_MML_生活習慣情報モジュール_本文</v>
      </c>
      <c r="S928" s="140"/>
      <c r="T928" s="145" t="str">
        <f>エンティティ一覧!$O$2</f>
        <v>milscm_2023_009</v>
      </c>
    </row>
    <row r="929" spans="2:23" ht="18.75" customHeight="1">
      <c r="C929" s="141"/>
      <c r="D929" s="142"/>
      <c r="E929" s="144"/>
      <c r="F929" s="37"/>
      <c r="G929" s="38"/>
      <c r="H929" s="37"/>
      <c r="I929" s="37"/>
      <c r="J929" s="37"/>
      <c r="K929" s="37"/>
      <c r="L929" s="37"/>
      <c r="M929" s="37"/>
      <c r="N929" s="37"/>
      <c r="O929" s="37"/>
      <c r="P929" s="37"/>
      <c r="Q929" s="37"/>
      <c r="R929" s="141"/>
      <c r="S929" s="142"/>
      <c r="T929" s="146"/>
    </row>
    <row r="930" spans="2:23" ht="18.75" customHeight="1">
      <c r="F930" s="39"/>
      <c r="G930" s="40"/>
    </row>
    <row r="931" spans="2:23" ht="18.75" customHeight="1">
      <c r="C931" s="139" t="s">
        <v>3181</v>
      </c>
      <c r="D931" s="140"/>
      <c r="E931" s="145" t="str">
        <f>エンティティ一覧!$O$2</f>
        <v>milscm_2023_009</v>
      </c>
      <c r="G931" s="41"/>
    </row>
    <row r="932" spans="2:23" ht="18.75" customHeight="1">
      <c r="C932" s="141"/>
      <c r="D932" s="142"/>
      <c r="E932" s="146"/>
      <c r="F932" s="37"/>
    </row>
    <row r="934" spans="2:23" ht="18.75" customHeight="1" thickBot="1">
      <c r="B934" s="42"/>
      <c r="C934" s="42"/>
      <c r="D934" s="42"/>
      <c r="E934" s="42"/>
      <c r="F934" s="42"/>
      <c r="G934" s="42"/>
      <c r="H934" s="42"/>
      <c r="I934" s="42"/>
      <c r="J934" s="42"/>
      <c r="K934" s="42"/>
      <c r="L934" s="42"/>
      <c r="M934" s="42"/>
      <c r="N934" s="42"/>
      <c r="O934" s="42"/>
      <c r="P934" s="42"/>
      <c r="Q934" s="42"/>
      <c r="R934" s="42"/>
      <c r="S934" s="42"/>
      <c r="T934" s="42"/>
      <c r="U934" s="42"/>
    </row>
    <row r="936" spans="2:23" ht="18.75" customHeight="1">
      <c r="B936" s="43" t="s">
        <v>163</v>
      </c>
      <c r="C936" s="51" t="s">
        <v>3643</v>
      </c>
      <c r="D936" s="88"/>
      <c r="W936" s="35" t="str">
        <f>"-- "&amp;B936&amp;" : "&amp;C936</f>
        <v>-- SQL_ID : 01_A6-53</v>
      </c>
    </row>
    <row r="937" spans="2:23" ht="18.75" customHeight="1">
      <c r="B937" s="43" t="s">
        <v>158</v>
      </c>
      <c r="C937" s="147" t="str">
        <f>R940&amp;"登録"</f>
        <v>バックアップ_MML_紹介状モジュール_本文登録</v>
      </c>
      <c r="D937" s="148"/>
      <c r="E937" s="148"/>
      <c r="F937" s="148"/>
      <c r="G937" s="148"/>
      <c r="H937" s="148"/>
      <c r="I937" s="148"/>
      <c r="J937" s="148"/>
      <c r="K937" s="148"/>
      <c r="L937" s="148"/>
      <c r="M937" s="148"/>
      <c r="N937" s="148"/>
      <c r="O937" s="148"/>
      <c r="P937" s="148"/>
      <c r="Q937" s="148"/>
      <c r="R937" s="148"/>
      <c r="S937" s="148"/>
      <c r="T937" s="148"/>
      <c r="U937" s="149"/>
      <c r="W937" s="35" t="str">
        <f>"-- "&amp;C937</f>
        <v>-- バックアップ_MML_紹介状モジュール_本文登録</v>
      </c>
    </row>
    <row r="938" spans="2:23" ht="18.75" customHeight="1">
      <c r="B938" s="43" t="s">
        <v>159</v>
      </c>
      <c r="C938" s="136" t="str">
        <f>C940&amp;"テーブルから組入れ条件の第一条件で絞り込んだ結果を"&amp;R940&amp;"テーブルに格納する。"</f>
        <v>MML_紹介状モジュール_本文テーブルから組入れ条件の第一条件で絞り込んだ結果をバックアップ_MML_紹介状モジュール_本文テーブルに格納する。</v>
      </c>
      <c r="D938" s="137"/>
      <c r="E938" s="137"/>
      <c r="F938" s="137"/>
      <c r="G938" s="137"/>
      <c r="H938" s="137"/>
      <c r="I938" s="137"/>
      <c r="J938" s="137"/>
      <c r="K938" s="137"/>
      <c r="L938" s="137"/>
      <c r="M938" s="137"/>
      <c r="N938" s="137"/>
      <c r="O938" s="137"/>
      <c r="P938" s="137"/>
      <c r="Q938" s="137"/>
      <c r="R938" s="137"/>
      <c r="S938" s="137"/>
      <c r="T938" s="137"/>
      <c r="U938" s="138"/>
      <c r="W938" s="35" t="str">
        <f>"-- "&amp;C938</f>
        <v>-- MML_紹介状モジュール_本文テーブルから組入れ条件の第一条件で絞り込んだ結果をバックアップ_MML_紹介状モジュール_本文テーブルに格納する。</v>
      </c>
    </row>
    <row r="940" spans="2:23" ht="18.75" customHeight="1">
      <c r="C940" s="139" t="s">
        <v>3644</v>
      </c>
      <c r="D940" s="140"/>
      <c r="E940" s="143" t="s">
        <v>162</v>
      </c>
      <c r="H940" s="36"/>
      <c r="I940" s="36"/>
      <c r="J940" s="36"/>
      <c r="K940" s="36"/>
      <c r="L940" s="36"/>
      <c r="M940" s="36"/>
      <c r="N940" s="36"/>
      <c r="O940" s="36"/>
      <c r="P940" s="36"/>
      <c r="Q940" s="36"/>
      <c r="R940" s="139" t="str">
        <f>"バックアップ_"&amp;SUBSTITUTE(C940,"_結合","")</f>
        <v>バックアップ_MML_紹介状モジュール_本文</v>
      </c>
      <c r="S940" s="140"/>
      <c r="T940" s="145" t="str">
        <f>エンティティ一覧!$O$2</f>
        <v>milscm_2023_009</v>
      </c>
    </row>
    <row r="941" spans="2:23" ht="18.75" customHeight="1">
      <c r="C941" s="141"/>
      <c r="D941" s="142"/>
      <c r="E941" s="144"/>
      <c r="F941" s="37"/>
      <c r="G941" s="38"/>
      <c r="H941" s="37"/>
      <c r="I941" s="37"/>
      <c r="J941" s="37"/>
      <c r="K941" s="37"/>
      <c r="L941" s="37"/>
      <c r="M941" s="37"/>
      <c r="N941" s="37"/>
      <c r="O941" s="37"/>
      <c r="P941" s="37"/>
      <c r="Q941" s="37"/>
      <c r="R941" s="141"/>
      <c r="S941" s="142"/>
      <c r="T941" s="146"/>
    </row>
    <row r="942" spans="2:23" ht="18.75" customHeight="1">
      <c r="F942" s="39"/>
      <c r="G942" s="40"/>
    </row>
    <row r="943" spans="2:23" ht="18.75" customHeight="1">
      <c r="C943" s="139" t="s">
        <v>3181</v>
      </c>
      <c r="D943" s="140"/>
      <c r="E943" s="145" t="str">
        <f>エンティティ一覧!$O$2</f>
        <v>milscm_2023_009</v>
      </c>
      <c r="G943" s="41"/>
    </row>
    <row r="944" spans="2:23" ht="18.75" customHeight="1">
      <c r="C944" s="141"/>
      <c r="D944" s="142"/>
      <c r="E944" s="146"/>
      <c r="F944" s="37"/>
    </row>
    <row r="946" spans="2:23" ht="18.75" customHeight="1" thickBot="1">
      <c r="B946" s="42"/>
      <c r="C946" s="42"/>
      <c r="D946" s="42"/>
      <c r="E946" s="42"/>
      <c r="F946" s="42"/>
      <c r="G946" s="42"/>
      <c r="H946" s="42"/>
      <c r="I946" s="42"/>
      <c r="J946" s="42"/>
      <c r="K946" s="42"/>
      <c r="L946" s="42"/>
      <c r="M946" s="42"/>
      <c r="N946" s="42"/>
      <c r="O946" s="42"/>
      <c r="P946" s="42"/>
      <c r="Q946" s="42"/>
      <c r="R946" s="42"/>
      <c r="S946" s="42"/>
      <c r="T946" s="42"/>
      <c r="U946" s="42"/>
    </row>
    <row r="948" spans="2:23" ht="18.75" customHeight="1">
      <c r="B948" s="43" t="s">
        <v>163</v>
      </c>
      <c r="C948" s="51" t="s">
        <v>3645</v>
      </c>
      <c r="D948" s="88"/>
      <c r="W948" s="35" t="str">
        <f>"-- "&amp;B948&amp;" : "&amp;C948</f>
        <v>-- SQL_ID : 01_A6-54</v>
      </c>
    </row>
    <row r="949" spans="2:23" ht="18.75" customHeight="1">
      <c r="B949" s="43" t="s">
        <v>158</v>
      </c>
      <c r="C949" s="147" t="str">
        <f>R952&amp;"登録"</f>
        <v>バックアップ_MML_紹介状モジュール_注射記録登録</v>
      </c>
      <c r="D949" s="148"/>
      <c r="E949" s="148"/>
      <c r="F949" s="148"/>
      <c r="G949" s="148"/>
      <c r="H949" s="148"/>
      <c r="I949" s="148"/>
      <c r="J949" s="148"/>
      <c r="K949" s="148"/>
      <c r="L949" s="148"/>
      <c r="M949" s="148"/>
      <c r="N949" s="148"/>
      <c r="O949" s="148"/>
      <c r="P949" s="148"/>
      <c r="Q949" s="148"/>
      <c r="R949" s="148"/>
      <c r="S949" s="148"/>
      <c r="T949" s="148"/>
      <c r="U949" s="149"/>
      <c r="W949" s="35" t="str">
        <f>"-- "&amp;C949</f>
        <v>-- バックアップ_MML_紹介状モジュール_注射記録登録</v>
      </c>
    </row>
    <row r="950" spans="2:23" ht="18.75" customHeight="1">
      <c r="B950" s="43" t="s">
        <v>159</v>
      </c>
      <c r="C950" s="136" t="str">
        <f>C952&amp;"テーブルから組入れ条件の第一条件で絞り込んだ結果を"&amp;R952&amp;"テーブルに格納する。"</f>
        <v>MML_紹介状モジュール_注射記録テーブルから組入れ条件の第一条件で絞り込んだ結果をバックアップ_MML_紹介状モジュール_注射記録テーブルに格納する。</v>
      </c>
      <c r="D950" s="137"/>
      <c r="E950" s="137"/>
      <c r="F950" s="137"/>
      <c r="G950" s="137"/>
      <c r="H950" s="137"/>
      <c r="I950" s="137"/>
      <c r="J950" s="137"/>
      <c r="K950" s="137"/>
      <c r="L950" s="137"/>
      <c r="M950" s="137"/>
      <c r="N950" s="137"/>
      <c r="O950" s="137"/>
      <c r="P950" s="137"/>
      <c r="Q950" s="137"/>
      <c r="R950" s="137"/>
      <c r="S950" s="137"/>
      <c r="T950" s="137"/>
      <c r="U950" s="138"/>
      <c r="W950" s="35" t="str">
        <f>"-- "&amp;C950</f>
        <v>-- MML_紹介状モジュール_注射記録テーブルから組入れ条件の第一条件で絞り込んだ結果をバックアップ_MML_紹介状モジュール_注射記録テーブルに格納する。</v>
      </c>
    </row>
    <row r="952" spans="2:23" ht="18.75" customHeight="1">
      <c r="C952" s="139" t="s">
        <v>3646</v>
      </c>
      <c r="D952" s="140"/>
      <c r="E952" s="143" t="s">
        <v>162</v>
      </c>
      <c r="H952" s="36"/>
      <c r="I952" s="36"/>
      <c r="J952" s="36"/>
      <c r="K952" s="36"/>
      <c r="L952" s="36"/>
      <c r="M952" s="36"/>
      <c r="N952" s="36"/>
      <c r="O952" s="36"/>
      <c r="P952" s="36"/>
      <c r="Q952" s="36"/>
      <c r="R952" s="139" t="str">
        <f>"バックアップ_"&amp;SUBSTITUTE(C952,"_結合","")</f>
        <v>バックアップ_MML_紹介状モジュール_注射記録</v>
      </c>
      <c r="S952" s="140"/>
      <c r="T952" s="145" t="str">
        <f>エンティティ一覧!$O$2</f>
        <v>milscm_2023_009</v>
      </c>
    </row>
    <row r="953" spans="2:23" ht="18.75" customHeight="1">
      <c r="C953" s="141"/>
      <c r="D953" s="142"/>
      <c r="E953" s="144"/>
      <c r="F953" s="37"/>
      <c r="G953" s="38"/>
      <c r="H953" s="37"/>
      <c r="I953" s="37"/>
      <c r="J953" s="37"/>
      <c r="K953" s="37"/>
      <c r="L953" s="37"/>
      <c r="M953" s="37"/>
      <c r="N953" s="37"/>
      <c r="O953" s="37"/>
      <c r="P953" s="37"/>
      <c r="Q953" s="37"/>
      <c r="R953" s="141"/>
      <c r="S953" s="142"/>
      <c r="T953" s="146"/>
    </row>
    <row r="954" spans="2:23" ht="18.75" customHeight="1">
      <c r="F954" s="39"/>
      <c r="G954" s="40"/>
    </row>
    <row r="955" spans="2:23" ht="18.75" customHeight="1">
      <c r="C955" s="139" t="s">
        <v>3181</v>
      </c>
      <c r="D955" s="140"/>
      <c r="E955" s="145" t="str">
        <f>エンティティ一覧!$O$2</f>
        <v>milscm_2023_009</v>
      </c>
      <c r="G955" s="41"/>
    </row>
    <row r="956" spans="2:23" ht="18.75" customHeight="1">
      <c r="C956" s="141"/>
      <c r="D956" s="142"/>
      <c r="E956" s="146"/>
      <c r="F956" s="37"/>
    </row>
    <row r="958" spans="2:23" ht="18.75" customHeight="1" thickBot="1">
      <c r="B958" s="42"/>
      <c r="C958" s="42"/>
      <c r="D958" s="42"/>
      <c r="E958" s="42"/>
      <c r="F958" s="42"/>
      <c r="G958" s="42"/>
      <c r="H958" s="42"/>
      <c r="I958" s="42"/>
      <c r="J958" s="42"/>
      <c r="K958" s="42"/>
      <c r="L958" s="42"/>
      <c r="M958" s="42"/>
      <c r="N958" s="42"/>
      <c r="O958" s="42"/>
      <c r="P958" s="42"/>
      <c r="Q958" s="42"/>
      <c r="R958" s="42"/>
      <c r="S958" s="42"/>
      <c r="T958" s="42"/>
      <c r="U958" s="42"/>
    </row>
    <row r="960" spans="2:23" ht="18.75" customHeight="1">
      <c r="B960" s="43" t="s">
        <v>163</v>
      </c>
      <c r="C960" s="51" t="s">
        <v>3647</v>
      </c>
      <c r="D960" s="88"/>
      <c r="W960" s="35" t="str">
        <f>"-- "&amp;B960&amp;" : "&amp;C960</f>
        <v>-- SQL_ID : 01_A6-55</v>
      </c>
    </row>
    <row r="961" spans="2:23" ht="18.75" customHeight="1">
      <c r="B961" s="43" t="s">
        <v>158</v>
      </c>
      <c r="C961" s="147" t="str">
        <f>R964&amp;"登録"</f>
        <v>バックアップ_MML_紹介状モジュール_注射記録投薬登録</v>
      </c>
      <c r="D961" s="148"/>
      <c r="E961" s="148"/>
      <c r="F961" s="148"/>
      <c r="G961" s="148"/>
      <c r="H961" s="148"/>
      <c r="I961" s="148"/>
      <c r="J961" s="148"/>
      <c r="K961" s="148"/>
      <c r="L961" s="148"/>
      <c r="M961" s="148"/>
      <c r="N961" s="148"/>
      <c r="O961" s="148"/>
      <c r="P961" s="148"/>
      <c r="Q961" s="148"/>
      <c r="R961" s="148"/>
      <c r="S961" s="148"/>
      <c r="T961" s="148"/>
      <c r="U961" s="149"/>
      <c r="W961" s="35" t="str">
        <f>"-- "&amp;C961</f>
        <v>-- バックアップ_MML_紹介状モジュール_注射記録投薬登録</v>
      </c>
    </row>
    <row r="962" spans="2:23" ht="18.75" customHeight="1">
      <c r="B962" s="43" t="s">
        <v>159</v>
      </c>
      <c r="C962" s="136" t="str">
        <f>C964&amp;"テーブルから組入れ条件の第一条件で絞り込んだ結果を"&amp;R964&amp;"テーブルに格納する。"</f>
        <v>MML_紹介状モジュール_注射記録投薬テーブルから組入れ条件の第一条件で絞り込んだ結果をバックアップ_MML_紹介状モジュール_注射記録投薬テーブルに格納する。</v>
      </c>
      <c r="D962" s="137"/>
      <c r="E962" s="137"/>
      <c r="F962" s="137"/>
      <c r="G962" s="137"/>
      <c r="H962" s="137"/>
      <c r="I962" s="137"/>
      <c r="J962" s="137"/>
      <c r="K962" s="137"/>
      <c r="L962" s="137"/>
      <c r="M962" s="137"/>
      <c r="N962" s="137"/>
      <c r="O962" s="137"/>
      <c r="P962" s="137"/>
      <c r="Q962" s="137"/>
      <c r="R962" s="137"/>
      <c r="S962" s="137"/>
      <c r="T962" s="137"/>
      <c r="U962" s="138"/>
      <c r="W962" s="35" t="str">
        <f>"-- "&amp;C962</f>
        <v>-- MML_紹介状モジュール_注射記録投薬テーブルから組入れ条件の第一条件で絞り込んだ結果をバックアップ_MML_紹介状モジュール_注射記録投薬テーブルに格納する。</v>
      </c>
    </row>
    <row r="964" spans="2:23" ht="18.75" customHeight="1">
      <c r="C964" s="139" t="s">
        <v>3648</v>
      </c>
      <c r="D964" s="140"/>
      <c r="E964" s="143" t="s">
        <v>162</v>
      </c>
      <c r="H964" s="36"/>
      <c r="I964" s="36"/>
      <c r="J964" s="36"/>
      <c r="K964" s="36"/>
      <c r="L964" s="36"/>
      <c r="M964" s="36"/>
      <c r="N964" s="36"/>
      <c r="O964" s="36"/>
      <c r="P964" s="36"/>
      <c r="Q964" s="36"/>
      <c r="R964" s="139" t="str">
        <f>"バックアップ_"&amp;SUBSTITUTE(C964,"_結合","")</f>
        <v>バックアップ_MML_紹介状モジュール_注射記録投薬</v>
      </c>
      <c r="S964" s="140"/>
      <c r="T964" s="145" t="str">
        <f>エンティティ一覧!$O$2</f>
        <v>milscm_2023_009</v>
      </c>
    </row>
    <row r="965" spans="2:23" ht="18.75" customHeight="1">
      <c r="C965" s="141"/>
      <c r="D965" s="142"/>
      <c r="E965" s="144"/>
      <c r="F965" s="37"/>
      <c r="G965" s="38"/>
      <c r="H965" s="37"/>
      <c r="I965" s="37"/>
      <c r="J965" s="37"/>
      <c r="K965" s="37"/>
      <c r="L965" s="37"/>
      <c r="M965" s="37"/>
      <c r="N965" s="37"/>
      <c r="O965" s="37"/>
      <c r="P965" s="37"/>
      <c r="Q965" s="37"/>
      <c r="R965" s="141"/>
      <c r="S965" s="142"/>
      <c r="T965" s="146"/>
    </row>
    <row r="966" spans="2:23" ht="18.75" customHeight="1">
      <c r="F966" s="39"/>
      <c r="G966" s="40"/>
    </row>
    <row r="967" spans="2:23" ht="18.75" customHeight="1">
      <c r="C967" s="139" t="s">
        <v>3181</v>
      </c>
      <c r="D967" s="140"/>
      <c r="E967" s="145" t="str">
        <f>エンティティ一覧!$O$2</f>
        <v>milscm_2023_009</v>
      </c>
      <c r="G967" s="41"/>
    </row>
    <row r="968" spans="2:23" ht="18.75" customHeight="1">
      <c r="C968" s="141"/>
      <c r="D968" s="142"/>
      <c r="E968" s="146"/>
      <c r="F968" s="37"/>
    </row>
    <row r="970" spans="2:23" ht="18.75" customHeight="1" thickBot="1">
      <c r="B970" s="42"/>
      <c r="C970" s="42"/>
      <c r="D970" s="42"/>
      <c r="E970" s="42"/>
      <c r="F970" s="42"/>
      <c r="G970" s="42"/>
      <c r="H970" s="42"/>
      <c r="I970" s="42"/>
      <c r="J970" s="42"/>
      <c r="K970" s="42"/>
      <c r="L970" s="42"/>
      <c r="M970" s="42"/>
      <c r="N970" s="42"/>
      <c r="O970" s="42"/>
      <c r="P970" s="42"/>
      <c r="Q970" s="42"/>
      <c r="R970" s="42"/>
      <c r="S970" s="42"/>
      <c r="T970" s="42"/>
      <c r="U970" s="42"/>
    </row>
    <row r="972" spans="2:23" ht="18.75" customHeight="1">
      <c r="B972" s="43" t="s">
        <v>163</v>
      </c>
      <c r="C972" s="51" t="s">
        <v>3649</v>
      </c>
      <c r="D972" s="88"/>
      <c r="W972" s="35" t="str">
        <f>"-- "&amp;B972&amp;" : "&amp;C972</f>
        <v>-- SQL_ID : 01_A6-56</v>
      </c>
    </row>
    <row r="973" spans="2:23" ht="18.75" customHeight="1">
      <c r="B973" s="43" t="s">
        <v>158</v>
      </c>
      <c r="C973" s="147" t="str">
        <f>R976&amp;"登録"</f>
        <v>バックアップ_MML_紹介状モジュール_注射記録薬剤登録</v>
      </c>
      <c r="D973" s="148"/>
      <c r="E973" s="148"/>
      <c r="F973" s="148"/>
      <c r="G973" s="148"/>
      <c r="H973" s="148"/>
      <c r="I973" s="148"/>
      <c r="J973" s="148"/>
      <c r="K973" s="148"/>
      <c r="L973" s="148"/>
      <c r="M973" s="148"/>
      <c r="N973" s="148"/>
      <c r="O973" s="148"/>
      <c r="P973" s="148"/>
      <c r="Q973" s="148"/>
      <c r="R973" s="148"/>
      <c r="S973" s="148"/>
      <c r="T973" s="148"/>
      <c r="U973" s="149"/>
      <c r="W973" s="35" t="str">
        <f>"-- "&amp;C973</f>
        <v>-- バックアップ_MML_紹介状モジュール_注射記録薬剤登録</v>
      </c>
    </row>
    <row r="974" spans="2:23" ht="18.75" customHeight="1">
      <c r="B974" s="43" t="s">
        <v>159</v>
      </c>
      <c r="C974" s="136" t="str">
        <f>C976&amp;"テーブルから組入れ条件の第一条件で絞り込んだ結果を"&amp;R976&amp;"テーブルに格納する。"</f>
        <v>MML_紹介状モジュール_注射記録薬剤テーブルから組入れ条件の第一条件で絞り込んだ結果をバックアップ_MML_紹介状モジュール_注射記録薬剤テーブルに格納する。</v>
      </c>
      <c r="D974" s="137"/>
      <c r="E974" s="137"/>
      <c r="F974" s="137"/>
      <c r="G974" s="137"/>
      <c r="H974" s="137"/>
      <c r="I974" s="137"/>
      <c r="J974" s="137"/>
      <c r="K974" s="137"/>
      <c r="L974" s="137"/>
      <c r="M974" s="137"/>
      <c r="N974" s="137"/>
      <c r="O974" s="137"/>
      <c r="P974" s="137"/>
      <c r="Q974" s="137"/>
      <c r="R974" s="137"/>
      <c r="S974" s="137"/>
      <c r="T974" s="137"/>
      <c r="U974" s="138"/>
      <c r="W974" s="35" t="str">
        <f>"-- "&amp;C974</f>
        <v>-- MML_紹介状モジュール_注射記録薬剤テーブルから組入れ条件の第一条件で絞り込んだ結果をバックアップ_MML_紹介状モジュール_注射記録薬剤テーブルに格納する。</v>
      </c>
    </row>
    <row r="976" spans="2:23" ht="18.75" customHeight="1">
      <c r="C976" s="139" t="s">
        <v>3650</v>
      </c>
      <c r="D976" s="140"/>
      <c r="E976" s="143" t="s">
        <v>162</v>
      </c>
      <c r="H976" s="36"/>
      <c r="I976" s="36"/>
      <c r="J976" s="36"/>
      <c r="K976" s="36"/>
      <c r="L976" s="36"/>
      <c r="M976" s="36"/>
      <c r="N976" s="36"/>
      <c r="O976" s="36"/>
      <c r="P976" s="36"/>
      <c r="Q976" s="36"/>
      <c r="R976" s="139" t="str">
        <f>"バックアップ_"&amp;SUBSTITUTE(C976,"_結合","")</f>
        <v>バックアップ_MML_紹介状モジュール_注射記録薬剤</v>
      </c>
      <c r="S976" s="140"/>
      <c r="T976" s="145" t="str">
        <f>エンティティ一覧!$O$2</f>
        <v>milscm_2023_009</v>
      </c>
    </row>
    <row r="977" spans="2:23" ht="18.75" customHeight="1">
      <c r="C977" s="141"/>
      <c r="D977" s="142"/>
      <c r="E977" s="144"/>
      <c r="F977" s="37"/>
      <c r="G977" s="38"/>
      <c r="H977" s="37"/>
      <c r="I977" s="37"/>
      <c r="J977" s="37"/>
      <c r="K977" s="37"/>
      <c r="L977" s="37"/>
      <c r="M977" s="37"/>
      <c r="N977" s="37"/>
      <c r="O977" s="37"/>
      <c r="P977" s="37"/>
      <c r="Q977" s="37"/>
      <c r="R977" s="141"/>
      <c r="S977" s="142"/>
      <c r="T977" s="146"/>
    </row>
    <row r="978" spans="2:23" ht="18.75" customHeight="1">
      <c r="F978" s="39"/>
      <c r="G978" s="40"/>
    </row>
    <row r="979" spans="2:23" ht="18.75" customHeight="1">
      <c r="C979" s="139" t="s">
        <v>3181</v>
      </c>
      <c r="D979" s="140"/>
      <c r="E979" s="145" t="str">
        <f>エンティティ一覧!$O$2</f>
        <v>milscm_2023_009</v>
      </c>
      <c r="G979" s="41"/>
    </row>
    <row r="980" spans="2:23" ht="18.75" customHeight="1">
      <c r="C980" s="141"/>
      <c r="D980" s="142"/>
      <c r="E980" s="146"/>
      <c r="F980" s="37"/>
    </row>
    <row r="982" spans="2:23" ht="18.75" customHeight="1" thickBot="1">
      <c r="B982" s="42"/>
      <c r="C982" s="42"/>
      <c r="D982" s="42"/>
      <c r="E982" s="42"/>
      <c r="F982" s="42"/>
      <c r="G982" s="42"/>
      <c r="H982" s="42"/>
      <c r="I982" s="42"/>
      <c r="J982" s="42"/>
      <c r="K982" s="42"/>
      <c r="L982" s="42"/>
      <c r="M982" s="42"/>
      <c r="N982" s="42"/>
      <c r="O982" s="42"/>
      <c r="P982" s="42"/>
      <c r="Q982" s="42"/>
      <c r="R982" s="42"/>
      <c r="S982" s="42"/>
      <c r="T982" s="42"/>
      <c r="U982" s="42"/>
    </row>
    <row r="984" spans="2:23" ht="18.75" customHeight="1">
      <c r="B984" s="43" t="s">
        <v>163</v>
      </c>
      <c r="C984" s="51" t="s">
        <v>3651</v>
      </c>
      <c r="D984" s="88"/>
      <c r="W984" s="35" t="str">
        <f>"-- "&amp;B984&amp;" : "&amp;C984</f>
        <v>-- SQL_ID : 01_A6-57</v>
      </c>
    </row>
    <row r="985" spans="2:23" ht="18.75" customHeight="1">
      <c r="B985" s="43" t="s">
        <v>158</v>
      </c>
      <c r="C985" s="147" t="str">
        <f>R988&amp;"登録"</f>
        <v>バックアップ_MML_紹介状モジュール_患者情報登録</v>
      </c>
      <c r="D985" s="148"/>
      <c r="E985" s="148"/>
      <c r="F985" s="148"/>
      <c r="G985" s="148"/>
      <c r="H985" s="148"/>
      <c r="I985" s="148"/>
      <c r="J985" s="148"/>
      <c r="K985" s="148"/>
      <c r="L985" s="148"/>
      <c r="M985" s="148"/>
      <c r="N985" s="148"/>
      <c r="O985" s="148"/>
      <c r="P985" s="148"/>
      <c r="Q985" s="148"/>
      <c r="R985" s="148"/>
      <c r="S985" s="148"/>
      <c r="T985" s="148"/>
      <c r="U985" s="149"/>
      <c r="W985" s="35" t="str">
        <f>"-- "&amp;C985</f>
        <v>-- バックアップ_MML_紹介状モジュール_患者情報登録</v>
      </c>
    </row>
    <row r="986" spans="2:23" ht="18.75" customHeight="1">
      <c r="B986" s="43" t="s">
        <v>159</v>
      </c>
      <c r="C986" s="136" t="str">
        <f>C988&amp;"テーブルから組入れ条件の第一条件で絞り込んだ結果を"&amp;R988&amp;"テーブルに格納する。"</f>
        <v>MML_紹介状モジュール_患者情報テーブルから組入れ条件の第一条件で絞り込んだ結果をバックアップ_MML_紹介状モジュール_患者情報テーブルに格納する。</v>
      </c>
      <c r="D986" s="137"/>
      <c r="E986" s="137"/>
      <c r="F986" s="137"/>
      <c r="G986" s="137"/>
      <c r="H986" s="137"/>
      <c r="I986" s="137"/>
      <c r="J986" s="137"/>
      <c r="K986" s="137"/>
      <c r="L986" s="137"/>
      <c r="M986" s="137"/>
      <c r="N986" s="137"/>
      <c r="O986" s="137"/>
      <c r="P986" s="137"/>
      <c r="Q986" s="137"/>
      <c r="R986" s="137"/>
      <c r="S986" s="137"/>
      <c r="T986" s="137"/>
      <c r="U986" s="138"/>
      <c r="W986" s="35" t="str">
        <f>"-- "&amp;C986</f>
        <v>-- MML_紹介状モジュール_患者情報テーブルから組入れ条件の第一条件で絞り込んだ結果をバックアップ_MML_紹介状モジュール_患者情報テーブルに格納する。</v>
      </c>
    </row>
    <row r="988" spans="2:23" ht="18.75" customHeight="1">
      <c r="C988" s="139" t="s">
        <v>3652</v>
      </c>
      <c r="D988" s="140"/>
      <c r="E988" s="143" t="s">
        <v>162</v>
      </c>
      <c r="H988" s="36"/>
      <c r="I988" s="36"/>
      <c r="J988" s="36"/>
      <c r="K988" s="36"/>
      <c r="L988" s="36"/>
      <c r="M988" s="36"/>
      <c r="N988" s="36"/>
      <c r="O988" s="36"/>
      <c r="P988" s="36"/>
      <c r="Q988" s="36"/>
      <c r="R988" s="139" t="str">
        <f>"バックアップ_"&amp;SUBSTITUTE(C988,"_結合","")</f>
        <v>バックアップ_MML_紹介状モジュール_患者情報</v>
      </c>
      <c r="S988" s="140"/>
      <c r="T988" s="145" t="str">
        <f>エンティティ一覧!$O$2</f>
        <v>milscm_2023_009</v>
      </c>
    </row>
    <row r="989" spans="2:23" ht="18.75" customHeight="1">
      <c r="C989" s="141"/>
      <c r="D989" s="142"/>
      <c r="E989" s="144"/>
      <c r="F989" s="37"/>
      <c r="G989" s="38"/>
      <c r="H989" s="37"/>
      <c r="I989" s="37"/>
      <c r="J989" s="37"/>
      <c r="K989" s="37"/>
      <c r="L989" s="37"/>
      <c r="M989" s="37"/>
      <c r="N989" s="37"/>
      <c r="O989" s="37"/>
      <c r="P989" s="37"/>
      <c r="Q989" s="37"/>
      <c r="R989" s="141"/>
      <c r="S989" s="142"/>
      <c r="T989" s="146"/>
    </row>
    <row r="990" spans="2:23" ht="18.75" customHeight="1">
      <c r="F990" s="39"/>
      <c r="G990" s="40"/>
    </row>
    <row r="991" spans="2:23" ht="18.75" customHeight="1">
      <c r="C991" s="139" t="s">
        <v>3181</v>
      </c>
      <c r="D991" s="140"/>
      <c r="E991" s="145" t="str">
        <f>エンティティ一覧!$O$2</f>
        <v>milscm_2023_009</v>
      </c>
      <c r="G991" s="41"/>
    </row>
    <row r="992" spans="2:23" ht="18.75" customHeight="1">
      <c r="C992" s="141"/>
      <c r="D992" s="142"/>
      <c r="E992" s="146"/>
      <c r="F992" s="37"/>
    </row>
    <row r="994" spans="2:23" ht="18.75" customHeight="1" thickBot="1">
      <c r="B994" s="42"/>
      <c r="C994" s="42"/>
      <c r="D994" s="42"/>
      <c r="E994" s="42"/>
      <c r="F994" s="42"/>
      <c r="G994" s="42"/>
      <c r="H994" s="42"/>
      <c r="I994" s="42"/>
      <c r="J994" s="42"/>
      <c r="K994" s="42"/>
      <c r="L994" s="42"/>
      <c r="M994" s="42"/>
      <c r="N994" s="42"/>
      <c r="O994" s="42"/>
      <c r="P994" s="42"/>
      <c r="Q994" s="42"/>
      <c r="R994" s="42"/>
      <c r="S994" s="42"/>
      <c r="T994" s="42"/>
      <c r="U994" s="42"/>
    </row>
    <row r="996" spans="2:23" ht="18.75" customHeight="1">
      <c r="B996" s="43" t="s">
        <v>163</v>
      </c>
      <c r="C996" s="51" t="s">
        <v>3653</v>
      </c>
      <c r="D996" s="88"/>
      <c r="W996" s="35" t="str">
        <f>"-- "&amp;B996&amp;" : "&amp;C996</f>
        <v>-- SQL_ID : 01_A6-58</v>
      </c>
    </row>
    <row r="997" spans="2:23" ht="18.75" customHeight="1">
      <c r="B997" s="43" t="s">
        <v>158</v>
      </c>
      <c r="C997" s="147" t="str">
        <f>R1000&amp;"登録"</f>
        <v>バックアップ_MML_紹介状モジュール_患者情報住所登録</v>
      </c>
      <c r="D997" s="148"/>
      <c r="E997" s="148"/>
      <c r="F997" s="148"/>
      <c r="G997" s="148"/>
      <c r="H997" s="148"/>
      <c r="I997" s="148"/>
      <c r="J997" s="148"/>
      <c r="K997" s="148"/>
      <c r="L997" s="148"/>
      <c r="M997" s="148"/>
      <c r="N997" s="148"/>
      <c r="O997" s="148"/>
      <c r="P997" s="148"/>
      <c r="Q997" s="148"/>
      <c r="R997" s="148"/>
      <c r="S997" s="148"/>
      <c r="T997" s="148"/>
      <c r="U997" s="149"/>
      <c r="W997" s="35" t="str">
        <f>"-- "&amp;C997</f>
        <v>-- バックアップ_MML_紹介状モジュール_患者情報住所登録</v>
      </c>
    </row>
    <row r="998" spans="2:23" ht="18.75" customHeight="1">
      <c r="B998" s="43" t="s">
        <v>159</v>
      </c>
      <c r="C998" s="136" t="str">
        <f>C1000&amp;"テーブルから組入れ条件の第一条件で絞り込んだ結果を"&amp;R1000&amp;"テーブルに格納する。"</f>
        <v>MML_紹介状モジュール_患者情報住所テーブルから組入れ条件の第一条件で絞り込んだ結果をバックアップ_MML_紹介状モジュール_患者情報住所テーブルに格納する。</v>
      </c>
      <c r="D998" s="137"/>
      <c r="E998" s="137"/>
      <c r="F998" s="137"/>
      <c r="G998" s="137"/>
      <c r="H998" s="137"/>
      <c r="I998" s="137"/>
      <c r="J998" s="137"/>
      <c r="K998" s="137"/>
      <c r="L998" s="137"/>
      <c r="M998" s="137"/>
      <c r="N998" s="137"/>
      <c r="O998" s="137"/>
      <c r="P998" s="137"/>
      <c r="Q998" s="137"/>
      <c r="R998" s="137"/>
      <c r="S998" s="137"/>
      <c r="T998" s="137"/>
      <c r="U998" s="138"/>
      <c r="W998" s="35" t="str">
        <f>"-- "&amp;C998</f>
        <v>-- MML_紹介状モジュール_患者情報住所テーブルから組入れ条件の第一条件で絞り込んだ結果をバックアップ_MML_紹介状モジュール_患者情報住所テーブルに格納する。</v>
      </c>
    </row>
    <row r="1000" spans="2:23" ht="18.75" customHeight="1">
      <c r="C1000" s="139" t="s">
        <v>3654</v>
      </c>
      <c r="D1000" s="140"/>
      <c r="E1000" s="143" t="s">
        <v>162</v>
      </c>
      <c r="H1000" s="36"/>
      <c r="I1000" s="36"/>
      <c r="J1000" s="36"/>
      <c r="K1000" s="36"/>
      <c r="L1000" s="36"/>
      <c r="M1000" s="36"/>
      <c r="N1000" s="36"/>
      <c r="O1000" s="36"/>
      <c r="P1000" s="36"/>
      <c r="Q1000" s="36"/>
      <c r="R1000" s="139" t="str">
        <f>"バックアップ_"&amp;SUBSTITUTE(C1000,"_結合","")</f>
        <v>バックアップ_MML_紹介状モジュール_患者情報住所</v>
      </c>
      <c r="S1000" s="140"/>
      <c r="T1000" s="145" t="str">
        <f>エンティティ一覧!$O$2</f>
        <v>milscm_2023_009</v>
      </c>
    </row>
    <row r="1001" spans="2:23" ht="18.75" customHeight="1">
      <c r="C1001" s="141"/>
      <c r="D1001" s="142"/>
      <c r="E1001" s="144"/>
      <c r="F1001" s="37"/>
      <c r="G1001" s="38"/>
      <c r="H1001" s="37"/>
      <c r="I1001" s="37"/>
      <c r="J1001" s="37"/>
      <c r="K1001" s="37"/>
      <c r="L1001" s="37"/>
      <c r="M1001" s="37"/>
      <c r="N1001" s="37"/>
      <c r="O1001" s="37"/>
      <c r="P1001" s="37"/>
      <c r="Q1001" s="37"/>
      <c r="R1001" s="141"/>
      <c r="S1001" s="142"/>
      <c r="T1001" s="146"/>
    </row>
    <row r="1002" spans="2:23" ht="18.75" customHeight="1">
      <c r="F1002" s="39"/>
      <c r="G1002" s="40"/>
    </row>
    <row r="1003" spans="2:23" ht="18.75" customHeight="1">
      <c r="C1003" s="139" t="s">
        <v>3181</v>
      </c>
      <c r="D1003" s="140"/>
      <c r="E1003" s="145" t="str">
        <f>エンティティ一覧!$O$2</f>
        <v>milscm_2023_009</v>
      </c>
      <c r="G1003" s="41"/>
    </row>
    <row r="1004" spans="2:23" ht="18.75" customHeight="1">
      <c r="C1004" s="141"/>
      <c r="D1004" s="142"/>
      <c r="E1004" s="146"/>
      <c r="F1004" s="37"/>
    </row>
    <row r="1006" spans="2:23" ht="18.75" customHeight="1" thickBot="1">
      <c r="B1006" s="42"/>
      <c r="C1006" s="42"/>
      <c r="D1006" s="42"/>
      <c r="E1006" s="42"/>
      <c r="F1006" s="42"/>
      <c r="G1006" s="42"/>
      <c r="H1006" s="42"/>
      <c r="I1006" s="42"/>
      <c r="J1006" s="42"/>
      <c r="K1006" s="42"/>
      <c r="L1006" s="42"/>
      <c r="M1006" s="42"/>
      <c r="N1006" s="42"/>
      <c r="O1006" s="42"/>
      <c r="P1006" s="42"/>
      <c r="Q1006" s="42"/>
      <c r="R1006" s="42"/>
      <c r="S1006" s="42"/>
      <c r="T1006" s="42"/>
      <c r="U1006" s="42"/>
    </row>
    <row r="1008" spans="2:23" ht="18.75" customHeight="1">
      <c r="B1008" s="43" t="s">
        <v>163</v>
      </c>
      <c r="C1008" s="51" t="s">
        <v>3655</v>
      </c>
      <c r="D1008" s="88"/>
      <c r="W1008" s="35" t="str">
        <f>"-- "&amp;B1008&amp;" : "&amp;C1008</f>
        <v>-- SQL_ID : 01_A6-59</v>
      </c>
    </row>
    <row r="1009" spans="2:23" ht="18.75" customHeight="1">
      <c r="B1009" s="43" t="s">
        <v>158</v>
      </c>
      <c r="C1009" s="147" t="str">
        <f>R1012&amp;"登録"</f>
        <v>バックアップ_MML_紹介状モジュール_処方箋登録</v>
      </c>
      <c r="D1009" s="148"/>
      <c r="E1009" s="148"/>
      <c r="F1009" s="148"/>
      <c r="G1009" s="148"/>
      <c r="H1009" s="148"/>
      <c r="I1009" s="148"/>
      <c r="J1009" s="148"/>
      <c r="K1009" s="148"/>
      <c r="L1009" s="148"/>
      <c r="M1009" s="148"/>
      <c r="N1009" s="148"/>
      <c r="O1009" s="148"/>
      <c r="P1009" s="148"/>
      <c r="Q1009" s="148"/>
      <c r="R1009" s="148"/>
      <c r="S1009" s="148"/>
      <c r="T1009" s="148"/>
      <c r="U1009" s="149"/>
      <c r="W1009" s="35" t="str">
        <f>"-- "&amp;C1009</f>
        <v>-- バックアップ_MML_紹介状モジュール_処方箋登録</v>
      </c>
    </row>
    <row r="1010" spans="2:23" ht="18.75" customHeight="1">
      <c r="B1010" s="43" t="s">
        <v>159</v>
      </c>
      <c r="C1010" s="136" t="str">
        <f>C1012&amp;"テーブルから組入れ条件の第一条件で絞り込んだ結果を"&amp;R1012&amp;"テーブルに格納する。"</f>
        <v>MML_紹介状モジュール_処方箋テーブルから組入れ条件の第一条件で絞り込んだ結果をバックアップ_MML_紹介状モジュール_処方箋テーブルに格納する。</v>
      </c>
      <c r="D1010" s="137"/>
      <c r="E1010" s="137"/>
      <c r="F1010" s="137"/>
      <c r="G1010" s="137"/>
      <c r="H1010" s="137"/>
      <c r="I1010" s="137"/>
      <c r="J1010" s="137"/>
      <c r="K1010" s="137"/>
      <c r="L1010" s="137"/>
      <c r="M1010" s="137"/>
      <c r="N1010" s="137"/>
      <c r="O1010" s="137"/>
      <c r="P1010" s="137"/>
      <c r="Q1010" s="137"/>
      <c r="R1010" s="137"/>
      <c r="S1010" s="137"/>
      <c r="T1010" s="137"/>
      <c r="U1010" s="138"/>
      <c r="W1010" s="35" t="str">
        <f>"-- "&amp;C1010</f>
        <v>-- MML_紹介状モジュール_処方箋テーブルから組入れ条件の第一条件で絞り込んだ結果をバックアップ_MML_紹介状モジュール_処方箋テーブルに格納する。</v>
      </c>
    </row>
    <row r="1012" spans="2:23" ht="18.75" customHeight="1">
      <c r="C1012" s="139" t="s">
        <v>3656</v>
      </c>
      <c r="D1012" s="140"/>
      <c r="E1012" s="143" t="s">
        <v>162</v>
      </c>
      <c r="H1012" s="36"/>
      <c r="I1012" s="36"/>
      <c r="J1012" s="36"/>
      <c r="K1012" s="36"/>
      <c r="L1012" s="36"/>
      <c r="M1012" s="36"/>
      <c r="N1012" s="36"/>
      <c r="O1012" s="36"/>
      <c r="P1012" s="36"/>
      <c r="Q1012" s="36"/>
      <c r="R1012" s="139" t="str">
        <f>"バックアップ_"&amp;SUBSTITUTE(C1012,"_結合","")</f>
        <v>バックアップ_MML_紹介状モジュール_処方箋</v>
      </c>
      <c r="S1012" s="140"/>
      <c r="T1012" s="145" t="str">
        <f>エンティティ一覧!$O$2</f>
        <v>milscm_2023_009</v>
      </c>
    </row>
    <row r="1013" spans="2:23" ht="18.75" customHeight="1">
      <c r="C1013" s="141"/>
      <c r="D1013" s="142"/>
      <c r="E1013" s="144"/>
      <c r="F1013" s="37"/>
      <c r="G1013" s="38"/>
      <c r="H1013" s="37"/>
      <c r="I1013" s="37"/>
      <c r="J1013" s="37"/>
      <c r="K1013" s="37"/>
      <c r="L1013" s="37"/>
      <c r="M1013" s="37"/>
      <c r="N1013" s="37"/>
      <c r="O1013" s="37"/>
      <c r="P1013" s="37"/>
      <c r="Q1013" s="37"/>
      <c r="R1013" s="141"/>
      <c r="S1013" s="142"/>
      <c r="T1013" s="146"/>
    </row>
    <row r="1014" spans="2:23" ht="18.75" customHeight="1">
      <c r="F1014" s="39"/>
      <c r="G1014" s="40"/>
    </row>
    <row r="1015" spans="2:23" ht="18.75" customHeight="1">
      <c r="C1015" s="139" t="s">
        <v>3181</v>
      </c>
      <c r="D1015" s="140"/>
      <c r="E1015" s="145" t="str">
        <f>エンティティ一覧!$O$2</f>
        <v>milscm_2023_009</v>
      </c>
      <c r="G1015" s="41"/>
    </row>
    <row r="1016" spans="2:23" ht="18.75" customHeight="1">
      <c r="C1016" s="141"/>
      <c r="D1016" s="142"/>
      <c r="E1016" s="146"/>
      <c r="F1016" s="37"/>
    </row>
    <row r="1018" spans="2:23" ht="18.75" customHeight="1" thickBot="1">
      <c r="B1018" s="42"/>
      <c r="C1018" s="42"/>
      <c r="D1018" s="42"/>
      <c r="E1018" s="42"/>
      <c r="F1018" s="42"/>
      <c r="G1018" s="42"/>
      <c r="H1018" s="42"/>
      <c r="I1018" s="42"/>
      <c r="J1018" s="42"/>
      <c r="K1018" s="42"/>
      <c r="L1018" s="42"/>
      <c r="M1018" s="42"/>
      <c r="N1018" s="42"/>
      <c r="O1018" s="42"/>
      <c r="P1018" s="42"/>
      <c r="Q1018" s="42"/>
      <c r="R1018" s="42"/>
      <c r="S1018" s="42"/>
      <c r="T1018" s="42"/>
      <c r="U1018" s="42"/>
    </row>
    <row r="1020" spans="2:23" ht="18.75" customHeight="1">
      <c r="B1020" s="43" t="s">
        <v>163</v>
      </c>
      <c r="C1020" s="51" t="s">
        <v>3657</v>
      </c>
      <c r="D1020" s="88"/>
      <c r="W1020" s="35" t="str">
        <f>"-- "&amp;B1020&amp;" : "&amp;C1020</f>
        <v>-- SQL_ID : 01_A6-60</v>
      </c>
    </row>
    <row r="1021" spans="2:23" ht="18.75" customHeight="1">
      <c r="B1021" s="43" t="s">
        <v>158</v>
      </c>
      <c r="C1021" s="147" t="str">
        <f>R1024&amp;"登録"</f>
        <v>バックアップ_MML_紹介状モジュール_処方箋投薬登録</v>
      </c>
      <c r="D1021" s="148"/>
      <c r="E1021" s="148"/>
      <c r="F1021" s="148"/>
      <c r="G1021" s="148"/>
      <c r="H1021" s="148"/>
      <c r="I1021" s="148"/>
      <c r="J1021" s="148"/>
      <c r="K1021" s="148"/>
      <c r="L1021" s="148"/>
      <c r="M1021" s="148"/>
      <c r="N1021" s="148"/>
      <c r="O1021" s="148"/>
      <c r="P1021" s="148"/>
      <c r="Q1021" s="148"/>
      <c r="R1021" s="148"/>
      <c r="S1021" s="148"/>
      <c r="T1021" s="148"/>
      <c r="U1021" s="149"/>
      <c r="W1021" s="35" t="str">
        <f>"-- "&amp;C1021</f>
        <v>-- バックアップ_MML_紹介状モジュール_処方箋投薬登録</v>
      </c>
    </row>
    <row r="1022" spans="2:23" ht="18.75" customHeight="1">
      <c r="B1022" s="43" t="s">
        <v>159</v>
      </c>
      <c r="C1022" s="136" t="str">
        <f>C1024&amp;"テーブルから組入れ条件の第一条件で絞り込んだ結果を"&amp;R1024&amp;"テーブルに格納する。"</f>
        <v>MML_紹介状モジュール_処方箋投薬テーブルから組入れ条件の第一条件で絞り込んだ結果をバックアップ_MML_紹介状モジュール_処方箋投薬テーブルに格納する。</v>
      </c>
      <c r="D1022" s="137"/>
      <c r="E1022" s="137"/>
      <c r="F1022" s="137"/>
      <c r="G1022" s="137"/>
      <c r="H1022" s="137"/>
      <c r="I1022" s="137"/>
      <c r="J1022" s="137"/>
      <c r="K1022" s="137"/>
      <c r="L1022" s="137"/>
      <c r="M1022" s="137"/>
      <c r="N1022" s="137"/>
      <c r="O1022" s="137"/>
      <c r="P1022" s="137"/>
      <c r="Q1022" s="137"/>
      <c r="R1022" s="137"/>
      <c r="S1022" s="137"/>
      <c r="T1022" s="137"/>
      <c r="U1022" s="138"/>
      <c r="W1022" s="35" t="str">
        <f>"-- "&amp;C1022</f>
        <v>-- MML_紹介状モジュール_処方箋投薬テーブルから組入れ条件の第一条件で絞り込んだ結果をバックアップ_MML_紹介状モジュール_処方箋投薬テーブルに格納する。</v>
      </c>
    </row>
    <row r="1024" spans="2:23" ht="18.75" customHeight="1">
      <c r="C1024" s="139" t="s">
        <v>3658</v>
      </c>
      <c r="D1024" s="140"/>
      <c r="E1024" s="143" t="s">
        <v>162</v>
      </c>
      <c r="H1024" s="36"/>
      <c r="I1024" s="36"/>
      <c r="J1024" s="36"/>
      <c r="K1024" s="36"/>
      <c r="L1024" s="36"/>
      <c r="M1024" s="36"/>
      <c r="N1024" s="36"/>
      <c r="O1024" s="36"/>
      <c r="P1024" s="36"/>
      <c r="Q1024" s="36"/>
      <c r="R1024" s="139" t="str">
        <f>"バックアップ_"&amp;SUBSTITUTE(C1024,"_結合","")</f>
        <v>バックアップ_MML_紹介状モジュール_処方箋投薬</v>
      </c>
      <c r="S1024" s="140"/>
      <c r="T1024" s="145" t="str">
        <f>エンティティ一覧!$O$2</f>
        <v>milscm_2023_009</v>
      </c>
    </row>
    <row r="1025" spans="2:23" ht="18.75" customHeight="1">
      <c r="C1025" s="141"/>
      <c r="D1025" s="142"/>
      <c r="E1025" s="144"/>
      <c r="F1025" s="37"/>
      <c r="G1025" s="38"/>
      <c r="H1025" s="37"/>
      <c r="I1025" s="37"/>
      <c r="J1025" s="37"/>
      <c r="K1025" s="37"/>
      <c r="L1025" s="37"/>
      <c r="M1025" s="37"/>
      <c r="N1025" s="37"/>
      <c r="O1025" s="37"/>
      <c r="P1025" s="37"/>
      <c r="Q1025" s="37"/>
      <c r="R1025" s="141"/>
      <c r="S1025" s="142"/>
      <c r="T1025" s="146"/>
    </row>
    <row r="1026" spans="2:23" ht="18.75" customHeight="1">
      <c r="F1026" s="39"/>
      <c r="G1026" s="40"/>
    </row>
    <row r="1027" spans="2:23" ht="18.75" customHeight="1">
      <c r="C1027" s="139" t="s">
        <v>3181</v>
      </c>
      <c r="D1027" s="140"/>
      <c r="E1027" s="145" t="str">
        <f>エンティティ一覧!$O$2</f>
        <v>milscm_2023_009</v>
      </c>
      <c r="G1027" s="41"/>
    </row>
    <row r="1028" spans="2:23" ht="18.75" customHeight="1">
      <c r="C1028" s="141"/>
      <c r="D1028" s="142"/>
      <c r="E1028" s="146"/>
      <c r="F1028" s="37"/>
    </row>
    <row r="1030" spans="2:23" ht="18.75" customHeight="1" thickBot="1">
      <c r="B1030" s="42"/>
      <c r="C1030" s="42"/>
      <c r="D1030" s="42"/>
      <c r="E1030" s="42"/>
      <c r="F1030" s="42"/>
      <c r="G1030" s="42"/>
      <c r="H1030" s="42"/>
      <c r="I1030" s="42"/>
      <c r="J1030" s="42"/>
      <c r="K1030" s="42"/>
      <c r="L1030" s="42"/>
      <c r="M1030" s="42"/>
      <c r="N1030" s="42"/>
      <c r="O1030" s="42"/>
      <c r="P1030" s="42"/>
      <c r="Q1030" s="42"/>
      <c r="R1030" s="42"/>
      <c r="S1030" s="42"/>
      <c r="T1030" s="42"/>
      <c r="U1030" s="42"/>
    </row>
    <row r="1032" spans="2:23" ht="18.75" customHeight="1">
      <c r="B1032" s="43" t="s">
        <v>163</v>
      </c>
      <c r="C1032" s="51" t="s">
        <v>3659</v>
      </c>
      <c r="D1032" s="88"/>
      <c r="W1032" s="35" t="str">
        <f>"-- "&amp;B1032&amp;" : "&amp;C1032</f>
        <v>-- SQL_ID : 01_A6-61</v>
      </c>
    </row>
    <row r="1033" spans="2:23" ht="18.75" customHeight="1">
      <c r="B1033" s="43" t="s">
        <v>158</v>
      </c>
      <c r="C1033" s="147" t="str">
        <f>R1036&amp;"登録"</f>
        <v>バックアップ_MML_紹介状モジュール_処方箋薬剤登録</v>
      </c>
      <c r="D1033" s="148"/>
      <c r="E1033" s="148"/>
      <c r="F1033" s="148"/>
      <c r="G1033" s="148"/>
      <c r="H1033" s="148"/>
      <c r="I1033" s="148"/>
      <c r="J1033" s="148"/>
      <c r="K1033" s="148"/>
      <c r="L1033" s="148"/>
      <c r="M1033" s="148"/>
      <c r="N1033" s="148"/>
      <c r="O1033" s="148"/>
      <c r="P1033" s="148"/>
      <c r="Q1033" s="148"/>
      <c r="R1033" s="148"/>
      <c r="S1033" s="148"/>
      <c r="T1033" s="148"/>
      <c r="U1033" s="149"/>
      <c r="W1033" s="35" t="str">
        <f>"-- "&amp;C1033</f>
        <v>-- バックアップ_MML_紹介状モジュール_処方箋薬剤登録</v>
      </c>
    </row>
    <row r="1034" spans="2:23" ht="18.75" customHeight="1">
      <c r="B1034" s="43" t="s">
        <v>159</v>
      </c>
      <c r="C1034" s="136" t="str">
        <f>C1036&amp;"テーブルから組入れ条件の第一条件で絞り込んだ結果を"&amp;R1036&amp;"テーブルに格納する。"</f>
        <v>MML_紹介状モジュール_処方箋薬剤テーブルから組入れ条件の第一条件で絞り込んだ結果をバックアップ_MML_紹介状モジュール_処方箋薬剤テーブルに格納する。</v>
      </c>
      <c r="D1034" s="137"/>
      <c r="E1034" s="137"/>
      <c r="F1034" s="137"/>
      <c r="G1034" s="137"/>
      <c r="H1034" s="137"/>
      <c r="I1034" s="137"/>
      <c r="J1034" s="137"/>
      <c r="K1034" s="137"/>
      <c r="L1034" s="137"/>
      <c r="M1034" s="137"/>
      <c r="N1034" s="137"/>
      <c r="O1034" s="137"/>
      <c r="P1034" s="137"/>
      <c r="Q1034" s="137"/>
      <c r="R1034" s="137"/>
      <c r="S1034" s="137"/>
      <c r="T1034" s="137"/>
      <c r="U1034" s="138"/>
      <c r="W1034" s="35" t="str">
        <f>"-- "&amp;C1034</f>
        <v>-- MML_紹介状モジュール_処方箋薬剤テーブルから組入れ条件の第一条件で絞り込んだ結果をバックアップ_MML_紹介状モジュール_処方箋薬剤テーブルに格納する。</v>
      </c>
    </row>
    <row r="1036" spans="2:23" ht="18.75" customHeight="1">
      <c r="C1036" s="139" t="s">
        <v>3660</v>
      </c>
      <c r="D1036" s="140"/>
      <c r="E1036" s="143" t="s">
        <v>162</v>
      </c>
      <c r="H1036" s="36"/>
      <c r="I1036" s="36"/>
      <c r="J1036" s="36"/>
      <c r="K1036" s="36"/>
      <c r="L1036" s="36"/>
      <c r="M1036" s="36"/>
      <c r="N1036" s="36"/>
      <c r="O1036" s="36"/>
      <c r="P1036" s="36"/>
      <c r="Q1036" s="36"/>
      <c r="R1036" s="139" t="str">
        <f>"バックアップ_"&amp;SUBSTITUTE(C1036,"_結合","")</f>
        <v>バックアップ_MML_紹介状モジュール_処方箋薬剤</v>
      </c>
      <c r="S1036" s="140"/>
      <c r="T1036" s="145" t="str">
        <f>エンティティ一覧!$O$2</f>
        <v>milscm_2023_009</v>
      </c>
    </row>
    <row r="1037" spans="2:23" ht="18.75" customHeight="1">
      <c r="C1037" s="141"/>
      <c r="D1037" s="142"/>
      <c r="E1037" s="144"/>
      <c r="F1037" s="37"/>
      <c r="G1037" s="38"/>
      <c r="H1037" s="37"/>
      <c r="I1037" s="37"/>
      <c r="J1037" s="37"/>
      <c r="K1037" s="37"/>
      <c r="L1037" s="37"/>
      <c r="M1037" s="37"/>
      <c r="N1037" s="37"/>
      <c r="O1037" s="37"/>
      <c r="P1037" s="37"/>
      <c r="Q1037" s="37"/>
      <c r="R1037" s="141"/>
      <c r="S1037" s="142"/>
      <c r="T1037" s="146"/>
    </row>
    <row r="1038" spans="2:23" ht="18.75" customHeight="1">
      <c r="F1038" s="39"/>
      <c r="G1038" s="40"/>
    </row>
    <row r="1039" spans="2:23" ht="18.75" customHeight="1">
      <c r="C1039" s="139" t="s">
        <v>3181</v>
      </c>
      <c r="D1039" s="140"/>
      <c r="E1039" s="145" t="str">
        <f>エンティティ一覧!$O$2</f>
        <v>milscm_2023_009</v>
      </c>
      <c r="G1039" s="41"/>
    </row>
    <row r="1040" spans="2:23" ht="18.75" customHeight="1">
      <c r="C1040" s="141"/>
      <c r="D1040" s="142"/>
      <c r="E1040" s="146"/>
      <c r="F1040" s="37"/>
    </row>
    <row r="1042" spans="2:23" ht="18.75" customHeight="1" thickBot="1">
      <c r="B1042" s="42"/>
      <c r="C1042" s="42"/>
      <c r="D1042" s="42"/>
      <c r="E1042" s="42"/>
      <c r="F1042" s="42"/>
      <c r="G1042" s="42"/>
      <c r="H1042" s="42"/>
      <c r="I1042" s="42"/>
      <c r="J1042" s="42"/>
      <c r="K1042" s="42"/>
      <c r="L1042" s="42"/>
      <c r="M1042" s="42"/>
      <c r="N1042" s="42"/>
      <c r="O1042" s="42"/>
      <c r="P1042" s="42"/>
      <c r="Q1042" s="42"/>
      <c r="R1042" s="42"/>
      <c r="S1042" s="42"/>
      <c r="T1042" s="42"/>
      <c r="U1042" s="42"/>
    </row>
    <row r="1044" spans="2:23" ht="18.75" customHeight="1">
      <c r="B1044" s="43" t="s">
        <v>163</v>
      </c>
      <c r="C1044" s="51" t="s">
        <v>3661</v>
      </c>
      <c r="D1044" s="88"/>
      <c r="W1044" s="35" t="str">
        <f>"-- "&amp;B1044&amp;" : "&amp;C1044</f>
        <v>-- SQL_ID : 01_A6-62</v>
      </c>
    </row>
    <row r="1045" spans="2:23" ht="18.75" customHeight="1">
      <c r="B1045" s="43" t="s">
        <v>158</v>
      </c>
      <c r="C1045" s="147" t="str">
        <f>R1048&amp;"登録"</f>
        <v>バックアップ_MML_紹介状モジュール_臨床サマリー情報経過記録登録</v>
      </c>
      <c r="D1045" s="148"/>
      <c r="E1045" s="148"/>
      <c r="F1045" s="148"/>
      <c r="G1045" s="148"/>
      <c r="H1045" s="148"/>
      <c r="I1045" s="148"/>
      <c r="J1045" s="148"/>
      <c r="K1045" s="148"/>
      <c r="L1045" s="148"/>
      <c r="M1045" s="148"/>
      <c r="N1045" s="148"/>
      <c r="O1045" s="148"/>
      <c r="P1045" s="148"/>
      <c r="Q1045" s="148"/>
      <c r="R1045" s="148"/>
      <c r="S1045" s="148"/>
      <c r="T1045" s="148"/>
      <c r="U1045" s="149"/>
      <c r="W1045" s="35" t="str">
        <f>"-- "&amp;C1045</f>
        <v>-- バックアップ_MML_紹介状モジュール_臨床サマリー情報経過記録登録</v>
      </c>
    </row>
    <row r="1046" spans="2:23" ht="18.75" customHeight="1">
      <c r="B1046" s="43" t="s">
        <v>159</v>
      </c>
      <c r="C1046" s="136" t="str">
        <f>C1048&amp;"テーブルから組入れ条件の第一条件で絞り込んだ結果を"&amp;R1048&amp;"テーブルに格納する。"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6" s="137"/>
      <c r="E1046" s="137"/>
      <c r="F1046" s="137"/>
      <c r="G1046" s="137"/>
      <c r="H1046" s="137"/>
      <c r="I1046" s="137"/>
      <c r="J1046" s="137"/>
      <c r="K1046" s="137"/>
      <c r="L1046" s="137"/>
      <c r="M1046" s="137"/>
      <c r="N1046" s="137"/>
      <c r="O1046" s="137"/>
      <c r="P1046" s="137"/>
      <c r="Q1046" s="137"/>
      <c r="R1046" s="137"/>
      <c r="S1046" s="137"/>
      <c r="T1046" s="137"/>
      <c r="U1046" s="138"/>
      <c r="W1046" s="35" t="str">
        <f>"-- "&amp;C1046</f>
        <v>-- MML_紹介状モジュール_臨床サマリー情報経過記録テーブルから組入れ条件の第一条件で絞り込んだ結果をバックアップ_MML_紹介状モジュール_臨床サマリー情報経過記録テーブルに格納する。</v>
      </c>
    </row>
    <row r="1048" spans="2:23" ht="18.75" customHeight="1">
      <c r="C1048" s="139" t="s">
        <v>3662</v>
      </c>
      <c r="D1048" s="140"/>
      <c r="E1048" s="143" t="s">
        <v>162</v>
      </c>
      <c r="H1048" s="36"/>
      <c r="I1048" s="36"/>
      <c r="J1048" s="36"/>
      <c r="K1048" s="36"/>
      <c r="L1048" s="36"/>
      <c r="M1048" s="36"/>
      <c r="N1048" s="36"/>
      <c r="O1048" s="36"/>
      <c r="P1048" s="36"/>
      <c r="Q1048" s="36"/>
      <c r="R1048" s="154" t="str">
        <f>"バックアップ_"&amp;SUBSTITUTE(C1048,"_結合","")</f>
        <v>バックアップ_MML_紹介状モジュール_臨床サマリー情報経過記録</v>
      </c>
      <c r="S1048" s="155"/>
      <c r="T1048" s="145" t="str">
        <f>エンティティ一覧!$O$2</f>
        <v>milscm_2023_009</v>
      </c>
    </row>
    <row r="1049" spans="2:23" ht="18.75" customHeight="1">
      <c r="C1049" s="141"/>
      <c r="D1049" s="142"/>
      <c r="E1049" s="144"/>
      <c r="F1049" s="37"/>
      <c r="G1049" s="38"/>
      <c r="H1049" s="37"/>
      <c r="I1049" s="37"/>
      <c r="J1049" s="37"/>
      <c r="K1049" s="37"/>
      <c r="L1049" s="37"/>
      <c r="M1049" s="37"/>
      <c r="N1049" s="37"/>
      <c r="O1049" s="37"/>
      <c r="P1049" s="37"/>
      <c r="Q1049" s="37"/>
      <c r="R1049" s="156"/>
      <c r="S1049" s="157"/>
      <c r="T1049" s="146"/>
    </row>
    <row r="1050" spans="2:23" ht="18.75" customHeight="1">
      <c r="F1050" s="39"/>
      <c r="G1050" s="40"/>
    </row>
    <row r="1051" spans="2:23" ht="18.75" customHeight="1">
      <c r="C1051" s="139" t="s">
        <v>3181</v>
      </c>
      <c r="D1051" s="140"/>
      <c r="E1051" s="145" t="str">
        <f>エンティティ一覧!$O$2</f>
        <v>milscm_2023_009</v>
      </c>
      <c r="G1051" s="41"/>
    </row>
    <row r="1052" spans="2:23" ht="18.75" customHeight="1">
      <c r="C1052" s="141"/>
      <c r="D1052" s="142"/>
      <c r="E1052" s="146"/>
      <c r="F1052" s="37"/>
    </row>
    <row r="1054" spans="2:23" ht="18.75" customHeight="1" thickBot="1">
      <c r="B1054" s="42"/>
      <c r="C1054" s="42"/>
      <c r="D1054" s="42"/>
      <c r="E1054" s="42"/>
      <c r="F1054" s="42"/>
      <c r="G1054" s="42"/>
      <c r="H1054" s="42"/>
      <c r="I1054" s="42"/>
      <c r="J1054" s="42"/>
      <c r="K1054" s="42"/>
      <c r="L1054" s="42"/>
      <c r="M1054" s="42"/>
      <c r="N1054" s="42"/>
      <c r="O1054" s="42"/>
      <c r="P1054" s="42"/>
      <c r="Q1054" s="42"/>
      <c r="R1054" s="42"/>
      <c r="S1054" s="42"/>
      <c r="T1054" s="42"/>
      <c r="U1054" s="42"/>
    </row>
    <row r="1056" spans="2:23" ht="18.75" customHeight="1">
      <c r="B1056" s="43" t="s">
        <v>163</v>
      </c>
      <c r="C1056" s="51" t="s">
        <v>3663</v>
      </c>
      <c r="D1056" s="88"/>
      <c r="W1056" s="35" t="str">
        <f>"-- "&amp;B1056&amp;" : "&amp;C1056</f>
        <v>-- SQL_ID : 01_A6-63</v>
      </c>
    </row>
    <row r="1057" spans="2:23" ht="18.75" customHeight="1">
      <c r="B1057" s="43" t="s">
        <v>158</v>
      </c>
      <c r="C1057" s="147" t="str">
        <f>R1060&amp;"登録"</f>
        <v>バックアップ_MML_紹介状モジュール_診療科情報登録</v>
      </c>
      <c r="D1057" s="148"/>
      <c r="E1057" s="148"/>
      <c r="F1057" s="148"/>
      <c r="G1057" s="148"/>
      <c r="H1057" s="148"/>
      <c r="I1057" s="148"/>
      <c r="J1057" s="148"/>
      <c r="K1057" s="148"/>
      <c r="L1057" s="148"/>
      <c r="M1057" s="148"/>
      <c r="N1057" s="148"/>
      <c r="O1057" s="148"/>
      <c r="P1057" s="148"/>
      <c r="Q1057" s="148"/>
      <c r="R1057" s="148"/>
      <c r="S1057" s="148"/>
      <c r="T1057" s="148"/>
      <c r="U1057" s="149"/>
      <c r="W1057" s="35" t="str">
        <f>"-- "&amp;C1057</f>
        <v>-- バックアップ_MML_紹介状モジュール_診療科情報登録</v>
      </c>
    </row>
    <row r="1058" spans="2:23" ht="18.75" customHeight="1">
      <c r="B1058" s="43" t="s">
        <v>159</v>
      </c>
      <c r="C1058" s="136" t="str">
        <f>C1060&amp;"テーブルから組入れ条件の第一条件で絞り込んだ結果を"&amp;R1060&amp;"テーブルに格納する。"</f>
        <v>MML_紹介状モジュール_診療科情報テーブルから組入れ条件の第一条件で絞り込んだ結果をバックアップ_MML_紹介状モジュール_診療科情報テーブルに格納する。</v>
      </c>
      <c r="D1058" s="137"/>
      <c r="E1058" s="137"/>
      <c r="F1058" s="137"/>
      <c r="G1058" s="137"/>
      <c r="H1058" s="137"/>
      <c r="I1058" s="137"/>
      <c r="J1058" s="137"/>
      <c r="K1058" s="137"/>
      <c r="L1058" s="137"/>
      <c r="M1058" s="137"/>
      <c r="N1058" s="137"/>
      <c r="O1058" s="137"/>
      <c r="P1058" s="137"/>
      <c r="Q1058" s="137"/>
      <c r="R1058" s="137"/>
      <c r="S1058" s="137"/>
      <c r="T1058" s="137"/>
      <c r="U1058" s="138"/>
      <c r="W1058" s="35" t="str">
        <f>"-- "&amp;C1058</f>
        <v>-- MML_紹介状モジュール_診療科情報テーブルから組入れ条件の第一条件で絞り込んだ結果をバックアップ_MML_紹介状モジュール_診療科情報テーブルに格納する。</v>
      </c>
    </row>
    <row r="1060" spans="2:23" ht="18.75" customHeight="1">
      <c r="C1060" s="139" t="s">
        <v>3664</v>
      </c>
      <c r="D1060" s="140"/>
      <c r="E1060" s="143" t="s">
        <v>162</v>
      </c>
      <c r="H1060" s="36"/>
      <c r="I1060" s="36"/>
      <c r="J1060" s="36"/>
      <c r="K1060" s="36"/>
      <c r="L1060" s="36"/>
      <c r="M1060" s="36"/>
      <c r="N1060" s="36"/>
      <c r="O1060" s="36"/>
      <c r="P1060" s="36"/>
      <c r="Q1060" s="36"/>
      <c r="R1060" s="139" t="str">
        <f>"バックアップ_"&amp;SUBSTITUTE(C1060,"_結合","")</f>
        <v>バックアップ_MML_紹介状モジュール_診療科情報</v>
      </c>
      <c r="S1060" s="140"/>
      <c r="T1060" s="145" t="str">
        <f>エンティティ一覧!$O$2</f>
        <v>milscm_2023_009</v>
      </c>
    </row>
    <row r="1061" spans="2:23" ht="18.75" customHeight="1">
      <c r="C1061" s="141"/>
      <c r="D1061" s="142"/>
      <c r="E1061" s="144"/>
      <c r="F1061" s="37"/>
      <c r="G1061" s="38"/>
      <c r="H1061" s="37"/>
      <c r="I1061" s="37"/>
      <c r="J1061" s="37"/>
      <c r="K1061" s="37"/>
      <c r="L1061" s="37"/>
      <c r="M1061" s="37"/>
      <c r="N1061" s="37"/>
      <c r="O1061" s="37"/>
      <c r="P1061" s="37"/>
      <c r="Q1061" s="37"/>
      <c r="R1061" s="141"/>
      <c r="S1061" s="142"/>
      <c r="T1061" s="146"/>
    </row>
    <row r="1062" spans="2:23" ht="18.75" customHeight="1">
      <c r="F1062" s="39"/>
      <c r="G1062" s="40"/>
    </row>
    <row r="1063" spans="2:23" ht="18.75" customHeight="1">
      <c r="C1063" s="139" t="s">
        <v>3181</v>
      </c>
      <c r="D1063" s="140"/>
      <c r="E1063" s="145" t="str">
        <f>エンティティ一覧!$O$2</f>
        <v>milscm_2023_009</v>
      </c>
      <c r="G1063" s="41"/>
    </row>
    <row r="1064" spans="2:23" ht="18.75" customHeight="1">
      <c r="C1064" s="141"/>
      <c r="D1064" s="142"/>
      <c r="E1064" s="146"/>
      <c r="F1064" s="37"/>
    </row>
    <row r="1066" spans="2:23" ht="18.75" customHeight="1" thickBot="1">
      <c r="B1066" s="42"/>
      <c r="C1066" s="42"/>
      <c r="D1066" s="42"/>
      <c r="E1066" s="42"/>
      <c r="F1066" s="42"/>
      <c r="G1066" s="42"/>
      <c r="H1066" s="42"/>
      <c r="I1066" s="42"/>
      <c r="J1066" s="42"/>
      <c r="K1066" s="42"/>
      <c r="L1066" s="42"/>
      <c r="M1066" s="42"/>
      <c r="N1066" s="42"/>
      <c r="O1066" s="42"/>
      <c r="P1066" s="42"/>
      <c r="Q1066" s="42"/>
      <c r="R1066" s="42"/>
      <c r="S1066" s="42"/>
      <c r="T1066" s="42"/>
      <c r="U1066" s="42"/>
    </row>
    <row r="1068" spans="2:23" ht="18.75" customHeight="1">
      <c r="B1068" s="43" t="s">
        <v>163</v>
      </c>
      <c r="C1068" s="51" t="s">
        <v>3172</v>
      </c>
      <c r="D1068" s="50"/>
      <c r="W1068" s="35" t="str">
        <f>"-- "&amp;B1068&amp;" : "&amp;C1068</f>
        <v>-- SQL_ID : 01_C1-01</v>
      </c>
    </row>
    <row r="1069" spans="2:23" ht="18.75" customHeight="1">
      <c r="B1069" s="43" t="s">
        <v>158</v>
      </c>
      <c r="C1069" s="147" t="str">
        <f>R1072&amp;"登録"</f>
        <v>バックアップ_DPC調査データ_Dファイル登録</v>
      </c>
      <c r="D1069" s="148"/>
      <c r="E1069" s="148"/>
      <c r="F1069" s="148"/>
      <c r="G1069" s="148"/>
      <c r="H1069" s="148"/>
      <c r="I1069" s="148"/>
      <c r="J1069" s="148"/>
      <c r="K1069" s="148"/>
      <c r="L1069" s="148"/>
      <c r="M1069" s="148"/>
      <c r="N1069" s="148"/>
      <c r="O1069" s="148"/>
      <c r="P1069" s="148"/>
      <c r="Q1069" s="148"/>
      <c r="R1069" s="148"/>
      <c r="S1069" s="148"/>
      <c r="T1069" s="148"/>
      <c r="U1069" s="149"/>
      <c r="W1069" s="35" t="str">
        <f>"-- "&amp;C1069</f>
        <v>-- バックアップ_DPC調査データ_Dファイル登録</v>
      </c>
    </row>
    <row r="1070" spans="2:23" ht="18.75" customHeight="1">
      <c r="B1070" s="43" t="s">
        <v>159</v>
      </c>
      <c r="C1070" s="136" t="str">
        <f>C1072&amp;"テーブルから組入れ条件の第一条件で絞り込んだ結果を"&amp;R1072&amp;"テーブルに格納する。"</f>
        <v>DPC調査データ_Dファイル_結合テーブルから組入れ条件の第一条件で絞り込んだ結果をバックアップ_DPC調査データ_Dファイルテーブルに格納する。</v>
      </c>
      <c r="D1070" s="137"/>
      <c r="E1070" s="137"/>
      <c r="F1070" s="137"/>
      <c r="G1070" s="137"/>
      <c r="H1070" s="137"/>
      <c r="I1070" s="137"/>
      <c r="J1070" s="137"/>
      <c r="K1070" s="137"/>
      <c r="L1070" s="137"/>
      <c r="M1070" s="137"/>
      <c r="N1070" s="137"/>
      <c r="O1070" s="137"/>
      <c r="P1070" s="137"/>
      <c r="Q1070" s="137"/>
      <c r="R1070" s="137"/>
      <c r="S1070" s="137"/>
      <c r="T1070" s="137"/>
      <c r="U1070" s="138"/>
      <c r="W1070" s="35" t="str">
        <f>"-- "&amp;C1070</f>
        <v>-- DPC調査データ_Dファイル_結合テーブルから組入れ条件の第一条件で絞り込んだ結果をバックアップ_DPC調査データ_Dファイルテーブルに格納する。</v>
      </c>
    </row>
    <row r="1072" spans="2:23" ht="18.75" customHeight="1">
      <c r="C1072" s="139" t="s">
        <v>166</v>
      </c>
      <c r="D1072" s="140"/>
      <c r="E1072" s="143" t="s">
        <v>162</v>
      </c>
      <c r="H1072" s="36"/>
      <c r="I1072" s="36"/>
      <c r="J1072" s="36"/>
      <c r="K1072" s="36"/>
      <c r="L1072" s="36"/>
      <c r="M1072" s="36"/>
      <c r="N1072" s="36"/>
      <c r="O1072" s="36"/>
      <c r="P1072" s="36"/>
      <c r="Q1072" s="36"/>
      <c r="R1072" s="139" t="str">
        <f>"バックアップ_"&amp;SUBSTITUTE(C1072,"_結合","")</f>
        <v>バックアップ_DPC調査データ_Dファイル</v>
      </c>
      <c r="S1072" s="140"/>
      <c r="T1072" s="145" t="str">
        <f>エンティティ一覧!$O$2</f>
        <v>milscm_2023_009</v>
      </c>
    </row>
    <row r="1073" spans="2:23" ht="18.75" customHeight="1">
      <c r="C1073" s="141"/>
      <c r="D1073" s="142"/>
      <c r="E1073" s="144"/>
      <c r="F1073" s="37"/>
      <c r="G1073" s="38"/>
      <c r="H1073" s="37"/>
      <c r="I1073" s="37"/>
      <c r="J1073" s="37"/>
      <c r="K1073" s="37"/>
      <c r="L1073" s="37"/>
      <c r="M1073" s="37"/>
      <c r="N1073" s="37"/>
      <c r="O1073" s="37"/>
      <c r="P1073" s="37"/>
      <c r="Q1073" s="37"/>
      <c r="R1073" s="141"/>
      <c r="S1073" s="142"/>
      <c r="T1073" s="146"/>
    </row>
    <row r="1074" spans="2:23" ht="18.75" customHeight="1">
      <c r="F1074" s="39"/>
      <c r="G1074" s="40"/>
    </row>
    <row r="1075" spans="2:23" ht="18.75" customHeight="1">
      <c r="C1075" s="139" t="s">
        <v>3181</v>
      </c>
      <c r="D1075" s="140"/>
      <c r="E1075" s="145" t="str">
        <f>エンティティ一覧!$O$2</f>
        <v>milscm_2023_009</v>
      </c>
      <c r="G1075" s="41"/>
    </row>
    <row r="1076" spans="2:23" ht="18.75" customHeight="1">
      <c r="C1076" s="141"/>
      <c r="D1076" s="142"/>
      <c r="E1076" s="146"/>
      <c r="F1076" s="37"/>
    </row>
    <row r="1078" spans="2:23" ht="18.75" customHeight="1" thickBot="1">
      <c r="B1078" s="42"/>
      <c r="C1078" s="42"/>
      <c r="D1078" s="42"/>
      <c r="E1078" s="42"/>
      <c r="F1078" s="42"/>
      <c r="G1078" s="42"/>
      <c r="H1078" s="42"/>
      <c r="I1078" s="42"/>
      <c r="J1078" s="42"/>
      <c r="K1078" s="42"/>
      <c r="L1078" s="42"/>
      <c r="M1078" s="42"/>
      <c r="N1078" s="42"/>
      <c r="O1078" s="42"/>
      <c r="P1078" s="42"/>
      <c r="Q1078" s="42"/>
      <c r="R1078" s="42"/>
      <c r="S1078" s="42"/>
      <c r="T1078" s="42"/>
      <c r="U1078" s="42"/>
    </row>
    <row r="1080" spans="2:23" ht="18.75" customHeight="1">
      <c r="B1080" s="43" t="s">
        <v>163</v>
      </c>
      <c r="C1080" s="51" t="s">
        <v>3173</v>
      </c>
      <c r="D1080" s="50"/>
      <c r="W1080" s="35" t="str">
        <f>"-- "&amp;B1080&amp;" : "&amp;C1080</f>
        <v>-- SQL_ID : 01_C1-02</v>
      </c>
    </row>
    <row r="1081" spans="2:23" ht="18.75" customHeight="1">
      <c r="B1081" s="43" t="s">
        <v>158</v>
      </c>
      <c r="C1081" s="147" t="str">
        <f>R1084&amp;"登録"</f>
        <v>バックアップ_DPC調査データ_入院EF統合ファイル登録</v>
      </c>
      <c r="D1081" s="148"/>
      <c r="E1081" s="148"/>
      <c r="F1081" s="148"/>
      <c r="G1081" s="148"/>
      <c r="H1081" s="148"/>
      <c r="I1081" s="148"/>
      <c r="J1081" s="148"/>
      <c r="K1081" s="148"/>
      <c r="L1081" s="148"/>
      <c r="M1081" s="148"/>
      <c r="N1081" s="148"/>
      <c r="O1081" s="148"/>
      <c r="P1081" s="148"/>
      <c r="Q1081" s="148"/>
      <c r="R1081" s="148"/>
      <c r="S1081" s="148"/>
      <c r="T1081" s="148"/>
      <c r="U1081" s="149"/>
      <c r="W1081" s="35" t="str">
        <f>"-- "&amp;C1081</f>
        <v>-- バックアップ_DPC調査データ_入院EF統合ファイル登録</v>
      </c>
    </row>
    <row r="1082" spans="2:23" ht="18.75" customHeight="1">
      <c r="B1082" s="43" t="s">
        <v>159</v>
      </c>
      <c r="C1082" s="136" t="str">
        <f>C1084&amp;"テーブルから組入れ条件の第一条件で絞り込んだ結果を"&amp;R1084&amp;"テーブルに格納する。"</f>
        <v>DPC調査データ_入院EF統合ファイル_結合テーブルから組入れ条件の第一条件で絞り込んだ結果をバックアップ_DPC調査データ_入院EF統合ファイルテーブルに格納する。</v>
      </c>
      <c r="D1082" s="137"/>
      <c r="E1082" s="137"/>
      <c r="F1082" s="137"/>
      <c r="G1082" s="137"/>
      <c r="H1082" s="137"/>
      <c r="I1082" s="137"/>
      <c r="J1082" s="137"/>
      <c r="K1082" s="137"/>
      <c r="L1082" s="137"/>
      <c r="M1082" s="137"/>
      <c r="N1082" s="137"/>
      <c r="O1082" s="137"/>
      <c r="P1082" s="137"/>
      <c r="Q1082" s="137"/>
      <c r="R1082" s="137"/>
      <c r="S1082" s="137"/>
      <c r="T1082" s="137"/>
      <c r="U1082" s="138"/>
      <c r="W1082" s="35" t="str">
        <f>"-- "&amp;C1082</f>
        <v>-- DPC調査データ_入院EF統合ファイル_結合テーブルから組入れ条件の第一条件で絞り込んだ結果をバックアップ_DPC調査データ_入院EF統合ファイルテーブルに格納する。</v>
      </c>
    </row>
    <row r="1084" spans="2:23" ht="18.75" customHeight="1">
      <c r="C1084" s="139" t="s">
        <v>168</v>
      </c>
      <c r="D1084" s="140"/>
      <c r="E1084" s="143" t="s">
        <v>162</v>
      </c>
      <c r="H1084" s="36"/>
      <c r="I1084" s="36"/>
      <c r="J1084" s="36"/>
      <c r="K1084" s="36"/>
      <c r="L1084" s="36"/>
      <c r="M1084" s="36"/>
      <c r="N1084" s="36"/>
      <c r="O1084" s="36"/>
      <c r="P1084" s="36"/>
      <c r="Q1084" s="36"/>
      <c r="R1084" s="139" t="str">
        <f>"バックアップ_"&amp;SUBSTITUTE(C1084,"_結合","")</f>
        <v>バックアップ_DPC調査データ_入院EF統合ファイル</v>
      </c>
      <c r="S1084" s="140"/>
      <c r="T1084" s="145" t="str">
        <f>エンティティ一覧!$O$2</f>
        <v>milscm_2023_009</v>
      </c>
    </row>
    <row r="1085" spans="2:23" ht="18.75" customHeight="1">
      <c r="C1085" s="141"/>
      <c r="D1085" s="142"/>
      <c r="E1085" s="144"/>
      <c r="F1085" s="37"/>
      <c r="G1085" s="38"/>
      <c r="H1085" s="37"/>
      <c r="I1085" s="37"/>
      <c r="J1085" s="37"/>
      <c r="K1085" s="37"/>
      <c r="L1085" s="37"/>
      <c r="M1085" s="37"/>
      <c r="N1085" s="37"/>
      <c r="O1085" s="37"/>
      <c r="P1085" s="37"/>
      <c r="Q1085" s="37"/>
      <c r="R1085" s="141"/>
      <c r="S1085" s="142"/>
      <c r="T1085" s="146"/>
    </row>
    <row r="1086" spans="2:23" ht="18.75" customHeight="1">
      <c r="F1086" s="39"/>
      <c r="G1086" s="40"/>
    </row>
    <row r="1087" spans="2:23" ht="18.75" customHeight="1">
      <c r="C1087" s="139" t="s">
        <v>3181</v>
      </c>
      <c r="D1087" s="140"/>
      <c r="E1087" s="145" t="str">
        <f>エンティティ一覧!$O$2</f>
        <v>milscm_2023_009</v>
      </c>
      <c r="G1087" s="41"/>
    </row>
    <row r="1088" spans="2:23" ht="18.75" customHeight="1">
      <c r="C1088" s="141"/>
      <c r="D1088" s="142"/>
      <c r="E1088" s="146"/>
      <c r="F1088" s="37"/>
    </row>
    <row r="1090" spans="2:23" ht="18.75" customHeight="1" thickBot="1">
      <c r="B1090" s="42"/>
      <c r="C1090" s="42"/>
      <c r="D1090" s="42"/>
      <c r="E1090" s="42"/>
      <c r="F1090" s="42"/>
      <c r="G1090" s="42"/>
      <c r="H1090" s="42"/>
      <c r="I1090" s="42"/>
      <c r="J1090" s="42"/>
      <c r="K1090" s="42"/>
      <c r="L1090" s="42"/>
      <c r="M1090" s="42"/>
      <c r="N1090" s="42"/>
      <c r="O1090" s="42"/>
      <c r="P1090" s="42"/>
      <c r="Q1090" s="42"/>
      <c r="R1090" s="42"/>
      <c r="S1090" s="42"/>
      <c r="T1090" s="42"/>
      <c r="U1090" s="42"/>
    </row>
    <row r="1092" spans="2:23" ht="18.75" customHeight="1">
      <c r="B1092" s="43" t="s">
        <v>163</v>
      </c>
      <c r="C1092" s="51" t="s">
        <v>3174</v>
      </c>
      <c r="D1092" s="50"/>
      <c r="W1092" s="35" t="str">
        <f>"-- "&amp;B1092&amp;" : "&amp;C1092</f>
        <v>-- SQL_ID : 01_C1-03</v>
      </c>
    </row>
    <row r="1093" spans="2:23" ht="18.75" customHeight="1">
      <c r="B1093" s="43" t="s">
        <v>158</v>
      </c>
      <c r="C1093" s="147" t="str">
        <f>R1096&amp;"登録"</f>
        <v>バックアップ_DPC調査データ_外来EF統合ファイル登録</v>
      </c>
      <c r="D1093" s="148"/>
      <c r="E1093" s="148"/>
      <c r="F1093" s="148"/>
      <c r="G1093" s="148"/>
      <c r="H1093" s="148"/>
      <c r="I1093" s="148"/>
      <c r="J1093" s="148"/>
      <c r="K1093" s="148"/>
      <c r="L1093" s="148"/>
      <c r="M1093" s="148"/>
      <c r="N1093" s="148"/>
      <c r="O1093" s="148"/>
      <c r="P1093" s="148"/>
      <c r="Q1093" s="148"/>
      <c r="R1093" s="148"/>
      <c r="S1093" s="148"/>
      <c r="T1093" s="148"/>
      <c r="U1093" s="149"/>
      <c r="W1093" s="35" t="str">
        <f>"-- "&amp;C1093</f>
        <v>-- バックアップ_DPC調査データ_外来EF統合ファイル登録</v>
      </c>
    </row>
    <row r="1094" spans="2:23" ht="18.75" customHeight="1">
      <c r="B1094" s="43" t="s">
        <v>159</v>
      </c>
      <c r="C1094" s="136" t="str">
        <f>C1096&amp;"テーブルから組入れ条件の第一条件で絞り込んだ結果を"&amp;R1096&amp;"テーブルに格納する。"</f>
        <v>DPC調査データ_外来EF統合ファイル_結合テーブルから組入れ条件の第一条件で絞り込んだ結果をバックアップ_DPC調査データ_外来EF統合ファイルテーブルに格納する。</v>
      </c>
      <c r="D1094" s="137"/>
      <c r="E1094" s="137"/>
      <c r="F1094" s="137"/>
      <c r="G1094" s="137"/>
      <c r="H1094" s="137"/>
      <c r="I1094" s="137"/>
      <c r="J1094" s="137"/>
      <c r="K1094" s="137"/>
      <c r="L1094" s="137"/>
      <c r="M1094" s="137"/>
      <c r="N1094" s="137"/>
      <c r="O1094" s="137"/>
      <c r="P1094" s="137"/>
      <c r="Q1094" s="137"/>
      <c r="R1094" s="137"/>
      <c r="S1094" s="137"/>
      <c r="T1094" s="137"/>
      <c r="U1094" s="138"/>
      <c r="W1094" s="35" t="str">
        <f>"-- "&amp;C1094</f>
        <v>-- DPC調査データ_外来EF統合ファイル_結合テーブルから組入れ条件の第一条件で絞り込んだ結果をバックアップ_DPC調査データ_外来EF統合ファイルテーブルに格納する。</v>
      </c>
    </row>
    <row r="1096" spans="2:23" ht="18.75" customHeight="1">
      <c r="C1096" s="139" t="s">
        <v>169</v>
      </c>
      <c r="D1096" s="140"/>
      <c r="E1096" s="143" t="s">
        <v>162</v>
      </c>
      <c r="H1096" s="36"/>
      <c r="I1096" s="36"/>
      <c r="J1096" s="36"/>
      <c r="K1096" s="36"/>
      <c r="L1096" s="36"/>
      <c r="M1096" s="36"/>
      <c r="N1096" s="36"/>
      <c r="O1096" s="36"/>
      <c r="P1096" s="36"/>
      <c r="Q1096" s="36"/>
      <c r="R1096" s="139" t="str">
        <f>"バックアップ_"&amp;SUBSTITUTE(C1096,"_結合","")</f>
        <v>バックアップ_DPC調査データ_外来EF統合ファイル</v>
      </c>
      <c r="S1096" s="140"/>
      <c r="T1096" s="145" t="str">
        <f>エンティティ一覧!$O$2</f>
        <v>milscm_2023_009</v>
      </c>
    </row>
    <row r="1097" spans="2:23" ht="18.75" customHeight="1">
      <c r="C1097" s="141"/>
      <c r="D1097" s="142"/>
      <c r="E1097" s="144"/>
      <c r="F1097" s="37"/>
      <c r="G1097" s="38"/>
      <c r="H1097" s="37"/>
      <c r="I1097" s="37"/>
      <c r="J1097" s="37"/>
      <c r="K1097" s="37"/>
      <c r="L1097" s="37"/>
      <c r="M1097" s="37"/>
      <c r="N1097" s="37"/>
      <c r="O1097" s="37"/>
      <c r="P1097" s="37"/>
      <c r="Q1097" s="37"/>
      <c r="R1097" s="141"/>
      <c r="S1097" s="142"/>
      <c r="T1097" s="146"/>
    </row>
    <row r="1098" spans="2:23" ht="18.75" customHeight="1">
      <c r="F1098" s="39"/>
      <c r="G1098" s="40"/>
    </row>
    <row r="1099" spans="2:23" ht="18.75" customHeight="1">
      <c r="C1099" s="139" t="s">
        <v>3181</v>
      </c>
      <c r="D1099" s="140"/>
      <c r="E1099" s="145" t="str">
        <f>エンティティ一覧!$O$2</f>
        <v>milscm_2023_009</v>
      </c>
      <c r="G1099" s="41"/>
    </row>
    <row r="1100" spans="2:23" ht="18.75" customHeight="1">
      <c r="C1100" s="141"/>
      <c r="D1100" s="142"/>
      <c r="E1100" s="146"/>
      <c r="F1100" s="37"/>
    </row>
    <row r="1102" spans="2:23" ht="18.75" customHeight="1" thickBot="1">
      <c r="B1102" s="42"/>
      <c r="C1102" s="42"/>
      <c r="D1102" s="42"/>
      <c r="E1102" s="42"/>
      <c r="F1102" s="42"/>
      <c r="G1102" s="42"/>
      <c r="H1102" s="42"/>
      <c r="I1102" s="42"/>
      <c r="J1102" s="42"/>
      <c r="K1102" s="42"/>
      <c r="L1102" s="42"/>
      <c r="M1102" s="42"/>
      <c r="N1102" s="42"/>
      <c r="O1102" s="42"/>
      <c r="P1102" s="42"/>
      <c r="Q1102" s="42"/>
      <c r="R1102" s="42"/>
      <c r="S1102" s="42"/>
      <c r="T1102" s="42"/>
      <c r="U1102" s="42"/>
    </row>
    <row r="1104" spans="2:23" ht="18.75" customHeight="1">
      <c r="B1104" s="43" t="s">
        <v>163</v>
      </c>
      <c r="C1104" s="51" t="s">
        <v>3175</v>
      </c>
      <c r="D1104" s="50"/>
      <c r="W1104" s="35" t="str">
        <f>"-- "&amp;B1104&amp;" : "&amp;C1104</f>
        <v>-- SQL_ID : 01_C1-04</v>
      </c>
    </row>
    <row r="1105" spans="2:23" ht="18.75" customHeight="1">
      <c r="B1105" s="43" t="s">
        <v>158</v>
      </c>
      <c r="C1105" s="147" t="str">
        <f>R1108&amp;"登録"</f>
        <v>バックアップ_DPC調査データ_Hファイル登録</v>
      </c>
      <c r="D1105" s="148"/>
      <c r="E1105" s="148"/>
      <c r="F1105" s="148"/>
      <c r="G1105" s="148"/>
      <c r="H1105" s="148"/>
      <c r="I1105" s="148"/>
      <c r="J1105" s="148"/>
      <c r="K1105" s="148"/>
      <c r="L1105" s="148"/>
      <c r="M1105" s="148"/>
      <c r="N1105" s="148"/>
      <c r="O1105" s="148"/>
      <c r="P1105" s="148"/>
      <c r="Q1105" s="148"/>
      <c r="R1105" s="148"/>
      <c r="S1105" s="148"/>
      <c r="T1105" s="148"/>
      <c r="U1105" s="149"/>
      <c r="W1105" s="35" t="str">
        <f>"-- "&amp;C1105</f>
        <v>-- バックアップ_DPC調査データ_Hファイル登録</v>
      </c>
    </row>
    <row r="1106" spans="2:23" ht="18.75" customHeight="1">
      <c r="B1106" s="43" t="s">
        <v>159</v>
      </c>
      <c r="C1106" s="136" t="str">
        <f>C1108&amp;"テーブルから組入れ条件の第一条件で絞り込んだ結果を"&amp;R1108&amp;"テーブルに格納する。"</f>
        <v>DPC調査データ_Hファイル_結合テーブルから組入れ条件の第一条件で絞り込んだ結果をバックアップ_DPC調査データ_Hファイルテーブルに格納する。</v>
      </c>
      <c r="D1106" s="137"/>
      <c r="E1106" s="137"/>
      <c r="F1106" s="137"/>
      <c r="G1106" s="137"/>
      <c r="H1106" s="137"/>
      <c r="I1106" s="137"/>
      <c r="J1106" s="137"/>
      <c r="K1106" s="137"/>
      <c r="L1106" s="137"/>
      <c r="M1106" s="137"/>
      <c r="N1106" s="137"/>
      <c r="O1106" s="137"/>
      <c r="P1106" s="137"/>
      <c r="Q1106" s="137"/>
      <c r="R1106" s="137"/>
      <c r="S1106" s="137"/>
      <c r="T1106" s="137"/>
      <c r="U1106" s="138"/>
      <c r="W1106" s="35" t="str">
        <f>"-- "&amp;C1106</f>
        <v>-- DPC調査データ_Hファイル_結合テーブルから組入れ条件の第一条件で絞り込んだ結果をバックアップ_DPC調査データ_Hファイルテーブルに格納する。</v>
      </c>
    </row>
    <row r="1108" spans="2:23" ht="18.75" customHeight="1">
      <c r="C1108" s="139" t="s">
        <v>170</v>
      </c>
      <c r="D1108" s="140"/>
      <c r="E1108" s="143" t="s">
        <v>162</v>
      </c>
      <c r="H1108" s="36"/>
      <c r="I1108" s="36"/>
      <c r="J1108" s="36"/>
      <c r="K1108" s="36"/>
      <c r="L1108" s="36"/>
      <c r="M1108" s="36"/>
      <c r="N1108" s="36"/>
      <c r="O1108" s="36"/>
      <c r="P1108" s="36"/>
      <c r="Q1108" s="36"/>
      <c r="R1108" s="139" t="str">
        <f>"バックアップ_"&amp;SUBSTITUTE(C1108,"_結合","")</f>
        <v>バックアップ_DPC調査データ_Hファイル</v>
      </c>
      <c r="S1108" s="140"/>
      <c r="T1108" s="145" t="str">
        <f>エンティティ一覧!$O$2</f>
        <v>milscm_2023_009</v>
      </c>
    </row>
    <row r="1109" spans="2:23" ht="18.75" customHeight="1">
      <c r="C1109" s="141"/>
      <c r="D1109" s="142"/>
      <c r="E1109" s="144"/>
      <c r="F1109" s="37"/>
      <c r="G1109" s="38"/>
      <c r="H1109" s="37"/>
      <c r="I1109" s="37"/>
      <c r="J1109" s="37"/>
      <c r="K1109" s="37"/>
      <c r="L1109" s="37"/>
      <c r="M1109" s="37"/>
      <c r="N1109" s="37"/>
      <c r="O1109" s="37"/>
      <c r="P1109" s="37"/>
      <c r="Q1109" s="37"/>
      <c r="R1109" s="141"/>
      <c r="S1109" s="142"/>
      <c r="T1109" s="146"/>
    </row>
    <row r="1110" spans="2:23" ht="18.75" customHeight="1">
      <c r="F1110" s="39"/>
      <c r="G1110" s="40"/>
    </row>
    <row r="1111" spans="2:23" ht="18.75" customHeight="1">
      <c r="C1111" s="139" t="s">
        <v>3181</v>
      </c>
      <c r="D1111" s="140"/>
      <c r="E1111" s="145" t="str">
        <f>エンティティ一覧!$O$2</f>
        <v>milscm_2023_009</v>
      </c>
      <c r="G1111" s="41"/>
    </row>
    <row r="1112" spans="2:23" ht="18.75" customHeight="1">
      <c r="C1112" s="141"/>
      <c r="D1112" s="142"/>
      <c r="E1112" s="146"/>
      <c r="F1112" s="37"/>
    </row>
    <row r="1114" spans="2:23" ht="18.75" customHeight="1" thickBot="1">
      <c r="B1114" s="42"/>
      <c r="C1114" s="42"/>
      <c r="D1114" s="42"/>
      <c r="E1114" s="42"/>
      <c r="F1114" s="42"/>
      <c r="G1114" s="42"/>
      <c r="H1114" s="42"/>
      <c r="I1114" s="42"/>
      <c r="J1114" s="42"/>
      <c r="K1114" s="42"/>
      <c r="L1114" s="42"/>
      <c r="M1114" s="42"/>
      <c r="N1114" s="42"/>
      <c r="O1114" s="42"/>
      <c r="P1114" s="42"/>
      <c r="Q1114" s="42"/>
      <c r="R1114" s="42"/>
      <c r="S1114" s="42"/>
      <c r="T1114" s="42"/>
      <c r="U1114" s="42"/>
    </row>
    <row r="1116" spans="2:23" ht="18.75" customHeight="1">
      <c r="B1116" s="43" t="s">
        <v>163</v>
      </c>
      <c r="C1116" s="51" t="s">
        <v>3176</v>
      </c>
      <c r="D1116" s="50"/>
      <c r="W1116" s="35" t="str">
        <f>"-- "&amp;B1116&amp;" : "&amp;C1116</f>
        <v>-- SQL_ID : 01_C1-05</v>
      </c>
    </row>
    <row r="1117" spans="2:23" ht="18.75" customHeight="1">
      <c r="B1117" s="43" t="s">
        <v>158</v>
      </c>
      <c r="C1117" s="147" t="str">
        <f>R1120&amp;"登録"</f>
        <v>バックアップ_DPC調査データ_様式1登録</v>
      </c>
      <c r="D1117" s="148"/>
      <c r="E1117" s="148"/>
      <c r="F1117" s="148"/>
      <c r="G1117" s="148"/>
      <c r="H1117" s="148"/>
      <c r="I1117" s="148"/>
      <c r="J1117" s="148"/>
      <c r="K1117" s="148"/>
      <c r="L1117" s="148"/>
      <c r="M1117" s="148"/>
      <c r="N1117" s="148"/>
      <c r="O1117" s="148"/>
      <c r="P1117" s="148"/>
      <c r="Q1117" s="148"/>
      <c r="R1117" s="148"/>
      <c r="S1117" s="148"/>
      <c r="T1117" s="148"/>
      <c r="U1117" s="149"/>
      <c r="W1117" s="35" t="str">
        <f>"-- "&amp;C1117</f>
        <v>-- バックアップ_DPC調査データ_様式1登録</v>
      </c>
    </row>
    <row r="1118" spans="2:23" ht="18.75" customHeight="1">
      <c r="B1118" s="43" t="s">
        <v>159</v>
      </c>
      <c r="C1118" s="136" t="str">
        <f>C1120&amp;"テーブルから組入れ条件の第一条件で絞り込んだ結果を"&amp;R1120&amp;"テーブルに格納する。"</f>
        <v>DPC調査データ_様式1_結合テーブルから組入れ条件の第一条件で絞り込んだ結果をバックアップ_DPC調査データ_様式1テーブルに格納する。</v>
      </c>
      <c r="D1118" s="137"/>
      <c r="E1118" s="137"/>
      <c r="F1118" s="137"/>
      <c r="G1118" s="137"/>
      <c r="H1118" s="137"/>
      <c r="I1118" s="137"/>
      <c r="J1118" s="137"/>
      <c r="K1118" s="137"/>
      <c r="L1118" s="137"/>
      <c r="M1118" s="137"/>
      <c r="N1118" s="137"/>
      <c r="O1118" s="137"/>
      <c r="P1118" s="137"/>
      <c r="Q1118" s="137"/>
      <c r="R1118" s="137"/>
      <c r="S1118" s="137"/>
      <c r="T1118" s="137"/>
      <c r="U1118" s="138"/>
      <c r="W1118" s="35" t="str">
        <f>"-- "&amp;C1118</f>
        <v>-- DPC調査データ_様式1_結合テーブルから組入れ条件の第一条件で絞り込んだ結果をバックアップ_DPC調査データ_様式1テーブルに格納する。</v>
      </c>
    </row>
    <row r="1120" spans="2:23" ht="18.75" customHeight="1">
      <c r="C1120" s="139" t="s">
        <v>171</v>
      </c>
      <c r="D1120" s="140"/>
      <c r="E1120" s="143" t="s">
        <v>162</v>
      </c>
      <c r="H1120" s="36"/>
      <c r="I1120" s="36"/>
      <c r="J1120" s="36"/>
      <c r="K1120" s="36"/>
      <c r="L1120" s="36"/>
      <c r="M1120" s="36"/>
      <c r="N1120" s="36"/>
      <c r="O1120" s="36"/>
      <c r="P1120" s="36"/>
      <c r="Q1120" s="36"/>
      <c r="R1120" s="139" t="str">
        <f>"バックアップ_"&amp;SUBSTITUTE(C1120,"_結合","")</f>
        <v>バックアップ_DPC調査データ_様式1</v>
      </c>
      <c r="S1120" s="140"/>
      <c r="T1120" s="145" t="str">
        <f>エンティティ一覧!$O$2</f>
        <v>milscm_2023_009</v>
      </c>
    </row>
    <row r="1121" spans="2:23" ht="18.75" customHeight="1">
      <c r="C1121" s="141"/>
      <c r="D1121" s="142"/>
      <c r="E1121" s="144"/>
      <c r="F1121" s="37"/>
      <c r="G1121" s="38"/>
      <c r="H1121" s="37"/>
      <c r="I1121" s="37"/>
      <c r="J1121" s="37"/>
      <c r="K1121" s="37"/>
      <c r="L1121" s="37"/>
      <c r="M1121" s="37"/>
      <c r="N1121" s="37"/>
      <c r="O1121" s="37"/>
      <c r="P1121" s="37"/>
      <c r="Q1121" s="37"/>
      <c r="R1121" s="141"/>
      <c r="S1121" s="142"/>
      <c r="T1121" s="146"/>
    </row>
    <row r="1122" spans="2:23" ht="18.75" customHeight="1">
      <c r="F1122" s="39"/>
      <c r="G1122" s="40"/>
    </row>
    <row r="1123" spans="2:23" ht="18.75" customHeight="1">
      <c r="C1123" s="139" t="s">
        <v>3181</v>
      </c>
      <c r="D1123" s="140"/>
      <c r="E1123" s="145" t="str">
        <f>エンティティ一覧!$O$2</f>
        <v>milscm_2023_009</v>
      </c>
      <c r="G1123" s="41"/>
    </row>
    <row r="1124" spans="2:23" ht="18.75" customHeight="1">
      <c r="C1124" s="141"/>
      <c r="D1124" s="142"/>
      <c r="E1124" s="146"/>
      <c r="F1124" s="37"/>
    </row>
    <row r="1126" spans="2:23" ht="18.75" customHeight="1" thickBot="1">
      <c r="B1126" s="42"/>
      <c r="C1126" s="42"/>
      <c r="D1126" s="42"/>
      <c r="E1126" s="42"/>
      <c r="F1126" s="42"/>
      <c r="G1126" s="42"/>
      <c r="H1126" s="42"/>
      <c r="I1126" s="42"/>
      <c r="J1126" s="42"/>
      <c r="K1126" s="42"/>
      <c r="L1126" s="42"/>
      <c r="M1126" s="42"/>
      <c r="N1126" s="42"/>
      <c r="O1126" s="42"/>
      <c r="P1126" s="42"/>
      <c r="Q1126" s="42"/>
      <c r="R1126" s="42"/>
      <c r="S1126" s="42"/>
      <c r="T1126" s="42"/>
      <c r="U1126" s="42"/>
    </row>
    <row r="1128" spans="2:23" ht="18.75" customHeight="1">
      <c r="B1128" s="43" t="s">
        <v>163</v>
      </c>
      <c r="C1128" s="51" t="s">
        <v>3177</v>
      </c>
      <c r="D1128" s="50"/>
      <c r="W1128" s="35" t="str">
        <f>"-- "&amp;B1128&amp;" : "&amp;C1128</f>
        <v>-- SQL_ID : 01_C1-07</v>
      </c>
    </row>
    <row r="1129" spans="2:23" ht="18.75" customHeight="1">
      <c r="B1129" s="43" t="s">
        <v>158</v>
      </c>
      <c r="C1129" s="147" t="str">
        <f>R1132&amp;"登録"</f>
        <v>バックアップ_DPC調査データ_様式1_診断情報_併存症登録</v>
      </c>
      <c r="D1129" s="148"/>
      <c r="E1129" s="148"/>
      <c r="F1129" s="148"/>
      <c r="G1129" s="148"/>
      <c r="H1129" s="148"/>
      <c r="I1129" s="148"/>
      <c r="J1129" s="148"/>
      <c r="K1129" s="148"/>
      <c r="L1129" s="148"/>
      <c r="M1129" s="148"/>
      <c r="N1129" s="148"/>
      <c r="O1129" s="148"/>
      <c r="P1129" s="148"/>
      <c r="Q1129" s="148"/>
      <c r="R1129" s="148"/>
      <c r="S1129" s="148"/>
      <c r="T1129" s="148"/>
      <c r="U1129" s="149"/>
      <c r="W1129" s="35" t="str">
        <f>"-- "&amp;C1129</f>
        <v>-- バックアップ_DPC調査データ_様式1_診断情報_併存症登録</v>
      </c>
    </row>
    <row r="1130" spans="2:23" ht="18.75" customHeight="1">
      <c r="B1130" s="43" t="s">
        <v>159</v>
      </c>
      <c r="C1130" s="136" t="str">
        <f>C1132&amp;"テーブルから組入れ条件の第一条件で絞り込んだ結果を"&amp;R1132&amp;"テーブルに格納する。"</f>
        <v>DPC調査データ_様式1_診断情報_併存症_結合テーブルから組入れ条件の第一条件で絞り込んだ結果をバックアップ_DPC調査データ_様式1_診断情報_併存症テーブルに格納する。</v>
      </c>
      <c r="D1130" s="137"/>
      <c r="E1130" s="137"/>
      <c r="F1130" s="137"/>
      <c r="G1130" s="137"/>
      <c r="H1130" s="137"/>
      <c r="I1130" s="137"/>
      <c r="J1130" s="137"/>
      <c r="K1130" s="137"/>
      <c r="L1130" s="137"/>
      <c r="M1130" s="137"/>
      <c r="N1130" s="137"/>
      <c r="O1130" s="137"/>
      <c r="P1130" s="137"/>
      <c r="Q1130" s="137"/>
      <c r="R1130" s="137"/>
      <c r="S1130" s="137"/>
      <c r="T1130" s="137"/>
      <c r="U1130" s="138"/>
      <c r="W1130" s="35" t="str">
        <f>"-- "&amp;C1130</f>
        <v>-- DPC調査データ_様式1_診断情報_併存症_結合テーブルから組入れ条件の第一条件で絞り込んだ結果をバックアップ_DPC調査データ_様式1_診断情報_併存症テーブルに格納する。</v>
      </c>
    </row>
    <row r="1132" spans="2:23" ht="18.75" customHeight="1">
      <c r="C1132" s="139" t="s">
        <v>172</v>
      </c>
      <c r="D1132" s="140"/>
      <c r="E1132" s="143" t="s">
        <v>162</v>
      </c>
      <c r="H1132" s="36"/>
      <c r="I1132" s="36"/>
      <c r="J1132" s="36"/>
      <c r="K1132" s="36"/>
      <c r="L1132" s="36"/>
      <c r="M1132" s="36"/>
      <c r="N1132" s="36"/>
      <c r="O1132" s="36"/>
      <c r="P1132" s="36"/>
      <c r="Q1132" s="36"/>
      <c r="R1132" s="139" t="str">
        <f>"バックアップ_"&amp;SUBSTITUTE(C1132,"_結合","")</f>
        <v>バックアップ_DPC調査データ_様式1_診断情報_併存症</v>
      </c>
      <c r="S1132" s="140"/>
      <c r="T1132" s="145" t="str">
        <f>エンティティ一覧!$O$2</f>
        <v>milscm_2023_009</v>
      </c>
    </row>
    <row r="1133" spans="2:23" ht="18.75" customHeight="1">
      <c r="C1133" s="141"/>
      <c r="D1133" s="142"/>
      <c r="E1133" s="144"/>
      <c r="F1133" s="37"/>
      <c r="G1133" s="38"/>
      <c r="H1133" s="37"/>
      <c r="I1133" s="37"/>
      <c r="J1133" s="37"/>
      <c r="K1133" s="37"/>
      <c r="L1133" s="37"/>
      <c r="M1133" s="37"/>
      <c r="N1133" s="37"/>
      <c r="O1133" s="37"/>
      <c r="P1133" s="37"/>
      <c r="Q1133" s="37"/>
      <c r="R1133" s="141"/>
      <c r="S1133" s="142"/>
      <c r="T1133" s="146"/>
    </row>
    <row r="1134" spans="2:23" ht="18.75" customHeight="1">
      <c r="F1134" s="39"/>
      <c r="G1134" s="40"/>
    </row>
    <row r="1135" spans="2:23" ht="18.75" customHeight="1">
      <c r="C1135" s="139" t="s">
        <v>3181</v>
      </c>
      <c r="D1135" s="140"/>
      <c r="E1135" s="145" t="str">
        <f>エンティティ一覧!$O$2</f>
        <v>milscm_2023_009</v>
      </c>
      <c r="G1135" s="41"/>
    </row>
    <row r="1136" spans="2:23" ht="18.75" customHeight="1">
      <c r="C1136" s="141"/>
      <c r="D1136" s="142"/>
      <c r="E1136" s="146"/>
      <c r="F1136" s="37"/>
    </row>
    <row r="1138" spans="2:23" ht="18.75" customHeight="1" thickBot="1">
      <c r="B1138" s="42"/>
      <c r="C1138" s="42"/>
      <c r="D1138" s="42"/>
      <c r="E1138" s="42"/>
      <c r="F1138" s="42"/>
      <c r="G1138" s="42"/>
      <c r="H1138" s="42"/>
      <c r="I1138" s="42"/>
      <c r="J1138" s="42"/>
      <c r="K1138" s="42"/>
      <c r="L1138" s="42"/>
      <c r="M1138" s="42"/>
      <c r="N1138" s="42"/>
      <c r="O1138" s="42"/>
      <c r="P1138" s="42"/>
      <c r="Q1138" s="42"/>
      <c r="R1138" s="42"/>
      <c r="S1138" s="42"/>
      <c r="T1138" s="42"/>
      <c r="U1138" s="42"/>
    </row>
    <row r="1140" spans="2:23" ht="18.75" customHeight="1">
      <c r="B1140" s="43" t="s">
        <v>163</v>
      </c>
      <c r="C1140" s="51" t="s">
        <v>3178</v>
      </c>
      <c r="D1140" s="50"/>
      <c r="W1140" s="35" t="str">
        <f>"-- "&amp;B1140&amp;" : "&amp;C1140</f>
        <v>-- SQL_ID : 01_C1-08</v>
      </c>
    </row>
    <row r="1141" spans="2:23" ht="18.75" customHeight="1">
      <c r="B1141" s="43" t="s">
        <v>158</v>
      </c>
      <c r="C1141" s="147" t="str">
        <f>R1144&amp;"登録"</f>
        <v>バックアップ_DPC調査データ_様式1_診断情報_続発症登録</v>
      </c>
      <c r="D1141" s="148"/>
      <c r="E1141" s="148"/>
      <c r="F1141" s="148"/>
      <c r="G1141" s="148"/>
      <c r="H1141" s="148"/>
      <c r="I1141" s="148"/>
      <c r="J1141" s="148"/>
      <c r="K1141" s="148"/>
      <c r="L1141" s="148"/>
      <c r="M1141" s="148"/>
      <c r="N1141" s="148"/>
      <c r="O1141" s="148"/>
      <c r="P1141" s="148"/>
      <c r="Q1141" s="148"/>
      <c r="R1141" s="148"/>
      <c r="S1141" s="148"/>
      <c r="T1141" s="148"/>
      <c r="U1141" s="149"/>
      <c r="W1141" s="35" t="str">
        <f>"-- "&amp;C1141</f>
        <v>-- バックアップ_DPC調査データ_様式1_診断情報_続発症登録</v>
      </c>
    </row>
    <row r="1142" spans="2:23" ht="18.75" customHeight="1">
      <c r="B1142" s="43" t="s">
        <v>159</v>
      </c>
      <c r="C1142" s="136" t="str">
        <f>C1144&amp;"テーブルから組入れ条件の第一条件で絞り込んだ結果を"&amp;R1144&amp;"テーブルに格納する。"</f>
        <v>DPC調査データ_様式1_診断情報_続発症_結合テーブルから組入れ条件の第一条件で絞り込んだ結果をバックアップ_DPC調査データ_様式1_診断情報_続発症テーブルに格納する。</v>
      </c>
      <c r="D1142" s="137"/>
      <c r="E1142" s="137"/>
      <c r="F1142" s="137"/>
      <c r="G1142" s="137"/>
      <c r="H1142" s="137"/>
      <c r="I1142" s="137"/>
      <c r="J1142" s="137"/>
      <c r="K1142" s="137"/>
      <c r="L1142" s="137"/>
      <c r="M1142" s="137"/>
      <c r="N1142" s="137"/>
      <c r="O1142" s="137"/>
      <c r="P1142" s="137"/>
      <c r="Q1142" s="137"/>
      <c r="R1142" s="137"/>
      <c r="S1142" s="137"/>
      <c r="T1142" s="137"/>
      <c r="U1142" s="138"/>
      <c r="W1142" s="35" t="str">
        <f>"-- "&amp;C1142</f>
        <v>-- DPC調査データ_様式1_診断情報_続発症_結合テーブルから組入れ条件の第一条件で絞り込んだ結果をバックアップ_DPC調査データ_様式1_診断情報_続発症テーブルに格納する。</v>
      </c>
    </row>
    <row r="1144" spans="2:23" ht="18.75" customHeight="1">
      <c r="C1144" s="139" t="s">
        <v>173</v>
      </c>
      <c r="D1144" s="140"/>
      <c r="E1144" s="143" t="s">
        <v>162</v>
      </c>
      <c r="H1144" s="36"/>
      <c r="I1144" s="36"/>
      <c r="J1144" s="36"/>
      <c r="K1144" s="36"/>
      <c r="L1144" s="36"/>
      <c r="M1144" s="36"/>
      <c r="N1144" s="36"/>
      <c r="O1144" s="36"/>
      <c r="P1144" s="36"/>
      <c r="Q1144" s="36"/>
      <c r="R1144" s="139" t="str">
        <f>"バックアップ_"&amp;SUBSTITUTE(C1144,"_結合","")</f>
        <v>バックアップ_DPC調査データ_様式1_診断情報_続発症</v>
      </c>
      <c r="S1144" s="140"/>
      <c r="T1144" s="145" t="str">
        <f>エンティティ一覧!$O$2</f>
        <v>milscm_2023_009</v>
      </c>
    </row>
    <row r="1145" spans="2:23" ht="18.75" customHeight="1">
      <c r="C1145" s="141"/>
      <c r="D1145" s="142"/>
      <c r="E1145" s="144"/>
      <c r="F1145" s="37"/>
      <c r="G1145" s="38"/>
      <c r="H1145" s="37"/>
      <c r="I1145" s="37"/>
      <c r="J1145" s="37"/>
      <c r="K1145" s="37"/>
      <c r="L1145" s="37"/>
      <c r="M1145" s="37"/>
      <c r="N1145" s="37"/>
      <c r="O1145" s="37"/>
      <c r="P1145" s="37"/>
      <c r="Q1145" s="37"/>
      <c r="R1145" s="141"/>
      <c r="S1145" s="142"/>
      <c r="T1145" s="146"/>
    </row>
    <row r="1146" spans="2:23" ht="18.75" customHeight="1">
      <c r="F1146" s="39"/>
      <c r="G1146" s="40"/>
    </row>
    <row r="1147" spans="2:23" ht="18.75" customHeight="1">
      <c r="C1147" s="139" t="s">
        <v>3181</v>
      </c>
      <c r="D1147" s="140"/>
      <c r="E1147" s="145" t="str">
        <f>エンティティ一覧!$O$2</f>
        <v>milscm_2023_009</v>
      </c>
      <c r="G1147" s="41"/>
    </row>
    <row r="1148" spans="2:23" ht="18.75" customHeight="1">
      <c r="C1148" s="141"/>
      <c r="D1148" s="142"/>
      <c r="E1148" s="146"/>
      <c r="F1148" s="37"/>
    </row>
    <row r="1150" spans="2:23" ht="18.75" customHeight="1" thickBot="1">
      <c r="B1150" s="42"/>
      <c r="C1150" s="42"/>
      <c r="D1150" s="42"/>
      <c r="E1150" s="42"/>
      <c r="F1150" s="42"/>
      <c r="G1150" s="42"/>
      <c r="H1150" s="42"/>
      <c r="I1150" s="42"/>
      <c r="J1150" s="42"/>
      <c r="K1150" s="42"/>
      <c r="L1150" s="42"/>
      <c r="M1150" s="42"/>
      <c r="N1150" s="42"/>
      <c r="O1150" s="42"/>
      <c r="P1150" s="42"/>
      <c r="Q1150" s="42"/>
      <c r="R1150" s="42"/>
      <c r="S1150" s="42"/>
      <c r="T1150" s="42"/>
      <c r="U1150" s="42"/>
    </row>
    <row r="1152" spans="2:23" ht="18.75" customHeight="1">
      <c r="B1152" s="43" t="s">
        <v>163</v>
      </c>
      <c r="C1152" s="51" t="s">
        <v>3401</v>
      </c>
      <c r="D1152" s="88"/>
      <c r="W1152" s="35" t="str">
        <f>"-- "&amp;B1152&amp;" : "&amp;C1152</f>
        <v>-- SQL_ID : 01_C2-01</v>
      </c>
    </row>
    <row r="1153" spans="2:23" ht="18.75" customHeight="1">
      <c r="B1153" s="43" t="s">
        <v>158</v>
      </c>
      <c r="C1153" s="147" t="str">
        <f>R1156&amp;"登録"</f>
        <v>バックアップ_医科レセプト_医療機関情報レコード登録</v>
      </c>
      <c r="D1153" s="148"/>
      <c r="E1153" s="148"/>
      <c r="F1153" s="148"/>
      <c r="G1153" s="148"/>
      <c r="H1153" s="148"/>
      <c r="I1153" s="148"/>
      <c r="J1153" s="148"/>
      <c r="K1153" s="148"/>
      <c r="L1153" s="148"/>
      <c r="M1153" s="148"/>
      <c r="N1153" s="148"/>
      <c r="O1153" s="148"/>
      <c r="P1153" s="148"/>
      <c r="Q1153" s="148"/>
      <c r="R1153" s="148"/>
      <c r="S1153" s="148"/>
      <c r="T1153" s="148"/>
      <c r="U1153" s="149"/>
      <c r="W1153" s="35" t="str">
        <f>"-- "&amp;C1153</f>
        <v>-- バックアップ_医科レセプト_医療機関情報レコード登録</v>
      </c>
    </row>
    <row r="1154" spans="2:23" ht="18.75" customHeight="1">
      <c r="B1154" s="43" t="s">
        <v>159</v>
      </c>
      <c r="C1154" s="136" t="str">
        <f>C1156&amp;"テーブルから組入れ条件の第一条件で絞り込んだ結果を"&amp;R1156&amp;"テーブルに格納する。"</f>
        <v>医科レセプト_医療機関情報レコード_結合テーブルから組入れ条件の第一条件で絞り込んだ結果をバックアップ_医科レセプト_医療機関情報レコードテーブルに格納する。</v>
      </c>
      <c r="D1154" s="137"/>
      <c r="E1154" s="137"/>
      <c r="F1154" s="137"/>
      <c r="G1154" s="137"/>
      <c r="H1154" s="137"/>
      <c r="I1154" s="137"/>
      <c r="J1154" s="137"/>
      <c r="K1154" s="137"/>
      <c r="L1154" s="137"/>
      <c r="M1154" s="137"/>
      <c r="N1154" s="137"/>
      <c r="O1154" s="137"/>
      <c r="P1154" s="137"/>
      <c r="Q1154" s="137"/>
      <c r="R1154" s="137"/>
      <c r="S1154" s="137"/>
      <c r="T1154" s="137"/>
      <c r="U1154" s="138"/>
      <c r="W1154" s="35" t="str">
        <f>"-- "&amp;C1154</f>
        <v>-- 医科レセプト_医療機関情報レコード_結合テーブルから組入れ条件の第一条件で絞り込んだ結果をバックアップ_医科レセプト_医療機関情報レコードテーブルに格納する。</v>
      </c>
    </row>
    <row r="1156" spans="2:23" ht="18.75" customHeight="1">
      <c r="C1156" s="139" t="s">
        <v>3402</v>
      </c>
      <c r="D1156" s="140"/>
      <c r="E1156" s="143" t="s">
        <v>162</v>
      </c>
      <c r="H1156" s="36"/>
      <c r="I1156" s="36"/>
      <c r="J1156" s="36"/>
      <c r="K1156" s="36"/>
      <c r="L1156" s="36"/>
      <c r="M1156" s="36"/>
      <c r="N1156" s="36"/>
      <c r="O1156" s="36"/>
      <c r="P1156" s="36"/>
      <c r="Q1156" s="36"/>
      <c r="R1156" s="139" t="str">
        <f>"バックアップ_"&amp;SUBSTITUTE(C1156,"_結合","")</f>
        <v>バックアップ_医科レセプト_医療機関情報レコード</v>
      </c>
      <c r="S1156" s="140"/>
      <c r="T1156" s="145" t="str">
        <f>エンティティ一覧!$O$2</f>
        <v>milscm_2023_009</v>
      </c>
    </row>
    <row r="1157" spans="2:23" ht="18.75" customHeight="1">
      <c r="C1157" s="141"/>
      <c r="D1157" s="142"/>
      <c r="E1157" s="144"/>
      <c r="F1157" s="37"/>
      <c r="G1157" s="38"/>
      <c r="H1157" s="37"/>
      <c r="I1157" s="37"/>
      <c r="J1157" s="37"/>
      <c r="K1157" s="37"/>
      <c r="L1157" s="37"/>
      <c r="M1157" s="37"/>
      <c r="N1157" s="37"/>
      <c r="O1157" s="37"/>
      <c r="P1157" s="37"/>
      <c r="Q1157" s="37"/>
      <c r="R1157" s="141"/>
      <c r="S1157" s="142"/>
      <c r="T1157" s="146"/>
    </row>
    <row r="1158" spans="2:23" ht="18.75" customHeight="1">
      <c r="F1158" s="39"/>
      <c r="G1158" s="40"/>
    </row>
    <row r="1159" spans="2:23" ht="18.75" customHeight="1">
      <c r="C1159" s="139" t="s">
        <v>3181</v>
      </c>
      <c r="D1159" s="140"/>
      <c r="E1159" s="145" t="str">
        <f>エンティティ一覧!$O$2</f>
        <v>milscm_2023_009</v>
      </c>
      <c r="G1159" s="41"/>
    </row>
    <row r="1160" spans="2:23" ht="18.75" customHeight="1">
      <c r="C1160" s="141"/>
      <c r="D1160" s="142"/>
      <c r="E1160" s="146"/>
      <c r="F1160" s="37"/>
    </row>
    <row r="1162" spans="2:23" ht="18.75" customHeight="1" thickBot="1">
      <c r="B1162" s="42"/>
      <c r="C1162" s="42"/>
      <c r="D1162" s="42"/>
      <c r="E1162" s="42"/>
      <c r="F1162" s="42"/>
      <c r="G1162" s="42"/>
      <c r="H1162" s="42"/>
      <c r="I1162" s="42"/>
      <c r="J1162" s="42"/>
      <c r="K1162" s="42"/>
      <c r="L1162" s="42"/>
      <c r="M1162" s="42"/>
      <c r="N1162" s="42"/>
      <c r="O1162" s="42"/>
      <c r="P1162" s="42"/>
      <c r="Q1162" s="42"/>
      <c r="R1162" s="42"/>
      <c r="S1162" s="42"/>
      <c r="T1162" s="42"/>
      <c r="U1162" s="42"/>
    </row>
    <row r="1164" spans="2:23" ht="18.75" customHeight="1">
      <c r="B1164" s="43" t="s">
        <v>163</v>
      </c>
      <c r="C1164" s="51" t="s">
        <v>3403</v>
      </c>
      <c r="D1164" s="88"/>
      <c r="W1164" s="35" t="str">
        <f>"-- "&amp;B1164&amp;" : "&amp;C1164</f>
        <v>-- SQL_ID : 01_C2-02</v>
      </c>
    </row>
    <row r="1165" spans="2:23" ht="18.75" customHeight="1">
      <c r="B1165" s="43" t="s">
        <v>158</v>
      </c>
      <c r="C1165" s="147" t="str">
        <f>R1168&amp;"登録"</f>
        <v>バックアップ_医科レセプト_レセプト共通レコード登録</v>
      </c>
      <c r="D1165" s="148"/>
      <c r="E1165" s="148"/>
      <c r="F1165" s="148"/>
      <c r="G1165" s="148"/>
      <c r="H1165" s="148"/>
      <c r="I1165" s="148"/>
      <c r="J1165" s="148"/>
      <c r="K1165" s="148"/>
      <c r="L1165" s="148"/>
      <c r="M1165" s="148"/>
      <c r="N1165" s="148"/>
      <c r="O1165" s="148"/>
      <c r="P1165" s="148"/>
      <c r="Q1165" s="148"/>
      <c r="R1165" s="148"/>
      <c r="S1165" s="148"/>
      <c r="T1165" s="148"/>
      <c r="U1165" s="149"/>
      <c r="W1165" s="35" t="str">
        <f>"-- "&amp;C1165</f>
        <v>-- バックアップ_医科レセプト_レセプト共通レコード登録</v>
      </c>
    </row>
    <row r="1166" spans="2:23" ht="18.75" customHeight="1">
      <c r="B1166" s="43" t="s">
        <v>159</v>
      </c>
      <c r="C1166" s="136" t="str">
        <f>C1168&amp;"テーブルから組入れ条件の第一条件で絞り込んだ結果を"&amp;R1168&amp;"テーブルに格納する。"</f>
        <v>医科レセプト_レセプト共通レコード_結合テーブルから組入れ条件の第一条件で絞り込んだ結果をバックアップ_医科レセプト_レセプト共通レコードテーブルに格納する。</v>
      </c>
      <c r="D1166" s="137"/>
      <c r="E1166" s="137"/>
      <c r="F1166" s="137"/>
      <c r="G1166" s="137"/>
      <c r="H1166" s="137"/>
      <c r="I1166" s="137"/>
      <c r="J1166" s="137"/>
      <c r="K1166" s="137"/>
      <c r="L1166" s="137"/>
      <c r="M1166" s="137"/>
      <c r="N1166" s="137"/>
      <c r="O1166" s="137"/>
      <c r="P1166" s="137"/>
      <c r="Q1166" s="137"/>
      <c r="R1166" s="137"/>
      <c r="S1166" s="137"/>
      <c r="T1166" s="137"/>
      <c r="U1166" s="138"/>
      <c r="W1166" s="35" t="str">
        <f>"-- "&amp;C1166</f>
        <v>-- 医科レセプト_レセプト共通レコード_結合テーブルから組入れ条件の第一条件で絞り込んだ結果をバックアップ_医科レセプト_レセプト共通レコードテーブルに格納する。</v>
      </c>
    </row>
    <row r="1168" spans="2:23" ht="18.75" customHeight="1">
      <c r="C1168" s="139" t="s">
        <v>3404</v>
      </c>
      <c r="D1168" s="140"/>
      <c r="E1168" s="143" t="s">
        <v>162</v>
      </c>
      <c r="H1168" s="36"/>
      <c r="I1168" s="36"/>
      <c r="J1168" s="36"/>
      <c r="K1168" s="36"/>
      <c r="L1168" s="36"/>
      <c r="M1168" s="36"/>
      <c r="N1168" s="36"/>
      <c r="O1168" s="36"/>
      <c r="P1168" s="36"/>
      <c r="Q1168" s="36"/>
      <c r="R1168" s="139" t="str">
        <f>"バックアップ_"&amp;SUBSTITUTE(C1168,"_結合","")</f>
        <v>バックアップ_医科レセプト_レセプト共通レコード</v>
      </c>
      <c r="S1168" s="140"/>
      <c r="T1168" s="145" t="str">
        <f>エンティティ一覧!$O$2</f>
        <v>milscm_2023_009</v>
      </c>
    </row>
    <row r="1169" spans="2:23" ht="18.75" customHeight="1">
      <c r="C1169" s="141"/>
      <c r="D1169" s="142"/>
      <c r="E1169" s="144"/>
      <c r="F1169" s="37"/>
      <c r="G1169" s="38"/>
      <c r="H1169" s="37"/>
      <c r="I1169" s="37"/>
      <c r="J1169" s="37"/>
      <c r="K1169" s="37"/>
      <c r="L1169" s="37"/>
      <c r="M1169" s="37"/>
      <c r="N1169" s="37"/>
      <c r="O1169" s="37"/>
      <c r="P1169" s="37"/>
      <c r="Q1169" s="37"/>
      <c r="R1169" s="141"/>
      <c r="S1169" s="142"/>
      <c r="T1169" s="146"/>
    </row>
    <row r="1170" spans="2:23" ht="18.75" customHeight="1">
      <c r="F1170" s="39"/>
      <c r="G1170" s="40"/>
    </row>
    <row r="1171" spans="2:23" ht="18.75" customHeight="1">
      <c r="C1171" s="139" t="s">
        <v>3181</v>
      </c>
      <c r="D1171" s="140"/>
      <c r="E1171" s="145" t="str">
        <f>エンティティ一覧!$O$2</f>
        <v>milscm_2023_009</v>
      </c>
      <c r="G1171" s="41"/>
    </row>
    <row r="1172" spans="2:23" ht="18.75" customHeight="1">
      <c r="C1172" s="141"/>
      <c r="D1172" s="142"/>
      <c r="E1172" s="146"/>
      <c r="F1172" s="37"/>
    </row>
    <row r="1174" spans="2:23" ht="18.75" customHeight="1" thickBot="1">
      <c r="B1174" s="42"/>
      <c r="C1174" s="42"/>
      <c r="D1174" s="42"/>
      <c r="E1174" s="42"/>
      <c r="F1174" s="42"/>
      <c r="G1174" s="42"/>
      <c r="H1174" s="42"/>
      <c r="I1174" s="42"/>
      <c r="J1174" s="42"/>
      <c r="K1174" s="42"/>
      <c r="L1174" s="42"/>
      <c r="M1174" s="42"/>
      <c r="N1174" s="42"/>
      <c r="O1174" s="42"/>
      <c r="P1174" s="42"/>
      <c r="Q1174" s="42"/>
      <c r="R1174" s="42"/>
      <c r="S1174" s="42"/>
      <c r="T1174" s="42"/>
      <c r="U1174" s="42"/>
    </row>
    <row r="1176" spans="2:23" ht="18.75" customHeight="1">
      <c r="B1176" s="43" t="s">
        <v>163</v>
      </c>
      <c r="C1176" s="51" t="s">
        <v>3405</v>
      </c>
      <c r="D1176" s="88"/>
      <c r="W1176" s="35" t="str">
        <f>"-- "&amp;B1176&amp;" : "&amp;C1176</f>
        <v>-- SQL_ID : 01_C2-06</v>
      </c>
    </row>
    <row r="1177" spans="2:23" ht="18.75" customHeight="1">
      <c r="B1177" s="43" t="s">
        <v>158</v>
      </c>
      <c r="C1177" s="147" t="str">
        <f>R1180&amp;"登録"</f>
        <v>バックアップ_医科レセプト_傷病名レコード登録</v>
      </c>
      <c r="D1177" s="148"/>
      <c r="E1177" s="148"/>
      <c r="F1177" s="148"/>
      <c r="G1177" s="148"/>
      <c r="H1177" s="148"/>
      <c r="I1177" s="148"/>
      <c r="J1177" s="148"/>
      <c r="K1177" s="148"/>
      <c r="L1177" s="148"/>
      <c r="M1177" s="148"/>
      <c r="N1177" s="148"/>
      <c r="O1177" s="148"/>
      <c r="P1177" s="148"/>
      <c r="Q1177" s="148"/>
      <c r="R1177" s="148"/>
      <c r="S1177" s="148"/>
      <c r="T1177" s="148"/>
      <c r="U1177" s="149"/>
      <c r="W1177" s="35" t="str">
        <f>"-- "&amp;C1177</f>
        <v>-- バックアップ_医科レセプト_傷病名レコード登録</v>
      </c>
    </row>
    <row r="1178" spans="2:23" ht="18.75" customHeight="1">
      <c r="B1178" s="43" t="s">
        <v>159</v>
      </c>
      <c r="C1178" s="136" t="str">
        <f>C1180&amp;"テーブルから組入れ条件の第一条件で絞り込んだ結果を"&amp;R1180&amp;"テーブルに格納する。"</f>
        <v>医科レセプト_傷病名レコード_結合テーブルから組入れ条件の第一条件で絞り込んだ結果をバックアップ_医科レセプト_傷病名レコードテーブルに格納する。</v>
      </c>
      <c r="D1178" s="137"/>
      <c r="E1178" s="137"/>
      <c r="F1178" s="137"/>
      <c r="G1178" s="137"/>
      <c r="H1178" s="137"/>
      <c r="I1178" s="137"/>
      <c r="J1178" s="137"/>
      <c r="K1178" s="137"/>
      <c r="L1178" s="137"/>
      <c r="M1178" s="137"/>
      <c r="N1178" s="137"/>
      <c r="O1178" s="137"/>
      <c r="P1178" s="137"/>
      <c r="Q1178" s="137"/>
      <c r="R1178" s="137"/>
      <c r="S1178" s="137"/>
      <c r="T1178" s="137"/>
      <c r="U1178" s="138"/>
      <c r="W1178" s="35" t="str">
        <f>"-- "&amp;C1178</f>
        <v>-- 医科レセプト_傷病名レコード_結合テーブルから組入れ条件の第一条件で絞り込んだ結果をバックアップ_医科レセプト_傷病名レコードテーブルに格納する。</v>
      </c>
    </row>
    <row r="1180" spans="2:23" ht="18.75" customHeight="1">
      <c r="C1180" s="139" t="s">
        <v>3406</v>
      </c>
      <c r="D1180" s="140"/>
      <c r="E1180" s="143" t="s">
        <v>162</v>
      </c>
      <c r="H1180" s="36"/>
      <c r="I1180" s="36"/>
      <c r="J1180" s="36"/>
      <c r="K1180" s="36"/>
      <c r="L1180" s="36"/>
      <c r="M1180" s="36"/>
      <c r="N1180" s="36"/>
      <c r="O1180" s="36"/>
      <c r="P1180" s="36"/>
      <c r="Q1180" s="36"/>
      <c r="R1180" s="139" t="str">
        <f>"バックアップ_"&amp;SUBSTITUTE(C1180,"_結合","")</f>
        <v>バックアップ_医科レセプト_傷病名レコード</v>
      </c>
      <c r="S1180" s="140"/>
      <c r="T1180" s="145" t="str">
        <f>エンティティ一覧!$O$2</f>
        <v>milscm_2023_009</v>
      </c>
    </row>
    <row r="1181" spans="2:23" ht="18.75" customHeight="1">
      <c r="C1181" s="141"/>
      <c r="D1181" s="142"/>
      <c r="E1181" s="144"/>
      <c r="F1181" s="37"/>
      <c r="G1181" s="38"/>
      <c r="H1181" s="37"/>
      <c r="I1181" s="37"/>
      <c r="J1181" s="37"/>
      <c r="K1181" s="37"/>
      <c r="L1181" s="37"/>
      <c r="M1181" s="37"/>
      <c r="N1181" s="37"/>
      <c r="O1181" s="37"/>
      <c r="P1181" s="37"/>
      <c r="Q1181" s="37"/>
      <c r="R1181" s="141"/>
      <c r="S1181" s="142"/>
      <c r="T1181" s="146"/>
    </row>
    <row r="1182" spans="2:23" ht="18.75" customHeight="1">
      <c r="F1182" s="39"/>
      <c r="G1182" s="40"/>
    </row>
    <row r="1183" spans="2:23" ht="18.75" customHeight="1">
      <c r="C1183" s="139" t="s">
        <v>3181</v>
      </c>
      <c r="D1183" s="140"/>
      <c r="E1183" s="145" t="str">
        <f>エンティティ一覧!$O$2</f>
        <v>milscm_2023_009</v>
      </c>
      <c r="G1183" s="41"/>
    </row>
    <row r="1184" spans="2:23" ht="18.75" customHeight="1">
      <c r="C1184" s="141"/>
      <c r="D1184" s="142"/>
      <c r="E1184" s="146"/>
      <c r="F1184" s="37"/>
    </row>
    <row r="1186" spans="2:23" ht="18.75" customHeight="1" thickBot="1">
      <c r="B1186" s="42"/>
      <c r="C1186" s="42"/>
      <c r="D1186" s="42"/>
      <c r="E1186" s="42"/>
      <c r="F1186" s="42"/>
      <c r="G1186" s="42"/>
      <c r="H1186" s="42"/>
      <c r="I1186" s="42"/>
      <c r="J1186" s="42"/>
      <c r="K1186" s="42"/>
      <c r="L1186" s="42"/>
      <c r="M1186" s="42"/>
      <c r="N1186" s="42"/>
      <c r="O1186" s="42"/>
      <c r="P1186" s="42"/>
      <c r="Q1186" s="42"/>
      <c r="R1186" s="42"/>
      <c r="S1186" s="42"/>
      <c r="T1186" s="42"/>
      <c r="U1186" s="42"/>
    </row>
    <row r="1188" spans="2:23" ht="18.75" customHeight="1">
      <c r="B1188" s="43" t="s">
        <v>163</v>
      </c>
      <c r="C1188" s="51" t="s">
        <v>3407</v>
      </c>
      <c r="D1188" s="88"/>
      <c r="W1188" s="35" t="str">
        <f>"-- "&amp;B1188&amp;" : "&amp;C1188</f>
        <v>-- SQL_ID : 01_C2-07</v>
      </c>
    </row>
    <row r="1189" spans="2:23" ht="18.75" customHeight="1">
      <c r="B1189" s="43" t="s">
        <v>158</v>
      </c>
      <c r="C1189" s="147" t="str">
        <f>R1192&amp;"登録"</f>
        <v>バックアップ_医科レセプト_診療行為レコード登録</v>
      </c>
      <c r="D1189" s="148"/>
      <c r="E1189" s="148"/>
      <c r="F1189" s="148"/>
      <c r="G1189" s="148"/>
      <c r="H1189" s="148"/>
      <c r="I1189" s="148"/>
      <c r="J1189" s="148"/>
      <c r="K1189" s="148"/>
      <c r="L1189" s="148"/>
      <c r="M1189" s="148"/>
      <c r="N1189" s="148"/>
      <c r="O1189" s="148"/>
      <c r="P1189" s="148"/>
      <c r="Q1189" s="148"/>
      <c r="R1189" s="148"/>
      <c r="S1189" s="148"/>
      <c r="T1189" s="148"/>
      <c r="U1189" s="149"/>
      <c r="W1189" s="35" t="str">
        <f>"-- "&amp;C1189</f>
        <v>-- バックアップ_医科レセプト_診療行為レコード登録</v>
      </c>
    </row>
    <row r="1190" spans="2:23" ht="18.75" customHeight="1">
      <c r="B1190" s="43" t="s">
        <v>159</v>
      </c>
      <c r="C1190" s="136" t="str">
        <f>C1192&amp;"テーブルから組入れ条件の第一条件で絞り込んだ結果を"&amp;R1192&amp;"テーブルに格納する。"</f>
        <v>医科レセプト_診療行為レコード_結合テーブルから組入れ条件の第一条件で絞り込んだ結果をバックアップ_医科レセプト_診療行為レコードテーブルに格納する。</v>
      </c>
      <c r="D1190" s="137"/>
      <c r="E1190" s="137"/>
      <c r="F1190" s="137"/>
      <c r="G1190" s="137"/>
      <c r="H1190" s="137"/>
      <c r="I1190" s="137"/>
      <c r="J1190" s="137"/>
      <c r="K1190" s="137"/>
      <c r="L1190" s="137"/>
      <c r="M1190" s="137"/>
      <c r="N1190" s="137"/>
      <c r="O1190" s="137"/>
      <c r="P1190" s="137"/>
      <c r="Q1190" s="137"/>
      <c r="R1190" s="137"/>
      <c r="S1190" s="137"/>
      <c r="T1190" s="137"/>
      <c r="U1190" s="138"/>
      <c r="W1190" s="35" t="str">
        <f>"-- "&amp;C1190</f>
        <v>-- 医科レセプト_診療行為レコード_結合テーブルから組入れ条件の第一条件で絞り込んだ結果をバックアップ_医科レセプト_診療行為レコードテーブルに格納する。</v>
      </c>
    </row>
    <row r="1192" spans="2:23" ht="18.75" customHeight="1">
      <c r="C1192" s="139" t="s">
        <v>3408</v>
      </c>
      <c r="D1192" s="140"/>
      <c r="E1192" s="143" t="s">
        <v>162</v>
      </c>
      <c r="H1192" s="36"/>
      <c r="I1192" s="36"/>
      <c r="J1192" s="36"/>
      <c r="K1192" s="36"/>
      <c r="L1192" s="36"/>
      <c r="M1192" s="36"/>
      <c r="N1192" s="36"/>
      <c r="O1192" s="36"/>
      <c r="P1192" s="36"/>
      <c r="Q1192" s="36"/>
      <c r="R1192" s="139" t="str">
        <f>"バックアップ_"&amp;SUBSTITUTE(C1192,"_結合","")</f>
        <v>バックアップ_医科レセプト_診療行為レコード</v>
      </c>
      <c r="S1192" s="140"/>
      <c r="T1192" s="145" t="str">
        <f>エンティティ一覧!$O$2</f>
        <v>milscm_2023_009</v>
      </c>
    </row>
    <row r="1193" spans="2:23" ht="18.75" customHeight="1">
      <c r="C1193" s="141"/>
      <c r="D1193" s="142"/>
      <c r="E1193" s="144"/>
      <c r="F1193" s="37"/>
      <c r="G1193" s="38"/>
      <c r="H1193" s="37"/>
      <c r="I1193" s="37"/>
      <c r="J1193" s="37"/>
      <c r="K1193" s="37"/>
      <c r="L1193" s="37"/>
      <c r="M1193" s="37"/>
      <c r="N1193" s="37"/>
      <c r="O1193" s="37"/>
      <c r="P1193" s="37"/>
      <c r="Q1193" s="37"/>
      <c r="R1193" s="141"/>
      <c r="S1193" s="142"/>
      <c r="T1193" s="146"/>
    </row>
    <row r="1194" spans="2:23" ht="18.75" customHeight="1">
      <c r="F1194" s="39"/>
      <c r="G1194" s="40"/>
    </row>
    <row r="1195" spans="2:23" ht="18.75" customHeight="1">
      <c r="C1195" s="139" t="s">
        <v>3181</v>
      </c>
      <c r="D1195" s="140"/>
      <c r="E1195" s="145" t="str">
        <f>エンティティ一覧!$O$2</f>
        <v>milscm_2023_009</v>
      </c>
      <c r="G1195" s="41"/>
    </row>
    <row r="1196" spans="2:23" ht="18.75" customHeight="1">
      <c r="C1196" s="141"/>
      <c r="D1196" s="142"/>
      <c r="E1196" s="146"/>
      <c r="F1196" s="37"/>
    </row>
    <row r="1198" spans="2:23" ht="18.75" customHeight="1" thickBot="1">
      <c r="B1198" s="42"/>
      <c r="C1198" s="42"/>
      <c r="D1198" s="42"/>
      <c r="E1198" s="42"/>
      <c r="F1198" s="42"/>
      <c r="G1198" s="42"/>
      <c r="H1198" s="42"/>
      <c r="I1198" s="42"/>
      <c r="J1198" s="42"/>
      <c r="K1198" s="42"/>
      <c r="L1198" s="42"/>
      <c r="M1198" s="42"/>
      <c r="N1198" s="42"/>
      <c r="O1198" s="42"/>
      <c r="P1198" s="42"/>
      <c r="Q1198" s="42"/>
      <c r="R1198" s="42"/>
      <c r="S1198" s="42"/>
      <c r="T1198" s="42"/>
      <c r="U1198" s="42"/>
    </row>
    <row r="1200" spans="2:23" ht="18.75" customHeight="1">
      <c r="B1200" s="43" t="s">
        <v>163</v>
      </c>
      <c r="C1200" s="51" t="s">
        <v>3409</v>
      </c>
      <c r="D1200" s="88"/>
      <c r="W1200" s="35" t="str">
        <f>"-- "&amp;B1200&amp;" : "&amp;C1200</f>
        <v>-- SQL_ID : 01_C2-08</v>
      </c>
    </row>
    <row r="1201" spans="2:23" ht="18.75" customHeight="1">
      <c r="B1201" s="43" t="s">
        <v>158</v>
      </c>
      <c r="C1201" s="147" t="str">
        <f>R1204&amp;"登録"</f>
        <v>バックアップ_医科レセプト_診療行為レコード_算定日情報登録</v>
      </c>
      <c r="D1201" s="148"/>
      <c r="E1201" s="148"/>
      <c r="F1201" s="148"/>
      <c r="G1201" s="148"/>
      <c r="H1201" s="148"/>
      <c r="I1201" s="148"/>
      <c r="J1201" s="148"/>
      <c r="K1201" s="148"/>
      <c r="L1201" s="148"/>
      <c r="M1201" s="148"/>
      <c r="N1201" s="148"/>
      <c r="O1201" s="148"/>
      <c r="P1201" s="148"/>
      <c r="Q1201" s="148"/>
      <c r="R1201" s="148"/>
      <c r="S1201" s="148"/>
      <c r="T1201" s="148"/>
      <c r="U1201" s="149"/>
      <c r="W1201" s="35" t="str">
        <f>"-- "&amp;C1201</f>
        <v>-- バックアップ_医科レセプト_診療行為レコード_算定日情報登録</v>
      </c>
    </row>
    <row r="1202" spans="2:23" ht="18.75" customHeight="1">
      <c r="B1202" s="43" t="s">
        <v>159</v>
      </c>
      <c r="C1202" s="136" t="str">
        <f>C1204&amp;"テーブルから組入れ条件の第一条件で絞り込んだ結果を"&amp;R1204&amp;"テーブルに格納する。"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202" s="137"/>
      <c r="E1202" s="137"/>
      <c r="F1202" s="137"/>
      <c r="G1202" s="137"/>
      <c r="H1202" s="137"/>
      <c r="I1202" s="137"/>
      <c r="J1202" s="137"/>
      <c r="K1202" s="137"/>
      <c r="L1202" s="137"/>
      <c r="M1202" s="137"/>
      <c r="N1202" s="137"/>
      <c r="O1202" s="137"/>
      <c r="P1202" s="137"/>
      <c r="Q1202" s="137"/>
      <c r="R1202" s="137"/>
      <c r="S1202" s="137"/>
      <c r="T1202" s="137"/>
      <c r="U1202" s="138"/>
      <c r="W1202" s="35" t="str">
        <f>"-- "&amp;C1202</f>
        <v>-- 医科レセプト_診療行為レコード_算定日情報_結合テーブルから組入れ条件の第一条件で絞り込んだ結果をバックアップ_医科レセプト_診療行為レコード_算定日情報テーブルに格納する。</v>
      </c>
    </row>
    <row r="1204" spans="2:23" ht="18.75" customHeight="1">
      <c r="C1204" s="139" t="s">
        <v>3410</v>
      </c>
      <c r="D1204" s="140"/>
      <c r="E1204" s="143" t="s">
        <v>162</v>
      </c>
      <c r="H1204" s="36"/>
      <c r="I1204" s="36"/>
      <c r="J1204" s="36"/>
      <c r="K1204" s="36"/>
      <c r="L1204" s="36"/>
      <c r="M1204" s="36"/>
      <c r="N1204" s="36"/>
      <c r="O1204" s="36"/>
      <c r="P1204" s="36"/>
      <c r="Q1204" s="36"/>
      <c r="R1204" s="150" t="str">
        <f>"バックアップ_"&amp;SUBSTITUTE(C1204,"_結合","")</f>
        <v>バックアップ_医科レセプト_診療行為レコード_算定日情報</v>
      </c>
      <c r="S1204" s="151"/>
      <c r="T1204" s="145" t="str">
        <f>エンティティ一覧!$O$2</f>
        <v>milscm_2023_009</v>
      </c>
    </row>
    <row r="1205" spans="2:23" ht="18.75" customHeight="1">
      <c r="C1205" s="141"/>
      <c r="D1205" s="142"/>
      <c r="E1205" s="144"/>
      <c r="F1205" s="37"/>
      <c r="G1205" s="38"/>
      <c r="H1205" s="37"/>
      <c r="I1205" s="37"/>
      <c r="J1205" s="37"/>
      <c r="K1205" s="37"/>
      <c r="L1205" s="37"/>
      <c r="M1205" s="37"/>
      <c r="N1205" s="37"/>
      <c r="O1205" s="37"/>
      <c r="P1205" s="37"/>
      <c r="Q1205" s="37"/>
      <c r="R1205" s="152"/>
      <c r="S1205" s="153"/>
      <c r="T1205" s="146"/>
    </row>
    <row r="1206" spans="2:23" ht="18.75" customHeight="1">
      <c r="F1206" s="39"/>
      <c r="G1206" s="40"/>
    </row>
    <row r="1207" spans="2:23" ht="18.75" customHeight="1">
      <c r="C1207" s="139" t="s">
        <v>3181</v>
      </c>
      <c r="D1207" s="140"/>
      <c r="E1207" s="145" t="str">
        <f>エンティティ一覧!$O$2</f>
        <v>milscm_2023_009</v>
      </c>
      <c r="G1207" s="41"/>
    </row>
    <row r="1208" spans="2:23" ht="18.75" customHeight="1">
      <c r="C1208" s="141"/>
      <c r="D1208" s="142"/>
      <c r="E1208" s="146"/>
      <c r="F1208" s="37"/>
    </row>
    <row r="1210" spans="2:23" ht="18.75" customHeight="1" thickBot="1">
      <c r="B1210" s="42"/>
      <c r="C1210" s="42"/>
      <c r="D1210" s="42"/>
      <c r="E1210" s="42"/>
      <c r="F1210" s="42"/>
      <c r="G1210" s="42"/>
      <c r="H1210" s="42"/>
      <c r="I1210" s="42"/>
      <c r="J1210" s="42"/>
      <c r="K1210" s="42"/>
      <c r="L1210" s="42"/>
      <c r="M1210" s="42"/>
      <c r="N1210" s="42"/>
      <c r="O1210" s="42"/>
      <c r="P1210" s="42"/>
      <c r="Q1210" s="42"/>
      <c r="R1210" s="42"/>
      <c r="S1210" s="42"/>
      <c r="T1210" s="42"/>
      <c r="U1210" s="42"/>
    </row>
    <row r="1212" spans="2:23" ht="18.75" customHeight="1">
      <c r="B1212" s="43" t="s">
        <v>163</v>
      </c>
      <c r="C1212" s="51" t="s">
        <v>3411</v>
      </c>
      <c r="D1212" s="88"/>
      <c r="W1212" s="35" t="str">
        <f>"-- "&amp;B1212&amp;" : "&amp;C1212</f>
        <v>-- SQL_ID : 01_C2-09</v>
      </c>
    </row>
    <row r="1213" spans="2:23" ht="18.75" customHeight="1">
      <c r="B1213" s="43" t="s">
        <v>158</v>
      </c>
      <c r="C1213" s="147" t="str">
        <f>R1216&amp;"登録"</f>
        <v>バックアップ_医科レセプト_医薬品レコード登録</v>
      </c>
      <c r="D1213" s="148"/>
      <c r="E1213" s="148"/>
      <c r="F1213" s="148"/>
      <c r="G1213" s="148"/>
      <c r="H1213" s="148"/>
      <c r="I1213" s="148"/>
      <c r="J1213" s="148"/>
      <c r="K1213" s="148"/>
      <c r="L1213" s="148"/>
      <c r="M1213" s="148"/>
      <c r="N1213" s="148"/>
      <c r="O1213" s="148"/>
      <c r="P1213" s="148"/>
      <c r="Q1213" s="148"/>
      <c r="R1213" s="148"/>
      <c r="S1213" s="148"/>
      <c r="T1213" s="148"/>
      <c r="U1213" s="149"/>
      <c r="W1213" s="35" t="str">
        <f>"-- "&amp;C1213</f>
        <v>-- バックアップ_医科レセプト_医薬品レコード登録</v>
      </c>
    </row>
    <row r="1214" spans="2:23" ht="18.75" customHeight="1">
      <c r="B1214" s="43" t="s">
        <v>159</v>
      </c>
      <c r="C1214" s="136" t="str">
        <f>C1216&amp;"テーブルから組入れ条件の第一条件で絞り込んだ結果を"&amp;R1216&amp;"テーブルに格納する。"</f>
        <v>医科レセプト_医薬品レコード_結合テーブルから組入れ条件の第一条件で絞り込んだ結果をバックアップ_医科レセプト_医薬品レコードテーブルに格納する。</v>
      </c>
      <c r="D1214" s="137"/>
      <c r="E1214" s="137"/>
      <c r="F1214" s="137"/>
      <c r="G1214" s="137"/>
      <c r="H1214" s="137"/>
      <c r="I1214" s="137"/>
      <c r="J1214" s="137"/>
      <c r="K1214" s="137"/>
      <c r="L1214" s="137"/>
      <c r="M1214" s="137"/>
      <c r="N1214" s="137"/>
      <c r="O1214" s="137"/>
      <c r="P1214" s="137"/>
      <c r="Q1214" s="137"/>
      <c r="R1214" s="137"/>
      <c r="S1214" s="137"/>
      <c r="T1214" s="137"/>
      <c r="U1214" s="138"/>
      <c r="W1214" s="35" t="str">
        <f>"-- "&amp;C1214</f>
        <v>-- 医科レセプト_医薬品レコード_結合テーブルから組入れ条件の第一条件で絞り込んだ結果をバックアップ_医科レセプト_医薬品レコードテーブルに格納する。</v>
      </c>
    </row>
    <row r="1216" spans="2:23" ht="18.75" customHeight="1">
      <c r="C1216" s="139" t="s">
        <v>3412</v>
      </c>
      <c r="D1216" s="140"/>
      <c r="E1216" s="143" t="s">
        <v>162</v>
      </c>
      <c r="H1216" s="36"/>
      <c r="I1216" s="36"/>
      <c r="J1216" s="36"/>
      <c r="K1216" s="36"/>
      <c r="L1216" s="36"/>
      <c r="M1216" s="36"/>
      <c r="N1216" s="36"/>
      <c r="O1216" s="36"/>
      <c r="P1216" s="36"/>
      <c r="Q1216" s="36"/>
      <c r="R1216" s="139" t="str">
        <f>"バックアップ_"&amp;SUBSTITUTE(C1216,"_結合","")</f>
        <v>バックアップ_医科レセプト_医薬品レコード</v>
      </c>
      <c r="S1216" s="140"/>
      <c r="T1216" s="145" t="str">
        <f>エンティティ一覧!$O$2</f>
        <v>milscm_2023_009</v>
      </c>
    </row>
    <row r="1217" spans="2:23" ht="18.75" customHeight="1">
      <c r="C1217" s="141"/>
      <c r="D1217" s="142"/>
      <c r="E1217" s="144"/>
      <c r="F1217" s="37"/>
      <c r="G1217" s="38"/>
      <c r="H1217" s="37"/>
      <c r="I1217" s="37"/>
      <c r="J1217" s="37"/>
      <c r="K1217" s="37"/>
      <c r="L1217" s="37"/>
      <c r="M1217" s="37"/>
      <c r="N1217" s="37"/>
      <c r="O1217" s="37"/>
      <c r="P1217" s="37"/>
      <c r="Q1217" s="37"/>
      <c r="R1217" s="141"/>
      <c r="S1217" s="142"/>
      <c r="T1217" s="146"/>
    </row>
    <row r="1218" spans="2:23" ht="18.75" customHeight="1">
      <c r="F1218" s="39"/>
      <c r="G1218" s="40"/>
    </row>
    <row r="1219" spans="2:23" ht="18.75" customHeight="1">
      <c r="C1219" s="139" t="s">
        <v>3181</v>
      </c>
      <c r="D1219" s="140"/>
      <c r="E1219" s="145" t="str">
        <f>エンティティ一覧!$O$2</f>
        <v>milscm_2023_009</v>
      </c>
      <c r="G1219" s="41"/>
    </row>
    <row r="1220" spans="2:23" ht="18.75" customHeight="1">
      <c r="C1220" s="141"/>
      <c r="D1220" s="142"/>
      <c r="E1220" s="146"/>
      <c r="F1220" s="37"/>
    </row>
    <row r="1222" spans="2:23" ht="18.75" customHeight="1" thickBot="1">
      <c r="B1222" s="42"/>
      <c r="C1222" s="42"/>
      <c r="D1222" s="42"/>
      <c r="E1222" s="42"/>
      <c r="F1222" s="42"/>
      <c r="G1222" s="42"/>
      <c r="H1222" s="42"/>
      <c r="I1222" s="42"/>
      <c r="J1222" s="42"/>
      <c r="K1222" s="42"/>
      <c r="L1222" s="42"/>
      <c r="M1222" s="42"/>
      <c r="N1222" s="42"/>
      <c r="O1222" s="42"/>
      <c r="P1222" s="42"/>
      <c r="Q1222" s="42"/>
      <c r="R1222" s="42"/>
      <c r="S1222" s="42"/>
      <c r="T1222" s="42"/>
      <c r="U1222" s="42"/>
    </row>
    <row r="1224" spans="2:23" ht="18.75" customHeight="1">
      <c r="B1224" s="43" t="s">
        <v>163</v>
      </c>
      <c r="C1224" s="51" t="s">
        <v>3413</v>
      </c>
      <c r="D1224" s="88"/>
      <c r="W1224" s="35" t="str">
        <f>"-- "&amp;B1224&amp;" : "&amp;C1224</f>
        <v>-- SQL_ID : 01_C2-10</v>
      </c>
    </row>
    <row r="1225" spans="2:23" ht="18.75" customHeight="1">
      <c r="B1225" s="43" t="s">
        <v>158</v>
      </c>
      <c r="C1225" s="147" t="str">
        <f>R1228&amp;"登録"</f>
        <v>バックアップ_医科レセプト_医薬品レコード_算定日情報登録</v>
      </c>
      <c r="D1225" s="148"/>
      <c r="E1225" s="148"/>
      <c r="F1225" s="148"/>
      <c r="G1225" s="148"/>
      <c r="H1225" s="148"/>
      <c r="I1225" s="148"/>
      <c r="J1225" s="148"/>
      <c r="K1225" s="148"/>
      <c r="L1225" s="148"/>
      <c r="M1225" s="148"/>
      <c r="N1225" s="148"/>
      <c r="O1225" s="148"/>
      <c r="P1225" s="148"/>
      <c r="Q1225" s="148"/>
      <c r="R1225" s="148"/>
      <c r="S1225" s="148"/>
      <c r="T1225" s="148"/>
      <c r="U1225" s="149"/>
      <c r="W1225" s="35" t="str">
        <f>"-- "&amp;C1225</f>
        <v>-- バックアップ_医科レセプト_医薬品レコード_算定日情報登録</v>
      </c>
    </row>
    <row r="1226" spans="2:23" ht="18.75" customHeight="1">
      <c r="B1226" s="43" t="s">
        <v>159</v>
      </c>
      <c r="C1226" s="136" t="str">
        <f>C1228&amp;"テーブルから組入れ条件の第一条件で絞り込んだ結果を"&amp;R1228&amp;"テーブルに格納する。"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6" s="137"/>
      <c r="E1226" s="137"/>
      <c r="F1226" s="137"/>
      <c r="G1226" s="137"/>
      <c r="H1226" s="137"/>
      <c r="I1226" s="137"/>
      <c r="J1226" s="137"/>
      <c r="K1226" s="137"/>
      <c r="L1226" s="137"/>
      <c r="M1226" s="137"/>
      <c r="N1226" s="137"/>
      <c r="O1226" s="137"/>
      <c r="P1226" s="137"/>
      <c r="Q1226" s="137"/>
      <c r="R1226" s="137"/>
      <c r="S1226" s="137"/>
      <c r="T1226" s="137"/>
      <c r="U1226" s="138"/>
      <c r="W1226" s="35" t="str">
        <f>"-- "&amp;C1226</f>
        <v>-- 医科レセプト_医薬品レコード_算定日情報_結合テーブルから組入れ条件の第一条件で絞り込んだ結果をバックアップ_医科レセプト_医薬品レコード_算定日情報テーブルに格納する。</v>
      </c>
    </row>
    <row r="1228" spans="2:23" ht="18.75" customHeight="1">
      <c r="C1228" s="139" t="s">
        <v>3414</v>
      </c>
      <c r="D1228" s="140"/>
      <c r="E1228" s="143" t="s">
        <v>162</v>
      </c>
      <c r="H1228" s="36"/>
      <c r="I1228" s="36"/>
      <c r="J1228" s="36"/>
      <c r="K1228" s="36"/>
      <c r="L1228" s="36"/>
      <c r="M1228" s="36"/>
      <c r="N1228" s="36"/>
      <c r="O1228" s="36"/>
      <c r="P1228" s="36"/>
      <c r="Q1228" s="36"/>
      <c r="R1228" s="150" t="str">
        <f>"バックアップ_"&amp;SUBSTITUTE(C1228,"_結合","")</f>
        <v>バックアップ_医科レセプト_医薬品レコード_算定日情報</v>
      </c>
      <c r="S1228" s="151"/>
      <c r="T1228" s="145" t="str">
        <f>エンティティ一覧!$O$2</f>
        <v>milscm_2023_009</v>
      </c>
    </row>
    <row r="1229" spans="2:23" ht="18.75" customHeight="1">
      <c r="C1229" s="141"/>
      <c r="D1229" s="142"/>
      <c r="E1229" s="144"/>
      <c r="F1229" s="37"/>
      <c r="G1229" s="38"/>
      <c r="H1229" s="37"/>
      <c r="I1229" s="37"/>
      <c r="J1229" s="37"/>
      <c r="K1229" s="37"/>
      <c r="L1229" s="37"/>
      <c r="M1229" s="37"/>
      <c r="N1229" s="37"/>
      <c r="O1229" s="37"/>
      <c r="P1229" s="37"/>
      <c r="Q1229" s="37"/>
      <c r="R1229" s="152"/>
      <c r="S1229" s="153"/>
      <c r="T1229" s="146"/>
    </row>
    <row r="1230" spans="2:23" ht="18.75" customHeight="1">
      <c r="F1230" s="39"/>
      <c r="G1230" s="40"/>
    </row>
    <row r="1231" spans="2:23" ht="18.75" customHeight="1">
      <c r="C1231" s="139" t="s">
        <v>3181</v>
      </c>
      <c r="D1231" s="140"/>
      <c r="E1231" s="145" t="str">
        <f>エンティティ一覧!$O$2</f>
        <v>milscm_2023_009</v>
      </c>
      <c r="G1231" s="41"/>
    </row>
    <row r="1232" spans="2:23" ht="18.75" customHeight="1">
      <c r="C1232" s="141"/>
      <c r="D1232" s="142"/>
      <c r="E1232" s="146"/>
      <c r="F1232" s="37"/>
    </row>
    <row r="1234" spans="2:23" ht="18.75" customHeight="1" thickBot="1">
      <c r="B1234" s="42"/>
      <c r="C1234" s="42"/>
      <c r="D1234" s="42"/>
      <c r="E1234" s="42"/>
      <c r="F1234" s="42"/>
      <c r="G1234" s="42"/>
      <c r="H1234" s="42"/>
      <c r="I1234" s="42"/>
      <c r="J1234" s="42"/>
      <c r="K1234" s="42"/>
      <c r="L1234" s="42"/>
      <c r="M1234" s="42"/>
      <c r="N1234" s="42"/>
      <c r="O1234" s="42"/>
      <c r="P1234" s="42"/>
      <c r="Q1234" s="42"/>
      <c r="R1234" s="42"/>
      <c r="S1234" s="42"/>
      <c r="T1234" s="42"/>
      <c r="U1234" s="42"/>
    </row>
    <row r="1236" spans="2:23" ht="18.75" customHeight="1">
      <c r="B1236" s="43" t="s">
        <v>163</v>
      </c>
      <c r="C1236" s="51" t="s">
        <v>3415</v>
      </c>
      <c r="D1236" s="88"/>
      <c r="W1236" s="35" t="str">
        <f>"-- "&amp;B1236&amp;" : "&amp;C1236</f>
        <v>-- SQL_ID : 01_C2-16</v>
      </c>
    </row>
    <row r="1237" spans="2:23" ht="18.75" customHeight="1">
      <c r="B1237" s="43" t="s">
        <v>158</v>
      </c>
      <c r="C1237" s="147" t="str">
        <f>R1240&amp;"登録"</f>
        <v>バックアップ_医科レセプト_臓器提供者レセプト情報レコード登録</v>
      </c>
      <c r="D1237" s="148"/>
      <c r="E1237" s="148"/>
      <c r="F1237" s="148"/>
      <c r="G1237" s="148"/>
      <c r="H1237" s="148"/>
      <c r="I1237" s="148"/>
      <c r="J1237" s="148"/>
      <c r="K1237" s="148"/>
      <c r="L1237" s="148"/>
      <c r="M1237" s="148"/>
      <c r="N1237" s="148"/>
      <c r="O1237" s="148"/>
      <c r="P1237" s="148"/>
      <c r="Q1237" s="148"/>
      <c r="R1237" s="148"/>
      <c r="S1237" s="148"/>
      <c r="T1237" s="148"/>
      <c r="U1237" s="149"/>
      <c r="W1237" s="35" t="str">
        <f>"-- "&amp;C1237</f>
        <v>-- バックアップ_医科レセプト_臓器提供者レセプト情報レコード登録</v>
      </c>
    </row>
    <row r="1238" spans="2:23" ht="18.75" customHeight="1">
      <c r="B1238" s="43" t="s">
        <v>159</v>
      </c>
      <c r="C1238" s="136" t="str">
        <f>C1240&amp;"テーブルから組入れ条件の第一条件で絞り込んだ結果を"&amp;R1240&amp;"テーブルに格納する。"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8" s="137"/>
      <c r="E1238" s="137"/>
      <c r="F1238" s="137"/>
      <c r="G1238" s="137"/>
      <c r="H1238" s="137"/>
      <c r="I1238" s="137"/>
      <c r="J1238" s="137"/>
      <c r="K1238" s="137"/>
      <c r="L1238" s="137"/>
      <c r="M1238" s="137"/>
      <c r="N1238" s="137"/>
      <c r="O1238" s="137"/>
      <c r="P1238" s="137"/>
      <c r="Q1238" s="137"/>
      <c r="R1238" s="137"/>
      <c r="S1238" s="137"/>
      <c r="T1238" s="137"/>
      <c r="U1238" s="138"/>
      <c r="W1238" s="35" t="str">
        <f>"-- "&amp;C1238</f>
        <v>-- 医科レセプト_臓器提供者レセプト情報レコード_結合テーブルから組入れ条件の第一条件で絞り込んだ結果をバックアップ_医科レセプト_臓器提供者レセプト情報レコードテーブルに格納する。</v>
      </c>
    </row>
    <row r="1240" spans="2:23" ht="18.75" customHeight="1">
      <c r="C1240" s="139" t="s">
        <v>3416</v>
      </c>
      <c r="D1240" s="140"/>
      <c r="E1240" s="143" t="s">
        <v>162</v>
      </c>
      <c r="H1240" s="36"/>
      <c r="I1240" s="36"/>
      <c r="J1240" s="36"/>
      <c r="K1240" s="36"/>
      <c r="L1240" s="36"/>
      <c r="M1240" s="36"/>
      <c r="N1240" s="36"/>
      <c r="O1240" s="36"/>
      <c r="P1240" s="36"/>
      <c r="Q1240" s="36"/>
      <c r="R1240" s="158" t="str">
        <f>"バックアップ_"&amp;SUBSTITUTE(C1240,"_結合","")</f>
        <v>バックアップ_医科レセプト_臓器提供者レセプト情報レコード</v>
      </c>
      <c r="S1240" s="159"/>
      <c r="T1240" s="145" t="str">
        <f>エンティティ一覧!$O$2</f>
        <v>milscm_2023_009</v>
      </c>
    </row>
    <row r="1241" spans="2:23" ht="18.75" customHeight="1">
      <c r="C1241" s="141"/>
      <c r="D1241" s="142"/>
      <c r="E1241" s="144"/>
      <c r="F1241" s="37"/>
      <c r="G1241" s="38"/>
      <c r="H1241" s="37"/>
      <c r="I1241" s="37"/>
      <c r="J1241" s="37"/>
      <c r="K1241" s="37"/>
      <c r="L1241" s="37"/>
      <c r="M1241" s="37"/>
      <c r="N1241" s="37"/>
      <c r="O1241" s="37"/>
      <c r="P1241" s="37"/>
      <c r="Q1241" s="37"/>
      <c r="R1241" s="160"/>
      <c r="S1241" s="161"/>
      <c r="T1241" s="146"/>
    </row>
    <row r="1242" spans="2:23" ht="18.75" customHeight="1">
      <c r="F1242" s="39"/>
      <c r="G1242" s="40"/>
    </row>
    <row r="1243" spans="2:23" ht="18.75" customHeight="1">
      <c r="C1243" s="139" t="s">
        <v>3181</v>
      </c>
      <c r="D1243" s="140"/>
      <c r="E1243" s="145" t="str">
        <f>エンティティ一覧!$O$2</f>
        <v>milscm_2023_009</v>
      </c>
      <c r="G1243" s="41"/>
    </row>
    <row r="1244" spans="2:23" ht="18.75" customHeight="1">
      <c r="C1244" s="141"/>
      <c r="D1244" s="142"/>
      <c r="E1244" s="146"/>
      <c r="F1244" s="37"/>
    </row>
    <row r="1246" spans="2:23" ht="18.75" customHeight="1" thickBot="1">
      <c r="B1246" s="42"/>
      <c r="C1246" s="42"/>
      <c r="D1246" s="42"/>
      <c r="E1246" s="42"/>
      <c r="F1246" s="42"/>
      <c r="G1246" s="42"/>
      <c r="H1246" s="42"/>
      <c r="I1246" s="42"/>
      <c r="J1246" s="42"/>
      <c r="K1246" s="42"/>
      <c r="L1246" s="42"/>
      <c r="M1246" s="42"/>
      <c r="N1246" s="42"/>
      <c r="O1246" s="42"/>
      <c r="P1246" s="42"/>
      <c r="Q1246" s="42"/>
      <c r="R1246" s="42"/>
      <c r="S1246" s="42"/>
      <c r="T1246" s="42"/>
      <c r="U1246" s="42"/>
    </row>
    <row r="1248" spans="2:23" ht="18.75" customHeight="1">
      <c r="B1248" s="43" t="s">
        <v>163</v>
      </c>
      <c r="C1248" s="51" t="s">
        <v>3417</v>
      </c>
      <c r="D1248" s="88"/>
      <c r="W1248" s="35" t="str">
        <f>"-- "&amp;B1248&amp;" : "&amp;C1248</f>
        <v>-- SQL_ID : 01_C3-01</v>
      </c>
    </row>
    <row r="1249" spans="2:23" ht="18.75" customHeight="1">
      <c r="B1249" s="43" t="s">
        <v>158</v>
      </c>
      <c r="C1249" s="147" t="str">
        <f>R1252&amp;"登録"</f>
        <v>バックアップ_DPCレセプト_医療機関情報レコード登録</v>
      </c>
      <c r="D1249" s="148"/>
      <c r="E1249" s="148"/>
      <c r="F1249" s="148"/>
      <c r="G1249" s="148"/>
      <c r="H1249" s="148"/>
      <c r="I1249" s="148"/>
      <c r="J1249" s="148"/>
      <c r="K1249" s="148"/>
      <c r="L1249" s="148"/>
      <c r="M1249" s="148"/>
      <c r="N1249" s="148"/>
      <c r="O1249" s="148"/>
      <c r="P1249" s="148"/>
      <c r="Q1249" s="148"/>
      <c r="R1249" s="148"/>
      <c r="S1249" s="148"/>
      <c r="T1249" s="148"/>
      <c r="U1249" s="149"/>
      <c r="W1249" s="35" t="str">
        <f>"-- "&amp;C1249</f>
        <v>-- バックアップ_DPCレセプト_医療機関情報レコード登録</v>
      </c>
    </row>
    <row r="1250" spans="2:23" ht="18.75" customHeight="1">
      <c r="B1250" s="43" t="s">
        <v>159</v>
      </c>
      <c r="C1250" s="136" t="str">
        <f>C1252&amp;"テーブルから組入れ条件の第一条件で絞り込んだ結果を"&amp;R1252&amp;"テーブルに格納する。"</f>
        <v>DPCレセプト_医療機関情報レコード_結合テーブルから組入れ条件の第一条件で絞り込んだ結果をバックアップ_DPCレセプト_医療機関情報レコードテーブルに格納する。</v>
      </c>
      <c r="D1250" s="137"/>
      <c r="E1250" s="137"/>
      <c r="F1250" s="137"/>
      <c r="G1250" s="137"/>
      <c r="H1250" s="137"/>
      <c r="I1250" s="137"/>
      <c r="J1250" s="137"/>
      <c r="K1250" s="137"/>
      <c r="L1250" s="137"/>
      <c r="M1250" s="137"/>
      <c r="N1250" s="137"/>
      <c r="O1250" s="137"/>
      <c r="P1250" s="137"/>
      <c r="Q1250" s="137"/>
      <c r="R1250" s="137"/>
      <c r="S1250" s="137"/>
      <c r="T1250" s="137"/>
      <c r="U1250" s="138"/>
      <c r="W1250" s="35" t="str">
        <f>"-- "&amp;C1250</f>
        <v>-- DPCレセプト_医療機関情報レコード_結合テーブルから組入れ条件の第一条件で絞り込んだ結果をバックアップ_DPCレセプト_医療機関情報レコードテーブルに格納する。</v>
      </c>
    </row>
    <row r="1252" spans="2:23" ht="18.75" customHeight="1">
      <c r="C1252" s="139" t="s">
        <v>3418</v>
      </c>
      <c r="D1252" s="140"/>
      <c r="E1252" s="143" t="s">
        <v>162</v>
      </c>
      <c r="H1252" s="36"/>
      <c r="I1252" s="36"/>
      <c r="J1252" s="36"/>
      <c r="K1252" s="36"/>
      <c r="L1252" s="36"/>
      <c r="M1252" s="36"/>
      <c r="N1252" s="36"/>
      <c r="O1252" s="36"/>
      <c r="P1252" s="36"/>
      <c r="Q1252" s="36"/>
      <c r="R1252" s="139" t="str">
        <f>"バックアップ_"&amp;SUBSTITUTE(C1252,"_結合","")</f>
        <v>バックアップ_DPCレセプト_医療機関情報レコード</v>
      </c>
      <c r="S1252" s="140"/>
      <c r="T1252" s="145" t="str">
        <f>エンティティ一覧!$O$2</f>
        <v>milscm_2023_009</v>
      </c>
    </row>
    <row r="1253" spans="2:23" ht="18.75" customHeight="1">
      <c r="C1253" s="141"/>
      <c r="D1253" s="142"/>
      <c r="E1253" s="144"/>
      <c r="F1253" s="37"/>
      <c r="G1253" s="38"/>
      <c r="H1253" s="37"/>
      <c r="I1253" s="37"/>
      <c r="J1253" s="37"/>
      <c r="K1253" s="37"/>
      <c r="L1253" s="37"/>
      <c r="M1253" s="37"/>
      <c r="N1253" s="37"/>
      <c r="O1253" s="37"/>
      <c r="P1253" s="37"/>
      <c r="Q1253" s="37"/>
      <c r="R1253" s="141"/>
      <c r="S1253" s="142"/>
      <c r="T1253" s="146"/>
    </row>
    <row r="1254" spans="2:23" ht="18.75" customHeight="1">
      <c r="F1254" s="39"/>
      <c r="G1254" s="40"/>
    </row>
    <row r="1255" spans="2:23" ht="18.75" customHeight="1">
      <c r="C1255" s="139" t="s">
        <v>3181</v>
      </c>
      <c r="D1255" s="140"/>
      <c r="E1255" s="145" t="str">
        <f>エンティティ一覧!$O$2</f>
        <v>milscm_2023_009</v>
      </c>
      <c r="G1255" s="41"/>
    </row>
    <row r="1256" spans="2:23" ht="18.75" customHeight="1">
      <c r="C1256" s="141"/>
      <c r="D1256" s="142"/>
      <c r="E1256" s="146"/>
      <c r="F1256" s="37"/>
    </row>
    <row r="1258" spans="2:23" ht="18.75" customHeight="1" thickBot="1">
      <c r="B1258" s="42"/>
      <c r="C1258" s="42"/>
      <c r="D1258" s="42"/>
      <c r="E1258" s="42"/>
      <c r="F1258" s="42"/>
      <c r="G1258" s="42"/>
      <c r="H1258" s="42"/>
      <c r="I1258" s="42"/>
      <c r="J1258" s="42"/>
      <c r="K1258" s="42"/>
      <c r="L1258" s="42"/>
      <c r="M1258" s="42"/>
      <c r="N1258" s="42"/>
      <c r="O1258" s="42"/>
      <c r="P1258" s="42"/>
      <c r="Q1258" s="42"/>
      <c r="R1258" s="42"/>
      <c r="S1258" s="42"/>
      <c r="T1258" s="42"/>
      <c r="U1258" s="42"/>
    </row>
    <row r="1260" spans="2:23" ht="18.75" customHeight="1">
      <c r="B1260" s="43" t="s">
        <v>163</v>
      </c>
      <c r="C1260" s="51" t="s">
        <v>3419</v>
      </c>
      <c r="D1260" s="88"/>
      <c r="W1260" s="35" t="str">
        <f>"-- "&amp;B1260&amp;" : "&amp;C1260</f>
        <v>-- SQL_ID : 01_C3-02</v>
      </c>
    </row>
    <row r="1261" spans="2:23" ht="18.75" customHeight="1">
      <c r="B1261" s="43" t="s">
        <v>158</v>
      </c>
      <c r="C1261" s="147" t="str">
        <f>R1264&amp;"登録"</f>
        <v>バックアップ_DPCレセプト_レセプト共通レコード登録</v>
      </c>
      <c r="D1261" s="148"/>
      <c r="E1261" s="148"/>
      <c r="F1261" s="148"/>
      <c r="G1261" s="148"/>
      <c r="H1261" s="148"/>
      <c r="I1261" s="148"/>
      <c r="J1261" s="148"/>
      <c r="K1261" s="148"/>
      <c r="L1261" s="148"/>
      <c r="M1261" s="148"/>
      <c r="N1261" s="148"/>
      <c r="O1261" s="148"/>
      <c r="P1261" s="148"/>
      <c r="Q1261" s="148"/>
      <c r="R1261" s="148"/>
      <c r="S1261" s="148"/>
      <c r="T1261" s="148"/>
      <c r="U1261" s="149"/>
      <c r="W1261" s="35" t="str">
        <f>"-- "&amp;C1261</f>
        <v>-- バックアップ_DPCレセプト_レセプト共通レコード登録</v>
      </c>
    </row>
    <row r="1262" spans="2:23" ht="18.75" customHeight="1">
      <c r="B1262" s="43" t="s">
        <v>159</v>
      </c>
      <c r="C1262" s="136" t="str">
        <f>C1264&amp;"テーブルから組入れ条件の第一条件で絞り込んだ結果を"&amp;R1264&amp;"テーブルに格納する。"</f>
        <v>DPCレセプト_レセプト共通レコード_結合テーブルから組入れ条件の第一条件で絞り込んだ結果をバックアップ_DPCレセプト_レセプト共通レコードテーブルに格納する。</v>
      </c>
      <c r="D1262" s="137"/>
      <c r="E1262" s="137"/>
      <c r="F1262" s="137"/>
      <c r="G1262" s="137"/>
      <c r="H1262" s="137"/>
      <c r="I1262" s="137"/>
      <c r="J1262" s="137"/>
      <c r="K1262" s="137"/>
      <c r="L1262" s="137"/>
      <c r="M1262" s="137"/>
      <c r="N1262" s="137"/>
      <c r="O1262" s="137"/>
      <c r="P1262" s="137"/>
      <c r="Q1262" s="137"/>
      <c r="R1262" s="137"/>
      <c r="S1262" s="137"/>
      <c r="T1262" s="137"/>
      <c r="U1262" s="138"/>
      <c r="W1262" s="35" t="str">
        <f>"-- "&amp;C1262</f>
        <v>-- DPCレセプト_レセプト共通レコード_結合テーブルから組入れ条件の第一条件で絞り込んだ結果をバックアップ_DPCレセプト_レセプト共通レコードテーブルに格納する。</v>
      </c>
    </row>
    <row r="1264" spans="2:23" ht="18.75" customHeight="1">
      <c r="C1264" s="139" t="s">
        <v>3420</v>
      </c>
      <c r="D1264" s="140"/>
      <c r="E1264" s="143" t="s">
        <v>162</v>
      </c>
      <c r="H1264" s="36"/>
      <c r="I1264" s="36"/>
      <c r="J1264" s="36"/>
      <c r="K1264" s="36"/>
      <c r="L1264" s="36"/>
      <c r="M1264" s="36"/>
      <c r="N1264" s="36"/>
      <c r="O1264" s="36"/>
      <c r="P1264" s="36"/>
      <c r="Q1264" s="36"/>
      <c r="R1264" s="139" t="str">
        <f>"バックアップ_"&amp;SUBSTITUTE(C1264,"_結合","")</f>
        <v>バックアップ_DPCレセプト_レセプト共通レコード</v>
      </c>
      <c r="S1264" s="140"/>
      <c r="T1264" s="145" t="str">
        <f>エンティティ一覧!$O$2</f>
        <v>milscm_2023_009</v>
      </c>
    </row>
    <row r="1265" spans="2:23" ht="18.75" customHeight="1">
      <c r="C1265" s="141"/>
      <c r="D1265" s="142"/>
      <c r="E1265" s="144"/>
      <c r="F1265" s="37"/>
      <c r="G1265" s="38"/>
      <c r="H1265" s="37"/>
      <c r="I1265" s="37"/>
      <c r="J1265" s="37"/>
      <c r="K1265" s="37"/>
      <c r="L1265" s="37"/>
      <c r="M1265" s="37"/>
      <c r="N1265" s="37"/>
      <c r="O1265" s="37"/>
      <c r="P1265" s="37"/>
      <c r="Q1265" s="37"/>
      <c r="R1265" s="141"/>
      <c r="S1265" s="142"/>
      <c r="T1265" s="146"/>
    </row>
    <row r="1266" spans="2:23" ht="18.75" customHeight="1">
      <c r="F1266" s="39"/>
      <c r="G1266" s="40"/>
    </row>
    <row r="1267" spans="2:23" ht="18.75" customHeight="1">
      <c r="C1267" s="139" t="s">
        <v>3181</v>
      </c>
      <c r="D1267" s="140"/>
      <c r="E1267" s="145" t="str">
        <f>エンティティ一覧!$O$2</f>
        <v>milscm_2023_009</v>
      </c>
      <c r="G1267" s="41"/>
    </row>
    <row r="1268" spans="2:23" ht="18.75" customHeight="1">
      <c r="C1268" s="141"/>
      <c r="D1268" s="142"/>
      <c r="E1268" s="146"/>
      <c r="F1268" s="37"/>
    </row>
    <row r="1270" spans="2:23" ht="18.75" customHeight="1" thickBot="1">
      <c r="B1270" s="42"/>
      <c r="C1270" s="42"/>
      <c r="D1270" s="42"/>
      <c r="E1270" s="42"/>
      <c r="F1270" s="42"/>
      <c r="G1270" s="42"/>
      <c r="H1270" s="42"/>
      <c r="I1270" s="42"/>
      <c r="J1270" s="42"/>
      <c r="K1270" s="42"/>
      <c r="L1270" s="42"/>
      <c r="M1270" s="42"/>
      <c r="N1270" s="42"/>
      <c r="O1270" s="42"/>
      <c r="P1270" s="42"/>
      <c r="Q1270" s="42"/>
      <c r="R1270" s="42"/>
      <c r="S1270" s="42"/>
      <c r="T1270" s="42"/>
      <c r="U1270" s="42"/>
    </row>
    <row r="1272" spans="2:23" ht="18.75" customHeight="1">
      <c r="B1272" s="43" t="s">
        <v>163</v>
      </c>
      <c r="C1272" s="51" t="s">
        <v>3421</v>
      </c>
      <c r="D1272" s="88"/>
      <c r="W1272" s="35" t="str">
        <f>"-- "&amp;B1272&amp;" : "&amp;C1272</f>
        <v>-- SQL_ID : 01_C3-08</v>
      </c>
    </row>
    <row r="1273" spans="2:23" ht="18.75" customHeight="1">
      <c r="B1273" s="43" t="s">
        <v>158</v>
      </c>
      <c r="C1273" s="147" t="str">
        <f>R1276&amp;"登録"</f>
        <v>バックアップ_DPCレセプト_診断群分類レコード登録</v>
      </c>
      <c r="D1273" s="148"/>
      <c r="E1273" s="148"/>
      <c r="F1273" s="148"/>
      <c r="G1273" s="148"/>
      <c r="H1273" s="148"/>
      <c r="I1273" s="148"/>
      <c r="J1273" s="148"/>
      <c r="K1273" s="148"/>
      <c r="L1273" s="148"/>
      <c r="M1273" s="148"/>
      <c r="N1273" s="148"/>
      <c r="O1273" s="148"/>
      <c r="P1273" s="148"/>
      <c r="Q1273" s="148"/>
      <c r="R1273" s="148"/>
      <c r="S1273" s="148"/>
      <c r="T1273" s="148"/>
      <c r="U1273" s="149"/>
      <c r="W1273" s="35" t="str">
        <f>"-- "&amp;C1273</f>
        <v>-- バックアップ_DPCレセプト_診断群分類レコード登録</v>
      </c>
    </row>
    <row r="1274" spans="2:23" ht="18.75" customHeight="1">
      <c r="B1274" s="43" t="s">
        <v>159</v>
      </c>
      <c r="C1274" s="136" t="str">
        <f>C1276&amp;"テーブルから組入れ条件の第一条件で絞り込んだ結果を"&amp;R1276&amp;"テーブルに格納する。"</f>
        <v>DPCレセプト_診断群分類レコード_結合テーブルから組入れ条件の第一条件で絞り込んだ結果をバックアップ_DPCレセプト_診断群分類レコードテーブルに格納する。</v>
      </c>
      <c r="D1274" s="137"/>
      <c r="E1274" s="137"/>
      <c r="F1274" s="137"/>
      <c r="G1274" s="137"/>
      <c r="H1274" s="137"/>
      <c r="I1274" s="137"/>
      <c r="J1274" s="137"/>
      <c r="K1274" s="137"/>
      <c r="L1274" s="137"/>
      <c r="M1274" s="137"/>
      <c r="N1274" s="137"/>
      <c r="O1274" s="137"/>
      <c r="P1274" s="137"/>
      <c r="Q1274" s="137"/>
      <c r="R1274" s="137"/>
      <c r="S1274" s="137"/>
      <c r="T1274" s="137"/>
      <c r="U1274" s="138"/>
      <c r="W1274" s="35" t="str">
        <f>"-- "&amp;C1274</f>
        <v>-- DPCレセプト_診断群分類レコード_結合テーブルから組入れ条件の第一条件で絞り込んだ結果をバックアップ_DPCレセプト_診断群分類レコードテーブルに格納する。</v>
      </c>
    </row>
    <row r="1276" spans="2:23" ht="18.75" customHeight="1">
      <c r="C1276" s="139" t="s">
        <v>3422</v>
      </c>
      <c r="D1276" s="140"/>
      <c r="E1276" s="143" t="s">
        <v>162</v>
      </c>
      <c r="H1276" s="36"/>
      <c r="I1276" s="36"/>
      <c r="J1276" s="36"/>
      <c r="K1276" s="36"/>
      <c r="L1276" s="36"/>
      <c r="M1276" s="36"/>
      <c r="N1276" s="36"/>
      <c r="O1276" s="36"/>
      <c r="P1276" s="36"/>
      <c r="Q1276" s="36"/>
      <c r="R1276" s="139" t="str">
        <f>"バックアップ_"&amp;SUBSTITUTE(C1276,"_結合","")</f>
        <v>バックアップ_DPCレセプト_診断群分類レコード</v>
      </c>
      <c r="S1276" s="140"/>
      <c r="T1276" s="145" t="str">
        <f>エンティティ一覧!$O$2</f>
        <v>milscm_2023_009</v>
      </c>
    </row>
    <row r="1277" spans="2:23" ht="18.75" customHeight="1">
      <c r="C1277" s="141"/>
      <c r="D1277" s="142"/>
      <c r="E1277" s="144"/>
      <c r="F1277" s="37"/>
      <c r="G1277" s="38"/>
      <c r="H1277" s="37"/>
      <c r="I1277" s="37"/>
      <c r="J1277" s="37"/>
      <c r="K1277" s="37"/>
      <c r="L1277" s="37"/>
      <c r="M1277" s="37"/>
      <c r="N1277" s="37"/>
      <c r="O1277" s="37"/>
      <c r="P1277" s="37"/>
      <c r="Q1277" s="37"/>
      <c r="R1277" s="141"/>
      <c r="S1277" s="142"/>
      <c r="T1277" s="146"/>
    </row>
    <row r="1278" spans="2:23" ht="18.75" customHeight="1">
      <c r="F1278" s="39"/>
      <c r="G1278" s="40"/>
    </row>
    <row r="1279" spans="2:23" ht="18.75" customHeight="1">
      <c r="C1279" s="139" t="s">
        <v>3181</v>
      </c>
      <c r="D1279" s="140"/>
      <c r="E1279" s="145" t="str">
        <f>エンティティ一覧!$O$2</f>
        <v>milscm_2023_009</v>
      </c>
      <c r="G1279" s="41"/>
    </row>
    <row r="1280" spans="2:23" ht="18.75" customHeight="1">
      <c r="C1280" s="141"/>
      <c r="D1280" s="142"/>
      <c r="E1280" s="146"/>
      <c r="F1280" s="37"/>
    </row>
    <row r="1282" spans="2:23" ht="18.75" customHeight="1" thickBot="1">
      <c r="B1282" s="42"/>
      <c r="C1282" s="42"/>
      <c r="D1282" s="42"/>
      <c r="E1282" s="42"/>
      <c r="F1282" s="42"/>
      <c r="G1282" s="42"/>
      <c r="H1282" s="42"/>
      <c r="I1282" s="42"/>
      <c r="J1282" s="42"/>
      <c r="K1282" s="42"/>
      <c r="L1282" s="42"/>
      <c r="M1282" s="42"/>
      <c r="N1282" s="42"/>
      <c r="O1282" s="42"/>
      <c r="P1282" s="42"/>
      <c r="Q1282" s="42"/>
      <c r="R1282" s="42"/>
      <c r="S1282" s="42"/>
      <c r="T1282" s="42"/>
      <c r="U1282" s="42"/>
    </row>
    <row r="1284" spans="2:23" ht="18.75" customHeight="1">
      <c r="B1284" s="43" t="s">
        <v>163</v>
      </c>
      <c r="C1284" s="51" t="s">
        <v>3423</v>
      </c>
      <c r="D1284" s="88"/>
      <c r="W1284" s="35" t="str">
        <f>"-- "&amp;B1284&amp;" : "&amp;C1284</f>
        <v>-- SQL_ID : 01_C3-09</v>
      </c>
    </row>
    <row r="1285" spans="2:23" ht="18.75" customHeight="1">
      <c r="B1285" s="43" t="s">
        <v>158</v>
      </c>
      <c r="C1285" s="147" t="str">
        <f>R1288&amp;"登録"</f>
        <v>バックアップ_DPCレセプト_傷病レコード登録</v>
      </c>
      <c r="D1285" s="148"/>
      <c r="E1285" s="148"/>
      <c r="F1285" s="148"/>
      <c r="G1285" s="148"/>
      <c r="H1285" s="148"/>
      <c r="I1285" s="148"/>
      <c r="J1285" s="148"/>
      <c r="K1285" s="148"/>
      <c r="L1285" s="148"/>
      <c r="M1285" s="148"/>
      <c r="N1285" s="148"/>
      <c r="O1285" s="148"/>
      <c r="P1285" s="148"/>
      <c r="Q1285" s="148"/>
      <c r="R1285" s="148"/>
      <c r="S1285" s="148"/>
      <c r="T1285" s="148"/>
      <c r="U1285" s="149"/>
      <c r="W1285" s="35" t="str">
        <f>"-- "&amp;C1285</f>
        <v>-- バックアップ_DPCレセプト_傷病レコード登録</v>
      </c>
    </row>
    <row r="1286" spans="2:23" ht="18.75" customHeight="1">
      <c r="B1286" s="43" t="s">
        <v>159</v>
      </c>
      <c r="C1286" s="136" t="str">
        <f>C1288&amp;"テーブルから組入れ条件の第一条件で絞り込んだ結果を"&amp;R1288&amp;"テーブルに格納する。"</f>
        <v>DPCレセプト_傷病レコード_結合テーブルから組入れ条件の第一条件で絞り込んだ結果をバックアップ_DPCレセプト_傷病レコードテーブルに格納する。</v>
      </c>
      <c r="D1286" s="137"/>
      <c r="E1286" s="137"/>
      <c r="F1286" s="137"/>
      <c r="G1286" s="137"/>
      <c r="H1286" s="137"/>
      <c r="I1286" s="137"/>
      <c r="J1286" s="137"/>
      <c r="K1286" s="137"/>
      <c r="L1286" s="137"/>
      <c r="M1286" s="137"/>
      <c r="N1286" s="137"/>
      <c r="O1286" s="137"/>
      <c r="P1286" s="137"/>
      <c r="Q1286" s="137"/>
      <c r="R1286" s="137"/>
      <c r="S1286" s="137"/>
      <c r="T1286" s="137"/>
      <c r="U1286" s="138"/>
      <c r="W1286" s="35" t="str">
        <f>"-- "&amp;C1286</f>
        <v>-- DPCレセプト_傷病レコード_結合テーブルから組入れ条件の第一条件で絞り込んだ結果をバックアップ_DPCレセプト_傷病レコードテーブルに格納する。</v>
      </c>
    </row>
    <row r="1288" spans="2:23" ht="18.75" customHeight="1">
      <c r="C1288" s="139" t="s">
        <v>3424</v>
      </c>
      <c r="D1288" s="140"/>
      <c r="E1288" s="143" t="s">
        <v>162</v>
      </c>
      <c r="H1288" s="36"/>
      <c r="I1288" s="36"/>
      <c r="J1288" s="36"/>
      <c r="K1288" s="36"/>
      <c r="L1288" s="36"/>
      <c r="M1288" s="36"/>
      <c r="N1288" s="36"/>
      <c r="O1288" s="36"/>
      <c r="P1288" s="36"/>
      <c r="Q1288" s="36"/>
      <c r="R1288" s="139" t="str">
        <f>"バックアップ_"&amp;SUBSTITUTE(C1288,"_結合","")</f>
        <v>バックアップ_DPCレセプト_傷病レコード</v>
      </c>
      <c r="S1288" s="140"/>
      <c r="T1288" s="145" t="str">
        <f>エンティティ一覧!$O$2</f>
        <v>milscm_2023_009</v>
      </c>
    </row>
    <row r="1289" spans="2:23" ht="18.75" customHeight="1">
      <c r="C1289" s="141"/>
      <c r="D1289" s="142"/>
      <c r="E1289" s="144"/>
      <c r="F1289" s="37"/>
      <c r="G1289" s="38"/>
      <c r="H1289" s="37"/>
      <c r="I1289" s="37"/>
      <c r="J1289" s="37"/>
      <c r="K1289" s="37"/>
      <c r="L1289" s="37"/>
      <c r="M1289" s="37"/>
      <c r="N1289" s="37"/>
      <c r="O1289" s="37"/>
      <c r="P1289" s="37"/>
      <c r="Q1289" s="37"/>
      <c r="R1289" s="141"/>
      <c r="S1289" s="142"/>
      <c r="T1289" s="146"/>
    </row>
    <row r="1290" spans="2:23" ht="18.75" customHeight="1">
      <c r="F1290" s="39"/>
      <c r="G1290" s="40"/>
    </row>
    <row r="1291" spans="2:23" ht="18.75" customHeight="1">
      <c r="C1291" s="139" t="s">
        <v>3181</v>
      </c>
      <c r="D1291" s="140"/>
      <c r="E1291" s="145" t="str">
        <f>エンティティ一覧!$O$2</f>
        <v>milscm_2023_009</v>
      </c>
      <c r="G1291" s="41"/>
    </row>
    <row r="1292" spans="2:23" ht="18.75" customHeight="1">
      <c r="C1292" s="141"/>
      <c r="D1292" s="142"/>
      <c r="E1292" s="146"/>
      <c r="F1292" s="37"/>
    </row>
    <row r="1294" spans="2:23" ht="18.75" customHeight="1" thickBot="1">
      <c r="B1294" s="42"/>
      <c r="C1294" s="42"/>
      <c r="D1294" s="42"/>
      <c r="E1294" s="42"/>
      <c r="F1294" s="42"/>
      <c r="G1294" s="42"/>
      <c r="H1294" s="42"/>
      <c r="I1294" s="42"/>
      <c r="J1294" s="42"/>
      <c r="K1294" s="42"/>
      <c r="L1294" s="42"/>
      <c r="M1294" s="42"/>
      <c r="N1294" s="42"/>
      <c r="O1294" s="42"/>
      <c r="P1294" s="42"/>
      <c r="Q1294" s="42"/>
      <c r="R1294" s="42"/>
      <c r="S1294" s="42"/>
      <c r="T1294" s="42"/>
      <c r="U1294" s="42"/>
    </row>
    <row r="1296" spans="2:23" ht="18.75" customHeight="1">
      <c r="B1296" s="43" t="s">
        <v>163</v>
      </c>
      <c r="C1296" s="51" t="s">
        <v>3425</v>
      </c>
      <c r="D1296" s="88"/>
      <c r="W1296" s="35" t="str">
        <f>"-- "&amp;B1296&amp;" : "&amp;C1296</f>
        <v>-- SQL_ID : 01_C3-10</v>
      </c>
    </row>
    <row r="1297" spans="2:23" ht="18.75" customHeight="1">
      <c r="B1297" s="43" t="s">
        <v>158</v>
      </c>
      <c r="C1297" s="147" t="str">
        <f>R1300&amp;"登録"</f>
        <v>バックアップ_DPCレセプト_傷病名レコード登録</v>
      </c>
      <c r="D1297" s="148"/>
      <c r="E1297" s="148"/>
      <c r="F1297" s="148"/>
      <c r="G1297" s="148"/>
      <c r="H1297" s="148"/>
      <c r="I1297" s="148"/>
      <c r="J1297" s="148"/>
      <c r="K1297" s="148"/>
      <c r="L1297" s="148"/>
      <c r="M1297" s="148"/>
      <c r="N1297" s="148"/>
      <c r="O1297" s="148"/>
      <c r="P1297" s="148"/>
      <c r="Q1297" s="148"/>
      <c r="R1297" s="148"/>
      <c r="S1297" s="148"/>
      <c r="T1297" s="148"/>
      <c r="U1297" s="149"/>
      <c r="W1297" s="35" t="str">
        <f>"-- "&amp;C1297</f>
        <v>-- バックアップ_DPCレセプト_傷病名レコード登録</v>
      </c>
    </row>
    <row r="1298" spans="2:23" ht="18.75" customHeight="1">
      <c r="B1298" s="43" t="s">
        <v>159</v>
      </c>
      <c r="C1298" s="136" t="str">
        <f>C1300&amp;"テーブルから組入れ条件の第一条件で絞り込んだ結果を"&amp;R1300&amp;"テーブルに格納する。"</f>
        <v>DPCレセプト_傷病名レコード_結合テーブルから組入れ条件の第一条件で絞り込んだ結果をバックアップ_DPCレセプト_傷病名レコードテーブルに格納する。</v>
      </c>
      <c r="D1298" s="137"/>
      <c r="E1298" s="137"/>
      <c r="F1298" s="137"/>
      <c r="G1298" s="137"/>
      <c r="H1298" s="137"/>
      <c r="I1298" s="137"/>
      <c r="J1298" s="137"/>
      <c r="K1298" s="137"/>
      <c r="L1298" s="137"/>
      <c r="M1298" s="137"/>
      <c r="N1298" s="137"/>
      <c r="O1298" s="137"/>
      <c r="P1298" s="137"/>
      <c r="Q1298" s="137"/>
      <c r="R1298" s="137"/>
      <c r="S1298" s="137"/>
      <c r="T1298" s="137"/>
      <c r="U1298" s="138"/>
      <c r="W1298" s="35" t="str">
        <f>"-- "&amp;C1298</f>
        <v>-- DPCレセプト_傷病名レコード_結合テーブルから組入れ条件の第一条件で絞り込んだ結果をバックアップ_DPCレセプト_傷病名レコードテーブルに格納する。</v>
      </c>
    </row>
    <row r="1300" spans="2:23" ht="18.75" customHeight="1">
      <c r="C1300" s="139" t="s">
        <v>3426</v>
      </c>
      <c r="D1300" s="140"/>
      <c r="E1300" s="143" t="s">
        <v>162</v>
      </c>
      <c r="H1300" s="36"/>
      <c r="I1300" s="36"/>
      <c r="J1300" s="36"/>
      <c r="K1300" s="36"/>
      <c r="L1300" s="36"/>
      <c r="M1300" s="36"/>
      <c r="N1300" s="36"/>
      <c r="O1300" s="36"/>
      <c r="P1300" s="36"/>
      <c r="Q1300" s="36"/>
      <c r="R1300" s="139" t="str">
        <f>"バックアップ_"&amp;SUBSTITUTE(C1300,"_結合","")</f>
        <v>バックアップ_DPCレセプト_傷病名レコード</v>
      </c>
      <c r="S1300" s="140"/>
      <c r="T1300" s="145" t="str">
        <f>エンティティ一覧!$O$2</f>
        <v>milscm_2023_009</v>
      </c>
    </row>
    <row r="1301" spans="2:23" ht="18.75" customHeight="1">
      <c r="C1301" s="141"/>
      <c r="D1301" s="142"/>
      <c r="E1301" s="144"/>
      <c r="F1301" s="37"/>
      <c r="G1301" s="38"/>
      <c r="H1301" s="37"/>
      <c r="I1301" s="37"/>
      <c r="J1301" s="37"/>
      <c r="K1301" s="37"/>
      <c r="L1301" s="37"/>
      <c r="M1301" s="37"/>
      <c r="N1301" s="37"/>
      <c r="O1301" s="37"/>
      <c r="P1301" s="37"/>
      <c r="Q1301" s="37"/>
      <c r="R1301" s="141"/>
      <c r="S1301" s="142"/>
      <c r="T1301" s="146"/>
    </row>
    <row r="1302" spans="2:23" ht="18.75" customHeight="1">
      <c r="F1302" s="39"/>
      <c r="G1302" s="40"/>
    </row>
    <row r="1303" spans="2:23" ht="18.75" customHeight="1">
      <c r="C1303" s="139" t="s">
        <v>3181</v>
      </c>
      <c r="D1303" s="140"/>
      <c r="E1303" s="145" t="str">
        <f>エンティティ一覧!$O$2</f>
        <v>milscm_2023_009</v>
      </c>
      <c r="G1303" s="41"/>
    </row>
    <row r="1304" spans="2:23" ht="18.75" customHeight="1">
      <c r="C1304" s="141"/>
      <c r="D1304" s="142"/>
      <c r="E1304" s="146"/>
      <c r="F1304" s="37"/>
    </row>
    <row r="1306" spans="2:23" ht="18.75" customHeight="1" thickBot="1">
      <c r="B1306" s="42"/>
      <c r="C1306" s="42"/>
      <c r="D1306" s="42"/>
      <c r="E1306" s="42"/>
      <c r="F1306" s="42"/>
      <c r="G1306" s="42"/>
      <c r="H1306" s="42"/>
      <c r="I1306" s="42"/>
      <c r="J1306" s="42"/>
      <c r="K1306" s="42"/>
      <c r="L1306" s="42"/>
      <c r="M1306" s="42"/>
      <c r="N1306" s="42"/>
      <c r="O1306" s="42"/>
      <c r="P1306" s="42"/>
      <c r="Q1306" s="42"/>
      <c r="R1306" s="42"/>
      <c r="S1306" s="42"/>
      <c r="T1306" s="42"/>
      <c r="U1306" s="42"/>
    </row>
    <row r="1308" spans="2:23" ht="18.75" customHeight="1">
      <c r="B1308" s="43" t="s">
        <v>163</v>
      </c>
      <c r="C1308" s="51" t="s">
        <v>3427</v>
      </c>
      <c r="D1308" s="88"/>
      <c r="W1308" s="35" t="str">
        <f>"-- "&amp;B1308&amp;" : "&amp;C1308</f>
        <v>-- SQL_ID : 01_C3-16</v>
      </c>
    </row>
    <row r="1309" spans="2:23" ht="18.75" customHeight="1">
      <c r="B1309" s="43" t="s">
        <v>158</v>
      </c>
      <c r="C1309" s="147" t="str">
        <f>R1312&amp;"登録"</f>
        <v>バックアップ_DPCレセプト_診療行為レコード登録</v>
      </c>
      <c r="D1309" s="148"/>
      <c r="E1309" s="148"/>
      <c r="F1309" s="148"/>
      <c r="G1309" s="148"/>
      <c r="H1309" s="148"/>
      <c r="I1309" s="148"/>
      <c r="J1309" s="148"/>
      <c r="K1309" s="148"/>
      <c r="L1309" s="148"/>
      <c r="M1309" s="148"/>
      <c r="N1309" s="148"/>
      <c r="O1309" s="148"/>
      <c r="P1309" s="148"/>
      <c r="Q1309" s="148"/>
      <c r="R1309" s="148"/>
      <c r="S1309" s="148"/>
      <c r="T1309" s="148"/>
      <c r="U1309" s="149"/>
      <c r="W1309" s="35" t="str">
        <f>"-- "&amp;C1309</f>
        <v>-- バックアップ_DPCレセプト_診療行為レコード登録</v>
      </c>
    </row>
    <row r="1310" spans="2:23" ht="18.75" customHeight="1">
      <c r="B1310" s="43" t="s">
        <v>159</v>
      </c>
      <c r="C1310" s="136" t="str">
        <f>C1312&amp;"テーブルから組入れ条件の第一条件で絞り込んだ結果を"&amp;R1312&amp;"テーブルに格納する。"</f>
        <v>DPCレセプト_診療行為レコード_結合テーブルから組入れ条件の第一条件で絞り込んだ結果をバックアップ_DPCレセプト_診療行為レコードテーブルに格納する。</v>
      </c>
      <c r="D1310" s="137"/>
      <c r="E1310" s="137"/>
      <c r="F1310" s="137"/>
      <c r="G1310" s="137"/>
      <c r="H1310" s="137"/>
      <c r="I1310" s="137"/>
      <c r="J1310" s="137"/>
      <c r="K1310" s="137"/>
      <c r="L1310" s="137"/>
      <c r="M1310" s="137"/>
      <c r="N1310" s="137"/>
      <c r="O1310" s="137"/>
      <c r="P1310" s="137"/>
      <c r="Q1310" s="137"/>
      <c r="R1310" s="137"/>
      <c r="S1310" s="137"/>
      <c r="T1310" s="137"/>
      <c r="U1310" s="138"/>
      <c r="W1310" s="35" t="str">
        <f>"-- "&amp;C1310</f>
        <v>-- DPCレセプト_診療行為レコード_結合テーブルから組入れ条件の第一条件で絞り込んだ結果をバックアップ_DPCレセプト_診療行為レコードテーブルに格納する。</v>
      </c>
    </row>
    <row r="1312" spans="2:23" ht="18.75" customHeight="1">
      <c r="C1312" s="139" t="s">
        <v>3428</v>
      </c>
      <c r="D1312" s="140"/>
      <c r="E1312" s="143" t="s">
        <v>162</v>
      </c>
      <c r="H1312" s="36"/>
      <c r="I1312" s="36"/>
      <c r="J1312" s="36"/>
      <c r="K1312" s="36"/>
      <c r="L1312" s="36"/>
      <c r="M1312" s="36"/>
      <c r="N1312" s="36"/>
      <c r="O1312" s="36"/>
      <c r="P1312" s="36"/>
      <c r="Q1312" s="36"/>
      <c r="R1312" s="139" t="str">
        <f>"バックアップ_"&amp;SUBSTITUTE(C1312,"_結合","")</f>
        <v>バックアップ_DPCレセプト_診療行為レコード</v>
      </c>
      <c r="S1312" s="140"/>
      <c r="T1312" s="145" t="str">
        <f>エンティティ一覧!$O$2</f>
        <v>milscm_2023_009</v>
      </c>
    </row>
    <row r="1313" spans="2:23" ht="18.75" customHeight="1">
      <c r="C1313" s="141"/>
      <c r="D1313" s="142"/>
      <c r="E1313" s="144"/>
      <c r="F1313" s="37"/>
      <c r="G1313" s="38"/>
      <c r="H1313" s="37"/>
      <c r="I1313" s="37"/>
      <c r="J1313" s="37"/>
      <c r="K1313" s="37"/>
      <c r="L1313" s="37"/>
      <c r="M1313" s="37"/>
      <c r="N1313" s="37"/>
      <c r="O1313" s="37"/>
      <c r="P1313" s="37"/>
      <c r="Q1313" s="37"/>
      <c r="R1313" s="141"/>
      <c r="S1313" s="142"/>
      <c r="T1313" s="146"/>
    </row>
    <row r="1314" spans="2:23" ht="18.75" customHeight="1">
      <c r="F1314" s="39"/>
      <c r="G1314" s="40"/>
    </row>
    <row r="1315" spans="2:23" ht="18.75" customHeight="1">
      <c r="C1315" s="139" t="s">
        <v>3181</v>
      </c>
      <c r="D1315" s="140"/>
      <c r="E1315" s="145" t="str">
        <f>エンティティ一覧!$O$2</f>
        <v>milscm_2023_009</v>
      </c>
      <c r="G1315" s="41"/>
    </row>
    <row r="1316" spans="2:23" ht="18.75" customHeight="1">
      <c r="C1316" s="141"/>
      <c r="D1316" s="142"/>
      <c r="E1316" s="146"/>
      <c r="F1316" s="37"/>
    </row>
    <row r="1318" spans="2:23" ht="18.75" customHeight="1" thickBot="1">
      <c r="B1318" s="42"/>
      <c r="C1318" s="42"/>
      <c r="D1318" s="42"/>
      <c r="E1318" s="42"/>
      <c r="F1318" s="42"/>
      <c r="G1318" s="42"/>
      <c r="H1318" s="42"/>
      <c r="I1318" s="42"/>
      <c r="J1318" s="42"/>
      <c r="K1318" s="42"/>
      <c r="L1318" s="42"/>
      <c r="M1318" s="42"/>
      <c r="N1318" s="42"/>
      <c r="O1318" s="42"/>
      <c r="P1318" s="42"/>
      <c r="Q1318" s="42"/>
      <c r="R1318" s="42"/>
      <c r="S1318" s="42"/>
      <c r="T1318" s="42"/>
      <c r="U1318" s="42"/>
    </row>
    <row r="1320" spans="2:23" ht="18.75" customHeight="1">
      <c r="B1320" s="43" t="s">
        <v>163</v>
      </c>
      <c r="C1320" s="51" t="s">
        <v>3429</v>
      </c>
      <c r="D1320" s="88"/>
      <c r="W1320" s="35" t="str">
        <f>"-- "&amp;B1320&amp;" : "&amp;C1320</f>
        <v>-- SQL_ID : 01_C3-17</v>
      </c>
    </row>
    <row r="1321" spans="2:23" ht="18.75" customHeight="1">
      <c r="B1321" s="43" t="s">
        <v>158</v>
      </c>
      <c r="C1321" s="147" t="str">
        <f>R1324&amp;"登録"</f>
        <v>バックアップ_DPCレセプト_診療行為レコード_算定日情報登録</v>
      </c>
      <c r="D1321" s="148"/>
      <c r="E1321" s="148"/>
      <c r="F1321" s="148"/>
      <c r="G1321" s="148"/>
      <c r="H1321" s="148"/>
      <c r="I1321" s="148"/>
      <c r="J1321" s="148"/>
      <c r="K1321" s="148"/>
      <c r="L1321" s="148"/>
      <c r="M1321" s="148"/>
      <c r="N1321" s="148"/>
      <c r="O1321" s="148"/>
      <c r="P1321" s="148"/>
      <c r="Q1321" s="148"/>
      <c r="R1321" s="148"/>
      <c r="S1321" s="148"/>
      <c r="T1321" s="148"/>
      <c r="U1321" s="149"/>
      <c r="W1321" s="35" t="str">
        <f>"-- "&amp;C1321</f>
        <v>-- バックアップ_DPCレセプト_診療行為レコード_算定日情報登録</v>
      </c>
    </row>
    <row r="1322" spans="2:23" ht="18.75" customHeight="1">
      <c r="B1322" s="43" t="s">
        <v>159</v>
      </c>
      <c r="C1322" s="136" t="str">
        <f>C1324&amp;"テーブルから組入れ条件の第一条件で絞り込んだ結果を"&amp;R1324&amp;"テーブルに格納する。"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22" s="137"/>
      <c r="E1322" s="137"/>
      <c r="F1322" s="137"/>
      <c r="G1322" s="137"/>
      <c r="H1322" s="137"/>
      <c r="I1322" s="137"/>
      <c r="J1322" s="137"/>
      <c r="K1322" s="137"/>
      <c r="L1322" s="137"/>
      <c r="M1322" s="137"/>
      <c r="N1322" s="137"/>
      <c r="O1322" s="137"/>
      <c r="P1322" s="137"/>
      <c r="Q1322" s="137"/>
      <c r="R1322" s="137"/>
      <c r="S1322" s="137"/>
      <c r="T1322" s="137"/>
      <c r="U1322" s="138"/>
      <c r="W1322" s="35" t="str">
        <f>"-- "&amp;C1322</f>
        <v>-- DPCレセプト_診療行為レコード_算定日情報_結合テーブルから組入れ条件の第一条件で絞り込んだ結果をバックアップ_DPCレセプト_診療行為レコード_算定日情報テーブルに格納する。</v>
      </c>
    </row>
    <row r="1324" spans="2:23" ht="18.75" customHeight="1">
      <c r="C1324" s="139" t="s">
        <v>3430</v>
      </c>
      <c r="D1324" s="140"/>
      <c r="E1324" s="143" t="s">
        <v>162</v>
      </c>
      <c r="H1324" s="36"/>
      <c r="I1324" s="36"/>
      <c r="J1324" s="36"/>
      <c r="K1324" s="36"/>
      <c r="L1324" s="36"/>
      <c r="M1324" s="36"/>
      <c r="N1324" s="36"/>
      <c r="O1324" s="36"/>
      <c r="P1324" s="36"/>
      <c r="Q1324" s="36"/>
      <c r="R1324" s="150" t="str">
        <f>"バックアップ_"&amp;SUBSTITUTE(C1324,"_結合","")</f>
        <v>バックアップ_DPCレセプト_診療行為レコード_算定日情報</v>
      </c>
      <c r="S1324" s="151"/>
      <c r="T1324" s="145" t="str">
        <f>エンティティ一覧!$O$2</f>
        <v>milscm_2023_009</v>
      </c>
    </row>
    <row r="1325" spans="2:23" ht="18.75" customHeight="1">
      <c r="C1325" s="141"/>
      <c r="D1325" s="142"/>
      <c r="E1325" s="144"/>
      <c r="F1325" s="37"/>
      <c r="G1325" s="38"/>
      <c r="H1325" s="37"/>
      <c r="I1325" s="37"/>
      <c r="J1325" s="37"/>
      <c r="K1325" s="37"/>
      <c r="L1325" s="37"/>
      <c r="M1325" s="37"/>
      <c r="N1325" s="37"/>
      <c r="O1325" s="37"/>
      <c r="P1325" s="37"/>
      <c r="Q1325" s="37"/>
      <c r="R1325" s="152"/>
      <c r="S1325" s="153"/>
      <c r="T1325" s="146"/>
    </row>
    <row r="1326" spans="2:23" ht="18.75" customHeight="1">
      <c r="F1326" s="39"/>
      <c r="G1326" s="40"/>
    </row>
    <row r="1327" spans="2:23" ht="18.75" customHeight="1">
      <c r="C1327" s="139" t="s">
        <v>3181</v>
      </c>
      <c r="D1327" s="140"/>
      <c r="E1327" s="145" t="str">
        <f>エンティティ一覧!$O$2</f>
        <v>milscm_2023_009</v>
      </c>
      <c r="G1327" s="41"/>
    </row>
    <row r="1328" spans="2:23" ht="18.75" customHeight="1">
      <c r="C1328" s="141"/>
      <c r="D1328" s="142"/>
      <c r="E1328" s="146"/>
      <c r="F1328" s="37"/>
    </row>
    <row r="1330" spans="2:23" ht="18.75" customHeight="1" thickBot="1">
      <c r="B1330" s="42"/>
      <c r="C1330" s="42"/>
      <c r="D1330" s="42"/>
      <c r="E1330" s="42"/>
      <c r="F1330" s="42"/>
      <c r="G1330" s="42"/>
      <c r="H1330" s="42"/>
      <c r="I1330" s="42"/>
      <c r="J1330" s="42"/>
      <c r="K1330" s="42"/>
      <c r="L1330" s="42"/>
      <c r="M1330" s="42"/>
      <c r="N1330" s="42"/>
      <c r="O1330" s="42"/>
      <c r="P1330" s="42"/>
      <c r="Q1330" s="42"/>
      <c r="R1330" s="42"/>
      <c r="S1330" s="42"/>
      <c r="T1330" s="42"/>
      <c r="U1330" s="42"/>
    </row>
    <row r="1332" spans="2:23" ht="18.75" customHeight="1">
      <c r="B1332" s="43" t="s">
        <v>163</v>
      </c>
      <c r="C1332" s="51" t="s">
        <v>3431</v>
      </c>
      <c r="D1332" s="88"/>
      <c r="W1332" s="35" t="str">
        <f>"-- "&amp;B1332&amp;" : "&amp;C1332</f>
        <v>-- SQL_ID : 01_C3-18</v>
      </c>
    </row>
    <row r="1333" spans="2:23" ht="18.75" customHeight="1">
      <c r="B1333" s="43" t="s">
        <v>158</v>
      </c>
      <c r="C1333" s="147" t="str">
        <f>R1336&amp;"登録"</f>
        <v>バックアップ_DPCレセプト_医薬品レコード登録</v>
      </c>
      <c r="D1333" s="148"/>
      <c r="E1333" s="148"/>
      <c r="F1333" s="148"/>
      <c r="G1333" s="148"/>
      <c r="H1333" s="148"/>
      <c r="I1333" s="148"/>
      <c r="J1333" s="148"/>
      <c r="K1333" s="148"/>
      <c r="L1333" s="148"/>
      <c r="M1333" s="148"/>
      <c r="N1333" s="148"/>
      <c r="O1333" s="148"/>
      <c r="P1333" s="148"/>
      <c r="Q1333" s="148"/>
      <c r="R1333" s="148"/>
      <c r="S1333" s="148"/>
      <c r="T1333" s="148"/>
      <c r="U1333" s="149"/>
      <c r="W1333" s="35" t="str">
        <f>"-- "&amp;C1333</f>
        <v>-- バックアップ_DPCレセプト_医薬品レコード登録</v>
      </c>
    </row>
    <row r="1334" spans="2:23" ht="18.75" customHeight="1">
      <c r="B1334" s="43" t="s">
        <v>159</v>
      </c>
      <c r="C1334" s="136" t="str">
        <f>C1336&amp;"テーブルから組入れ条件の第一条件で絞り込んだ結果を"&amp;R1336&amp;"テーブルに格納する。"</f>
        <v>DPCレセプト_医薬品レコード_結合テーブルから組入れ条件の第一条件で絞り込んだ結果をバックアップ_DPCレセプト_医薬品レコードテーブルに格納する。</v>
      </c>
      <c r="D1334" s="137"/>
      <c r="E1334" s="137"/>
      <c r="F1334" s="137"/>
      <c r="G1334" s="137"/>
      <c r="H1334" s="137"/>
      <c r="I1334" s="137"/>
      <c r="J1334" s="137"/>
      <c r="K1334" s="137"/>
      <c r="L1334" s="137"/>
      <c r="M1334" s="137"/>
      <c r="N1334" s="137"/>
      <c r="O1334" s="137"/>
      <c r="P1334" s="137"/>
      <c r="Q1334" s="137"/>
      <c r="R1334" s="137"/>
      <c r="S1334" s="137"/>
      <c r="T1334" s="137"/>
      <c r="U1334" s="138"/>
      <c r="W1334" s="35" t="str">
        <f>"-- "&amp;C1334</f>
        <v>-- DPCレセプト_医薬品レコード_結合テーブルから組入れ条件の第一条件で絞り込んだ結果をバックアップ_DPCレセプト_医薬品レコードテーブルに格納する。</v>
      </c>
    </row>
    <row r="1336" spans="2:23" ht="18.75" customHeight="1">
      <c r="C1336" s="139" t="s">
        <v>3432</v>
      </c>
      <c r="D1336" s="140"/>
      <c r="E1336" s="143" t="s">
        <v>162</v>
      </c>
      <c r="H1336" s="36"/>
      <c r="I1336" s="36"/>
      <c r="J1336" s="36"/>
      <c r="K1336" s="36"/>
      <c r="L1336" s="36"/>
      <c r="M1336" s="36"/>
      <c r="N1336" s="36"/>
      <c r="O1336" s="36"/>
      <c r="P1336" s="36"/>
      <c r="Q1336" s="36"/>
      <c r="R1336" s="139" t="str">
        <f>"バックアップ_"&amp;SUBSTITUTE(C1336,"_結合","")</f>
        <v>バックアップ_DPCレセプト_医薬品レコード</v>
      </c>
      <c r="S1336" s="140"/>
      <c r="T1336" s="145" t="str">
        <f>エンティティ一覧!$O$2</f>
        <v>milscm_2023_009</v>
      </c>
    </row>
    <row r="1337" spans="2:23" ht="18.75" customHeight="1">
      <c r="C1337" s="141"/>
      <c r="D1337" s="142"/>
      <c r="E1337" s="144"/>
      <c r="F1337" s="37"/>
      <c r="G1337" s="38"/>
      <c r="H1337" s="37"/>
      <c r="I1337" s="37"/>
      <c r="J1337" s="37"/>
      <c r="K1337" s="37"/>
      <c r="L1337" s="37"/>
      <c r="M1337" s="37"/>
      <c r="N1337" s="37"/>
      <c r="O1337" s="37"/>
      <c r="P1337" s="37"/>
      <c r="Q1337" s="37"/>
      <c r="R1337" s="141"/>
      <c r="S1337" s="142"/>
      <c r="T1337" s="146"/>
    </row>
    <row r="1338" spans="2:23" ht="18.75" customHeight="1">
      <c r="F1338" s="39"/>
      <c r="G1338" s="40"/>
    </row>
    <row r="1339" spans="2:23" ht="18.75" customHeight="1">
      <c r="C1339" s="139" t="s">
        <v>3181</v>
      </c>
      <c r="D1339" s="140"/>
      <c r="E1339" s="145" t="str">
        <f>エンティティ一覧!$O$2</f>
        <v>milscm_2023_009</v>
      </c>
      <c r="G1339" s="41"/>
    </row>
    <row r="1340" spans="2:23" ht="18.75" customHeight="1">
      <c r="C1340" s="141"/>
      <c r="D1340" s="142"/>
      <c r="E1340" s="146"/>
      <c r="F1340" s="37"/>
    </row>
    <row r="1342" spans="2:23" ht="18.75" customHeight="1" thickBot="1">
      <c r="B1342" s="42"/>
      <c r="C1342" s="42"/>
      <c r="D1342" s="42"/>
      <c r="E1342" s="42"/>
      <c r="F1342" s="42"/>
      <c r="G1342" s="42"/>
      <c r="H1342" s="42"/>
      <c r="I1342" s="42"/>
      <c r="J1342" s="42"/>
      <c r="K1342" s="42"/>
      <c r="L1342" s="42"/>
      <c r="M1342" s="42"/>
      <c r="N1342" s="42"/>
      <c r="O1342" s="42"/>
      <c r="P1342" s="42"/>
      <c r="Q1342" s="42"/>
      <c r="R1342" s="42"/>
      <c r="S1342" s="42"/>
      <c r="T1342" s="42"/>
      <c r="U1342" s="42"/>
    </row>
    <row r="1344" spans="2:23" ht="18.75" customHeight="1">
      <c r="B1344" s="43" t="s">
        <v>163</v>
      </c>
      <c r="C1344" s="51" t="s">
        <v>3433</v>
      </c>
      <c r="D1344" s="88"/>
      <c r="W1344" s="35" t="str">
        <f>"-- "&amp;B1344&amp;" : "&amp;C1344</f>
        <v>-- SQL_ID : 01_C3-19</v>
      </c>
    </row>
    <row r="1345" spans="2:23" ht="18.75" customHeight="1">
      <c r="B1345" s="43" t="s">
        <v>158</v>
      </c>
      <c r="C1345" s="147" t="str">
        <f>R1348&amp;"登録"</f>
        <v>バックアップ_DPCレセプト_医薬品レコード_算定日情報登録</v>
      </c>
      <c r="D1345" s="148"/>
      <c r="E1345" s="148"/>
      <c r="F1345" s="148"/>
      <c r="G1345" s="148"/>
      <c r="H1345" s="148"/>
      <c r="I1345" s="148"/>
      <c r="J1345" s="148"/>
      <c r="K1345" s="148"/>
      <c r="L1345" s="148"/>
      <c r="M1345" s="148"/>
      <c r="N1345" s="148"/>
      <c r="O1345" s="148"/>
      <c r="P1345" s="148"/>
      <c r="Q1345" s="148"/>
      <c r="R1345" s="148"/>
      <c r="S1345" s="148"/>
      <c r="T1345" s="148"/>
      <c r="U1345" s="149"/>
      <c r="W1345" s="35" t="str">
        <f>"-- "&amp;C1345</f>
        <v>-- バックアップ_DPCレセプト_医薬品レコード_算定日情報登録</v>
      </c>
    </row>
    <row r="1346" spans="2:23" ht="18.75" customHeight="1">
      <c r="B1346" s="43" t="s">
        <v>159</v>
      </c>
      <c r="C1346" s="136" t="str">
        <f>C1348&amp;"テーブルから組入れ条件の第一条件で絞り込んだ結果を"&amp;R1348&amp;"テーブルに格納する。"</f>
        <v>DPCレセプト_医薬品レコード_算定日情報_結合テーブルから組入れ条件の第一条件で絞り込んだ結果をバックアップ_DPCレセプト_医薬品レコード_算定日情報テーブルに格納する。</v>
      </c>
      <c r="D1346" s="137"/>
      <c r="E1346" s="137"/>
      <c r="F1346" s="137"/>
      <c r="G1346" s="137"/>
      <c r="H1346" s="137"/>
      <c r="I1346" s="137"/>
      <c r="J1346" s="137"/>
      <c r="K1346" s="137"/>
      <c r="L1346" s="137"/>
      <c r="M1346" s="137"/>
      <c r="N1346" s="137"/>
      <c r="O1346" s="137"/>
      <c r="P1346" s="137"/>
      <c r="Q1346" s="137"/>
      <c r="R1346" s="137"/>
      <c r="S1346" s="137"/>
      <c r="T1346" s="137"/>
      <c r="U1346" s="138"/>
      <c r="W1346" s="35" t="str">
        <f>"-- "&amp;C1346</f>
        <v>-- DPCレセプト_医薬品レコード_算定日情報_結合テーブルから組入れ条件の第一条件で絞り込んだ結果をバックアップ_DPCレセプト_医薬品レコード_算定日情報テーブルに格納する。</v>
      </c>
    </row>
    <row r="1348" spans="2:23" ht="18.75" customHeight="1">
      <c r="C1348" s="139" t="s">
        <v>3434</v>
      </c>
      <c r="D1348" s="140"/>
      <c r="E1348" s="143" t="s">
        <v>162</v>
      </c>
      <c r="H1348" s="36"/>
      <c r="I1348" s="36"/>
      <c r="J1348" s="36"/>
      <c r="K1348" s="36"/>
      <c r="L1348" s="36"/>
      <c r="M1348" s="36"/>
      <c r="N1348" s="36"/>
      <c r="O1348" s="36"/>
      <c r="P1348" s="36"/>
      <c r="Q1348" s="36"/>
      <c r="R1348" s="150" t="str">
        <f>"バックアップ_"&amp;SUBSTITUTE(C1348,"_結合","")</f>
        <v>バックアップ_DPCレセプト_医薬品レコード_算定日情報</v>
      </c>
      <c r="S1348" s="151"/>
      <c r="T1348" s="145" t="str">
        <f>エンティティ一覧!$O$2</f>
        <v>milscm_2023_009</v>
      </c>
    </row>
    <row r="1349" spans="2:23" ht="18.75" customHeight="1">
      <c r="C1349" s="141"/>
      <c r="D1349" s="142"/>
      <c r="E1349" s="144"/>
      <c r="F1349" s="37"/>
      <c r="G1349" s="38"/>
      <c r="H1349" s="37"/>
      <c r="I1349" s="37"/>
      <c r="J1349" s="37"/>
      <c r="K1349" s="37"/>
      <c r="L1349" s="37"/>
      <c r="M1349" s="37"/>
      <c r="N1349" s="37"/>
      <c r="O1349" s="37"/>
      <c r="P1349" s="37"/>
      <c r="Q1349" s="37"/>
      <c r="R1349" s="152"/>
      <c r="S1349" s="153"/>
      <c r="T1349" s="146"/>
    </row>
    <row r="1350" spans="2:23" ht="18.75" customHeight="1">
      <c r="F1350" s="39"/>
      <c r="G1350" s="40"/>
    </row>
    <row r="1351" spans="2:23" ht="18.75" customHeight="1">
      <c r="C1351" s="139" t="s">
        <v>3181</v>
      </c>
      <c r="D1351" s="140"/>
      <c r="E1351" s="145" t="str">
        <f>エンティティ一覧!$O$2</f>
        <v>milscm_2023_009</v>
      </c>
      <c r="G1351" s="41"/>
    </row>
    <row r="1352" spans="2:23" ht="18.75" customHeight="1">
      <c r="C1352" s="141"/>
      <c r="D1352" s="142"/>
      <c r="E1352" s="146"/>
      <c r="F1352" s="37"/>
    </row>
    <row r="1354" spans="2:23" ht="18.75" customHeight="1" thickBot="1">
      <c r="B1354" s="42"/>
      <c r="C1354" s="42"/>
      <c r="D1354" s="42"/>
      <c r="E1354" s="42"/>
      <c r="F1354" s="42"/>
      <c r="G1354" s="42"/>
      <c r="H1354" s="42"/>
      <c r="I1354" s="42"/>
      <c r="J1354" s="42"/>
      <c r="K1354" s="42"/>
      <c r="L1354" s="42"/>
      <c r="M1354" s="42"/>
      <c r="N1354" s="42"/>
      <c r="O1354" s="42"/>
      <c r="P1354" s="42"/>
      <c r="Q1354" s="42"/>
      <c r="R1354" s="42"/>
      <c r="S1354" s="42"/>
      <c r="T1354" s="42"/>
      <c r="U1354" s="42"/>
    </row>
    <row r="1356" spans="2:23" ht="18.75" customHeight="1">
      <c r="B1356" s="43" t="s">
        <v>163</v>
      </c>
      <c r="C1356" s="51" t="s">
        <v>3435</v>
      </c>
      <c r="D1356" s="88"/>
      <c r="W1356" s="35" t="str">
        <f>"-- "&amp;B1356&amp;" : "&amp;C1356</f>
        <v>-- SQL_ID : 01_C3-24</v>
      </c>
    </row>
    <row r="1357" spans="2:23" ht="18.75" customHeight="1">
      <c r="B1357" s="43" t="s">
        <v>158</v>
      </c>
      <c r="C1357" s="147" t="str">
        <f>R1360&amp;"登録"</f>
        <v>バックアップ_DPCレセプト_臓器提供者レセプト情報レコード登録</v>
      </c>
      <c r="D1357" s="148"/>
      <c r="E1357" s="148"/>
      <c r="F1357" s="148"/>
      <c r="G1357" s="148"/>
      <c r="H1357" s="148"/>
      <c r="I1357" s="148"/>
      <c r="J1357" s="148"/>
      <c r="K1357" s="148"/>
      <c r="L1357" s="148"/>
      <c r="M1357" s="148"/>
      <c r="N1357" s="148"/>
      <c r="O1357" s="148"/>
      <c r="P1357" s="148"/>
      <c r="Q1357" s="148"/>
      <c r="R1357" s="148"/>
      <c r="S1357" s="148"/>
      <c r="T1357" s="148"/>
      <c r="U1357" s="149"/>
      <c r="W1357" s="35" t="str">
        <f>"-- "&amp;C1357</f>
        <v>-- バックアップ_DPCレセプト_臓器提供者レセプト情報レコード登録</v>
      </c>
    </row>
    <row r="1358" spans="2:23" ht="18.75" customHeight="1">
      <c r="B1358" s="43" t="s">
        <v>159</v>
      </c>
      <c r="C1358" s="136" t="str">
        <f>C1360&amp;"テーブルから組入れ条件の第一条件で絞り込んだ結果を"&amp;R1360&amp;"テーブルに格納する。"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8" s="137"/>
      <c r="E1358" s="137"/>
      <c r="F1358" s="137"/>
      <c r="G1358" s="137"/>
      <c r="H1358" s="137"/>
      <c r="I1358" s="137"/>
      <c r="J1358" s="137"/>
      <c r="K1358" s="137"/>
      <c r="L1358" s="137"/>
      <c r="M1358" s="137"/>
      <c r="N1358" s="137"/>
      <c r="O1358" s="137"/>
      <c r="P1358" s="137"/>
      <c r="Q1358" s="137"/>
      <c r="R1358" s="137"/>
      <c r="S1358" s="137"/>
      <c r="T1358" s="137"/>
      <c r="U1358" s="138"/>
      <c r="W1358" s="35" t="str">
        <f>"-- "&amp;C1358</f>
        <v>-- DPCレセプト_臓器提供者レセプト情報レコード_結合テーブルから組入れ条件の第一条件で絞り込んだ結果をバックアップ_DPCレセプト_臓器提供者レセプト情報レコードテーブルに格納する。</v>
      </c>
    </row>
    <row r="1360" spans="2:23" ht="18.75" customHeight="1">
      <c r="C1360" s="139" t="s">
        <v>3436</v>
      </c>
      <c r="D1360" s="140"/>
      <c r="E1360" s="143" t="s">
        <v>162</v>
      </c>
      <c r="H1360" s="36"/>
      <c r="I1360" s="36"/>
      <c r="J1360" s="36"/>
      <c r="K1360" s="36"/>
      <c r="L1360" s="36"/>
      <c r="M1360" s="36"/>
      <c r="N1360" s="36"/>
      <c r="O1360" s="36"/>
      <c r="P1360" s="36"/>
      <c r="Q1360" s="36"/>
      <c r="R1360" s="158" t="str">
        <f>"バックアップ_"&amp;SUBSTITUTE(C1360,"_結合","")</f>
        <v>バックアップ_DPCレセプト_臓器提供者レセプト情報レコード</v>
      </c>
      <c r="S1360" s="159"/>
      <c r="T1360" s="145" t="str">
        <f>エンティティ一覧!$O$2</f>
        <v>milscm_2023_009</v>
      </c>
    </row>
    <row r="1361" spans="2:23" ht="18.75" customHeight="1">
      <c r="C1361" s="141"/>
      <c r="D1361" s="142"/>
      <c r="E1361" s="144"/>
      <c r="F1361" s="37"/>
      <c r="G1361" s="38"/>
      <c r="H1361" s="37"/>
      <c r="I1361" s="37"/>
      <c r="J1361" s="37"/>
      <c r="K1361" s="37"/>
      <c r="L1361" s="37"/>
      <c r="M1361" s="37"/>
      <c r="N1361" s="37"/>
      <c r="O1361" s="37"/>
      <c r="P1361" s="37"/>
      <c r="Q1361" s="37"/>
      <c r="R1361" s="160"/>
      <c r="S1361" s="161"/>
      <c r="T1361" s="146"/>
    </row>
    <row r="1362" spans="2:23" ht="18.75" customHeight="1">
      <c r="F1362" s="39"/>
      <c r="G1362" s="40"/>
    </row>
    <row r="1363" spans="2:23" ht="18.75" customHeight="1">
      <c r="C1363" s="139" t="s">
        <v>3181</v>
      </c>
      <c r="D1363" s="140"/>
      <c r="E1363" s="145" t="str">
        <f>エンティティ一覧!$O$2</f>
        <v>milscm_2023_009</v>
      </c>
      <c r="G1363" s="41"/>
    </row>
    <row r="1364" spans="2:23" ht="18.75" customHeight="1">
      <c r="C1364" s="141"/>
      <c r="D1364" s="142"/>
      <c r="E1364" s="146"/>
      <c r="F1364" s="37"/>
    </row>
    <row r="1366" spans="2:23" ht="18.75" customHeight="1" thickBot="1">
      <c r="B1366" s="42"/>
      <c r="C1366" s="42"/>
      <c r="D1366" s="42"/>
      <c r="E1366" s="42"/>
      <c r="F1366" s="42"/>
      <c r="G1366" s="42"/>
      <c r="H1366" s="42"/>
      <c r="I1366" s="42"/>
      <c r="J1366" s="42"/>
      <c r="K1366" s="42"/>
      <c r="L1366" s="42"/>
      <c r="M1366" s="42"/>
      <c r="N1366" s="42"/>
      <c r="O1366" s="42"/>
      <c r="P1366" s="42"/>
      <c r="Q1366" s="42"/>
      <c r="R1366" s="42"/>
      <c r="S1366" s="42"/>
      <c r="T1366" s="42"/>
      <c r="U1366" s="42"/>
    </row>
    <row r="1368" spans="2:23" ht="18.75" customHeight="1">
      <c r="B1368" s="43" t="s">
        <v>163</v>
      </c>
      <c r="C1368" s="51" t="s">
        <v>3437</v>
      </c>
      <c r="D1368" s="88"/>
      <c r="W1368" s="35" t="str">
        <f>"-- "&amp;B1368&amp;" : "&amp;C1368</f>
        <v>-- SQL_ID : 01_C4-01</v>
      </c>
    </row>
    <row r="1369" spans="2:23" ht="18.75" customHeight="1">
      <c r="B1369" s="43" t="s">
        <v>158</v>
      </c>
      <c r="C1369" s="147" t="str">
        <f>R1372&amp;"登録"</f>
        <v>バックアップ_患者情報モジュール_患者情報登録</v>
      </c>
      <c r="D1369" s="148"/>
      <c r="E1369" s="148"/>
      <c r="F1369" s="148"/>
      <c r="G1369" s="148"/>
      <c r="H1369" s="148"/>
      <c r="I1369" s="148"/>
      <c r="J1369" s="148"/>
      <c r="K1369" s="148"/>
      <c r="L1369" s="148"/>
      <c r="M1369" s="148"/>
      <c r="N1369" s="148"/>
      <c r="O1369" s="148"/>
      <c r="P1369" s="148"/>
      <c r="Q1369" s="148"/>
      <c r="R1369" s="148"/>
      <c r="S1369" s="148"/>
      <c r="T1369" s="148"/>
      <c r="U1369" s="149"/>
      <c r="W1369" s="35" t="str">
        <f>"-- "&amp;C1369</f>
        <v>-- バックアップ_患者情報モジュール_患者情報登録</v>
      </c>
    </row>
    <row r="1370" spans="2:23" ht="18.75" customHeight="1">
      <c r="B1370" s="43" t="s">
        <v>159</v>
      </c>
      <c r="C1370" s="136" t="str">
        <f>C1372&amp;"テーブルから組入れ条件の第一条件で絞り込んだ結果を"&amp;R1372&amp;"テーブルに格納する。"</f>
        <v>患者情報モジュール_患者情報_結合テーブルから組入れ条件の第一条件で絞り込んだ結果をバックアップ_患者情報モジュール_患者情報テーブルに格納する。</v>
      </c>
      <c r="D1370" s="137"/>
      <c r="E1370" s="137"/>
      <c r="F1370" s="137"/>
      <c r="G1370" s="137"/>
      <c r="H1370" s="137"/>
      <c r="I1370" s="137"/>
      <c r="J1370" s="137"/>
      <c r="K1370" s="137"/>
      <c r="L1370" s="137"/>
      <c r="M1370" s="137"/>
      <c r="N1370" s="137"/>
      <c r="O1370" s="137"/>
      <c r="P1370" s="137"/>
      <c r="Q1370" s="137"/>
      <c r="R1370" s="137"/>
      <c r="S1370" s="137"/>
      <c r="T1370" s="137"/>
      <c r="U1370" s="138"/>
      <c r="W1370" s="35" t="str">
        <f>"-- "&amp;C1370</f>
        <v>-- 患者情報モジュール_患者情報_結合テーブルから組入れ条件の第一条件で絞り込んだ結果をバックアップ_患者情報モジュール_患者情報テーブルに格納する。</v>
      </c>
    </row>
    <row r="1372" spans="2:23" ht="18.75" customHeight="1">
      <c r="C1372" s="139" t="s">
        <v>3438</v>
      </c>
      <c r="D1372" s="140"/>
      <c r="E1372" s="143" t="s">
        <v>162</v>
      </c>
      <c r="H1372" s="36"/>
      <c r="I1372" s="36"/>
      <c r="J1372" s="36"/>
      <c r="K1372" s="36"/>
      <c r="L1372" s="36"/>
      <c r="M1372" s="36"/>
      <c r="N1372" s="36"/>
      <c r="O1372" s="36"/>
      <c r="P1372" s="36"/>
      <c r="Q1372" s="36"/>
      <c r="R1372" s="139" t="str">
        <f>"バックアップ_"&amp;SUBSTITUTE(C1372,"_結合","")</f>
        <v>バックアップ_患者情報モジュール_患者情報</v>
      </c>
      <c r="S1372" s="140"/>
      <c r="T1372" s="145" t="str">
        <f>エンティティ一覧!$O$2</f>
        <v>milscm_2023_009</v>
      </c>
    </row>
    <row r="1373" spans="2:23" ht="18.75" customHeight="1">
      <c r="C1373" s="141"/>
      <c r="D1373" s="142"/>
      <c r="E1373" s="144"/>
      <c r="F1373" s="37"/>
      <c r="G1373" s="38"/>
      <c r="H1373" s="37"/>
      <c r="I1373" s="37"/>
      <c r="J1373" s="37"/>
      <c r="K1373" s="37"/>
      <c r="L1373" s="37"/>
      <c r="M1373" s="37"/>
      <c r="N1373" s="37"/>
      <c r="O1373" s="37"/>
      <c r="P1373" s="37"/>
      <c r="Q1373" s="37"/>
      <c r="R1373" s="141"/>
      <c r="S1373" s="142"/>
      <c r="T1373" s="146"/>
    </row>
    <row r="1374" spans="2:23" ht="18.75" customHeight="1">
      <c r="F1374" s="39"/>
      <c r="G1374" s="40"/>
    </row>
    <row r="1375" spans="2:23" ht="18.75" customHeight="1">
      <c r="C1375" s="139" t="s">
        <v>3181</v>
      </c>
      <c r="D1375" s="140"/>
      <c r="E1375" s="145" t="str">
        <f>エンティティ一覧!$O$2</f>
        <v>milscm_2023_009</v>
      </c>
      <c r="G1375" s="41"/>
    </row>
    <row r="1376" spans="2:23" ht="18.75" customHeight="1">
      <c r="C1376" s="141"/>
      <c r="D1376" s="142"/>
      <c r="E1376" s="146"/>
      <c r="F1376" s="37"/>
    </row>
    <row r="1378" spans="2:23" ht="18.75" customHeight="1" thickBot="1">
      <c r="B1378" s="42"/>
      <c r="C1378" s="42"/>
      <c r="D1378" s="42"/>
      <c r="E1378" s="42"/>
      <c r="F1378" s="42"/>
      <c r="G1378" s="42"/>
      <c r="H1378" s="42"/>
      <c r="I1378" s="42"/>
      <c r="J1378" s="42"/>
      <c r="K1378" s="42"/>
      <c r="L1378" s="42"/>
      <c r="M1378" s="42"/>
      <c r="N1378" s="42"/>
      <c r="O1378" s="42"/>
      <c r="P1378" s="42"/>
      <c r="Q1378" s="42"/>
      <c r="R1378" s="42"/>
      <c r="S1378" s="42"/>
      <c r="T1378" s="42"/>
      <c r="U1378" s="42"/>
    </row>
    <row r="1380" spans="2:23" ht="18.75" customHeight="1">
      <c r="B1380" s="43" t="s">
        <v>163</v>
      </c>
      <c r="C1380" s="51" t="s">
        <v>3439</v>
      </c>
      <c r="D1380" s="88"/>
      <c r="W1380" s="35" t="str">
        <f>"-- "&amp;B1380&amp;" : "&amp;C1380</f>
        <v>-- SQL_ID : 01_C4-03</v>
      </c>
    </row>
    <row r="1381" spans="2:23" ht="18.75" customHeight="1">
      <c r="B1381" s="43" t="s">
        <v>158</v>
      </c>
      <c r="C1381" s="147" t="str">
        <f>R1384&amp;"登録"</f>
        <v>バックアップ_診断履歴情報モジュール_診断履歴情報レコード登録</v>
      </c>
      <c r="D1381" s="148"/>
      <c r="E1381" s="148"/>
      <c r="F1381" s="148"/>
      <c r="G1381" s="148"/>
      <c r="H1381" s="148"/>
      <c r="I1381" s="148"/>
      <c r="J1381" s="148"/>
      <c r="K1381" s="148"/>
      <c r="L1381" s="148"/>
      <c r="M1381" s="148"/>
      <c r="N1381" s="148"/>
      <c r="O1381" s="148"/>
      <c r="P1381" s="148"/>
      <c r="Q1381" s="148"/>
      <c r="R1381" s="148"/>
      <c r="S1381" s="148"/>
      <c r="T1381" s="148"/>
      <c r="U1381" s="149"/>
      <c r="W1381" s="35" t="str">
        <f>"-- "&amp;C1381</f>
        <v>-- バックアップ_診断履歴情報モジュール_診断履歴情報レコード登録</v>
      </c>
    </row>
    <row r="1382" spans="2:23" ht="18.75" customHeight="1">
      <c r="B1382" s="43" t="s">
        <v>159</v>
      </c>
      <c r="C1382" s="136" t="str">
        <f>C1384&amp;"テーブルから組入れ条件の第一条件で絞り込んだ結果を"&amp;R1384&amp;"テーブルに格納する。"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82" s="137"/>
      <c r="E1382" s="137"/>
      <c r="F1382" s="137"/>
      <c r="G1382" s="137"/>
      <c r="H1382" s="137"/>
      <c r="I1382" s="137"/>
      <c r="J1382" s="137"/>
      <c r="K1382" s="137"/>
      <c r="L1382" s="137"/>
      <c r="M1382" s="137"/>
      <c r="N1382" s="137"/>
      <c r="O1382" s="137"/>
      <c r="P1382" s="137"/>
      <c r="Q1382" s="137"/>
      <c r="R1382" s="137"/>
      <c r="S1382" s="137"/>
      <c r="T1382" s="137"/>
      <c r="U1382" s="138"/>
      <c r="W1382" s="35" t="str">
        <f>"-- "&amp;C1382</f>
        <v>-- 診断履歴情報モジュール_診断履歴情報レコード_結合テーブルから組入れ条件の第一条件で絞り込んだ結果をバックアップ_診断履歴情報モジュール_診断履歴情報レコードテーブルに格納する。</v>
      </c>
    </row>
    <row r="1384" spans="2:23" ht="18.75" customHeight="1">
      <c r="C1384" s="139" t="s">
        <v>3440</v>
      </c>
      <c r="D1384" s="140"/>
      <c r="E1384" s="143" t="s">
        <v>162</v>
      </c>
      <c r="H1384" s="36"/>
      <c r="I1384" s="36"/>
      <c r="J1384" s="36"/>
      <c r="K1384" s="36"/>
      <c r="L1384" s="36"/>
      <c r="M1384" s="36"/>
      <c r="N1384" s="36"/>
      <c r="O1384" s="36"/>
      <c r="P1384" s="36"/>
      <c r="Q1384" s="36"/>
      <c r="R1384" s="158" t="str">
        <f>"バックアップ_"&amp;SUBSTITUTE(C1384,"_結合","")</f>
        <v>バックアップ_診断履歴情報モジュール_診断履歴情報レコード</v>
      </c>
      <c r="S1384" s="159"/>
      <c r="T1384" s="145" t="str">
        <f>エンティティ一覧!$O$2</f>
        <v>milscm_2023_009</v>
      </c>
    </row>
    <row r="1385" spans="2:23" ht="18.75" customHeight="1">
      <c r="C1385" s="141"/>
      <c r="D1385" s="142"/>
      <c r="E1385" s="144"/>
      <c r="F1385" s="37"/>
      <c r="G1385" s="38"/>
      <c r="H1385" s="37"/>
      <c r="I1385" s="37"/>
      <c r="J1385" s="37"/>
      <c r="K1385" s="37"/>
      <c r="L1385" s="37"/>
      <c r="M1385" s="37"/>
      <c r="N1385" s="37"/>
      <c r="O1385" s="37"/>
      <c r="P1385" s="37"/>
      <c r="Q1385" s="37"/>
      <c r="R1385" s="160"/>
      <c r="S1385" s="161"/>
      <c r="T1385" s="146"/>
    </row>
    <row r="1386" spans="2:23" ht="18.75" customHeight="1">
      <c r="F1386" s="39"/>
      <c r="G1386" s="40"/>
    </row>
    <row r="1387" spans="2:23" ht="18.75" customHeight="1">
      <c r="C1387" s="139" t="s">
        <v>3181</v>
      </c>
      <c r="D1387" s="140"/>
      <c r="E1387" s="145" t="str">
        <f>エンティティ一覧!$O$2</f>
        <v>milscm_2023_009</v>
      </c>
      <c r="G1387" s="41"/>
    </row>
    <row r="1388" spans="2:23" ht="18.75" customHeight="1">
      <c r="C1388" s="141"/>
      <c r="D1388" s="142"/>
      <c r="E1388" s="146"/>
      <c r="F1388" s="37"/>
    </row>
    <row r="1390" spans="2:23" ht="18.75" customHeight="1" thickBot="1">
      <c r="B1390" s="42"/>
      <c r="C1390" s="42"/>
      <c r="D1390" s="42"/>
      <c r="E1390" s="42"/>
      <c r="F1390" s="42"/>
      <c r="G1390" s="42"/>
      <c r="H1390" s="42"/>
      <c r="I1390" s="42"/>
      <c r="J1390" s="42"/>
      <c r="K1390" s="42"/>
      <c r="L1390" s="42"/>
      <c r="M1390" s="42"/>
      <c r="N1390" s="42"/>
      <c r="O1390" s="42"/>
      <c r="P1390" s="42"/>
      <c r="Q1390" s="42"/>
      <c r="R1390" s="42"/>
      <c r="S1390" s="42"/>
      <c r="T1390" s="42"/>
      <c r="U1390" s="42"/>
    </row>
    <row r="1392" spans="2:23" ht="18.75" customHeight="1">
      <c r="B1392" s="43" t="s">
        <v>163</v>
      </c>
      <c r="C1392" s="51" t="s">
        <v>3441</v>
      </c>
      <c r="D1392" s="88"/>
      <c r="W1392" s="35" t="str">
        <f>"-- "&amp;B1392&amp;" : "&amp;C1392</f>
        <v>-- SQL_ID : 01_C4-04</v>
      </c>
    </row>
    <row r="1393" spans="2:23" ht="18.75" customHeight="1">
      <c r="B1393" s="43" t="s">
        <v>158</v>
      </c>
      <c r="C1393" s="147" t="str">
        <f>R1396&amp;"登録"</f>
        <v>バックアップ_診断履歴情報モジュール_診断病名レコード登録</v>
      </c>
      <c r="D1393" s="148"/>
      <c r="E1393" s="148"/>
      <c r="F1393" s="148"/>
      <c r="G1393" s="148"/>
      <c r="H1393" s="148"/>
      <c r="I1393" s="148"/>
      <c r="J1393" s="148"/>
      <c r="K1393" s="148"/>
      <c r="L1393" s="148"/>
      <c r="M1393" s="148"/>
      <c r="N1393" s="148"/>
      <c r="O1393" s="148"/>
      <c r="P1393" s="148"/>
      <c r="Q1393" s="148"/>
      <c r="R1393" s="148"/>
      <c r="S1393" s="148"/>
      <c r="T1393" s="148"/>
      <c r="U1393" s="149"/>
      <c r="W1393" s="35" t="str">
        <f>"-- "&amp;C1393</f>
        <v>-- バックアップ_診断履歴情報モジュール_診断病名レコード登録</v>
      </c>
    </row>
    <row r="1394" spans="2:23" ht="18.75" customHeight="1">
      <c r="B1394" s="43" t="s">
        <v>159</v>
      </c>
      <c r="C1394" s="136" t="str">
        <f>C1396&amp;"テーブルから組入れ条件の第一条件で絞り込んだ結果を"&amp;R1396&amp;"テーブルに格納する。"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4" s="137"/>
      <c r="E1394" s="137"/>
      <c r="F1394" s="137"/>
      <c r="G1394" s="137"/>
      <c r="H1394" s="137"/>
      <c r="I1394" s="137"/>
      <c r="J1394" s="137"/>
      <c r="K1394" s="137"/>
      <c r="L1394" s="137"/>
      <c r="M1394" s="137"/>
      <c r="N1394" s="137"/>
      <c r="O1394" s="137"/>
      <c r="P1394" s="137"/>
      <c r="Q1394" s="137"/>
      <c r="R1394" s="137"/>
      <c r="S1394" s="137"/>
      <c r="T1394" s="137"/>
      <c r="U1394" s="138"/>
      <c r="W1394" s="35" t="str">
        <f>"-- "&amp;C1394</f>
        <v>-- 診断履歴情報モジュール_診断病名レコード_結合テーブルから組入れ条件の第一条件で絞り込んだ結果をバックアップ_診断履歴情報モジュール_診断病名レコードテーブルに格納する。</v>
      </c>
    </row>
    <row r="1396" spans="2:23" ht="18.75" customHeight="1">
      <c r="C1396" s="139" t="s">
        <v>3442</v>
      </c>
      <c r="D1396" s="140"/>
      <c r="E1396" s="143" t="s">
        <v>162</v>
      </c>
      <c r="H1396" s="36"/>
      <c r="I1396" s="36"/>
      <c r="J1396" s="36"/>
      <c r="K1396" s="36"/>
      <c r="L1396" s="36"/>
      <c r="M1396" s="36"/>
      <c r="N1396" s="36"/>
      <c r="O1396" s="36"/>
      <c r="P1396" s="36"/>
      <c r="Q1396" s="36"/>
      <c r="R1396" s="158" t="str">
        <f>"バックアップ_"&amp;SUBSTITUTE(C1396,"_結合","")</f>
        <v>バックアップ_診断履歴情報モジュール_診断病名レコード</v>
      </c>
      <c r="S1396" s="159"/>
      <c r="T1396" s="145" t="str">
        <f>エンティティ一覧!$O$2</f>
        <v>milscm_2023_009</v>
      </c>
    </row>
    <row r="1397" spans="2:23" ht="18.75" customHeight="1">
      <c r="C1397" s="141"/>
      <c r="D1397" s="142"/>
      <c r="E1397" s="144"/>
      <c r="F1397" s="37"/>
      <c r="G1397" s="38"/>
      <c r="H1397" s="37"/>
      <c r="I1397" s="37"/>
      <c r="J1397" s="37"/>
      <c r="K1397" s="37"/>
      <c r="L1397" s="37"/>
      <c r="M1397" s="37"/>
      <c r="N1397" s="37"/>
      <c r="O1397" s="37"/>
      <c r="P1397" s="37"/>
      <c r="Q1397" s="37"/>
      <c r="R1397" s="160"/>
      <c r="S1397" s="161"/>
      <c r="T1397" s="146"/>
    </row>
    <row r="1398" spans="2:23" ht="18.75" customHeight="1">
      <c r="F1398" s="39"/>
      <c r="G1398" s="40"/>
    </row>
    <row r="1399" spans="2:23" ht="18.75" customHeight="1">
      <c r="C1399" s="139" t="s">
        <v>3181</v>
      </c>
      <c r="D1399" s="140"/>
      <c r="E1399" s="145" t="str">
        <f>エンティティ一覧!$O$2</f>
        <v>milscm_2023_009</v>
      </c>
      <c r="G1399" s="41"/>
    </row>
    <row r="1400" spans="2:23" ht="18.75" customHeight="1">
      <c r="C1400" s="141"/>
      <c r="D1400" s="142"/>
      <c r="E1400" s="146"/>
      <c r="F1400" s="37"/>
    </row>
    <row r="1402" spans="2:23" ht="18.75" customHeight="1" thickBot="1">
      <c r="B1402" s="42"/>
      <c r="C1402" s="42"/>
      <c r="D1402" s="42"/>
      <c r="E1402" s="42"/>
      <c r="F1402" s="42"/>
      <c r="G1402" s="42"/>
      <c r="H1402" s="42"/>
      <c r="I1402" s="42"/>
      <c r="J1402" s="42"/>
      <c r="K1402" s="42"/>
      <c r="L1402" s="42"/>
      <c r="M1402" s="42"/>
      <c r="N1402" s="42"/>
      <c r="O1402" s="42"/>
      <c r="P1402" s="42"/>
      <c r="Q1402" s="42"/>
      <c r="R1402" s="42"/>
      <c r="S1402" s="42"/>
      <c r="T1402" s="42"/>
      <c r="U1402" s="42"/>
    </row>
    <row r="1404" spans="2:23" ht="18.75" customHeight="1">
      <c r="B1404" s="43" t="s">
        <v>163</v>
      </c>
      <c r="C1404" s="51" t="s">
        <v>3443</v>
      </c>
      <c r="D1404" s="88"/>
      <c r="W1404" s="35" t="str">
        <f>"-- "&amp;B1404&amp;" : "&amp;C1404</f>
        <v>-- SQL_ID : 01_C4-05</v>
      </c>
    </row>
    <row r="1405" spans="2:23" ht="18.75" customHeight="1">
      <c r="B1405" s="43" t="s">
        <v>158</v>
      </c>
      <c r="C1405" s="147" t="str">
        <f>R1408&amp;"登録"</f>
        <v>バックアップ_診断履歴情報モジュール_診断分類レコード登録</v>
      </c>
      <c r="D1405" s="148"/>
      <c r="E1405" s="148"/>
      <c r="F1405" s="148"/>
      <c r="G1405" s="148"/>
      <c r="H1405" s="148"/>
      <c r="I1405" s="148"/>
      <c r="J1405" s="148"/>
      <c r="K1405" s="148"/>
      <c r="L1405" s="148"/>
      <c r="M1405" s="148"/>
      <c r="N1405" s="148"/>
      <c r="O1405" s="148"/>
      <c r="P1405" s="148"/>
      <c r="Q1405" s="148"/>
      <c r="R1405" s="148"/>
      <c r="S1405" s="148"/>
      <c r="T1405" s="148"/>
      <c r="U1405" s="149"/>
      <c r="W1405" s="35" t="str">
        <f>"-- "&amp;C1405</f>
        <v>-- バックアップ_診断履歴情報モジュール_診断分類レコード登録</v>
      </c>
    </row>
    <row r="1406" spans="2:23" ht="18.75" customHeight="1">
      <c r="B1406" s="43" t="s">
        <v>159</v>
      </c>
      <c r="C1406" s="136" t="str">
        <f>C1408&amp;"テーブルから組入れ条件の第一条件で絞り込んだ結果を"&amp;R1408&amp;"テーブルに格納する。"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6" s="137"/>
      <c r="E1406" s="137"/>
      <c r="F1406" s="137"/>
      <c r="G1406" s="137"/>
      <c r="H1406" s="137"/>
      <c r="I1406" s="137"/>
      <c r="J1406" s="137"/>
      <c r="K1406" s="137"/>
      <c r="L1406" s="137"/>
      <c r="M1406" s="137"/>
      <c r="N1406" s="137"/>
      <c r="O1406" s="137"/>
      <c r="P1406" s="137"/>
      <c r="Q1406" s="137"/>
      <c r="R1406" s="137"/>
      <c r="S1406" s="137"/>
      <c r="T1406" s="137"/>
      <c r="U1406" s="138"/>
      <c r="W1406" s="35" t="str">
        <f>"-- "&amp;C1406</f>
        <v>-- 診断履歴情報モジュール_診断分類レコード_結合テーブルから組入れ条件の第一条件で絞り込んだ結果をバックアップ_診断履歴情報モジュール_診断分類レコードテーブルに格納する。</v>
      </c>
    </row>
    <row r="1408" spans="2:23" ht="18.75" customHeight="1">
      <c r="C1408" s="139" t="s">
        <v>3444</v>
      </c>
      <c r="D1408" s="140"/>
      <c r="E1408" s="143" t="s">
        <v>162</v>
      </c>
      <c r="H1408" s="36"/>
      <c r="I1408" s="36"/>
      <c r="J1408" s="36"/>
      <c r="K1408" s="36"/>
      <c r="L1408" s="36"/>
      <c r="M1408" s="36"/>
      <c r="N1408" s="36"/>
      <c r="O1408" s="36"/>
      <c r="P1408" s="36"/>
      <c r="Q1408" s="36"/>
      <c r="R1408" s="158" t="str">
        <f>"バックアップ_"&amp;SUBSTITUTE(C1408,"_結合","")</f>
        <v>バックアップ_診断履歴情報モジュール_診断分類レコード</v>
      </c>
      <c r="S1408" s="159"/>
      <c r="T1408" s="145" t="str">
        <f>エンティティ一覧!$O$2</f>
        <v>milscm_2023_009</v>
      </c>
    </row>
    <row r="1409" spans="2:23" ht="18.75" customHeight="1">
      <c r="C1409" s="141"/>
      <c r="D1409" s="142"/>
      <c r="E1409" s="144"/>
      <c r="F1409" s="37"/>
      <c r="G1409" s="38"/>
      <c r="H1409" s="37"/>
      <c r="I1409" s="37"/>
      <c r="J1409" s="37"/>
      <c r="K1409" s="37"/>
      <c r="L1409" s="37"/>
      <c r="M1409" s="37"/>
      <c r="N1409" s="37"/>
      <c r="O1409" s="37"/>
      <c r="P1409" s="37"/>
      <c r="Q1409" s="37"/>
      <c r="R1409" s="160"/>
      <c r="S1409" s="161"/>
      <c r="T1409" s="146"/>
    </row>
    <row r="1410" spans="2:23" ht="18.75" customHeight="1">
      <c r="F1410" s="39"/>
      <c r="G1410" s="40"/>
    </row>
    <row r="1411" spans="2:23" ht="18.75" customHeight="1">
      <c r="C1411" s="139" t="s">
        <v>3181</v>
      </c>
      <c r="D1411" s="140"/>
      <c r="E1411" s="145" t="str">
        <f>エンティティ一覧!$O$2</f>
        <v>milscm_2023_009</v>
      </c>
      <c r="G1411" s="41"/>
    </row>
    <row r="1412" spans="2:23" ht="18.75" customHeight="1">
      <c r="C1412" s="141"/>
      <c r="D1412" s="142"/>
      <c r="E1412" s="146"/>
      <c r="F1412" s="37"/>
    </row>
    <row r="1414" spans="2:23" ht="18.75" customHeight="1" thickBot="1">
      <c r="B1414" s="42"/>
      <c r="C1414" s="42"/>
      <c r="D1414" s="42"/>
      <c r="E1414" s="42"/>
      <c r="F1414" s="42"/>
      <c r="G1414" s="42"/>
      <c r="H1414" s="42"/>
      <c r="I1414" s="42"/>
      <c r="J1414" s="42"/>
      <c r="K1414" s="42"/>
      <c r="L1414" s="42"/>
      <c r="M1414" s="42"/>
      <c r="N1414" s="42"/>
      <c r="O1414" s="42"/>
      <c r="P1414" s="42"/>
      <c r="Q1414" s="42"/>
      <c r="R1414" s="42"/>
      <c r="S1414" s="42"/>
      <c r="T1414" s="42"/>
      <c r="U1414" s="42"/>
    </row>
    <row r="1416" spans="2:23" ht="18.75" customHeight="1">
      <c r="B1416" s="43" t="s">
        <v>163</v>
      </c>
      <c r="C1416" s="51" t="s">
        <v>3445</v>
      </c>
      <c r="D1416" s="88"/>
      <c r="W1416" s="35" t="str">
        <f>"-- "&amp;B1416&amp;" : "&amp;C1416</f>
        <v>-- SQL_ID : 01_C4-06</v>
      </c>
    </row>
    <row r="1417" spans="2:23" ht="18.75" customHeight="1">
      <c r="B1417" s="43" t="s">
        <v>158</v>
      </c>
      <c r="C1417" s="147" t="str">
        <f>R1420&amp;"登録"</f>
        <v>バックアップ_経過記録情報モジュール_経過記録情報レコード登録</v>
      </c>
      <c r="D1417" s="148"/>
      <c r="E1417" s="148"/>
      <c r="F1417" s="148"/>
      <c r="G1417" s="148"/>
      <c r="H1417" s="148"/>
      <c r="I1417" s="148"/>
      <c r="J1417" s="148"/>
      <c r="K1417" s="148"/>
      <c r="L1417" s="148"/>
      <c r="M1417" s="148"/>
      <c r="N1417" s="148"/>
      <c r="O1417" s="148"/>
      <c r="P1417" s="148"/>
      <c r="Q1417" s="148"/>
      <c r="R1417" s="148"/>
      <c r="S1417" s="148"/>
      <c r="T1417" s="148"/>
      <c r="U1417" s="149"/>
      <c r="W1417" s="35" t="str">
        <f>"-- "&amp;C1417</f>
        <v>-- バックアップ_経過記録情報モジュール_経過記録情報レコード登録</v>
      </c>
    </row>
    <row r="1418" spans="2:23" ht="18.75" customHeight="1">
      <c r="B1418" s="43" t="s">
        <v>159</v>
      </c>
      <c r="C1418" s="136" t="str">
        <f>C1420&amp;"テーブルから組入れ条件の第一条件で絞り込んだ結果を"&amp;R1420&amp;"テーブルに格納する。"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8" s="137"/>
      <c r="E1418" s="137"/>
      <c r="F1418" s="137"/>
      <c r="G1418" s="137"/>
      <c r="H1418" s="137"/>
      <c r="I1418" s="137"/>
      <c r="J1418" s="137"/>
      <c r="K1418" s="137"/>
      <c r="L1418" s="137"/>
      <c r="M1418" s="137"/>
      <c r="N1418" s="137"/>
      <c r="O1418" s="137"/>
      <c r="P1418" s="137"/>
      <c r="Q1418" s="137"/>
      <c r="R1418" s="137"/>
      <c r="S1418" s="137"/>
      <c r="T1418" s="137"/>
      <c r="U1418" s="138"/>
      <c r="W1418" s="35" t="str">
        <f>"-- "&amp;C1418</f>
        <v>-- 経過記録情報モジュール_経過記録情報レコード_結合テーブルから組入れ条件の第一条件で絞り込んだ結果をバックアップ_経過記録情報モジュール_経過記録情報レコードテーブルに格納する。</v>
      </c>
    </row>
    <row r="1420" spans="2:23" ht="18.75" customHeight="1">
      <c r="C1420" s="139" t="s">
        <v>3446</v>
      </c>
      <c r="D1420" s="140"/>
      <c r="E1420" s="143" t="s">
        <v>162</v>
      </c>
      <c r="H1420" s="36"/>
      <c r="I1420" s="36"/>
      <c r="J1420" s="36"/>
      <c r="K1420" s="36"/>
      <c r="L1420" s="36"/>
      <c r="M1420" s="36"/>
      <c r="N1420" s="36"/>
      <c r="O1420" s="36"/>
      <c r="P1420" s="36"/>
      <c r="Q1420" s="36"/>
      <c r="R1420" s="158" t="str">
        <f>"バックアップ_"&amp;SUBSTITUTE(C1420,"_結合","")</f>
        <v>バックアップ_経過記録情報モジュール_経過記録情報レコード</v>
      </c>
      <c r="S1420" s="159"/>
      <c r="T1420" s="145" t="str">
        <f>エンティティ一覧!$O$2</f>
        <v>milscm_2023_009</v>
      </c>
    </row>
    <row r="1421" spans="2:23" ht="18.75" customHeight="1">
      <c r="C1421" s="141"/>
      <c r="D1421" s="142"/>
      <c r="E1421" s="144"/>
      <c r="F1421" s="37"/>
      <c r="G1421" s="38"/>
      <c r="H1421" s="37"/>
      <c r="I1421" s="37"/>
      <c r="J1421" s="37"/>
      <c r="K1421" s="37"/>
      <c r="L1421" s="37"/>
      <c r="M1421" s="37"/>
      <c r="N1421" s="37"/>
      <c r="O1421" s="37"/>
      <c r="P1421" s="37"/>
      <c r="Q1421" s="37"/>
      <c r="R1421" s="160"/>
      <c r="S1421" s="161"/>
      <c r="T1421" s="146"/>
    </row>
    <row r="1422" spans="2:23" ht="18.75" customHeight="1">
      <c r="F1422" s="39"/>
      <c r="G1422" s="40"/>
    </row>
    <row r="1423" spans="2:23" ht="18.75" customHeight="1">
      <c r="C1423" s="139" t="s">
        <v>3181</v>
      </c>
      <c r="D1423" s="140"/>
      <c r="E1423" s="145" t="str">
        <f>エンティティ一覧!$O$2</f>
        <v>milscm_2023_009</v>
      </c>
      <c r="G1423" s="41"/>
    </row>
    <row r="1424" spans="2:23" ht="18.75" customHeight="1">
      <c r="C1424" s="141"/>
      <c r="D1424" s="142"/>
      <c r="E1424" s="146"/>
      <c r="F1424" s="37"/>
    </row>
    <row r="1426" spans="2:23" ht="18.75" customHeight="1" thickBot="1">
      <c r="B1426" s="42"/>
      <c r="C1426" s="42"/>
      <c r="D1426" s="42"/>
      <c r="E1426" s="42"/>
      <c r="F1426" s="42"/>
      <c r="G1426" s="42"/>
      <c r="H1426" s="42"/>
      <c r="I1426" s="42"/>
      <c r="J1426" s="42"/>
      <c r="K1426" s="42"/>
      <c r="L1426" s="42"/>
      <c r="M1426" s="42"/>
      <c r="N1426" s="42"/>
      <c r="O1426" s="42"/>
      <c r="P1426" s="42"/>
      <c r="Q1426" s="42"/>
      <c r="R1426" s="42"/>
      <c r="S1426" s="42"/>
      <c r="T1426" s="42"/>
      <c r="U1426" s="42"/>
    </row>
    <row r="1428" spans="2:23" ht="18.75" customHeight="1">
      <c r="B1428" s="43" t="s">
        <v>163</v>
      </c>
      <c r="C1428" s="51" t="s">
        <v>3447</v>
      </c>
      <c r="D1428" s="88"/>
      <c r="W1428" s="35" t="str">
        <f>"-- "&amp;B1428&amp;" : "&amp;C1428</f>
        <v>-- SQL_ID : 01_C4-07</v>
      </c>
    </row>
    <row r="1429" spans="2:23" ht="18.75" customHeight="1">
      <c r="B1429" s="43" t="s">
        <v>158</v>
      </c>
      <c r="C1429" s="147" t="str">
        <f>R1432&amp;"登録"</f>
        <v>バックアップ_経過記録情報モジュール_プロブレムレコード登録</v>
      </c>
      <c r="D1429" s="148"/>
      <c r="E1429" s="148"/>
      <c r="F1429" s="148"/>
      <c r="G1429" s="148"/>
      <c r="H1429" s="148"/>
      <c r="I1429" s="148"/>
      <c r="J1429" s="148"/>
      <c r="K1429" s="148"/>
      <c r="L1429" s="148"/>
      <c r="M1429" s="148"/>
      <c r="N1429" s="148"/>
      <c r="O1429" s="148"/>
      <c r="P1429" s="148"/>
      <c r="Q1429" s="148"/>
      <c r="R1429" s="148"/>
      <c r="S1429" s="148"/>
      <c r="T1429" s="148"/>
      <c r="U1429" s="149"/>
      <c r="W1429" s="35" t="str">
        <f>"-- "&amp;C1429</f>
        <v>-- バックアップ_経過記録情報モジュール_プロブレムレコード登録</v>
      </c>
    </row>
    <row r="1430" spans="2:23" ht="18.75" customHeight="1">
      <c r="B1430" s="43" t="s">
        <v>159</v>
      </c>
      <c r="C1430" s="136" t="str">
        <f>C1432&amp;"テーブルから組入れ条件の第一条件で絞り込んだ結果を"&amp;R1432&amp;"テーブルに格納する。"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30" s="137"/>
      <c r="E1430" s="137"/>
      <c r="F1430" s="137"/>
      <c r="G1430" s="137"/>
      <c r="H1430" s="137"/>
      <c r="I1430" s="137"/>
      <c r="J1430" s="137"/>
      <c r="K1430" s="137"/>
      <c r="L1430" s="137"/>
      <c r="M1430" s="137"/>
      <c r="N1430" s="137"/>
      <c r="O1430" s="137"/>
      <c r="P1430" s="137"/>
      <c r="Q1430" s="137"/>
      <c r="R1430" s="137"/>
      <c r="S1430" s="137"/>
      <c r="T1430" s="137"/>
      <c r="U1430" s="138"/>
      <c r="W1430" s="35" t="str">
        <f>"-- "&amp;C1430</f>
        <v>-- 経過記録情報モジュール_プロブレムレコード_結合テーブルから組入れ条件の第一条件で絞り込んだ結果をバックアップ_経過記録情報モジュール_プロブレムレコードテーブルに格納する。</v>
      </c>
    </row>
    <row r="1432" spans="2:23" ht="18.75" customHeight="1">
      <c r="C1432" s="139" t="s">
        <v>3448</v>
      </c>
      <c r="D1432" s="140"/>
      <c r="E1432" s="143" t="s">
        <v>162</v>
      </c>
      <c r="H1432" s="36"/>
      <c r="I1432" s="36"/>
      <c r="J1432" s="36"/>
      <c r="K1432" s="36"/>
      <c r="L1432" s="36"/>
      <c r="M1432" s="36"/>
      <c r="N1432" s="36"/>
      <c r="O1432" s="36"/>
      <c r="P1432" s="36"/>
      <c r="Q1432" s="36"/>
      <c r="R1432" s="158" t="str">
        <f>"バックアップ_"&amp;SUBSTITUTE(C1432,"_結合","")</f>
        <v>バックアップ_経過記録情報モジュール_プロブレムレコード</v>
      </c>
      <c r="S1432" s="159"/>
      <c r="T1432" s="145" t="str">
        <f>エンティティ一覧!$O$2</f>
        <v>milscm_2023_009</v>
      </c>
    </row>
    <row r="1433" spans="2:23" ht="18.75" customHeight="1">
      <c r="C1433" s="141"/>
      <c r="D1433" s="142"/>
      <c r="E1433" s="144"/>
      <c r="F1433" s="37"/>
      <c r="G1433" s="38"/>
      <c r="H1433" s="37"/>
      <c r="I1433" s="37"/>
      <c r="J1433" s="37"/>
      <c r="K1433" s="37"/>
      <c r="L1433" s="37"/>
      <c r="M1433" s="37"/>
      <c r="N1433" s="37"/>
      <c r="O1433" s="37"/>
      <c r="P1433" s="37"/>
      <c r="Q1433" s="37"/>
      <c r="R1433" s="160"/>
      <c r="S1433" s="161"/>
      <c r="T1433" s="146"/>
    </row>
    <row r="1434" spans="2:23" ht="18.75" customHeight="1">
      <c r="F1434" s="39"/>
      <c r="G1434" s="40"/>
    </row>
    <row r="1435" spans="2:23" ht="18.75" customHeight="1">
      <c r="C1435" s="139" t="s">
        <v>3181</v>
      </c>
      <c r="D1435" s="140"/>
      <c r="E1435" s="145" t="str">
        <f>エンティティ一覧!$O$2</f>
        <v>milscm_2023_009</v>
      </c>
      <c r="G1435" s="41"/>
    </row>
    <row r="1436" spans="2:23" ht="18.75" customHeight="1">
      <c r="C1436" s="141"/>
      <c r="D1436" s="142"/>
      <c r="E1436" s="146"/>
      <c r="F1436" s="37"/>
    </row>
    <row r="1438" spans="2:23" ht="18.75" customHeight="1" thickBot="1">
      <c r="B1438" s="42"/>
      <c r="C1438" s="42"/>
      <c r="D1438" s="42"/>
      <c r="E1438" s="42"/>
      <c r="F1438" s="42"/>
      <c r="G1438" s="42"/>
      <c r="H1438" s="42"/>
      <c r="I1438" s="42"/>
      <c r="J1438" s="42"/>
      <c r="K1438" s="42"/>
      <c r="L1438" s="42"/>
      <c r="M1438" s="42"/>
      <c r="N1438" s="42"/>
      <c r="O1438" s="42"/>
      <c r="P1438" s="42"/>
      <c r="Q1438" s="42"/>
      <c r="R1438" s="42"/>
      <c r="S1438" s="42"/>
      <c r="T1438" s="42"/>
      <c r="U1438" s="42"/>
    </row>
    <row r="1440" spans="2:23" ht="18.75" customHeight="1">
      <c r="B1440" s="43" t="s">
        <v>163</v>
      </c>
      <c r="C1440" s="51" t="s">
        <v>3449</v>
      </c>
      <c r="D1440" s="88"/>
      <c r="W1440" s="35" t="str">
        <f>"-- "&amp;B1440&amp;" : "&amp;C1440</f>
        <v>-- SQL_ID : 01_C4-08</v>
      </c>
    </row>
    <row r="1441" spans="2:23" ht="18.75" customHeight="1">
      <c r="B1441" s="43" t="s">
        <v>158</v>
      </c>
      <c r="C1441" s="147" t="str">
        <f>R1444&amp;"登録"</f>
        <v>バックアップ_経過記録情報モジュール_身体所見レコード登録</v>
      </c>
      <c r="D1441" s="148"/>
      <c r="E1441" s="148"/>
      <c r="F1441" s="148"/>
      <c r="G1441" s="148"/>
      <c r="H1441" s="148"/>
      <c r="I1441" s="148"/>
      <c r="J1441" s="148"/>
      <c r="K1441" s="148"/>
      <c r="L1441" s="148"/>
      <c r="M1441" s="148"/>
      <c r="N1441" s="148"/>
      <c r="O1441" s="148"/>
      <c r="P1441" s="148"/>
      <c r="Q1441" s="148"/>
      <c r="R1441" s="148"/>
      <c r="S1441" s="148"/>
      <c r="T1441" s="148"/>
      <c r="U1441" s="149"/>
      <c r="W1441" s="35" t="str">
        <f>"-- "&amp;C1441</f>
        <v>-- バックアップ_経過記録情報モジュール_身体所見レコード登録</v>
      </c>
    </row>
    <row r="1442" spans="2:23" ht="18.75" customHeight="1">
      <c r="B1442" s="43" t="s">
        <v>159</v>
      </c>
      <c r="C1442" s="136" t="str">
        <f>C1444&amp;"テーブルから組入れ条件の第一条件で絞り込んだ結果を"&amp;R1444&amp;"テーブルに格納する。"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42" s="137"/>
      <c r="E1442" s="137"/>
      <c r="F1442" s="137"/>
      <c r="G1442" s="137"/>
      <c r="H1442" s="137"/>
      <c r="I1442" s="137"/>
      <c r="J1442" s="137"/>
      <c r="K1442" s="137"/>
      <c r="L1442" s="137"/>
      <c r="M1442" s="137"/>
      <c r="N1442" s="137"/>
      <c r="O1442" s="137"/>
      <c r="P1442" s="137"/>
      <c r="Q1442" s="137"/>
      <c r="R1442" s="137"/>
      <c r="S1442" s="137"/>
      <c r="T1442" s="137"/>
      <c r="U1442" s="138"/>
      <c r="W1442" s="35" t="str">
        <f>"-- "&amp;C1442</f>
        <v>-- 経過記録情報モジュール_身体所見レコード_結合テーブルから組入れ条件の第一条件で絞り込んだ結果をバックアップ_経過記録情報モジュール_身体所見レコードテーブルに格納する。</v>
      </c>
    </row>
    <row r="1444" spans="2:23" ht="18.75" customHeight="1">
      <c r="C1444" s="139" t="s">
        <v>3450</v>
      </c>
      <c r="D1444" s="140"/>
      <c r="E1444" s="143" t="s">
        <v>162</v>
      </c>
      <c r="H1444" s="36"/>
      <c r="I1444" s="36"/>
      <c r="J1444" s="36"/>
      <c r="K1444" s="36"/>
      <c r="L1444" s="36"/>
      <c r="M1444" s="36"/>
      <c r="N1444" s="36"/>
      <c r="O1444" s="36"/>
      <c r="P1444" s="36"/>
      <c r="Q1444" s="36"/>
      <c r="R1444" s="158" t="str">
        <f>"バックアップ_"&amp;SUBSTITUTE(C1444,"_結合","")</f>
        <v>バックアップ_経過記録情報モジュール_身体所見レコード</v>
      </c>
      <c r="S1444" s="159"/>
      <c r="T1444" s="145" t="str">
        <f>エンティティ一覧!$O$2</f>
        <v>milscm_2023_009</v>
      </c>
    </row>
    <row r="1445" spans="2:23" ht="18.75" customHeight="1">
      <c r="C1445" s="141"/>
      <c r="D1445" s="142"/>
      <c r="E1445" s="144"/>
      <c r="F1445" s="37"/>
      <c r="G1445" s="38"/>
      <c r="H1445" s="37"/>
      <c r="I1445" s="37"/>
      <c r="J1445" s="37"/>
      <c r="K1445" s="37"/>
      <c r="L1445" s="37"/>
      <c r="M1445" s="37"/>
      <c r="N1445" s="37"/>
      <c r="O1445" s="37"/>
      <c r="P1445" s="37"/>
      <c r="Q1445" s="37"/>
      <c r="R1445" s="160"/>
      <c r="S1445" s="161"/>
      <c r="T1445" s="146"/>
    </row>
    <row r="1446" spans="2:23" ht="18.75" customHeight="1">
      <c r="F1446" s="39"/>
      <c r="G1446" s="40"/>
    </row>
    <row r="1447" spans="2:23" ht="18.75" customHeight="1">
      <c r="C1447" s="139" t="s">
        <v>3181</v>
      </c>
      <c r="D1447" s="140"/>
      <c r="E1447" s="145" t="str">
        <f>エンティティ一覧!$O$2</f>
        <v>milscm_2023_009</v>
      </c>
      <c r="G1447" s="41"/>
    </row>
    <row r="1448" spans="2:23" ht="18.75" customHeight="1">
      <c r="C1448" s="141"/>
      <c r="D1448" s="142"/>
      <c r="E1448" s="146"/>
      <c r="F1448" s="37"/>
    </row>
    <row r="1450" spans="2:23" ht="18.75" customHeight="1" thickBot="1">
      <c r="B1450" s="42"/>
      <c r="C1450" s="42"/>
      <c r="D1450" s="42"/>
      <c r="E1450" s="42"/>
      <c r="F1450" s="42"/>
      <c r="G1450" s="42"/>
      <c r="H1450" s="42"/>
      <c r="I1450" s="42"/>
      <c r="J1450" s="42"/>
      <c r="K1450" s="42"/>
      <c r="L1450" s="42"/>
      <c r="M1450" s="42"/>
      <c r="N1450" s="42"/>
      <c r="O1450" s="42"/>
      <c r="P1450" s="42"/>
      <c r="Q1450" s="42"/>
      <c r="R1450" s="42"/>
      <c r="S1450" s="42"/>
      <c r="T1450" s="42"/>
      <c r="U1450" s="42"/>
    </row>
    <row r="1452" spans="2:23" ht="18.75" customHeight="1">
      <c r="B1452" s="43" t="s">
        <v>163</v>
      </c>
      <c r="C1452" s="51" t="s">
        <v>3451</v>
      </c>
      <c r="D1452" s="88"/>
      <c r="W1452" s="35" t="str">
        <f>"-- "&amp;B1452&amp;" : "&amp;C1452</f>
        <v>-- SQL_ID : 01_C4-15</v>
      </c>
    </row>
    <row r="1453" spans="2:23" ht="18.75" customHeight="1">
      <c r="B1453" s="43" t="s">
        <v>158</v>
      </c>
      <c r="C1453" s="147" t="str">
        <f>R1456&amp;"登録"</f>
        <v>バックアップ_経過記録情報モジュール_アセスメントレコード登録</v>
      </c>
      <c r="D1453" s="148"/>
      <c r="E1453" s="148"/>
      <c r="F1453" s="148"/>
      <c r="G1453" s="148"/>
      <c r="H1453" s="148"/>
      <c r="I1453" s="148"/>
      <c r="J1453" s="148"/>
      <c r="K1453" s="148"/>
      <c r="L1453" s="148"/>
      <c r="M1453" s="148"/>
      <c r="N1453" s="148"/>
      <c r="O1453" s="148"/>
      <c r="P1453" s="148"/>
      <c r="Q1453" s="148"/>
      <c r="R1453" s="148"/>
      <c r="S1453" s="148"/>
      <c r="T1453" s="148"/>
      <c r="U1453" s="149"/>
      <c r="W1453" s="35" t="str">
        <f>"-- "&amp;C1453</f>
        <v>-- バックアップ_経過記録情報モジュール_アセスメントレコード登録</v>
      </c>
    </row>
    <row r="1454" spans="2:23" ht="18.75" customHeight="1">
      <c r="B1454" s="43" t="s">
        <v>159</v>
      </c>
      <c r="C1454" s="136" t="str">
        <f>C1456&amp;"テーブルから組入れ条件の第一条件で絞り込んだ結果を"&amp;R1456&amp;"テーブルに格納する。"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4" s="137"/>
      <c r="E1454" s="137"/>
      <c r="F1454" s="137"/>
      <c r="G1454" s="137"/>
      <c r="H1454" s="137"/>
      <c r="I1454" s="137"/>
      <c r="J1454" s="137"/>
      <c r="K1454" s="137"/>
      <c r="L1454" s="137"/>
      <c r="M1454" s="137"/>
      <c r="N1454" s="137"/>
      <c r="O1454" s="137"/>
      <c r="P1454" s="137"/>
      <c r="Q1454" s="137"/>
      <c r="R1454" s="137"/>
      <c r="S1454" s="137"/>
      <c r="T1454" s="137"/>
      <c r="U1454" s="138"/>
      <c r="W1454" s="35" t="str">
        <f>"-- "&amp;C1454</f>
        <v>-- 経過記録情報モジュール_アセスメントレコード_結合テーブルから組入れ条件の第一条件で絞り込んだ結果をバックアップ_経過記録情報モジュール_アセスメントレコードテーブルに格納する。</v>
      </c>
    </row>
    <row r="1456" spans="2:23" ht="18.75" customHeight="1">
      <c r="C1456" s="139" t="s">
        <v>3452</v>
      </c>
      <c r="D1456" s="140"/>
      <c r="E1456" s="143" t="s">
        <v>162</v>
      </c>
      <c r="H1456" s="36"/>
      <c r="I1456" s="36"/>
      <c r="J1456" s="36"/>
      <c r="K1456" s="36"/>
      <c r="L1456" s="36"/>
      <c r="M1456" s="36"/>
      <c r="N1456" s="36"/>
      <c r="O1456" s="36"/>
      <c r="P1456" s="36"/>
      <c r="Q1456" s="36"/>
      <c r="R1456" s="158" t="str">
        <f>"バックアップ_"&amp;SUBSTITUTE(C1456,"_結合","")</f>
        <v>バックアップ_経過記録情報モジュール_アセスメントレコード</v>
      </c>
      <c r="S1456" s="159"/>
      <c r="T1456" s="145" t="str">
        <f>エンティティ一覧!$O$2</f>
        <v>milscm_2023_009</v>
      </c>
    </row>
    <row r="1457" spans="2:23" ht="18.75" customHeight="1">
      <c r="C1457" s="141"/>
      <c r="D1457" s="142"/>
      <c r="E1457" s="144"/>
      <c r="F1457" s="37"/>
      <c r="G1457" s="38"/>
      <c r="H1457" s="37"/>
      <c r="I1457" s="37"/>
      <c r="J1457" s="37"/>
      <c r="K1457" s="37"/>
      <c r="L1457" s="37"/>
      <c r="M1457" s="37"/>
      <c r="N1457" s="37"/>
      <c r="O1457" s="37"/>
      <c r="P1457" s="37"/>
      <c r="Q1457" s="37"/>
      <c r="R1457" s="160"/>
      <c r="S1457" s="161"/>
      <c r="T1457" s="146"/>
    </row>
    <row r="1458" spans="2:23" ht="18.75" customHeight="1">
      <c r="F1458" s="39"/>
      <c r="G1458" s="40"/>
    </row>
    <row r="1459" spans="2:23" ht="18.75" customHeight="1">
      <c r="C1459" s="139" t="s">
        <v>3181</v>
      </c>
      <c r="D1459" s="140"/>
      <c r="E1459" s="145" t="str">
        <f>エンティティ一覧!$O$2</f>
        <v>milscm_2023_009</v>
      </c>
      <c r="G1459" s="41"/>
    </row>
    <row r="1460" spans="2:23" ht="18.75" customHeight="1">
      <c r="C1460" s="141"/>
      <c r="D1460" s="142"/>
      <c r="E1460" s="146"/>
      <c r="F1460" s="37"/>
    </row>
    <row r="1462" spans="2:23" ht="18.75" customHeight="1" thickBot="1">
      <c r="B1462" s="42"/>
      <c r="C1462" s="42"/>
      <c r="D1462" s="42"/>
      <c r="E1462" s="42"/>
      <c r="F1462" s="42"/>
      <c r="G1462" s="42"/>
      <c r="H1462" s="42"/>
      <c r="I1462" s="42"/>
      <c r="J1462" s="42"/>
      <c r="K1462" s="42"/>
      <c r="L1462" s="42"/>
      <c r="M1462" s="42"/>
      <c r="N1462" s="42"/>
      <c r="O1462" s="42"/>
      <c r="P1462" s="42"/>
      <c r="Q1462" s="42"/>
      <c r="R1462" s="42"/>
      <c r="S1462" s="42"/>
      <c r="T1462" s="42"/>
      <c r="U1462" s="42"/>
    </row>
    <row r="1464" spans="2:23" ht="18.75" customHeight="1">
      <c r="B1464" s="43" t="s">
        <v>163</v>
      </c>
      <c r="C1464" s="51" t="s">
        <v>3453</v>
      </c>
      <c r="D1464" s="88"/>
      <c r="W1464" s="35" t="str">
        <f>"-- "&amp;B1464&amp;" : "&amp;C1464</f>
        <v>-- SQL_ID : 01_C4-22</v>
      </c>
    </row>
    <row r="1465" spans="2:23" ht="18.75" customHeight="1">
      <c r="B1465" s="43" t="s">
        <v>158</v>
      </c>
      <c r="C1465" s="147" t="str">
        <f>R1468&amp;"登録"</f>
        <v>バックアップ_経過記録情報モジュール_外部参照レコード登録</v>
      </c>
      <c r="D1465" s="148"/>
      <c r="E1465" s="148"/>
      <c r="F1465" s="148"/>
      <c r="G1465" s="148"/>
      <c r="H1465" s="148"/>
      <c r="I1465" s="148"/>
      <c r="J1465" s="148"/>
      <c r="K1465" s="148"/>
      <c r="L1465" s="148"/>
      <c r="M1465" s="148"/>
      <c r="N1465" s="148"/>
      <c r="O1465" s="148"/>
      <c r="P1465" s="148"/>
      <c r="Q1465" s="148"/>
      <c r="R1465" s="148"/>
      <c r="S1465" s="148"/>
      <c r="T1465" s="148"/>
      <c r="U1465" s="149"/>
      <c r="W1465" s="35" t="str">
        <f>"-- "&amp;C1465</f>
        <v>-- バックアップ_経過記録情報モジュール_外部参照レコード登録</v>
      </c>
    </row>
    <row r="1466" spans="2:23" ht="18.75" customHeight="1">
      <c r="B1466" s="43" t="s">
        <v>159</v>
      </c>
      <c r="C1466" s="136" t="str">
        <f>C1468&amp;"テーブルから組入れ条件の第一条件で絞り込んだ結果を"&amp;R1468&amp;"テーブルに格納する。"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6" s="137"/>
      <c r="E1466" s="137"/>
      <c r="F1466" s="137"/>
      <c r="G1466" s="137"/>
      <c r="H1466" s="137"/>
      <c r="I1466" s="137"/>
      <c r="J1466" s="137"/>
      <c r="K1466" s="137"/>
      <c r="L1466" s="137"/>
      <c r="M1466" s="137"/>
      <c r="N1466" s="137"/>
      <c r="O1466" s="137"/>
      <c r="P1466" s="137"/>
      <c r="Q1466" s="137"/>
      <c r="R1466" s="137"/>
      <c r="S1466" s="137"/>
      <c r="T1466" s="137"/>
      <c r="U1466" s="138"/>
      <c r="W1466" s="35" t="str">
        <f>"-- "&amp;C1466</f>
        <v>-- 経過記録情報モジュール_外部参照レコード_結合テーブルから組入れ条件の第一条件で絞り込んだ結果をバックアップ_経過記録情報モジュール_外部参照レコードテーブルに格納する。</v>
      </c>
    </row>
    <row r="1468" spans="2:23" ht="18.75" customHeight="1">
      <c r="C1468" s="139" t="s">
        <v>3454</v>
      </c>
      <c r="D1468" s="140"/>
      <c r="E1468" s="143" t="s">
        <v>162</v>
      </c>
      <c r="H1468" s="36"/>
      <c r="I1468" s="36"/>
      <c r="J1468" s="36"/>
      <c r="K1468" s="36"/>
      <c r="L1468" s="36"/>
      <c r="M1468" s="36"/>
      <c r="N1468" s="36"/>
      <c r="O1468" s="36"/>
      <c r="P1468" s="36"/>
      <c r="Q1468" s="36"/>
      <c r="R1468" s="158" t="str">
        <f>"バックアップ_"&amp;SUBSTITUTE(C1468,"_結合","")</f>
        <v>バックアップ_経過記録情報モジュール_外部参照レコード</v>
      </c>
      <c r="S1468" s="159"/>
      <c r="T1468" s="145" t="str">
        <f>エンティティ一覧!$O$2</f>
        <v>milscm_2023_009</v>
      </c>
    </row>
    <row r="1469" spans="2:23" ht="18.75" customHeight="1">
      <c r="C1469" s="141"/>
      <c r="D1469" s="142"/>
      <c r="E1469" s="144"/>
      <c r="F1469" s="37"/>
      <c r="G1469" s="38"/>
      <c r="H1469" s="37"/>
      <c r="I1469" s="37"/>
      <c r="J1469" s="37"/>
      <c r="K1469" s="37"/>
      <c r="L1469" s="37"/>
      <c r="M1469" s="37"/>
      <c r="N1469" s="37"/>
      <c r="O1469" s="37"/>
      <c r="P1469" s="37"/>
      <c r="Q1469" s="37"/>
      <c r="R1469" s="160"/>
      <c r="S1469" s="161"/>
      <c r="T1469" s="146"/>
    </row>
    <row r="1470" spans="2:23" ht="18.75" customHeight="1">
      <c r="F1470" s="39"/>
      <c r="G1470" s="40"/>
    </row>
    <row r="1471" spans="2:23" ht="18.75" customHeight="1">
      <c r="C1471" s="139" t="s">
        <v>3181</v>
      </c>
      <c r="D1471" s="140"/>
      <c r="E1471" s="145" t="str">
        <f>エンティティ一覧!$O$2</f>
        <v>milscm_2023_009</v>
      </c>
      <c r="G1471" s="41"/>
    </row>
    <row r="1472" spans="2:23" ht="18.75" customHeight="1">
      <c r="C1472" s="141"/>
      <c r="D1472" s="142"/>
      <c r="E1472" s="146"/>
      <c r="F1472" s="37"/>
    </row>
    <row r="1474" spans="2:23" ht="18.75" customHeight="1" thickBot="1">
      <c r="B1474" s="42"/>
      <c r="C1474" s="42"/>
      <c r="D1474" s="42"/>
      <c r="E1474" s="42"/>
      <c r="F1474" s="42"/>
      <c r="G1474" s="42"/>
      <c r="H1474" s="42"/>
      <c r="I1474" s="42"/>
      <c r="J1474" s="42"/>
      <c r="K1474" s="42"/>
      <c r="L1474" s="42"/>
      <c r="M1474" s="42"/>
      <c r="N1474" s="42"/>
      <c r="O1474" s="42"/>
      <c r="P1474" s="42"/>
      <c r="Q1474" s="42"/>
      <c r="R1474" s="42"/>
      <c r="S1474" s="42"/>
      <c r="T1474" s="42"/>
      <c r="U1474" s="42"/>
    </row>
    <row r="1476" spans="2:23" ht="18.75" customHeight="1">
      <c r="B1476" s="43" t="s">
        <v>163</v>
      </c>
      <c r="C1476" s="51" t="s">
        <v>3455</v>
      </c>
      <c r="D1476" s="88"/>
      <c r="W1476" s="35" t="str">
        <f>"-- "&amp;B1476&amp;" : "&amp;C1476</f>
        <v>-- SQL_ID : 01_C4-23</v>
      </c>
    </row>
    <row r="1477" spans="2:23" ht="18.75" customHeight="1">
      <c r="B1477" s="43" t="s">
        <v>158</v>
      </c>
      <c r="C1477" s="147" t="str">
        <f>R1480&amp;"登録"</f>
        <v>バックアップ_臨床サマリーモジュール_臨床サマリー情報レコード登録</v>
      </c>
      <c r="D1477" s="148"/>
      <c r="E1477" s="148"/>
      <c r="F1477" s="148"/>
      <c r="G1477" s="148"/>
      <c r="H1477" s="148"/>
      <c r="I1477" s="148"/>
      <c r="J1477" s="148"/>
      <c r="K1477" s="148"/>
      <c r="L1477" s="148"/>
      <c r="M1477" s="148"/>
      <c r="N1477" s="148"/>
      <c r="O1477" s="148"/>
      <c r="P1477" s="148"/>
      <c r="Q1477" s="148"/>
      <c r="R1477" s="148"/>
      <c r="S1477" s="148"/>
      <c r="T1477" s="148"/>
      <c r="U1477" s="149"/>
      <c r="W1477" s="35" t="str">
        <f>"-- "&amp;C1477</f>
        <v>-- バックアップ_臨床サマリーモジュール_臨床サマリー情報レコード登録</v>
      </c>
    </row>
    <row r="1478" spans="2:23" ht="18.75" customHeight="1">
      <c r="B1478" s="43" t="s">
        <v>159</v>
      </c>
      <c r="C1478" s="136" t="str">
        <f>C1480&amp;"テーブルから組入れ条件の第一条件で絞り込んだ結果を"&amp;R1480&amp;"テーブルに格納する。"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8" s="137"/>
      <c r="E1478" s="137"/>
      <c r="F1478" s="137"/>
      <c r="G1478" s="137"/>
      <c r="H1478" s="137"/>
      <c r="I1478" s="137"/>
      <c r="J1478" s="137"/>
      <c r="K1478" s="137"/>
      <c r="L1478" s="137"/>
      <c r="M1478" s="137"/>
      <c r="N1478" s="137"/>
      <c r="O1478" s="137"/>
      <c r="P1478" s="137"/>
      <c r="Q1478" s="137"/>
      <c r="R1478" s="137"/>
      <c r="S1478" s="137"/>
      <c r="T1478" s="137"/>
      <c r="U1478" s="138"/>
      <c r="W1478" s="35" t="str">
        <f>"-- "&amp;C1478</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80" spans="2:23" ht="18.75" customHeight="1">
      <c r="C1480" s="150" t="s">
        <v>3456</v>
      </c>
      <c r="D1480" s="151"/>
      <c r="E1480" s="143" t="s">
        <v>162</v>
      </c>
      <c r="H1480" s="36"/>
      <c r="I1480" s="36"/>
      <c r="J1480" s="36"/>
      <c r="K1480" s="36"/>
      <c r="L1480" s="36"/>
      <c r="M1480" s="36"/>
      <c r="N1480" s="36"/>
      <c r="O1480" s="36"/>
      <c r="P1480" s="36"/>
      <c r="Q1480" s="36"/>
      <c r="R1480" s="154" t="str">
        <f>"バックアップ_"&amp;SUBSTITUTE(C1480,"_結合","")</f>
        <v>バックアップ_臨床サマリーモジュール_臨床サマリー情報レコード</v>
      </c>
      <c r="S1480" s="155"/>
      <c r="T1480" s="145" t="str">
        <f>エンティティ一覧!$O$2</f>
        <v>milscm_2023_009</v>
      </c>
    </row>
    <row r="1481" spans="2:23" ht="18.75" customHeight="1">
      <c r="C1481" s="152"/>
      <c r="D1481" s="153"/>
      <c r="E1481" s="144"/>
      <c r="F1481" s="37"/>
      <c r="G1481" s="38"/>
      <c r="H1481" s="37"/>
      <c r="I1481" s="37"/>
      <c r="J1481" s="37"/>
      <c r="K1481" s="37"/>
      <c r="L1481" s="37"/>
      <c r="M1481" s="37"/>
      <c r="N1481" s="37"/>
      <c r="O1481" s="37"/>
      <c r="P1481" s="37"/>
      <c r="Q1481" s="37"/>
      <c r="R1481" s="156"/>
      <c r="S1481" s="157"/>
      <c r="T1481" s="146"/>
    </row>
    <row r="1482" spans="2:23" ht="18.75" customHeight="1">
      <c r="F1482" s="39"/>
      <c r="G1482" s="40"/>
    </row>
    <row r="1483" spans="2:23" ht="18.75" customHeight="1">
      <c r="C1483" s="139" t="s">
        <v>3181</v>
      </c>
      <c r="D1483" s="140"/>
      <c r="E1483" s="145" t="str">
        <f>エンティティ一覧!$O$2</f>
        <v>milscm_2023_009</v>
      </c>
      <c r="G1483" s="41"/>
    </row>
    <row r="1484" spans="2:23" ht="18.75" customHeight="1">
      <c r="C1484" s="141"/>
      <c r="D1484" s="142"/>
      <c r="E1484" s="146"/>
      <c r="F1484" s="37"/>
    </row>
    <row r="1486" spans="2:23" ht="18.75" customHeight="1" thickBot="1">
      <c r="B1486" s="42"/>
      <c r="C1486" s="42"/>
      <c r="D1486" s="42"/>
      <c r="E1486" s="42"/>
      <c r="F1486" s="42"/>
      <c r="G1486" s="42"/>
      <c r="H1486" s="42"/>
      <c r="I1486" s="42"/>
      <c r="J1486" s="42"/>
      <c r="K1486" s="42"/>
      <c r="L1486" s="42"/>
      <c r="M1486" s="42"/>
      <c r="N1486" s="42"/>
      <c r="O1486" s="42"/>
      <c r="P1486" s="42"/>
      <c r="Q1486" s="42"/>
      <c r="R1486" s="42"/>
      <c r="S1486" s="42"/>
      <c r="T1486" s="42"/>
      <c r="U1486" s="42"/>
    </row>
    <row r="1488" spans="2:23" ht="18.75" customHeight="1">
      <c r="B1488" s="43" t="s">
        <v>163</v>
      </c>
      <c r="C1488" s="51" t="s">
        <v>3457</v>
      </c>
      <c r="D1488" s="88"/>
      <c r="W1488" s="35" t="str">
        <f>"-- "&amp;B1488&amp;" : "&amp;C1488</f>
        <v>-- SQL_ID : 01_C4-24</v>
      </c>
    </row>
    <row r="1489" spans="2:23" ht="18.75" customHeight="1">
      <c r="B1489" s="43" t="s">
        <v>158</v>
      </c>
      <c r="C1489" s="147" t="str">
        <f>R1492&amp;"登録"</f>
        <v>バックアップ_臨床サマリーモジュール_外来受診レコード登録</v>
      </c>
      <c r="D1489" s="148"/>
      <c r="E1489" s="148"/>
      <c r="F1489" s="148"/>
      <c r="G1489" s="148"/>
      <c r="H1489" s="148"/>
      <c r="I1489" s="148"/>
      <c r="J1489" s="148"/>
      <c r="K1489" s="148"/>
      <c r="L1489" s="148"/>
      <c r="M1489" s="148"/>
      <c r="N1489" s="148"/>
      <c r="O1489" s="148"/>
      <c r="P1489" s="148"/>
      <c r="Q1489" s="148"/>
      <c r="R1489" s="148"/>
      <c r="S1489" s="148"/>
      <c r="T1489" s="148"/>
      <c r="U1489" s="149"/>
      <c r="W1489" s="35" t="str">
        <f>"-- "&amp;C1489</f>
        <v>-- バックアップ_臨床サマリーモジュール_外来受診レコード登録</v>
      </c>
    </row>
    <row r="1490" spans="2:23" ht="18.75" customHeight="1">
      <c r="B1490" s="43" t="s">
        <v>159</v>
      </c>
      <c r="C1490" s="136" t="str">
        <f>C1492&amp;"テーブルから組入れ条件の第一条件で絞り込んだ結果を"&amp;R1492&amp;"テーブルに格納する。"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90" s="137"/>
      <c r="E1490" s="137"/>
      <c r="F1490" s="137"/>
      <c r="G1490" s="137"/>
      <c r="H1490" s="137"/>
      <c r="I1490" s="137"/>
      <c r="J1490" s="137"/>
      <c r="K1490" s="137"/>
      <c r="L1490" s="137"/>
      <c r="M1490" s="137"/>
      <c r="N1490" s="137"/>
      <c r="O1490" s="137"/>
      <c r="P1490" s="137"/>
      <c r="Q1490" s="137"/>
      <c r="R1490" s="137"/>
      <c r="S1490" s="137"/>
      <c r="T1490" s="137"/>
      <c r="U1490" s="138"/>
      <c r="W1490" s="35" t="str">
        <f>"-- "&amp;C1490</f>
        <v>-- 臨床サマリーモジュール_外来受診レコード_結合テーブルから組入れ条件の第一条件で絞り込んだ結果をバックアップ_臨床サマリーモジュール_外来受診レコードテーブルに格納する。</v>
      </c>
    </row>
    <row r="1492" spans="2:23" ht="18.75" customHeight="1">
      <c r="C1492" s="139" t="s">
        <v>3458</v>
      </c>
      <c r="D1492" s="140"/>
      <c r="E1492" s="143" t="s">
        <v>162</v>
      </c>
      <c r="H1492" s="36"/>
      <c r="I1492" s="36"/>
      <c r="J1492" s="36"/>
      <c r="K1492" s="36"/>
      <c r="L1492" s="36"/>
      <c r="M1492" s="36"/>
      <c r="N1492" s="36"/>
      <c r="O1492" s="36"/>
      <c r="P1492" s="36"/>
      <c r="Q1492" s="36"/>
      <c r="R1492" s="158" t="str">
        <f>"バックアップ_"&amp;SUBSTITUTE(C1492,"_結合","")</f>
        <v>バックアップ_臨床サマリーモジュール_外来受診レコード</v>
      </c>
      <c r="S1492" s="159"/>
      <c r="T1492" s="145" t="str">
        <f>エンティティ一覧!$O$2</f>
        <v>milscm_2023_009</v>
      </c>
    </row>
    <row r="1493" spans="2:23" ht="18.75" customHeight="1">
      <c r="C1493" s="141"/>
      <c r="D1493" s="142"/>
      <c r="E1493" s="144"/>
      <c r="F1493" s="37"/>
      <c r="G1493" s="38"/>
      <c r="H1493" s="37"/>
      <c r="I1493" s="37"/>
      <c r="J1493" s="37"/>
      <c r="K1493" s="37"/>
      <c r="L1493" s="37"/>
      <c r="M1493" s="37"/>
      <c r="N1493" s="37"/>
      <c r="O1493" s="37"/>
      <c r="P1493" s="37"/>
      <c r="Q1493" s="37"/>
      <c r="R1493" s="160"/>
      <c r="S1493" s="161"/>
      <c r="T1493" s="146"/>
    </row>
    <row r="1494" spans="2:23" ht="18.75" customHeight="1">
      <c r="F1494" s="39"/>
      <c r="G1494" s="40"/>
    </row>
    <row r="1495" spans="2:23" ht="18.75" customHeight="1">
      <c r="C1495" s="139" t="s">
        <v>3181</v>
      </c>
      <c r="D1495" s="140"/>
      <c r="E1495" s="145" t="str">
        <f>エンティティ一覧!$O$2</f>
        <v>milscm_2023_009</v>
      </c>
      <c r="G1495" s="41"/>
    </row>
    <row r="1496" spans="2:23" ht="18.75" customHeight="1">
      <c r="C1496" s="141"/>
      <c r="D1496" s="142"/>
      <c r="E1496" s="146"/>
      <c r="F1496" s="37"/>
    </row>
    <row r="1498" spans="2:23" ht="18.75" customHeight="1" thickBot="1">
      <c r="B1498" s="42"/>
      <c r="C1498" s="42"/>
      <c r="D1498" s="42"/>
      <c r="E1498" s="42"/>
      <c r="F1498" s="42"/>
      <c r="G1498" s="42"/>
      <c r="H1498" s="42"/>
      <c r="I1498" s="42"/>
      <c r="J1498" s="42"/>
      <c r="K1498" s="42"/>
      <c r="L1498" s="42"/>
      <c r="M1498" s="42"/>
      <c r="N1498" s="42"/>
      <c r="O1498" s="42"/>
      <c r="P1498" s="42"/>
      <c r="Q1498" s="42"/>
      <c r="R1498" s="42"/>
      <c r="S1498" s="42"/>
      <c r="T1498" s="42"/>
      <c r="U1498" s="42"/>
    </row>
    <row r="1500" spans="2:23" ht="18.75" customHeight="1">
      <c r="B1500" s="43" t="s">
        <v>163</v>
      </c>
      <c r="C1500" s="51" t="s">
        <v>3459</v>
      </c>
      <c r="D1500" s="88"/>
      <c r="W1500" s="35" t="str">
        <f>"-- "&amp;B1500&amp;" : "&amp;C1500</f>
        <v>-- SQL_ID : 01_C4-25</v>
      </c>
    </row>
    <row r="1501" spans="2:23" ht="18.75" customHeight="1">
      <c r="B1501" s="43" t="s">
        <v>158</v>
      </c>
      <c r="C1501" s="147" t="str">
        <f>R1504&amp;"登録"</f>
        <v>バックアップ_臨床サマリーモジュール_入院レコード登録</v>
      </c>
      <c r="D1501" s="148"/>
      <c r="E1501" s="148"/>
      <c r="F1501" s="148"/>
      <c r="G1501" s="148"/>
      <c r="H1501" s="148"/>
      <c r="I1501" s="148"/>
      <c r="J1501" s="148"/>
      <c r="K1501" s="148"/>
      <c r="L1501" s="148"/>
      <c r="M1501" s="148"/>
      <c r="N1501" s="148"/>
      <c r="O1501" s="148"/>
      <c r="P1501" s="148"/>
      <c r="Q1501" s="148"/>
      <c r="R1501" s="148"/>
      <c r="S1501" s="148"/>
      <c r="T1501" s="148"/>
      <c r="U1501" s="149"/>
      <c r="W1501" s="35" t="str">
        <f>"-- "&amp;C1501</f>
        <v>-- バックアップ_臨床サマリーモジュール_入院レコード登録</v>
      </c>
    </row>
    <row r="1502" spans="2:23" ht="18.75" customHeight="1">
      <c r="B1502" s="43" t="s">
        <v>159</v>
      </c>
      <c r="C1502" s="136" t="str">
        <f>C1504&amp;"テーブルから組入れ条件の第一条件で絞り込んだ結果を"&amp;R1504&amp;"テーブルに格納する。"</f>
        <v>臨床サマリーモジュール_入院レコード_結合テーブルから組入れ条件の第一条件で絞り込んだ結果をバックアップ_臨床サマリーモジュール_入院レコードテーブルに格納する。</v>
      </c>
      <c r="D1502" s="137"/>
      <c r="E1502" s="137"/>
      <c r="F1502" s="137"/>
      <c r="G1502" s="137"/>
      <c r="H1502" s="137"/>
      <c r="I1502" s="137"/>
      <c r="J1502" s="137"/>
      <c r="K1502" s="137"/>
      <c r="L1502" s="137"/>
      <c r="M1502" s="137"/>
      <c r="N1502" s="137"/>
      <c r="O1502" s="137"/>
      <c r="P1502" s="137"/>
      <c r="Q1502" s="137"/>
      <c r="R1502" s="137"/>
      <c r="S1502" s="137"/>
      <c r="T1502" s="137"/>
      <c r="U1502" s="138"/>
      <c r="W1502" s="35" t="str">
        <f>"-- "&amp;C1502</f>
        <v>-- 臨床サマリーモジュール_入院レコード_結合テーブルから組入れ条件の第一条件で絞り込んだ結果をバックアップ_臨床サマリーモジュール_入院レコードテーブルに格納する。</v>
      </c>
    </row>
    <row r="1504" spans="2:23" ht="18.75" customHeight="1">
      <c r="C1504" s="139" t="s">
        <v>3460</v>
      </c>
      <c r="D1504" s="140"/>
      <c r="E1504" s="143" t="s">
        <v>162</v>
      </c>
      <c r="H1504" s="36"/>
      <c r="I1504" s="36"/>
      <c r="J1504" s="36"/>
      <c r="K1504" s="36"/>
      <c r="L1504" s="36"/>
      <c r="M1504" s="36"/>
      <c r="N1504" s="36"/>
      <c r="O1504" s="36"/>
      <c r="P1504" s="36"/>
      <c r="Q1504" s="36"/>
      <c r="R1504" s="158" t="str">
        <f>"バックアップ_"&amp;SUBSTITUTE(C1504,"_結合","")</f>
        <v>バックアップ_臨床サマリーモジュール_入院レコード</v>
      </c>
      <c r="S1504" s="159"/>
      <c r="T1504" s="145" t="str">
        <f>エンティティ一覧!$O$2</f>
        <v>milscm_2023_009</v>
      </c>
    </row>
    <row r="1505" spans="2:23" ht="18.75" customHeight="1">
      <c r="C1505" s="141"/>
      <c r="D1505" s="142"/>
      <c r="E1505" s="144"/>
      <c r="F1505" s="37"/>
      <c r="G1505" s="38"/>
      <c r="H1505" s="37"/>
      <c r="I1505" s="37"/>
      <c r="J1505" s="37"/>
      <c r="K1505" s="37"/>
      <c r="L1505" s="37"/>
      <c r="M1505" s="37"/>
      <c r="N1505" s="37"/>
      <c r="O1505" s="37"/>
      <c r="P1505" s="37"/>
      <c r="Q1505" s="37"/>
      <c r="R1505" s="160"/>
      <c r="S1505" s="161"/>
      <c r="T1505" s="146"/>
    </row>
    <row r="1506" spans="2:23" ht="18.75" customHeight="1">
      <c r="F1506" s="39"/>
      <c r="G1506" s="40"/>
    </row>
    <row r="1507" spans="2:23" ht="18.75" customHeight="1">
      <c r="C1507" s="139" t="s">
        <v>3181</v>
      </c>
      <c r="D1507" s="140"/>
      <c r="E1507" s="145" t="str">
        <f>エンティティ一覧!$O$2</f>
        <v>milscm_2023_009</v>
      </c>
      <c r="G1507" s="41"/>
    </row>
    <row r="1508" spans="2:23" ht="18.75" customHeight="1">
      <c r="C1508" s="141"/>
      <c r="D1508" s="142"/>
      <c r="E1508" s="146"/>
      <c r="F1508" s="37"/>
    </row>
    <row r="1510" spans="2:23" ht="18.75" customHeight="1" thickBot="1">
      <c r="B1510" s="42"/>
      <c r="C1510" s="42"/>
      <c r="D1510" s="42"/>
      <c r="E1510" s="42"/>
      <c r="F1510" s="42"/>
      <c r="G1510" s="42"/>
      <c r="H1510" s="42"/>
      <c r="I1510" s="42"/>
      <c r="J1510" s="42"/>
      <c r="K1510" s="42"/>
      <c r="L1510" s="42"/>
      <c r="M1510" s="42"/>
      <c r="N1510" s="42"/>
      <c r="O1510" s="42"/>
      <c r="P1510" s="42"/>
      <c r="Q1510" s="42"/>
      <c r="R1510" s="42"/>
      <c r="S1510" s="42"/>
      <c r="T1510" s="42"/>
      <c r="U1510" s="42"/>
    </row>
    <row r="1512" spans="2:23" ht="18.75" customHeight="1">
      <c r="B1512" s="43" t="s">
        <v>163</v>
      </c>
      <c r="C1512" s="51" t="s">
        <v>3461</v>
      </c>
      <c r="D1512" s="88"/>
      <c r="W1512" s="35" t="str">
        <f>"-- "&amp;B1512&amp;" : "&amp;C1512</f>
        <v>-- SQL_ID : 01_C4-29</v>
      </c>
    </row>
    <row r="1513" spans="2:23" ht="18.75" customHeight="1">
      <c r="B1513" s="43" t="s">
        <v>158</v>
      </c>
      <c r="C1513" s="147" t="str">
        <f>R1516&amp;"登録"</f>
        <v>バックアップ_臨床サマリーモジュール_経過記録レコード登録</v>
      </c>
      <c r="D1513" s="148"/>
      <c r="E1513" s="148"/>
      <c r="F1513" s="148"/>
      <c r="G1513" s="148"/>
      <c r="H1513" s="148"/>
      <c r="I1513" s="148"/>
      <c r="J1513" s="148"/>
      <c r="K1513" s="148"/>
      <c r="L1513" s="148"/>
      <c r="M1513" s="148"/>
      <c r="N1513" s="148"/>
      <c r="O1513" s="148"/>
      <c r="P1513" s="148"/>
      <c r="Q1513" s="148"/>
      <c r="R1513" s="148"/>
      <c r="S1513" s="148"/>
      <c r="T1513" s="148"/>
      <c r="U1513" s="149"/>
      <c r="W1513" s="35" t="str">
        <f>"-- "&amp;C1513</f>
        <v>-- バックアップ_臨床サマリーモジュール_経過記録レコード登録</v>
      </c>
    </row>
    <row r="1514" spans="2:23" ht="18.75" customHeight="1">
      <c r="B1514" s="43" t="s">
        <v>159</v>
      </c>
      <c r="C1514" s="136" t="str">
        <f>C1516&amp;"テーブルから組入れ条件の第一条件で絞り込んだ結果を"&amp;R1516&amp;"テーブルに格納する。"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4" s="137"/>
      <c r="E1514" s="137"/>
      <c r="F1514" s="137"/>
      <c r="G1514" s="137"/>
      <c r="H1514" s="137"/>
      <c r="I1514" s="137"/>
      <c r="J1514" s="137"/>
      <c r="K1514" s="137"/>
      <c r="L1514" s="137"/>
      <c r="M1514" s="137"/>
      <c r="N1514" s="137"/>
      <c r="O1514" s="137"/>
      <c r="P1514" s="137"/>
      <c r="Q1514" s="137"/>
      <c r="R1514" s="137"/>
      <c r="S1514" s="137"/>
      <c r="T1514" s="137"/>
      <c r="U1514" s="138"/>
      <c r="W1514" s="35" t="str">
        <f>"-- "&amp;C1514</f>
        <v>-- 臨床サマリーモジュール_経過記録レコード_結合テーブルから組入れ条件の第一条件で絞り込んだ結果をバックアップ_臨床サマリーモジュール_経過記録レコードテーブルに格納する。</v>
      </c>
    </row>
    <row r="1516" spans="2:23" ht="18.75" customHeight="1">
      <c r="C1516" s="139" t="s">
        <v>3462</v>
      </c>
      <c r="D1516" s="140"/>
      <c r="E1516" s="143" t="s">
        <v>162</v>
      </c>
      <c r="H1516" s="36"/>
      <c r="I1516" s="36"/>
      <c r="J1516" s="36"/>
      <c r="K1516" s="36"/>
      <c r="L1516" s="36"/>
      <c r="M1516" s="36"/>
      <c r="N1516" s="36"/>
      <c r="O1516" s="36"/>
      <c r="P1516" s="36"/>
      <c r="Q1516" s="36"/>
      <c r="R1516" s="158" t="str">
        <f>"バックアップ_"&amp;SUBSTITUTE(C1516,"_結合","")</f>
        <v>バックアップ_臨床サマリーモジュール_経過記録レコード</v>
      </c>
      <c r="S1516" s="159"/>
      <c r="T1516" s="145" t="str">
        <f>エンティティ一覧!$O$2</f>
        <v>milscm_2023_009</v>
      </c>
    </row>
    <row r="1517" spans="2:23" ht="18.75" customHeight="1">
      <c r="C1517" s="141"/>
      <c r="D1517" s="142"/>
      <c r="E1517" s="144"/>
      <c r="F1517" s="37"/>
      <c r="G1517" s="38"/>
      <c r="H1517" s="37"/>
      <c r="I1517" s="37"/>
      <c r="J1517" s="37"/>
      <c r="K1517" s="37"/>
      <c r="L1517" s="37"/>
      <c r="M1517" s="37"/>
      <c r="N1517" s="37"/>
      <c r="O1517" s="37"/>
      <c r="P1517" s="37"/>
      <c r="Q1517" s="37"/>
      <c r="R1517" s="160"/>
      <c r="S1517" s="161"/>
      <c r="T1517" s="146"/>
    </row>
    <row r="1518" spans="2:23" ht="18.75" customHeight="1">
      <c r="F1518" s="39"/>
      <c r="G1518" s="40"/>
    </row>
    <row r="1519" spans="2:23" ht="18.75" customHeight="1">
      <c r="C1519" s="139" t="s">
        <v>3181</v>
      </c>
      <c r="D1519" s="140"/>
      <c r="E1519" s="145" t="str">
        <f>エンティティ一覧!$O$2</f>
        <v>milscm_2023_009</v>
      </c>
      <c r="G1519" s="41"/>
    </row>
    <row r="1520" spans="2:23" ht="18.75" customHeight="1">
      <c r="C1520" s="141"/>
      <c r="D1520" s="142"/>
      <c r="E1520" s="146"/>
      <c r="F1520" s="37"/>
    </row>
    <row r="1522" spans="2:23" ht="18.75" customHeight="1" thickBot="1">
      <c r="B1522" s="42"/>
      <c r="C1522" s="42"/>
      <c r="D1522" s="42"/>
      <c r="E1522" s="42"/>
      <c r="F1522" s="42"/>
      <c r="G1522" s="42"/>
      <c r="H1522" s="42"/>
      <c r="I1522" s="42"/>
      <c r="J1522" s="42"/>
      <c r="K1522" s="42"/>
      <c r="L1522" s="42"/>
      <c r="M1522" s="42"/>
      <c r="N1522" s="42"/>
      <c r="O1522" s="42"/>
      <c r="P1522" s="42"/>
      <c r="Q1522" s="42"/>
      <c r="R1522" s="42"/>
      <c r="S1522" s="42"/>
      <c r="T1522" s="42"/>
      <c r="U1522" s="42"/>
    </row>
    <row r="1524" spans="2:23" ht="18.75" customHeight="1">
      <c r="B1524" s="43" t="s">
        <v>163</v>
      </c>
      <c r="C1524" s="51" t="s">
        <v>3463</v>
      </c>
      <c r="D1524" s="88"/>
      <c r="W1524" s="35" t="str">
        <f>"-- "&amp;B1524&amp;" : "&amp;C1524</f>
        <v>-- SQL_ID : 01_C4-30</v>
      </c>
    </row>
    <row r="1525" spans="2:23" ht="18.75" customHeight="1">
      <c r="B1525" s="43" t="s">
        <v>158</v>
      </c>
      <c r="C1525" s="147" t="str">
        <f>R1528&amp;"登録"</f>
        <v>バックアップ_臨床サマリーモジュール_検査結果レコード登録</v>
      </c>
      <c r="D1525" s="148"/>
      <c r="E1525" s="148"/>
      <c r="F1525" s="148"/>
      <c r="G1525" s="148"/>
      <c r="H1525" s="148"/>
      <c r="I1525" s="148"/>
      <c r="J1525" s="148"/>
      <c r="K1525" s="148"/>
      <c r="L1525" s="148"/>
      <c r="M1525" s="148"/>
      <c r="N1525" s="148"/>
      <c r="O1525" s="148"/>
      <c r="P1525" s="148"/>
      <c r="Q1525" s="148"/>
      <c r="R1525" s="148"/>
      <c r="S1525" s="148"/>
      <c r="T1525" s="148"/>
      <c r="U1525" s="149"/>
      <c r="W1525" s="35" t="str">
        <f>"-- "&amp;C1525</f>
        <v>-- バックアップ_臨床サマリーモジュール_検査結果レコード登録</v>
      </c>
    </row>
    <row r="1526" spans="2:23" ht="18.75" customHeight="1">
      <c r="B1526" s="43" t="s">
        <v>159</v>
      </c>
      <c r="C1526" s="136" t="str">
        <f>C1528&amp;"テーブルから組入れ条件の第一条件で絞り込んだ結果を"&amp;R1528&amp;"テーブルに格納する。"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6" s="137"/>
      <c r="E1526" s="137"/>
      <c r="F1526" s="137"/>
      <c r="G1526" s="137"/>
      <c r="H1526" s="137"/>
      <c r="I1526" s="137"/>
      <c r="J1526" s="137"/>
      <c r="K1526" s="137"/>
      <c r="L1526" s="137"/>
      <c r="M1526" s="137"/>
      <c r="N1526" s="137"/>
      <c r="O1526" s="137"/>
      <c r="P1526" s="137"/>
      <c r="Q1526" s="137"/>
      <c r="R1526" s="137"/>
      <c r="S1526" s="137"/>
      <c r="T1526" s="137"/>
      <c r="U1526" s="138"/>
      <c r="W1526" s="35" t="str">
        <f>"-- "&amp;C1526</f>
        <v>-- 臨床サマリーモジュール_検査結果レコード_結合テーブルから組入れ条件の第一条件で絞り込んだ結果をバックアップ_臨床サマリーモジュール_検査結果レコードテーブルに格納する。</v>
      </c>
    </row>
    <row r="1528" spans="2:23" ht="18.75" customHeight="1">
      <c r="C1528" s="139" t="s">
        <v>3464</v>
      </c>
      <c r="D1528" s="140"/>
      <c r="E1528" s="143" t="s">
        <v>162</v>
      </c>
      <c r="H1528" s="36"/>
      <c r="I1528" s="36"/>
      <c r="J1528" s="36"/>
      <c r="K1528" s="36"/>
      <c r="L1528" s="36"/>
      <c r="M1528" s="36"/>
      <c r="N1528" s="36"/>
      <c r="O1528" s="36"/>
      <c r="P1528" s="36"/>
      <c r="Q1528" s="36"/>
      <c r="R1528" s="158" t="str">
        <f>"バックアップ_"&amp;SUBSTITUTE(C1528,"_結合","")</f>
        <v>バックアップ_臨床サマリーモジュール_検査結果レコード</v>
      </c>
      <c r="S1528" s="159"/>
      <c r="T1528" s="145" t="str">
        <f>エンティティ一覧!$O$2</f>
        <v>milscm_2023_009</v>
      </c>
    </row>
    <row r="1529" spans="2:23" ht="18.75" customHeight="1">
      <c r="C1529" s="141"/>
      <c r="D1529" s="142"/>
      <c r="E1529" s="144"/>
      <c r="F1529" s="37"/>
      <c r="G1529" s="38"/>
      <c r="H1529" s="37"/>
      <c r="I1529" s="37"/>
      <c r="J1529" s="37"/>
      <c r="K1529" s="37"/>
      <c r="L1529" s="37"/>
      <c r="M1529" s="37"/>
      <c r="N1529" s="37"/>
      <c r="O1529" s="37"/>
      <c r="P1529" s="37"/>
      <c r="Q1529" s="37"/>
      <c r="R1529" s="160"/>
      <c r="S1529" s="161"/>
      <c r="T1529" s="146"/>
    </row>
    <row r="1530" spans="2:23" ht="18.75" customHeight="1">
      <c r="F1530" s="39"/>
      <c r="G1530" s="40"/>
    </row>
    <row r="1531" spans="2:23" ht="18.75" customHeight="1">
      <c r="C1531" s="139" t="s">
        <v>3181</v>
      </c>
      <c r="D1531" s="140"/>
      <c r="E1531" s="145" t="str">
        <f>エンティティ一覧!$O$2</f>
        <v>milscm_2023_009</v>
      </c>
      <c r="G1531" s="41"/>
    </row>
    <row r="1532" spans="2:23" ht="18.75" customHeight="1">
      <c r="C1532" s="141"/>
      <c r="D1532" s="142"/>
      <c r="E1532" s="146"/>
      <c r="F1532" s="37"/>
    </row>
    <row r="1534" spans="2:23" ht="18.75" customHeight="1" thickBot="1">
      <c r="B1534" s="42"/>
      <c r="C1534" s="42"/>
      <c r="D1534" s="42"/>
      <c r="E1534" s="42"/>
      <c r="F1534" s="42"/>
      <c r="G1534" s="42"/>
      <c r="H1534" s="42"/>
      <c r="I1534" s="42"/>
      <c r="J1534" s="42"/>
      <c r="K1534" s="42"/>
      <c r="L1534" s="42"/>
      <c r="M1534" s="42"/>
      <c r="N1534" s="42"/>
      <c r="O1534" s="42"/>
      <c r="P1534" s="42"/>
      <c r="Q1534" s="42"/>
      <c r="R1534" s="42"/>
      <c r="S1534" s="42"/>
      <c r="T1534" s="42"/>
      <c r="U1534" s="42"/>
    </row>
    <row r="1536" spans="2:23" ht="18.75" customHeight="1">
      <c r="B1536" s="43" t="s">
        <v>163</v>
      </c>
      <c r="C1536" s="51" t="s">
        <v>3465</v>
      </c>
      <c r="D1536" s="88"/>
      <c r="W1536" s="35" t="str">
        <f>"-- "&amp;B1536&amp;" : "&amp;C1536</f>
        <v>-- SQL_ID : 01_C4-31</v>
      </c>
    </row>
    <row r="1537" spans="2:23" ht="18.75" customHeight="1">
      <c r="B1537" s="43" t="s">
        <v>158</v>
      </c>
      <c r="C1537" s="147" t="str">
        <f>R1540&amp;"登録"</f>
        <v>バックアップ_検歴情報モジュール_検歴情報登録</v>
      </c>
      <c r="D1537" s="148"/>
      <c r="E1537" s="148"/>
      <c r="F1537" s="148"/>
      <c r="G1537" s="148"/>
      <c r="H1537" s="148"/>
      <c r="I1537" s="148"/>
      <c r="J1537" s="148"/>
      <c r="K1537" s="148"/>
      <c r="L1537" s="148"/>
      <c r="M1537" s="148"/>
      <c r="N1537" s="148"/>
      <c r="O1537" s="148"/>
      <c r="P1537" s="148"/>
      <c r="Q1537" s="148"/>
      <c r="R1537" s="148"/>
      <c r="S1537" s="148"/>
      <c r="T1537" s="148"/>
      <c r="U1537" s="149"/>
      <c r="W1537" s="35" t="str">
        <f>"-- "&amp;C1537</f>
        <v>-- バックアップ_検歴情報モジュール_検歴情報登録</v>
      </c>
    </row>
    <row r="1538" spans="2:23" ht="18.75" customHeight="1">
      <c r="B1538" s="43" t="s">
        <v>159</v>
      </c>
      <c r="C1538" s="136" t="str">
        <f>C1540&amp;"テーブルから組入れ条件の第一条件で絞り込んだ結果を"&amp;R1540&amp;"テーブルに格納する。"</f>
        <v>検歴情報モジュール_検歴情報_結合テーブルから組入れ条件の第一条件で絞り込んだ結果をバックアップ_検歴情報モジュール_検歴情報テーブルに格納する。</v>
      </c>
      <c r="D1538" s="137"/>
      <c r="E1538" s="137"/>
      <c r="F1538" s="137"/>
      <c r="G1538" s="137"/>
      <c r="H1538" s="137"/>
      <c r="I1538" s="137"/>
      <c r="J1538" s="137"/>
      <c r="K1538" s="137"/>
      <c r="L1538" s="137"/>
      <c r="M1538" s="137"/>
      <c r="N1538" s="137"/>
      <c r="O1538" s="137"/>
      <c r="P1538" s="137"/>
      <c r="Q1538" s="137"/>
      <c r="R1538" s="137"/>
      <c r="S1538" s="137"/>
      <c r="T1538" s="137"/>
      <c r="U1538" s="138"/>
      <c r="W1538" s="35" t="str">
        <f>"-- "&amp;C1538</f>
        <v>-- 検歴情報モジュール_検歴情報_結合テーブルから組入れ条件の第一条件で絞り込んだ結果をバックアップ_検歴情報モジュール_検歴情報テーブルに格納する。</v>
      </c>
    </row>
    <row r="1540" spans="2:23" ht="18.75" customHeight="1">
      <c r="C1540" s="139" t="s">
        <v>3466</v>
      </c>
      <c r="D1540" s="140"/>
      <c r="E1540" s="143" t="s">
        <v>162</v>
      </c>
      <c r="H1540" s="36"/>
      <c r="I1540" s="36"/>
      <c r="J1540" s="36"/>
      <c r="K1540" s="36"/>
      <c r="L1540" s="36"/>
      <c r="M1540" s="36"/>
      <c r="N1540" s="36"/>
      <c r="O1540" s="36"/>
      <c r="P1540" s="36"/>
      <c r="Q1540" s="36"/>
      <c r="R1540" s="139" t="str">
        <f>"バックアップ_"&amp;SUBSTITUTE(C1540,"_結合","")</f>
        <v>バックアップ_検歴情報モジュール_検歴情報</v>
      </c>
      <c r="S1540" s="140"/>
      <c r="T1540" s="145" t="str">
        <f>エンティティ一覧!$O$2</f>
        <v>milscm_2023_009</v>
      </c>
    </row>
    <row r="1541" spans="2:23" ht="18.75" customHeight="1">
      <c r="C1541" s="141"/>
      <c r="D1541" s="142"/>
      <c r="E1541" s="144"/>
      <c r="F1541" s="37"/>
      <c r="G1541" s="38"/>
      <c r="H1541" s="37"/>
      <c r="I1541" s="37"/>
      <c r="J1541" s="37"/>
      <c r="K1541" s="37"/>
      <c r="L1541" s="37"/>
      <c r="M1541" s="37"/>
      <c r="N1541" s="37"/>
      <c r="O1541" s="37"/>
      <c r="P1541" s="37"/>
      <c r="Q1541" s="37"/>
      <c r="R1541" s="141"/>
      <c r="S1541" s="142"/>
      <c r="T1541" s="146"/>
    </row>
    <row r="1542" spans="2:23" ht="18.75" customHeight="1">
      <c r="F1542" s="39"/>
      <c r="G1542" s="40"/>
    </row>
    <row r="1543" spans="2:23" ht="18.75" customHeight="1">
      <c r="C1543" s="139" t="s">
        <v>3181</v>
      </c>
      <c r="D1543" s="140"/>
      <c r="E1543" s="145" t="str">
        <f>エンティティ一覧!$O$2</f>
        <v>milscm_2023_009</v>
      </c>
      <c r="G1543" s="41"/>
    </row>
    <row r="1544" spans="2:23" ht="18.75" customHeight="1">
      <c r="C1544" s="141"/>
      <c r="D1544" s="142"/>
      <c r="E1544" s="146"/>
      <c r="F1544" s="37"/>
    </row>
    <row r="1546" spans="2:23" ht="18.75" customHeight="1" thickBot="1">
      <c r="B1546" s="42"/>
      <c r="C1546" s="42"/>
      <c r="D1546" s="42"/>
      <c r="E1546" s="42"/>
      <c r="F1546" s="42"/>
      <c r="G1546" s="42"/>
      <c r="H1546" s="42"/>
      <c r="I1546" s="42"/>
      <c r="J1546" s="42"/>
      <c r="K1546" s="42"/>
      <c r="L1546" s="42"/>
      <c r="M1546" s="42"/>
      <c r="N1546" s="42"/>
      <c r="O1546" s="42"/>
      <c r="P1546" s="42"/>
      <c r="Q1546" s="42"/>
      <c r="R1546" s="42"/>
      <c r="S1546" s="42"/>
      <c r="T1546" s="42"/>
      <c r="U1546" s="42"/>
    </row>
    <row r="1548" spans="2:23" ht="18.75" customHeight="1">
      <c r="B1548" s="43" t="s">
        <v>163</v>
      </c>
      <c r="C1548" s="51" t="s">
        <v>3467</v>
      </c>
      <c r="D1548" s="88"/>
      <c r="W1548" s="35" t="str">
        <f>"-- "&amp;B1548&amp;" : "&amp;C1548</f>
        <v>-- SQL_ID : 01_C4-33</v>
      </c>
    </row>
    <row r="1549" spans="2:23" ht="18.75" customHeight="1">
      <c r="B1549" s="43" t="s">
        <v>158</v>
      </c>
      <c r="C1549" s="147" t="str">
        <f>R1552&amp;"登録"</f>
        <v>バックアップ_検歴情報モジュール_検歴検体材料登録</v>
      </c>
      <c r="D1549" s="148"/>
      <c r="E1549" s="148"/>
      <c r="F1549" s="148"/>
      <c r="G1549" s="148"/>
      <c r="H1549" s="148"/>
      <c r="I1549" s="148"/>
      <c r="J1549" s="148"/>
      <c r="K1549" s="148"/>
      <c r="L1549" s="148"/>
      <c r="M1549" s="148"/>
      <c r="N1549" s="148"/>
      <c r="O1549" s="148"/>
      <c r="P1549" s="148"/>
      <c r="Q1549" s="148"/>
      <c r="R1549" s="148"/>
      <c r="S1549" s="148"/>
      <c r="T1549" s="148"/>
      <c r="U1549" s="149"/>
      <c r="W1549" s="35" t="str">
        <f>"-- "&amp;C1549</f>
        <v>-- バックアップ_検歴情報モジュール_検歴検体材料登録</v>
      </c>
    </row>
    <row r="1550" spans="2:23" ht="18.75" customHeight="1">
      <c r="B1550" s="43" t="s">
        <v>159</v>
      </c>
      <c r="C1550" s="136" t="str">
        <f>C1552&amp;"テーブルから組入れ条件の第一条件で絞り込んだ結果を"&amp;R1552&amp;"テーブルに格納する。"</f>
        <v>検歴情報モジュール_検歴検体材料_結合テーブルから組入れ条件の第一条件で絞り込んだ結果をバックアップ_検歴情報モジュール_検歴検体材料テーブルに格納する。</v>
      </c>
      <c r="D1550" s="137"/>
      <c r="E1550" s="137"/>
      <c r="F1550" s="137"/>
      <c r="G1550" s="137"/>
      <c r="H1550" s="137"/>
      <c r="I1550" s="137"/>
      <c r="J1550" s="137"/>
      <c r="K1550" s="137"/>
      <c r="L1550" s="137"/>
      <c r="M1550" s="137"/>
      <c r="N1550" s="137"/>
      <c r="O1550" s="137"/>
      <c r="P1550" s="137"/>
      <c r="Q1550" s="137"/>
      <c r="R1550" s="137"/>
      <c r="S1550" s="137"/>
      <c r="T1550" s="137"/>
      <c r="U1550" s="138"/>
      <c r="W1550" s="35" t="str">
        <f>"-- "&amp;C1550</f>
        <v>-- 検歴情報モジュール_検歴検体材料_結合テーブルから組入れ条件の第一条件で絞り込んだ結果をバックアップ_検歴情報モジュール_検歴検体材料テーブルに格納する。</v>
      </c>
    </row>
    <row r="1552" spans="2:23" ht="18.75" customHeight="1">
      <c r="C1552" s="139" t="s">
        <v>3468</v>
      </c>
      <c r="D1552" s="140"/>
      <c r="E1552" s="143" t="s">
        <v>162</v>
      </c>
      <c r="H1552" s="36"/>
      <c r="I1552" s="36"/>
      <c r="J1552" s="36"/>
      <c r="K1552" s="36"/>
      <c r="L1552" s="36"/>
      <c r="M1552" s="36"/>
      <c r="N1552" s="36"/>
      <c r="O1552" s="36"/>
      <c r="P1552" s="36"/>
      <c r="Q1552" s="36"/>
      <c r="R1552" s="139" t="str">
        <f>"バックアップ_"&amp;SUBSTITUTE(C1552,"_結合","")</f>
        <v>バックアップ_検歴情報モジュール_検歴検体材料</v>
      </c>
      <c r="S1552" s="140"/>
      <c r="T1552" s="145" t="str">
        <f>エンティティ一覧!$O$2</f>
        <v>milscm_2023_009</v>
      </c>
    </row>
    <row r="1553" spans="2:23" ht="18.75" customHeight="1">
      <c r="C1553" s="141"/>
      <c r="D1553" s="142"/>
      <c r="E1553" s="144"/>
      <c r="F1553" s="37"/>
      <c r="G1553" s="38"/>
      <c r="H1553" s="37"/>
      <c r="I1553" s="37"/>
      <c r="J1553" s="37"/>
      <c r="K1553" s="37"/>
      <c r="L1553" s="37"/>
      <c r="M1553" s="37"/>
      <c r="N1553" s="37"/>
      <c r="O1553" s="37"/>
      <c r="P1553" s="37"/>
      <c r="Q1553" s="37"/>
      <c r="R1553" s="141"/>
      <c r="S1553" s="142"/>
      <c r="T1553" s="146"/>
    </row>
    <row r="1554" spans="2:23" ht="18.75" customHeight="1">
      <c r="F1554" s="39"/>
      <c r="G1554" s="40"/>
    </row>
    <row r="1555" spans="2:23" ht="18.75" customHeight="1">
      <c r="C1555" s="139" t="s">
        <v>3181</v>
      </c>
      <c r="D1555" s="140"/>
      <c r="E1555" s="145" t="str">
        <f>エンティティ一覧!$O$2</f>
        <v>milscm_2023_009</v>
      </c>
      <c r="G1555" s="41"/>
    </row>
    <row r="1556" spans="2:23" ht="18.75" customHeight="1">
      <c r="C1556" s="141"/>
      <c r="D1556" s="142"/>
      <c r="E1556" s="146"/>
      <c r="F1556" s="37"/>
    </row>
    <row r="1558" spans="2:23" ht="18.75" customHeight="1" thickBot="1">
      <c r="B1558" s="42"/>
      <c r="C1558" s="42"/>
      <c r="D1558" s="42"/>
      <c r="E1558" s="42"/>
      <c r="F1558" s="42"/>
      <c r="G1558" s="42"/>
      <c r="H1558" s="42"/>
      <c r="I1558" s="42"/>
      <c r="J1558" s="42"/>
      <c r="K1558" s="42"/>
      <c r="L1558" s="42"/>
      <c r="M1558" s="42"/>
      <c r="N1558" s="42"/>
      <c r="O1558" s="42"/>
      <c r="P1558" s="42"/>
      <c r="Q1558" s="42"/>
      <c r="R1558" s="42"/>
      <c r="S1558" s="42"/>
      <c r="T1558" s="42"/>
      <c r="U1558" s="42"/>
    </row>
    <row r="1560" spans="2:23" ht="18.75" customHeight="1">
      <c r="B1560" s="43" t="s">
        <v>163</v>
      </c>
      <c r="C1560" s="51" t="s">
        <v>3469</v>
      </c>
      <c r="D1560" s="88"/>
      <c r="W1560" s="35" t="str">
        <f>"-- "&amp;B1560&amp;" : "&amp;C1560</f>
        <v>-- SQL_ID : 01_C4-35</v>
      </c>
    </row>
    <row r="1561" spans="2:23" ht="18.75" customHeight="1">
      <c r="B1561" s="43" t="s">
        <v>158</v>
      </c>
      <c r="C1561" s="147" t="str">
        <f>R1564&amp;"登録"</f>
        <v>バックアップ_検歴情報モジュール_検歴項目情報登録</v>
      </c>
      <c r="D1561" s="148"/>
      <c r="E1561" s="148"/>
      <c r="F1561" s="148"/>
      <c r="G1561" s="148"/>
      <c r="H1561" s="148"/>
      <c r="I1561" s="148"/>
      <c r="J1561" s="148"/>
      <c r="K1561" s="148"/>
      <c r="L1561" s="148"/>
      <c r="M1561" s="148"/>
      <c r="N1561" s="148"/>
      <c r="O1561" s="148"/>
      <c r="P1561" s="148"/>
      <c r="Q1561" s="148"/>
      <c r="R1561" s="148"/>
      <c r="S1561" s="148"/>
      <c r="T1561" s="148"/>
      <c r="U1561" s="149"/>
      <c r="W1561" s="35" t="str">
        <f>"-- "&amp;C1561</f>
        <v>-- バックアップ_検歴情報モジュール_検歴項目情報登録</v>
      </c>
    </row>
    <row r="1562" spans="2:23" ht="18.75" customHeight="1">
      <c r="B1562" s="43" t="s">
        <v>159</v>
      </c>
      <c r="C1562" s="136" t="str">
        <f>C1564&amp;"テーブルから組入れ条件の第一条件で絞り込んだ結果を"&amp;R1564&amp;"テーブルに格納する。"</f>
        <v>検歴情報モジュール_検歴項目情報_結合テーブルから組入れ条件の第一条件で絞り込んだ結果をバックアップ_検歴情報モジュール_検歴項目情報テーブルに格納する。</v>
      </c>
      <c r="D1562" s="137"/>
      <c r="E1562" s="137"/>
      <c r="F1562" s="137"/>
      <c r="G1562" s="137"/>
      <c r="H1562" s="137"/>
      <c r="I1562" s="137"/>
      <c r="J1562" s="137"/>
      <c r="K1562" s="137"/>
      <c r="L1562" s="137"/>
      <c r="M1562" s="137"/>
      <c r="N1562" s="137"/>
      <c r="O1562" s="137"/>
      <c r="P1562" s="137"/>
      <c r="Q1562" s="137"/>
      <c r="R1562" s="137"/>
      <c r="S1562" s="137"/>
      <c r="T1562" s="137"/>
      <c r="U1562" s="138"/>
      <c r="W1562" s="35" t="str">
        <f>"-- "&amp;C1562</f>
        <v>-- 検歴情報モジュール_検歴項目情報_結合テーブルから組入れ条件の第一条件で絞り込んだ結果をバックアップ_検歴情報モジュール_検歴項目情報テーブルに格納する。</v>
      </c>
    </row>
    <row r="1564" spans="2:23" ht="18.75" customHeight="1">
      <c r="C1564" s="139" t="s">
        <v>3470</v>
      </c>
      <c r="D1564" s="140"/>
      <c r="E1564" s="143" t="s">
        <v>162</v>
      </c>
      <c r="H1564" s="36"/>
      <c r="I1564" s="36"/>
      <c r="J1564" s="36"/>
      <c r="K1564" s="36"/>
      <c r="L1564" s="36"/>
      <c r="M1564" s="36"/>
      <c r="N1564" s="36"/>
      <c r="O1564" s="36"/>
      <c r="P1564" s="36"/>
      <c r="Q1564" s="36"/>
      <c r="R1564" s="139" t="str">
        <f>"バックアップ_"&amp;SUBSTITUTE(C1564,"_結合","")</f>
        <v>バックアップ_検歴情報モジュール_検歴項目情報</v>
      </c>
      <c r="S1564" s="140"/>
      <c r="T1564" s="145" t="str">
        <f>エンティティ一覧!$O$2</f>
        <v>milscm_2023_009</v>
      </c>
    </row>
    <row r="1565" spans="2:23" ht="18.75" customHeight="1">
      <c r="C1565" s="141"/>
      <c r="D1565" s="142"/>
      <c r="E1565" s="144"/>
      <c r="F1565" s="37"/>
      <c r="G1565" s="38"/>
      <c r="H1565" s="37"/>
      <c r="I1565" s="37"/>
      <c r="J1565" s="37"/>
      <c r="K1565" s="37"/>
      <c r="L1565" s="37"/>
      <c r="M1565" s="37"/>
      <c r="N1565" s="37"/>
      <c r="O1565" s="37"/>
      <c r="P1565" s="37"/>
      <c r="Q1565" s="37"/>
      <c r="R1565" s="141"/>
      <c r="S1565" s="142"/>
      <c r="T1565" s="146"/>
    </row>
    <row r="1566" spans="2:23" ht="18.75" customHeight="1">
      <c r="F1566" s="39"/>
      <c r="G1566" s="40"/>
    </row>
    <row r="1567" spans="2:23" ht="18.75" customHeight="1">
      <c r="C1567" s="139" t="s">
        <v>3181</v>
      </c>
      <c r="D1567" s="140"/>
      <c r="E1567" s="145" t="str">
        <f>エンティティ一覧!$O$2</f>
        <v>milscm_2023_009</v>
      </c>
      <c r="G1567" s="41"/>
    </row>
    <row r="1568" spans="2:23" ht="18.75" customHeight="1">
      <c r="C1568" s="141"/>
      <c r="D1568" s="142"/>
      <c r="E1568" s="146"/>
      <c r="F1568" s="37"/>
    </row>
    <row r="1570" spans="2:23" ht="18.75" customHeight="1" thickBot="1">
      <c r="B1570" s="42"/>
      <c r="C1570" s="42"/>
      <c r="D1570" s="42"/>
      <c r="E1570" s="42"/>
      <c r="F1570" s="42"/>
      <c r="G1570" s="42"/>
      <c r="H1570" s="42"/>
      <c r="I1570" s="42"/>
      <c r="J1570" s="42"/>
      <c r="K1570" s="42"/>
      <c r="L1570" s="42"/>
      <c r="M1570" s="42"/>
      <c r="N1570" s="42"/>
      <c r="O1570" s="42"/>
      <c r="P1570" s="42"/>
      <c r="Q1570" s="42"/>
      <c r="R1570" s="42"/>
      <c r="S1570" s="42"/>
      <c r="T1570" s="42"/>
      <c r="U1570" s="42"/>
    </row>
    <row r="1572" spans="2:23" ht="18.75" customHeight="1">
      <c r="B1572" s="43" t="s">
        <v>163</v>
      </c>
      <c r="C1572" s="51" t="s">
        <v>3471</v>
      </c>
      <c r="D1572" s="88"/>
      <c r="W1572" s="35" t="str">
        <f>"-- "&amp;B1572&amp;" : "&amp;C1572</f>
        <v>-- SQL_ID : 01_C4-37</v>
      </c>
    </row>
    <row r="1573" spans="2:23" ht="18.75" customHeight="1">
      <c r="B1573" s="43" t="s">
        <v>158</v>
      </c>
      <c r="C1573" s="147" t="str">
        <f>R1576&amp;"登録"</f>
        <v>バックアップ_バイタルサインモジュール_バイタルサイン登録</v>
      </c>
      <c r="D1573" s="148"/>
      <c r="E1573" s="148"/>
      <c r="F1573" s="148"/>
      <c r="G1573" s="148"/>
      <c r="H1573" s="148"/>
      <c r="I1573" s="148"/>
      <c r="J1573" s="148"/>
      <c r="K1573" s="148"/>
      <c r="L1573" s="148"/>
      <c r="M1573" s="148"/>
      <c r="N1573" s="148"/>
      <c r="O1573" s="148"/>
      <c r="P1573" s="148"/>
      <c r="Q1573" s="148"/>
      <c r="R1573" s="148"/>
      <c r="S1573" s="148"/>
      <c r="T1573" s="148"/>
      <c r="U1573" s="149"/>
      <c r="W1573" s="35" t="str">
        <f>"-- "&amp;C1573</f>
        <v>-- バックアップ_バイタルサインモジュール_バイタルサイン登録</v>
      </c>
    </row>
    <row r="1574" spans="2:23" ht="18.75" customHeight="1">
      <c r="B1574" s="43" t="s">
        <v>159</v>
      </c>
      <c r="C1574" s="136" t="str">
        <f>C1576&amp;"テーブルから組入れ条件の第一条件で絞り込んだ結果を"&amp;R1576&amp;"テーブルに格納する。"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4" s="137"/>
      <c r="E1574" s="137"/>
      <c r="F1574" s="137"/>
      <c r="G1574" s="137"/>
      <c r="H1574" s="137"/>
      <c r="I1574" s="137"/>
      <c r="J1574" s="137"/>
      <c r="K1574" s="137"/>
      <c r="L1574" s="137"/>
      <c r="M1574" s="137"/>
      <c r="N1574" s="137"/>
      <c r="O1574" s="137"/>
      <c r="P1574" s="137"/>
      <c r="Q1574" s="137"/>
      <c r="R1574" s="137"/>
      <c r="S1574" s="137"/>
      <c r="T1574" s="137"/>
      <c r="U1574" s="138"/>
      <c r="W1574" s="35" t="str">
        <f>"-- "&amp;C1574</f>
        <v>-- バイタルサインモジュール_バイタルサイン_結合テーブルから組入れ条件の第一条件で絞り込んだ結果をバックアップ_バイタルサインモジュール_バイタルサインテーブルに格納する。</v>
      </c>
    </row>
    <row r="1576" spans="2:23" ht="18.75" customHeight="1">
      <c r="C1576" s="139" t="s">
        <v>3472</v>
      </c>
      <c r="D1576" s="140"/>
      <c r="E1576" s="143" t="s">
        <v>162</v>
      </c>
      <c r="H1576" s="36"/>
      <c r="I1576" s="36"/>
      <c r="J1576" s="36"/>
      <c r="K1576" s="36"/>
      <c r="L1576" s="36"/>
      <c r="M1576" s="36"/>
      <c r="N1576" s="36"/>
      <c r="O1576" s="36"/>
      <c r="P1576" s="36"/>
      <c r="Q1576" s="36"/>
      <c r="R1576" s="150" t="str">
        <f>"バックアップ_"&amp;SUBSTITUTE(C1576,"_結合","")</f>
        <v>バックアップ_バイタルサインモジュール_バイタルサイン</v>
      </c>
      <c r="S1576" s="151"/>
      <c r="T1576" s="145" t="str">
        <f>エンティティ一覧!$O$2</f>
        <v>milscm_2023_009</v>
      </c>
    </row>
    <row r="1577" spans="2:23" ht="18.75" customHeight="1">
      <c r="C1577" s="141"/>
      <c r="D1577" s="142"/>
      <c r="E1577" s="144"/>
      <c r="F1577" s="37"/>
      <c r="G1577" s="38"/>
      <c r="H1577" s="37"/>
      <c r="I1577" s="37"/>
      <c r="J1577" s="37"/>
      <c r="K1577" s="37"/>
      <c r="L1577" s="37"/>
      <c r="M1577" s="37"/>
      <c r="N1577" s="37"/>
      <c r="O1577" s="37"/>
      <c r="P1577" s="37"/>
      <c r="Q1577" s="37"/>
      <c r="R1577" s="152"/>
      <c r="S1577" s="153"/>
      <c r="T1577" s="146"/>
    </row>
    <row r="1578" spans="2:23" ht="18.75" customHeight="1">
      <c r="F1578" s="39"/>
      <c r="G1578" s="40"/>
    </row>
    <row r="1579" spans="2:23" ht="18.75" customHeight="1">
      <c r="C1579" s="139" t="s">
        <v>3181</v>
      </c>
      <c r="D1579" s="140"/>
      <c r="E1579" s="145" t="str">
        <f>エンティティ一覧!$O$2</f>
        <v>milscm_2023_009</v>
      </c>
      <c r="G1579" s="41"/>
    </row>
    <row r="1580" spans="2:23" ht="18.75" customHeight="1">
      <c r="C1580" s="141"/>
      <c r="D1580" s="142"/>
      <c r="E1580" s="146"/>
      <c r="F1580" s="37"/>
    </row>
    <row r="1582" spans="2:23" ht="18.75" customHeight="1" thickBot="1">
      <c r="B1582" s="42"/>
      <c r="C1582" s="42"/>
      <c r="D1582" s="42"/>
      <c r="E1582" s="42"/>
      <c r="F1582" s="42"/>
      <c r="G1582" s="42"/>
      <c r="H1582" s="42"/>
      <c r="I1582" s="42"/>
      <c r="J1582" s="42"/>
      <c r="K1582" s="42"/>
      <c r="L1582" s="42"/>
      <c r="M1582" s="42"/>
      <c r="N1582" s="42"/>
      <c r="O1582" s="42"/>
      <c r="P1582" s="42"/>
      <c r="Q1582" s="42"/>
      <c r="R1582" s="42"/>
      <c r="S1582" s="42"/>
      <c r="T1582" s="42"/>
      <c r="U1582" s="42"/>
    </row>
    <row r="1584" spans="2:23" ht="18.75" customHeight="1">
      <c r="B1584" s="43" t="s">
        <v>163</v>
      </c>
      <c r="C1584" s="51" t="s">
        <v>3473</v>
      </c>
      <c r="D1584" s="88"/>
      <c r="W1584" s="35" t="str">
        <f>"-- "&amp;B1584&amp;" : "&amp;C1584</f>
        <v>-- SQL_ID : 01_C4-38</v>
      </c>
    </row>
    <row r="1585" spans="2:23" ht="18.75" customHeight="1">
      <c r="B1585" s="43" t="s">
        <v>158</v>
      </c>
      <c r="C1585" s="147" t="str">
        <f>R1588&amp;"登録"</f>
        <v>バックアップ_バイタルサインモジュール_記録項目登録</v>
      </c>
      <c r="D1585" s="148"/>
      <c r="E1585" s="148"/>
      <c r="F1585" s="148"/>
      <c r="G1585" s="148"/>
      <c r="H1585" s="148"/>
      <c r="I1585" s="148"/>
      <c r="J1585" s="148"/>
      <c r="K1585" s="148"/>
      <c r="L1585" s="148"/>
      <c r="M1585" s="148"/>
      <c r="N1585" s="148"/>
      <c r="O1585" s="148"/>
      <c r="P1585" s="148"/>
      <c r="Q1585" s="148"/>
      <c r="R1585" s="148"/>
      <c r="S1585" s="148"/>
      <c r="T1585" s="148"/>
      <c r="U1585" s="149"/>
      <c r="W1585" s="35" t="str">
        <f>"-- "&amp;C1585</f>
        <v>-- バックアップ_バイタルサインモジュール_記録項目登録</v>
      </c>
    </row>
    <row r="1586" spans="2:23" ht="18.75" customHeight="1">
      <c r="B1586" s="43" t="s">
        <v>159</v>
      </c>
      <c r="C1586" s="136" t="str">
        <f>C1588&amp;"テーブルから組入れ条件の第一条件で絞り込んだ結果を"&amp;R1588&amp;"テーブルに格納する。"</f>
        <v>バイタルサインモジュール_記録項目_結合テーブルから組入れ条件の第一条件で絞り込んだ結果をバックアップ_バイタルサインモジュール_記録項目テーブルに格納する。</v>
      </c>
      <c r="D1586" s="137"/>
      <c r="E1586" s="137"/>
      <c r="F1586" s="137"/>
      <c r="G1586" s="137"/>
      <c r="H1586" s="137"/>
      <c r="I1586" s="137"/>
      <c r="J1586" s="137"/>
      <c r="K1586" s="137"/>
      <c r="L1586" s="137"/>
      <c r="M1586" s="137"/>
      <c r="N1586" s="137"/>
      <c r="O1586" s="137"/>
      <c r="P1586" s="137"/>
      <c r="Q1586" s="137"/>
      <c r="R1586" s="137"/>
      <c r="S1586" s="137"/>
      <c r="T1586" s="137"/>
      <c r="U1586" s="138"/>
      <c r="W1586" s="35" t="str">
        <f>"-- "&amp;C1586</f>
        <v>-- バイタルサインモジュール_記録項目_結合テーブルから組入れ条件の第一条件で絞り込んだ結果をバックアップ_バイタルサインモジュール_記録項目テーブルに格納する。</v>
      </c>
    </row>
    <row r="1588" spans="2:23" ht="18.75" customHeight="1">
      <c r="C1588" s="139" t="s">
        <v>3474</v>
      </c>
      <c r="D1588" s="140"/>
      <c r="E1588" s="143" t="s">
        <v>162</v>
      </c>
      <c r="H1588" s="36"/>
      <c r="I1588" s="36"/>
      <c r="J1588" s="36"/>
      <c r="K1588" s="36"/>
      <c r="L1588" s="36"/>
      <c r="M1588" s="36"/>
      <c r="N1588" s="36"/>
      <c r="O1588" s="36"/>
      <c r="P1588" s="36"/>
      <c r="Q1588" s="36"/>
      <c r="R1588" s="150" t="str">
        <f>"バックアップ_"&amp;SUBSTITUTE(C1588,"_結合","")</f>
        <v>バックアップ_バイタルサインモジュール_記録項目</v>
      </c>
      <c r="S1588" s="151"/>
      <c r="T1588" s="145" t="str">
        <f>エンティティ一覧!$O$2</f>
        <v>milscm_2023_009</v>
      </c>
    </row>
    <row r="1589" spans="2:23" ht="18.75" customHeight="1">
      <c r="C1589" s="141"/>
      <c r="D1589" s="142"/>
      <c r="E1589" s="144"/>
      <c r="F1589" s="37"/>
      <c r="G1589" s="38"/>
      <c r="H1589" s="37"/>
      <c r="I1589" s="37"/>
      <c r="J1589" s="37"/>
      <c r="K1589" s="37"/>
      <c r="L1589" s="37"/>
      <c r="M1589" s="37"/>
      <c r="N1589" s="37"/>
      <c r="O1589" s="37"/>
      <c r="P1589" s="37"/>
      <c r="Q1589" s="37"/>
      <c r="R1589" s="152"/>
      <c r="S1589" s="153"/>
      <c r="T1589" s="146"/>
    </row>
    <row r="1590" spans="2:23" ht="18.75" customHeight="1">
      <c r="F1590" s="39"/>
      <c r="G1590" s="40"/>
    </row>
    <row r="1591" spans="2:23" ht="18.75" customHeight="1">
      <c r="C1591" s="139" t="s">
        <v>3181</v>
      </c>
      <c r="D1591" s="140"/>
      <c r="E1591" s="145" t="str">
        <f>エンティティ一覧!$O$2</f>
        <v>milscm_2023_009</v>
      </c>
      <c r="G1591" s="41"/>
    </row>
    <row r="1592" spans="2:23" ht="18.75" customHeight="1">
      <c r="C1592" s="141"/>
      <c r="D1592" s="142"/>
      <c r="E1592" s="146"/>
      <c r="F1592" s="37"/>
    </row>
    <row r="1594" spans="2:23" ht="18.75" customHeight="1" thickBot="1">
      <c r="B1594" s="42"/>
      <c r="C1594" s="42"/>
      <c r="D1594" s="42"/>
      <c r="E1594" s="42"/>
      <c r="F1594" s="42"/>
      <c r="G1594" s="42"/>
      <c r="H1594" s="42"/>
      <c r="I1594" s="42"/>
      <c r="J1594" s="42"/>
      <c r="K1594" s="42"/>
      <c r="L1594" s="42"/>
      <c r="M1594" s="42"/>
      <c r="N1594" s="42"/>
      <c r="O1594" s="42"/>
      <c r="P1594" s="42"/>
      <c r="Q1594" s="42"/>
      <c r="R1594" s="42"/>
      <c r="S1594" s="42"/>
      <c r="T1594" s="42"/>
      <c r="U1594" s="42"/>
    </row>
    <row r="1596" spans="2:23" ht="18.75" customHeight="1">
      <c r="B1596" s="43" t="s">
        <v>163</v>
      </c>
      <c r="C1596" s="51" t="s">
        <v>3475</v>
      </c>
      <c r="D1596" s="88"/>
      <c r="W1596" s="35" t="str">
        <f>"-- "&amp;B1596&amp;" : "&amp;C1596</f>
        <v>-- SQL_ID : 01_C4-40</v>
      </c>
    </row>
    <row r="1597" spans="2:23" ht="18.75" customHeight="1">
      <c r="B1597" s="43" t="s">
        <v>158</v>
      </c>
      <c r="C1597" s="147" t="str">
        <f>R1600&amp;"登録"</f>
        <v>バックアップ_体温表モジュール_バイタルサイン登録</v>
      </c>
      <c r="D1597" s="148"/>
      <c r="E1597" s="148"/>
      <c r="F1597" s="148"/>
      <c r="G1597" s="148"/>
      <c r="H1597" s="148"/>
      <c r="I1597" s="148"/>
      <c r="J1597" s="148"/>
      <c r="K1597" s="148"/>
      <c r="L1597" s="148"/>
      <c r="M1597" s="148"/>
      <c r="N1597" s="148"/>
      <c r="O1597" s="148"/>
      <c r="P1597" s="148"/>
      <c r="Q1597" s="148"/>
      <c r="R1597" s="148"/>
      <c r="S1597" s="148"/>
      <c r="T1597" s="148"/>
      <c r="U1597" s="149"/>
      <c r="W1597" s="35" t="str">
        <f>"-- "&amp;C1597</f>
        <v>-- バックアップ_体温表モジュール_バイタルサイン登録</v>
      </c>
    </row>
    <row r="1598" spans="2:23" ht="18.75" customHeight="1">
      <c r="B1598" s="43" t="s">
        <v>159</v>
      </c>
      <c r="C1598" s="136" t="str">
        <f>C1600&amp;"テーブルから組入れ条件の第一条件で絞り込んだ結果を"&amp;R1600&amp;"テーブルに格納する。"</f>
        <v>体温表モジュール_バイタルサイン_結合テーブルから組入れ条件の第一条件で絞り込んだ結果をバックアップ_体温表モジュール_バイタルサインテーブルに格納する。</v>
      </c>
      <c r="D1598" s="137"/>
      <c r="E1598" s="137"/>
      <c r="F1598" s="137"/>
      <c r="G1598" s="137"/>
      <c r="H1598" s="137"/>
      <c r="I1598" s="137"/>
      <c r="J1598" s="137"/>
      <c r="K1598" s="137"/>
      <c r="L1598" s="137"/>
      <c r="M1598" s="137"/>
      <c r="N1598" s="137"/>
      <c r="O1598" s="137"/>
      <c r="P1598" s="137"/>
      <c r="Q1598" s="137"/>
      <c r="R1598" s="137"/>
      <c r="S1598" s="137"/>
      <c r="T1598" s="137"/>
      <c r="U1598" s="138"/>
      <c r="W1598" s="35" t="str">
        <f>"-- "&amp;C1598</f>
        <v>-- 体温表モジュール_バイタルサイン_結合テーブルから組入れ条件の第一条件で絞り込んだ結果をバックアップ_体温表モジュール_バイタルサインテーブルに格納する。</v>
      </c>
    </row>
    <row r="1600" spans="2:23" ht="18.75" customHeight="1">
      <c r="C1600" s="139" t="s">
        <v>3476</v>
      </c>
      <c r="D1600" s="140"/>
      <c r="E1600" s="143" t="s">
        <v>162</v>
      </c>
      <c r="H1600" s="36"/>
      <c r="I1600" s="36"/>
      <c r="J1600" s="36"/>
      <c r="K1600" s="36"/>
      <c r="L1600" s="36"/>
      <c r="M1600" s="36"/>
      <c r="N1600" s="36"/>
      <c r="O1600" s="36"/>
      <c r="P1600" s="36"/>
      <c r="Q1600" s="36"/>
      <c r="R1600" s="150" t="str">
        <f>"バックアップ_"&amp;SUBSTITUTE(C1600,"_結合","")</f>
        <v>バックアップ_体温表モジュール_バイタルサイン</v>
      </c>
      <c r="S1600" s="151"/>
      <c r="T1600" s="145" t="str">
        <f>エンティティ一覧!$O$2</f>
        <v>milscm_2023_009</v>
      </c>
    </row>
    <row r="1601" spans="2:23" ht="18.75" customHeight="1">
      <c r="C1601" s="141"/>
      <c r="D1601" s="142"/>
      <c r="E1601" s="144"/>
      <c r="F1601" s="37"/>
      <c r="G1601" s="38"/>
      <c r="H1601" s="37"/>
      <c r="I1601" s="37"/>
      <c r="J1601" s="37"/>
      <c r="K1601" s="37"/>
      <c r="L1601" s="37"/>
      <c r="M1601" s="37"/>
      <c r="N1601" s="37"/>
      <c r="O1601" s="37"/>
      <c r="P1601" s="37"/>
      <c r="Q1601" s="37"/>
      <c r="R1601" s="152"/>
      <c r="S1601" s="153"/>
      <c r="T1601" s="146"/>
    </row>
    <row r="1602" spans="2:23" ht="18.75" customHeight="1">
      <c r="F1602" s="39"/>
      <c r="G1602" s="40"/>
    </row>
    <row r="1603" spans="2:23" ht="18.75" customHeight="1">
      <c r="C1603" s="139" t="s">
        <v>3181</v>
      </c>
      <c r="D1603" s="140"/>
      <c r="E1603" s="145" t="str">
        <f>エンティティ一覧!$O$2</f>
        <v>milscm_2023_009</v>
      </c>
      <c r="G1603" s="41"/>
    </row>
    <row r="1604" spans="2:23" ht="18.75" customHeight="1">
      <c r="C1604" s="141"/>
      <c r="D1604" s="142"/>
      <c r="E1604" s="146"/>
      <c r="F1604" s="37"/>
    </row>
    <row r="1606" spans="2:23" ht="18.75" customHeight="1" thickBot="1">
      <c r="B1606" s="42"/>
      <c r="C1606" s="42"/>
      <c r="D1606" s="42"/>
      <c r="E1606" s="42"/>
      <c r="F1606" s="42"/>
      <c r="G1606" s="42"/>
      <c r="H1606" s="42"/>
      <c r="I1606" s="42"/>
      <c r="J1606" s="42"/>
      <c r="K1606" s="42"/>
      <c r="L1606" s="42"/>
      <c r="M1606" s="42"/>
      <c r="N1606" s="42"/>
      <c r="O1606" s="42"/>
      <c r="P1606" s="42"/>
      <c r="Q1606" s="42"/>
      <c r="R1606" s="42"/>
      <c r="S1606" s="42"/>
      <c r="T1606" s="42"/>
      <c r="U1606" s="42"/>
    </row>
    <row r="1608" spans="2:23" ht="18.75" customHeight="1">
      <c r="B1608" s="43" t="s">
        <v>163</v>
      </c>
      <c r="C1608" s="51" t="s">
        <v>3477</v>
      </c>
      <c r="D1608" s="88"/>
      <c r="W1608" s="35" t="str">
        <f>"-- "&amp;B1608&amp;" : "&amp;C1608</f>
        <v>-- SQL_ID : 01_C4-41</v>
      </c>
    </row>
    <row r="1609" spans="2:23" ht="18.75" customHeight="1">
      <c r="B1609" s="43" t="s">
        <v>158</v>
      </c>
      <c r="C1609" s="147" t="str">
        <f>R1612&amp;"登録"</f>
        <v>バックアップ_体温表モジュール_記録項目登録</v>
      </c>
      <c r="D1609" s="148"/>
      <c r="E1609" s="148"/>
      <c r="F1609" s="148"/>
      <c r="G1609" s="148"/>
      <c r="H1609" s="148"/>
      <c r="I1609" s="148"/>
      <c r="J1609" s="148"/>
      <c r="K1609" s="148"/>
      <c r="L1609" s="148"/>
      <c r="M1609" s="148"/>
      <c r="N1609" s="148"/>
      <c r="O1609" s="148"/>
      <c r="P1609" s="148"/>
      <c r="Q1609" s="148"/>
      <c r="R1609" s="148"/>
      <c r="S1609" s="148"/>
      <c r="T1609" s="148"/>
      <c r="U1609" s="149"/>
      <c r="W1609" s="35" t="str">
        <f>"-- "&amp;C1609</f>
        <v>-- バックアップ_体温表モジュール_記録項目登録</v>
      </c>
    </row>
    <row r="1610" spans="2:23" ht="18.75" customHeight="1">
      <c r="B1610" s="43" t="s">
        <v>159</v>
      </c>
      <c r="C1610" s="136" t="str">
        <f>C1612&amp;"テーブルから組入れ条件の第一条件で絞り込んだ結果を"&amp;R1612&amp;"テーブルに格納する。"</f>
        <v>体温表モジュール_記録項目_結合テーブルから組入れ条件の第一条件で絞り込んだ結果をバックアップ_体温表モジュール_記録項目テーブルに格納する。</v>
      </c>
      <c r="D1610" s="137"/>
      <c r="E1610" s="137"/>
      <c r="F1610" s="137"/>
      <c r="G1610" s="137"/>
      <c r="H1610" s="137"/>
      <c r="I1610" s="137"/>
      <c r="J1610" s="137"/>
      <c r="K1610" s="137"/>
      <c r="L1610" s="137"/>
      <c r="M1610" s="137"/>
      <c r="N1610" s="137"/>
      <c r="O1610" s="137"/>
      <c r="P1610" s="137"/>
      <c r="Q1610" s="137"/>
      <c r="R1610" s="137"/>
      <c r="S1610" s="137"/>
      <c r="T1610" s="137"/>
      <c r="U1610" s="138"/>
      <c r="W1610" s="35" t="str">
        <f>"-- "&amp;C1610</f>
        <v>-- 体温表モジュール_記録項目_結合テーブルから組入れ条件の第一条件で絞り込んだ結果をバックアップ_体温表モジュール_記録項目テーブルに格納する。</v>
      </c>
    </row>
    <row r="1612" spans="2:23" ht="18.75" customHeight="1">
      <c r="C1612" s="139" t="s">
        <v>3478</v>
      </c>
      <c r="D1612" s="140"/>
      <c r="E1612" s="143" t="s">
        <v>162</v>
      </c>
      <c r="H1612" s="36"/>
      <c r="I1612" s="36"/>
      <c r="J1612" s="36"/>
      <c r="K1612" s="36"/>
      <c r="L1612" s="36"/>
      <c r="M1612" s="36"/>
      <c r="N1612" s="36"/>
      <c r="O1612" s="36"/>
      <c r="P1612" s="36"/>
      <c r="Q1612" s="36"/>
      <c r="R1612" s="150" t="str">
        <f>"バックアップ_"&amp;SUBSTITUTE(C1612,"_結合","")</f>
        <v>バックアップ_体温表モジュール_記録項目</v>
      </c>
      <c r="S1612" s="151"/>
      <c r="T1612" s="145" t="str">
        <f>エンティティ一覧!$O$2</f>
        <v>milscm_2023_009</v>
      </c>
    </row>
    <row r="1613" spans="2:23" ht="18.75" customHeight="1">
      <c r="C1613" s="141"/>
      <c r="D1613" s="142"/>
      <c r="E1613" s="144"/>
      <c r="F1613" s="37"/>
      <c r="G1613" s="38"/>
      <c r="H1613" s="37"/>
      <c r="I1613" s="37"/>
      <c r="J1613" s="37"/>
      <c r="K1613" s="37"/>
      <c r="L1613" s="37"/>
      <c r="M1613" s="37"/>
      <c r="N1613" s="37"/>
      <c r="O1613" s="37"/>
      <c r="P1613" s="37"/>
      <c r="Q1613" s="37"/>
      <c r="R1613" s="152"/>
      <c r="S1613" s="153"/>
      <c r="T1613" s="146"/>
    </row>
    <row r="1614" spans="2:23" ht="18.75" customHeight="1">
      <c r="F1614" s="39"/>
      <c r="G1614" s="40"/>
    </row>
    <row r="1615" spans="2:23" ht="18.75" customHeight="1">
      <c r="C1615" s="139" t="s">
        <v>3181</v>
      </c>
      <c r="D1615" s="140"/>
      <c r="E1615" s="145" t="str">
        <f>エンティティ一覧!$O$2</f>
        <v>milscm_2023_009</v>
      </c>
      <c r="G1615" s="41"/>
    </row>
    <row r="1616" spans="2:23" ht="18.75" customHeight="1">
      <c r="C1616" s="141"/>
      <c r="D1616" s="142"/>
      <c r="E1616" s="146"/>
      <c r="F1616" s="37"/>
    </row>
    <row r="1618" spans="2:21" ht="18.75" customHeight="1" thickBot="1">
      <c r="B1618" s="42"/>
      <c r="C1618" s="42"/>
      <c r="D1618" s="42"/>
      <c r="E1618" s="42"/>
      <c r="F1618" s="42"/>
      <c r="G1618" s="42"/>
      <c r="H1618" s="42"/>
      <c r="I1618" s="42"/>
      <c r="J1618" s="42"/>
      <c r="K1618" s="42"/>
      <c r="L1618" s="42"/>
      <c r="M1618" s="42"/>
      <c r="N1618" s="42"/>
      <c r="O1618" s="42"/>
      <c r="P1618" s="42"/>
      <c r="Q1618" s="42"/>
      <c r="R1618" s="42"/>
      <c r="S1618" s="42"/>
      <c r="T1618" s="42"/>
      <c r="U1618" s="42"/>
    </row>
  </sheetData>
  <mergeCells count="1076">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 ref="R1108:S1109"/>
    <mergeCell ref="T1108:T1109"/>
    <mergeCell ref="C1081:U1081"/>
    <mergeCell ref="C1082:U1082"/>
    <mergeCell ref="C1069:U1069"/>
    <mergeCell ref="C1070:U1070"/>
    <mergeCell ref="C1072:D1073"/>
    <mergeCell ref="E1072:E1073"/>
    <mergeCell ref="R1072:S1073"/>
    <mergeCell ref="T1072:T1073"/>
    <mergeCell ref="C1075:D1076"/>
    <mergeCell ref="E1075:E1076"/>
    <mergeCell ref="R1096:S1097"/>
    <mergeCell ref="T1096:T1097"/>
    <mergeCell ref="C1105:U1105"/>
    <mergeCell ref="C1106:U1106"/>
    <mergeCell ref="C1099:D1100"/>
    <mergeCell ref="E1099:E1100"/>
    <mergeCell ref="C1093:U1093"/>
    <mergeCell ref="C1094:U1094"/>
    <mergeCell ref="C1096:D1097"/>
    <mergeCell ref="E1096:E1097"/>
    <mergeCell ref="C1084:D1085"/>
    <mergeCell ref="E1084:E1085"/>
    <mergeCell ref="R1084:S1085"/>
    <mergeCell ref="T1084:T1085"/>
    <mergeCell ref="C1087:D1088"/>
    <mergeCell ref="E1087:E1088"/>
    <mergeCell ref="C1108:D1109"/>
    <mergeCell ref="E1108:E1109"/>
    <mergeCell ref="C1147:D1148"/>
    <mergeCell ref="E1147:E1148"/>
    <mergeCell ref="C1111:D1112"/>
    <mergeCell ref="E1111:E1112"/>
    <mergeCell ref="C1123:D1124"/>
    <mergeCell ref="E1123:E1124"/>
    <mergeCell ref="C1135:D1136"/>
    <mergeCell ref="E1135:E1136"/>
    <mergeCell ref="C1141:U1141"/>
    <mergeCell ref="C1142:U1142"/>
    <mergeCell ref="C1144:D1145"/>
    <mergeCell ref="E1144:E1145"/>
    <mergeCell ref="R1144:S1145"/>
    <mergeCell ref="T1144:T1145"/>
    <mergeCell ref="C1132:D1133"/>
    <mergeCell ref="E1132:E1133"/>
    <mergeCell ref="R1132:S1133"/>
    <mergeCell ref="T1132:T1133"/>
    <mergeCell ref="C1117:U1117"/>
    <mergeCell ref="C1118:U1118"/>
    <mergeCell ref="C1120:D1121"/>
    <mergeCell ref="E1120:E1121"/>
    <mergeCell ref="R1120:S1121"/>
    <mergeCell ref="T1120:T1121"/>
    <mergeCell ref="C1129:U1129"/>
    <mergeCell ref="C1130:U1130"/>
    <mergeCell ref="C1171:D1172"/>
    <mergeCell ref="E1171:E1172"/>
    <mergeCell ref="C1177:U1177"/>
    <mergeCell ref="C1178:U1178"/>
    <mergeCell ref="C1180:D1181"/>
    <mergeCell ref="E1180:E1181"/>
    <mergeCell ref="R1180:S1181"/>
    <mergeCell ref="T1180:T1181"/>
    <mergeCell ref="C1159:D1160"/>
    <mergeCell ref="E1159:E1160"/>
    <mergeCell ref="C1165:U1165"/>
    <mergeCell ref="C1166:U1166"/>
    <mergeCell ref="C1168:D1169"/>
    <mergeCell ref="E1168:E1169"/>
    <mergeCell ref="R1168:S1169"/>
    <mergeCell ref="T1168:T1169"/>
    <mergeCell ref="C1153:U1153"/>
    <mergeCell ref="C1154:U1154"/>
    <mergeCell ref="C1156:D1157"/>
    <mergeCell ref="E1156:E1157"/>
    <mergeCell ref="R1156:S1157"/>
    <mergeCell ref="T1156:T1157"/>
    <mergeCell ref="C1207:D1208"/>
    <mergeCell ref="E1207:E1208"/>
    <mergeCell ref="C1213:U1213"/>
    <mergeCell ref="C1214:U1214"/>
    <mergeCell ref="C1216:D1217"/>
    <mergeCell ref="E1216:E1217"/>
    <mergeCell ref="R1216:S1217"/>
    <mergeCell ref="T1216:T1217"/>
    <mergeCell ref="C1195:D1196"/>
    <mergeCell ref="E1195:E1196"/>
    <mergeCell ref="C1201:U1201"/>
    <mergeCell ref="C1202:U1202"/>
    <mergeCell ref="C1204:D1205"/>
    <mergeCell ref="E1204:E1205"/>
    <mergeCell ref="R1204:S1205"/>
    <mergeCell ref="T1204:T1205"/>
    <mergeCell ref="C1183:D1184"/>
    <mergeCell ref="E1183:E1184"/>
    <mergeCell ref="C1189:U1189"/>
    <mergeCell ref="C1190:U1190"/>
    <mergeCell ref="C1192:D1193"/>
    <mergeCell ref="E1192:E1193"/>
    <mergeCell ref="R1192:S1193"/>
    <mergeCell ref="T1192:T1193"/>
    <mergeCell ref="C1243:D1244"/>
    <mergeCell ref="E1243:E1244"/>
    <mergeCell ref="C1249:U1249"/>
    <mergeCell ref="C1250:U1250"/>
    <mergeCell ref="C1252:D1253"/>
    <mergeCell ref="E1252:E1253"/>
    <mergeCell ref="R1252:S1253"/>
    <mergeCell ref="T1252:T1253"/>
    <mergeCell ref="C1231:D1232"/>
    <mergeCell ref="E1231:E1232"/>
    <mergeCell ref="C1237:U1237"/>
    <mergeCell ref="C1238:U1238"/>
    <mergeCell ref="C1240:D1241"/>
    <mergeCell ref="E1240:E1241"/>
    <mergeCell ref="R1240:S1241"/>
    <mergeCell ref="T1240:T1241"/>
    <mergeCell ref="C1219:D1220"/>
    <mergeCell ref="E1219:E1220"/>
    <mergeCell ref="C1225:U1225"/>
    <mergeCell ref="C1226:U1226"/>
    <mergeCell ref="C1228:D1229"/>
    <mergeCell ref="E1228:E1229"/>
    <mergeCell ref="R1228:S1229"/>
    <mergeCell ref="T1228:T1229"/>
    <mergeCell ref="C1279:D1280"/>
    <mergeCell ref="E1279:E1280"/>
    <mergeCell ref="C1285:U1285"/>
    <mergeCell ref="C1286:U1286"/>
    <mergeCell ref="C1288:D1289"/>
    <mergeCell ref="E1288:E1289"/>
    <mergeCell ref="R1288:S1289"/>
    <mergeCell ref="T1288:T1289"/>
    <mergeCell ref="C1267:D1268"/>
    <mergeCell ref="E1267:E1268"/>
    <mergeCell ref="C1273:U1273"/>
    <mergeCell ref="C1274:U1274"/>
    <mergeCell ref="C1276:D1277"/>
    <mergeCell ref="E1276:E1277"/>
    <mergeCell ref="R1276:S1277"/>
    <mergeCell ref="T1276:T1277"/>
    <mergeCell ref="C1255:D1256"/>
    <mergeCell ref="E1255:E1256"/>
    <mergeCell ref="C1261:U1261"/>
    <mergeCell ref="C1262:U1262"/>
    <mergeCell ref="C1264:D1265"/>
    <mergeCell ref="E1264:E1265"/>
    <mergeCell ref="R1264:S1265"/>
    <mergeCell ref="T1264:T1265"/>
    <mergeCell ref="C1315:D1316"/>
    <mergeCell ref="E1315:E1316"/>
    <mergeCell ref="C1321:U1321"/>
    <mergeCell ref="C1322:U1322"/>
    <mergeCell ref="C1324:D1325"/>
    <mergeCell ref="E1324:E1325"/>
    <mergeCell ref="R1324:S1325"/>
    <mergeCell ref="T1324:T1325"/>
    <mergeCell ref="C1303:D1304"/>
    <mergeCell ref="E1303:E1304"/>
    <mergeCell ref="C1309:U1309"/>
    <mergeCell ref="C1310:U1310"/>
    <mergeCell ref="C1312:D1313"/>
    <mergeCell ref="E1312:E1313"/>
    <mergeCell ref="R1312:S1313"/>
    <mergeCell ref="T1312:T1313"/>
    <mergeCell ref="C1291:D1292"/>
    <mergeCell ref="E1291:E1292"/>
    <mergeCell ref="C1297:U1297"/>
    <mergeCell ref="C1298:U1298"/>
    <mergeCell ref="C1300:D1301"/>
    <mergeCell ref="E1300:E1301"/>
    <mergeCell ref="R1300:S1301"/>
    <mergeCell ref="T1300:T1301"/>
    <mergeCell ref="C1351:D1352"/>
    <mergeCell ref="E1351:E1352"/>
    <mergeCell ref="C1357:U1357"/>
    <mergeCell ref="C1358:U1358"/>
    <mergeCell ref="C1360:D1361"/>
    <mergeCell ref="E1360:E1361"/>
    <mergeCell ref="R1360:S1361"/>
    <mergeCell ref="T1360:T1361"/>
    <mergeCell ref="C1339:D1340"/>
    <mergeCell ref="E1339:E1340"/>
    <mergeCell ref="C1345:U1345"/>
    <mergeCell ref="C1346:U1346"/>
    <mergeCell ref="C1348:D1349"/>
    <mergeCell ref="E1348:E1349"/>
    <mergeCell ref="R1348:S1349"/>
    <mergeCell ref="T1348:T1349"/>
    <mergeCell ref="C1327:D1328"/>
    <mergeCell ref="E1327:E1328"/>
    <mergeCell ref="C1333:U1333"/>
    <mergeCell ref="C1334:U1334"/>
    <mergeCell ref="C1336:D1337"/>
    <mergeCell ref="E1336:E1337"/>
    <mergeCell ref="R1336:S1337"/>
    <mergeCell ref="T1336:T1337"/>
    <mergeCell ref="C1387:D1388"/>
    <mergeCell ref="E1387:E1388"/>
    <mergeCell ref="C1393:U1393"/>
    <mergeCell ref="C1394:U1394"/>
    <mergeCell ref="C1396:D1397"/>
    <mergeCell ref="E1396:E1397"/>
    <mergeCell ref="R1396:S1397"/>
    <mergeCell ref="T1396:T1397"/>
    <mergeCell ref="C1375:D1376"/>
    <mergeCell ref="E1375:E1376"/>
    <mergeCell ref="C1381:U1381"/>
    <mergeCell ref="C1382:U1382"/>
    <mergeCell ref="C1384:D1385"/>
    <mergeCell ref="E1384:E1385"/>
    <mergeCell ref="R1384:S1385"/>
    <mergeCell ref="T1384:T1385"/>
    <mergeCell ref="C1363:D1364"/>
    <mergeCell ref="E1363:E1364"/>
    <mergeCell ref="C1369:U1369"/>
    <mergeCell ref="C1370:U1370"/>
    <mergeCell ref="C1372:D1373"/>
    <mergeCell ref="E1372:E1373"/>
    <mergeCell ref="R1372:S1373"/>
    <mergeCell ref="T1372:T1373"/>
    <mergeCell ref="C1423:D1424"/>
    <mergeCell ref="E1423:E1424"/>
    <mergeCell ref="C1429:U1429"/>
    <mergeCell ref="C1430:U1430"/>
    <mergeCell ref="C1432:D1433"/>
    <mergeCell ref="E1432:E1433"/>
    <mergeCell ref="R1432:S1433"/>
    <mergeCell ref="T1432:T1433"/>
    <mergeCell ref="C1411:D1412"/>
    <mergeCell ref="E1411:E1412"/>
    <mergeCell ref="C1417:U1417"/>
    <mergeCell ref="C1418:U1418"/>
    <mergeCell ref="C1420:D1421"/>
    <mergeCell ref="E1420:E1421"/>
    <mergeCell ref="R1420:S1421"/>
    <mergeCell ref="T1420:T1421"/>
    <mergeCell ref="C1399:D1400"/>
    <mergeCell ref="E1399:E1400"/>
    <mergeCell ref="C1405:U1405"/>
    <mergeCell ref="C1406:U1406"/>
    <mergeCell ref="C1408:D1409"/>
    <mergeCell ref="E1408:E1409"/>
    <mergeCell ref="R1408:S1409"/>
    <mergeCell ref="T1408:T1409"/>
    <mergeCell ref="C1459:D1460"/>
    <mergeCell ref="E1459:E1460"/>
    <mergeCell ref="C1465:U1465"/>
    <mergeCell ref="C1466:U1466"/>
    <mergeCell ref="C1468:D1469"/>
    <mergeCell ref="E1468:E1469"/>
    <mergeCell ref="R1468:S1469"/>
    <mergeCell ref="T1468:T1469"/>
    <mergeCell ref="C1447:D1448"/>
    <mergeCell ref="E1447:E1448"/>
    <mergeCell ref="C1453:U1453"/>
    <mergeCell ref="C1454:U1454"/>
    <mergeCell ref="C1456:D1457"/>
    <mergeCell ref="E1456:E1457"/>
    <mergeCell ref="R1456:S1457"/>
    <mergeCell ref="T1456:T1457"/>
    <mergeCell ref="C1435:D1436"/>
    <mergeCell ref="E1435:E1436"/>
    <mergeCell ref="C1441:U1441"/>
    <mergeCell ref="C1442:U1442"/>
    <mergeCell ref="C1444:D1445"/>
    <mergeCell ref="E1444:E1445"/>
    <mergeCell ref="R1444:S1445"/>
    <mergeCell ref="T1444:T1445"/>
    <mergeCell ref="C1495:D1496"/>
    <mergeCell ref="E1495:E1496"/>
    <mergeCell ref="C1501:U1501"/>
    <mergeCell ref="C1502:U1502"/>
    <mergeCell ref="C1504:D1505"/>
    <mergeCell ref="E1504:E1505"/>
    <mergeCell ref="R1504:S1505"/>
    <mergeCell ref="T1504:T1505"/>
    <mergeCell ref="C1483:D1484"/>
    <mergeCell ref="E1483:E1484"/>
    <mergeCell ref="C1489:U1489"/>
    <mergeCell ref="C1490:U1490"/>
    <mergeCell ref="C1492:D1493"/>
    <mergeCell ref="E1492:E1493"/>
    <mergeCell ref="R1492:S1493"/>
    <mergeCell ref="T1492:T1493"/>
    <mergeCell ref="C1471:D1472"/>
    <mergeCell ref="E1471:E1472"/>
    <mergeCell ref="C1477:U1477"/>
    <mergeCell ref="C1478:U1478"/>
    <mergeCell ref="C1480:D1481"/>
    <mergeCell ref="E1480:E1481"/>
    <mergeCell ref="R1480:S1481"/>
    <mergeCell ref="T1480:T1481"/>
    <mergeCell ref="C1531:D1532"/>
    <mergeCell ref="E1531:E1532"/>
    <mergeCell ref="C1537:U1537"/>
    <mergeCell ref="C1538:U1538"/>
    <mergeCell ref="C1540:D1541"/>
    <mergeCell ref="E1540:E1541"/>
    <mergeCell ref="R1540:S1541"/>
    <mergeCell ref="T1540:T1541"/>
    <mergeCell ref="C1519:D1520"/>
    <mergeCell ref="E1519:E1520"/>
    <mergeCell ref="C1525:U1525"/>
    <mergeCell ref="C1526:U1526"/>
    <mergeCell ref="C1528:D1529"/>
    <mergeCell ref="E1528:E1529"/>
    <mergeCell ref="R1528:S1529"/>
    <mergeCell ref="T1528:T1529"/>
    <mergeCell ref="C1507:D1508"/>
    <mergeCell ref="E1507:E1508"/>
    <mergeCell ref="C1513:U1513"/>
    <mergeCell ref="C1514:U1514"/>
    <mergeCell ref="C1516:D1517"/>
    <mergeCell ref="E1516:E1517"/>
    <mergeCell ref="R1516:S1517"/>
    <mergeCell ref="T1516:T1517"/>
    <mergeCell ref="C1567:D1568"/>
    <mergeCell ref="E1567:E1568"/>
    <mergeCell ref="C1573:U1573"/>
    <mergeCell ref="C1574:U1574"/>
    <mergeCell ref="C1576:D1577"/>
    <mergeCell ref="E1576:E1577"/>
    <mergeCell ref="R1576:S1577"/>
    <mergeCell ref="T1576:T1577"/>
    <mergeCell ref="C1555:D1556"/>
    <mergeCell ref="E1555:E1556"/>
    <mergeCell ref="C1561:U1561"/>
    <mergeCell ref="C1562:U1562"/>
    <mergeCell ref="C1564:D1565"/>
    <mergeCell ref="E1564:E1565"/>
    <mergeCell ref="R1564:S1565"/>
    <mergeCell ref="T1564:T1565"/>
    <mergeCell ref="C1543:D1544"/>
    <mergeCell ref="E1543:E1544"/>
    <mergeCell ref="C1549:U1549"/>
    <mergeCell ref="C1550:U1550"/>
    <mergeCell ref="C1552:D1553"/>
    <mergeCell ref="E1552:E1553"/>
    <mergeCell ref="R1552:S1553"/>
    <mergeCell ref="T1552:T1553"/>
    <mergeCell ref="C1615:D1616"/>
    <mergeCell ref="E1615:E1616"/>
    <mergeCell ref="C40:U40"/>
    <mergeCell ref="C41:U41"/>
    <mergeCell ref="C43:D44"/>
    <mergeCell ref="E43:E44"/>
    <mergeCell ref="R43:S44"/>
    <mergeCell ref="T43:T44"/>
    <mergeCell ref="C1603:D1604"/>
    <mergeCell ref="E1603:E1604"/>
    <mergeCell ref="C1609:U1609"/>
    <mergeCell ref="C1610:U1610"/>
    <mergeCell ref="C1612:D1613"/>
    <mergeCell ref="E1612:E1613"/>
    <mergeCell ref="R1612:S1613"/>
    <mergeCell ref="T1612:T1613"/>
    <mergeCell ref="C1591:D1592"/>
    <mergeCell ref="E1591:E1592"/>
    <mergeCell ref="C1597:U1597"/>
    <mergeCell ref="C1598:U1598"/>
    <mergeCell ref="C1600:D1601"/>
    <mergeCell ref="E1600:E1601"/>
    <mergeCell ref="R1600:S1601"/>
    <mergeCell ref="T1600:T1601"/>
    <mergeCell ref="C1579:D1580"/>
    <mergeCell ref="E1579:E1580"/>
    <mergeCell ref="C1585:U1585"/>
    <mergeCell ref="C1586:U1586"/>
    <mergeCell ref="C1588:D1589"/>
    <mergeCell ref="E1588:E1589"/>
    <mergeCell ref="R1588:S1589"/>
    <mergeCell ref="T1588:T1589"/>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649:D650"/>
    <mergeCell ref="E649:E650"/>
    <mergeCell ref="C655:U655"/>
    <mergeCell ref="C656:U656"/>
    <mergeCell ref="C658:D659"/>
    <mergeCell ref="E658:E659"/>
    <mergeCell ref="R658:S659"/>
    <mergeCell ref="T658:T659"/>
    <mergeCell ref="C628:D629"/>
    <mergeCell ref="E628:E629"/>
    <mergeCell ref="C643:U643"/>
    <mergeCell ref="C644:U644"/>
    <mergeCell ref="C646:D647"/>
    <mergeCell ref="E646:E647"/>
    <mergeCell ref="R646:S647"/>
    <mergeCell ref="T646:T647"/>
    <mergeCell ref="C622:U622"/>
    <mergeCell ref="C623:U623"/>
    <mergeCell ref="C625:D626"/>
    <mergeCell ref="E625:E626"/>
    <mergeCell ref="R625:S626"/>
    <mergeCell ref="T625:T626"/>
    <mergeCell ref="C634:U634"/>
    <mergeCell ref="C635:U635"/>
    <mergeCell ref="C637:D638"/>
    <mergeCell ref="E637:E638"/>
    <mergeCell ref="R637:S638"/>
    <mergeCell ref="T637:T638"/>
    <mergeCell ref="C739:D740"/>
    <mergeCell ref="E739:E740"/>
    <mergeCell ref="C745:U745"/>
    <mergeCell ref="C746:U746"/>
    <mergeCell ref="C748:D749"/>
    <mergeCell ref="E748:E749"/>
    <mergeCell ref="R748:S749"/>
    <mergeCell ref="T748:T749"/>
    <mergeCell ref="C673:D674"/>
    <mergeCell ref="E673:E674"/>
    <mergeCell ref="C733:U733"/>
    <mergeCell ref="C734:U734"/>
    <mergeCell ref="C736:D737"/>
    <mergeCell ref="E736:E737"/>
    <mergeCell ref="R736:S737"/>
    <mergeCell ref="T736:T737"/>
    <mergeCell ref="C661:D662"/>
    <mergeCell ref="E661:E662"/>
    <mergeCell ref="C667:U667"/>
    <mergeCell ref="C668:U668"/>
    <mergeCell ref="C670:D671"/>
    <mergeCell ref="E670:E671"/>
    <mergeCell ref="R670:S671"/>
    <mergeCell ref="T670:T671"/>
    <mergeCell ref="C679:U679"/>
    <mergeCell ref="C680:U680"/>
    <mergeCell ref="C682:D683"/>
    <mergeCell ref="E682:E683"/>
    <mergeCell ref="R682:S683"/>
    <mergeCell ref="T682:T683"/>
    <mergeCell ref="C688:U688"/>
    <mergeCell ref="C689:U689"/>
    <mergeCell ref="C775:D776"/>
    <mergeCell ref="E775:E776"/>
    <mergeCell ref="C781:U781"/>
    <mergeCell ref="C782:U782"/>
    <mergeCell ref="C784:D785"/>
    <mergeCell ref="E784:E785"/>
    <mergeCell ref="R784:S785"/>
    <mergeCell ref="T784:T785"/>
    <mergeCell ref="C763:D764"/>
    <mergeCell ref="E763:E764"/>
    <mergeCell ref="C769:U769"/>
    <mergeCell ref="C770:U770"/>
    <mergeCell ref="C772:D773"/>
    <mergeCell ref="E772:E773"/>
    <mergeCell ref="R772:S773"/>
    <mergeCell ref="T772:T773"/>
    <mergeCell ref="C751:D752"/>
    <mergeCell ref="E751:E752"/>
    <mergeCell ref="C757:U757"/>
    <mergeCell ref="C758:U758"/>
    <mergeCell ref="C760:D761"/>
    <mergeCell ref="E760:E761"/>
    <mergeCell ref="R760:S761"/>
    <mergeCell ref="T760:T761"/>
    <mergeCell ref="C811:D812"/>
    <mergeCell ref="E811:E812"/>
    <mergeCell ref="C817:U817"/>
    <mergeCell ref="C818:U818"/>
    <mergeCell ref="C820:D821"/>
    <mergeCell ref="E820:E821"/>
    <mergeCell ref="R820:S821"/>
    <mergeCell ref="T820:T821"/>
    <mergeCell ref="C799:D800"/>
    <mergeCell ref="E799:E800"/>
    <mergeCell ref="C805:U805"/>
    <mergeCell ref="C806:U806"/>
    <mergeCell ref="C808:D809"/>
    <mergeCell ref="E808:E809"/>
    <mergeCell ref="R808:S809"/>
    <mergeCell ref="T808:T809"/>
    <mergeCell ref="C787:D788"/>
    <mergeCell ref="E787:E788"/>
    <mergeCell ref="C793:U793"/>
    <mergeCell ref="C794:U794"/>
    <mergeCell ref="C796:D797"/>
    <mergeCell ref="E796:E797"/>
    <mergeCell ref="R796:S797"/>
    <mergeCell ref="T796:T797"/>
    <mergeCell ref="C847:D848"/>
    <mergeCell ref="E847:E848"/>
    <mergeCell ref="C853:U853"/>
    <mergeCell ref="C854:U854"/>
    <mergeCell ref="C856:D857"/>
    <mergeCell ref="E856:E857"/>
    <mergeCell ref="R856:S857"/>
    <mergeCell ref="T856:T857"/>
    <mergeCell ref="C835:D836"/>
    <mergeCell ref="E835:E836"/>
    <mergeCell ref="C841:U841"/>
    <mergeCell ref="C842:U842"/>
    <mergeCell ref="C844:D845"/>
    <mergeCell ref="E844:E845"/>
    <mergeCell ref="R844:S845"/>
    <mergeCell ref="T844:T845"/>
    <mergeCell ref="C823:D824"/>
    <mergeCell ref="E823:E824"/>
    <mergeCell ref="C829:U829"/>
    <mergeCell ref="C830:U830"/>
    <mergeCell ref="C832:D833"/>
    <mergeCell ref="E832:E833"/>
    <mergeCell ref="R832:S833"/>
    <mergeCell ref="T832:T833"/>
    <mergeCell ref="C883:D884"/>
    <mergeCell ref="E883:E884"/>
    <mergeCell ref="C889:U889"/>
    <mergeCell ref="C890:U890"/>
    <mergeCell ref="C892:D893"/>
    <mergeCell ref="E892:E893"/>
    <mergeCell ref="R892:S893"/>
    <mergeCell ref="T892:T893"/>
    <mergeCell ref="C871:D872"/>
    <mergeCell ref="E871:E872"/>
    <mergeCell ref="C877:U877"/>
    <mergeCell ref="C878:U878"/>
    <mergeCell ref="C880:D881"/>
    <mergeCell ref="E880:E881"/>
    <mergeCell ref="R880:S881"/>
    <mergeCell ref="T880:T881"/>
    <mergeCell ref="C859:D860"/>
    <mergeCell ref="E859:E860"/>
    <mergeCell ref="C865:U865"/>
    <mergeCell ref="C866:U866"/>
    <mergeCell ref="C868:D869"/>
    <mergeCell ref="E868:E869"/>
    <mergeCell ref="R868:S869"/>
    <mergeCell ref="T868:T869"/>
    <mergeCell ref="C919:D920"/>
    <mergeCell ref="E919:E920"/>
    <mergeCell ref="C925:U925"/>
    <mergeCell ref="C926:U926"/>
    <mergeCell ref="C928:D929"/>
    <mergeCell ref="E928:E929"/>
    <mergeCell ref="R928:S929"/>
    <mergeCell ref="T928:T929"/>
    <mergeCell ref="C907:D908"/>
    <mergeCell ref="E907:E908"/>
    <mergeCell ref="C913:U913"/>
    <mergeCell ref="C914:U914"/>
    <mergeCell ref="C916:D917"/>
    <mergeCell ref="E916:E917"/>
    <mergeCell ref="R916:S917"/>
    <mergeCell ref="T916:T917"/>
    <mergeCell ref="C895:D896"/>
    <mergeCell ref="E895:E896"/>
    <mergeCell ref="C901:U901"/>
    <mergeCell ref="C902:U902"/>
    <mergeCell ref="C904:D905"/>
    <mergeCell ref="E904:E905"/>
    <mergeCell ref="R904:S905"/>
    <mergeCell ref="T904:T905"/>
    <mergeCell ref="C955:D956"/>
    <mergeCell ref="E955:E956"/>
    <mergeCell ref="C961:U961"/>
    <mergeCell ref="C962:U962"/>
    <mergeCell ref="C964:D965"/>
    <mergeCell ref="E964:E965"/>
    <mergeCell ref="R964:S965"/>
    <mergeCell ref="T964:T965"/>
    <mergeCell ref="C943:D944"/>
    <mergeCell ref="E943:E944"/>
    <mergeCell ref="C949:U949"/>
    <mergeCell ref="C950:U950"/>
    <mergeCell ref="C952:D953"/>
    <mergeCell ref="E952:E953"/>
    <mergeCell ref="R952:S953"/>
    <mergeCell ref="T952:T953"/>
    <mergeCell ref="C931:D932"/>
    <mergeCell ref="E931:E932"/>
    <mergeCell ref="C937:U937"/>
    <mergeCell ref="C938:U938"/>
    <mergeCell ref="C940:D941"/>
    <mergeCell ref="E940:E941"/>
    <mergeCell ref="R940:S941"/>
    <mergeCell ref="T940:T941"/>
    <mergeCell ref="C991:D992"/>
    <mergeCell ref="E991:E992"/>
    <mergeCell ref="C997:U997"/>
    <mergeCell ref="C998:U998"/>
    <mergeCell ref="C1000:D1001"/>
    <mergeCell ref="E1000:E1001"/>
    <mergeCell ref="R1000:S1001"/>
    <mergeCell ref="T1000:T1001"/>
    <mergeCell ref="C979:D980"/>
    <mergeCell ref="E979:E980"/>
    <mergeCell ref="C985:U985"/>
    <mergeCell ref="C986:U986"/>
    <mergeCell ref="C988:D989"/>
    <mergeCell ref="E988:E989"/>
    <mergeCell ref="R988:S989"/>
    <mergeCell ref="T988:T989"/>
    <mergeCell ref="C967:D968"/>
    <mergeCell ref="E967:E968"/>
    <mergeCell ref="C973:U973"/>
    <mergeCell ref="C974:U974"/>
    <mergeCell ref="C976:D977"/>
    <mergeCell ref="E976:E977"/>
    <mergeCell ref="R976:S977"/>
    <mergeCell ref="T976:T977"/>
    <mergeCell ref="C1027:D1028"/>
    <mergeCell ref="E1027:E1028"/>
    <mergeCell ref="C1033:U1033"/>
    <mergeCell ref="C1034:U1034"/>
    <mergeCell ref="C1036:D1037"/>
    <mergeCell ref="E1036:E1037"/>
    <mergeCell ref="R1036:S1037"/>
    <mergeCell ref="T1036:T1037"/>
    <mergeCell ref="C1015:D1016"/>
    <mergeCell ref="E1015:E1016"/>
    <mergeCell ref="C1021:U1021"/>
    <mergeCell ref="C1022:U1022"/>
    <mergeCell ref="C1024:D1025"/>
    <mergeCell ref="E1024:E1025"/>
    <mergeCell ref="R1024:S1025"/>
    <mergeCell ref="T1024:T1025"/>
    <mergeCell ref="C1003:D1004"/>
    <mergeCell ref="E1003:E1004"/>
    <mergeCell ref="C1009:U1009"/>
    <mergeCell ref="C1010:U1010"/>
    <mergeCell ref="C1012:D1013"/>
    <mergeCell ref="E1012:E1013"/>
    <mergeCell ref="R1012:S1013"/>
    <mergeCell ref="T1012:T1013"/>
    <mergeCell ref="C1063:D1064"/>
    <mergeCell ref="E1063:E1064"/>
    <mergeCell ref="C1051:D1052"/>
    <mergeCell ref="E1051:E1052"/>
    <mergeCell ref="C1057:U1057"/>
    <mergeCell ref="C1058:U1058"/>
    <mergeCell ref="C1060:D1061"/>
    <mergeCell ref="E1060:E1061"/>
    <mergeCell ref="R1060:S1061"/>
    <mergeCell ref="T1060:T1061"/>
    <mergeCell ref="C1039:D1040"/>
    <mergeCell ref="E1039:E1040"/>
    <mergeCell ref="C1045:U1045"/>
    <mergeCell ref="C1046:U1046"/>
    <mergeCell ref="C1048:D1049"/>
    <mergeCell ref="E1048:E1049"/>
    <mergeCell ref="R1048:S1049"/>
    <mergeCell ref="T1048:T1049"/>
    <mergeCell ref="C716:U716"/>
    <mergeCell ref="C718:D719"/>
    <mergeCell ref="E718:E719"/>
    <mergeCell ref="R718:S719"/>
    <mergeCell ref="T718:T719"/>
    <mergeCell ref="C724:U724"/>
    <mergeCell ref="C725:U725"/>
    <mergeCell ref="C727:D728"/>
    <mergeCell ref="E727:E728"/>
    <mergeCell ref="R727:S728"/>
    <mergeCell ref="T727:T728"/>
    <mergeCell ref="C691:D692"/>
    <mergeCell ref="E691:E692"/>
    <mergeCell ref="R691:S692"/>
    <mergeCell ref="T691:T692"/>
    <mergeCell ref="C697:U697"/>
    <mergeCell ref="C698:U698"/>
    <mergeCell ref="C700:D701"/>
    <mergeCell ref="E700:E701"/>
    <mergeCell ref="R700:S701"/>
    <mergeCell ref="T700:T701"/>
    <mergeCell ref="C706:U706"/>
    <mergeCell ref="C707:U707"/>
    <mergeCell ref="C709:D710"/>
    <mergeCell ref="E709:E710"/>
    <mergeCell ref="R709:S710"/>
    <mergeCell ref="T709:T710"/>
    <mergeCell ref="C715:U71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73"/>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174</v>
      </c>
      <c r="D3" s="89"/>
      <c r="W3" s="35" t="str">
        <f>"-- "&amp;B3&amp;" : "&amp;C3</f>
        <v>-- SQL_ID : 11_01</v>
      </c>
    </row>
    <row r="4" spans="1:23" ht="18.75" customHeight="1">
      <c r="B4" s="43" t="s">
        <v>158</v>
      </c>
      <c r="C4" s="147" t="str">
        <f>R7&amp;"登録"</f>
        <v>組入れ_対象施設登録</v>
      </c>
      <c r="D4" s="148"/>
      <c r="E4" s="148"/>
      <c r="F4" s="148"/>
      <c r="G4" s="148"/>
      <c r="H4" s="148"/>
      <c r="I4" s="148"/>
      <c r="J4" s="148"/>
      <c r="K4" s="148"/>
      <c r="L4" s="148"/>
      <c r="M4" s="148"/>
      <c r="N4" s="148"/>
      <c r="O4" s="148"/>
      <c r="P4" s="148"/>
      <c r="Q4" s="148"/>
      <c r="R4" s="148"/>
      <c r="S4" s="148"/>
      <c r="T4" s="148"/>
      <c r="U4" s="149"/>
      <c r="W4" s="35" t="str">
        <f>"-- "&amp;C4</f>
        <v>-- 組入れ_対象施設登録</v>
      </c>
    </row>
    <row r="5" spans="1:23" ht="18.75" customHeight="1">
      <c r="B5" s="43" t="s">
        <v>159</v>
      </c>
      <c r="C5" s="136" t="str">
        <f>C7&amp;"テーブルから組入れ条件で絞り込んだ結果を"&amp;R7&amp;"テーブルに格納する。"</f>
        <v>バックアップ_処理対象施設マスタテーブルから組入れ条件で絞り込んだ結果を組入れ_対象施設テーブルに格納する。</v>
      </c>
      <c r="D5" s="137"/>
      <c r="E5" s="137"/>
      <c r="F5" s="137"/>
      <c r="G5" s="137"/>
      <c r="H5" s="137"/>
      <c r="I5" s="137"/>
      <c r="J5" s="137"/>
      <c r="K5" s="137"/>
      <c r="L5" s="137"/>
      <c r="M5" s="137"/>
      <c r="N5" s="137"/>
      <c r="O5" s="137"/>
      <c r="P5" s="137"/>
      <c r="Q5" s="137"/>
      <c r="R5" s="137"/>
      <c r="S5" s="137"/>
      <c r="T5" s="137"/>
      <c r="U5" s="138"/>
      <c r="W5" s="35" t="str">
        <f>"-- "&amp;C5</f>
        <v>-- バックアップ_処理対象施設マスタテーブルから組入れ条件で絞り込んだ結果を組入れ_対象施設テーブルに格納する。</v>
      </c>
    </row>
    <row r="7" spans="1:23" ht="18.75" customHeight="1">
      <c r="C7" s="139" t="s">
        <v>3856</v>
      </c>
      <c r="D7" s="140"/>
      <c r="E7" s="145" t="str">
        <f>エンティティ一覧!$O$2</f>
        <v>milscm_2023_009</v>
      </c>
      <c r="F7" s="36"/>
      <c r="G7" s="36"/>
      <c r="H7" s="36"/>
      <c r="I7" s="36"/>
      <c r="J7" s="36"/>
      <c r="M7" s="36"/>
      <c r="N7" s="36"/>
      <c r="O7" s="36"/>
      <c r="P7" s="36"/>
      <c r="Q7" s="36"/>
      <c r="R7" s="139" t="s">
        <v>3667</v>
      </c>
      <c r="S7" s="140"/>
      <c r="T7" s="145" t="str">
        <f>エンティティ一覧!$O$2</f>
        <v>milscm_2023_009</v>
      </c>
      <c r="W7" s="35" t="s">
        <v>3668</v>
      </c>
    </row>
    <row r="8" spans="1:23" ht="18.75" customHeight="1">
      <c r="C8" s="141"/>
      <c r="D8" s="142"/>
      <c r="E8" s="146"/>
      <c r="F8" s="37"/>
      <c r="G8" s="37"/>
      <c r="H8" s="37"/>
      <c r="I8" s="37"/>
      <c r="J8" s="37"/>
      <c r="K8" s="37"/>
      <c r="L8" s="38"/>
      <c r="M8" s="37"/>
      <c r="N8" s="37"/>
      <c r="O8" s="37"/>
      <c r="P8" s="37"/>
      <c r="Q8" s="37"/>
      <c r="R8" s="141"/>
      <c r="S8" s="142"/>
      <c r="T8" s="146"/>
    </row>
    <row r="9" spans="1:23" ht="18.75" customHeight="1">
      <c r="K9" s="39"/>
      <c r="L9" s="40"/>
    </row>
    <row r="10" spans="1:23" ht="18.75" customHeight="1">
      <c r="C10" s="139" t="s">
        <v>3666</v>
      </c>
      <c r="D10" s="140"/>
      <c r="E10" s="143" t="s">
        <v>162</v>
      </c>
      <c r="F10" s="36"/>
      <c r="G10" s="36"/>
      <c r="H10" s="36"/>
      <c r="I10" s="36"/>
      <c r="J10" s="36"/>
      <c r="L10" s="41"/>
    </row>
    <row r="11" spans="1:23" ht="18.75" customHeight="1">
      <c r="C11" s="141"/>
      <c r="D11" s="142"/>
      <c r="E11" s="144"/>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B15" s="43" t="s">
        <v>163</v>
      </c>
      <c r="C15" s="51" t="s">
        <v>4016</v>
      </c>
      <c r="D15" s="108"/>
      <c r="W15" s="35" t="str">
        <f>"-- "&amp;B15&amp;" : "&amp;C15</f>
        <v>-- SQL_ID : 11_01-01</v>
      </c>
    </row>
    <row r="16" spans="1:23" ht="18.75" customHeight="1">
      <c r="B16" s="43" t="s">
        <v>158</v>
      </c>
      <c r="C16" s="147" t="str">
        <f>R19&amp;"更新"</f>
        <v>組入れ_対象施設更新</v>
      </c>
      <c r="D16" s="148"/>
      <c r="E16" s="148"/>
      <c r="F16" s="148"/>
      <c r="G16" s="148"/>
      <c r="H16" s="148"/>
      <c r="I16" s="148"/>
      <c r="J16" s="148"/>
      <c r="K16" s="148"/>
      <c r="L16" s="148"/>
      <c r="M16" s="148"/>
      <c r="N16" s="148"/>
      <c r="O16" s="148"/>
      <c r="P16" s="148"/>
      <c r="Q16" s="148"/>
      <c r="R16" s="148"/>
      <c r="S16" s="148"/>
      <c r="T16" s="148"/>
      <c r="U16" s="149"/>
      <c r="W16" s="35" t="str">
        <f>"-- "&amp;C16</f>
        <v>-- 組入れ_対象施設更新</v>
      </c>
    </row>
    <row r="17" spans="1:23" ht="18.75" customHeight="1">
      <c r="B17" s="43" t="s">
        <v>159</v>
      </c>
      <c r="C17" s="136" t="s">
        <v>4065</v>
      </c>
      <c r="D17" s="137"/>
      <c r="E17" s="137"/>
      <c r="F17" s="137"/>
      <c r="G17" s="137"/>
      <c r="H17" s="137"/>
      <c r="I17" s="137"/>
      <c r="J17" s="137"/>
      <c r="K17" s="137"/>
      <c r="L17" s="137"/>
      <c r="M17" s="137"/>
      <c r="N17" s="137"/>
      <c r="O17" s="137"/>
      <c r="P17" s="137"/>
      <c r="Q17" s="137"/>
      <c r="R17" s="137"/>
      <c r="S17" s="137"/>
      <c r="T17" s="137"/>
      <c r="U17" s="138"/>
      <c r="W17" s="35" t="str">
        <f>"-- "&amp;C17</f>
        <v>-- 組入れ_対象施設のデータ利用開始年月、データ利用終了年月の値を更新する。</v>
      </c>
    </row>
    <row r="19" spans="1:23" ht="18.75" customHeight="1">
      <c r="C19" s="139" t="s">
        <v>3667</v>
      </c>
      <c r="D19" s="140"/>
      <c r="E19" s="145" t="str">
        <f>エンティティ一覧!$O$2</f>
        <v>milscm_2023_009</v>
      </c>
      <c r="F19" s="36"/>
      <c r="G19" s="36"/>
      <c r="H19" s="36"/>
      <c r="I19" s="36"/>
      <c r="J19" s="36"/>
      <c r="K19" s="36"/>
      <c r="L19" s="36"/>
      <c r="M19" s="36"/>
      <c r="N19" s="36"/>
      <c r="O19" s="36"/>
      <c r="P19" s="36"/>
      <c r="Q19" s="36"/>
      <c r="R19" s="139" t="s">
        <v>3667</v>
      </c>
      <c r="S19" s="140"/>
      <c r="T19" s="145" t="str">
        <f>エンティティ一覧!$O$2</f>
        <v>milscm_2023_009</v>
      </c>
    </row>
    <row r="20" spans="1:23" ht="18.75" customHeight="1">
      <c r="C20" s="141"/>
      <c r="D20" s="142"/>
      <c r="E20" s="146"/>
      <c r="F20" s="37"/>
      <c r="G20" s="37"/>
      <c r="H20" s="37" t="s">
        <v>4019</v>
      </c>
      <c r="I20" s="37"/>
      <c r="J20" s="37"/>
      <c r="K20" s="37"/>
      <c r="L20" s="37"/>
      <c r="M20" s="37"/>
      <c r="N20" s="37"/>
      <c r="O20" s="37"/>
      <c r="P20" s="37"/>
      <c r="Q20" s="37"/>
      <c r="R20" s="141"/>
      <c r="S20" s="142"/>
      <c r="T20" s="146"/>
    </row>
    <row r="22" spans="1:23" ht="18.75" customHeight="1" thickBot="1">
      <c r="B22" s="42"/>
      <c r="C22" s="42"/>
      <c r="D22" s="42"/>
      <c r="E22" s="42"/>
      <c r="F22" s="42"/>
      <c r="G22" s="42"/>
      <c r="H22" s="42"/>
      <c r="I22" s="42"/>
      <c r="J22" s="42"/>
      <c r="K22" s="42"/>
      <c r="L22" s="42"/>
      <c r="M22" s="42"/>
      <c r="N22" s="42"/>
      <c r="O22" s="42"/>
      <c r="P22" s="42"/>
      <c r="Q22" s="42"/>
      <c r="R22" s="42"/>
      <c r="S22" s="42"/>
      <c r="T22" s="42"/>
      <c r="U22" s="42"/>
    </row>
    <row r="24" spans="1:23" ht="18.75" customHeight="1">
      <c r="A24" s="77"/>
      <c r="B24" s="43" t="s">
        <v>163</v>
      </c>
      <c r="C24" s="51" t="s">
        <v>189</v>
      </c>
      <c r="D24" s="50"/>
      <c r="W24" s="35" t="str">
        <f>"-- "&amp;B24&amp;" : "&amp;C24</f>
        <v>-- SQL_ID : 11_02</v>
      </c>
    </row>
    <row r="25" spans="1:23" ht="18.75" customHeight="1">
      <c r="B25" s="43" t="s">
        <v>158</v>
      </c>
      <c r="C25" s="147" t="str">
        <f>R28&amp;"登録"</f>
        <v>組入れ_対象疾患登録</v>
      </c>
      <c r="D25" s="148"/>
      <c r="E25" s="148"/>
      <c r="F25" s="148"/>
      <c r="G25" s="148"/>
      <c r="H25" s="148"/>
      <c r="I25" s="148"/>
      <c r="J25" s="148"/>
      <c r="K25" s="148"/>
      <c r="L25" s="148"/>
      <c r="M25" s="148"/>
      <c r="N25" s="148"/>
      <c r="O25" s="148"/>
      <c r="P25" s="148"/>
      <c r="Q25" s="148"/>
      <c r="R25" s="148"/>
      <c r="S25" s="148"/>
      <c r="T25" s="148"/>
      <c r="U25" s="149"/>
      <c r="W25" s="35" t="str">
        <f>"-- "&amp;C25</f>
        <v>-- 組入れ_対象疾患登録</v>
      </c>
    </row>
    <row r="26" spans="1:23" ht="18.75" customHeight="1">
      <c r="B26" s="43" t="s">
        <v>159</v>
      </c>
      <c r="C26" s="136" t="str">
        <f>C28&amp;"テーブルから組入れ条件で絞り込んだ結果を"&amp;R28&amp;"テーブルに格納する。"</f>
        <v>バックアップ_疾患データ_組み入れ第一条件テーブルから組入れ条件で絞り込んだ結果を組入れ_対象疾患テーブルに格納する。</v>
      </c>
      <c r="D26" s="137"/>
      <c r="E26" s="137"/>
      <c r="F26" s="137"/>
      <c r="G26" s="137"/>
      <c r="H26" s="137"/>
      <c r="I26" s="137"/>
      <c r="J26" s="137"/>
      <c r="K26" s="137"/>
      <c r="L26" s="137"/>
      <c r="M26" s="137"/>
      <c r="N26" s="137"/>
      <c r="O26" s="137"/>
      <c r="P26" s="137"/>
      <c r="Q26" s="137"/>
      <c r="R26" s="137"/>
      <c r="S26" s="137"/>
      <c r="T26" s="137"/>
      <c r="U26" s="138"/>
      <c r="W26" s="35" t="str">
        <f>"-- "&amp;C26</f>
        <v>-- バックアップ_疾患データ_組み入れ第一条件テーブルから組入れ条件で絞り込んだ結果を組入れ_対象疾患テーブルに格納する。</v>
      </c>
    </row>
    <row r="28" spans="1:23" ht="18.75" customHeight="1">
      <c r="C28" s="139" t="s">
        <v>3784</v>
      </c>
      <c r="D28" s="140"/>
      <c r="E28" s="145" t="str">
        <f>エンティティ一覧!$O$2</f>
        <v>milscm_2023_009</v>
      </c>
      <c r="F28" s="36"/>
      <c r="G28" s="36"/>
      <c r="H28" s="36"/>
      <c r="I28" s="36"/>
      <c r="J28" s="36"/>
      <c r="M28" s="36"/>
      <c r="N28" s="36"/>
      <c r="O28" s="36"/>
      <c r="P28" s="36"/>
      <c r="Q28" s="36"/>
      <c r="R28" s="139" t="s">
        <v>3669</v>
      </c>
      <c r="S28" s="140"/>
      <c r="T28" s="145" t="str">
        <f>エンティティ一覧!$O$2</f>
        <v>milscm_2023_009</v>
      </c>
    </row>
    <row r="29" spans="1:23" ht="18.75" customHeight="1">
      <c r="C29" s="141"/>
      <c r="D29" s="142"/>
      <c r="E29" s="146"/>
      <c r="F29" s="37"/>
      <c r="G29" s="37"/>
      <c r="H29" s="37"/>
      <c r="I29" s="37"/>
      <c r="J29" s="37"/>
      <c r="K29" s="37"/>
      <c r="L29" s="38"/>
      <c r="M29" s="37"/>
      <c r="N29" s="37"/>
      <c r="O29" s="37"/>
      <c r="P29" s="37"/>
      <c r="Q29" s="37"/>
      <c r="R29" s="141"/>
      <c r="S29" s="142"/>
      <c r="T29" s="146"/>
    </row>
    <row r="30" spans="1:23" ht="18.75" customHeight="1">
      <c r="K30" s="39"/>
      <c r="L30" s="40"/>
    </row>
    <row r="31" spans="1:23" ht="18.75" customHeight="1">
      <c r="H31" s="139" t="s">
        <v>3667</v>
      </c>
      <c r="I31" s="140"/>
      <c r="J31" s="145" t="str">
        <f>エンティティ一覧!$O$2</f>
        <v>milscm_2023_009</v>
      </c>
      <c r="L31" s="41"/>
    </row>
    <row r="32" spans="1:23" ht="18.75" customHeight="1">
      <c r="H32" s="141"/>
      <c r="I32" s="142"/>
      <c r="J32" s="146"/>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190</v>
      </c>
      <c r="D36" s="50"/>
      <c r="W36" s="35" t="str">
        <f>"-- "&amp;B36&amp;" : "&amp;C36</f>
        <v>-- SQL_ID : 11_03</v>
      </c>
    </row>
    <row r="37" spans="2:23" ht="18.75" customHeight="1">
      <c r="B37" s="43" t="s">
        <v>158</v>
      </c>
      <c r="C37" s="147" t="str">
        <f>R40&amp;"登録"</f>
        <v>組入れ_対象診療行為登録</v>
      </c>
      <c r="D37" s="148"/>
      <c r="E37" s="148"/>
      <c r="F37" s="148"/>
      <c r="G37" s="148"/>
      <c r="H37" s="148"/>
      <c r="I37" s="148"/>
      <c r="J37" s="148"/>
      <c r="K37" s="148"/>
      <c r="L37" s="148"/>
      <c r="M37" s="148"/>
      <c r="N37" s="148"/>
      <c r="O37" s="148"/>
      <c r="P37" s="148"/>
      <c r="Q37" s="148"/>
      <c r="R37" s="148"/>
      <c r="S37" s="148"/>
      <c r="T37" s="148"/>
      <c r="U37" s="149"/>
      <c r="W37" s="35" t="str">
        <f>"-- "&amp;C37</f>
        <v>-- 組入れ_対象診療行為登録</v>
      </c>
    </row>
    <row r="38" spans="2:23" ht="18.75" customHeight="1">
      <c r="B38" s="43" t="s">
        <v>159</v>
      </c>
      <c r="C38" s="136" t="str">
        <f>C40&amp;"テーブルから組入れ条件で絞り込んだ結果を"&amp;R40&amp;"テーブルに格納する。"</f>
        <v>バックアップ_診療行為データテーブルから組入れ条件で絞り込んだ結果を組入れ_対象診療行為テーブルに格納する。</v>
      </c>
      <c r="D38" s="137"/>
      <c r="E38" s="137"/>
      <c r="F38" s="137"/>
      <c r="G38" s="137"/>
      <c r="H38" s="137"/>
      <c r="I38" s="137"/>
      <c r="J38" s="137"/>
      <c r="K38" s="137"/>
      <c r="L38" s="137"/>
      <c r="M38" s="137"/>
      <c r="N38" s="137"/>
      <c r="O38" s="137"/>
      <c r="P38" s="137"/>
      <c r="Q38" s="137"/>
      <c r="R38" s="137"/>
      <c r="S38" s="137"/>
      <c r="T38" s="137"/>
      <c r="U38" s="138"/>
      <c r="W38" s="35" t="str">
        <f>"-- "&amp;C38</f>
        <v>-- バックアップ_診療行為データテーブルから組入れ条件で絞り込んだ結果を組入れ_対象診療行為テーブルに格納する。</v>
      </c>
    </row>
    <row r="40" spans="2:23" ht="18.75" customHeight="1">
      <c r="C40" s="139" t="s">
        <v>3793</v>
      </c>
      <c r="D40" s="140"/>
      <c r="E40" s="145" t="str">
        <f>エンティティ一覧!$O$2</f>
        <v>milscm_2023_009</v>
      </c>
      <c r="F40" s="36"/>
      <c r="G40" s="36"/>
      <c r="H40" s="36"/>
      <c r="I40" s="36"/>
      <c r="J40" s="36"/>
      <c r="K40" s="36"/>
      <c r="L40" s="36"/>
      <c r="M40" s="36"/>
      <c r="N40" s="36"/>
      <c r="O40" s="36"/>
      <c r="R40" s="139" t="s">
        <v>3792</v>
      </c>
      <c r="S40" s="140"/>
      <c r="T40" s="145" t="str">
        <f>エンティティ一覧!$O$2</f>
        <v>milscm_2023_009</v>
      </c>
    </row>
    <row r="41" spans="2:23" ht="18.75" customHeight="1">
      <c r="C41" s="141"/>
      <c r="D41" s="142"/>
      <c r="E41" s="146"/>
      <c r="F41" s="37"/>
      <c r="G41" s="37"/>
      <c r="H41" s="37"/>
      <c r="I41" s="37"/>
      <c r="J41" s="37"/>
      <c r="K41" s="37"/>
      <c r="L41" s="37"/>
      <c r="M41" s="37"/>
      <c r="N41" s="37"/>
      <c r="O41" s="37"/>
      <c r="P41" s="37"/>
      <c r="Q41" s="38"/>
      <c r="R41" s="141"/>
      <c r="S41" s="142"/>
      <c r="T41" s="146"/>
    </row>
    <row r="42" spans="2:23" ht="18.75" customHeight="1">
      <c r="P42" s="39"/>
      <c r="Q42" s="40"/>
    </row>
    <row r="43" spans="2:23" ht="18.75" customHeight="1">
      <c r="H43" s="35" t="s">
        <v>3794</v>
      </c>
      <c r="J43" s="35">
        <v>160231010</v>
      </c>
      <c r="M43" s="139" t="s">
        <v>3667</v>
      </c>
      <c r="N43" s="140"/>
      <c r="O43" s="145" t="str">
        <f>エンティティ一覧!$O$2</f>
        <v>milscm_2023_009</v>
      </c>
      <c r="Q43" s="41"/>
    </row>
    <row r="44" spans="2:23" ht="18.75" customHeight="1">
      <c r="H44" s="35" t="s">
        <v>3795</v>
      </c>
      <c r="J44" s="35">
        <v>160233010</v>
      </c>
      <c r="M44" s="141"/>
      <c r="N44" s="142"/>
      <c r="O44" s="146"/>
      <c r="P44" s="37"/>
    </row>
    <row r="45" spans="2:23" ht="18.75" customHeight="1">
      <c r="H45" s="35" t="s">
        <v>3796</v>
      </c>
      <c r="J45" s="35">
        <v>160060870</v>
      </c>
    </row>
    <row r="47" spans="2:23" ht="18.75" customHeight="1" thickBot="1">
      <c r="B47" s="42"/>
      <c r="C47" s="42"/>
      <c r="D47" s="42"/>
      <c r="E47" s="42"/>
      <c r="F47" s="42"/>
      <c r="G47" s="42"/>
      <c r="H47" s="42"/>
      <c r="I47" s="42"/>
      <c r="J47" s="42"/>
      <c r="K47" s="42"/>
      <c r="L47" s="42"/>
      <c r="M47" s="42"/>
      <c r="N47" s="42"/>
      <c r="O47" s="42"/>
      <c r="P47" s="42"/>
      <c r="Q47" s="42"/>
      <c r="R47" s="42"/>
      <c r="S47" s="42"/>
      <c r="T47" s="42"/>
      <c r="U47" s="42"/>
    </row>
    <row r="49" spans="2:23" ht="18.75" customHeight="1">
      <c r="B49" s="63" t="s">
        <v>900</v>
      </c>
      <c r="C49" s="51" t="s">
        <v>3670</v>
      </c>
      <c r="D49" s="95"/>
      <c r="W49" s="35" t="str">
        <f>"-- "&amp;B49&amp;" : "&amp;C49</f>
        <v>-- 処理ID : 11_04</v>
      </c>
    </row>
    <row r="50" spans="2:23" ht="18.75" customHeight="1">
      <c r="B50" s="63" t="s">
        <v>558</v>
      </c>
      <c r="C50" s="147" t="str">
        <f>R53&amp;"登録"</f>
        <v>組入れ_検体検査マスタ登録</v>
      </c>
      <c r="D50" s="148"/>
      <c r="E50" s="148"/>
      <c r="F50" s="148"/>
      <c r="G50" s="148"/>
      <c r="H50" s="148"/>
      <c r="I50" s="148"/>
      <c r="J50" s="148"/>
      <c r="K50" s="148"/>
      <c r="L50" s="148"/>
      <c r="M50" s="148"/>
      <c r="N50" s="148"/>
      <c r="O50" s="148"/>
      <c r="P50" s="148"/>
      <c r="Q50" s="148"/>
      <c r="R50" s="148"/>
      <c r="S50" s="148"/>
      <c r="T50" s="148"/>
      <c r="U50" s="149"/>
      <c r="W50" s="35" t="str">
        <f>"-- "&amp;C50</f>
        <v>-- 組入れ_検体検査マスタ登録</v>
      </c>
    </row>
    <row r="51" spans="2:23" ht="18.75" customHeight="1">
      <c r="B51" s="63" t="s">
        <v>159</v>
      </c>
      <c r="C51" s="136" t="s">
        <v>3988</v>
      </c>
      <c r="D51" s="137"/>
      <c r="E51" s="137"/>
      <c r="F51" s="137"/>
      <c r="G51" s="137"/>
      <c r="H51" s="137"/>
      <c r="I51" s="137"/>
      <c r="J51" s="137"/>
      <c r="K51" s="137"/>
      <c r="L51" s="137"/>
      <c r="M51" s="137"/>
      <c r="N51" s="137"/>
      <c r="O51" s="137"/>
      <c r="P51" s="137"/>
      <c r="Q51" s="137"/>
      <c r="R51" s="137"/>
      <c r="S51" s="137"/>
      <c r="T51" s="137"/>
      <c r="U51" s="138"/>
      <c r="W51" s="35" t="str">
        <f>"-- "&amp;C51</f>
        <v>-- 検査マスタ_組入れ.tsvを組入れ_検体検査マスタテーブルに登録する。</v>
      </c>
    </row>
    <row r="53" spans="2:23" ht="18.75" customHeight="1">
      <c r="C53" s="139" t="s">
        <v>3798</v>
      </c>
      <c r="D53" s="140"/>
      <c r="E53" s="145" t="s">
        <v>3799</v>
      </c>
      <c r="F53" s="36"/>
      <c r="G53" s="36"/>
      <c r="H53" s="36"/>
      <c r="I53" s="36"/>
      <c r="J53" s="36"/>
      <c r="K53" s="36"/>
      <c r="L53" s="36"/>
      <c r="M53" s="36"/>
      <c r="N53" s="36"/>
      <c r="O53" s="36"/>
      <c r="P53" s="36"/>
      <c r="Q53" s="36"/>
      <c r="R53" s="139" t="s">
        <v>3829</v>
      </c>
      <c r="S53" s="140"/>
      <c r="T53" s="145" t="str">
        <f>エンティティ一覧!$O$2</f>
        <v>milscm_2023_009</v>
      </c>
    </row>
    <row r="54" spans="2:23" ht="18.75" customHeight="1">
      <c r="C54" s="141"/>
      <c r="D54" s="142"/>
      <c r="E54" s="146"/>
      <c r="F54" s="37"/>
      <c r="G54" s="37"/>
      <c r="H54" s="37"/>
      <c r="I54" s="37"/>
      <c r="J54" s="37"/>
      <c r="K54" s="37"/>
      <c r="L54" s="37"/>
      <c r="M54" s="37"/>
      <c r="N54" s="37"/>
      <c r="O54" s="37"/>
      <c r="P54" s="37"/>
      <c r="Q54" s="37"/>
      <c r="R54" s="141"/>
      <c r="S54" s="142"/>
      <c r="T54" s="146"/>
    </row>
    <row r="55" spans="2:23" ht="18.75" customHeight="1">
      <c r="C55" s="35" t="s">
        <v>3797</v>
      </c>
    </row>
    <row r="59" spans="2:23" ht="18.75" customHeight="1" thickBot="1">
      <c r="B59" s="42"/>
      <c r="C59" s="42"/>
      <c r="D59" s="42"/>
      <c r="E59" s="42"/>
      <c r="F59" s="42"/>
      <c r="G59" s="42"/>
      <c r="H59" s="42"/>
      <c r="I59" s="42"/>
      <c r="J59" s="42"/>
      <c r="K59" s="42"/>
      <c r="L59" s="42"/>
      <c r="M59" s="42"/>
      <c r="N59" s="42"/>
      <c r="O59" s="42"/>
      <c r="P59" s="42"/>
      <c r="Q59" s="42"/>
      <c r="R59" s="42"/>
      <c r="S59" s="42"/>
      <c r="T59" s="42"/>
      <c r="U59" s="42"/>
    </row>
    <row r="61" spans="2:23" ht="18.75" customHeight="1">
      <c r="B61" s="43" t="s">
        <v>163</v>
      </c>
      <c r="C61" s="51" t="s">
        <v>3671</v>
      </c>
      <c r="D61" s="102"/>
      <c r="W61" s="35" t="str">
        <f>"-- "&amp;B61&amp;" : "&amp;C61</f>
        <v>-- SQL_ID : 11_05</v>
      </c>
    </row>
    <row r="62" spans="2:23" ht="18.75" customHeight="1">
      <c r="B62" s="43" t="s">
        <v>158</v>
      </c>
      <c r="C62" s="147" t="str">
        <f>R65&amp;"登録"</f>
        <v>組入れ_対象検体検査登録</v>
      </c>
      <c r="D62" s="148"/>
      <c r="E62" s="148"/>
      <c r="F62" s="148"/>
      <c r="G62" s="148"/>
      <c r="H62" s="148"/>
      <c r="I62" s="148"/>
      <c r="J62" s="148"/>
      <c r="K62" s="148"/>
      <c r="L62" s="148"/>
      <c r="M62" s="148"/>
      <c r="N62" s="148"/>
      <c r="O62" s="148"/>
      <c r="P62" s="148"/>
      <c r="Q62" s="148"/>
      <c r="R62" s="148"/>
      <c r="S62" s="148"/>
      <c r="T62" s="148"/>
      <c r="U62" s="149"/>
      <c r="W62" s="35" t="str">
        <f>"-- "&amp;C62</f>
        <v>-- 組入れ_対象検体検査登録</v>
      </c>
    </row>
    <row r="63" spans="2:23" ht="18.75" customHeight="1">
      <c r="B63" s="43" t="s">
        <v>159</v>
      </c>
      <c r="C63" s="136" t="str">
        <f>"検査データのテーブルから組入れ条件で絞り込んだ結果を"&amp;R65&amp;"テーブルに格納する。"</f>
        <v>検査データのテーブルから組入れ条件で絞り込んだ結果を組入れ_対象検体検査テーブルに格納する。</v>
      </c>
      <c r="D63" s="137"/>
      <c r="E63" s="137"/>
      <c r="F63" s="137"/>
      <c r="G63" s="137"/>
      <c r="H63" s="137"/>
      <c r="I63" s="137"/>
      <c r="J63" s="137"/>
      <c r="K63" s="137"/>
      <c r="L63" s="137"/>
      <c r="M63" s="137"/>
      <c r="N63" s="137"/>
      <c r="O63" s="137"/>
      <c r="P63" s="137"/>
      <c r="Q63" s="137"/>
      <c r="R63" s="137"/>
      <c r="S63" s="137"/>
      <c r="T63" s="137"/>
      <c r="U63" s="138"/>
      <c r="W63" s="35" t="str">
        <f>"-- "&amp;C63</f>
        <v>-- 検査データのテーブルから組入れ条件で絞り込んだ結果を組入れ_対象検体検査テーブルに格納する。</v>
      </c>
    </row>
    <row r="65" spans="3:20" ht="18.75" customHeight="1">
      <c r="C65" s="139" t="s">
        <v>3802</v>
      </c>
      <c r="D65" s="140"/>
      <c r="E65" s="145" t="str">
        <f>エンティティ一覧!$O$2</f>
        <v>milscm_2023_009</v>
      </c>
      <c r="H65" s="36"/>
      <c r="I65" s="36"/>
      <c r="J65" s="36"/>
      <c r="M65" s="36"/>
      <c r="R65" s="139" t="s">
        <v>3801</v>
      </c>
      <c r="S65" s="140"/>
      <c r="T65" s="145" t="str">
        <f>エンティティ一覧!$O$2</f>
        <v>milscm_2023_009</v>
      </c>
    </row>
    <row r="66" spans="3:20" ht="18.75" customHeight="1">
      <c r="C66" s="141"/>
      <c r="D66" s="142"/>
      <c r="E66" s="146"/>
      <c r="F66" s="37"/>
      <c r="G66" s="38"/>
      <c r="H66" s="37"/>
      <c r="I66" s="37"/>
      <c r="J66" s="37"/>
      <c r="K66" s="37"/>
      <c r="L66" s="37"/>
      <c r="M66" s="97"/>
      <c r="N66" s="37"/>
      <c r="O66" s="38"/>
      <c r="P66" s="37"/>
      <c r="Q66" s="38"/>
      <c r="R66" s="141"/>
      <c r="S66" s="142"/>
      <c r="T66" s="146"/>
    </row>
    <row r="67" spans="3:20" ht="18.75" customHeight="1">
      <c r="F67" s="39"/>
      <c r="G67" s="40"/>
      <c r="K67" s="39"/>
      <c r="L67" s="101"/>
      <c r="M67" s="104"/>
      <c r="N67" s="39"/>
      <c r="O67" s="40"/>
      <c r="P67" s="39"/>
      <c r="Q67" s="40"/>
    </row>
    <row r="68" spans="3:20" ht="18.75" customHeight="1">
      <c r="C68" s="139" t="s">
        <v>3667</v>
      </c>
      <c r="D68" s="140"/>
      <c r="E68" s="145" t="str">
        <f>エンティティ一覧!$O$2</f>
        <v>milscm_2023_009</v>
      </c>
      <c r="G68" s="41"/>
      <c r="K68" s="39"/>
      <c r="L68" s="101"/>
      <c r="M68" s="104"/>
      <c r="N68" s="39"/>
      <c r="O68" s="40"/>
      <c r="P68" s="39"/>
      <c r="Q68" s="40"/>
    </row>
    <row r="69" spans="3:20" ht="18.75" customHeight="1">
      <c r="C69" s="141"/>
      <c r="D69" s="142"/>
      <c r="E69" s="146"/>
      <c r="F69" s="37"/>
      <c r="K69" s="39"/>
      <c r="L69" s="101"/>
      <c r="M69" s="104"/>
      <c r="N69" s="39"/>
      <c r="O69" s="40"/>
      <c r="P69" s="39"/>
      <c r="Q69" s="40"/>
    </row>
    <row r="70" spans="3:20" ht="18.75" customHeight="1">
      <c r="K70" s="39"/>
      <c r="L70" s="101"/>
      <c r="M70" s="104"/>
      <c r="N70" s="39"/>
      <c r="O70" s="40"/>
      <c r="P70" s="39"/>
      <c r="Q70" s="40"/>
    </row>
    <row r="71" spans="3:20" ht="18.75" customHeight="1">
      <c r="H71" s="139" t="s">
        <v>3803</v>
      </c>
      <c r="I71" s="140"/>
      <c r="J71" s="145" t="str">
        <f>エンティティ一覧!$O$2</f>
        <v>milscm_2023_009</v>
      </c>
      <c r="L71" s="36"/>
      <c r="M71" s="105"/>
      <c r="N71" s="39"/>
      <c r="O71" s="40"/>
      <c r="P71" s="39"/>
      <c r="Q71" s="40"/>
    </row>
    <row r="72" spans="3:20" ht="18.75" customHeight="1">
      <c r="H72" s="141"/>
      <c r="I72" s="142"/>
      <c r="J72" s="146"/>
      <c r="K72" s="96"/>
      <c r="N72" s="39"/>
      <c r="O72" s="40"/>
      <c r="P72" s="39"/>
      <c r="Q72" s="40"/>
    </row>
    <row r="73" spans="3:20" ht="18.75" customHeight="1">
      <c r="K73" s="39"/>
      <c r="L73" s="40"/>
      <c r="N73" s="39"/>
      <c r="O73" s="40"/>
      <c r="P73" s="39"/>
      <c r="Q73" s="40"/>
    </row>
    <row r="74" spans="3:20" ht="18.75" customHeight="1">
      <c r="H74" s="139" t="s">
        <v>3829</v>
      </c>
      <c r="I74" s="140"/>
      <c r="J74" s="145" t="str">
        <f>エンティティ一覧!$O$2</f>
        <v>milscm_2023_009</v>
      </c>
      <c r="L74" s="41"/>
      <c r="N74" s="39"/>
      <c r="O74" s="40"/>
      <c r="P74" s="39"/>
      <c r="Q74" s="40"/>
    </row>
    <row r="75" spans="3:20" ht="18.75" customHeight="1">
      <c r="H75" s="141"/>
      <c r="I75" s="142"/>
      <c r="J75" s="146"/>
      <c r="K75" s="37"/>
      <c r="N75" s="39"/>
      <c r="O75" s="40"/>
      <c r="P75" s="39"/>
      <c r="Q75" s="40"/>
    </row>
    <row r="76" spans="3:20" ht="18.75" customHeight="1">
      <c r="N76" s="39"/>
      <c r="O76" s="40"/>
      <c r="P76" s="39"/>
      <c r="Q76" s="40"/>
    </row>
    <row r="77" spans="3:20" ht="18.75" customHeight="1">
      <c r="H77" s="139" t="s">
        <v>3804</v>
      </c>
      <c r="I77" s="140"/>
      <c r="J77" s="145" t="str">
        <f>エンティティ一覧!$O$2</f>
        <v>milscm_2023_009</v>
      </c>
      <c r="M77" s="36"/>
      <c r="O77" s="41"/>
      <c r="P77" s="39"/>
      <c r="Q77" s="40"/>
    </row>
    <row r="78" spans="3:20" ht="18.75" customHeight="1">
      <c r="H78" s="141"/>
      <c r="I78" s="142"/>
      <c r="J78" s="146"/>
      <c r="K78" s="37"/>
      <c r="L78" s="38"/>
      <c r="M78" s="37"/>
      <c r="N78" s="37"/>
      <c r="P78" s="39"/>
      <c r="Q78" s="40"/>
    </row>
    <row r="79" spans="3:20" ht="18.75" customHeight="1">
      <c r="K79" s="39"/>
      <c r="L79" s="40"/>
      <c r="P79" s="39"/>
      <c r="Q79" s="40"/>
    </row>
    <row r="80" spans="3:20" ht="18.75" customHeight="1">
      <c r="H80" s="139" t="s">
        <v>3829</v>
      </c>
      <c r="I80" s="140"/>
      <c r="J80" s="145" t="str">
        <f>エンティティ一覧!$O$2</f>
        <v>milscm_2023_009</v>
      </c>
      <c r="L80" s="41"/>
      <c r="P80" s="39"/>
      <c r="Q80" s="40"/>
    </row>
    <row r="81" spans="2:23" ht="18.75" customHeight="1">
      <c r="H81" s="141"/>
      <c r="I81" s="142"/>
      <c r="J81" s="146"/>
      <c r="K81" s="37"/>
      <c r="P81" s="39"/>
      <c r="Q81" s="40"/>
    </row>
    <row r="82" spans="2:23" ht="18.75" customHeight="1">
      <c r="P82" s="39"/>
      <c r="Q82" s="40"/>
    </row>
    <row r="83" spans="2:23" ht="18.75" customHeight="1">
      <c r="M83" s="139" t="s">
        <v>3829</v>
      </c>
      <c r="N83" s="140"/>
      <c r="O83" s="145" t="str">
        <f>エンティティ一覧!$O$2</f>
        <v>milscm_2023_009</v>
      </c>
      <c r="Q83" s="41"/>
    </row>
    <row r="84" spans="2:23" ht="18.75" customHeight="1">
      <c r="M84" s="141"/>
      <c r="N84" s="142"/>
      <c r="O84" s="146"/>
      <c r="P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4020</v>
      </c>
      <c r="D88" s="89"/>
      <c r="W88" s="35" t="str">
        <f>"-- "&amp;B88&amp;" : "&amp;C88</f>
        <v>-- SQL_ID : 11_05-01</v>
      </c>
    </row>
    <row r="89" spans="2:23" ht="18.75" customHeight="1">
      <c r="B89" s="43" t="s">
        <v>158</v>
      </c>
      <c r="C89" s="147" t="str">
        <f>R92&amp;"登録"</f>
        <v>組入れ_対象検体検査登録</v>
      </c>
      <c r="D89" s="148"/>
      <c r="E89" s="148"/>
      <c r="F89" s="148"/>
      <c r="G89" s="148"/>
      <c r="H89" s="148"/>
      <c r="I89" s="148"/>
      <c r="J89" s="148"/>
      <c r="K89" s="148"/>
      <c r="L89" s="148"/>
      <c r="M89" s="148"/>
      <c r="N89" s="148"/>
      <c r="O89" s="148"/>
      <c r="P89" s="148"/>
      <c r="Q89" s="148"/>
      <c r="R89" s="148"/>
      <c r="S89" s="148"/>
      <c r="T89" s="148"/>
      <c r="U89" s="149"/>
      <c r="W89" s="35" t="str">
        <f>"-- "&amp;C89</f>
        <v>-- 組入れ_対象検体検査登録</v>
      </c>
    </row>
    <row r="90" spans="2:23" ht="18.75" customHeight="1">
      <c r="B90" s="43" t="s">
        <v>159</v>
      </c>
      <c r="C90" s="136" t="str">
        <f>"検査データ（スキーマ4）のテーブルから組入れ条件で絞り込んだ結果を"&amp;R92&amp;"テーブルに格納する。"</f>
        <v>検査データ（スキーマ4）のテーブルから組入れ条件で絞り込んだ結果を組入れ_対象検体検査テーブルに格納する。</v>
      </c>
      <c r="D90" s="137"/>
      <c r="E90" s="137"/>
      <c r="F90" s="137"/>
      <c r="G90" s="137"/>
      <c r="H90" s="137"/>
      <c r="I90" s="137"/>
      <c r="J90" s="137"/>
      <c r="K90" s="137"/>
      <c r="L90" s="137"/>
      <c r="M90" s="137"/>
      <c r="N90" s="137"/>
      <c r="O90" s="137"/>
      <c r="P90" s="137"/>
      <c r="Q90" s="137"/>
      <c r="R90" s="137"/>
      <c r="S90" s="137"/>
      <c r="T90" s="137"/>
      <c r="U90" s="138"/>
      <c r="W90" s="35" t="str">
        <f>"-- "&amp;C90</f>
        <v>-- 検査データ（スキーマ4）のテーブルから組入れ条件で絞り込んだ結果を組入れ_対象検体検査テーブルに格納する。</v>
      </c>
    </row>
    <row r="92" spans="2:23" ht="18.75" customHeight="1">
      <c r="C92" s="139" t="s">
        <v>3981</v>
      </c>
      <c r="D92" s="140"/>
      <c r="E92" s="145" t="str">
        <f>エンティティ一覧!$O$2</f>
        <v>milscm_2023_009</v>
      </c>
      <c r="H92" s="36"/>
      <c r="I92" s="36"/>
      <c r="J92" s="36"/>
      <c r="M92" s="36"/>
      <c r="N92" s="36"/>
      <c r="O92" s="36"/>
      <c r="P92" s="36"/>
      <c r="Q92" s="36"/>
      <c r="R92" s="139" t="s">
        <v>3801</v>
      </c>
      <c r="S92" s="140"/>
      <c r="T92" s="145" t="str">
        <f>エンティティ一覧!$O$2</f>
        <v>milscm_2023_009</v>
      </c>
    </row>
    <row r="93" spans="2:23" ht="18.75" customHeight="1">
      <c r="C93" s="141"/>
      <c r="D93" s="142"/>
      <c r="E93" s="146"/>
      <c r="F93" s="37"/>
      <c r="G93" s="38"/>
      <c r="H93" s="37"/>
      <c r="I93" s="37"/>
      <c r="J93" s="37"/>
      <c r="K93" s="37"/>
      <c r="L93" s="37"/>
      <c r="M93" s="97"/>
      <c r="N93" s="97"/>
      <c r="O93" s="37"/>
      <c r="P93" s="37"/>
      <c r="Q93" s="38"/>
      <c r="R93" s="141"/>
      <c r="S93" s="142"/>
      <c r="T93" s="146"/>
    </row>
    <row r="94" spans="2:23" ht="18.75" customHeight="1">
      <c r="F94" s="39"/>
      <c r="G94" s="40"/>
      <c r="K94" s="39"/>
      <c r="L94" s="101"/>
      <c r="M94" s="104"/>
      <c r="N94" s="104"/>
      <c r="Q94" s="41"/>
    </row>
    <row r="95" spans="2:23" ht="18.75" customHeight="1">
      <c r="C95" s="139" t="s">
        <v>3667</v>
      </c>
      <c r="D95" s="140"/>
      <c r="E95" s="145" t="str">
        <f>エンティティ一覧!$O$2</f>
        <v>milscm_2023_009</v>
      </c>
      <c r="F95" s="106"/>
      <c r="G95" s="40"/>
      <c r="K95" s="39"/>
      <c r="L95" s="101"/>
      <c r="M95" s="104"/>
      <c r="N95" s="104"/>
      <c r="Q95" s="41"/>
    </row>
    <row r="96" spans="2:23" ht="18.75" customHeight="1">
      <c r="C96" s="141"/>
      <c r="D96" s="142"/>
      <c r="E96" s="146"/>
      <c r="F96" s="39"/>
      <c r="G96" s="101"/>
      <c r="K96" s="39"/>
      <c r="L96" s="101"/>
      <c r="M96" s="104"/>
      <c r="N96" s="104"/>
      <c r="Q96" s="41"/>
    </row>
    <row r="97" spans="3:17" ht="18.75" customHeight="1">
      <c r="F97" s="39"/>
      <c r="G97" s="101"/>
      <c r="K97" s="39"/>
      <c r="L97" s="101"/>
      <c r="M97" s="104"/>
      <c r="N97" s="104"/>
      <c r="Q97" s="41"/>
    </row>
    <row r="98" spans="3:17" ht="18.75" customHeight="1">
      <c r="F98" s="39"/>
      <c r="G98" s="101"/>
      <c r="H98" s="150" t="s">
        <v>3982</v>
      </c>
      <c r="I98" s="151"/>
      <c r="J98" s="145" t="str">
        <f>エンティティ一覧!$O$2</f>
        <v>milscm_2023_009</v>
      </c>
      <c r="L98" s="107"/>
      <c r="M98" s="105"/>
      <c r="N98" s="104"/>
      <c r="Q98" s="41"/>
    </row>
    <row r="99" spans="3:17" ht="18.75" customHeight="1">
      <c r="F99" s="39"/>
      <c r="G99" s="101"/>
      <c r="H99" s="152"/>
      <c r="I99" s="153"/>
      <c r="J99" s="146"/>
      <c r="K99" s="38"/>
      <c r="L99" s="40"/>
      <c r="N99" s="104"/>
      <c r="Q99" s="41"/>
    </row>
    <row r="100" spans="3:17" ht="18.75" customHeight="1">
      <c r="F100" s="39"/>
      <c r="G100" s="101"/>
      <c r="K100" s="39"/>
      <c r="L100" s="40"/>
      <c r="N100" s="104"/>
      <c r="Q100" s="41"/>
    </row>
    <row r="101" spans="3:17" ht="18.75" customHeight="1">
      <c r="C101" s="139" t="s">
        <v>3829</v>
      </c>
      <c r="D101" s="140"/>
      <c r="E101" s="145" t="str">
        <f>エンティティ一覧!$O$2</f>
        <v>milscm_2023_009</v>
      </c>
      <c r="G101" s="107"/>
      <c r="H101" s="36"/>
      <c r="I101" s="36"/>
      <c r="J101" s="36"/>
      <c r="K101" s="105"/>
      <c r="L101" s="40"/>
      <c r="N101" s="104"/>
      <c r="Q101" s="41"/>
    </row>
    <row r="102" spans="3:17" ht="18.75" customHeight="1">
      <c r="C102" s="141"/>
      <c r="D102" s="142"/>
      <c r="E102" s="146"/>
      <c r="F102" s="38"/>
      <c r="G102" s="40"/>
      <c r="N102" s="104"/>
      <c r="Q102" s="41"/>
    </row>
    <row r="103" spans="3:17" ht="18.75" customHeight="1">
      <c r="F103" s="39"/>
      <c r="G103" s="40"/>
      <c r="N103" s="104"/>
      <c r="Q103" s="41"/>
    </row>
    <row r="104" spans="3:17" ht="18.75" customHeight="1">
      <c r="C104" s="139" t="s">
        <v>3667</v>
      </c>
      <c r="D104" s="140"/>
      <c r="E104" s="145" t="str">
        <f>エンティティ一覧!$O$2</f>
        <v>milscm_2023_009</v>
      </c>
      <c r="G104" s="40"/>
      <c r="N104" s="104"/>
      <c r="Q104" s="41"/>
    </row>
    <row r="105" spans="3:17" ht="18.75" customHeight="1">
      <c r="C105" s="141"/>
      <c r="D105" s="142"/>
      <c r="E105" s="146"/>
      <c r="F105" s="37"/>
      <c r="G105" s="101"/>
      <c r="L105" s="101"/>
      <c r="N105" s="104"/>
      <c r="Q105" s="41"/>
    </row>
    <row r="106" spans="3:17" ht="18.75" customHeight="1">
      <c r="F106" s="39"/>
      <c r="G106" s="101"/>
      <c r="K106" s="39"/>
      <c r="L106" s="101"/>
      <c r="N106" s="104"/>
      <c r="Q106" s="41"/>
    </row>
    <row r="107" spans="3:17" ht="18.75" customHeight="1">
      <c r="G107" s="94"/>
      <c r="H107" s="139" t="s">
        <v>3983</v>
      </c>
      <c r="I107" s="140"/>
      <c r="J107" s="145" t="str">
        <f>エンティティ一覧!$O$2</f>
        <v>milscm_2023_009</v>
      </c>
      <c r="L107" s="36"/>
      <c r="M107" s="36"/>
      <c r="N107" s="105"/>
      <c r="Q107" s="41"/>
    </row>
    <row r="108" spans="3:17" ht="18.75" customHeight="1">
      <c r="H108" s="141"/>
      <c r="I108" s="142"/>
      <c r="J108" s="146"/>
      <c r="K108" s="37"/>
      <c r="L108" s="41"/>
      <c r="Q108" s="41"/>
    </row>
    <row r="109" spans="3:17" ht="18.75" customHeight="1">
      <c r="F109" s="39"/>
      <c r="G109" s="101"/>
      <c r="K109" s="39"/>
      <c r="L109" s="40"/>
      <c r="Q109" s="41"/>
    </row>
    <row r="110" spans="3:17" ht="18.75" customHeight="1">
      <c r="C110" s="139" t="s">
        <v>3829</v>
      </c>
      <c r="D110" s="140"/>
      <c r="E110" s="145" t="str">
        <f>エンティティ一覧!$O$2</f>
        <v>milscm_2023_009</v>
      </c>
      <c r="G110" s="107"/>
      <c r="H110" s="36"/>
      <c r="I110" s="36"/>
      <c r="J110" s="36"/>
      <c r="K110" s="105"/>
      <c r="L110" s="40"/>
      <c r="Q110" s="41"/>
    </row>
    <row r="111" spans="3:17" ht="18.75" customHeight="1">
      <c r="C111" s="141"/>
      <c r="D111" s="142"/>
      <c r="E111" s="146"/>
      <c r="F111" s="38"/>
      <c r="G111" s="40"/>
      <c r="Q111" s="41"/>
    </row>
    <row r="112" spans="3:17" ht="18.75" customHeight="1">
      <c r="F112" s="39"/>
      <c r="G112" s="40"/>
      <c r="Q112" s="41"/>
    </row>
    <row r="113" spans="2:23" ht="18.75" customHeight="1">
      <c r="C113" s="139" t="s">
        <v>3667</v>
      </c>
      <c r="D113" s="140"/>
      <c r="E113" s="145" t="str">
        <f>エンティティ一覧!$O$2</f>
        <v>milscm_2023_009</v>
      </c>
      <c r="G113" s="40"/>
      <c r="Q113" s="41"/>
    </row>
    <row r="114" spans="2:23" ht="18.75" customHeight="1">
      <c r="C114" s="141"/>
      <c r="D114" s="142"/>
      <c r="E114" s="146"/>
      <c r="F114" s="37"/>
      <c r="G114" s="101"/>
      <c r="L114" s="101"/>
      <c r="Q114" s="41"/>
    </row>
    <row r="115" spans="2:23" ht="18.75" customHeight="1">
      <c r="F115" s="39"/>
      <c r="G115" s="101"/>
      <c r="K115" s="39"/>
      <c r="L115" s="101"/>
      <c r="Q115" s="41"/>
    </row>
    <row r="116" spans="2:23" ht="18.75" customHeight="1">
      <c r="H116" s="139" t="s">
        <v>3829</v>
      </c>
      <c r="I116" s="140"/>
      <c r="J116" s="145" t="str">
        <f>エンティティ一覧!$O$2</f>
        <v>milscm_2023_009</v>
      </c>
      <c r="L116" s="107"/>
      <c r="M116" s="36"/>
      <c r="N116" s="36"/>
      <c r="O116" s="36"/>
      <c r="P116" s="105"/>
      <c r="Q116" s="41"/>
    </row>
    <row r="117" spans="2:23" ht="18.75" customHeight="1">
      <c r="H117" s="141"/>
      <c r="I117" s="142"/>
      <c r="J117" s="146"/>
      <c r="K117" s="38"/>
      <c r="L117" s="40"/>
      <c r="Q117" s="94"/>
    </row>
    <row r="118" spans="2:23" ht="18.75" customHeight="1">
      <c r="K118" s="39"/>
      <c r="L118" s="40"/>
      <c r="Q118" s="94"/>
    </row>
    <row r="119" spans="2:23" ht="18.75" customHeight="1">
      <c r="H119" s="139" t="s">
        <v>3667</v>
      </c>
      <c r="I119" s="140"/>
      <c r="J119" s="145" t="str">
        <f>エンティティ一覧!$O$2</f>
        <v>milscm_2023_009</v>
      </c>
      <c r="L119" s="40"/>
      <c r="Q119" s="94"/>
    </row>
    <row r="120" spans="2:23" ht="18.75" customHeight="1">
      <c r="H120" s="141"/>
      <c r="I120" s="142"/>
      <c r="J120" s="146"/>
      <c r="K120" s="37"/>
      <c r="L120" s="101"/>
      <c r="Q120" s="94"/>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3805</v>
      </c>
      <c r="D124" s="108"/>
      <c r="W124" s="35" t="str">
        <f>"-- "&amp;B124&amp;" : "&amp;C124</f>
        <v>-- SQL_ID : 11_06</v>
      </c>
    </row>
    <row r="125" spans="2:23" ht="18.75" customHeight="1">
      <c r="B125" s="43" t="s">
        <v>158</v>
      </c>
      <c r="C125" s="147" t="str">
        <f>R128&amp;"登録"</f>
        <v>組入れ_対象検体検査_対象患者登録</v>
      </c>
      <c r="D125" s="148"/>
      <c r="E125" s="148"/>
      <c r="F125" s="148"/>
      <c r="G125" s="148"/>
      <c r="H125" s="148"/>
      <c r="I125" s="148"/>
      <c r="J125" s="148"/>
      <c r="K125" s="148"/>
      <c r="L125" s="148"/>
      <c r="M125" s="148"/>
      <c r="N125" s="148"/>
      <c r="O125" s="148"/>
      <c r="P125" s="148"/>
      <c r="Q125" s="148"/>
      <c r="R125" s="148"/>
      <c r="S125" s="148"/>
      <c r="T125" s="148"/>
      <c r="U125" s="149"/>
      <c r="W125" s="35" t="str">
        <f>"-- "&amp;C125</f>
        <v>-- 組入れ_対象検体検査_対象患者登録</v>
      </c>
    </row>
    <row r="126" spans="2:23" ht="18.75" customHeight="1">
      <c r="B126" s="43" t="s">
        <v>159</v>
      </c>
      <c r="C126" s="136" t="str">
        <f>"検査データのテーブルから組入れ条件（対象期間、表示名の種類）で絞り込んだ結果を"&amp;R128&amp;"テーブルに格納する。"</f>
        <v>検査データのテーブルから組入れ条件（対象期間、表示名の種類）で絞り込んだ結果を組入れ_対象検体検査_対象患者テーブルに格納する。</v>
      </c>
      <c r="D126" s="137"/>
      <c r="E126" s="137"/>
      <c r="F126" s="137"/>
      <c r="G126" s="137"/>
      <c r="H126" s="137"/>
      <c r="I126" s="137"/>
      <c r="J126" s="137"/>
      <c r="K126" s="137"/>
      <c r="L126" s="137"/>
      <c r="M126" s="137"/>
      <c r="N126" s="137"/>
      <c r="O126" s="137"/>
      <c r="P126" s="137"/>
      <c r="Q126" s="137"/>
      <c r="R126" s="137"/>
      <c r="S126" s="137"/>
      <c r="T126" s="137"/>
      <c r="U126" s="138"/>
      <c r="W126" s="35" t="str">
        <f>"-- "&amp;C126</f>
        <v>-- 検査データのテーブルから組入れ条件（対象期間、表示名の種類）で絞り込んだ結果を組入れ_対象検体検査_対象患者テーブルに格納する。</v>
      </c>
    </row>
    <row r="128" spans="2:23" ht="18.75" customHeight="1">
      <c r="C128" s="139" t="s">
        <v>3801</v>
      </c>
      <c r="D128" s="140"/>
      <c r="E128" s="145" t="str">
        <f>エンティティ一覧!$O$2</f>
        <v>milscm_2023_009</v>
      </c>
      <c r="F128" s="36"/>
      <c r="G128" s="36"/>
      <c r="H128" s="36"/>
      <c r="I128" s="36"/>
      <c r="L128" s="107"/>
      <c r="O128" s="107"/>
      <c r="R128" s="139" t="s">
        <v>4021</v>
      </c>
      <c r="S128" s="140"/>
      <c r="T128" s="145" t="str">
        <f>エンティティ一覧!$O$2</f>
        <v>milscm_2023_009</v>
      </c>
    </row>
    <row r="129" spans="1:23" ht="18.75" customHeight="1">
      <c r="C129" s="141"/>
      <c r="D129" s="142"/>
      <c r="E129" s="146"/>
      <c r="F129" s="37"/>
      <c r="G129" s="37"/>
      <c r="H129" s="37"/>
      <c r="I129" s="37"/>
      <c r="J129" s="37"/>
      <c r="K129" s="97"/>
      <c r="L129" s="40"/>
      <c r="M129" s="37"/>
      <c r="N129" s="97"/>
      <c r="O129" s="40"/>
      <c r="P129" s="37"/>
      <c r="Q129" s="37"/>
      <c r="R129" s="141"/>
      <c r="S129" s="142"/>
      <c r="T129" s="146"/>
    </row>
    <row r="130" spans="1:23" ht="18.75" customHeight="1">
      <c r="K130" s="39"/>
      <c r="L130" s="40"/>
      <c r="M130" s="39"/>
      <c r="N130" s="39"/>
      <c r="O130" s="40"/>
    </row>
    <row r="131" spans="1:23" ht="18.75" customHeight="1">
      <c r="H131" s="139" t="s">
        <v>3667</v>
      </c>
      <c r="I131" s="140"/>
      <c r="J131" s="145" t="str">
        <f>エンティティ一覧!$O$2</f>
        <v>milscm_2023_009</v>
      </c>
      <c r="L131" s="41"/>
      <c r="M131" s="39"/>
      <c r="N131" s="39"/>
      <c r="O131" s="40"/>
    </row>
    <row r="132" spans="1:23" ht="18.75" customHeight="1">
      <c r="H132" s="141"/>
      <c r="I132" s="142"/>
      <c r="J132" s="146"/>
      <c r="K132" s="37"/>
      <c r="M132" s="39"/>
      <c r="N132" s="39"/>
      <c r="O132" s="40"/>
    </row>
    <row r="133" spans="1:23" ht="18.75" customHeight="1">
      <c r="K133" s="39"/>
      <c r="L133" s="101"/>
      <c r="M133" s="39"/>
      <c r="N133" s="39"/>
      <c r="O133" s="40"/>
    </row>
    <row r="134" spans="1:23" ht="18.75" customHeight="1">
      <c r="C134" s="139" t="s">
        <v>3801</v>
      </c>
      <c r="D134" s="140"/>
      <c r="E134" s="145" t="str">
        <f>エンティティ一覧!$O$2</f>
        <v>milscm_2023_009</v>
      </c>
      <c r="F134" s="36"/>
      <c r="G134" s="36"/>
      <c r="H134" s="36"/>
      <c r="I134" s="36"/>
      <c r="J134" s="36"/>
      <c r="L134" s="107"/>
      <c r="O134" s="41"/>
      <c r="R134" s="39"/>
      <c r="S134" s="39"/>
      <c r="T134" s="39"/>
    </row>
    <row r="135" spans="1:23" ht="18.75" customHeight="1">
      <c r="C135" s="141"/>
      <c r="D135" s="142"/>
      <c r="E135" s="146"/>
      <c r="F135" s="37"/>
      <c r="G135" s="37"/>
      <c r="H135" s="37"/>
      <c r="I135" s="37"/>
      <c r="J135" s="37"/>
      <c r="K135" s="97"/>
      <c r="L135" s="40"/>
      <c r="M135" s="37"/>
      <c r="N135" s="37"/>
      <c r="R135" s="39"/>
      <c r="S135" s="39"/>
      <c r="T135" s="39"/>
    </row>
    <row r="136" spans="1:23" ht="18.75" customHeight="1">
      <c r="K136" s="39"/>
      <c r="L136" s="40"/>
      <c r="M136" s="39"/>
      <c r="N136" s="39"/>
      <c r="O136" s="39"/>
      <c r="P136" s="39"/>
      <c r="Q136" s="39"/>
    </row>
    <row r="137" spans="1:23" ht="18.75" customHeight="1">
      <c r="H137" s="139" t="s">
        <v>3667</v>
      </c>
      <c r="I137" s="140"/>
      <c r="J137" s="145" t="str">
        <f>エンティティ一覧!$O$2</f>
        <v>milscm_2023_009</v>
      </c>
      <c r="L137" s="41"/>
      <c r="M137" s="39"/>
      <c r="N137" s="39"/>
      <c r="O137" s="39"/>
      <c r="P137" s="39"/>
      <c r="Q137" s="39"/>
    </row>
    <row r="138" spans="1:23" ht="18.75" customHeight="1">
      <c r="H138" s="141"/>
      <c r="I138" s="142"/>
      <c r="J138" s="146"/>
      <c r="K138" s="37"/>
      <c r="M138" s="39"/>
      <c r="N138" s="39"/>
      <c r="O138" s="39"/>
      <c r="P138" s="39"/>
      <c r="Q138" s="39"/>
    </row>
    <row r="139" spans="1:23" ht="18.75" customHeight="1">
      <c r="K139" s="39"/>
      <c r="L139" s="101"/>
      <c r="M139" s="39"/>
      <c r="N139" s="39"/>
      <c r="O139" s="39"/>
      <c r="P139" s="39"/>
      <c r="Q139" s="39"/>
    </row>
    <row r="140" spans="1:23" ht="18.75" customHeight="1" thickBot="1">
      <c r="B140" s="42"/>
      <c r="C140" s="42"/>
      <c r="D140" s="42"/>
      <c r="E140" s="42"/>
      <c r="F140" s="42"/>
      <c r="G140" s="42"/>
      <c r="H140" s="42"/>
      <c r="I140" s="42"/>
      <c r="J140" s="42"/>
      <c r="K140" s="42"/>
      <c r="L140" s="42"/>
      <c r="M140" s="42"/>
      <c r="N140" s="42"/>
      <c r="O140" s="42"/>
      <c r="P140" s="42"/>
      <c r="Q140" s="42"/>
      <c r="R140" s="42"/>
      <c r="S140" s="42"/>
      <c r="T140" s="42"/>
      <c r="U140" s="42"/>
    </row>
    <row r="142" spans="1:23" ht="18.75" customHeight="1">
      <c r="A142" s="77"/>
      <c r="B142" s="43" t="s">
        <v>163</v>
      </c>
      <c r="C142" s="51" t="s">
        <v>3806</v>
      </c>
      <c r="D142" s="95"/>
      <c r="W142" s="35" t="str">
        <f>"-- "&amp;B142&amp;" : "&amp;C142</f>
        <v>-- SQL_ID : 11_07</v>
      </c>
    </row>
    <row r="143" spans="1:23" ht="18.75" customHeight="1">
      <c r="B143" s="43" t="s">
        <v>158</v>
      </c>
      <c r="C143" s="147" t="str">
        <f>R146&amp;"登録"</f>
        <v>組入れ_対象患者登録</v>
      </c>
      <c r="D143" s="148"/>
      <c r="E143" s="148"/>
      <c r="F143" s="148"/>
      <c r="G143" s="148"/>
      <c r="H143" s="148"/>
      <c r="I143" s="148"/>
      <c r="J143" s="148"/>
      <c r="K143" s="148"/>
      <c r="L143" s="148"/>
      <c r="M143" s="148"/>
      <c r="N143" s="148"/>
      <c r="O143" s="148"/>
      <c r="P143" s="148"/>
      <c r="Q143" s="148"/>
      <c r="R143" s="148"/>
      <c r="S143" s="148"/>
      <c r="T143" s="148"/>
      <c r="U143" s="149"/>
      <c r="W143" s="35" t="str">
        <f>"-- "&amp;C143</f>
        <v>-- 組入れ_対象患者登録</v>
      </c>
    </row>
    <row r="144" spans="1:23" ht="18.75" customHeight="1">
      <c r="B144" s="43" t="s">
        <v>159</v>
      </c>
      <c r="C144" s="136" t="str">
        <f>C146&amp;"テーブルから組入れ条件で絞り込んだ結果を"&amp;R146&amp;"テーブルに格納する。"</f>
        <v>組入れ_対象疾患テーブルから組入れ条件で絞り込んだ結果を組入れ_対象患者テーブルに格納する。</v>
      </c>
      <c r="D144" s="137"/>
      <c r="E144" s="137"/>
      <c r="F144" s="137"/>
      <c r="G144" s="137"/>
      <c r="H144" s="137"/>
      <c r="I144" s="137"/>
      <c r="J144" s="137"/>
      <c r="K144" s="137"/>
      <c r="L144" s="137"/>
      <c r="M144" s="137"/>
      <c r="N144" s="137"/>
      <c r="O144" s="137"/>
      <c r="P144" s="137"/>
      <c r="Q144" s="137"/>
      <c r="R144" s="137"/>
      <c r="S144" s="137"/>
      <c r="T144" s="137"/>
      <c r="U144" s="138"/>
      <c r="W144" s="35" t="str">
        <f>"-- "&amp;C144</f>
        <v>-- 組入れ_対象疾患テーブルから組入れ条件で絞り込んだ結果を組入れ_対象患者テーブルに格納する。</v>
      </c>
    </row>
    <row r="146" spans="3:20" ht="18.75" customHeight="1">
      <c r="C146" s="139" t="s">
        <v>3669</v>
      </c>
      <c r="D146" s="140"/>
      <c r="E146" s="145" t="str">
        <f>エンティティ一覧!$O$2</f>
        <v>milscm_2023_009</v>
      </c>
      <c r="H146" s="36"/>
      <c r="I146" s="36"/>
      <c r="J146" s="36"/>
      <c r="M146" s="36"/>
      <c r="N146" s="36"/>
      <c r="O146" s="36"/>
      <c r="P146" s="36"/>
      <c r="Q146" s="36"/>
      <c r="R146" s="139" t="s">
        <v>175</v>
      </c>
      <c r="S146" s="140"/>
      <c r="T146" s="145" t="str">
        <f>エンティティ一覧!$O$2</f>
        <v>milscm_2023_009</v>
      </c>
    </row>
    <row r="147" spans="3:20" ht="18.75" customHeight="1">
      <c r="C147" s="141"/>
      <c r="D147" s="142"/>
      <c r="E147" s="146"/>
      <c r="F147" s="37"/>
      <c r="G147" s="38"/>
      <c r="H147" s="37"/>
      <c r="I147" s="37"/>
      <c r="J147" s="37"/>
      <c r="K147" s="37"/>
      <c r="L147" s="38"/>
      <c r="M147" s="37"/>
      <c r="N147" s="37"/>
      <c r="O147" s="37"/>
      <c r="P147" s="37"/>
      <c r="Q147" s="37"/>
      <c r="R147" s="141"/>
      <c r="S147" s="142"/>
      <c r="T147" s="146"/>
    </row>
    <row r="148" spans="3:20" ht="18.75" customHeight="1">
      <c r="F148" s="39"/>
      <c r="G148" s="40"/>
      <c r="K148" s="39"/>
      <c r="L148" s="40"/>
    </row>
    <row r="149" spans="3:20" ht="18.75" customHeight="1">
      <c r="C149" s="139" t="s">
        <v>3181</v>
      </c>
      <c r="D149" s="140"/>
      <c r="E149" s="145" t="str">
        <f>エンティティ一覧!$O$2</f>
        <v>milscm_2023_009</v>
      </c>
      <c r="G149" s="41"/>
      <c r="K149" s="39"/>
      <c r="L149" s="40"/>
    </row>
    <row r="150" spans="3:20" ht="18.75" customHeight="1">
      <c r="C150" s="141"/>
      <c r="D150" s="142"/>
      <c r="E150" s="146"/>
      <c r="F150" s="37"/>
      <c r="K150" s="39"/>
      <c r="L150" s="40"/>
    </row>
    <row r="151" spans="3:20" ht="18.75" customHeight="1">
      <c r="K151" s="39"/>
      <c r="L151" s="40"/>
    </row>
    <row r="152" spans="3:20" ht="18.75" customHeight="1">
      <c r="C152" s="139" t="s">
        <v>3792</v>
      </c>
      <c r="D152" s="140"/>
      <c r="E152" s="145" t="str">
        <f>エンティティ一覧!$O$2</f>
        <v>milscm_2023_009</v>
      </c>
      <c r="H152" s="36"/>
      <c r="I152" s="36"/>
      <c r="J152" s="36"/>
      <c r="K152" s="36"/>
      <c r="L152" s="41"/>
    </row>
    <row r="153" spans="3:20" ht="18.75" customHeight="1">
      <c r="C153" s="141"/>
      <c r="D153" s="142"/>
      <c r="E153" s="146"/>
      <c r="F153" s="37"/>
      <c r="G153" s="38"/>
      <c r="H153" s="37"/>
      <c r="I153" s="37"/>
      <c r="J153" s="37"/>
      <c r="K153" s="97"/>
    </row>
    <row r="154" spans="3:20" ht="18.75" customHeight="1">
      <c r="F154" s="39"/>
      <c r="G154" s="40"/>
      <c r="K154" s="39"/>
      <c r="L154" s="40"/>
    </row>
    <row r="155" spans="3:20" ht="18.75" customHeight="1">
      <c r="C155" s="139" t="s">
        <v>3181</v>
      </c>
      <c r="D155" s="140"/>
      <c r="E155" s="145" t="str">
        <f>エンティティ一覧!$O$2</f>
        <v>milscm_2023_009</v>
      </c>
      <c r="G155" s="41"/>
      <c r="K155" s="39"/>
      <c r="L155" s="40"/>
    </row>
    <row r="156" spans="3:20" ht="18.75" customHeight="1">
      <c r="C156" s="141"/>
      <c r="D156" s="142"/>
      <c r="E156" s="146"/>
      <c r="F156" s="37"/>
      <c r="K156" s="39"/>
      <c r="L156" s="40"/>
    </row>
    <row r="157" spans="3:20" ht="18.75" customHeight="1">
      <c r="K157" s="39"/>
      <c r="L157" s="40"/>
    </row>
    <row r="158" spans="3:20" ht="18.75" customHeight="1">
      <c r="C158" s="139" t="s">
        <v>4021</v>
      </c>
      <c r="D158" s="140"/>
      <c r="E158" s="145" t="str">
        <f>エンティティ一覧!$O$2</f>
        <v>milscm_2023_009</v>
      </c>
      <c r="H158" s="36"/>
      <c r="I158" s="36"/>
      <c r="J158" s="36"/>
      <c r="L158" s="41"/>
    </row>
    <row r="159" spans="3:20" ht="18.75" customHeight="1">
      <c r="C159" s="141"/>
      <c r="D159" s="142"/>
      <c r="E159" s="146"/>
      <c r="F159" s="37"/>
      <c r="G159" s="38"/>
      <c r="H159" s="37"/>
      <c r="I159" s="37"/>
      <c r="J159" s="37"/>
      <c r="K159" s="37"/>
    </row>
    <row r="160" spans="3:20" ht="18.75" customHeight="1">
      <c r="F160" s="39"/>
      <c r="G160" s="40"/>
    </row>
    <row r="161" spans="2:23" ht="18.75" customHeight="1">
      <c r="C161" s="139" t="s">
        <v>3181</v>
      </c>
      <c r="D161" s="140"/>
      <c r="E161" s="145" t="str">
        <f>エンティティ一覧!$O$2</f>
        <v>milscm_2023_009</v>
      </c>
      <c r="G161" s="41"/>
    </row>
    <row r="162" spans="2:23" ht="18.75" customHeight="1">
      <c r="C162" s="141"/>
      <c r="D162" s="142"/>
      <c r="E162" s="146"/>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3984</v>
      </c>
      <c r="D166" s="52"/>
      <c r="W166" s="35" t="str">
        <f>"-- "&amp;B166&amp;" : "&amp;C166</f>
        <v>-- SQL_ID : 11_08</v>
      </c>
    </row>
    <row r="167" spans="2:23" ht="18.75" customHeight="1">
      <c r="B167" s="43" t="s">
        <v>158</v>
      </c>
      <c r="C167" s="147" t="s">
        <v>902</v>
      </c>
      <c r="D167" s="148"/>
      <c r="E167" s="148"/>
      <c r="F167" s="148"/>
      <c r="G167" s="148"/>
      <c r="H167" s="148"/>
      <c r="I167" s="148"/>
      <c r="J167" s="148"/>
      <c r="K167" s="148"/>
      <c r="L167" s="148"/>
      <c r="M167" s="148"/>
      <c r="N167" s="148"/>
      <c r="O167" s="148"/>
      <c r="P167" s="148"/>
      <c r="Q167" s="148"/>
      <c r="R167" s="148"/>
      <c r="S167" s="148"/>
      <c r="T167" s="148"/>
      <c r="U167" s="149"/>
      <c r="W167" s="35" t="str">
        <f>"-- "&amp;C167</f>
        <v>-- 組入れ_施設別患者数_取得</v>
      </c>
    </row>
    <row r="168" spans="2:23" ht="18.75" customHeight="1">
      <c r="B168" s="43" t="s">
        <v>159</v>
      </c>
      <c r="C168" s="136" t="s">
        <v>3807</v>
      </c>
      <c r="D168" s="137"/>
      <c r="E168" s="137"/>
      <c r="F168" s="137"/>
      <c r="G168" s="137"/>
      <c r="H168" s="137"/>
      <c r="I168" s="137"/>
      <c r="J168" s="137"/>
      <c r="K168" s="137"/>
      <c r="L168" s="137"/>
      <c r="M168" s="137"/>
      <c r="N168" s="137"/>
      <c r="O168" s="137"/>
      <c r="P168" s="137"/>
      <c r="Q168" s="137"/>
      <c r="R168" s="137"/>
      <c r="S168" s="137"/>
      <c r="T168" s="137"/>
      <c r="U168" s="138"/>
      <c r="W168" s="35" t="str">
        <f>"-- "&amp;C168</f>
        <v>-- 施設別の患者数の集計結果を取得する。　※事前調査時点の544名と比較して同程度であるか確認する。</v>
      </c>
    </row>
    <row r="170" spans="2:23" ht="18.75" customHeight="1">
      <c r="C170" s="139" t="s">
        <v>175</v>
      </c>
      <c r="D170" s="140"/>
      <c r="E170" s="145" t="s">
        <v>167</v>
      </c>
      <c r="F170" s="36"/>
      <c r="G170" s="36"/>
      <c r="H170" s="36"/>
      <c r="I170" s="36"/>
      <c r="J170" s="36"/>
      <c r="K170" s="36"/>
      <c r="L170" s="36"/>
      <c r="M170" s="36"/>
      <c r="N170" s="36"/>
      <c r="O170" s="36"/>
      <c r="P170" s="36"/>
      <c r="Q170" s="36"/>
      <c r="R170" s="139" t="s">
        <v>188</v>
      </c>
      <c r="S170" s="140"/>
      <c r="T170" s="145" t="s">
        <v>177</v>
      </c>
    </row>
    <row r="171" spans="2:23" ht="18.75" customHeight="1">
      <c r="C171" s="141"/>
      <c r="D171" s="142"/>
      <c r="E171" s="146"/>
      <c r="F171" s="37"/>
      <c r="G171" s="37"/>
      <c r="H171" s="37"/>
      <c r="I171" s="37"/>
      <c r="J171" s="37"/>
      <c r="K171" s="37"/>
      <c r="L171" s="37"/>
      <c r="M171" s="37"/>
      <c r="N171" s="37"/>
      <c r="O171" s="37"/>
      <c r="P171" s="37"/>
      <c r="Q171" s="37"/>
      <c r="R171" s="141"/>
      <c r="S171" s="142"/>
      <c r="T171" s="146"/>
    </row>
    <row r="173" spans="2:23" ht="18.75" customHeight="1" thickBot="1">
      <c r="B173" s="42"/>
      <c r="C173" s="42"/>
      <c r="D173" s="42"/>
      <c r="E173" s="42"/>
      <c r="F173" s="42"/>
      <c r="G173" s="42"/>
      <c r="H173" s="42"/>
      <c r="I173" s="42"/>
      <c r="J173" s="42"/>
      <c r="K173" s="42"/>
      <c r="L173" s="42"/>
      <c r="M173" s="42"/>
      <c r="N173" s="42"/>
      <c r="O173" s="42"/>
      <c r="P173" s="42"/>
      <c r="Q173" s="42"/>
      <c r="R173" s="42"/>
      <c r="S173" s="42"/>
      <c r="T173" s="42"/>
      <c r="U173" s="42"/>
    </row>
  </sheetData>
  <mergeCells count="112">
    <mergeCell ref="E40:E41"/>
    <mergeCell ref="R40:S41"/>
    <mergeCell ref="T40:T41"/>
    <mergeCell ref="R65:S66"/>
    <mergeCell ref="C170:D171"/>
    <mergeCell ref="E170:E171"/>
    <mergeCell ref="R170:S171"/>
    <mergeCell ref="T170:T171"/>
    <mergeCell ref="C4:U4"/>
    <mergeCell ref="C5:U5"/>
    <mergeCell ref="C7:D8"/>
    <mergeCell ref="E7:E8"/>
    <mergeCell ref="R7:S8"/>
    <mergeCell ref="T7:T8"/>
    <mergeCell ref="C10:D11"/>
    <mergeCell ref="E10:E11"/>
    <mergeCell ref="C89:U89"/>
    <mergeCell ref="C25:U25"/>
    <mergeCell ref="C26:U26"/>
    <mergeCell ref="C28:D29"/>
    <mergeCell ref="E28:E29"/>
    <mergeCell ref="R28:S29"/>
    <mergeCell ref="T28:T29"/>
    <mergeCell ref="H31:I32"/>
    <mergeCell ref="J31:J32"/>
    <mergeCell ref="C37:U37"/>
    <mergeCell ref="C38:U38"/>
    <mergeCell ref="C40:D41"/>
    <mergeCell ref="C167:U167"/>
    <mergeCell ref="C168:U168"/>
    <mergeCell ref="H107:I108"/>
    <mergeCell ref="J107:J108"/>
    <mergeCell ref="C90:U90"/>
    <mergeCell ref="C92:D93"/>
    <mergeCell ref="E92:E93"/>
    <mergeCell ref="R92:S93"/>
    <mergeCell ref="T92:T93"/>
    <mergeCell ref="C101:D102"/>
    <mergeCell ref="E101:E102"/>
    <mergeCell ref="C143:U143"/>
    <mergeCell ref="C149:D150"/>
    <mergeCell ref="E149:E150"/>
    <mergeCell ref="C152:D153"/>
    <mergeCell ref="E152:E153"/>
    <mergeCell ref="M43:N44"/>
    <mergeCell ref="O43:O44"/>
    <mergeCell ref="H98:I99"/>
    <mergeCell ref="J98:J99"/>
    <mergeCell ref="C50:U50"/>
    <mergeCell ref="C51:U51"/>
    <mergeCell ref="C53:D54"/>
    <mergeCell ref="E53:E54"/>
    <mergeCell ref="R53:S54"/>
    <mergeCell ref="T53:T54"/>
    <mergeCell ref="C62:U62"/>
    <mergeCell ref="C63:U63"/>
    <mergeCell ref="C65:D66"/>
    <mergeCell ref="E65:E66"/>
    <mergeCell ref="T65:T66"/>
    <mergeCell ref="C161:D162"/>
    <mergeCell ref="E161:E162"/>
    <mergeCell ref="C155:D156"/>
    <mergeCell ref="E155:E156"/>
    <mergeCell ref="C158:D159"/>
    <mergeCell ref="E158:E159"/>
    <mergeCell ref="C144:U144"/>
    <mergeCell ref="C146:D147"/>
    <mergeCell ref="E146:E147"/>
    <mergeCell ref="R146:S147"/>
    <mergeCell ref="T146:T147"/>
    <mergeCell ref="M83:N84"/>
    <mergeCell ref="C125:U125"/>
    <mergeCell ref="C126:U126"/>
    <mergeCell ref="C128:D129"/>
    <mergeCell ref="E128:E129"/>
    <mergeCell ref="R128:S129"/>
    <mergeCell ref="T128:T129"/>
    <mergeCell ref="H131:I132"/>
    <mergeCell ref="J131:J132"/>
    <mergeCell ref="J80:J81"/>
    <mergeCell ref="C134:D135"/>
    <mergeCell ref="E134:E135"/>
    <mergeCell ref="H137:I138"/>
    <mergeCell ref="J137:J138"/>
    <mergeCell ref="C68:D69"/>
    <mergeCell ref="E68:E69"/>
    <mergeCell ref="H71:I72"/>
    <mergeCell ref="J71:J72"/>
    <mergeCell ref="C16:U16"/>
    <mergeCell ref="C17:U17"/>
    <mergeCell ref="C19:D20"/>
    <mergeCell ref="E19:E20"/>
    <mergeCell ref="R19:S20"/>
    <mergeCell ref="T19:T20"/>
    <mergeCell ref="H116:I117"/>
    <mergeCell ref="J116:J117"/>
    <mergeCell ref="H119:I120"/>
    <mergeCell ref="J119:J120"/>
    <mergeCell ref="C95:D96"/>
    <mergeCell ref="E95:E96"/>
    <mergeCell ref="C110:D111"/>
    <mergeCell ref="E110:E111"/>
    <mergeCell ref="C113:D114"/>
    <mergeCell ref="E113:E114"/>
    <mergeCell ref="O83:O84"/>
    <mergeCell ref="C104:D105"/>
    <mergeCell ref="E104:E105"/>
    <mergeCell ref="H74:I75"/>
    <mergeCell ref="J74:J75"/>
    <mergeCell ref="H77:I78"/>
    <mergeCell ref="J77:J78"/>
    <mergeCell ref="H80:I81"/>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80"/>
  <sheetViews>
    <sheetView showGridLines="0" topLeftCell="A22" zoomScaleNormal="100" workbookViewId="0">
      <selection activeCell="R25" sqref="R25:S26"/>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47" t="str">
        <f>R7&amp;"登録"</f>
        <v>患者ID一覧マスタ登録</v>
      </c>
      <c r="D4" s="148"/>
      <c r="E4" s="148"/>
      <c r="F4" s="148"/>
      <c r="G4" s="148"/>
      <c r="H4" s="148"/>
      <c r="I4" s="148"/>
      <c r="J4" s="148"/>
      <c r="K4" s="148"/>
      <c r="L4" s="148"/>
      <c r="M4" s="148"/>
      <c r="N4" s="148"/>
      <c r="O4" s="148"/>
      <c r="P4" s="148"/>
      <c r="Q4" s="148"/>
      <c r="R4" s="148"/>
      <c r="S4" s="148"/>
      <c r="T4" s="148"/>
      <c r="U4" s="149"/>
      <c r="W4" s="35" t="str">
        <f>"-- "&amp;C4</f>
        <v>-- 患者ID一覧マスタ登録</v>
      </c>
    </row>
    <row r="5" spans="2:23" ht="18.75" customHeight="1">
      <c r="B5" s="43" t="s">
        <v>159</v>
      </c>
      <c r="C5" s="136"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37"/>
      <c r="E5" s="137"/>
      <c r="F5" s="137"/>
      <c r="G5" s="137"/>
      <c r="H5" s="137"/>
      <c r="I5" s="137"/>
      <c r="J5" s="137"/>
      <c r="K5" s="137"/>
      <c r="L5" s="137"/>
      <c r="M5" s="137"/>
      <c r="N5" s="137"/>
      <c r="O5" s="137"/>
      <c r="P5" s="137"/>
      <c r="Q5" s="137"/>
      <c r="R5" s="137"/>
      <c r="S5" s="137"/>
      <c r="T5" s="137"/>
      <c r="U5" s="138"/>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39" t="s">
        <v>4088</v>
      </c>
      <c r="I7" s="140"/>
      <c r="J7" s="145" t="str">
        <f>エンティティ一覧!$O$2</f>
        <v>milscm_2023_009</v>
      </c>
      <c r="K7" s="36"/>
      <c r="M7" s="36"/>
      <c r="N7" s="36"/>
      <c r="O7" s="36"/>
      <c r="R7" s="139" t="s">
        <v>3732</v>
      </c>
      <c r="S7" s="140"/>
      <c r="T7" s="145" t="str">
        <f>エンティティ一覧!$O$2</f>
        <v>milscm_2023_009</v>
      </c>
    </row>
    <row r="8" spans="2:23" ht="18.75" customHeight="1">
      <c r="H8" s="141"/>
      <c r="I8" s="142"/>
      <c r="J8" s="146"/>
      <c r="K8" s="37"/>
      <c r="L8" s="38"/>
      <c r="M8" s="37"/>
      <c r="N8" s="37"/>
      <c r="O8" s="37"/>
      <c r="P8" s="37"/>
      <c r="Q8" s="38"/>
      <c r="R8" s="141"/>
      <c r="S8" s="142"/>
      <c r="T8" s="146"/>
    </row>
    <row r="9" spans="2:23" ht="18.75" customHeight="1">
      <c r="K9" s="39"/>
      <c r="L9" s="40"/>
      <c r="P9" s="39"/>
      <c r="Q9" s="40"/>
    </row>
    <row r="10" spans="2:23" ht="18.75" customHeight="1">
      <c r="C10" s="139" t="s">
        <v>4088</v>
      </c>
      <c r="D10" s="140"/>
      <c r="E10" s="145" t="str">
        <f>エンティティ一覧!$O$2</f>
        <v>milscm_2023_009</v>
      </c>
      <c r="H10" s="36"/>
      <c r="I10" s="36"/>
      <c r="J10" s="36"/>
      <c r="L10" s="41"/>
      <c r="P10" s="39"/>
      <c r="Q10" s="40"/>
    </row>
    <row r="11" spans="2:23" ht="18.75" customHeight="1">
      <c r="C11" s="141"/>
      <c r="D11" s="142"/>
      <c r="E11" s="146"/>
      <c r="F11" s="37"/>
      <c r="G11" s="38"/>
      <c r="H11" s="37"/>
      <c r="I11" s="37"/>
      <c r="J11" s="37"/>
      <c r="K11" s="37"/>
      <c r="P11" s="39"/>
      <c r="Q11" s="40"/>
    </row>
    <row r="12" spans="2:23" ht="18.75" customHeight="1">
      <c r="F12" s="39"/>
      <c r="G12" s="40"/>
      <c r="P12" s="39"/>
      <c r="Q12" s="40"/>
    </row>
    <row r="13" spans="2:23" ht="18.75" customHeight="1">
      <c r="C13" s="139" t="s">
        <v>175</v>
      </c>
      <c r="D13" s="140"/>
      <c r="E13" s="145" t="str">
        <f>エンティティ一覧!$O$2</f>
        <v>milscm_2023_009</v>
      </c>
      <c r="G13" s="41"/>
      <c r="P13" s="39"/>
      <c r="Q13" s="40"/>
    </row>
    <row r="14" spans="2:23" ht="18.75" customHeight="1">
      <c r="C14" s="141"/>
      <c r="D14" s="142"/>
      <c r="E14" s="146"/>
      <c r="F14" s="37"/>
      <c r="P14" s="39"/>
      <c r="Q14" s="40"/>
    </row>
    <row r="15" spans="2:23" ht="18.75" customHeight="1">
      <c r="P15" s="39"/>
      <c r="Q15" s="40"/>
    </row>
    <row r="16" spans="2:23" ht="18.75" customHeight="1">
      <c r="M16" s="139" t="s">
        <v>3665</v>
      </c>
      <c r="N16" s="140"/>
      <c r="O16" s="143" t="s">
        <v>162</v>
      </c>
      <c r="Q16" s="41"/>
    </row>
    <row r="17" spans="2:23" ht="18.75" customHeight="1">
      <c r="M17" s="141"/>
      <c r="N17" s="142"/>
      <c r="O17" s="144"/>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1"/>
      <c r="W21" s="35" t="str">
        <f>"-- "&amp;B21&amp;" : "&amp;C21</f>
        <v>-- SQL_ID : 21_02</v>
      </c>
    </row>
    <row r="22" spans="2:23" ht="18.75" customHeight="1">
      <c r="B22" s="43" t="s">
        <v>158</v>
      </c>
      <c r="C22" s="147" t="str">
        <f>R25&amp;"登録"</f>
        <v>施設マスタ登録</v>
      </c>
      <c r="D22" s="148"/>
      <c r="E22" s="148"/>
      <c r="F22" s="148"/>
      <c r="G22" s="148"/>
      <c r="H22" s="148"/>
      <c r="I22" s="148"/>
      <c r="J22" s="148"/>
      <c r="K22" s="148"/>
      <c r="L22" s="148"/>
      <c r="M22" s="148"/>
      <c r="N22" s="148"/>
      <c r="O22" s="148"/>
      <c r="P22" s="148"/>
      <c r="Q22" s="148"/>
      <c r="R22" s="148"/>
      <c r="S22" s="148"/>
      <c r="T22" s="148"/>
      <c r="U22" s="149"/>
      <c r="W22" s="35" t="str">
        <f>"-- "&amp;C22</f>
        <v>-- 施設マスタ登録</v>
      </c>
    </row>
    <row r="23" spans="2:23" ht="18.75" customHeight="1">
      <c r="B23" s="43" t="s">
        <v>159</v>
      </c>
      <c r="C23" s="162" t="str">
        <f>C25&amp;"テーブルに施設マスクIDを付与した結果を"&amp;R25&amp;"テーブルに格納する。"</f>
        <v>組入れ_対象施設テーブルに施設マスクIDを付与した結果を施設マスタテーブルに格納する。</v>
      </c>
      <c r="D23" s="163"/>
      <c r="E23" s="163"/>
      <c r="F23" s="163"/>
      <c r="G23" s="163"/>
      <c r="H23" s="163"/>
      <c r="I23" s="163"/>
      <c r="J23" s="163"/>
      <c r="K23" s="163"/>
      <c r="L23" s="163"/>
      <c r="M23" s="163"/>
      <c r="N23" s="163"/>
      <c r="O23" s="163"/>
      <c r="P23" s="163"/>
      <c r="Q23" s="163"/>
      <c r="R23" s="163"/>
      <c r="S23" s="163"/>
      <c r="T23" s="163"/>
      <c r="U23" s="164"/>
      <c r="W23" s="35" t="str">
        <f>"-- "&amp;C23</f>
        <v>-- 組入れ_対象施設テーブルに施設マスクIDを付与した結果を施設マスタテーブルに格納する。</v>
      </c>
    </row>
    <row r="25" spans="2:23" ht="18.75" customHeight="1">
      <c r="C25" s="139" t="s">
        <v>3667</v>
      </c>
      <c r="D25" s="140"/>
      <c r="E25" s="145" t="str">
        <f>エンティティ一覧!$O$2</f>
        <v>milscm_2023_009</v>
      </c>
      <c r="F25" s="36"/>
      <c r="G25" s="36"/>
      <c r="H25" s="36"/>
      <c r="I25" s="36"/>
      <c r="J25" s="36"/>
      <c r="K25" s="36"/>
      <c r="L25" s="36"/>
      <c r="M25" s="36"/>
      <c r="N25" s="36"/>
      <c r="O25" s="36"/>
      <c r="P25" s="36"/>
      <c r="Q25" s="36"/>
      <c r="R25" s="139" t="s">
        <v>4089</v>
      </c>
      <c r="S25" s="140"/>
      <c r="T25" s="145" t="str">
        <f>エンティティ一覧!$O$2</f>
        <v>milscm_2023_009</v>
      </c>
    </row>
    <row r="26" spans="2:23" ht="18.75" customHeight="1">
      <c r="C26" s="141"/>
      <c r="D26" s="142"/>
      <c r="E26" s="146"/>
      <c r="F26" s="37"/>
      <c r="G26" s="37"/>
      <c r="H26" s="37"/>
      <c r="I26" s="37"/>
      <c r="J26" s="37"/>
      <c r="K26" s="37"/>
      <c r="L26" s="37"/>
      <c r="M26" s="37"/>
      <c r="N26" s="37"/>
      <c r="O26" s="37"/>
      <c r="P26" s="37"/>
      <c r="Q26" s="37"/>
      <c r="R26" s="141"/>
      <c r="S26" s="142"/>
      <c r="T26" s="146"/>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901</v>
      </c>
      <c r="D30" s="109"/>
      <c r="W30" s="35" t="str">
        <f>"-- "&amp;B30&amp;" : "&amp;C30</f>
        <v>-- SQL_ID : 21_03</v>
      </c>
    </row>
    <row r="31" spans="2:23" ht="18.75" customHeight="1">
      <c r="B31" s="43" t="s">
        <v>158</v>
      </c>
      <c r="C31" s="147" t="str">
        <f>R34&amp;"登録"</f>
        <v>患者マスタ登録</v>
      </c>
      <c r="D31" s="148"/>
      <c r="E31" s="148"/>
      <c r="F31" s="148"/>
      <c r="G31" s="148"/>
      <c r="H31" s="148"/>
      <c r="I31" s="148"/>
      <c r="J31" s="148"/>
      <c r="K31" s="148"/>
      <c r="L31" s="148"/>
      <c r="M31" s="148"/>
      <c r="N31" s="148"/>
      <c r="O31" s="148"/>
      <c r="P31" s="148"/>
      <c r="Q31" s="148"/>
      <c r="R31" s="148"/>
      <c r="S31" s="148"/>
      <c r="T31" s="148"/>
      <c r="U31" s="149"/>
      <c r="W31" s="35" t="str">
        <f>"-- "&amp;C31</f>
        <v>-- 患者マスタ登録</v>
      </c>
    </row>
    <row r="32" spans="2:23" ht="18.75" customHeight="1">
      <c r="B32" s="43" t="s">
        <v>159</v>
      </c>
      <c r="C32" s="162"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63"/>
      <c r="E32" s="163"/>
      <c r="F32" s="163"/>
      <c r="G32" s="163"/>
      <c r="H32" s="163"/>
      <c r="I32" s="163"/>
      <c r="J32" s="163"/>
      <c r="K32" s="163"/>
      <c r="L32" s="163"/>
      <c r="M32" s="163"/>
      <c r="N32" s="163"/>
      <c r="O32" s="163"/>
      <c r="P32" s="163"/>
      <c r="Q32" s="163"/>
      <c r="R32" s="163"/>
      <c r="S32" s="163"/>
      <c r="T32" s="163"/>
      <c r="U32" s="164"/>
      <c r="W32" s="35" t="str">
        <f>"-- "&amp;C32</f>
        <v>-- 患者ID一覧マスタテーブルを施設IDと紐づけIDで集約し、マスクIDを付与した結果を患者マスタテーブルに格納する。</v>
      </c>
    </row>
    <row r="34" spans="2:23" ht="18.75" customHeight="1">
      <c r="C34" s="139" t="s">
        <v>3732</v>
      </c>
      <c r="D34" s="140"/>
      <c r="E34" s="145" t="str">
        <f>エンティティ一覧!$O$2</f>
        <v>milscm_2023_009</v>
      </c>
      <c r="F34" s="36"/>
      <c r="G34" s="36"/>
      <c r="H34" s="36"/>
      <c r="I34" s="36"/>
      <c r="J34" s="36"/>
      <c r="K34" s="36"/>
      <c r="L34" s="36"/>
      <c r="M34" s="36"/>
      <c r="N34" s="36"/>
      <c r="O34" s="36"/>
      <c r="P34" s="36"/>
      <c r="Q34" s="36"/>
      <c r="R34" s="139" t="s">
        <v>187</v>
      </c>
      <c r="S34" s="140"/>
      <c r="T34" s="145" t="str">
        <f>エンティティ一覧!$O$2</f>
        <v>milscm_2023_009</v>
      </c>
    </row>
    <row r="35" spans="2:23" ht="18.75" customHeight="1">
      <c r="C35" s="141"/>
      <c r="D35" s="142"/>
      <c r="E35" s="146"/>
      <c r="F35" s="37"/>
      <c r="G35" s="37"/>
      <c r="H35" s="37"/>
      <c r="I35" s="37"/>
      <c r="J35" s="37"/>
      <c r="K35" s="37"/>
      <c r="L35" s="38"/>
      <c r="M35" s="37"/>
      <c r="N35" s="37"/>
      <c r="O35" s="37"/>
      <c r="P35" s="37"/>
      <c r="Q35" s="37"/>
      <c r="R35" s="141"/>
      <c r="S35" s="142"/>
      <c r="T35" s="146"/>
    </row>
    <row r="36" spans="2:23" ht="18.75" customHeight="1">
      <c r="K36" s="39"/>
      <c r="L36" s="40"/>
    </row>
    <row r="37" spans="2:23" ht="18.75" customHeight="1">
      <c r="C37" s="139" t="s">
        <v>3846</v>
      </c>
      <c r="D37" s="140"/>
      <c r="E37" s="145" t="str">
        <f>エンティティ一覧!$O$2</f>
        <v>milscm_2023_009</v>
      </c>
      <c r="F37" s="36"/>
      <c r="G37" s="36"/>
      <c r="H37" s="36"/>
      <c r="I37" s="36"/>
      <c r="J37" s="36"/>
      <c r="L37" s="41"/>
    </row>
    <row r="38" spans="2:23" ht="18.75" customHeight="1">
      <c r="C38" s="141"/>
      <c r="D38" s="142"/>
      <c r="E38" s="146"/>
      <c r="F38" s="37"/>
      <c r="G38" s="37"/>
      <c r="H38" s="37"/>
      <c r="I38" s="37"/>
      <c r="J38" s="37"/>
      <c r="K38" s="37"/>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51" t="s">
        <v>4090</v>
      </c>
      <c r="D42" s="62"/>
      <c r="W42" s="35" t="str">
        <f>"-- "&amp;B42&amp;" : "&amp;C42</f>
        <v>-- SQL_ID : 21_04</v>
      </c>
    </row>
    <row r="43" spans="2:23" ht="18.75" customHeight="1">
      <c r="B43" s="43" t="s">
        <v>158</v>
      </c>
      <c r="C43" s="147" t="str">
        <f>R46&amp;"投入"</f>
        <v>疾患マスタ投入</v>
      </c>
      <c r="D43" s="148"/>
      <c r="E43" s="148"/>
      <c r="F43" s="148"/>
      <c r="G43" s="148"/>
      <c r="H43" s="148"/>
      <c r="I43" s="148"/>
      <c r="J43" s="148"/>
      <c r="K43" s="148"/>
      <c r="L43" s="148"/>
      <c r="M43" s="148"/>
      <c r="N43" s="148"/>
      <c r="O43" s="148"/>
      <c r="P43" s="148"/>
      <c r="Q43" s="148"/>
      <c r="R43" s="148"/>
      <c r="S43" s="148"/>
      <c r="T43" s="148"/>
      <c r="U43" s="149"/>
      <c r="W43" s="35" t="str">
        <f>"-- "&amp;C43</f>
        <v>-- 疾患マスタ投入</v>
      </c>
    </row>
    <row r="44" spans="2:23" ht="18.75" customHeight="1">
      <c r="B44" s="43" t="s">
        <v>159</v>
      </c>
      <c r="C44" s="136" t="s">
        <v>4091</v>
      </c>
      <c r="D44" s="137"/>
      <c r="E44" s="137"/>
      <c r="F44" s="137"/>
      <c r="G44" s="137"/>
      <c r="H44" s="137"/>
      <c r="I44" s="137"/>
      <c r="J44" s="137"/>
      <c r="K44" s="137"/>
      <c r="L44" s="137"/>
      <c r="M44" s="137"/>
      <c r="N44" s="137"/>
      <c r="O44" s="137"/>
      <c r="P44" s="137"/>
      <c r="Q44" s="137"/>
      <c r="R44" s="137"/>
      <c r="S44" s="137"/>
      <c r="T44" s="137"/>
      <c r="U44" s="138"/>
      <c r="W44" s="35" t="str">
        <f>"-- "&amp;C44</f>
        <v>-- 疾患マスタを疾患マスタに投入する。</v>
      </c>
    </row>
    <row r="46" spans="2:23" ht="18.75" customHeight="1">
      <c r="C46" s="139" t="s">
        <v>178</v>
      </c>
      <c r="D46" s="140"/>
      <c r="E46" s="145" t="s">
        <v>177</v>
      </c>
      <c r="F46" s="36"/>
      <c r="G46" s="36"/>
      <c r="H46" s="36"/>
      <c r="I46" s="36"/>
      <c r="J46" s="36"/>
      <c r="K46" s="36"/>
      <c r="L46" s="36"/>
      <c r="M46" s="36"/>
      <c r="N46" s="36"/>
      <c r="O46" s="36"/>
      <c r="P46" s="36"/>
      <c r="Q46" s="36"/>
      <c r="R46" s="139" t="s">
        <v>178</v>
      </c>
      <c r="S46" s="140"/>
      <c r="T46" s="145" t="str">
        <f>エンティティ一覧!$O$2</f>
        <v>milscm_2023_009</v>
      </c>
    </row>
    <row r="47" spans="2:23" ht="18.75" customHeight="1">
      <c r="C47" s="141"/>
      <c r="D47" s="142"/>
      <c r="E47" s="146"/>
      <c r="F47" s="37"/>
      <c r="G47" s="37"/>
      <c r="H47" s="37"/>
      <c r="I47" s="37"/>
      <c r="J47" s="37"/>
      <c r="K47" s="37"/>
      <c r="L47" s="37"/>
      <c r="M47" s="37"/>
      <c r="N47" s="37"/>
      <c r="O47" s="37"/>
      <c r="P47" s="37"/>
      <c r="Q47" s="37"/>
      <c r="R47" s="141"/>
      <c r="S47" s="142"/>
      <c r="T47" s="146"/>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4092</v>
      </c>
      <c r="D52" s="109"/>
      <c r="W52" s="35" t="str">
        <f>"-- "&amp;B52&amp;" : "&amp;C52</f>
        <v>-- SQL_ID : 21_05</v>
      </c>
    </row>
    <row r="53" spans="2:23" ht="18.75" customHeight="1">
      <c r="B53" s="43" t="s">
        <v>158</v>
      </c>
      <c r="C53" s="147" t="str">
        <f>R56&amp;"投入"</f>
        <v>薬剤マスタ投入</v>
      </c>
      <c r="D53" s="148"/>
      <c r="E53" s="148"/>
      <c r="F53" s="148"/>
      <c r="G53" s="148"/>
      <c r="H53" s="148"/>
      <c r="I53" s="148"/>
      <c r="J53" s="148"/>
      <c r="K53" s="148"/>
      <c r="L53" s="148"/>
      <c r="M53" s="148"/>
      <c r="N53" s="148"/>
      <c r="O53" s="148"/>
      <c r="P53" s="148"/>
      <c r="Q53" s="148"/>
      <c r="R53" s="148"/>
      <c r="S53" s="148"/>
      <c r="T53" s="148"/>
      <c r="U53" s="149"/>
      <c r="W53" s="35" t="str">
        <f>"-- "&amp;C53</f>
        <v>-- 薬剤マスタ投入</v>
      </c>
    </row>
    <row r="54" spans="2:23" ht="18.75" customHeight="1">
      <c r="B54" s="43" t="s">
        <v>159</v>
      </c>
      <c r="C54" s="136" t="s">
        <v>4093</v>
      </c>
      <c r="D54" s="137"/>
      <c r="E54" s="137"/>
      <c r="F54" s="137"/>
      <c r="G54" s="137"/>
      <c r="H54" s="137"/>
      <c r="I54" s="137"/>
      <c r="J54" s="137"/>
      <c r="K54" s="137"/>
      <c r="L54" s="137"/>
      <c r="M54" s="137"/>
      <c r="N54" s="137"/>
      <c r="O54" s="137"/>
      <c r="P54" s="137"/>
      <c r="Q54" s="137"/>
      <c r="R54" s="137"/>
      <c r="S54" s="137"/>
      <c r="T54" s="137"/>
      <c r="U54" s="138"/>
      <c r="W54" s="35" t="str">
        <f>"-- "&amp;C54</f>
        <v>-- 薬剤マスタを薬剤マスタに投入する。</v>
      </c>
    </row>
    <row r="56" spans="2:23" ht="18.75" customHeight="1">
      <c r="C56" s="139" t="s">
        <v>4086</v>
      </c>
      <c r="D56" s="140"/>
      <c r="E56" s="145" t="s">
        <v>177</v>
      </c>
      <c r="F56" s="36"/>
      <c r="G56" s="36"/>
      <c r="H56" s="36"/>
      <c r="I56" s="36"/>
      <c r="J56" s="36"/>
      <c r="K56" s="36"/>
      <c r="L56" s="36"/>
      <c r="M56" s="36"/>
      <c r="N56" s="36"/>
      <c r="O56" s="36"/>
      <c r="P56" s="36"/>
      <c r="Q56" s="36"/>
      <c r="R56" s="139" t="s">
        <v>4086</v>
      </c>
      <c r="S56" s="140"/>
      <c r="T56" s="145" t="str">
        <f>エンティティ一覧!$O$2</f>
        <v>milscm_2023_009</v>
      </c>
    </row>
    <row r="57" spans="2:23" ht="18.75" customHeight="1">
      <c r="C57" s="141"/>
      <c r="D57" s="142"/>
      <c r="E57" s="146"/>
      <c r="F57" s="37"/>
      <c r="G57" s="37"/>
      <c r="H57" s="37"/>
      <c r="I57" s="37"/>
      <c r="J57" s="37"/>
      <c r="K57" s="37"/>
      <c r="L57" s="37"/>
      <c r="M57" s="37"/>
      <c r="N57" s="37"/>
      <c r="O57" s="37"/>
      <c r="P57" s="37"/>
      <c r="Q57" s="37"/>
      <c r="R57" s="141"/>
      <c r="S57" s="142"/>
      <c r="T57" s="146"/>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4094</v>
      </c>
      <c r="D62" s="109"/>
      <c r="W62" s="35" t="str">
        <f>"-- "&amp;B62&amp;" : "&amp;C62</f>
        <v>-- SQL_ID : 21_06</v>
      </c>
    </row>
    <row r="63" spans="2:23" ht="18.75" customHeight="1">
      <c r="B63" s="43" t="s">
        <v>158</v>
      </c>
      <c r="C63" s="147" t="str">
        <f>R66&amp;"投入"</f>
        <v>検体検査マスタ投入</v>
      </c>
      <c r="D63" s="148"/>
      <c r="E63" s="148"/>
      <c r="F63" s="148"/>
      <c r="G63" s="148"/>
      <c r="H63" s="148"/>
      <c r="I63" s="148"/>
      <c r="J63" s="148"/>
      <c r="K63" s="148"/>
      <c r="L63" s="148"/>
      <c r="M63" s="148"/>
      <c r="N63" s="148"/>
      <c r="O63" s="148"/>
      <c r="P63" s="148"/>
      <c r="Q63" s="148"/>
      <c r="R63" s="148"/>
      <c r="S63" s="148"/>
      <c r="T63" s="148"/>
      <c r="U63" s="149"/>
      <c r="W63" s="35" t="str">
        <f>"-- "&amp;C63</f>
        <v>-- 検体検査マスタ投入</v>
      </c>
    </row>
    <row r="64" spans="2:23" ht="18.75" customHeight="1">
      <c r="B64" s="43" t="s">
        <v>159</v>
      </c>
      <c r="C64" s="136" t="s">
        <v>4095</v>
      </c>
      <c r="D64" s="137"/>
      <c r="E64" s="137"/>
      <c r="F64" s="137"/>
      <c r="G64" s="137"/>
      <c r="H64" s="137"/>
      <c r="I64" s="137"/>
      <c r="J64" s="137"/>
      <c r="K64" s="137"/>
      <c r="L64" s="137"/>
      <c r="M64" s="137"/>
      <c r="N64" s="137"/>
      <c r="O64" s="137"/>
      <c r="P64" s="137"/>
      <c r="Q64" s="137"/>
      <c r="R64" s="137"/>
      <c r="S64" s="137"/>
      <c r="T64" s="137"/>
      <c r="U64" s="138"/>
      <c r="W64" s="35" t="str">
        <f>"-- "&amp;C64</f>
        <v>-- 検体検査マスタを検体検査マスタに投入する。</v>
      </c>
    </row>
    <row r="66" spans="2:23" ht="18.75" customHeight="1">
      <c r="C66" s="139" t="s">
        <v>4066</v>
      </c>
      <c r="D66" s="140"/>
      <c r="E66" s="145" t="s">
        <v>177</v>
      </c>
      <c r="F66" s="36"/>
      <c r="G66" s="36"/>
      <c r="H66" s="36"/>
      <c r="I66" s="36"/>
      <c r="J66" s="36"/>
      <c r="K66" s="36"/>
      <c r="L66" s="36"/>
      <c r="M66" s="36"/>
      <c r="N66" s="36"/>
      <c r="O66" s="36"/>
      <c r="P66" s="36"/>
      <c r="Q66" s="36"/>
      <c r="R66" s="139" t="s">
        <v>4066</v>
      </c>
      <c r="S66" s="140"/>
      <c r="T66" s="145" t="str">
        <f>エンティティ一覧!$O$2</f>
        <v>milscm_2023_009</v>
      </c>
    </row>
    <row r="67" spans="2:23" ht="18.75" customHeight="1">
      <c r="C67" s="141"/>
      <c r="D67" s="142"/>
      <c r="E67" s="146"/>
      <c r="F67" s="37"/>
      <c r="G67" s="37"/>
      <c r="H67" s="37"/>
      <c r="I67" s="37"/>
      <c r="J67" s="37"/>
      <c r="K67" s="37"/>
      <c r="L67" s="37"/>
      <c r="M67" s="37"/>
      <c r="N67" s="37"/>
      <c r="O67" s="37"/>
      <c r="P67" s="37"/>
      <c r="Q67" s="37"/>
      <c r="R67" s="141"/>
      <c r="S67" s="142"/>
      <c r="T67" s="146"/>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4096</v>
      </c>
      <c r="D72" s="109"/>
      <c r="W72" s="35" t="str">
        <f>"-- "&amp;B72&amp;" : "&amp;C72</f>
        <v>-- SQL_ID : 21_07</v>
      </c>
    </row>
    <row r="73" spans="2:23" ht="18.75" customHeight="1">
      <c r="B73" s="43" t="s">
        <v>158</v>
      </c>
      <c r="C73" s="147" t="str">
        <f>R76&amp;"投入"</f>
        <v>診療行為マスタ投入</v>
      </c>
      <c r="D73" s="148"/>
      <c r="E73" s="148"/>
      <c r="F73" s="148"/>
      <c r="G73" s="148"/>
      <c r="H73" s="148"/>
      <c r="I73" s="148"/>
      <c r="J73" s="148"/>
      <c r="K73" s="148"/>
      <c r="L73" s="148"/>
      <c r="M73" s="148"/>
      <c r="N73" s="148"/>
      <c r="O73" s="148"/>
      <c r="P73" s="148"/>
      <c r="Q73" s="148"/>
      <c r="R73" s="148"/>
      <c r="S73" s="148"/>
      <c r="T73" s="148"/>
      <c r="U73" s="149"/>
      <c r="W73" s="35" t="str">
        <f>"-- "&amp;C73</f>
        <v>-- 診療行為マスタ投入</v>
      </c>
    </row>
    <row r="74" spans="2:23" ht="18.75" customHeight="1">
      <c r="B74" s="43" t="s">
        <v>159</v>
      </c>
      <c r="C74" s="136" t="s">
        <v>4097</v>
      </c>
      <c r="D74" s="137"/>
      <c r="E74" s="137"/>
      <c r="F74" s="137"/>
      <c r="G74" s="137"/>
      <c r="H74" s="137"/>
      <c r="I74" s="137"/>
      <c r="J74" s="137"/>
      <c r="K74" s="137"/>
      <c r="L74" s="137"/>
      <c r="M74" s="137"/>
      <c r="N74" s="137"/>
      <c r="O74" s="137"/>
      <c r="P74" s="137"/>
      <c r="Q74" s="137"/>
      <c r="R74" s="137"/>
      <c r="S74" s="137"/>
      <c r="T74" s="137"/>
      <c r="U74" s="138"/>
      <c r="W74" s="35" t="str">
        <f>"-- "&amp;C74</f>
        <v>-- 診療行為マスタを診療行為マスタに投入する。</v>
      </c>
    </row>
    <row r="76" spans="2:23" ht="18.75" customHeight="1">
      <c r="C76" s="139" t="s">
        <v>4084</v>
      </c>
      <c r="D76" s="140"/>
      <c r="E76" s="145" t="s">
        <v>177</v>
      </c>
      <c r="F76" s="36"/>
      <c r="G76" s="36"/>
      <c r="H76" s="36"/>
      <c r="I76" s="36"/>
      <c r="J76" s="36"/>
      <c r="K76" s="36"/>
      <c r="L76" s="36"/>
      <c r="M76" s="36"/>
      <c r="N76" s="36"/>
      <c r="O76" s="36"/>
      <c r="P76" s="36"/>
      <c r="Q76" s="36"/>
      <c r="R76" s="139" t="s">
        <v>4084</v>
      </c>
      <c r="S76" s="140"/>
      <c r="T76" s="145" t="str">
        <f>エンティティ一覧!$O$2</f>
        <v>milscm_2023_009</v>
      </c>
    </row>
    <row r="77" spans="2:23" ht="18.75" customHeight="1">
      <c r="C77" s="141"/>
      <c r="D77" s="142"/>
      <c r="E77" s="146"/>
      <c r="F77" s="37"/>
      <c r="G77" s="37"/>
      <c r="H77" s="37"/>
      <c r="I77" s="37"/>
      <c r="J77" s="37"/>
      <c r="K77" s="37"/>
      <c r="L77" s="37"/>
      <c r="M77" s="37"/>
      <c r="N77" s="37"/>
      <c r="O77" s="37"/>
      <c r="P77" s="37"/>
      <c r="Q77" s="37"/>
      <c r="R77" s="141"/>
      <c r="S77" s="142"/>
      <c r="T77" s="146"/>
    </row>
    <row r="80" spans="2:23" ht="18.75" customHeight="1" thickBot="1">
      <c r="B80" s="42"/>
      <c r="C80" s="42"/>
      <c r="D80" s="42"/>
      <c r="E80" s="42"/>
      <c r="F80" s="42"/>
      <c r="G80" s="42"/>
      <c r="H80" s="42"/>
      <c r="I80" s="42"/>
      <c r="J80" s="42"/>
      <c r="K80" s="42"/>
      <c r="L80" s="42"/>
      <c r="M80" s="42"/>
      <c r="N80" s="42"/>
      <c r="O80" s="42"/>
      <c r="P80" s="42"/>
      <c r="Q80" s="42"/>
      <c r="R80" s="42"/>
      <c r="S80" s="42"/>
      <c r="T80" s="42"/>
      <c r="U80" s="42"/>
    </row>
  </sheetData>
  <mergeCells count="50">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43:U43"/>
    <mergeCell ref="C44:U44"/>
    <mergeCell ref="C25:D26"/>
    <mergeCell ref="C22:U22"/>
    <mergeCell ref="C23:U23"/>
    <mergeCell ref="R25:S26"/>
    <mergeCell ref="C31:U31"/>
    <mergeCell ref="C32:U32"/>
    <mergeCell ref="C34:D35"/>
    <mergeCell ref="E34:E35"/>
    <mergeCell ref="R34:S35"/>
    <mergeCell ref="T34:T35"/>
    <mergeCell ref="C37:D38"/>
    <mergeCell ref="E37:E38"/>
    <mergeCell ref="C53:U53"/>
    <mergeCell ref="C54:U54"/>
    <mergeCell ref="C56:D57"/>
    <mergeCell ref="E56:E57"/>
    <mergeCell ref="R56:S57"/>
    <mergeCell ref="T56:T57"/>
    <mergeCell ref="C46:D47"/>
    <mergeCell ref="E46:E47"/>
    <mergeCell ref="R46:S47"/>
    <mergeCell ref="T46:T47"/>
    <mergeCell ref="C63:U63"/>
    <mergeCell ref="C64:U64"/>
    <mergeCell ref="C66:D67"/>
    <mergeCell ref="E66:E67"/>
    <mergeCell ref="R66:S67"/>
    <mergeCell ref="T66:T67"/>
    <mergeCell ref="C73:U73"/>
    <mergeCell ref="C74:U74"/>
    <mergeCell ref="C76:D77"/>
    <mergeCell ref="E76:E77"/>
    <mergeCell ref="R76:S77"/>
    <mergeCell ref="T76:T77"/>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81"/>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3740</v>
      </c>
      <c r="D3" s="92"/>
      <c r="W3" s="35" t="str">
        <f>"-- "&amp;B3&amp;" : "&amp;C3</f>
        <v>-- SQL_ID : 31_A1-02</v>
      </c>
    </row>
    <row r="4" spans="2:23" ht="18.75" customHeight="1">
      <c r="B4" s="43" t="s">
        <v>158</v>
      </c>
      <c r="C4" s="147" t="str">
        <f>R7&amp;"登録"</f>
        <v>ベース_処方データ登録</v>
      </c>
      <c r="D4" s="148"/>
      <c r="E4" s="148"/>
      <c r="F4" s="148"/>
      <c r="G4" s="148"/>
      <c r="H4" s="148"/>
      <c r="I4" s="148"/>
      <c r="J4" s="148"/>
      <c r="K4" s="148"/>
      <c r="L4" s="148"/>
      <c r="M4" s="148"/>
      <c r="N4" s="148"/>
      <c r="O4" s="148"/>
      <c r="P4" s="148"/>
      <c r="Q4" s="148"/>
      <c r="R4" s="148"/>
      <c r="S4" s="148"/>
      <c r="T4" s="148"/>
      <c r="U4" s="149"/>
      <c r="W4" s="35" t="str">
        <f>"-- "&amp;C4</f>
        <v>-- ベース_処方データ登録</v>
      </c>
    </row>
    <row r="5" spans="2:23" ht="18.75" customHeight="1">
      <c r="B5" s="43" t="s">
        <v>159</v>
      </c>
      <c r="C5" s="136" t="str">
        <f>C7&amp;"テーブルから対象患者で絞り込んだ結果を"&amp;R7&amp;"テーブルに格納する。"</f>
        <v>バックアップ_処方データテーブルから対象患者で絞り込んだ結果をベース_処方データテーブルに格納する。</v>
      </c>
      <c r="D5" s="137"/>
      <c r="E5" s="137"/>
      <c r="F5" s="137"/>
      <c r="G5" s="137"/>
      <c r="H5" s="137"/>
      <c r="I5" s="137"/>
      <c r="J5" s="137"/>
      <c r="K5" s="137"/>
      <c r="L5" s="137"/>
      <c r="M5" s="137"/>
      <c r="N5" s="137"/>
      <c r="O5" s="137"/>
      <c r="P5" s="137"/>
      <c r="Q5" s="137"/>
      <c r="R5" s="137"/>
      <c r="S5" s="137"/>
      <c r="T5" s="137"/>
      <c r="U5" s="138"/>
      <c r="W5" s="35" t="str">
        <f>"-- "&amp;C5</f>
        <v>-- バックアップ_処方データテーブルから対象患者で絞り込んだ結果をベース_処方データテーブルに格納する。</v>
      </c>
    </row>
    <row r="7" spans="2:23" ht="18.75" customHeight="1">
      <c r="C7" s="139" t="s">
        <v>3739</v>
      </c>
      <c r="D7" s="140"/>
      <c r="E7" s="145" t="str">
        <f>エンティティ一覧!$O$2</f>
        <v>milscm_2023_009</v>
      </c>
      <c r="H7" s="36"/>
      <c r="I7" s="36"/>
      <c r="J7" s="36"/>
      <c r="K7" s="36"/>
      <c r="L7" s="36"/>
      <c r="M7" s="36"/>
      <c r="N7" s="36"/>
      <c r="O7" s="36"/>
      <c r="P7" s="36"/>
      <c r="Q7" s="36"/>
      <c r="R7" s="139" t="str">
        <f>"ベース"&amp;SUBSTITUTE(C7,"バックアップ","")</f>
        <v>ベース_処方データ</v>
      </c>
      <c r="S7" s="140"/>
      <c r="T7" s="145" t="str">
        <f>エンティティ一覧!$O$2</f>
        <v>milscm_2023_009</v>
      </c>
    </row>
    <row r="8" spans="2:23" ht="18.75" customHeight="1">
      <c r="C8" s="141"/>
      <c r="D8" s="142"/>
      <c r="E8" s="146"/>
      <c r="F8" s="37"/>
      <c r="G8" s="38"/>
      <c r="H8" s="37"/>
      <c r="I8" s="37"/>
      <c r="J8" s="37"/>
      <c r="K8" s="37"/>
      <c r="L8" s="37"/>
      <c r="M8" s="37"/>
      <c r="N8" s="37"/>
      <c r="O8" s="37"/>
      <c r="P8" s="37"/>
      <c r="Q8" s="37"/>
      <c r="R8" s="141"/>
      <c r="S8" s="142"/>
      <c r="T8" s="146"/>
    </row>
    <row r="9" spans="2:23" ht="18.75" customHeight="1">
      <c r="F9" s="39"/>
      <c r="G9" s="40"/>
    </row>
    <row r="10" spans="2:23" ht="18.75" customHeight="1">
      <c r="C10" s="139" t="s">
        <v>3738</v>
      </c>
      <c r="D10" s="140"/>
      <c r="E10" s="145" t="str">
        <f>エンティティ一覧!$O$2</f>
        <v>milscm_2023_009</v>
      </c>
      <c r="G10" s="41"/>
    </row>
    <row r="11" spans="2:23" ht="18.75" customHeight="1">
      <c r="C11" s="141"/>
      <c r="D11" s="142"/>
      <c r="E11" s="146"/>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3742</v>
      </c>
      <c r="D15" s="92"/>
      <c r="W15" s="35" t="str">
        <f>"-- "&amp;B15&amp;" : "&amp;C15</f>
        <v>-- SQL_ID : 31_A1-03</v>
      </c>
    </row>
    <row r="16" spans="2:23" ht="18.75" customHeight="1">
      <c r="B16" s="43" t="s">
        <v>158</v>
      </c>
      <c r="C16" s="147" t="str">
        <f>R19&amp;"登録"</f>
        <v>ベース_診療行為データ登録</v>
      </c>
      <c r="D16" s="148"/>
      <c r="E16" s="148"/>
      <c r="F16" s="148"/>
      <c r="G16" s="148"/>
      <c r="H16" s="148"/>
      <c r="I16" s="148"/>
      <c r="J16" s="148"/>
      <c r="K16" s="148"/>
      <c r="L16" s="148"/>
      <c r="M16" s="148"/>
      <c r="N16" s="148"/>
      <c r="O16" s="148"/>
      <c r="P16" s="148"/>
      <c r="Q16" s="148"/>
      <c r="R16" s="148"/>
      <c r="S16" s="148"/>
      <c r="T16" s="148"/>
      <c r="U16" s="149"/>
      <c r="W16" s="35" t="str">
        <f>"-- "&amp;C16</f>
        <v>-- ベース_診療行為データ登録</v>
      </c>
    </row>
    <row r="17" spans="2:23" ht="18.75" customHeight="1">
      <c r="B17" s="43" t="s">
        <v>159</v>
      </c>
      <c r="C17" s="136" t="str">
        <f>C19&amp;"テーブルから対象患者で絞り込んだ結果を"&amp;R19&amp;"テーブルに格納する。"</f>
        <v>バックアップ_診療行為データテーブルから対象患者で絞り込んだ結果をベース_診療行為データテーブルに格納する。</v>
      </c>
      <c r="D17" s="137"/>
      <c r="E17" s="137"/>
      <c r="F17" s="137"/>
      <c r="G17" s="137"/>
      <c r="H17" s="137"/>
      <c r="I17" s="137"/>
      <c r="J17" s="137"/>
      <c r="K17" s="137"/>
      <c r="L17" s="137"/>
      <c r="M17" s="137"/>
      <c r="N17" s="137"/>
      <c r="O17" s="137"/>
      <c r="P17" s="137"/>
      <c r="Q17" s="137"/>
      <c r="R17" s="137"/>
      <c r="S17" s="137"/>
      <c r="T17" s="137"/>
      <c r="U17" s="138"/>
      <c r="W17" s="35" t="str">
        <f>"-- "&amp;C17</f>
        <v>-- バックアップ_診療行為データテーブルから対象患者で絞り込んだ結果をベース_診療行為データテーブルに格納する。</v>
      </c>
    </row>
    <row r="19" spans="2:23" ht="18.75" customHeight="1">
      <c r="C19" s="139" t="s">
        <v>3741</v>
      </c>
      <c r="D19" s="140"/>
      <c r="E19" s="145" t="str">
        <f>エンティティ一覧!$O$2</f>
        <v>milscm_2023_009</v>
      </c>
      <c r="H19" s="36"/>
      <c r="I19" s="36"/>
      <c r="J19" s="36"/>
      <c r="K19" s="36"/>
      <c r="L19" s="36"/>
      <c r="M19" s="36"/>
      <c r="N19" s="36"/>
      <c r="O19" s="36"/>
      <c r="P19" s="36"/>
      <c r="Q19" s="36"/>
      <c r="R19" s="139" t="str">
        <f>"ベース"&amp;SUBSTITUTE(C19,"バックアップ","")</f>
        <v>ベース_診療行為データ</v>
      </c>
      <c r="S19" s="140"/>
      <c r="T19" s="145" t="str">
        <f>エンティティ一覧!$O$2</f>
        <v>milscm_2023_009</v>
      </c>
    </row>
    <row r="20" spans="2:23" ht="18.75" customHeight="1">
      <c r="C20" s="141"/>
      <c r="D20" s="142"/>
      <c r="E20" s="146"/>
      <c r="F20" s="37"/>
      <c r="G20" s="38"/>
      <c r="H20" s="37"/>
      <c r="I20" s="37"/>
      <c r="J20" s="37"/>
      <c r="K20" s="37"/>
      <c r="L20" s="37"/>
      <c r="M20" s="37"/>
      <c r="N20" s="37"/>
      <c r="O20" s="37"/>
      <c r="P20" s="37"/>
      <c r="Q20" s="37"/>
      <c r="R20" s="141"/>
      <c r="S20" s="142"/>
      <c r="T20" s="146"/>
    </row>
    <row r="21" spans="2:23" ht="18.75" customHeight="1">
      <c r="F21" s="39"/>
      <c r="G21" s="40"/>
    </row>
    <row r="22" spans="2:23" ht="18.75" customHeight="1">
      <c r="C22" s="139" t="s">
        <v>3738</v>
      </c>
      <c r="D22" s="140"/>
      <c r="E22" s="145" t="str">
        <f>エンティティ一覧!$O$2</f>
        <v>milscm_2023_009</v>
      </c>
      <c r="G22" s="41"/>
    </row>
    <row r="23" spans="2:23" ht="18.75" customHeight="1">
      <c r="C23" s="141"/>
      <c r="D23" s="142"/>
      <c r="E23" s="146"/>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3743</v>
      </c>
      <c r="D27" s="92"/>
      <c r="W27" s="35" t="str">
        <f>"-- "&amp;B27&amp;" : "&amp;C27</f>
        <v>-- SQL_ID : 31_A1-06</v>
      </c>
    </row>
    <row r="28" spans="2:23" ht="18.75" customHeight="1">
      <c r="B28" s="43" t="s">
        <v>158</v>
      </c>
      <c r="C28" s="147" t="str">
        <f>R31&amp;"登録"</f>
        <v>ベース_入院退院データ登録</v>
      </c>
      <c r="D28" s="148"/>
      <c r="E28" s="148"/>
      <c r="F28" s="148"/>
      <c r="G28" s="148"/>
      <c r="H28" s="148"/>
      <c r="I28" s="148"/>
      <c r="J28" s="148"/>
      <c r="K28" s="148"/>
      <c r="L28" s="148"/>
      <c r="M28" s="148"/>
      <c r="N28" s="148"/>
      <c r="O28" s="148"/>
      <c r="P28" s="148"/>
      <c r="Q28" s="148"/>
      <c r="R28" s="148"/>
      <c r="S28" s="148"/>
      <c r="T28" s="148"/>
      <c r="U28" s="149"/>
      <c r="W28" s="35" t="str">
        <f>"-- "&amp;C28</f>
        <v>-- ベース_入院退院データ登録</v>
      </c>
    </row>
    <row r="29" spans="2:23" ht="18.75" customHeight="1">
      <c r="B29" s="43" t="s">
        <v>159</v>
      </c>
      <c r="C29" s="136" t="str">
        <f>C31&amp;"テーブルから対象患者で絞り込んだ結果を"&amp;R31&amp;"テーブルに格納する。"</f>
        <v>バックアップ_入院退院データテーブルから対象患者で絞り込んだ結果をベース_入院退院データテーブルに格納する。</v>
      </c>
      <c r="D29" s="137"/>
      <c r="E29" s="137"/>
      <c r="F29" s="137"/>
      <c r="G29" s="137"/>
      <c r="H29" s="137"/>
      <c r="I29" s="137"/>
      <c r="J29" s="137"/>
      <c r="K29" s="137"/>
      <c r="L29" s="137"/>
      <c r="M29" s="137"/>
      <c r="N29" s="137"/>
      <c r="O29" s="137"/>
      <c r="P29" s="137"/>
      <c r="Q29" s="137"/>
      <c r="R29" s="137"/>
      <c r="S29" s="137"/>
      <c r="T29" s="137"/>
      <c r="U29" s="138"/>
      <c r="W29" s="35" t="str">
        <f>"-- "&amp;C29</f>
        <v>-- バックアップ_入院退院データテーブルから対象患者で絞り込んだ結果をベース_入院退院データテーブルに格納する。</v>
      </c>
    </row>
    <row r="31" spans="2:23" ht="18.75" customHeight="1">
      <c r="C31" s="139" t="s">
        <v>3744</v>
      </c>
      <c r="D31" s="140"/>
      <c r="E31" s="145" t="str">
        <f>エンティティ一覧!$O$2</f>
        <v>milscm_2023_009</v>
      </c>
      <c r="H31" s="36"/>
      <c r="I31" s="36"/>
      <c r="J31" s="36"/>
      <c r="K31" s="36"/>
      <c r="L31" s="36"/>
      <c r="M31" s="36"/>
      <c r="N31" s="36"/>
      <c r="O31" s="36"/>
      <c r="P31" s="36"/>
      <c r="Q31" s="36"/>
      <c r="R31" s="139" t="str">
        <f>"ベース"&amp;SUBSTITUTE(C31,"バックアップ","")</f>
        <v>ベース_入院退院データ</v>
      </c>
      <c r="S31" s="140"/>
      <c r="T31" s="145" t="str">
        <f>エンティティ一覧!$O$2</f>
        <v>milscm_2023_009</v>
      </c>
    </row>
    <row r="32" spans="2:23" ht="18.75" customHeight="1">
      <c r="C32" s="141"/>
      <c r="D32" s="142"/>
      <c r="E32" s="146"/>
      <c r="F32" s="37"/>
      <c r="G32" s="38"/>
      <c r="H32" s="37"/>
      <c r="I32" s="37"/>
      <c r="J32" s="37"/>
      <c r="K32" s="37"/>
      <c r="L32" s="37"/>
      <c r="M32" s="37"/>
      <c r="N32" s="37"/>
      <c r="O32" s="37"/>
      <c r="P32" s="37"/>
      <c r="Q32" s="37"/>
      <c r="R32" s="141"/>
      <c r="S32" s="142"/>
      <c r="T32" s="146"/>
    </row>
    <row r="33" spans="2:23" ht="18.75" customHeight="1">
      <c r="F33" s="39"/>
      <c r="G33" s="40"/>
    </row>
    <row r="34" spans="2:23" ht="18.75" customHeight="1">
      <c r="C34" s="139" t="s">
        <v>3738</v>
      </c>
      <c r="D34" s="140"/>
      <c r="E34" s="145" t="str">
        <f>エンティティ一覧!$O$2</f>
        <v>milscm_2023_009</v>
      </c>
      <c r="G34" s="41"/>
    </row>
    <row r="35" spans="2:23" ht="18.75" customHeight="1">
      <c r="C35" s="141"/>
      <c r="D35" s="142"/>
      <c r="E35" s="146"/>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3745</v>
      </c>
      <c r="D39" s="92"/>
      <c r="W39" s="35" t="str">
        <f>"-- "&amp;B39&amp;" : "&amp;C39</f>
        <v>-- SQL_ID : 31_A1-14</v>
      </c>
    </row>
    <row r="40" spans="2:23" ht="18.75" customHeight="1">
      <c r="B40" s="43" t="s">
        <v>158</v>
      </c>
      <c r="C40" s="147" t="str">
        <f>R43&amp;"登録"</f>
        <v>ベース_患者基本データ登録</v>
      </c>
      <c r="D40" s="148"/>
      <c r="E40" s="148"/>
      <c r="F40" s="148"/>
      <c r="G40" s="148"/>
      <c r="H40" s="148"/>
      <c r="I40" s="148"/>
      <c r="J40" s="148"/>
      <c r="K40" s="148"/>
      <c r="L40" s="148"/>
      <c r="M40" s="148"/>
      <c r="N40" s="148"/>
      <c r="O40" s="148"/>
      <c r="P40" s="148"/>
      <c r="Q40" s="148"/>
      <c r="R40" s="148"/>
      <c r="S40" s="148"/>
      <c r="T40" s="148"/>
      <c r="U40" s="149"/>
      <c r="W40" s="35" t="str">
        <f>"-- "&amp;C40</f>
        <v>-- ベース_患者基本データ登録</v>
      </c>
    </row>
    <row r="41" spans="2:23" ht="18.75" customHeight="1">
      <c r="B41" s="43" t="s">
        <v>159</v>
      </c>
      <c r="C41" s="136" t="str">
        <f>C43&amp;"テーブルから対象患者で絞り込んだ結果を"&amp;R43&amp;"テーブルに格納する。"</f>
        <v>バックアップ_患者基本データテーブルから対象患者で絞り込んだ結果をベース_患者基本データテーブルに格納する。</v>
      </c>
      <c r="D41" s="137"/>
      <c r="E41" s="137"/>
      <c r="F41" s="137"/>
      <c r="G41" s="137"/>
      <c r="H41" s="137"/>
      <c r="I41" s="137"/>
      <c r="J41" s="137"/>
      <c r="K41" s="137"/>
      <c r="L41" s="137"/>
      <c r="M41" s="137"/>
      <c r="N41" s="137"/>
      <c r="O41" s="137"/>
      <c r="P41" s="137"/>
      <c r="Q41" s="137"/>
      <c r="R41" s="137"/>
      <c r="S41" s="137"/>
      <c r="T41" s="137"/>
      <c r="U41" s="138"/>
      <c r="W41" s="35" t="str">
        <f>"-- "&amp;C41</f>
        <v>-- バックアップ_患者基本データテーブルから対象患者で絞り込んだ結果をベース_患者基本データテーブルに格納する。</v>
      </c>
    </row>
    <row r="43" spans="2:23" ht="18.75" customHeight="1">
      <c r="C43" s="139" t="s">
        <v>3746</v>
      </c>
      <c r="D43" s="140"/>
      <c r="E43" s="145" t="str">
        <f>エンティティ一覧!$O$2</f>
        <v>milscm_2023_009</v>
      </c>
      <c r="H43" s="36"/>
      <c r="I43" s="36"/>
      <c r="J43" s="36"/>
      <c r="K43" s="36"/>
      <c r="L43" s="36"/>
      <c r="M43" s="36"/>
      <c r="N43" s="36"/>
      <c r="O43" s="36"/>
      <c r="P43" s="36"/>
      <c r="Q43" s="36"/>
      <c r="R43" s="139" t="str">
        <f>"ベース"&amp;SUBSTITUTE(C43,"バックアップ","")</f>
        <v>ベース_患者基本データ</v>
      </c>
      <c r="S43" s="140"/>
      <c r="T43" s="145" t="str">
        <f>エンティティ一覧!$O$2</f>
        <v>milscm_2023_009</v>
      </c>
    </row>
    <row r="44" spans="2:23" ht="18.75" customHeight="1">
      <c r="C44" s="141"/>
      <c r="D44" s="142"/>
      <c r="E44" s="146"/>
      <c r="F44" s="37"/>
      <c r="G44" s="38"/>
      <c r="H44" s="37"/>
      <c r="I44" s="37"/>
      <c r="J44" s="37"/>
      <c r="K44" s="37"/>
      <c r="L44" s="37"/>
      <c r="M44" s="37"/>
      <c r="N44" s="37"/>
      <c r="O44" s="37"/>
      <c r="P44" s="37"/>
      <c r="Q44" s="37"/>
      <c r="R44" s="141"/>
      <c r="S44" s="142"/>
      <c r="T44" s="146"/>
    </row>
    <row r="45" spans="2:23" ht="18.75" customHeight="1">
      <c r="F45" s="39"/>
      <c r="G45" s="40"/>
    </row>
    <row r="46" spans="2:23" ht="18.75" customHeight="1">
      <c r="C46" s="139" t="s">
        <v>3738</v>
      </c>
      <c r="D46" s="140"/>
      <c r="E46" s="145" t="str">
        <f>エンティティ一覧!$O$2</f>
        <v>milscm_2023_009</v>
      </c>
      <c r="G46" s="41"/>
    </row>
    <row r="47" spans="2:23" ht="18.75" customHeight="1">
      <c r="C47" s="141"/>
      <c r="D47" s="142"/>
      <c r="E47" s="146"/>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3748</v>
      </c>
      <c r="D51" s="92"/>
      <c r="W51" s="35" t="str">
        <f>"-- "&amp;B51&amp;" : "&amp;C51</f>
        <v>-- SQL_ID : 31_A6-02</v>
      </c>
    </row>
    <row r="52" spans="2:23" ht="18.75" customHeight="1">
      <c r="B52" s="43" t="s">
        <v>158</v>
      </c>
      <c r="C52" s="147" t="str">
        <f>R55&amp;"登録"</f>
        <v>ベース_MML共通登録</v>
      </c>
      <c r="D52" s="148"/>
      <c r="E52" s="148"/>
      <c r="F52" s="148"/>
      <c r="G52" s="148"/>
      <c r="H52" s="148"/>
      <c r="I52" s="148"/>
      <c r="J52" s="148"/>
      <c r="K52" s="148"/>
      <c r="L52" s="148"/>
      <c r="M52" s="148"/>
      <c r="N52" s="148"/>
      <c r="O52" s="148"/>
      <c r="P52" s="148"/>
      <c r="Q52" s="148"/>
      <c r="R52" s="148"/>
      <c r="S52" s="148"/>
      <c r="T52" s="148"/>
      <c r="U52" s="149"/>
      <c r="W52" s="35" t="str">
        <f>"-- "&amp;C52</f>
        <v>-- ベース_MML共通登録</v>
      </c>
    </row>
    <row r="53" spans="2:23" ht="18.75" customHeight="1">
      <c r="B53" s="43" t="s">
        <v>159</v>
      </c>
      <c r="C53" s="136" t="str">
        <f>C55&amp;"テーブルから対象患者で絞り込んだ結果を"&amp;R55&amp;"テーブルに格納する。"</f>
        <v>バックアップ_MML共通テーブルから対象患者で絞り込んだ結果をベース_MML共通テーブルに格納する。</v>
      </c>
      <c r="D53" s="137"/>
      <c r="E53" s="137"/>
      <c r="F53" s="137"/>
      <c r="G53" s="137"/>
      <c r="H53" s="137"/>
      <c r="I53" s="137"/>
      <c r="J53" s="137"/>
      <c r="K53" s="137"/>
      <c r="L53" s="137"/>
      <c r="M53" s="137"/>
      <c r="N53" s="137"/>
      <c r="O53" s="137"/>
      <c r="P53" s="137"/>
      <c r="Q53" s="137"/>
      <c r="R53" s="137"/>
      <c r="S53" s="137"/>
      <c r="T53" s="137"/>
      <c r="U53" s="138"/>
      <c r="W53" s="35" t="str">
        <f>"-- "&amp;C53</f>
        <v>-- バックアップ_MML共通テーブルから対象患者で絞り込んだ結果をベース_MML共通テーブルに格納する。</v>
      </c>
    </row>
    <row r="55" spans="2:23" ht="18.75" customHeight="1">
      <c r="C55" s="139" t="s">
        <v>3747</v>
      </c>
      <c r="D55" s="140"/>
      <c r="E55" s="145" t="str">
        <f>エンティティ一覧!$O$2</f>
        <v>milscm_2023_009</v>
      </c>
      <c r="H55" s="36"/>
      <c r="I55" s="36"/>
      <c r="J55" s="36"/>
      <c r="K55" s="36"/>
      <c r="L55" s="36"/>
      <c r="M55" s="36"/>
      <c r="N55" s="36"/>
      <c r="O55" s="36"/>
      <c r="P55" s="36"/>
      <c r="Q55" s="36"/>
      <c r="R55" s="139" t="str">
        <f>"ベース"&amp;SUBSTITUTE(C55,"バックアップ","")</f>
        <v>ベース_MML共通</v>
      </c>
      <c r="S55" s="140"/>
      <c r="T55" s="145" t="str">
        <f>エンティティ一覧!$O$2</f>
        <v>milscm_2023_009</v>
      </c>
    </row>
    <row r="56" spans="2:23" ht="18.75" customHeight="1">
      <c r="C56" s="141"/>
      <c r="D56" s="142"/>
      <c r="E56" s="146"/>
      <c r="F56" s="37"/>
      <c r="G56" s="38"/>
      <c r="H56" s="37"/>
      <c r="I56" s="37"/>
      <c r="J56" s="37"/>
      <c r="K56" s="37"/>
      <c r="L56" s="37"/>
      <c r="M56" s="37"/>
      <c r="N56" s="37"/>
      <c r="O56" s="37"/>
      <c r="P56" s="37"/>
      <c r="Q56" s="37"/>
      <c r="R56" s="141"/>
      <c r="S56" s="142"/>
      <c r="T56" s="146"/>
    </row>
    <row r="57" spans="2:23" ht="18.75" customHeight="1">
      <c r="F57" s="39"/>
      <c r="G57" s="40"/>
    </row>
    <row r="58" spans="2:23" ht="18.75" customHeight="1">
      <c r="C58" s="139" t="s">
        <v>3738</v>
      </c>
      <c r="D58" s="140"/>
      <c r="E58" s="145" t="str">
        <f>エンティティ一覧!$O$2</f>
        <v>milscm_2023_009</v>
      </c>
      <c r="G58" s="41"/>
    </row>
    <row r="59" spans="2:23" ht="18.75" customHeight="1">
      <c r="C59" s="141"/>
      <c r="D59" s="142"/>
      <c r="E59" s="146"/>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3750</v>
      </c>
      <c r="D63" s="92"/>
      <c r="W63" s="35" t="str">
        <f>"-- "&amp;B63&amp;" : "&amp;C63</f>
        <v>-- SQL_ID : 31_A6-03</v>
      </c>
    </row>
    <row r="64" spans="2:23" ht="18.75" customHeight="1">
      <c r="B64" s="43" t="s">
        <v>158</v>
      </c>
      <c r="C64" s="147" t="str">
        <f>R67&amp;"登録"</f>
        <v>ベース_MML_診断履歴情報モジュール_本文登録</v>
      </c>
      <c r="D64" s="148"/>
      <c r="E64" s="148"/>
      <c r="F64" s="148"/>
      <c r="G64" s="148"/>
      <c r="H64" s="148"/>
      <c r="I64" s="148"/>
      <c r="J64" s="148"/>
      <c r="K64" s="148"/>
      <c r="L64" s="148"/>
      <c r="M64" s="148"/>
      <c r="N64" s="148"/>
      <c r="O64" s="148"/>
      <c r="P64" s="148"/>
      <c r="Q64" s="148"/>
      <c r="R64" s="148"/>
      <c r="S64" s="148"/>
      <c r="T64" s="148"/>
      <c r="U64" s="149"/>
      <c r="W64" s="35" t="str">
        <f>"-- "&amp;C64</f>
        <v>-- ベース_MML_診断履歴情報モジュール_本文登録</v>
      </c>
    </row>
    <row r="65" spans="2:23" ht="18.75" customHeight="1">
      <c r="B65" s="43" t="s">
        <v>159</v>
      </c>
      <c r="C65" s="136"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37"/>
      <c r="E65" s="137"/>
      <c r="F65" s="137"/>
      <c r="G65" s="137"/>
      <c r="H65" s="137"/>
      <c r="I65" s="137"/>
      <c r="J65" s="137"/>
      <c r="K65" s="137"/>
      <c r="L65" s="137"/>
      <c r="M65" s="137"/>
      <c r="N65" s="137"/>
      <c r="O65" s="137"/>
      <c r="P65" s="137"/>
      <c r="Q65" s="137"/>
      <c r="R65" s="137"/>
      <c r="S65" s="137"/>
      <c r="T65" s="137"/>
      <c r="U65" s="138"/>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39" t="s">
        <v>3749</v>
      </c>
      <c r="D67" s="140"/>
      <c r="E67" s="145" t="str">
        <f>エンティティ一覧!$O$2</f>
        <v>milscm_2023_009</v>
      </c>
      <c r="H67" s="36"/>
      <c r="I67" s="36"/>
      <c r="J67" s="36"/>
      <c r="K67" s="36"/>
      <c r="L67" s="36"/>
      <c r="M67" s="36"/>
      <c r="N67" s="36"/>
      <c r="O67" s="36"/>
      <c r="P67" s="36"/>
      <c r="Q67" s="36"/>
      <c r="R67" s="139" t="str">
        <f>"ベース"&amp;SUBSTITUTE(C67,"バックアップ","")</f>
        <v>ベース_MML_診断履歴情報モジュール_本文</v>
      </c>
      <c r="S67" s="140"/>
      <c r="T67" s="145" t="str">
        <f>エンティティ一覧!$O$2</f>
        <v>milscm_2023_009</v>
      </c>
    </row>
    <row r="68" spans="2:23" ht="18.75" customHeight="1">
      <c r="C68" s="141"/>
      <c r="D68" s="142"/>
      <c r="E68" s="146"/>
      <c r="F68" s="37"/>
      <c r="G68" s="38"/>
      <c r="H68" s="37"/>
      <c r="I68" s="37"/>
      <c r="J68" s="37"/>
      <c r="K68" s="37"/>
      <c r="L68" s="37"/>
      <c r="M68" s="37"/>
      <c r="N68" s="37"/>
      <c r="O68" s="37"/>
      <c r="P68" s="37"/>
      <c r="Q68" s="37"/>
      <c r="R68" s="141"/>
      <c r="S68" s="142"/>
      <c r="T68" s="146"/>
    </row>
    <row r="69" spans="2:23" ht="18.75" customHeight="1">
      <c r="F69" s="39"/>
      <c r="G69" s="40"/>
    </row>
    <row r="70" spans="2:23" ht="18.75" customHeight="1">
      <c r="C70" s="139" t="s">
        <v>3738</v>
      </c>
      <c r="D70" s="140"/>
      <c r="E70" s="145" t="str">
        <f>エンティティ一覧!$O$2</f>
        <v>milscm_2023_009</v>
      </c>
      <c r="G70" s="41"/>
    </row>
    <row r="71" spans="2:23" ht="18.75" customHeight="1">
      <c r="C71" s="141"/>
      <c r="D71" s="142"/>
      <c r="E71" s="146"/>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3751</v>
      </c>
      <c r="D75" s="92"/>
      <c r="W75" s="35" t="str">
        <f>"-- "&amp;B75&amp;" : "&amp;C75</f>
        <v>-- SQL_ID : 31_A6-04</v>
      </c>
    </row>
    <row r="76" spans="2:23" ht="18.75" customHeight="1">
      <c r="B76" s="43" t="s">
        <v>158</v>
      </c>
      <c r="C76" s="147" t="str">
        <f>R79&amp;"登録"</f>
        <v>ベース_MML_診断履歴情報モジュール_病名登録</v>
      </c>
      <c r="D76" s="148"/>
      <c r="E76" s="148"/>
      <c r="F76" s="148"/>
      <c r="G76" s="148"/>
      <c r="H76" s="148"/>
      <c r="I76" s="148"/>
      <c r="J76" s="148"/>
      <c r="K76" s="148"/>
      <c r="L76" s="148"/>
      <c r="M76" s="148"/>
      <c r="N76" s="148"/>
      <c r="O76" s="148"/>
      <c r="P76" s="148"/>
      <c r="Q76" s="148"/>
      <c r="R76" s="148"/>
      <c r="S76" s="148"/>
      <c r="T76" s="148"/>
      <c r="U76" s="149"/>
      <c r="W76" s="35" t="str">
        <f>"-- "&amp;C76</f>
        <v>-- ベース_MML_診断履歴情報モジュール_病名登録</v>
      </c>
    </row>
    <row r="77" spans="2:23" ht="18.75" customHeight="1">
      <c r="B77" s="43" t="s">
        <v>159</v>
      </c>
      <c r="C77" s="136"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37"/>
      <c r="E77" s="137"/>
      <c r="F77" s="137"/>
      <c r="G77" s="137"/>
      <c r="H77" s="137"/>
      <c r="I77" s="137"/>
      <c r="J77" s="137"/>
      <c r="K77" s="137"/>
      <c r="L77" s="137"/>
      <c r="M77" s="137"/>
      <c r="N77" s="137"/>
      <c r="O77" s="137"/>
      <c r="P77" s="137"/>
      <c r="Q77" s="137"/>
      <c r="R77" s="137"/>
      <c r="S77" s="137"/>
      <c r="T77" s="137"/>
      <c r="U77" s="138"/>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39" t="s">
        <v>3752</v>
      </c>
      <c r="D79" s="140"/>
      <c r="E79" s="145" t="str">
        <f>エンティティ一覧!$O$2</f>
        <v>milscm_2023_009</v>
      </c>
      <c r="H79" s="36"/>
      <c r="I79" s="36"/>
      <c r="J79" s="36"/>
      <c r="K79" s="36"/>
      <c r="L79" s="36"/>
      <c r="M79" s="36"/>
      <c r="N79" s="36"/>
      <c r="O79" s="36"/>
      <c r="P79" s="36"/>
      <c r="Q79" s="36"/>
      <c r="R79" s="139" t="str">
        <f>"ベース"&amp;SUBSTITUTE(C79,"バックアップ","")</f>
        <v>ベース_MML_診断履歴情報モジュール_病名</v>
      </c>
      <c r="S79" s="140"/>
      <c r="T79" s="145" t="str">
        <f>エンティティ一覧!$O$2</f>
        <v>milscm_2023_009</v>
      </c>
    </row>
    <row r="80" spans="2:23" ht="18.75" customHeight="1">
      <c r="C80" s="141"/>
      <c r="D80" s="142"/>
      <c r="E80" s="146"/>
      <c r="F80" s="37"/>
      <c r="G80" s="38"/>
      <c r="H80" s="37"/>
      <c r="I80" s="37"/>
      <c r="J80" s="37"/>
      <c r="K80" s="37"/>
      <c r="L80" s="37"/>
      <c r="M80" s="37"/>
      <c r="N80" s="37"/>
      <c r="O80" s="37"/>
      <c r="P80" s="37"/>
      <c r="Q80" s="37"/>
      <c r="R80" s="141"/>
      <c r="S80" s="142"/>
      <c r="T80" s="146"/>
    </row>
    <row r="81" spans="2:23" ht="18.75" customHeight="1">
      <c r="F81" s="39"/>
      <c r="G81" s="40"/>
    </row>
    <row r="82" spans="2:23" ht="18.75" customHeight="1">
      <c r="C82" s="139" t="s">
        <v>3738</v>
      </c>
      <c r="D82" s="140"/>
      <c r="E82" s="145" t="str">
        <f>エンティティ一覧!$O$2</f>
        <v>milscm_2023_009</v>
      </c>
      <c r="G82" s="41"/>
    </row>
    <row r="83" spans="2:23" ht="18.75" customHeight="1">
      <c r="C83" s="141"/>
      <c r="D83" s="142"/>
      <c r="E83" s="146"/>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3998</v>
      </c>
      <c r="D87" s="103"/>
      <c r="W87" s="35" t="str">
        <f>"-- "&amp;B87&amp;" : "&amp;C87</f>
        <v>-- SQL_ID : 31_A6-18</v>
      </c>
    </row>
    <row r="88" spans="2:23" ht="18.75" customHeight="1">
      <c r="B88" s="43" t="s">
        <v>158</v>
      </c>
      <c r="C88" s="147" t="str">
        <f>R91&amp;"登録"</f>
        <v>ベース_MML_検歴情報モジュール_本文登録</v>
      </c>
      <c r="D88" s="148"/>
      <c r="E88" s="148"/>
      <c r="F88" s="148"/>
      <c r="G88" s="148"/>
      <c r="H88" s="148"/>
      <c r="I88" s="148"/>
      <c r="J88" s="148"/>
      <c r="K88" s="148"/>
      <c r="L88" s="148"/>
      <c r="M88" s="148"/>
      <c r="N88" s="148"/>
      <c r="O88" s="148"/>
      <c r="P88" s="148"/>
      <c r="Q88" s="148"/>
      <c r="R88" s="148"/>
      <c r="S88" s="148"/>
      <c r="T88" s="148"/>
      <c r="U88" s="149"/>
      <c r="W88" s="35" t="str">
        <f>"-- "&amp;C88</f>
        <v>-- ベース_MML_検歴情報モジュール_本文登録</v>
      </c>
    </row>
    <row r="89" spans="2:23" ht="18.75" customHeight="1">
      <c r="B89" s="43" t="s">
        <v>159</v>
      </c>
      <c r="C89" s="136" t="str">
        <f>C91&amp;"テーブルから対象患者で絞り込んだ結果を"&amp;R91&amp;"テーブルに格納する。"</f>
        <v>バックアップ_MML_検歴情報モジュール_本文テーブルから対象患者で絞り込んだ結果をベース_MML_検歴情報モジュール_本文テーブルに格納する。</v>
      </c>
      <c r="D89" s="137"/>
      <c r="E89" s="137"/>
      <c r="F89" s="137"/>
      <c r="G89" s="137"/>
      <c r="H89" s="137"/>
      <c r="I89" s="137"/>
      <c r="J89" s="137"/>
      <c r="K89" s="137"/>
      <c r="L89" s="137"/>
      <c r="M89" s="137"/>
      <c r="N89" s="137"/>
      <c r="O89" s="137"/>
      <c r="P89" s="137"/>
      <c r="Q89" s="137"/>
      <c r="R89" s="137"/>
      <c r="S89" s="137"/>
      <c r="T89" s="137"/>
      <c r="U89" s="138"/>
      <c r="W89" s="35" t="str">
        <f>"-- "&amp;C89</f>
        <v>-- バックアップ_MML_検歴情報モジュール_本文テーブルから対象患者で絞り込んだ結果をベース_MML_検歴情報モジュール_本文テーブルに格納する。</v>
      </c>
    </row>
    <row r="91" spans="2:23" ht="18.75" customHeight="1">
      <c r="C91" s="139" t="s">
        <v>3999</v>
      </c>
      <c r="D91" s="140"/>
      <c r="E91" s="145" t="str">
        <f>エンティティ一覧!$O$2</f>
        <v>milscm_2023_009</v>
      </c>
      <c r="H91" s="36"/>
      <c r="I91" s="36"/>
      <c r="J91" s="36"/>
      <c r="K91" s="36"/>
      <c r="L91" s="36"/>
      <c r="M91" s="36"/>
      <c r="N91" s="36"/>
      <c r="O91" s="36"/>
      <c r="P91" s="36"/>
      <c r="Q91" s="36"/>
      <c r="R91" s="139" t="str">
        <f>"ベース"&amp;SUBSTITUTE(C91,"バックアップ","")</f>
        <v>ベース_MML_検歴情報モジュール_本文</v>
      </c>
      <c r="S91" s="140"/>
      <c r="T91" s="145" t="str">
        <f>エンティティ一覧!$O$2</f>
        <v>milscm_2023_009</v>
      </c>
    </row>
    <row r="92" spans="2:23" ht="18.75" customHeight="1">
      <c r="C92" s="141"/>
      <c r="D92" s="142"/>
      <c r="E92" s="146"/>
      <c r="F92" s="37"/>
      <c r="G92" s="38"/>
      <c r="H92" s="37"/>
      <c r="I92" s="37"/>
      <c r="J92" s="37"/>
      <c r="K92" s="37"/>
      <c r="L92" s="37"/>
      <c r="M92" s="37"/>
      <c r="N92" s="37"/>
      <c r="O92" s="37"/>
      <c r="P92" s="37"/>
      <c r="Q92" s="37"/>
      <c r="R92" s="141"/>
      <c r="S92" s="142"/>
      <c r="T92" s="146"/>
    </row>
    <row r="93" spans="2:23" ht="18.75" customHeight="1">
      <c r="F93" s="39"/>
      <c r="G93" s="40"/>
    </row>
    <row r="94" spans="2:23" ht="18.75" customHeight="1">
      <c r="C94" s="139" t="s">
        <v>3738</v>
      </c>
      <c r="D94" s="140"/>
      <c r="E94" s="145" t="str">
        <f>エンティティ一覧!$O$2</f>
        <v>milscm_2023_009</v>
      </c>
      <c r="G94" s="41"/>
    </row>
    <row r="95" spans="2:23" ht="18.75" customHeight="1">
      <c r="C95" s="141"/>
      <c r="D95" s="142"/>
      <c r="E95" s="146"/>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4000</v>
      </c>
      <c r="D99" s="103"/>
      <c r="W99" s="35" t="str">
        <f>"-- "&amp;B99&amp;" : "&amp;C99</f>
        <v>-- SQL_ID : 31_A6-19</v>
      </c>
    </row>
    <row r="100" spans="2:23" ht="18.75" customHeight="1">
      <c r="B100" s="43" t="s">
        <v>158</v>
      </c>
      <c r="C100" s="147" t="str">
        <f>R103&amp;"登録"</f>
        <v>ベース_MML_検歴情報モジュール_報告コメント登録</v>
      </c>
      <c r="D100" s="148"/>
      <c r="E100" s="148"/>
      <c r="F100" s="148"/>
      <c r="G100" s="148"/>
      <c r="H100" s="148"/>
      <c r="I100" s="148"/>
      <c r="J100" s="148"/>
      <c r="K100" s="148"/>
      <c r="L100" s="148"/>
      <c r="M100" s="148"/>
      <c r="N100" s="148"/>
      <c r="O100" s="148"/>
      <c r="P100" s="148"/>
      <c r="Q100" s="148"/>
      <c r="R100" s="148"/>
      <c r="S100" s="148"/>
      <c r="T100" s="148"/>
      <c r="U100" s="149"/>
      <c r="W100" s="35" t="str">
        <f>"-- "&amp;C100</f>
        <v>-- ベース_MML_検歴情報モジュール_報告コメント登録</v>
      </c>
    </row>
    <row r="101" spans="2:23" ht="18.75" customHeight="1">
      <c r="B101" s="43" t="s">
        <v>159</v>
      </c>
      <c r="C101" s="136" t="str">
        <f>C103&amp;"テーブルから対象患者で絞り込んだ結果を"&amp;R103&amp;"テーブルに格納する。"</f>
        <v>バックアップ_MML_検歴情報モジュール_報告コメントテーブルから対象患者で絞り込んだ結果をベース_MML_検歴情報モジュール_報告コメントテーブルに格納する。</v>
      </c>
      <c r="D101" s="137"/>
      <c r="E101" s="137"/>
      <c r="F101" s="137"/>
      <c r="G101" s="137"/>
      <c r="H101" s="137"/>
      <c r="I101" s="137"/>
      <c r="J101" s="137"/>
      <c r="K101" s="137"/>
      <c r="L101" s="137"/>
      <c r="M101" s="137"/>
      <c r="N101" s="137"/>
      <c r="O101" s="137"/>
      <c r="P101" s="137"/>
      <c r="Q101" s="137"/>
      <c r="R101" s="137"/>
      <c r="S101" s="137"/>
      <c r="T101" s="137"/>
      <c r="U101" s="138"/>
      <c r="W101" s="35" t="str">
        <f>"-- "&amp;C101</f>
        <v>-- バックアップ_MML_検歴情報モジュール_報告コメントテーブルから対象患者で絞り込んだ結果をベース_MML_検歴情報モジュール_報告コメントテーブルに格納する。</v>
      </c>
    </row>
    <row r="103" spans="2:23" ht="18.75" customHeight="1">
      <c r="C103" s="139" t="s">
        <v>4001</v>
      </c>
      <c r="D103" s="140"/>
      <c r="E103" s="145" t="str">
        <f>エンティティ一覧!$O$2</f>
        <v>milscm_2023_009</v>
      </c>
      <c r="H103" s="36"/>
      <c r="I103" s="36"/>
      <c r="J103" s="36"/>
      <c r="K103" s="36"/>
      <c r="L103" s="36"/>
      <c r="M103" s="36"/>
      <c r="N103" s="36"/>
      <c r="O103" s="36"/>
      <c r="P103" s="36"/>
      <c r="Q103" s="36"/>
      <c r="R103" s="139" t="str">
        <f>"ベース"&amp;SUBSTITUTE(C103,"バックアップ","")</f>
        <v>ベース_MML_検歴情報モジュール_報告コメント</v>
      </c>
      <c r="S103" s="140"/>
      <c r="T103" s="145" t="str">
        <f>エンティティ一覧!$O$2</f>
        <v>milscm_2023_009</v>
      </c>
    </row>
    <row r="104" spans="2:23" ht="18.75" customHeight="1">
      <c r="C104" s="141"/>
      <c r="D104" s="142"/>
      <c r="E104" s="146"/>
      <c r="F104" s="37"/>
      <c r="G104" s="38"/>
      <c r="H104" s="37"/>
      <c r="I104" s="37"/>
      <c r="J104" s="37"/>
      <c r="K104" s="37"/>
      <c r="L104" s="37"/>
      <c r="M104" s="37"/>
      <c r="N104" s="37"/>
      <c r="O104" s="37"/>
      <c r="P104" s="37"/>
      <c r="Q104" s="37"/>
      <c r="R104" s="141"/>
      <c r="S104" s="142"/>
      <c r="T104" s="146"/>
    </row>
    <row r="105" spans="2:23" ht="18.75" customHeight="1">
      <c r="F105" s="39"/>
      <c r="G105" s="40"/>
    </row>
    <row r="106" spans="2:23" ht="18.75" customHeight="1">
      <c r="C106" s="139" t="s">
        <v>3738</v>
      </c>
      <c r="D106" s="140"/>
      <c r="E106" s="145" t="str">
        <f>エンティティ一覧!$O$2</f>
        <v>milscm_2023_009</v>
      </c>
      <c r="G106" s="41"/>
    </row>
    <row r="107" spans="2:23" ht="18.75" customHeight="1">
      <c r="C107" s="141"/>
      <c r="D107" s="142"/>
      <c r="E107" s="146"/>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4002</v>
      </c>
      <c r="D111" s="103"/>
      <c r="W111" s="35" t="str">
        <f>"-- "&amp;B111&amp;" : "&amp;C111</f>
        <v>-- SQL_ID : 31_A6-20</v>
      </c>
    </row>
    <row r="112" spans="2:23" ht="18.75" customHeight="1">
      <c r="B112" s="43" t="s">
        <v>158</v>
      </c>
      <c r="C112" s="147" t="str">
        <f>R115&amp;"登録"</f>
        <v>ベース_MML_検歴情報モジュール_検体検査結果情報登録</v>
      </c>
      <c r="D112" s="148"/>
      <c r="E112" s="148"/>
      <c r="F112" s="148"/>
      <c r="G112" s="148"/>
      <c r="H112" s="148"/>
      <c r="I112" s="148"/>
      <c r="J112" s="148"/>
      <c r="K112" s="148"/>
      <c r="L112" s="148"/>
      <c r="M112" s="148"/>
      <c r="N112" s="148"/>
      <c r="O112" s="148"/>
      <c r="P112" s="148"/>
      <c r="Q112" s="148"/>
      <c r="R112" s="148"/>
      <c r="S112" s="148"/>
      <c r="T112" s="148"/>
      <c r="U112" s="149"/>
      <c r="W112" s="35" t="str">
        <f>"-- "&amp;C112</f>
        <v>-- ベース_MML_検歴情報モジュール_検体検査結果情報登録</v>
      </c>
    </row>
    <row r="113" spans="2:23" ht="18.75" customHeight="1">
      <c r="B113" s="43" t="s">
        <v>159</v>
      </c>
      <c r="C113" s="136" t="str">
        <f>C115&amp;"テーブルから対象患者で絞り込んだ結果を"&amp;R115&amp;"テーブルに格納する。"</f>
        <v>バックアップ_MML_検歴情報モジュール_検体検査結果情報テーブルから対象患者で絞り込んだ結果をベース_MML_検歴情報モジュール_検体検査結果情報テーブルに格納する。</v>
      </c>
      <c r="D113" s="137"/>
      <c r="E113" s="137"/>
      <c r="F113" s="137"/>
      <c r="G113" s="137"/>
      <c r="H113" s="137"/>
      <c r="I113" s="137"/>
      <c r="J113" s="137"/>
      <c r="K113" s="137"/>
      <c r="L113" s="137"/>
      <c r="M113" s="137"/>
      <c r="N113" s="137"/>
      <c r="O113" s="137"/>
      <c r="P113" s="137"/>
      <c r="Q113" s="137"/>
      <c r="R113" s="137"/>
      <c r="S113" s="137"/>
      <c r="T113" s="137"/>
      <c r="U113" s="138"/>
      <c r="W113" s="35" t="str">
        <f>"-- "&amp;C113</f>
        <v>-- バックアップ_MML_検歴情報モジュール_検体検査結果情報テーブルから対象患者で絞り込んだ結果をベース_MML_検歴情報モジュール_検体検査結果情報テーブルに格納する。</v>
      </c>
    </row>
    <row r="115" spans="2:23" ht="18.75" customHeight="1">
      <c r="C115" s="150" t="s">
        <v>4003</v>
      </c>
      <c r="D115" s="151"/>
      <c r="E115" s="145" t="str">
        <f>エンティティ一覧!$O$2</f>
        <v>milscm_2023_009</v>
      </c>
      <c r="H115" s="36"/>
      <c r="I115" s="36"/>
      <c r="J115" s="36"/>
      <c r="K115" s="36"/>
      <c r="L115" s="36"/>
      <c r="M115" s="36"/>
      <c r="N115" s="36"/>
      <c r="O115" s="36"/>
      <c r="P115" s="36"/>
      <c r="Q115" s="36"/>
      <c r="R115" s="139" t="str">
        <f>"ベース"&amp;SUBSTITUTE(C115,"バックアップ","")</f>
        <v>ベース_MML_検歴情報モジュール_検体検査結果情報</v>
      </c>
      <c r="S115" s="140"/>
      <c r="T115" s="145" t="str">
        <f>エンティティ一覧!$O$2</f>
        <v>milscm_2023_009</v>
      </c>
    </row>
    <row r="116" spans="2:23" ht="18.75" customHeight="1">
      <c r="C116" s="152"/>
      <c r="D116" s="153"/>
      <c r="E116" s="146"/>
      <c r="F116" s="37"/>
      <c r="G116" s="38"/>
      <c r="H116" s="37"/>
      <c r="I116" s="37"/>
      <c r="J116" s="37"/>
      <c r="K116" s="37"/>
      <c r="L116" s="37"/>
      <c r="M116" s="37"/>
      <c r="N116" s="37"/>
      <c r="O116" s="37"/>
      <c r="P116" s="37"/>
      <c r="Q116" s="37"/>
      <c r="R116" s="141"/>
      <c r="S116" s="142"/>
      <c r="T116" s="146"/>
    </row>
    <row r="117" spans="2:23" ht="18.75" customHeight="1">
      <c r="F117" s="39"/>
      <c r="G117" s="40"/>
    </row>
    <row r="118" spans="2:23" ht="18.75" customHeight="1">
      <c r="C118" s="139" t="s">
        <v>3738</v>
      </c>
      <c r="D118" s="140"/>
      <c r="E118" s="145" t="str">
        <f>エンティティ一覧!$O$2</f>
        <v>milscm_2023_009</v>
      </c>
      <c r="G118" s="41"/>
    </row>
    <row r="119" spans="2:23" ht="18.75" customHeight="1">
      <c r="C119" s="141"/>
      <c r="D119" s="142"/>
      <c r="E119" s="146"/>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4004</v>
      </c>
      <c r="D123" s="103"/>
      <c r="W123" s="35" t="str">
        <f>"-- "&amp;B123&amp;" : "&amp;C123</f>
        <v>-- SQL_ID : 31_A6-21</v>
      </c>
    </row>
    <row r="124" spans="2:23" ht="18.75" customHeight="1">
      <c r="B124" s="43" t="s">
        <v>158</v>
      </c>
      <c r="C124" s="147" t="str">
        <f>R127&amp;"登録"</f>
        <v>ベース_MML_検歴情報モジュール_検体コメント登録</v>
      </c>
      <c r="D124" s="148"/>
      <c r="E124" s="148"/>
      <c r="F124" s="148"/>
      <c r="G124" s="148"/>
      <c r="H124" s="148"/>
      <c r="I124" s="148"/>
      <c r="J124" s="148"/>
      <c r="K124" s="148"/>
      <c r="L124" s="148"/>
      <c r="M124" s="148"/>
      <c r="N124" s="148"/>
      <c r="O124" s="148"/>
      <c r="P124" s="148"/>
      <c r="Q124" s="148"/>
      <c r="R124" s="148"/>
      <c r="S124" s="148"/>
      <c r="T124" s="148"/>
      <c r="U124" s="149"/>
      <c r="W124" s="35" t="str">
        <f>"-- "&amp;C124</f>
        <v>-- ベース_MML_検歴情報モジュール_検体コメント登録</v>
      </c>
    </row>
    <row r="125" spans="2:23" ht="18.75" customHeight="1">
      <c r="B125" s="43" t="s">
        <v>159</v>
      </c>
      <c r="C125" s="136" t="str">
        <f>C127&amp;"テーブルから対象患者で絞り込んだ結果を"&amp;R127&amp;"テーブルに格納する。"</f>
        <v>バックアップ_MML_検歴情報モジュール_検体コメントテーブルから対象患者で絞り込んだ結果をベース_MML_検歴情報モジュール_検体コメントテーブルに格納する。</v>
      </c>
      <c r="D125" s="137"/>
      <c r="E125" s="137"/>
      <c r="F125" s="137"/>
      <c r="G125" s="137"/>
      <c r="H125" s="137"/>
      <c r="I125" s="137"/>
      <c r="J125" s="137"/>
      <c r="K125" s="137"/>
      <c r="L125" s="137"/>
      <c r="M125" s="137"/>
      <c r="N125" s="137"/>
      <c r="O125" s="137"/>
      <c r="P125" s="137"/>
      <c r="Q125" s="137"/>
      <c r="R125" s="137"/>
      <c r="S125" s="137"/>
      <c r="T125" s="137"/>
      <c r="U125" s="138"/>
      <c r="W125" s="35" t="str">
        <f>"-- "&amp;C125</f>
        <v>-- バックアップ_MML_検歴情報モジュール_検体コメントテーブルから対象患者で絞り込んだ結果をベース_MML_検歴情報モジュール_検体コメントテーブルに格納する。</v>
      </c>
    </row>
    <row r="127" spans="2:23" ht="18.75" customHeight="1">
      <c r="C127" s="150" t="s">
        <v>4005</v>
      </c>
      <c r="D127" s="151"/>
      <c r="E127" s="145" t="str">
        <f>エンティティ一覧!$O$2</f>
        <v>milscm_2023_009</v>
      </c>
      <c r="H127" s="36"/>
      <c r="I127" s="36"/>
      <c r="J127" s="36"/>
      <c r="K127" s="36"/>
      <c r="L127" s="36"/>
      <c r="M127" s="36"/>
      <c r="N127" s="36"/>
      <c r="O127" s="36"/>
      <c r="P127" s="36"/>
      <c r="Q127" s="36"/>
      <c r="R127" s="139" t="str">
        <f>"ベース"&amp;SUBSTITUTE(C127,"バックアップ","")</f>
        <v>ベース_MML_検歴情報モジュール_検体コメント</v>
      </c>
      <c r="S127" s="140"/>
      <c r="T127" s="145" t="str">
        <f>エンティティ一覧!$O$2</f>
        <v>milscm_2023_009</v>
      </c>
    </row>
    <row r="128" spans="2:23" ht="18.75" customHeight="1">
      <c r="C128" s="152"/>
      <c r="D128" s="153"/>
      <c r="E128" s="146"/>
      <c r="F128" s="37"/>
      <c r="G128" s="38"/>
      <c r="H128" s="37"/>
      <c r="I128" s="37"/>
      <c r="J128" s="37"/>
      <c r="K128" s="37"/>
      <c r="L128" s="37"/>
      <c r="M128" s="37"/>
      <c r="N128" s="37"/>
      <c r="O128" s="37"/>
      <c r="P128" s="37"/>
      <c r="Q128" s="37"/>
      <c r="R128" s="141"/>
      <c r="S128" s="142"/>
      <c r="T128" s="146"/>
    </row>
    <row r="129" spans="2:23" ht="18.75" customHeight="1">
      <c r="F129" s="39"/>
      <c r="G129" s="40"/>
    </row>
    <row r="130" spans="2:23" ht="18.75" customHeight="1">
      <c r="C130" s="139" t="s">
        <v>3738</v>
      </c>
      <c r="D130" s="140"/>
      <c r="E130" s="145" t="str">
        <f>エンティティ一覧!$O$2</f>
        <v>milscm_2023_009</v>
      </c>
      <c r="G130" s="41"/>
    </row>
    <row r="131" spans="2:23" ht="18.75" customHeight="1">
      <c r="C131" s="141"/>
      <c r="D131" s="142"/>
      <c r="E131" s="146"/>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4006</v>
      </c>
      <c r="D135" s="103"/>
      <c r="W135" s="35" t="str">
        <f>"-- "&amp;B135&amp;" : "&amp;C135</f>
        <v>-- SQL_ID : 31_A6-22</v>
      </c>
    </row>
    <row r="136" spans="2:23" ht="18.75" customHeight="1">
      <c r="B136" s="43" t="s">
        <v>158</v>
      </c>
      <c r="C136" s="147" t="str">
        <f>R139&amp;"登録"</f>
        <v>ベース_MML_検歴情報モジュール_検査項目登録</v>
      </c>
      <c r="D136" s="148"/>
      <c r="E136" s="148"/>
      <c r="F136" s="148"/>
      <c r="G136" s="148"/>
      <c r="H136" s="148"/>
      <c r="I136" s="148"/>
      <c r="J136" s="148"/>
      <c r="K136" s="148"/>
      <c r="L136" s="148"/>
      <c r="M136" s="148"/>
      <c r="N136" s="148"/>
      <c r="O136" s="148"/>
      <c r="P136" s="148"/>
      <c r="Q136" s="148"/>
      <c r="R136" s="148"/>
      <c r="S136" s="148"/>
      <c r="T136" s="148"/>
      <c r="U136" s="149"/>
      <c r="W136" s="35" t="str">
        <f>"-- "&amp;C136</f>
        <v>-- ベース_MML_検歴情報モジュール_検査項目登録</v>
      </c>
    </row>
    <row r="137" spans="2:23" ht="18.75" customHeight="1">
      <c r="B137" s="43" t="s">
        <v>159</v>
      </c>
      <c r="C137" s="136" t="str">
        <f>C139&amp;"テーブルから対象患者で絞り込んだ結果を"&amp;R139&amp;"テーブルに格納する。"</f>
        <v>バックアップ_MML_検歴情報モジュール_検査項目テーブルから対象患者で絞り込んだ結果をベース_MML_検歴情報モジュール_検査項目テーブルに格納する。</v>
      </c>
      <c r="D137" s="137"/>
      <c r="E137" s="137"/>
      <c r="F137" s="137"/>
      <c r="G137" s="137"/>
      <c r="H137" s="137"/>
      <c r="I137" s="137"/>
      <c r="J137" s="137"/>
      <c r="K137" s="137"/>
      <c r="L137" s="137"/>
      <c r="M137" s="137"/>
      <c r="N137" s="137"/>
      <c r="O137" s="137"/>
      <c r="P137" s="137"/>
      <c r="Q137" s="137"/>
      <c r="R137" s="137"/>
      <c r="S137" s="137"/>
      <c r="T137" s="137"/>
      <c r="U137" s="138"/>
      <c r="W137" s="35" t="str">
        <f>"-- "&amp;C137</f>
        <v>-- バックアップ_MML_検歴情報モジュール_検査項目テーブルから対象患者で絞り込んだ結果をベース_MML_検歴情報モジュール_検査項目テーブルに格納する。</v>
      </c>
    </row>
    <row r="139" spans="2:23" ht="18.75" customHeight="1">
      <c r="C139" s="150" t="s">
        <v>4007</v>
      </c>
      <c r="D139" s="151"/>
      <c r="E139" s="145" t="str">
        <f>エンティティ一覧!$O$2</f>
        <v>milscm_2023_009</v>
      </c>
      <c r="H139" s="36"/>
      <c r="I139" s="36"/>
      <c r="J139" s="36"/>
      <c r="K139" s="36"/>
      <c r="L139" s="36"/>
      <c r="M139" s="36"/>
      <c r="N139" s="36"/>
      <c r="O139" s="36"/>
      <c r="P139" s="36"/>
      <c r="Q139" s="36"/>
      <c r="R139" s="139" t="str">
        <f>"ベース"&amp;SUBSTITUTE(C139,"バックアップ","")</f>
        <v>ベース_MML_検歴情報モジュール_検査項目</v>
      </c>
      <c r="S139" s="140"/>
      <c r="T139" s="145" t="str">
        <f>エンティティ一覧!$O$2</f>
        <v>milscm_2023_009</v>
      </c>
    </row>
    <row r="140" spans="2:23" ht="18.75" customHeight="1">
      <c r="C140" s="152"/>
      <c r="D140" s="153"/>
      <c r="E140" s="146"/>
      <c r="F140" s="37"/>
      <c r="G140" s="38"/>
      <c r="H140" s="37"/>
      <c r="I140" s="37"/>
      <c r="J140" s="37"/>
      <c r="K140" s="37"/>
      <c r="L140" s="37"/>
      <c r="M140" s="37"/>
      <c r="N140" s="37"/>
      <c r="O140" s="37"/>
      <c r="P140" s="37"/>
      <c r="Q140" s="37"/>
      <c r="R140" s="141"/>
      <c r="S140" s="142"/>
      <c r="T140" s="146"/>
    </row>
    <row r="141" spans="2:23" ht="18.75" customHeight="1">
      <c r="F141" s="39"/>
      <c r="G141" s="40"/>
    </row>
    <row r="142" spans="2:23" ht="18.75" customHeight="1">
      <c r="C142" s="139" t="s">
        <v>3738</v>
      </c>
      <c r="D142" s="140"/>
      <c r="E142" s="145" t="str">
        <f>エンティティ一覧!$O$2</f>
        <v>milscm_2023_009</v>
      </c>
      <c r="G142" s="41"/>
    </row>
    <row r="143" spans="2:23" ht="18.75" customHeight="1">
      <c r="C143" s="141"/>
      <c r="D143" s="142"/>
      <c r="E143" s="146"/>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4008</v>
      </c>
      <c r="D147" s="103"/>
      <c r="W147" s="35" t="str">
        <f>"-- "&amp;B147&amp;" : "&amp;C147</f>
        <v>-- SQL_ID : 31_A6-23</v>
      </c>
    </row>
    <row r="148" spans="2:23" ht="18.75" customHeight="1">
      <c r="B148" s="43" t="s">
        <v>158</v>
      </c>
      <c r="C148" s="147" t="str">
        <f>R151&amp;"登録"</f>
        <v>ベース_MML_検歴情報モジュール_検査項目コメント登録</v>
      </c>
      <c r="D148" s="148"/>
      <c r="E148" s="148"/>
      <c r="F148" s="148"/>
      <c r="G148" s="148"/>
      <c r="H148" s="148"/>
      <c r="I148" s="148"/>
      <c r="J148" s="148"/>
      <c r="K148" s="148"/>
      <c r="L148" s="148"/>
      <c r="M148" s="148"/>
      <c r="N148" s="148"/>
      <c r="O148" s="148"/>
      <c r="P148" s="148"/>
      <c r="Q148" s="148"/>
      <c r="R148" s="148"/>
      <c r="S148" s="148"/>
      <c r="T148" s="148"/>
      <c r="U148" s="149"/>
      <c r="W148" s="35" t="str">
        <f>"-- "&amp;C148</f>
        <v>-- ベース_MML_検歴情報モジュール_検査項目コメント登録</v>
      </c>
    </row>
    <row r="149" spans="2:23" ht="18.75" customHeight="1">
      <c r="B149" s="43" t="s">
        <v>159</v>
      </c>
      <c r="C149" s="136" t="str">
        <f>C151&amp;"テーブルから対象患者で絞り込んだ結果を"&amp;R151&amp;"テーブルに格納する。"</f>
        <v>バックアップ_MML_検歴情報モジュール_検査項目コメントテーブルから対象患者で絞り込んだ結果をベース_MML_検歴情報モジュール_検査項目コメントテーブルに格納する。</v>
      </c>
      <c r="D149" s="137"/>
      <c r="E149" s="137"/>
      <c r="F149" s="137"/>
      <c r="G149" s="137"/>
      <c r="H149" s="137"/>
      <c r="I149" s="137"/>
      <c r="J149" s="137"/>
      <c r="K149" s="137"/>
      <c r="L149" s="137"/>
      <c r="M149" s="137"/>
      <c r="N149" s="137"/>
      <c r="O149" s="137"/>
      <c r="P149" s="137"/>
      <c r="Q149" s="137"/>
      <c r="R149" s="137"/>
      <c r="S149" s="137"/>
      <c r="T149" s="137"/>
      <c r="U149" s="138"/>
      <c r="W149" s="35" t="str">
        <f>"-- "&amp;C149</f>
        <v>-- バックアップ_MML_検歴情報モジュール_検査項目コメントテーブルから対象患者で絞り込んだ結果をベース_MML_検歴情報モジュール_検査項目コメントテーブルに格納する。</v>
      </c>
    </row>
    <row r="151" spans="2:23" ht="18.75" customHeight="1">
      <c r="C151" s="150" t="s">
        <v>4009</v>
      </c>
      <c r="D151" s="151"/>
      <c r="E151" s="145" t="str">
        <f>エンティティ一覧!$O$2</f>
        <v>milscm_2023_009</v>
      </c>
      <c r="H151" s="36"/>
      <c r="I151" s="36"/>
      <c r="J151" s="36"/>
      <c r="K151" s="36"/>
      <c r="L151" s="36"/>
      <c r="M151" s="36"/>
      <c r="N151" s="36"/>
      <c r="O151" s="36"/>
      <c r="P151" s="36"/>
      <c r="Q151" s="36"/>
      <c r="R151" s="139" t="str">
        <f>"ベース"&amp;SUBSTITUTE(C151,"バックアップ","")</f>
        <v>ベース_MML_検歴情報モジュール_検査項目コメント</v>
      </c>
      <c r="S151" s="140"/>
      <c r="T151" s="145" t="str">
        <f>エンティティ一覧!$O$2</f>
        <v>milscm_2023_009</v>
      </c>
    </row>
    <row r="152" spans="2:23" ht="18.75" customHeight="1">
      <c r="C152" s="152"/>
      <c r="D152" s="153"/>
      <c r="E152" s="146"/>
      <c r="F152" s="37"/>
      <c r="G152" s="38"/>
      <c r="H152" s="37"/>
      <c r="I152" s="37"/>
      <c r="J152" s="37"/>
      <c r="K152" s="37"/>
      <c r="L152" s="37"/>
      <c r="M152" s="37"/>
      <c r="N152" s="37"/>
      <c r="O152" s="37"/>
      <c r="P152" s="37"/>
      <c r="Q152" s="37"/>
      <c r="R152" s="141"/>
      <c r="S152" s="142"/>
      <c r="T152" s="146"/>
    </row>
    <row r="153" spans="2:23" ht="18.75" customHeight="1">
      <c r="F153" s="39"/>
      <c r="G153" s="40"/>
    </row>
    <row r="154" spans="2:23" ht="18.75" customHeight="1">
      <c r="C154" s="139" t="s">
        <v>3738</v>
      </c>
      <c r="D154" s="140"/>
      <c r="E154" s="145" t="str">
        <f>エンティティ一覧!$O$2</f>
        <v>milscm_2023_009</v>
      </c>
      <c r="G154" s="41"/>
    </row>
    <row r="155" spans="2:23" ht="18.75" customHeight="1">
      <c r="C155" s="141"/>
      <c r="D155" s="142"/>
      <c r="E155" s="146"/>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3753</v>
      </c>
      <c r="D159" s="92"/>
      <c r="W159" s="35" t="str">
        <f>"-- "&amp;B159&amp;" : "&amp;C159</f>
        <v>-- SQL_ID : 31_A6-24</v>
      </c>
    </row>
    <row r="160" spans="2:23" ht="18.75" customHeight="1">
      <c r="B160" s="43" t="s">
        <v>158</v>
      </c>
      <c r="C160" s="147" t="str">
        <f>R163&amp;"登録"</f>
        <v>ベース_MML_処方箋モジュール_本文登録</v>
      </c>
      <c r="D160" s="148"/>
      <c r="E160" s="148"/>
      <c r="F160" s="148"/>
      <c r="G160" s="148"/>
      <c r="H160" s="148"/>
      <c r="I160" s="148"/>
      <c r="J160" s="148"/>
      <c r="K160" s="148"/>
      <c r="L160" s="148"/>
      <c r="M160" s="148"/>
      <c r="N160" s="148"/>
      <c r="O160" s="148"/>
      <c r="P160" s="148"/>
      <c r="Q160" s="148"/>
      <c r="R160" s="148"/>
      <c r="S160" s="148"/>
      <c r="T160" s="148"/>
      <c r="U160" s="149"/>
      <c r="W160" s="35" t="str">
        <f>"-- "&amp;C160</f>
        <v>-- ベース_MML_処方箋モジュール_本文登録</v>
      </c>
    </row>
    <row r="161" spans="2:23" ht="18.75" customHeight="1">
      <c r="B161" s="43" t="s">
        <v>159</v>
      </c>
      <c r="C161" s="136" t="str">
        <f>C163&amp;"テーブルから対象患者で絞り込んだ結果を"&amp;R163&amp;"テーブルに格納する。"</f>
        <v>バックアップ_MML_処方箋モジュール_本文テーブルから対象患者で絞り込んだ結果をベース_MML_処方箋モジュール_本文テーブルに格納する。</v>
      </c>
      <c r="D161" s="137"/>
      <c r="E161" s="137"/>
      <c r="F161" s="137"/>
      <c r="G161" s="137"/>
      <c r="H161" s="137"/>
      <c r="I161" s="137"/>
      <c r="J161" s="137"/>
      <c r="K161" s="137"/>
      <c r="L161" s="137"/>
      <c r="M161" s="137"/>
      <c r="N161" s="137"/>
      <c r="O161" s="137"/>
      <c r="P161" s="137"/>
      <c r="Q161" s="137"/>
      <c r="R161" s="137"/>
      <c r="S161" s="137"/>
      <c r="T161" s="137"/>
      <c r="U161" s="138"/>
      <c r="W161" s="35" t="str">
        <f>"-- "&amp;C161</f>
        <v>-- バックアップ_MML_処方箋モジュール_本文テーブルから対象患者で絞り込んだ結果をベース_MML_処方箋モジュール_本文テーブルに格納する。</v>
      </c>
    </row>
    <row r="163" spans="2:23" ht="18.75" customHeight="1">
      <c r="C163" s="139" t="s">
        <v>3754</v>
      </c>
      <c r="D163" s="140"/>
      <c r="E163" s="145" t="str">
        <f>エンティティ一覧!$O$2</f>
        <v>milscm_2023_009</v>
      </c>
      <c r="H163" s="36"/>
      <c r="I163" s="36"/>
      <c r="J163" s="36"/>
      <c r="K163" s="36"/>
      <c r="L163" s="36"/>
      <c r="M163" s="36"/>
      <c r="N163" s="36"/>
      <c r="O163" s="36"/>
      <c r="P163" s="36"/>
      <c r="Q163" s="36"/>
      <c r="R163" s="139" t="str">
        <f>"ベース"&amp;SUBSTITUTE(C163,"バックアップ","")</f>
        <v>ベース_MML_処方箋モジュール_本文</v>
      </c>
      <c r="S163" s="140"/>
      <c r="T163" s="145" t="str">
        <f>エンティティ一覧!$O$2</f>
        <v>milscm_2023_009</v>
      </c>
    </row>
    <row r="164" spans="2:23" ht="18.75" customHeight="1">
      <c r="C164" s="141"/>
      <c r="D164" s="142"/>
      <c r="E164" s="146"/>
      <c r="F164" s="37"/>
      <c r="G164" s="38"/>
      <c r="H164" s="37"/>
      <c r="I164" s="37"/>
      <c r="J164" s="37"/>
      <c r="K164" s="37"/>
      <c r="L164" s="37"/>
      <c r="M164" s="37"/>
      <c r="N164" s="37"/>
      <c r="O164" s="37"/>
      <c r="P164" s="37"/>
      <c r="Q164" s="37"/>
      <c r="R164" s="141"/>
      <c r="S164" s="142"/>
      <c r="T164" s="146"/>
    </row>
    <row r="165" spans="2:23" ht="18.75" customHeight="1">
      <c r="F165" s="39"/>
      <c r="G165" s="40"/>
    </row>
    <row r="166" spans="2:23" ht="18.75" customHeight="1">
      <c r="C166" s="139" t="s">
        <v>3738</v>
      </c>
      <c r="D166" s="140"/>
      <c r="E166" s="145" t="str">
        <f>エンティティ一覧!$O$2</f>
        <v>milscm_2023_009</v>
      </c>
      <c r="G166" s="41"/>
    </row>
    <row r="167" spans="2:23" ht="18.75" customHeight="1">
      <c r="C167" s="141"/>
      <c r="D167" s="142"/>
      <c r="E167" s="146"/>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3755</v>
      </c>
      <c r="D171" s="92"/>
      <c r="W171" s="35" t="str">
        <f>"-- "&amp;B171&amp;" : "&amp;C171</f>
        <v>-- SQL_ID : 31_A6-25</v>
      </c>
    </row>
    <row r="172" spans="2:23" ht="18.75" customHeight="1">
      <c r="B172" s="43" t="s">
        <v>158</v>
      </c>
      <c r="C172" s="147" t="str">
        <f>R175&amp;"登録"</f>
        <v>ベース_MML_処方箋モジュール_投薬登録</v>
      </c>
      <c r="D172" s="148"/>
      <c r="E172" s="148"/>
      <c r="F172" s="148"/>
      <c r="G172" s="148"/>
      <c r="H172" s="148"/>
      <c r="I172" s="148"/>
      <c r="J172" s="148"/>
      <c r="K172" s="148"/>
      <c r="L172" s="148"/>
      <c r="M172" s="148"/>
      <c r="N172" s="148"/>
      <c r="O172" s="148"/>
      <c r="P172" s="148"/>
      <c r="Q172" s="148"/>
      <c r="R172" s="148"/>
      <c r="S172" s="148"/>
      <c r="T172" s="148"/>
      <c r="U172" s="149"/>
      <c r="W172" s="35" t="str">
        <f>"-- "&amp;C172</f>
        <v>-- ベース_MML_処方箋モジュール_投薬登録</v>
      </c>
    </row>
    <row r="173" spans="2:23" ht="18.75" customHeight="1">
      <c r="B173" s="43" t="s">
        <v>159</v>
      </c>
      <c r="C173" s="136" t="str">
        <f>C175&amp;"テーブルから対象患者で絞り込んだ結果を"&amp;R175&amp;"テーブルに格納する。"</f>
        <v>バックアップ_MML_処方箋モジュール_投薬テーブルから対象患者で絞り込んだ結果をベース_MML_処方箋モジュール_投薬テーブルに格納する。</v>
      </c>
      <c r="D173" s="137"/>
      <c r="E173" s="137"/>
      <c r="F173" s="137"/>
      <c r="G173" s="137"/>
      <c r="H173" s="137"/>
      <c r="I173" s="137"/>
      <c r="J173" s="137"/>
      <c r="K173" s="137"/>
      <c r="L173" s="137"/>
      <c r="M173" s="137"/>
      <c r="N173" s="137"/>
      <c r="O173" s="137"/>
      <c r="P173" s="137"/>
      <c r="Q173" s="137"/>
      <c r="R173" s="137"/>
      <c r="S173" s="137"/>
      <c r="T173" s="137"/>
      <c r="U173" s="138"/>
      <c r="W173" s="35" t="str">
        <f>"-- "&amp;C173</f>
        <v>-- バックアップ_MML_処方箋モジュール_投薬テーブルから対象患者で絞り込んだ結果をベース_MML_処方箋モジュール_投薬テーブルに格納する。</v>
      </c>
    </row>
    <row r="175" spans="2:23" ht="18.75" customHeight="1">
      <c r="C175" s="139" t="s">
        <v>3756</v>
      </c>
      <c r="D175" s="140"/>
      <c r="E175" s="145" t="str">
        <f>エンティティ一覧!$O$2</f>
        <v>milscm_2023_009</v>
      </c>
      <c r="H175" s="36"/>
      <c r="I175" s="36"/>
      <c r="J175" s="36"/>
      <c r="K175" s="36"/>
      <c r="L175" s="36"/>
      <c r="M175" s="36"/>
      <c r="N175" s="36"/>
      <c r="O175" s="36"/>
      <c r="P175" s="36"/>
      <c r="Q175" s="36"/>
      <c r="R175" s="139" t="str">
        <f>"ベース"&amp;SUBSTITUTE(C175,"バックアップ","")</f>
        <v>ベース_MML_処方箋モジュール_投薬</v>
      </c>
      <c r="S175" s="140"/>
      <c r="T175" s="145" t="str">
        <f>エンティティ一覧!$O$2</f>
        <v>milscm_2023_009</v>
      </c>
    </row>
    <row r="176" spans="2:23" ht="18.75" customHeight="1">
      <c r="C176" s="141"/>
      <c r="D176" s="142"/>
      <c r="E176" s="146"/>
      <c r="F176" s="37"/>
      <c r="G176" s="38"/>
      <c r="H176" s="37"/>
      <c r="I176" s="37"/>
      <c r="J176" s="37"/>
      <c r="K176" s="37"/>
      <c r="L176" s="37"/>
      <c r="M176" s="37"/>
      <c r="N176" s="37"/>
      <c r="O176" s="37"/>
      <c r="P176" s="37"/>
      <c r="Q176" s="37"/>
      <c r="R176" s="141"/>
      <c r="S176" s="142"/>
      <c r="T176" s="146"/>
    </row>
    <row r="177" spans="2:23" ht="18.75" customHeight="1">
      <c r="F177" s="39"/>
      <c r="G177" s="40"/>
    </row>
    <row r="178" spans="2:23" ht="18.75" customHeight="1">
      <c r="C178" s="139" t="s">
        <v>3738</v>
      </c>
      <c r="D178" s="140"/>
      <c r="E178" s="145" t="str">
        <f>エンティティ一覧!$O$2</f>
        <v>milscm_2023_009</v>
      </c>
      <c r="G178" s="41"/>
    </row>
    <row r="179" spans="2:23" ht="18.75" customHeight="1">
      <c r="C179" s="141"/>
      <c r="D179" s="142"/>
      <c r="E179" s="146"/>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3757</v>
      </c>
      <c r="D183" s="92"/>
      <c r="W183" s="35" t="str">
        <f>"-- "&amp;B183&amp;" : "&amp;C183</f>
        <v>-- SQL_ID : 31_A6-26</v>
      </c>
    </row>
    <row r="184" spans="2:23" ht="18.75" customHeight="1">
      <c r="B184" s="43" t="s">
        <v>158</v>
      </c>
      <c r="C184" s="147" t="str">
        <f>R187&amp;"登録"</f>
        <v>ベース_MML_処方箋モジュール_薬剤登録</v>
      </c>
      <c r="D184" s="148"/>
      <c r="E184" s="148"/>
      <c r="F184" s="148"/>
      <c r="G184" s="148"/>
      <c r="H184" s="148"/>
      <c r="I184" s="148"/>
      <c r="J184" s="148"/>
      <c r="K184" s="148"/>
      <c r="L184" s="148"/>
      <c r="M184" s="148"/>
      <c r="N184" s="148"/>
      <c r="O184" s="148"/>
      <c r="P184" s="148"/>
      <c r="Q184" s="148"/>
      <c r="R184" s="148"/>
      <c r="S184" s="148"/>
      <c r="T184" s="148"/>
      <c r="U184" s="149"/>
      <c r="W184" s="35" t="str">
        <f>"-- "&amp;C184</f>
        <v>-- ベース_MML_処方箋モジュール_薬剤登録</v>
      </c>
    </row>
    <row r="185" spans="2:23" ht="18.75" customHeight="1">
      <c r="B185" s="43" t="s">
        <v>159</v>
      </c>
      <c r="C185" s="136" t="str">
        <f>C187&amp;"テーブルから対象患者で絞り込んだ結果を"&amp;R187&amp;"テーブルに格納する。"</f>
        <v>バックアップ_MML_処方箋モジュール_薬剤テーブルから対象患者で絞り込んだ結果をベース_MML_処方箋モジュール_薬剤テーブルに格納する。</v>
      </c>
      <c r="D185" s="137"/>
      <c r="E185" s="137"/>
      <c r="F185" s="137"/>
      <c r="G185" s="137"/>
      <c r="H185" s="137"/>
      <c r="I185" s="137"/>
      <c r="J185" s="137"/>
      <c r="K185" s="137"/>
      <c r="L185" s="137"/>
      <c r="M185" s="137"/>
      <c r="N185" s="137"/>
      <c r="O185" s="137"/>
      <c r="P185" s="137"/>
      <c r="Q185" s="137"/>
      <c r="R185" s="137"/>
      <c r="S185" s="137"/>
      <c r="T185" s="137"/>
      <c r="U185" s="138"/>
      <c r="W185" s="35" t="str">
        <f>"-- "&amp;C185</f>
        <v>-- バックアップ_MML_処方箋モジュール_薬剤テーブルから対象患者で絞り込んだ結果をベース_MML_処方箋モジュール_薬剤テーブルに格納する。</v>
      </c>
    </row>
    <row r="187" spans="2:23" ht="18.75" customHeight="1">
      <c r="C187" s="139" t="s">
        <v>3758</v>
      </c>
      <c r="D187" s="140"/>
      <c r="E187" s="145" t="str">
        <f>エンティティ一覧!$O$2</f>
        <v>milscm_2023_009</v>
      </c>
      <c r="H187" s="36"/>
      <c r="I187" s="36"/>
      <c r="J187" s="36"/>
      <c r="K187" s="36"/>
      <c r="L187" s="36"/>
      <c r="M187" s="36"/>
      <c r="N187" s="36"/>
      <c r="O187" s="36"/>
      <c r="P187" s="36"/>
      <c r="Q187" s="36"/>
      <c r="R187" s="139" t="str">
        <f>"ベース"&amp;SUBSTITUTE(C187,"バックアップ","")</f>
        <v>ベース_MML_処方箋モジュール_薬剤</v>
      </c>
      <c r="S187" s="140"/>
      <c r="T187" s="145" t="str">
        <f>エンティティ一覧!$O$2</f>
        <v>milscm_2023_009</v>
      </c>
    </row>
    <row r="188" spans="2:23" ht="18.75" customHeight="1">
      <c r="C188" s="141"/>
      <c r="D188" s="142"/>
      <c r="E188" s="146"/>
      <c r="F188" s="37"/>
      <c r="G188" s="38"/>
      <c r="H188" s="37"/>
      <c r="I188" s="37"/>
      <c r="J188" s="37"/>
      <c r="K188" s="37"/>
      <c r="L188" s="37"/>
      <c r="M188" s="37"/>
      <c r="N188" s="37"/>
      <c r="O188" s="37"/>
      <c r="P188" s="37"/>
      <c r="Q188" s="37"/>
      <c r="R188" s="141"/>
      <c r="S188" s="142"/>
      <c r="T188" s="146"/>
    </row>
    <row r="189" spans="2:23" ht="18.75" customHeight="1">
      <c r="F189" s="39"/>
      <c r="G189" s="40"/>
    </row>
    <row r="190" spans="2:23" ht="18.75" customHeight="1">
      <c r="C190" s="139" t="s">
        <v>3738</v>
      </c>
      <c r="D190" s="140"/>
      <c r="E190" s="145" t="str">
        <f>エンティティ一覧!$O$2</f>
        <v>milscm_2023_009</v>
      </c>
      <c r="G190" s="41"/>
    </row>
    <row r="191" spans="2:23" ht="18.75" customHeight="1">
      <c r="C191" s="141"/>
      <c r="D191" s="142"/>
      <c r="E191" s="146"/>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3733</v>
      </c>
      <c r="D195" s="52"/>
      <c r="W195" s="35" t="str">
        <f>"-- "&amp;B195&amp;" : "&amp;C195</f>
        <v>-- SQL_ID : 31_C1-02</v>
      </c>
    </row>
    <row r="196" spans="2:23" ht="18.75" customHeight="1">
      <c r="B196" s="43" t="s">
        <v>158</v>
      </c>
      <c r="C196" s="147" t="str">
        <f>R199&amp;"登録"</f>
        <v>ベース_DPC調査データ_入院EF統合ファイル登録</v>
      </c>
      <c r="D196" s="148"/>
      <c r="E196" s="148"/>
      <c r="F196" s="148"/>
      <c r="G196" s="148"/>
      <c r="H196" s="148"/>
      <c r="I196" s="148"/>
      <c r="J196" s="148"/>
      <c r="K196" s="148"/>
      <c r="L196" s="148"/>
      <c r="M196" s="148"/>
      <c r="N196" s="148"/>
      <c r="O196" s="148"/>
      <c r="P196" s="148"/>
      <c r="Q196" s="148"/>
      <c r="R196" s="148"/>
      <c r="S196" s="148"/>
      <c r="T196" s="148"/>
      <c r="U196" s="149"/>
      <c r="W196" s="35" t="str">
        <f>"-- "&amp;C196</f>
        <v>-- ベース_DPC調査データ_入院EF統合ファイル登録</v>
      </c>
    </row>
    <row r="197" spans="2:23" ht="18.75" customHeight="1">
      <c r="B197" s="43" t="s">
        <v>159</v>
      </c>
      <c r="C197" s="136" t="str">
        <f>C199&amp;"テーブルから対象患者で絞り込んだ結果を"&amp;R199&amp;"テーブルに格納する。"</f>
        <v>バックアップ_DPC調査データ_入院EF統合ファイルテーブルから対象患者で絞り込んだ結果をベース_DPC調査データ_入院EF統合ファイルテーブルに格納する。</v>
      </c>
      <c r="D197" s="137"/>
      <c r="E197" s="137"/>
      <c r="F197" s="137"/>
      <c r="G197" s="137"/>
      <c r="H197" s="137"/>
      <c r="I197" s="137"/>
      <c r="J197" s="137"/>
      <c r="K197" s="137"/>
      <c r="L197" s="137"/>
      <c r="M197" s="137"/>
      <c r="N197" s="137"/>
      <c r="O197" s="137"/>
      <c r="P197" s="137"/>
      <c r="Q197" s="137"/>
      <c r="R197" s="137"/>
      <c r="S197" s="137"/>
      <c r="T197" s="137"/>
      <c r="U197" s="138"/>
      <c r="W197" s="35" t="str">
        <f>"-- "&amp;C197</f>
        <v>-- バックアップ_DPC調査データ_入院EF統合ファイルテーブルから対象患者で絞り込んだ結果をベース_DPC調査データ_入院EF統合ファイルテーブルに格納する。</v>
      </c>
    </row>
    <row r="199" spans="2:23" ht="18.75" customHeight="1">
      <c r="C199" s="139" t="s">
        <v>182</v>
      </c>
      <c r="D199" s="140"/>
      <c r="E199" s="145" t="str">
        <f>エンティティ一覧!$O$2</f>
        <v>milscm_2023_009</v>
      </c>
      <c r="H199" s="36"/>
      <c r="I199" s="36"/>
      <c r="J199" s="36"/>
      <c r="K199" s="36"/>
      <c r="L199" s="36"/>
      <c r="M199" s="36"/>
      <c r="N199" s="36"/>
      <c r="O199" s="36"/>
      <c r="P199" s="36"/>
      <c r="Q199" s="36"/>
      <c r="R199" s="139" t="str">
        <f>"ベース"&amp;SUBSTITUTE(C199,"バックアップ","")</f>
        <v>ベース_DPC調査データ_入院EF統合ファイル</v>
      </c>
      <c r="S199" s="140"/>
      <c r="T199" s="145" t="str">
        <f>エンティティ一覧!$O$2</f>
        <v>milscm_2023_009</v>
      </c>
    </row>
    <row r="200" spans="2:23" ht="18.75" customHeight="1">
      <c r="C200" s="141"/>
      <c r="D200" s="142"/>
      <c r="E200" s="146"/>
      <c r="F200" s="37"/>
      <c r="G200" s="38"/>
      <c r="H200" s="37"/>
      <c r="I200" s="37"/>
      <c r="J200" s="37"/>
      <c r="K200" s="37"/>
      <c r="L200" s="37"/>
      <c r="M200" s="37"/>
      <c r="N200" s="37"/>
      <c r="O200" s="37"/>
      <c r="P200" s="37"/>
      <c r="Q200" s="37"/>
      <c r="R200" s="141"/>
      <c r="S200" s="142"/>
      <c r="T200" s="146"/>
    </row>
    <row r="201" spans="2:23" ht="18.75" customHeight="1">
      <c r="F201" s="39"/>
      <c r="G201" s="40"/>
    </row>
    <row r="202" spans="2:23" ht="18.75" customHeight="1">
      <c r="C202" s="139" t="s">
        <v>3738</v>
      </c>
      <c r="D202" s="140"/>
      <c r="E202" s="145" t="str">
        <f>エンティティ一覧!$O$2</f>
        <v>milscm_2023_009</v>
      </c>
      <c r="G202" s="41"/>
    </row>
    <row r="203" spans="2:23" ht="18.75" customHeight="1">
      <c r="C203" s="141"/>
      <c r="D203" s="142"/>
      <c r="E203" s="146"/>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3734</v>
      </c>
      <c r="D207" s="52"/>
      <c r="W207" s="35" t="str">
        <f>"-- "&amp;B207&amp;" : "&amp;C207</f>
        <v>-- SQL_ID : 31_C1-03</v>
      </c>
    </row>
    <row r="208" spans="2:23" ht="18.75" customHeight="1">
      <c r="B208" s="43" t="s">
        <v>158</v>
      </c>
      <c r="C208" s="147" t="str">
        <f>R211&amp;"登録"</f>
        <v>ベース_DPC調査データ_外来EF統合ファイル登録</v>
      </c>
      <c r="D208" s="148"/>
      <c r="E208" s="148"/>
      <c r="F208" s="148"/>
      <c r="G208" s="148"/>
      <c r="H208" s="148"/>
      <c r="I208" s="148"/>
      <c r="J208" s="148"/>
      <c r="K208" s="148"/>
      <c r="L208" s="148"/>
      <c r="M208" s="148"/>
      <c r="N208" s="148"/>
      <c r="O208" s="148"/>
      <c r="P208" s="148"/>
      <c r="Q208" s="148"/>
      <c r="R208" s="148"/>
      <c r="S208" s="148"/>
      <c r="T208" s="148"/>
      <c r="U208" s="149"/>
      <c r="W208" s="35" t="str">
        <f>"-- "&amp;C208</f>
        <v>-- ベース_DPC調査データ_外来EF統合ファイル登録</v>
      </c>
    </row>
    <row r="209" spans="2:23" ht="18.75" customHeight="1">
      <c r="B209" s="43" t="s">
        <v>159</v>
      </c>
      <c r="C209" s="136" t="str">
        <f>C211&amp;"テーブルから対象患者で絞り込んだ結果を"&amp;R211&amp;"テーブルに格納する。"</f>
        <v>バックアップ_DPC調査データ_外来EF統合ファイルテーブルから対象患者で絞り込んだ結果をベース_DPC調査データ_外来EF統合ファイルテーブルに格納する。</v>
      </c>
      <c r="D209" s="137"/>
      <c r="E209" s="137"/>
      <c r="F209" s="137"/>
      <c r="G209" s="137"/>
      <c r="H209" s="137"/>
      <c r="I209" s="137"/>
      <c r="J209" s="137"/>
      <c r="K209" s="137"/>
      <c r="L209" s="137"/>
      <c r="M209" s="137"/>
      <c r="N209" s="137"/>
      <c r="O209" s="137"/>
      <c r="P209" s="137"/>
      <c r="Q209" s="137"/>
      <c r="R209" s="137"/>
      <c r="S209" s="137"/>
      <c r="T209" s="137"/>
      <c r="U209" s="138"/>
      <c r="W209" s="35" t="str">
        <f>"-- "&amp;C209</f>
        <v>-- バックアップ_DPC調査データ_外来EF統合ファイルテーブルから対象患者で絞り込んだ結果をベース_DPC調査データ_外来EF統合ファイルテーブルに格納する。</v>
      </c>
    </row>
    <row r="211" spans="2:23" ht="18.75" customHeight="1">
      <c r="C211" s="139" t="s">
        <v>183</v>
      </c>
      <c r="D211" s="140"/>
      <c r="E211" s="145" t="str">
        <f>エンティティ一覧!$O$2</f>
        <v>milscm_2023_009</v>
      </c>
      <c r="H211" s="36"/>
      <c r="I211" s="36"/>
      <c r="J211" s="36"/>
      <c r="K211" s="36"/>
      <c r="L211" s="36"/>
      <c r="M211" s="36"/>
      <c r="N211" s="36"/>
      <c r="O211" s="36"/>
      <c r="P211" s="36"/>
      <c r="Q211" s="36"/>
      <c r="R211" s="139" t="str">
        <f>"ベース"&amp;SUBSTITUTE(C211,"バックアップ","")</f>
        <v>ベース_DPC調査データ_外来EF統合ファイル</v>
      </c>
      <c r="S211" s="140"/>
      <c r="T211" s="145" t="str">
        <f>エンティティ一覧!$O$2</f>
        <v>milscm_2023_009</v>
      </c>
    </row>
    <row r="212" spans="2:23" ht="18.75" customHeight="1">
      <c r="C212" s="141"/>
      <c r="D212" s="142"/>
      <c r="E212" s="146"/>
      <c r="F212" s="37"/>
      <c r="G212" s="38"/>
      <c r="H212" s="37"/>
      <c r="I212" s="37"/>
      <c r="J212" s="37"/>
      <c r="K212" s="37"/>
      <c r="L212" s="37"/>
      <c r="M212" s="37"/>
      <c r="N212" s="37"/>
      <c r="O212" s="37"/>
      <c r="P212" s="37"/>
      <c r="Q212" s="37"/>
      <c r="R212" s="141"/>
      <c r="S212" s="142"/>
      <c r="T212" s="146"/>
    </row>
    <row r="213" spans="2:23" ht="18.75" customHeight="1">
      <c r="F213" s="39"/>
      <c r="G213" s="40"/>
    </row>
    <row r="214" spans="2:23" ht="18.75" customHeight="1">
      <c r="C214" s="139" t="s">
        <v>3738</v>
      </c>
      <c r="D214" s="140"/>
      <c r="E214" s="145" t="str">
        <f>エンティティ一覧!$O$2</f>
        <v>milscm_2023_009</v>
      </c>
      <c r="G214" s="41"/>
    </row>
    <row r="215" spans="2:23" ht="18.75" customHeight="1">
      <c r="C215" s="141"/>
      <c r="D215" s="142"/>
      <c r="E215" s="146"/>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3735</v>
      </c>
      <c r="D219" s="52"/>
      <c r="W219" s="35" t="str">
        <f>"-- "&amp;B219&amp;" : "&amp;C219</f>
        <v>-- SQL_ID : 31_C1-05</v>
      </c>
    </row>
    <row r="220" spans="2:23" ht="18.75" customHeight="1">
      <c r="B220" s="43" t="s">
        <v>158</v>
      </c>
      <c r="C220" s="147" t="str">
        <f>R223&amp;"登録"</f>
        <v>ベース_DPC調査データ_様式1登録</v>
      </c>
      <c r="D220" s="148"/>
      <c r="E220" s="148"/>
      <c r="F220" s="148"/>
      <c r="G220" s="148"/>
      <c r="H220" s="148"/>
      <c r="I220" s="148"/>
      <c r="J220" s="148"/>
      <c r="K220" s="148"/>
      <c r="L220" s="148"/>
      <c r="M220" s="148"/>
      <c r="N220" s="148"/>
      <c r="O220" s="148"/>
      <c r="P220" s="148"/>
      <c r="Q220" s="148"/>
      <c r="R220" s="148"/>
      <c r="S220" s="148"/>
      <c r="T220" s="148"/>
      <c r="U220" s="149"/>
      <c r="W220" s="35" t="str">
        <f>"-- "&amp;C220</f>
        <v>-- ベース_DPC調査データ_様式1登録</v>
      </c>
    </row>
    <row r="221" spans="2:23" ht="18.75" customHeight="1">
      <c r="B221" s="43" t="s">
        <v>159</v>
      </c>
      <c r="C221" s="136" t="str">
        <f>C223&amp;"テーブルから対象患者で絞り込んだ結果を"&amp;R223&amp;"テーブルに格納する。"</f>
        <v>バックアップ_DPC調査データ_様式1テーブルから対象患者で絞り込んだ結果をベース_DPC調査データ_様式1テーブルに格納する。</v>
      </c>
      <c r="D221" s="137"/>
      <c r="E221" s="137"/>
      <c r="F221" s="137"/>
      <c r="G221" s="137"/>
      <c r="H221" s="137"/>
      <c r="I221" s="137"/>
      <c r="J221" s="137"/>
      <c r="K221" s="137"/>
      <c r="L221" s="137"/>
      <c r="M221" s="137"/>
      <c r="N221" s="137"/>
      <c r="O221" s="137"/>
      <c r="P221" s="137"/>
      <c r="Q221" s="137"/>
      <c r="R221" s="137"/>
      <c r="S221" s="137"/>
      <c r="T221" s="137"/>
      <c r="U221" s="138"/>
      <c r="W221" s="35" t="str">
        <f>"-- "&amp;C221</f>
        <v>-- バックアップ_DPC調査データ_様式1テーブルから対象患者で絞り込んだ結果をベース_DPC調査データ_様式1テーブルに格納する。</v>
      </c>
    </row>
    <row r="223" spans="2:23" ht="18.75" customHeight="1">
      <c r="C223" s="139" t="s">
        <v>184</v>
      </c>
      <c r="D223" s="140"/>
      <c r="E223" s="145" t="str">
        <f>エンティティ一覧!$O$2</f>
        <v>milscm_2023_009</v>
      </c>
      <c r="H223" s="36"/>
      <c r="I223" s="36"/>
      <c r="J223" s="36"/>
      <c r="K223" s="36"/>
      <c r="L223" s="36"/>
      <c r="M223" s="36"/>
      <c r="N223" s="36"/>
      <c r="O223" s="36"/>
      <c r="P223" s="36"/>
      <c r="Q223" s="36"/>
      <c r="R223" s="139" t="str">
        <f>"ベース"&amp;SUBSTITUTE(C223,"バックアップ","")</f>
        <v>ベース_DPC調査データ_様式1</v>
      </c>
      <c r="S223" s="140"/>
      <c r="T223" s="145" t="str">
        <f>エンティティ一覧!$O$2</f>
        <v>milscm_2023_009</v>
      </c>
    </row>
    <row r="224" spans="2:23" ht="18.75" customHeight="1">
      <c r="C224" s="141"/>
      <c r="D224" s="142"/>
      <c r="E224" s="146"/>
      <c r="F224" s="37"/>
      <c r="G224" s="38"/>
      <c r="H224" s="37"/>
      <c r="I224" s="37"/>
      <c r="J224" s="37"/>
      <c r="K224" s="37"/>
      <c r="L224" s="37"/>
      <c r="M224" s="37"/>
      <c r="N224" s="37"/>
      <c r="O224" s="37"/>
      <c r="P224" s="37"/>
      <c r="Q224" s="37"/>
      <c r="R224" s="141"/>
      <c r="S224" s="142"/>
      <c r="T224" s="146"/>
    </row>
    <row r="225" spans="2:23" ht="18.75" customHeight="1">
      <c r="F225" s="39"/>
      <c r="G225" s="40"/>
    </row>
    <row r="226" spans="2:23" ht="18.75" customHeight="1">
      <c r="C226" s="139" t="s">
        <v>3738</v>
      </c>
      <c r="D226" s="140"/>
      <c r="E226" s="145" t="str">
        <f>エンティティ一覧!$O$2</f>
        <v>milscm_2023_009</v>
      </c>
      <c r="G226" s="41"/>
    </row>
    <row r="227" spans="2:23" ht="18.75" customHeight="1">
      <c r="C227" s="141"/>
      <c r="D227" s="142"/>
      <c r="E227" s="146"/>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3736</v>
      </c>
      <c r="D231" s="52"/>
      <c r="W231" s="35" t="str">
        <f>"-- "&amp;B231&amp;" : "&amp;C231</f>
        <v>-- SQL_ID : 31_C1-07</v>
      </c>
    </row>
    <row r="232" spans="2:23" ht="18.75" customHeight="1">
      <c r="B232" s="43" t="s">
        <v>158</v>
      </c>
      <c r="C232" s="147" t="str">
        <f>R235&amp;"登録"</f>
        <v>ベース_DPC調査データ_様式1_診断情報_併存症登録</v>
      </c>
      <c r="D232" s="148"/>
      <c r="E232" s="148"/>
      <c r="F232" s="148"/>
      <c r="G232" s="148"/>
      <c r="H232" s="148"/>
      <c r="I232" s="148"/>
      <c r="J232" s="148"/>
      <c r="K232" s="148"/>
      <c r="L232" s="148"/>
      <c r="M232" s="148"/>
      <c r="N232" s="148"/>
      <c r="O232" s="148"/>
      <c r="P232" s="148"/>
      <c r="Q232" s="148"/>
      <c r="R232" s="148"/>
      <c r="S232" s="148"/>
      <c r="T232" s="148"/>
      <c r="U232" s="149"/>
      <c r="W232" s="35" t="str">
        <f>"-- "&amp;C232</f>
        <v>-- ベース_DPC調査データ_様式1_診断情報_併存症登録</v>
      </c>
    </row>
    <row r="233" spans="2:23" ht="18.75" customHeight="1">
      <c r="B233" s="43" t="s">
        <v>159</v>
      </c>
      <c r="C233" s="136" t="str">
        <f>C235&amp;"テーブルから対象患者で絞り込んだ結果を"&amp;R235&amp;"テーブルに格納する。"</f>
        <v>バックアップ_DPC調査データ_様式1_診断情報_併存症テーブルから対象患者で絞り込んだ結果をベース_DPC調査データ_様式1_診断情報_併存症テーブルに格納する。</v>
      </c>
      <c r="D233" s="137"/>
      <c r="E233" s="137"/>
      <c r="F233" s="137"/>
      <c r="G233" s="137"/>
      <c r="H233" s="137"/>
      <c r="I233" s="137"/>
      <c r="J233" s="137"/>
      <c r="K233" s="137"/>
      <c r="L233" s="137"/>
      <c r="M233" s="137"/>
      <c r="N233" s="137"/>
      <c r="O233" s="137"/>
      <c r="P233" s="137"/>
      <c r="Q233" s="137"/>
      <c r="R233" s="137"/>
      <c r="S233" s="137"/>
      <c r="T233" s="137"/>
      <c r="U233" s="138"/>
      <c r="W233" s="35" t="str">
        <f>"-- "&amp;C233</f>
        <v>-- バックアップ_DPC調査データ_様式1_診断情報_併存症テーブルから対象患者で絞り込んだ結果をベース_DPC調査データ_様式1_診断情報_併存症テーブルに格納する。</v>
      </c>
    </row>
    <row r="235" spans="2:23" ht="18.75" customHeight="1">
      <c r="C235" s="139" t="s">
        <v>185</v>
      </c>
      <c r="D235" s="140"/>
      <c r="E235" s="145" t="str">
        <f>エンティティ一覧!$O$2</f>
        <v>milscm_2023_009</v>
      </c>
      <c r="H235" s="36"/>
      <c r="I235" s="36"/>
      <c r="J235" s="36"/>
      <c r="K235" s="36"/>
      <c r="L235" s="36"/>
      <c r="M235" s="36"/>
      <c r="N235" s="36"/>
      <c r="O235" s="36"/>
      <c r="P235" s="36"/>
      <c r="Q235" s="36"/>
      <c r="R235" s="139" t="str">
        <f>"ベース"&amp;SUBSTITUTE(C235,"バックアップ","")</f>
        <v>ベース_DPC調査データ_様式1_診断情報_併存症</v>
      </c>
      <c r="S235" s="140"/>
      <c r="T235" s="145" t="str">
        <f>エンティティ一覧!$O$2</f>
        <v>milscm_2023_009</v>
      </c>
    </row>
    <row r="236" spans="2:23" ht="18.75" customHeight="1">
      <c r="C236" s="141"/>
      <c r="D236" s="142"/>
      <c r="E236" s="146"/>
      <c r="F236" s="37"/>
      <c r="G236" s="38"/>
      <c r="H236" s="37"/>
      <c r="I236" s="37"/>
      <c r="J236" s="37"/>
      <c r="K236" s="37"/>
      <c r="L236" s="37"/>
      <c r="M236" s="37"/>
      <c r="N236" s="37"/>
      <c r="O236" s="37"/>
      <c r="P236" s="37"/>
      <c r="Q236" s="37"/>
      <c r="R236" s="141"/>
      <c r="S236" s="142"/>
      <c r="T236" s="146"/>
    </row>
    <row r="237" spans="2:23" ht="18.75" customHeight="1">
      <c r="F237" s="39"/>
      <c r="G237" s="40"/>
    </row>
    <row r="238" spans="2:23" ht="18.75" customHeight="1">
      <c r="C238" s="139" t="s">
        <v>3738</v>
      </c>
      <c r="D238" s="140"/>
      <c r="E238" s="145" t="str">
        <f>エンティティ一覧!$O$2</f>
        <v>milscm_2023_009</v>
      </c>
      <c r="G238" s="41"/>
    </row>
    <row r="239" spans="2:23" ht="18.75" customHeight="1">
      <c r="C239" s="141"/>
      <c r="D239" s="142"/>
      <c r="E239" s="146"/>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3737</v>
      </c>
      <c r="D243" s="52"/>
      <c r="W243" s="35" t="str">
        <f>"-- "&amp;B243&amp;" : "&amp;C243</f>
        <v>-- SQL_ID : 31_C1-08</v>
      </c>
    </row>
    <row r="244" spans="2:23" ht="18.75" customHeight="1">
      <c r="B244" s="43" t="s">
        <v>158</v>
      </c>
      <c r="C244" s="147" t="str">
        <f>R247&amp;"登録"</f>
        <v>ベース_DPC調査データ_様式1_診断情報_続発症登録</v>
      </c>
      <c r="D244" s="148"/>
      <c r="E244" s="148"/>
      <c r="F244" s="148"/>
      <c r="G244" s="148"/>
      <c r="H244" s="148"/>
      <c r="I244" s="148"/>
      <c r="J244" s="148"/>
      <c r="K244" s="148"/>
      <c r="L244" s="148"/>
      <c r="M244" s="148"/>
      <c r="N244" s="148"/>
      <c r="O244" s="148"/>
      <c r="P244" s="148"/>
      <c r="Q244" s="148"/>
      <c r="R244" s="148"/>
      <c r="S244" s="148"/>
      <c r="T244" s="148"/>
      <c r="U244" s="149"/>
      <c r="W244" s="35" t="str">
        <f>"-- "&amp;C244</f>
        <v>-- ベース_DPC調査データ_様式1_診断情報_続発症登録</v>
      </c>
    </row>
    <row r="245" spans="2:23" ht="18.75" customHeight="1">
      <c r="B245" s="43" t="s">
        <v>159</v>
      </c>
      <c r="C245" s="136" t="str">
        <f>C247&amp;"テーブルから対象患者で絞り込んだ結果を"&amp;R247&amp;"テーブルに格納する。"</f>
        <v>バックアップ_DPC調査データ_様式1_診断情報_続発症テーブルから対象患者で絞り込んだ結果をベース_DPC調査データ_様式1_診断情報_続発症テーブルに格納する。</v>
      </c>
      <c r="D245" s="137"/>
      <c r="E245" s="137"/>
      <c r="F245" s="137"/>
      <c r="G245" s="137"/>
      <c r="H245" s="137"/>
      <c r="I245" s="137"/>
      <c r="J245" s="137"/>
      <c r="K245" s="137"/>
      <c r="L245" s="137"/>
      <c r="M245" s="137"/>
      <c r="N245" s="137"/>
      <c r="O245" s="137"/>
      <c r="P245" s="137"/>
      <c r="Q245" s="137"/>
      <c r="R245" s="137"/>
      <c r="S245" s="137"/>
      <c r="T245" s="137"/>
      <c r="U245" s="138"/>
      <c r="W245" s="35" t="str">
        <f>"-- "&amp;C245</f>
        <v>-- バックアップ_DPC調査データ_様式1_診断情報_続発症テーブルから対象患者で絞り込んだ結果をベース_DPC調査データ_様式1_診断情報_続発症テーブルに格納する。</v>
      </c>
    </row>
    <row r="247" spans="2:23" ht="18.75" customHeight="1">
      <c r="C247" s="139" t="s">
        <v>186</v>
      </c>
      <c r="D247" s="140"/>
      <c r="E247" s="145" t="str">
        <f>エンティティ一覧!$O$2</f>
        <v>milscm_2023_009</v>
      </c>
      <c r="H247" s="36"/>
      <c r="I247" s="36"/>
      <c r="J247" s="36"/>
      <c r="K247" s="36"/>
      <c r="L247" s="36"/>
      <c r="M247" s="36"/>
      <c r="N247" s="36"/>
      <c r="O247" s="36"/>
      <c r="P247" s="36"/>
      <c r="Q247" s="36"/>
      <c r="R247" s="139" t="str">
        <f>"ベース"&amp;SUBSTITUTE(C247,"バックアップ","")</f>
        <v>ベース_DPC調査データ_様式1_診断情報_続発症</v>
      </c>
      <c r="S247" s="140"/>
      <c r="T247" s="145" t="str">
        <f>エンティティ一覧!$O$2</f>
        <v>milscm_2023_009</v>
      </c>
    </row>
    <row r="248" spans="2:23" ht="18.75" customHeight="1">
      <c r="C248" s="141"/>
      <c r="D248" s="142"/>
      <c r="E248" s="146"/>
      <c r="F248" s="37"/>
      <c r="G248" s="38"/>
      <c r="H248" s="37"/>
      <c r="I248" s="37"/>
      <c r="J248" s="37"/>
      <c r="K248" s="37"/>
      <c r="L248" s="37"/>
      <c r="M248" s="37"/>
      <c r="N248" s="37"/>
      <c r="O248" s="37"/>
      <c r="P248" s="37"/>
      <c r="Q248" s="37"/>
      <c r="R248" s="141"/>
      <c r="S248" s="142"/>
      <c r="T248" s="146"/>
    </row>
    <row r="249" spans="2:23" ht="18.75" customHeight="1">
      <c r="F249" s="39"/>
      <c r="G249" s="40"/>
    </row>
    <row r="250" spans="2:23" ht="18.75" customHeight="1">
      <c r="C250" s="139" t="s">
        <v>3738</v>
      </c>
      <c r="D250" s="140"/>
      <c r="E250" s="145" t="str">
        <f>エンティティ一覧!$O$2</f>
        <v>milscm_2023_009</v>
      </c>
      <c r="G250" s="41"/>
    </row>
    <row r="251" spans="2:23" ht="18.75" customHeight="1">
      <c r="C251" s="141"/>
      <c r="D251" s="142"/>
      <c r="E251" s="146"/>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3760</v>
      </c>
      <c r="D255" s="92"/>
      <c r="W255" s="35" t="str">
        <f>"-- "&amp;B255&amp;" : "&amp;C255</f>
        <v>-- SQL_ID : 31_C4-03</v>
      </c>
    </row>
    <row r="256" spans="2:23" ht="18.75" customHeight="1">
      <c r="B256" s="43" t="s">
        <v>158</v>
      </c>
      <c r="C256" s="147" t="str">
        <f>R259&amp;"登録"</f>
        <v>ベース_診断履歴情報モジュール_診断履歴情報レコード登録</v>
      </c>
      <c r="D256" s="148"/>
      <c r="E256" s="148"/>
      <c r="F256" s="148"/>
      <c r="G256" s="148"/>
      <c r="H256" s="148"/>
      <c r="I256" s="148"/>
      <c r="J256" s="148"/>
      <c r="K256" s="148"/>
      <c r="L256" s="148"/>
      <c r="M256" s="148"/>
      <c r="N256" s="148"/>
      <c r="O256" s="148"/>
      <c r="P256" s="148"/>
      <c r="Q256" s="148"/>
      <c r="R256" s="148"/>
      <c r="S256" s="148"/>
      <c r="T256" s="148"/>
      <c r="U256" s="149"/>
      <c r="W256" s="35" t="str">
        <f>"-- "&amp;C256</f>
        <v>-- ベース_診断履歴情報モジュール_診断履歴情報レコード登録</v>
      </c>
    </row>
    <row r="257" spans="2:23" ht="18.75" customHeight="1">
      <c r="B257" s="43" t="s">
        <v>159</v>
      </c>
      <c r="C257" s="136" t="str">
        <f>C259&amp;"テーブルから対象患者で絞り込んだ結果を"&amp;R259&amp;"テーブルに格納する。"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57" s="137"/>
      <c r="E257" s="137"/>
      <c r="F257" s="137"/>
      <c r="G257" s="137"/>
      <c r="H257" s="137"/>
      <c r="I257" s="137"/>
      <c r="J257" s="137"/>
      <c r="K257" s="137"/>
      <c r="L257" s="137"/>
      <c r="M257" s="137"/>
      <c r="N257" s="137"/>
      <c r="O257" s="137"/>
      <c r="P257" s="137"/>
      <c r="Q257" s="137"/>
      <c r="R257" s="137"/>
      <c r="S257" s="137"/>
      <c r="T257" s="137"/>
      <c r="U257" s="138"/>
      <c r="W257" s="35" t="str">
        <f>"-- "&amp;C257</f>
        <v>-- バックアップ_診断履歴情報モジュール_診断履歴情報レコードテーブルから対象患者で絞り込んだ結果をベース_診断履歴情報モジュール_診断履歴情報レコードテーブルに格納する。</v>
      </c>
    </row>
    <row r="259" spans="2:23" ht="18.75" customHeight="1">
      <c r="C259" s="158" t="s">
        <v>3761</v>
      </c>
      <c r="D259" s="159"/>
      <c r="E259" s="145" t="str">
        <f>エンティティ一覧!$O$2</f>
        <v>milscm_2023_009</v>
      </c>
      <c r="H259" s="36"/>
      <c r="I259" s="36"/>
      <c r="J259" s="36"/>
      <c r="K259" s="36"/>
      <c r="L259" s="36"/>
      <c r="M259" s="36"/>
      <c r="N259" s="36"/>
      <c r="O259" s="36"/>
      <c r="P259" s="36"/>
      <c r="Q259" s="36"/>
      <c r="R259" s="158" t="str">
        <f>"ベース"&amp;SUBSTITUTE(C259,"バックアップ","")</f>
        <v>ベース_診断履歴情報モジュール_診断履歴情報レコード</v>
      </c>
      <c r="S259" s="159"/>
      <c r="T259" s="145" t="str">
        <f>エンティティ一覧!$O$2</f>
        <v>milscm_2023_009</v>
      </c>
    </row>
    <row r="260" spans="2:23" ht="18.75" customHeight="1">
      <c r="C260" s="160"/>
      <c r="D260" s="161"/>
      <c r="E260" s="146"/>
      <c r="F260" s="37"/>
      <c r="G260" s="38"/>
      <c r="H260" s="37"/>
      <c r="I260" s="37"/>
      <c r="J260" s="37"/>
      <c r="K260" s="37"/>
      <c r="L260" s="37"/>
      <c r="M260" s="37"/>
      <c r="N260" s="37"/>
      <c r="O260" s="37"/>
      <c r="P260" s="37"/>
      <c r="Q260" s="37"/>
      <c r="R260" s="160"/>
      <c r="S260" s="161"/>
      <c r="T260" s="146"/>
    </row>
    <row r="261" spans="2:23" ht="18.75" customHeight="1">
      <c r="F261" s="39"/>
      <c r="G261" s="40"/>
    </row>
    <row r="262" spans="2:23" ht="18.75" customHeight="1">
      <c r="C262" s="139" t="s">
        <v>3738</v>
      </c>
      <c r="D262" s="140"/>
      <c r="E262" s="145" t="str">
        <f>エンティティ一覧!$O$2</f>
        <v>milscm_2023_009</v>
      </c>
      <c r="G262" s="41"/>
    </row>
    <row r="263" spans="2:23" ht="18.75" customHeight="1">
      <c r="C263" s="141"/>
      <c r="D263" s="142"/>
      <c r="E263" s="146"/>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3759</v>
      </c>
      <c r="D267" s="92"/>
      <c r="W267" s="35" t="str">
        <f>"-- "&amp;B267&amp;" : "&amp;C267</f>
        <v>-- SQL_ID : 31_C4-04</v>
      </c>
    </row>
    <row r="268" spans="2:23" ht="18.75" customHeight="1">
      <c r="B268" s="43" t="s">
        <v>158</v>
      </c>
      <c r="C268" s="147" t="str">
        <f>R271&amp;"登録"</f>
        <v>ベース_診断履歴情報モジュール_診断病名レコード登録</v>
      </c>
      <c r="D268" s="148"/>
      <c r="E268" s="148"/>
      <c r="F268" s="148"/>
      <c r="G268" s="148"/>
      <c r="H268" s="148"/>
      <c r="I268" s="148"/>
      <c r="J268" s="148"/>
      <c r="K268" s="148"/>
      <c r="L268" s="148"/>
      <c r="M268" s="148"/>
      <c r="N268" s="148"/>
      <c r="O268" s="148"/>
      <c r="P268" s="148"/>
      <c r="Q268" s="148"/>
      <c r="R268" s="148"/>
      <c r="S268" s="148"/>
      <c r="T268" s="148"/>
      <c r="U268" s="149"/>
      <c r="W268" s="35" t="str">
        <f>"-- "&amp;C268</f>
        <v>-- ベース_診断履歴情報モジュール_診断病名レコード登録</v>
      </c>
    </row>
    <row r="269" spans="2:23" ht="18.75" customHeight="1">
      <c r="B269" s="43" t="s">
        <v>159</v>
      </c>
      <c r="C269" s="136" t="str">
        <f>C271&amp;"テーブルから対象患者で絞り込んだ結果を"&amp;R271&amp;"テーブルに格納する。"</f>
        <v>バックアップ_診断履歴情報モジュール_診断病名レコードテーブルから対象患者で絞り込んだ結果をベース_診断履歴情報モジュール_診断病名レコードテーブルに格納する。</v>
      </c>
      <c r="D269" s="137"/>
      <c r="E269" s="137"/>
      <c r="F269" s="137"/>
      <c r="G269" s="137"/>
      <c r="H269" s="137"/>
      <c r="I269" s="137"/>
      <c r="J269" s="137"/>
      <c r="K269" s="137"/>
      <c r="L269" s="137"/>
      <c r="M269" s="137"/>
      <c r="N269" s="137"/>
      <c r="O269" s="137"/>
      <c r="P269" s="137"/>
      <c r="Q269" s="137"/>
      <c r="R269" s="137"/>
      <c r="S269" s="137"/>
      <c r="T269" s="137"/>
      <c r="U269" s="138"/>
      <c r="W269" s="35" t="str">
        <f>"-- "&amp;C269</f>
        <v>-- バックアップ_診断履歴情報モジュール_診断病名レコードテーブルから対象患者で絞り込んだ結果をベース_診断履歴情報モジュール_診断病名レコードテーブルに格納する。</v>
      </c>
    </row>
    <row r="271" spans="2:23" ht="18.75" customHeight="1">
      <c r="C271" s="158" t="s">
        <v>3762</v>
      </c>
      <c r="D271" s="159"/>
      <c r="E271" s="145" t="str">
        <f>エンティティ一覧!$O$2</f>
        <v>milscm_2023_009</v>
      </c>
      <c r="H271" s="36"/>
      <c r="I271" s="36"/>
      <c r="J271" s="36"/>
      <c r="K271" s="36"/>
      <c r="L271" s="36"/>
      <c r="M271" s="36"/>
      <c r="N271" s="36"/>
      <c r="O271" s="36"/>
      <c r="P271" s="36"/>
      <c r="Q271" s="36"/>
      <c r="R271" s="158" t="str">
        <f>"ベース"&amp;SUBSTITUTE(C271,"バックアップ","")</f>
        <v>ベース_診断履歴情報モジュール_診断病名レコード</v>
      </c>
      <c r="S271" s="159"/>
      <c r="T271" s="145" t="str">
        <f>エンティティ一覧!$O$2</f>
        <v>milscm_2023_009</v>
      </c>
    </row>
    <row r="272" spans="2:23" ht="18.75" customHeight="1">
      <c r="C272" s="160"/>
      <c r="D272" s="161"/>
      <c r="E272" s="146"/>
      <c r="F272" s="37"/>
      <c r="G272" s="38"/>
      <c r="H272" s="37"/>
      <c r="I272" s="37"/>
      <c r="J272" s="37"/>
      <c r="K272" s="37"/>
      <c r="L272" s="37"/>
      <c r="M272" s="37"/>
      <c r="N272" s="37"/>
      <c r="O272" s="37"/>
      <c r="P272" s="37"/>
      <c r="Q272" s="37"/>
      <c r="R272" s="160"/>
      <c r="S272" s="161"/>
      <c r="T272" s="146"/>
    </row>
    <row r="273" spans="2:23" ht="18.75" customHeight="1">
      <c r="F273" s="39"/>
      <c r="G273" s="40"/>
    </row>
    <row r="274" spans="2:23" ht="18.75" customHeight="1">
      <c r="C274" s="139" t="s">
        <v>3738</v>
      </c>
      <c r="D274" s="140"/>
      <c r="E274" s="145" t="str">
        <f>エンティティ一覧!$O$2</f>
        <v>milscm_2023_009</v>
      </c>
      <c r="G274" s="41"/>
    </row>
    <row r="275" spans="2:23" ht="18.75" customHeight="1">
      <c r="C275" s="141"/>
      <c r="D275" s="142"/>
      <c r="E275" s="146"/>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3764</v>
      </c>
      <c r="D279" s="92"/>
      <c r="W279" s="35" t="str">
        <f>"-- "&amp;B279&amp;" : "&amp;C279</f>
        <v>-- SQL_ID : 31_C4-06</v>
      </c>
    </row>
    <row r="280" spans="2:23" ht="18.75" customHeight="1">
      <c r="B280" s="43" t="s">
        <v>158</v>
      </c>
      <c r="C280" s="147" t="str">
        <f>R283&amp;"登録"</f>
        <v>ベース_経過記録情報モジュール_経過記録情報レコード登録</v>
      </c>
      <c r="D280" s="148"/>
      <c r="E280" s="148"/>
      <c r="F280" s="148"/>
      <c r="G280" s="148"/>
      <c r="H280" s="148"/>
      <c r="I280" s="148"/>
      <c r="J280" s="148"/>
      <c r="K280" s="148"/>
      <c r="L280" s="148"/>
      <c r="M280" s="148"/>
      <c r="N280" s="148"/>
      <c r="O280" s="148"/>
      <c r="P280" s="148"/>
      <c r="Q280" s="148"/>
      <c r="R280" s="148"/>
      <c r="S280" s="148"/>
      <c r="T280" s="148"/>
      <c r="U280" s="149"/>
      <c r="W280" s="35" t="str">
        <f>"-- "&amp;C280</f>
        <v>-- ベース_経過記録情報モジュール_経過記録情報レコード登録</v>
      </c>
    </row>
    <row r="281" spans="2:23" ht="18.75" customHeight="1">
      <c r="B281" s="43" t="s">
        <v>159</v>
      </c>
      <c r="C281" s="136" t="str">
        <f>C283&amp;"テーブルから対象患者で絞り込んだ結果を"&amp;R283&amp;"テーブルに格納する。"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81" s="137"/>
      <c r="E281" s="137"/>
      <c r="F281" s="137"/>
      <c r="G281" s="137"/>
      <c r="H281" s="137"/>
      <c r="I281" s="137"/>
      <c r="J281" s="137"/>
      <c r="K281" s="137"/>
      <c r="L281" s="137"/>
      <c r="M281" s="137"/>
      <c r="N281" s="137"/>
      <c r="O281" s="137"/>
      <c r="P281" s="137"/>
      <c r="Q281" s="137"/>
      <c r="R281" s="137"/>
      <c r="S281" s="137"/>
      <c r="T281" s="137"/>
      <c r="U281" s="138"/>
      <c r="W281" s="35" t="str">
        <f>"-- "&amp;C281</f>
        <v>-- バックアップ_経過記録情報モジュール_経過記録情報レコードテーブルから対象患者で絞り込んだ結果をベース_経過記録情報モジュール_経過記録情報レコードテーブルに格納する。</v>
      </c>
    </row>
    <row r="283" spans="2:23" ht="18.75" customHeight="1">
      <c r="C283" s="158" t="s">
        <v>3763</v>
      </c>
      <c r="D283" s="159"/>
      <c r="E283" s="145" t="str">
        <f>エンティティ一覧!$O$2</f>
        <v>milscm_2023_009</v>
      </c>
      <c r="H283" s="36"/>
      <c r="I283" s="36"/>
      <c r="J283" s="36"/>
      <c r="K283" s="36"/>
      <c r="L283" s="36"/>
      <c r="M283" s="36"/>
      <c r="N283" s="36"/>
      <c r="O283" s="36"/>
      <c r="P283" s="36"/>
      <c r="Q283" s="36"/>
      <c r="R283" s="158" t="str">
        <f>"ベース"&amp;SUBSTITUTE(C283,"バックアップ","")</f>
        <v>ベース_経過記録情報モジュール_経過記録情報レコード</v>
      </c>
      <c r="S283" s="159"/>
      <c r="T283" s="145" t="str">
        <f>エンティティ一覧!$O$2</f>
        <v>milscm_2023_009</v>
      </c>
    </row>
    <row r="284" spans="2:23" ht="18.75" customHeight="1">
      <c r="C284" s="160"/>
      <c r="D284" s="161"/>
      <c r="E284" s="146"/>
      <c r="F284" s="37"/>
      <c r="G284" s="38"/>
      <c r="H284" s="37"/>
      <c r="I284" s="37"/>
      <c r="J284" s="37"/>
      <c r="K284" s="37"/>
      <c r="L284" s="37"/>
      <c r="M284" s="37"/>
      <c r="N284" s="37"/>
      <c r="O284" s="37"/>
      <c r="P284" s="37"/>
      <c r="Q284" s="37"/>
      <c r="R284" s="160"/>
      <c r="S284" s="161"/>
      <c r="T284" s="146"/>
    </row>
    <row r="285" spans="2:23" ht="18.75" customHeight="1">
      <c r="F285" s="39"/>
      <c r="G285" s="40"/>
    </row>
    <row r="286" spans="2:23" ht="18.75" customHeight="1">
      <c r="C286" s="139" t="s">
        <v>3738</v>
      </c>
      <c r="D286" s="140"/>
      <c r="E286" s="145" t="str">
        <f>エンティティ一覧!$O$2</f>
        <v>milscm_2023_009</v>
      </c>
      <c r="G286" s="41"/>
    </row>
    <row r="287" spans="2:23" ht="18.75" customHeight="1">
      <c r="C287" s="141"/>
      <c r="D287" s="142"/>
      <c r="E287" s="146"/>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3765</v>
      </c>
      <c r="D291" s="92"/>
      <c r="W291" s="35" t="str">
        <f>"-- "&amp;B291&amp;" : "&amp;C291</f>
        <v>-- SQL_ID : 31_C4-07</v>
      </c>
    </row>
    <row r="292" spans="2:23" ht="18.75" customHeight="1">
      <c r="B292" s="43" t="s">
        <v>158</v>
      </c>
      <c r="C292" s="147" t="str">
        <f>R295&amp;"登録"</f>
        <v>ベース_経過記録情報モジュール_プロブレムレコード登録</v>
      </c>
      <c r="D292" s="148"/>
      <c r="E292" s="148"/>
      <c r="F292" s="148"/>
      <c r="G292" s="148"/>
      <c r="H292" s="148"/>
      <c r="I292" s="148"/>
      <c r="J292" s="148"/>
      <c r="K292" s="148"/>
      <c r="L292" s="148"/>
      <c r="M292" s="148"/>
      <c r="N292" s="148"/>
      <c r="O292" s="148"/>
      <c r="P292" s="148"/>
      <c r="Q292" s="148"/>
      <c r="R292" s="148"/>
      <c r="S292" s="148"/>
      <c r="T292" s="148"/>
      <c r="U292" s="149"/>
      <c r="W292" s="35" t="str">
        <f>"-- "&amp;C292</f>
        <v>-- ベース_経過記録情報モジュール_プロブレムレコード登録</v>
      </c>
    </row>
    <row r="293" spans="2:23" ht="18.75" customHeight="1">
      <c r="B293" s="43" t="s">
        <v>159</v>
      </c>
      <c r="C293" s="136" t="str">
        <f>C295&amp;"テーブルから対象患者で絞り込んだ結果を"&amp;R295&amp;"テーブルに格納する。"</f>
        <v>バックアップ_経過記録情報モジュール_プロブレムレコードテーブルから対象患者で絞り込んだ結果をベース_経過記録情報モジュール_プロブレムレコードテーブルに格納する。</v>
      </c>
      <c r="D293" s="137"/>
      <c r="E293" s="137"/>
      <c r="F293" s="137"/>
      <c r="G293" s="137"/>
      <c r="H293" s="137"/>
      <c r="I293" s="137"/>
      <c r="J293" s="137"/>
      <c r="K293" s="137"/>
      <c r="L293" s="137"/>
      <c r="M293" s="137"/>
      <c r="N293" s="137"/>
      <c r="O293" s="137"/>
      <c r="P293" s="137"/>
      <c r="Q293" s="137"/>
      <c r="R293" s="137"/>
      <c r="S293" s="137"/>
      <c r="T293" s="137"/>
      <c r="U293" s="138"/>
      <c r="W293" s="35" t="str">
        <f>"-- "&amp;C293</f>
        <v>-- バックアップ_経過記録情報モジュール_プロブレムレコードテーブルから対象患者で絞り込んだ結果をベース_経過記録情報モジュール_プロブレムレコードテーブルに格納する。</v>
      </c>
    </row>
    <row r="295" spans="2:23" ht="18.75" customHeight="1">
      <c r="C295" s="158" t="s">
        <v>3766</v>
      </c>
      <c r="D295" s="159"/>
      <c r="E295" s="145" t="str">
        <f>エンティティ一覧!$O$2</f>
        <v>milscm_2023_009</v>
      </c>
      <c r="H295" s="36"/>
      <c r="I295" s="36"/>
      <c r="J295" s="36"/>
      <c r="K295" s="36"/>
      <c r="L295" s="36"/>
      <c r="M295" s="36"/>
      <c r="N295" s="36"/>
      <c r="O295" s="36"/>
      <c r="P295" s="36"/>
      <c r="Q295" s="36"/>
      <c r="R295" s="158" t="str">
        <f>"ベース"&amp;SUBSTITUTE(C295,"バックアップ","")</f>
        <v>ベース_経過記録情報モジュール_プロブレムレコード</v>
      </c>
      <c r="S295" s="159"/>
      <c r="T295" s="145" t="str">
        <f>エンティティ一覧!$O$2</f>
        <v>milscm_2023_009</v>
      </c>
    </row>
    <row r="296" spans="2:23" ht="18.75" customHeight="1">
      <c r="C296" s="160"/>
      <c r="D296" s="161"/>
      <c r="E296" s="146"/>
      <c r="F296" s="37"/>
      <c r="G296" s="38"/>
      <c r="H296" s="37"/>
      <c r="I296" s="37"/>
      <c r="J296" s="37"/>
      <c r="K296" s="37"/>
      <c r="L296" s="37"/>
      <c r="M296" s="37"/>
      <c r="N296" s="37"/>
      <c r="O296" s="37"/>
      <c r="P296" s="37"/>
      <c r="Q296" s="37"/>
      <c r="R296" s="160"/>
      <c r="S296" s="161"/>
      <c r="T296" s="146"/>
    </row>
    <row r="297" spans="2:23" ht="18.75" customHeight="1">
      <c r="F297" s="39"/>
      <c r="G297" s="40"/>
    </row>
    <row r="298" spans="2:23" ht="18.75" customHeight="1">
      <c r="C298" s="139" t="s">
        <v>3738</v>
      </c>
      <c r="D298" s="140"/>
      <c r="E298" s="145" t="str">
        <f>エンティティ一覧!$O$2</f>
        <v>milscm_2023_009</v>
      </c>
      <c r="G298" s="41"/>
    </row>
    <row r="299" spans="2:23" ht="18.75" customHeight="1">
      <c r="C299" s="141"/>
      <c r="D299" s="142"/>
      <c r="E299" s="146"/>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3767</v>
      </c>
      <c r="D303" s="92"/>
      <c r="W303" s="35" t="str">
        <f>"-- "&amp;B303&amp;" : "&amp;C303</f>
        <v>-- SQL_ID : 31_C4-08</v>
      </c>
    </row>
    <row r="304" spans="2:23" ht="18.75" customHeight="1">
      <c r="B304" s="43" t="s">
        <v>158</v>
      </c>
      <c r="C304" s="147" t="str">
        <f>R307&amp;"登録"</f>
        <v>ベース_経過記録情報モジュール_身体所見レコード登録</v>
      </c>
      <c r="D304" s="148"/>
      <c r="E304" s="148"/>
      <c r="F304" s="148"/>
      <c r="G304" s="148"/>
      <c r="H304" s="148"/>
      <c r="I304" s="148"/>
      <c r="J304" s="148"/>
      <c r="K304" s="148"/>
      <c r="L304" s="148"/>
      <c r="M304" s="148"/>
      <c r="N304" s="148"/>
      <c r="O304" s="148"/>
      <c r="P304" s="148"/>
      <c r="Q304" s="148"/>
      <c r="R304" s="148"/>
      <c r="S304" s="148"/>
      <c r="T304" s="148"/>
      <c r="U304" s="149"/>
      <c r="W304" s="35" t="str">
        <f>"-- "&amp;C304</f>
        <v>-- ベース_経過記録情報モジュール_身体所見レコード登録</v>
      </c>
    </row>
    <row r="305" spans="2:23" ht="18.75" customHeight="1">
      <c r="B305" s="43" t="s">
        <v>159</v>
      </c>
      <c r="C305" s="136" t="str">
        <f>C307&amp;"テーブルから対象患者で絞り込んだ結果を"&amp;R307&amp;"テーブルに格納する。"</f>
        <v>バックアップ_経過記録情報モジュール_身体所見レコードテーブルから対象患者で絞り込んだ結果をベース_経過記録情報モジュール_身体所見レコードテーブルに格納する。</v>
      </c>
      <c r="D305" s="137"/>
      <c r="E305" s="137"/>
      <c r="F305" s="137"/>
      <c r="G305" s="137"/>
      <c r="H305" s="137"/>
      <c r="I305" s="137"/>
      <c r="J305" s="137"/>
      <c r="K305" s="137"/>
      <c r="L305" s="137"/>
      <c r="M305" s="137"/>
      <c r="N305" s="137"/>
      <c r="O305" s="137"/>
      <c r="P305" s="137"/>
      <c r="Q305" s="137"/>
      <c r="R305" s="137"/>
      <c r="S305" s="137"/>
      <c r="T305" s="137"/>
      <c r="U305" s="138"/>
      <c r="W305" s="35" t="str">
        <f>"-- "&amp;C305</f>
        <v>-- バックアップ_経過記録情報モジュール_身体所見レコードテーブルから対象患者で絞り込んだ結果をベース_経過記録情報モジュール_身体所見レコードテーブルに格納する。</v>
      </c>
    </row>
    <row r="307" spans="2:23" ht="18.75" customHeight="1">
      <c r="C307" s="158" t="s">
        <v>3768</v>
      </c>
      <c r="D307" s="159"/>
      <c r="E307" s="145" t="str">
        <f>エンティティ一覧!$O$2</f>
        <v>milscm_2023_009</v>
      </c>
      <c r="H307" s="36"/>
      <c r="I307" s="36"/>
      <c r="J307" s="36"/>
      <c r="K307" s="36"/>
      <c r="L307" s="36"/>
      <c r="M307" s="36"/>
      <c r="N307" s="36"/>
      <c r="O307" s="36"/>
      <c r="P307" s="36"/>
      <c r="Q307" s="36"/>
      <c r="R307" s="158" t="str">
        <f>"ベース"&amp;SUBSTITUTE(C307,"バックアップ","")</f>
        <v>ベース_経過記録情報モジュール_身体所見レコード</v>
      </c>
      <c r="S307" s="159"/>
      <c r="T307" s="145" t="str">
        <f>エンティティ一覧!$O$2</f>
        <v>milscm_2023_009</v>
      </c>
    </row>
    <row r="308" spans="2:23" ht="18.75" customHeight="1">
      <c r="C308" s="160"/>
      <c r="D308" s="161"/>
      <c r="E308" s="146"/>
      <c r="F308" s="37"/>
      <c r="G308" s="38"/>
      <c r="H308" s="37"/>
      <c r="I308" s="37"/>
      <c r="J308" s="37"/>
      <c r="K308" s="37"/>
      <c r="L308" s="37"/>
      <c r="M308" s="37"/>
      <c r="N308" s="37"/>
      <c r="O308" s="37"/>
      <c r="P308" s="37"/>
      <c r="Q308" s="37"/>
      <c r="R308" s="160"/>
      <c r="S308" s="161"/>
      <c r="T308" s="146"/>
    </row>
    <row r="309" spans="2:23" ht="18.75" customHeight="1">
      <c r="F309" s="39"/>
      <c r="G309" s="40"/>
    </row>
    <row r="310" spans="2:23" ht="18.75" customHeight="1">
      <c r="C310" s="139" t="s">
        <v>3738</v>
      </c>
      <c r="D310" s="140"/>
      <c r="E310" s="145" t="str">
        <f>エンティティ一覧!$O$2</f>
        <v>milscm_2023_009</v>
      </c>
      <c r="G310" s="41"/>
    </row>
    <row r="311" spans="2:23" ht="18.75" customHeight="1">
      <c r="C311" s="141"/>
      <c r="D311" s="142"/>
      <c r="E311" s="146"/>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3769</v>
      </c>
      <c r="D315" s="92"/>
      <c r="W315" s="35" t="str">
        <f>"-- "&amp;B315&amp;" : "&amp;C315</f>
        <v>-- SQL_ID : 31_C4-15</v>
      </c>
    </row>
    <row r="316" spans="2:23" ht="18.75" customHeight="1">
      <c r="B316" s="43" t="s">
        <v>158</v>
      </c>
      <c r="C316" s="147" t="str">
        <f>R319&amp;"登録"</f>
        <v>ベース_経過記録情報モジュール_アセスメントレコード登録</v>
      </c>
      <c r="D316" s="148"/>
      <c r="E316" s="148"/>
      <c r="F316" s="148"/>
      <c r="G316" s="148"/>
      <c r="H316" s="148"/>
      <c r="I316" s="148"/>
      <c r="J316" s="148"/>
      <c r="K316" s="148"/>
      <c r="L316" s="148"/>
      <c r="M316" s="148"/>
      <c r="N316" s="148"/>
      <c r="O316" s="148"/>
      <c r="P316" s="148"/>
      <c r="Q316" s="148"/>
      <c r="R316" s="148"/>
      <c r="S316" s="148"/>
      <c r="T316" s="148"/>
      <c r="U316" s="149"/>
      <c r="W316" s="35" t="str">
        <f>"-- "&amp;C316</f>
        <v>-- ベース_経過記録情報モジュール_アセスメントレコード登録</v>
      </c>
    </row>
    <row r="317" spans="2:23" ht="18.75" customHeight="1">
      <c r="B317" s="43" t="s">
        <v>159</v>
      </c>
      <c r="C317" s="136" t="str">
        <f>C319&amp;"テーブルから対象患者で絞り込んだ結果を"&amp;R319&amp;"テーブルに格納する。"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17" s="137"/>
      <c r="E317" s="137"/>
      <c r="F317" s="137"/>
      <c r="G317" s="137"/>
      <c r="H317" s="137"/>
      <c r="I317" s="137"/>
      <c r="J317" s="137"/>
      <c r="K317" s="137"/>
      <c r="L317" s="137"/>
      <c r="M317" s="137"/>
      <c r="N317" s="137"/>
      <c r="O317" s="137"/>
      <c r="P317" s="137"/>
      <c r="Q317" s="137"/>
      <c r="R317" s="137"/>
      <c r="S317" s="137"/>
      <c r="T317" s="137"/>
      <c r="U317" s="138"/>
      <c r="W317" s="35" t="str">
        <f>"-- "&amp;C317</f>
        <v>-- バックアップ_経過記録情報モジュール_アセスメントレコードテーブルから対象患者で絞り込んだ結果をベース_経過記録情報モジュール_アセスメントレコードテーブルに格納する。</v>
      </c>
    </row>
    <row r="319" spans="2:23" ht="18.75" customHeight="1">
      <c r="C319" s="158" t="s">
        <v>3770</v>
      </c>
      <c r="D319" s="159"/>
      <c r="E319" s="145" t="str">
        <f>エンティティ一覧!$O$2</f>
        <v>milscm_2023_009</v>
      </c>
      <c r="H319" s="36"/>
      <c r="I319" s="36"/>
      <c r="J319" s="36"/>
      <c r="K319" s="36"/>
      <c r="L319" s="36"/>
      <c r="M319" s="36"/>
      <c r="N319" s="36"/>
      <c r="O319" s="36"/>
      <c r="P319" s="36"/>
      <c r="Q319" s="36"/>
      <c r="R319" s="158" t="str">
        <f>"ベース"&amp;SUBSTITUTE(C319,"バックアップ","")</f>
        <v>ベース_経過記録情報モジュール_アセスメントレコード</v>
      </c>
      <c r="S319" s="159"/>
      <c r="T319" s="145" t="str">
        <f>エンティティ一覧!$O$2</f>
        <v>milscm_2023_009</v>
      </c>
    </row>
    <row r="320" spans="2:23" ht="18.75" customHeight="1">
      <c r="C320" s="160"/>
      <c r="D320" s="161"/>
      <c r="E320" s="146"/>
      <c r="F320" s="37"/>
      <c r="G320" s="38"/>
      <c r="H320" s="37"/>
      <c r="I320" s="37"/>
      <c r="J320" s="37"/>
      <c r="K320" s="37"/>
      <c r="L320" s="37"/>
      <c r="M320" s="37"/>
      <c r="N320" s="37"/>
      <c r="O320" s="37"/>
      <c r="P320" s="37"/>
      <c r="Q320" s="37"/>
      <c r="R320" s="160"/>
      <c r="S320" s="161"/>
      <c r="T320" s="146"/>
    </row>
    <row r="321" spans="2:23" ht="18.75" customHeight="1">
      <c r="F321" s="39"/>
      <c r="G321" s="40"/>
    </row>
    <row r="322" spans="2:23" ht="18.75" customHeight="1">
      <c r="C322" s="139" t="s">
        <v>3738</v>
      </c>
      <c r="D322" s="140"/>
      <c r="E322" s="145" t="str">
        <f>エンティティ一覧!$O$2</f>
        <v>milscm_2023_009</v>
      </c>
      <c r="G322" s="41"/>
    </row>
    <row r="323" spans="2:23" ht="18.75" customHeight="1">
      <c r="C323" s="141"/>
      <c r="D323" s="142"/>
      <c r="E323" s="146"/>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3771</v>
      </c>
      <c r="D327" s="92"/>
      <c r="W327" s="35" t="str">
        <f>"-- "&amp;B327&amp;" : "&amp;C327</f>
        <v>-- SQL_ID : 31_C4-22</v>
      </c>
    </row>
    <row r="328" spans="2:23" ht="18.75" customHeight="1">
      <c r="B328" s="43" t="s">
        <v>158</v>
      </c>
      <c r="C328" s="147" t="str">
        <f>R331&amp;"登録"</f>
        <v>ベース_経過記録情報モジュール_外部参照レコード登録</v>
      </c>
      <c r="D328" s="148"/>
      <c r="E328" s="148"/>
      <c r="F328" s="148"/>
      <c r="G328" s="148"/>
      <c r="H328" s="148"/>
      <c r="I328" s="148"/>
      <c r="J328" s="148"/>
      <c r="K328" s="148"/>
      <c r="L328" s="148"/>
      <c r="M328" s="148"/>
      <c r="N328" s="148"/>
      <c r="O328" s="148"/>
      <c r="P328" s="148"/>
      <c r="Q328" s="148"/>
      <c r="R328" s="148"/>
      <c r="S328" s="148"/>
      <c r="T328" s="148"/>
      <c r="U328" s="149"/>
      <c r="W328" s="35" t="str">
        <f>"-- "&amp;C328</f>
        <v>-- ベース_経過記録情報モジュール_外部参照レコード登録</v>
      </c>
    </row>
    <row r="329" spans="2:23" ht="18.75" customHeight="1">
      <c r="B329" s="43" t="s">
        <v>159</v>
      </c>
      <c r="C329" s="136" t="str">
        <f>C331&amp;"テーブルから対象患者で絞り込んだ結果を"&amp;R331&amp;"テーブルに格納する。"</f>
        <v>バックアップ_経過記録情報モジュール_外部参照レコードテーブルから対象患者で絞り込んだ結果をベース_経過記録情報モジュール_外部参照レコードテーブルに格納する。</v>
      </c>
      <c r="D329" s="137"/>
      <c r="E329" s="137"/>
      <c r="F329" s="137"/>
      <c r="G329" s="137"/>
      <c r="H329" s="137"/>
      <c r="I329" s="137"/>
      <c r="J329" s="137"/>
      <c r="K329" s="137"/>
      <c r="L329" s="137"/>
      <c r="M329" s="137"/>
      <c r="N329" s="137"/>
      <c r="O329" s="137"/>
      <c r="P329" s="137"/>
      <c r="Q329" s="137"/>
      <c r="R329" s="137"/>
      <c r="S329" s="137"/>
      <c r="T329" s="137"/>
      <c r="U329" s="138"/>
      <c r="W329" s="35" t="str">
        <f>"-- "&amp;C329</f>
        <v>-- バックアップ_経過記録情報モジュール_外部参照レコードテーブルから対象患者で絞り込んだ結果をベース_経過記録情報モジュール_外部参照レコードテーブルに格納する。</v>
      </c>
    </row>
    <row r="331" spans="2:23" ht="18.75" customHeight="1">
      <c r="C331" s="158" t="s">
        <v>3772</v>
      </c>
      <c r="D331" s="159"/>
      <c r="E331" s="145" t="str">
        <f>エンティティ一覧!$O$2</f>
        <v>milscm_2023_009</v>
      </c>
      <c r="H331" s="36"/>
      <c r="I331" s="36"/>
      <c r="J331" s="36"/>
      <c r="K331" s="36"/>
      <c r="L331" s="36"/>
      <c r="M331" s="36"/>
      <c r="N331" s="36"/>
      <c r="O331" s="36"/>
      <c r="P331" s="36"/>
      <c r="Q331" s="36"/>
      <c r="R331" s="158" t="str">
        <f>"ベース"&amp;SUBSTITUTE(C331,"バックアップ","")</f>
        <v>ベース_経過記録情報モジュール_外部参照レコード</v>
      </c>
      <c r="S331" s="159"/>
      <c r="T331" s="145" t="str">
        <f>エンティティ一覧!$O$2</f>
        <v>milscm_2023_009</v>
      </c>
    </row>
    <row r="332" spans="2:23" ht="18.75" customHeight="1">
      <c r="C332" s="160"/>
      <c r="D332" s="161"/>
      <c r="E332" s="146"/>
      <c r="F332" s="37"/>
      <c r="G332" s="38"/>
      <c r="H332" s="37"/>
      <c r="I332" s="37"/>
      <c r="J332" s="37"/>
      <c r="K332" s="37"/>
      <c r="L332" s="37"/>
      <c r="M332" s="37"/>
      <c r="N332" s="37"/>
      <c r="O332" s="37"/>
      <c r="P332" s="37"/>
      <c r="Q332" s="37"/>
      <c r="R332" s="160"/>
      <c r="S332" s="161"/>
      <c r="T332" s="146"/>
    </row>
    <row r="333" spans="2:23" ht="18.75" customHeight="1">
      <c r="F333" s="39"/>
      <c r="G333" s="40"/>
    </row>
    <row r="334" spans="2:23" ht="18.75" customHeight="1">
      <c r="C334" s="139" t="s">
        <v>3738</v>
      </c>
      <c r="D334" s="140"/>
      <c r="E334" s="145" t="str">
        <f>エンティティ一覧!$O$2</f>
        <v>milscm_2023_009</v>
      </c>
      <c r="G334" s="41"/>
    </row>
    <row r="335" spans="2:23" ht="18.75" customHeight="1">
      <c r="C335" s="141"/>
      <c r="D335" s="142"/>
      <c r="E335" s="146"/>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3773</v>
      </c>
      <c r="D339" s="92"/>
      <c r="W339" s="35" t="str">
        <f>"-- "&amp;B339&amp;" : "&amp;C339</f>
        <v>-- SQL_ID : 31_C4-23</v>
      </c>
    </row>
    <row r="340" spans="2:23" ht="18.75" customHeight="1">
      <c r="B340" s="43" t="s">
        <v>158</v>
      </c>
      <c r="C340" s="147" t="str">
        <f>R343&amp;"登録"</f>
        <v>ベース_臨床サマリーモジュール_臨床サマリー情報レコード登録</v>
      </c>
      <c r="D340" s="148"/>
      <c r="E340" s="148"/>
      <c r="F340" s="148"/>
      <c r="G340" s="148"/>
      <c r="H340" s="148"/>
      <c r="I340" s="148"/>
      <c r="J340" s="148"/>
      <c r="K340" s="148"/>
      <c r="L340" s="148"/>
      <c r="M340" s="148"/>
      <c r="N340" s="148"/>
      <c r="O340" s="148"/>
      <c r="P340" s="148"/>
      <c r="Q340" s="148"/>
      <c r="R340" s="148"/>
      <c r="S340" s="148"/>
      <c r="T340" s="148"/>
      <c r="U340" s="149"/>
      <c r="W340" s="35" t="str">
        <f>"-- "&amp;C340</f>
        <v>-- ベース_臨床サマリーモジュール_臨床サマリー情報レコード登録</v>
      </c>
    </row>
    <row r="341" spans="2:23" ht="18.75" customHeight="1">
      <c r="B341" s="43" t="s">
        <v>159</v>
      </c>
      <c r="C341" s="136" t="str">
        <f>C343&amp;"テーブルから対象患者で絞り込んだ結果を"&amp;R343&amp;"テーブルに格納する。"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41" s="137"/>
      <c r="E341" s="137"/>
      <c r="F341" s="137"/>
      <c r="G341" s="137"/>
      <c r="H341" s="137"/>
      <c r="I341" s="137"/>
      <c r="J341" s="137"/>
      <c r="K341" s="137"/>
      <c r="L341" s="137"/>
      <c r="M341" s="137"/>
      <c r="N341" s="137"/>
      <c r="O341" s="137"/>
      <c r="P341" s="137"/>
      <c r="Q341" s="137"/>
      <c r="R341" s="137"/>
      <c r="S341" s="137"/>
      <c r="T341" s="137"/>
      <c r="U341" s="138"/>
      <c r="W341" s="35" t="str">
        <f>"-- "&amp;C341</f>
        <v>-- バックアップ_臨床サマリーモジュール_臨床サマリー情報レコードテーブルから対象患者で絞り込んだ結果をベース_臨床サマリーモジュール_臨床サマリー情報レコードテーブルに格納する。</v>
      </c>
    </row>
    <row r="343" spans="2:23" ht="18.75" customHeight="1">
      <c r="C343" s="154" t="s">
        <v>3774</v>
      </c>
      <c r="D343" s="155"/>
      <c r="E343" s="145" t="str">
        <f>エンティティ一覧!$O$2</f>
        <v>milscm_2023_009</v>
      </c>
      <c r="H343" s="36"/>
      <c r="I343" s="36"/>
      <c r="J343" s="36"/>
      <c r="K343" s="36"/>
      <c r="L343" s="36"/>
      <c r="M343" s="36"/>
      <c r="N343" s="36"/>
      <c r="O343" s="36"/>
      <c r="P343" s="36"/>
      <c r="Q343" s="36"/>
      <c r="R343" s="158" t="str">
        <f>"ベース"&amp;SUBSTITUTE(C343,"バックアップ","")</f>
        <v>ベース_臨床サマリーモジュール_臨床サマリー情報レコード</v>
      </c>
      <c r="S343" s="159"/>
      <c r="T343" s="145" t="str">
        <f>エンティティ一覧!$O$2</f>
        <v>milscm_2023_009</v>
      </c>
    </row>
    <row r="344" spans="2:23" ht="18.75" customHeight="1">
      <c r="C344" s="156"/>
      <c r="D344" s="157"/>
      <c r="E344" s="146"/>
      <c r="F344" s="37"/>
      <c r="G344" s="38"/>
      <c r="H344" s="37"/>
      <c r="I344" s="37"/>
      <c r="J344" s="37"/>
      <c r="K344" s="37"/>
      <c r="L344" s="37"/>
      <c r="M344" s="37"/>
      <c r="N344" s="37"/>
      <c r="O344" s="37"/>
      <c r="P344" s="37"/>
      <c r="Q344" s="37"/>
      <c r="R344" s="160"/>
      <c r="S344" s="161"/>
      <c r="T344" s="146"/>
    </row>
    <row r="345" spans="2:23" ht="18.75" customHeight="1">
      <c r="F345" s="39"/>
      <c r="G345" s="40"/>
    </row>
    <row r="346" spans="2:23" ht="18.75" customHeight="1">
      <c r="C346" s="139" t="s">
        <v>3738</v>
      </c>
      <c r="D346" s="140"/>
      <c r="E346" s="145" t="str">
        <f>エンティティ一覧!$O$2</f>
        <v>milscm_2023_009</v>
      </c>
      <c r="G346" s="41"/>
    </row>
    <row r="347" spans="2:23" ht="18.75" customHeight="1">
      <c r="C347" s="141"/>
      <c r="D347" s="142"/>
      <c r="E347" s="146"/>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3775</v>
      </c>
      <c r="D351" s="93"/>
      <c r="W351" s="35" t="str">
        <f>"-- "&amp;B351&amp;" : "&amp;C351</f>
        <v>-- SQL_ID : 31_C4-24</v>
      </c>
    </row>
    <row r="352" spans="2:23" ht="18.75" customHeight="1">
      <c r="B352" s="43" t="s">
        <v>158</v>
      </c>
      <c r="C352" s="147" t="str">
        <f>R355&amp;"登録"</f>
        <v>ベース_臨床サマリーモジュール_外来受診レコード登録</v>
      </c>
      <c r="D352" s="148"/>
      <c r="E352" s="148"/>
      <c r="F352" s="148"/>
      <c r="G352" s="148"/>
      <c r="H352" s="148"/>
      <c r="I352" s="148"/>
      <c r="J352" s="148"/>
      <c r="K352" s="148"/>
      <c r="L352" s="148"/>
      <c r="M352" s="148"/>
      <c r="N352" s="148"/>
      <c r="O352" s="148"/>
      <c r="P352" s="148"/>
      <c r="Q352" s="148"/>
      <c r="R352" s="148"/>
      <c r="S352" s="148"/>
      <c r="T352" s="148"/>
      <c r="U352" s="149"/>
      <c r="W352" s="35" t="str">
        <f>"-- "&amp;C352</f>
        <v>-- ベース_臨床サマリーモジュール_外来受診レコード登録</v>
      </c>
    </row>
    <row r="353" spans="2:23" ht="18.75" customHeight="1">
      <c r="B353" s="43" t="s">
        <v>159</v>
      </c>
      <c r="C353" s="136" t="str">
        <f>C355&amp;"テーブルから対象患者で絞り込んだ結果を"&amp;R355&amp;"テーブルに格納する。"</f>
        <v>バックアップ_臨床サマリーモジュール_外来受診レコードテーブルから対象患者で絞り込んだ結果をベース_臨床サマリーモジュール_外来受診レコードテーブルに格納する。</v>
      </c>
      <c r="D353" s="137"/>
      <c r="E353" s="137"/>
      <c r="F353" s="137"/>
      <c r="G353" s="137"/>
      <c r="H353" s="137"/>
      <c r="I353" s="137"/>
      <c r="J353" s="137"/>
      <c r="K353" s="137"/>
      <c r="L353" s="137"/>
      <c r="M353" s="137"/>
      <c r="N353" s="137"/>
      <c r="O353" s="137"/>
      <c r="P353" s="137"/>
      <c r="Q353" s="137"/>
      <c r="R353" s="137"/>
      <c r="S353" s="137"/>
      <c r="T353" s="137"/>
      <c r="U353" s="138"/>
      <c r="W353" s="35" t="str">
        <f>"-- "&amp;C353</f>
        <v>-- バックアップ_臨床サマリーモジュール_外来受診レコードテーブルから対象患者で絞り込んだ結果をベース_臨床サマリーモジュール_外来受診レコードテーブルに格納する。</v>
      </c>
    </row>
    <row r="355" spans="2:23" ht="18.75" customHeight="1">
      <c r="C355" s="154" t="s">
        <v>1475</v>
      </c>
      <c r="D355" s="155"/>
      <c r="E355" s="145" t="str">
        <f>エンティティ一覧!$O$2</f>
        <v>milscm_2023_009</v>
      </c>
      <c r="H355" s="36"/>
      <c r="I355" s="36"/>
      <c r="J355" s="36"/>
      <c r="K355" s="36"/>
      <c r="L355" s="36"/>
      <c r="M355" s="36"/>
      <c r="N355" s="36"/>
      <c r="O355" s="36"/>
      <c r="P355" s="36"/>
      <c r="Q355" s="36"/>
      <c r="R355" s="158" t="str">
        <f>"ベース"&amp;SUBSTITUTE(C355,"バックアップ","")</f>
        <v>ベース_臨床サマリーモジュール_外来受診レコード</v>
      </c>
      <c r="S355" s="159"/>
      <c r="T355" s="145" t="str">
        <f>エンティティ一覧!$O$2</f>
        <v>milscm_2023_009</v>
      </c>
    </row>
    <row r="356" spans="2:23" ht="18.75" customHeight="1">
      <c r="C356" s="156"/>
      <c r="D356" s="157"/>
      <c r="E356" s="146"/>
      <c r="F356" s="37"/>
      <c r="G356" s="38"/>
      <c r="H356" s="37"/>
      <c r="I356" s="37"/>
      <c r="J356" s="37"/>
      <c r="K356" s="37"/>
      <c r="L356" s="37"/>
      <c r="M356" s="37"/>
      <c r="N356" s="37"/>
      <c r="O356" s="37"/>
      <c r="P356" s="37"/>
      <c r="Q356" s="37"/>
      <c r="R356" s="160"/>
      <c r="S356" s="161"/>
      <c r="T356" s="146"/>
    </row>
    <row r="357" spans="2:23" ht="18.75" customHeight="1">
      <c r="F357" s="39"/>
      <c r="G357" s="40"/>
    </row>
    <row r="358" spans="2:23" ht="18.75" customHeight="1">
      <c r="C358" s="139" t="s">
        <v>3738</v>
      </c>
      <c r="D358" s="140"/>
      <c r="E358" s="145" t="str">
        <f>エンティティ一覧!$O$2</f>
        <v>milscm_2023_009</v>
      </c>
      <c r="G358" s="41"/>
    </row>
    <row r="359" spans="2:23" ht="18.75" customHeight="1">
      <c r="C359" s="141"/>
      <c r="D359" s="142"/>
      <c r="E359" s="146"/>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3776</v>
      </c>
      <c r="D363" s="93"/>
      <c r="W363" s="35" t="str">
        <f>"-- "&amp;B363&amp;" : "&amp;C363</f>
        <v>-- SQL_ID : 31_C4-25</v>
      </c>
    </row>
    <row r="364" spans="2:23" ht="18.75" customHeight="1">
      <c r="B364" s="43" t="s">
        <v>158</v>
      </c>
      <c r="C364" s="147" t="str">
        <f>R367&amp;"登録"</f>
        <v>ベース_臨床サマリーモジュール_入院レコード登録</v>
      </c>
      <c r="D364" s="148"/>
      <c r="E364" s="148"/>
      <c r="F364" s="148"/>
      <c r="G364" s="148"/>
      <c r="H364" s="148"/>
      <c r="I364" s="148"/>
      <c r="J364" s="148"/>
      <c r="K364" s="148"/>
      <c r="L364" s="148"/>
      <c r="M364" s="148"/>
      <c r="N364" s="148"/>
      <c r="O364" s="148"/>
      <c r="P364" s="148"/>
      <c r="Q364" s="148"/>
      <c r="R364" s="148"/>
      <c r="S364" s="148"/>
      <c r="T364" s="148"/>
      <c r="U364" s="149"/>
      <c r="W364" s="35" t="str">
        <f>"-- "&amp;C364</f>
        <v>-- ベース_臨床サマリーモジュール_入院レコード登録</v>
      </c>
    </row>
    <row r="365" spans="2:23" ht="18.75" customHeight="1">
      <c r="B365" s="43" t="s">
        <v>159</v>
      </c>
      <c r="C365" s="136" t="str">
        <f>C367&amp;"テーブルから対象患者で絞り込んだ結果を"&amp;R367&amp;"テーブルに格納する。"</f>
        <v>バックアップ_臨床サマリーモジュール_入院レコードテーブルから対象患者で絞り込んだ結果をベース_臨床サマリーモジュール_入院レコードテーブルに格納する。</v>
      </c>
      <c r="D365" s="137"/>
      <c r="E365" s="137"/>
      <c r="F365" s="137"/>
      <c r="G365" s="137"/>
      <c r="H365" s="137"/>
      <c r="I365" s="137"/>
      <c r="J365" s="137"/>
      <c r="K365" s="137"/>
      <c r="L365" s="137"/>
      <c r="M365" s="137"/>
      <c r="N365" s="137"/>
      <c r="O365" s="137"/>
      <c r="P365" s="137"/>
      <c r="Q365" s="137"/>
      <c r="R365" s="137"/>
      <c r="S365" s="137"/>
      <c r="T365" s="137"/>
      <c r="U365" s="138"/>
      <c r="W365" s="35" t="str">
        <f>"-- "&amp;C365</f>
        <v>-- バックアップ_臨床サマリーモジュール_入院レコードテーブルから対象患者で絞り込んだ結果をベース_臨床サマリーモジュール_入院レコードテーブルに格納する。</v>
      </c>
    </row>
    <row r="367" spans="2:23" ht="18.75" customHeight="1">
      <c r="C367" s="154" t="s">
        <v>1492</v>
      </c>
      <c r="D367" s="155"/>
      <c r="E367" s="145" t="str">
        <f>エンティティ一覧!$O$2</f>
        <v>milscm_2023_009</v>
      </c>
      <c r="H367" s="36"/>
      <c r="I367" s="36"/>
      <c r="J367" s="36"/>
      <c r="K367" s="36"/>
      <c r="L367" s="36"/>
      <c r="M367" s="36"/>
      <c r="N367" s="36"/>
      <c r="O367" s="36"/>
      <c r="P367" s="36"/>
      <c r="Q367" s="36"/>
      <c r="R367" s="158" t="str">
        <f>"ベース"&amp;SUBSTITUTE(C367,"バックアップ","")</f>
        <v>ベース_臨床サマリーモジュール_入院レコード</v>
      </c>
      <c r="S367" s="159"/>
      <c r="T367" s="145" t="str">
        <f>エンティティ一覧!$O$2</f>
        <v>milscm_2023_009</v>
      </c>
    </row>
    <row r="368" spans="2:23" ht="18.75" customHeight="1">
      <c r="C368" s="156"/>
      <c r="D368" s="157"/>
      <c r="E368" s="146"/>
      <c r="F368" s="37"/>
      <c r="G368" s="38"/>
      <c r="H368" s="37"/>
      <c r="I368" s="37"/>
      <c r="J368" s="37"/>
      <c r="K368" s="37"/>
      <c r="L368" s="37"/>
      <c r="M368" s="37"/>
      <c r="N368" s="37"/>
      <c r="O368" s="37"/>
      <c r="P368" s="37"/>
      <c r="Q368" s="37"/>
      <c r="R368" s="160"/>
      <c r="S368" s="161"/>
      <c r="T368" s="146"/>
    </row>
    <row r="369" spans="2:23" ht="18.75" customHeight="1">
      <c r="F369" s="39"/>
      <c r="G369" s="40"/>
    </row>
    <row r="370" spans="2:23" ht="18.75" customHeight="1">
      <c r="C370" s="139" t="s">
        <v>3738</v>
      </c>
      <c r="D370" s="140"/>
      <c r="E370" s="145" t="str">
        <f>エンティティ一覧!$O$2</f>
        <v>milscm_2023_009</v>
      </c>
      <c r="G370" s="41"/>
    </row>
    <row r="371" spans="2:23" ht="18.75" customHeight="1">
      <c r="C371" s="141"/>
      <c r="D371" s="142"/>
      <c r="E371" s="146"/>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3777</v>
      </c>
      <c r="D375" s="93"/>
      <c r="W375" s="35" t="str">
        <f>"-- "&amp;B375&amp;" : "&amp;C375</f>
        <v>-- SQL_ID : 31_C4-29</v>
      </c>
    </row>
    <row r="376" spans="2:23" ht="18.75" customHeight="1">
      <c r="B376" s="43" t="s">
        <v>158</v>
      </c>
      <c r="C376" s="147" t="str">
        <f>R379&amp;"登録"</f>
        <v>ベース_臨床サマリーモジュール_経過記録レコード登録</v>
      </c>
      <c r="D376" s="148"/>
      <c r="E376" s="148"/>
      <c r="F376" s="148"/>
      <c r="G376" s="148"/>
      <c r="H376" s="148"/>
      <c r="I376" s="148"/>
      <c r="J376" s="148"/>
      <c r="K376" s="148"/>
      <c r="L376" s="148"/>
      <c r="M376" s="148"/>
      <c r="N376" s="148"/>
      <c r="O376" s="148"/>
      <c r="P376" s="148"/>
      <c r="Q376" s="148"/>
      <c r="R376" s="148"/>
      <c r="S376" s="148"/>
      <c r="T376" s="148"/>
      <c r="U376" s="149"/>
      <c r="W376" s="35" t="str">
        <f>"-- "&amp;C376</f>
        <v>-- ベース_臨床サマリーモジュール_経過記録レコード登録</v>
      </c>
    </row>
    <row r="377" spans="2:23" ht="18.75" customHeight="1">
      <c r="B377" s="43" t="s">
        <v>159</v>
      </c>
      <c r="C377" s="136" t="str">
        <f>C379&amp;"テーブルから対象患者で絞り込んだ結果を"&amp;R379&amp;"テーブルに格納する。"</f>
        <v>バックアップ_臨床サマリーモジュール_経過記録レコードテーブルから対象患者で絞り込んだ結果をベース_臨床サマリーモジュール_経過記録レコードテーブルに格納する。</v>
      </c>
      <c r="D377" s="137"/>
      <c r="E377" s="137"/>
      <c r="F377" s="137"/>
      <c r="G377" s="137"/>
      <c r="H377" s="137"/>
      <c r="I377" s="137"/>
      <c r="J377" s="137"/>
      <c r="K377" s="137"/>
      <c r="L377" s="137"/>
      <c r="M377" s="137"/>
      <c r="N377" s="137"/>
      <c r="O377" s="137"/>
      <c r="P377" s="137"/>
      <c r="Q377" s="137"/>
      <c r="R377" s="137"/>
      <c r="S377" s="137"/>
      <c r="T377" s="137"/>
      <c r="U377" s="138"/>
      <c r="W377" s="35" t="str">
        <f>"-- "&amp;C377</f>
        <v>-- バックアップ_臨床サマリーモジュール_経過記録レコードテーブルから対象患者で絞り込んだ結果をベース_臨床サマリーモジュール_経過記録レコードテーブルに格納する。</v>
      </c>
    </row>
    <row r="379" spans="2:23" ht="18.75" customHeight="1">
      <c r="C379" s="154" t="s">
        <v>1518</v>
      </c>
      <c r="D379" s="155"/>
      <c r="E379" s="145" t="str">
        <f>エンティティ一覧!$O$2</f>
        <v>milscm_2023_009</v>
      </c>
      <c r="H379" s="36"/>
      <c r="I379" s="36"/>
      <c r="J379" s="36"/>
      <c r="K379" s="36"/>
      <c r="L379" s="36"/>
      <c r="M379" s="36"/>
      <c r="N379" s="36"/>
      <c r="O379" s="36"/>
      <c r="P379" s="36"/>
      <c r="Q379" s="36"/>
      <c r="R379" s="158" t="str">
        <f>"ベース"&amp;SUBSTITUTE(C379,"バックアップ","")</f>
        <v>ベース_臨床サマリーモジュール_経過記録レコード</v>
      </c>
      <c r="S379" s="159"/>
      <c r="T379" s="145" t="str">
        <f>エンティティ一覧!$O$2</f>
        <v>milscm_2023_009</v>
      </c>
    </row>
    <row r="380" spans="2:23" ht="18.75" customHeight="1">
      <c r="C380" s="156"/>
      <c r="D380" s="157"/>
      <c r="E380" s="146"/>
      <c r="F380" s="37"/>
      <c r="G380" s="38"/>
      <c r="H380" s="37"/>
      <c r="I380" s="37"/>
      <c r="J380" s="37"/>
      <c r="K380" s="37"/>
      <c r="L380" s="37"/>
      <c r="M380" s="37"/>
      <c r="N380" s="37"/>
      <c r="O380" s="37"/>
      <c r="P380" s="37"/>
      <c r="Q380" s="37"/>
      <c r="R380" s="160"/>
      <c r="S380" s="161"/>
      <c r="T380" s="146"/>
    </row>
    <row r="381" spans="2:23" ht="18.75" customHeight="1">
      <c r="F381" s="39"/>
      <c r="G381" s="40"/>
    </row>
    <row r="382" spans="2:23" ht="18.75" customHeight="1">
      <c r="C382" s="139" t="s">
        <v>3738</v>
      </c>
      <c r="D382" s="140"/>
      <c r="E382" s="145" t="str">
        <f>エンティティ一覧!$O$2</f>
        <v>milscm_2023_009</v>
      </c>
      <c r="G382" s="41"/>
    </row>
    <row r="383" spans="2:23" ht="18.75" customHeight="1">
      <c r="C383" s="141"/>
      <c r="D383" s="142"/>
      <c r="E383" s="146"/>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3778</v>
      </c>
      <c r="D387" s="93"/>
      <c r="W387" s="35" t="str">
        <f>"-- "&amp;B387&amp;" : "&amp;C387</f>
        <v>-- SQL_ID : 31_C4-30</v>
      </c>
    </row>
    <row r="388" spans="2:23" ht="18.75" customHeight="1">
      <c r="B388" s="43" t="s">
        <v>158</v>
      </c>
      <c r="C388" s="147" t="str">
        <f>R391&amp;"登録"</f>
        <v>ベース_臨床サマリーモジュール_検査結果レコード登録</v>
      </c>
      <c r="D388" s="148"/>
      <c r="E388" s="148"/>
      <c r="F388" s="148"/>
      <c r="G388" s="148"/>
      <c r="H388" s="148"/>
      <c r="I388" s="148"/>
      <c r="J388" s="148"/>
      <c r="K388" s="148"/>
      <c r="L388" s="148"/>
      <c r="M388" s="148"/>
      <c r="N388" s="148"/>
      <c r="O388" s="148"/>
      <c r="P388" s="148"/>
      <c r="Q388" s="148"/>
      <c r="R388" s="148"/>
      <c r="S388" s="148"/>
      <c r="T388" s="148"/>
      <c r="U388" s="149"/>
      <c r="W388" s="35" t="str">
        <f>"-- "&amp;C388</f>
        <v>-- ベース_臨床サマリーモジュール_検査結果レコード登録</v>
      </c>
    </row>
    <row r="389" spans="2:23" ht="18.75" customHeight="1">
      <c r="B389" s="43" t="s">
        <v>159</v>
      </c>
      <c r="C389" s="136" t="str">
        <f>C391&amp;"テーブルから対象患者で絞り込んだ結果を"&amp;R391&amp;"テーブルに格納する。"</f>
        <v>バックアップ_臨床サマリーモジュール_検査結果レコードテーブルから対象患者で絞り込んだ結果をベース_臨床サマリーモジュール_検査結果レコードテーブルに格納する。</v>
      </c>
      <c r="D389" s="137"/>
      <c r="E389" s="137"/>
      <c r="F389" s="137"/>
      <c r="G389" s="137"/>
      <c r="H389" s="137"/>
      <c r="I389" s="137"/>
      <c r="J389" s="137"/>
      <c r="K389" s="137"/>
      <c r="L389" s="137"/>
      <c r="M389" s="137"/>
      <c r="N389" s="137"/>
      <c r="O389" s="137"/>
      <c r="P389" s="137"/>
      <c r="Q389" s="137"/>
      <c r="R389" s="137"/>
      <c r="S389" s="137"/>
      <c r="T389" s="137"/>
      <c r="U389" s="138"/>
      <c r="W389" s="35" t="str">
        <f>"-- "&amp;C389</f>
        <v>-- バックアップ_臨床サマリーモジュール_検査結果レコードテーブルから対象患者で絞り込んだ結果をベース_臨床サマリーモジュール_検査結果レコードテーブルに格納する。</v>
      </c>
    </row>
    <row r="391" spans="2:23" ht="18.75" customHeight="1">
      <c r="C391" s="154" t="s">
        <v>1533</v>
      </c>
      <c r="D391" s="155"/>
      <c r="E391" s="145" t="str">
        <f>エンティティ一覧!$O$2</f>
        <v>milscm_2023_009</v>
      </c>
      <c r="H391" s="36"/>
      <c r="I391" s="36"/>
      <c r="J391" s="36"/>
      <c r="K391" s="36"/>
      <c r="L391" s="36"/>
      <c r="M391" s="36"/>
      <c r="N391" s="36"/>
      <c r="O391" s="36"/>
      <c r="P391" s="36"/>
      <c r="Q391" s="36"/>
      <c r="R391" s="158" t="str">
        <f>"ベース"&amp;SUBSTITUTE(C391,"バックアップ","")</f>
        <v>ベース_臨床サマリーモジュール_検査結果レコード</v>
      </c>
      <c r="S391" s="159"/>
      <c r="T391" s="145" t="str">
        <f>エンティティ一覧!$O$2</f>
        <v>milscm_2023_009</v>
      </c>
    </row>
    <row r="392" spans="2:23" ht="18.75" customHeight="1">
      <c r="C392" s="156"/>
      <c r="D392" s="157"/>
      <c r="E392" s="146"/>
      <c r="F392" s="37"/>
      <c r="G392" s="38"/>
      <c r="H392" s="37"/>
      <c r="I392" s="37"/>
      <c r="J392" s="37"/>
      <c r="K392" s="37"/>
      <c r="L392" s="37"/>
      <c r="M392" s="37"/>
      <c r="N392" s="37"/>
      <c r="O392" s="37"/>
      <c r="P392" s="37"/>
      <c r="Q392" s="37"/>
      <c r="R392" s="160"/>
      <c r="S392" s="161"/>
      <c r="T392" s="146"/>
    </row>
    <row r="393" spans="2:23" ht="18.75" customHeight="1">
      <c r="F393" s="39"/>
      <c r="G393" s="40"/>
    </row>
    <row r="394" spans="2:23" ht="18.75" customHeight="1">
      <c r="C394" s="139" t="s">
        <v>3738</v>
      </c>
      <c r="D394" s="140"/>
      <c r="E394" s="145" t="str">
        <f>エンティティ一覧!$O$2</f>
        <v>milscm_2023_009</v>
      </c>
      <c r="G394" s="41"/>
    </row>
    <row r="395" spans="2:23" ht="18.75" customHeight="1">
      <c r="C395" s="141"/>
      <c r="D395" s="142"/>
      <c r="E395" s="146"/>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3779</v>
      </c>
      <c r="D399" s="93"/>
      <c r="W399" s="35" t="str">
        <f>"-- "&amp;B399&amp;" : "&amp;C399</f>
        <v>-- SQL_ID : 31_C4-31</v>
      </c>
    </row>
    <row r="400" spans="2:23" ht="18.75" customHeight="1">
      <c r="B400" s="43" t="s">
        <v>158</v>
      </c>
      <c r="C400" s="147" t="str">
        <f>R403&amp;"登録"</f>
        <v>ベース_検歴情報モジュール_検歴情報登録</v>
      </c>
      <c r="D400" s="148"/>
      <c r="E400" s="148"/>
      <c r="F400" s="148"/>
      <c r="G400" s="148"/>
      <c r="H400" s="148"/>
      <c r="I400" s="148"/>
      <c r="J400" s="148"/>
      <c r="K400" s="148"/>
      <c r="L400" s="148"/>
      <c r="M400" s="148"/>
      <c r="N400" s="148"/>
      <c r="O400" s="148"/>
      <c r="P400" s="148"/>
      <c r="Q400" s="148"/>
      <c r="R400" s="148"/>
      <c r="S400" s="148"/>
      <c r="T400" s="148"/>
      <c r="U400" s="149"/>
      <c r="W400" s="35" t="str">
        <f>"-- "&amp;C400</f>
        <v>-- ベース_検歴情報モジュール_検歴情報登録</v>
      </c>
    </row>
    <row r="401" spans="2:23" ht="18.75" customHeight="1">
      <c r="B401" s="43" t="s">
        <v>159</v>
      </c>
      <c r="C401" s="136" t="str">
        <f>C403&amp;"テーブルから対象患者で絞り込んだ結果を"&amp;R403&amp;"テーブルに格納する。"</f>
        <v>バックアップ_検歴情報モジュール_検歴情報テーブルから対象患者で絞り込んだ結果をベース_検歴情報モジュール_検歴情報テーブルに格納する。</v>
      </c>
      <c r="D401" s="137"/>
      <c r="E401" s="137"/>
      <c r="F401" s="137"/>
      <c r="G401" s="137"/>
      <c r="H401" s="137"/>
      <c r="I401" s="137"/>
      <c r="J401" s="137"/>
      <c r="K401" s="137"/>
      <c r="L401" s="137"/>
      <c r="M401" s="137"/>
      <c r="N401" s="137"/>
      <c r="O401" s="137"/>
      <c r="P401" s="137"/>
      <c r="Q401" s="137"/>
      <c r="R401" s="137"/>
      <c r="S401" s="137"/>
      <c r="T401" s="137"/>
      <c r="U401" s="138"/>
      <c r="W401" s="35" t="str">
        <f>"-- "&amp;C401</f>
        <v>-- バックアップ_検歴情報モジュール_検歴情報テーブルから対象患者で絞り込んだ結果をベース_検歴情報モジュール_検歴情報テーブルに格納する。</v>
      </c>
    </row>
    <row r="403" spans="2:23" ht="18.75" customHeight="1">
      <c r="C403" s="154" t="s">
        <v>1543</v>
      </c>
      <c r="D403" s="155"/>
      <c r="E403" s="145" t="str">
        <f>エンティティ一覧!$O$2</f>
        <v>milscm_2023_009</v>
      </c>
      <c r="H403" s="36"/>
      <c r="I403" s="36"/>
      <c r="J403" s="36"/>
      <c r="K403" s="36"/>
      <c r="L403" s="36"/>
      <c r="M403" s="36"/>
      <c r="N403" s="36"/>
      <c r="O403" s="36"/>
      <c r="P403" s="36"/>
      <c r="Q403" s="36"/>
      <c r="R403" s="158" t="str">
        <f>"ベース"&amp;SUBSTITUTE(C403,"バックアップ","")</f>
        <v>ベース_検歴情報モジュール_検歴情報</v>
      </c>
      <c r="S403" s="159"/>
      <c r="T403" s="145" t="str">
        <f>エンティティ一覧!$O$2</f>
        <v>milscm_2023_009</v>
      </c>
    </row>
    <row r="404" spans="2:23" ht="18.75" customHeight="1">
      <c r="C404" s="156"/>
      <c r="D404" s="157"/>
      <c r="E404" s="146"/>
      <c r="F404" s="37"/>
      <c r="G404" s="38"/>
      <c r="H404" s="37"/>
      <c r="I404" s="37"/>
      <c r="J404" s="37"/>
      <c r="K404" s="37"/>
      <c r="L404" s="37"/>
      <c r="M404" s="37"/>
      <c r="N404" s="37"/>
      <c r="O404" s="37"/>
      <c r="P404" s="37"/>
      <c r="Q404" s="37"/>
      <c r="R404" s="160"/>
      <c r="S404" s="161"/>
      <c r="T404" s="146"/>
    </row>
    <row r="405" spans="2:23" ht="18.75" customHeight="1">
      <c r="F405" s="39"/>
      <c r="G405" s="40"/>
    </row>
    <row r="406" spans="2:23" ht="18.75" customHeight="1">
      <c r="C406" s="139" t="s">
        <v>3738</v>
      </c>
      <c r="D406" s="140"/>
      <c r="E406" s="145" t="str">
        <f>エンティティ一覧!$O$2</f>
        <v>milscm_2023_009</v>
      </c>
      <c r="G406" s="41"/>
    </row>
    <row r="407" spans="2:23" ht="18.75" customHeight="1">
      <c r="C407" s="141"/>
      <c r="D407" s="142"/>
      <c r="E407" s="146"/>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3780</v>
      </c>
      <c r="D411" s="93"/>
      <c r="W411" s="35" t="str">
        <f>"-- "&amp;B411&amp;" : "&amp;C411</f>
        <v>-- SQL_ID : 31_C4-33</v>
      </c>
    </row>
    <row r="412" spans="2:23" ht="18.75" customHeight="1">
      <c r="B412" s="43" t="s">
        <v>158</v>
      </c>
      <c r="C412" s="147" t="str">
        <f>R415&amp;"登録"</f>
        <v>ベース_検歴情報モジュール_検歴検体材料登録</v>
      </c>
      <c r="D412" s="148"/>
      <c r="E412" s="148"/>
      <c r="F412" s="148"/>
      <c r="G412" s="148"/>
      <c r="H412" s="148"/>
      <c r="I412" s="148"/>
      <c r="J412" s="148"/>
      <c r="K412" s="148"/>
      <c r="L412" s="148"/>
      <c r="M412" s="148"/>
      <c r="N412" s="148"/>
      <c r="O412" s="148"/>
      <c r="P412" s="148"/>
      <c r="Q412" s="148"/>
      <c r="R412" s="148"/>
      <c r="S412" s="148"/>
      <c r="T412" s="148"/>
      <c r="U412" s="149"/>
      <c r="W412" s="35" t="str">
        <f>"-- "&amp;C412</f>
        <v>-- ベース_検歴情報モジュール_検歴検体材料登録</v>
      </c>
    </row>
    <row r="413" spans="2:23" ht="18.75" customHeight="1">
      <c r="B413" s="43" t="s">
        <v>159</v>
      </c>
      <c r="C413" s="136" t="str">
        <f>C415&amp;"テーブルから対象患者で絞り込んだ結果を"&amp;R415&amp;"テーブルに格納する。"</f>
        <v>バックアップ_検歴情報モジュール_検歴検体材料テーブルから対象患者で絞り込んだ結果をベース_検歴情報モジュール_検歴検体材料テーブルに格納する。</v>
      </c>
      <c r="D413" s="137"/>
      <c r="E413" s="137"/>
      <c r="F413" s="137"/>
      <c r="G413" s="137"/>
      <c r="H413" s="137"/>
      <c r="I413" s="137"/>
      <c r="J413" s="137"/>
      <c r="K413" s="137"/>
      <c r="L413" s="137"/>
      <c r="M413" s="137"/>
      <c r="N413" s="137"/>
      <c r="O413" s="137"/>
      <c r="P413" s="137"/>
      <c r="Q413" s="137"/>
      <c r="R413" s="137"/>
      <c r="S413" s="137"/>
      <c r="T413" s="137"/>
      <c r="U413" s="138"/>
      <c r="W413" s="35" t="str">
        <f>"-- "&amp;C413</f>
        <v>-- バックアップ_検歴情報モジュール_検歴検体材料テーブルから対象患者で絞り込んだ結果をベース_検歴情報モジュール_検歴検体材料テーブルに格納する。</v>
      </c>
    </row>
    <row r="415" spans="2:23" ht="18.75" customHeight="1">
      <c r="C415" s="154" t="s">
        <v>1601</v>
      </c>
      <c r="D415" s="155"/>
      <c r="E415" s="145" t="str">
        <f>エンティティ一覧!$O$2</f>
        <v>milscm_2023_009</v>
      </c>
      <c r="H415" s="36"/>
      <c r="I415" s="36"/>
      <c r="J415" s="36"/>
      <c r="K415" s="36"/>
      <c r="L415" s="36"/>
      <c r="M415" s="36"/>
      <c r="N415" s="36"/>
      <c r="O415" s="36"/>
      <c r="P415" s="36"/>
      <c r="Q415" s="36"/>
      <c r="R415" s="158" t="str">
        <f>"ベース"&amp;SUBSTITUTE(C415,"バックアップ","")</f>
        <v>ベース_検歴情報モジュール_検歴検体材料</v>
      </c>
      <c r="S415" s="159"/>
      <c r="T415" s="145" t="str">
        <f>エンティティ一覧!$O$2</f>
        <v>milscm_2023_009</v>
      </c>
    </row>
    <row r="416" spans="2:23" ht="18.75" customHeight="1">
      <c r="C416" s="156"/>
      <c r="D416" s="157"/>
      <c r="E416" s="146"/>
      <c r="F416" s="37"/>
      <c r="G416" s="38"/>
      <c r="H416" s="37"/>
      <c r="I416" s="37"/>
      <c r="J416" s="37"/>
      <c r="K416" s="37"/>
      <c r="L416" s="37"/>
      <c r="M416" s="37"/>
      <c r="N416" s="37"/>
      <c r="O416" s="37"/>
      <c r="P416" s="37"/>
      <c r="Q416" s="37"/>
      <c r="R416" s="160"/>
      <c r="S416" s="161"/>
      <c r="T416" s="146"/>
    </row>
    <row r="417" spans="2:23" ht="18.75" customHeight="1">
      <c r="F417" s="39"/>
      <c r="G417" s="40"/>
    </row>
    <row r="418" spans="2:23" ht="18.75" customHeight="1">
      <c r="C418" s="139" t="s">
        <v>3738</v>
      </c>
      <c r="D418" s="140"/>
      <c r="E418" s="145" t="str">
        <f>エンティティ一覧!$O$2</f>
        <v>milscm_2023_009</v>
      </c>
      <c r="G418" s="41"/>
    </row>
    <row r="419" spans="2:23" ht="18.75" customHeight="1">
      <c r="C419" s="141"/>
      <c r="D419" s="142"/>
      <c r="E419" s="146"/>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3781</v>
      </c>
      <c r="D423" s="93"/>
      <c r="W423" s="35" t="str">
        <f>"-- "&amp;B423&amp;" : "&amp;C423</f>
        <v>-- SQL_ID : 31_C4-35</v>
      </c>
    </row>
    <row r="424" spans="2:23" ht="18.75" customHeight="1">
      <c r="B424" s="43" t="s">
        <v>158</v>
      </c>
      <c r="C424" s="147" t="str">
        <f>R427&amp;"登録"</f>
        <v>ベース_検歴情報モジュール_検歴項目情報登録</v>
      </c>
      <c r="D424" s="148"/>
      <c r="E424" s="148"/>
      <c r="F424" s="148"/>
      <c r="G424" s="148"/>
      <c r="H424" s="148"/>
      <c r="I424" s="148"/>
      <c r="J424" s="148"/>
      <c r="K424" s="148"/>
      <c r="L424" s="148"/>
      <c r="M424" s="148"/>
      <c r="N424" s="148"/>
      <c r="O424" s="148"/>
      <c r="P424" s="148"/>
      <c r="Q424" s="148"/>
      <c r="R424" s="148"/>
      <c r="S424" s="148"/>
      <c r="T424" s="148"/>
      <c r="U424" s="149"/>
      <c r="W424" s="35" t="str">
        <f>"-- "&amp;C424</f>
        <v>-- ベース_検歴情報モジュール_検歴項目情報登録</v>
      </c>
    </row>
    <row r="425" spans="2:23" ht="18.75" customHeight="1">
      <c r="B425" s="43" t="s">
        <v>159</v>
      </c>
      <c r="C425" s="136" t="str">
        <f>C427&amp;"テーブルから対象患者で絞り込んだ結果を"&amp;R427&amp;"テーブルに格納する。"</f>
        <v>バックアップ_検歴情報モジュール_検歴項目情報テーブルから対象患者で絞り込んだ結果をベース_検歴情報モジュール_検歴項目情報テーブルに格納する。</v>
      </c>
      <c r="D425" s="137"/>
      <c r="E425" s="137"/>
      <c r="F425" s="137"/>
      <c r="G425" s="137"/>
      <c r="H425" s="137"/>
      <c r="I425" s="137"/>
      <c r="J425" s="137"/>
      <c r="K425" s="137"/>
      <c r="L425" s="137"/>
      <c r="M425" s="137"/>
      <c r="N425" s="137"/>
      <c r="O425" s="137"/>
      <c r="P425" s="137"/>
      <c r="Q425" s="137"/>
      <c r="R425" s="137"/>
      <c r="S425" s="137"/>
      <c r="T425" s="137"/>
      <c r="U425" s="138"/>
      <c r="W425" s="35" t="str">
        <f>"-- "&amp;C425</f>
        <v>-- バックアップ_検歴情報モジュール_検歴項目情報テーブルから対象患者で絞り込んだ結果をベース_検歴情報モジュール_検歴項目情報テーブルに格納する。</v>
      </c>
    </row>
    <row r="427" spans="2:23" ht="18.75" customHeight="1">
      <c r="C427" s="154" t="s">
        <v>1620</v>
      </c>
      <c r="D427" s="155"/>
      <c r="E427" s="145" t="str">
        <f>エンティティ一覧!$O$2</f>
        <v>milscm_2023_009</v>
      </c>
      <c r="H427" s="36"/>
      <c r="I427" s="36"/>
      <c r="J427" s="36"/>
      <c r="K427" s="36"/>
      <c r="L427" s="36"/>
      <c r="M427" s="36"/>
      <c r="N427" s="36"/>
      <c r="O427" s="36"/>
      <c r="P427" s="36"/>
      <c r="Q427" s="36"/>
      <c r="R427" s="158" t="str">
        <f>"ベース"&amp;SUBSTITUTE(C427,"バックアップ","")</f>
        <v>ベース_検歴情報モジュール_検歴項目情報</v>
      </c>
      <c r="S427" s="159"/>
      <c r="T427" s="145" t="str">
        <f>エンティティ一覧!$O$2</f>
        <v>milscm_2023_009</v>
      </c>
    </row>
    <row r="428" spans="2:23" ht="18.75" customHeight="1">
      <c r="C428" s="156"/>
      <c r="D428" s="157"/>
      <c r="E428" s="146"/>
      <c r="F428" s="37"/>
      <c r="G428" s="38"/>
      <c r="H428" s="37"/>
      <c r="I428" s="37"/>
      <c r="J428" s="37"/>
      <c r="K428" s="37"/>
      <c r="L428" s="37"/>
      <c r="M428" s="37"/>
      <c r="N428" s="37"/>
      <c r="O428" s="37"/>
      <c r="P428" s="37"/>
      <c r="Q428" s="37"/>
      <c r="R428" s="160"/>
      <c r="S428" s="161"/>
      <c r="T428" s="146"/>
    </row>
    <row r="429" spans="2:23" ht="18.75" customHeight="1">
      <c r="F429" s="39"/>
      <c r="G429" s="40"/>
    </row>
    <row r="430" spans="2:23" ht="18.75" customHeight="1">
      <c r="C430" s="139" t="s">
        <v>3738</v>
      </c>
      <c r="D430" s="140"/>
      <c r="E430" s="145" t="str">
        <f>エンティティ一覧!$O$2</f>
        <v>milscm_2023_009</v>
      </c>
      <c r="G430" s="41"/>
    </row>
    <row r="431" spans="2:23" ht="18.75" customHeight="1">
      <c r="C431" s="141"/>
      <c r="D431" s="142"/>
      <c r="E431" s="146"/>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4113</v>
      </c>
      <c r="D435" s="110"/>
      <c r="W435" s="35" t="str">
        <f>"-- "&amp;B435&amp;" : "&amp;C435</f>
        <v>-- SQL_ID : 31_C4-37</v>
      </c>
    </row>
    <row r="436" spans="2:23" ht="18.75" customHeight="1">
      <c r="B436" s="43" t="s">
        <v>158</v>
      </c>
      <c r="C436" s="147" t="str">
        <f>R439&amp;"登録"</f>
        <v>ベース_バイタルサインモジュール_バイタルサイン登録</v>
      </c>
      <c r="D436" s="148"/>
      <c r="E436" s="148"/>
      <c r="F436" s="148"/>
      <c r="G436" s="148"/>
      <c r="H436" s="148"/>
      <c r="I436" s="148"/>
      <c r="J436" s="148"/>
      <c r="K436" s="148"/>
      <c r="L436" s="148"/>
      <c r="M436" s="148"/>
      <c r="N436" s="148"/>
      <c r="O436" s="148"/>
      <c r="P436" s="148"/>
      <c r="Q436" s="148"/>
      <c r="R436" s="148"/>
      <c r="S436" s="148"/>
      <c r="T436" s="148"/>
      <c r="U436" s="149"/>
      <c r="W436" s="35" t="str">
        <f>"-- "&amp;C436</f>
        <v>-- ベース_バイタルサインモジュール_バイタルサイン登録</v>
      </c>
    </row>
    <row r="437" spans="2:23" ht="18.75" customHeight="1">
      <c r="B437" s="43" t="s">
        <v>159</v>
      </c>
      <c r="C437" s="136" t="str">
        <f>C439&amp;"テーブルから対象患者で絞り込んだ結果を"&amp;R439&amp;"テーブルに格納する。"</f>
        <v>バックアップ_バイタルサインモジュール_バイタルサインテーブルから対象患者で絞り込んだ結果をベース_バイタルサインモジュール_バイタルサインテーブルに格納する。</v>
      </c>
      <c r="D437" s="137"/>
      <c r="E437" s="137"/>
      <c r="F437" s="137"/>
      <c r="G437" s="137"/>
      <c r="H437" s="137"/>
      <c r="I437" s="137"/>
      <c r="J437" s="137"/>
      <c r="K437" s="137"/>
      <c r="L437" s="137"/>
      <c r="M437" s="137"/>
      <c r="N437" s="137"/>
      <c r="O437" s="137"/>
      <c r="P437" s="137"/>
      <c r="Q437" s="137"/>
      <c r="R437" s="137"/>
      <c r="S437" s="137"/>
      <c r="T437" s="137"/>
      <c r="U437" s="138"/>
      <c r="W437" s="35" t="str">
        <f>"-- "&amp;C437</f>
        <v>-- バックアップ_バイタルサインモジュール_バイタルサインテーブルから対象患者で絞り込んだ結果をベース_バイタルサインモジュール_バイタルサインテーブルに格納する。</v>
      </c>
    </row>
    <row r="439" spans="2:23" ht="18.75" customHeight="1">
      <c r="C439" s="139" t="s">
        <v>4115</v>
      </c>
      <c r="D439" s="140"/>
      <c r="E439" s="145" t="str">
        <f>エンティティ一覧!$O$2</f>
        <v>milscm_2023_009</v>
      </c>
      <c r="H439" s="36"/>
      <c r="I439" s="36"/>
      <c r="J439" s="36"/>
      <c r="K439" s="36"/>
      <c r="L439" s="36"/>
      <c r="M439" s="36"/>
      <c r="N439" s="36"/>
      <c r="O439" s="36"/>
      <c r="P439" s="36"/>
      <c r="Q439" s="36"/>
      <c r="R439" s="158" t="str">
        <f>"ベース"&amp;SUBSTITUTE(C439,"バックアップ","")</f>
        <v>ベース_バイタルサインモジュール_バイタルサイン</v>
      </c>
      <c r="S439" s="159"/>
      <c r="T439" s="145" t="str">
        <f>エンティティ一覧!$O$2</f>
        <v>milscm_2023_009</v>
      </c>
    </row>
    <row r="440" spans="2:23" ht="18.75" customHeight="1">
      <c r="C440" s="141"/>
      <c r="D440" s="142"/>
      <c r="E440" s="146"/>
      <c r="F440" s="37"/>
      <c r="G440" s="38"/>
      <c r="H440" s="37"/>
      <c r="I440" s="37"/>
      <c r="J440" s="37"/>
      <c r="K440" s="37"/>
      <c r="L440" s="37"/>
      <c r="M440" s="37"/>
      <c r="N440" s="37"/>
      <c r="O440" s="37"/>
      <c r="P440" s="37"/>
      <c r="Q440" s="37"/>
      <c r="R440" s="160"/>
      <c r="S440" s="161"/>
      <c r="T440" s="146"/>
    </row>
    <row r="441" spans="2:23" ht="18.75" customHeight="1">
      <c r="F441" s="39"/>
      <c r="G441" s="40"/>
    </row>
    <row r="442" spans="2:23" ht="18.75" customHeight="1">
      <c r="C442" s="139" t="s">
        <v>3738</v>
      </c>
      <c r="D442" s="140"/>
      <c r="E442" s="145" t="str">
        <f>エンティティ一覧!$O$2</f>
        <v>milscm_2023_009</v>
      </c>
      <c r="G442" s="41"/>
    </row>
    <row r="443" spans="2:23" ht="18.75" customHeight="1">
      <c r="C443" s="141"/>
      <c r="D443" s="142"/>
      <c r="E443" s="146"/>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4112</v>
      </c>
      <c r="D447" s="110"/>
      <c r="W447" s="35" t="str">
        <f>"-- "&amp;B447&amp;" : "&amp;C447</f>
        <v>-- SQL_ID : 31_C4-38</v>
      </c>
    </row>
    <row r="448" spans="2:23" ht="18.75" customHeight="1">
      <c r="B448" s="43" t="s">
        <v>158</v>
      </c>
      <c r="C448" s="147" t="str">
        <f>R451&amp;"登録"</f>
        <v>ベース_バイタルサインモジュール_記録項目登録</v>
      </c>
      <c r="D448" s="148"/>
      <c r="E448" s="148"/>
      <c r="F448" s="148"/>
      <c r="G448" s="148"/>
      <c r="H448" s="148"/>
      <c r="I448" s="148"/>
      <c r="J448" s="148"/>
      <c r="K448" s="148"/>
      <c r="L448" s="148"/>
      <c r="M448" s="148"/>
      <c r="N448" s="148"/>
      <c r="O448" s="148"/>
      <c r="P448" s="148"/>
      <c r="Q448" s="148"/>
      <c r="R448" s="148"/>
      <c r="S448" s="148"/>
      <c r="T448" s="148"/>
      <c r="U448" s="149"/>
      <c r="W448" s="35" t="str">
        <f>"-- "&amp;C448</f>
        <v>-- ベース_バイタルサインモジュール_記録項目登録</v>
      </c>
    </row>
    <row r="449" spans="2:23" ht="18.75" customHeight="1">
      <c r="B449" s="43" t="s">
        <v>159</v>
      </c>
      <c r="C449" s="136" t="str">
        <f>C451&amp;"テーブルから対象患者で絞り込んだ結果を"&amp;R451&amp;"テーブルに格納する。"</f>
        <v>バックアップ_バイタルサインモジュール_記録項目テーブルから対象患者で絞り込んだ結果をベース_バイタルサインモジュール_記録項目テーブルに格納する。</v>
      </c>
      <c r="D449" s="137"/>
      <c r="E449" s="137"/>
      <c r="F449" s="137"/>
      <c r="G449" s="137"/>
      <c r="H449" s="137"/>
      <c r="I449" s="137"/>
      <c r="J449" s="137"/>
      <c r="K449" s="137"/>
      <c r="L449" s="137"/>
      <c r="M449" s="137"/>
      <c r="N449" s="137"/>
      <c r="O449" s="137"/>
      <c r="P449" s="137"/>
      <c r="Q449" s="137"/>
      <c r="R449" s="137"/>
      <c r="S449" s="137"/>
      <c r="T449" s="137"/>
      <c r="U449" s="138"/>
      <c r="W449" s="35" t="str">
        <f>"-- "&amp;C449</f>
        <v>-- バックアップ_バイタルサインモジュール_記録項目テーブルから対象患者で絞り込んだ結果をベース_バイタルサインモジュール_記録項目テーブルに格納する。</v>
      </c>
    </row>
    <row r="451" spans="2:23" ht="18.75" customHeight="1">
      <c r="C451" s="139" t="s">
        <v>4116</v>
      </c>
      <c r="D451" s="140"/>
      <c r="E451" s="145" t="str">
        <f>エンティティ一覧!$O$2</f>
        <v>milscm_2023_009</v>
      </c>
      <c r="H451" s="36"/>
      <c r="I451" s="36"/>
      <c r="J451" s="36"/>
      <c r="K451" s="36"/>
      <c r="L451" s="36"/>
      <c r="M451" s="36"/>
      <c r="N451" s="36"/>
      <c r="O451" s="36"/>
      <c r="P451" s="36"/>
      <c r="Q451" s="36"/>
      <c r="R451" s="158" t="str">
        <f>"ベース"&amp;SUBSTITUTE(C451,"バックアップ","")</f>
        <v>ベース_バイタルサインモジュール_記録項目</v>
      </c>
      <c r="S451" s="159"/>
      <c r="T451" s="145" t="str">
        <f>エンティティ一覧!$O$2</f>
        <v>milscm_2023_009</v>
      </c>
    </row>
    <row r="452" spans="2:23" ht="18.75" customHeight="1">
      <c r="C452" s="141"/>
      <c r="D452" s="142"/>
      <c r="E452" s="146"/>
      <c r="F452" s="37"/>
      <c r="G452" s="38"/>
      <c r="H452" s="37"/>
      <c r="I452" s="37"/>
      <c r="J452" s="37"/>
      <c r="K452" s="37"/>
      <c r="L452" s="37"/>
      <c r="M452" s="37"/>
      <c r="N452" s="37"/>
      <c r="O452" s="37"/>
      <c r="P452" s="37"/>
      <c r="Q452" s="37"/>
      <c r="R452" s="160"/>
      <c r="S452" s="161"/>
      <c r="T452" s="146"/>
    </row>
    <row r="453" spans="2:23" ht="18.75" customHeight="1">
      <c r="F453" s="39"/>
      <c r="G453" s="40"/>
    </row>
    <row r="454" spans="2:23" ht="18.75" customHeight="1">
      <c r="C454" s="139" t="s">
        <v>3738</v>
      </c>
      <c r="D454" s="140"/>
      <c r="E454" s="145" t="str">
        <f>エンティティ一覧!$O$2</f>
        <v>milscm_2023_009</v>
      </c>
      <c r="G454" s="41"/>
    </row>
    <row r="455" spans="2:23" ht="18.75" customHeight="1">
      <c r="C455" s="141"/>
      <c r="D455" s="142"/>
      <c r="E455" s="146"/>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4111</v>
      </c>
      <c r="D459" s="110"/>
      <c r="W459" s="35" t="str">
        <f>"-- "&amp;B459&amp;" : "&amp;C459</f>
        <v>-- SQL_ID : 31_C4-40</v>
      </c>
    </row>
    <row r="460" spans="2:23" ht="18.75" customHeight="1">
      <c r="B460" s="43" t="s">
        <v>158</v>
      </c>
      <c r="C460" s="147" t="str">
        <f>R463&amp;"登録"</f>
        <v>ベース_体温表モジュール_バイタルサイン登録</v>
      </c>
      <c r="D460" s="148"/>
      <c r="E460" s="148"/>
      <c r="F460" s="148"/>
      <c r="G460" s="148"/>
      <c r="H460" s="148"/>
      <c r="I460" s="148"/>
      <c r="J460" s="148"/>
      <c r="K460" s="148"/>
      <c r="L460" s="148"/>
      <c r="M460" s="148"/>
      <c r="N460" s="148"/>
      <c r="O460" s="148"/>
      <c r="P460" s="148"/>
      <c r="Q460" s="148"/>
      <c r="R460" s="148"/>
      <c r="S460" s="148"/>
      <c r="T460" s="148"/>
      <c r="U460" s="149"/>
      <c r="W460" s="35" t="str">
        <f>"-- "&amp;C460</f>
        <v>-- ベース_体温表モジュール_バイタルサイン登録</v>
      </c>
    </row>
    <row r="461" spans="2:23" ht="18.75" customHeight="1">
      <c r="B461" s="43" t="s">
        <v>159</v>
      </c>
      <c r="C461" s="136" t="str">
        <f>C463&amp;"テーブルから対象患者で絞り込んだ結果を"&amp;R463&amp;"テーブルに格納する。"</f>
        <v>バックアップ_体温表モジュール_バイタルサインテーブルから対象患者で絞り込んだ結果をベース_体温表モジュール_バイタルサインテーブルに格納する。</v>
      </c>
      <c r="D461" s="137"/>
      <c r="E461" s="137"/>
      <c r="F461" s="137"/>
      <c r="G461" s="137"/>
      <c r="H461" s="137"/>
      <c r="I461" s="137"/>
      <c r="J461" s="137"/>
      <c r="K461" s="137"/>
      <c r="L461" s="137"/>
      <c r="M461" s="137"/>
      <c r="N461" s="137"/>
      <c r="O461" s="137"/>
      <c r="P461" s="137"/>
      <c r="Q461" s="137"/>
      <c r="R461" s="137"/>
      <c r="S461" s="137"/>
      <c r="T461" s="137"/>
      <c r="U461" s="138"/>
      <c r="W461" s="35" t="str">
        <f>"-- "&amp;C461</f>
        <v>-- バックアップ_体温表モジュール_バイタルサインテーブルから対象患者で絞り込んだ結果をベース_体温表モジュール_バイタルサインテーブルに格納する。</v>
      </c>
    </row>
    <row r="463" spans="2:23" ht="18.75" customHeight="1">
      <c r="C463" s="139" t="s">
        <v>4117</v>
      </c>
      <c r="D463" s="140"/>
      <c r="E463" s="145" t="str">
        <f>エンティティ一覧!$O$2</f>
        <v>milscm_2023_009</v>
      </c>
      <c r="H463" s="36"/>
      <c r="I463" s="36"/>
      <c r="J463" s="36"/>
      <c r="K463" s="36"/>
      <c r="L463" s="36"/>
      <c r="M463" s="36"/>
      <c r="N463" s="36"/>
      <c r="O463" s="36"/>
      <c r="P463" s="36"/>
      <c r="Q463" s="36"/>
      <c r="R463" s="158" t="str">
        <f>"ベース"&amp;SUBSTITUTE(C463,"バックアップ","")</f>
        <v>ベース_体温表モジュール_バイタルサイン</v>
      </c>
      <c r="S463" s="159"/>
      <c r="T463" s="145" t="str">
        <f>エンティティ一覧!$O$2</f>
        <v>milscm_2023_009</v>
      </c>
    </row>
    <row r="464" spans="2:23" ht="18.75" customHeight="1">
      <c r="C464" s="141"/>
      <c r="D464" s="142"/>
      <c r="E464" s="146"/>
      <c r="F464" s="37"/>
      <c r="G464" s="38"/>
      <c r="H464" s="37"/>
      <c r="I464" s="37"/>
      <c r="J464" s="37"/>
      <c r="K464" s="37"/>
      <c r="L464" s="37"/>
      <c r="M464" s="37"/>
      <c r="N464" s="37"/>
      <c r="O464" s="37"/>
      <c r="P464" s="37"/>
      <c r="Q464" s="37"/>
      <c r="R464" s="160"/>
      <c r="S464" s="161"/>
      <c r="T464" s="146"/>
    </row>
    <row r="465" spans="2:23" ht="18.75" customHeight="1">
      <c r="F465" s="39"/>
      <c r="G465" s="40"/>
    </row>
    <row r="466" spans="2:23" ht="18.75" customHeight="1">
      <c r="C466" s="139" t="s">
        <v>3738</v>
      </c>
      <c r="D466" s="140"/>
      <c r="E466" s="145" t="str">
        <f>エンティティ一覧!$O$2</f>
        <v>milscm_2023_009</v>
      </c>
      <c r="G466" s="41"/>
    </row>
    <row r="467" spans="2:23" ht="18.75" customHeight="1">
      <c r="C467" s="141"/>
      <c r="D467" s="142"/>
      <c r="E467" s="146"/>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4110</v>
      </c>
      <c r="D471" s="110"/>
      <c r="W471" s="35" t="str">
        <f>"-- "&amp;B471&amp;" : "&amp;C471</f>
        <v>-- SQL_ID : 31_C4-41</v>
      </c>
    </row>
    <row r="472" spans="2:23" ht="18.75" customHeight="1">
      <c r="B472" s="43" t="s">
        <v>158</v>
      </c>
      <c r="C472" s="147" t="str">
        <f>R475&amp;"登録"</f>
        <v>ベース_体温表モジュール_記録項目登録</v>
      </c>
      <c r="D472" s="148"/>
      <c r="E472" s="148"/>
      <c r="F472" s="148"/>
      <c r="G472" s="148"/>
      <c r="H472" s="148"/>
      <c r="I472" s="148"/>
      <c r="J472" s="148"/>
      <c r="K472" s="148"/>
      <c r="L472" s="148"/>
      <c r="M472" s="148"/>
      <c r="N472" s="148"/>
      <c r="O472" s="148"/>
      <c r="P472" s="148"/>
      <c r="Q472" s="148"/>
      <c r="R472" s="148"/>
      <c r="S472" s="148"/>
      <c r="T472" s="148"/>
      <c r="U472" s="149"/>
      <c r="W472" s="35" t="str">
        <f>"-- "&amp;C472</f>
        <v>-- ベース_体温表モジュール_記録項目登録</v>
      </c>
    </row>
    <row r="473" spans="2:23" ht="18.75" customHeight="1">
      <c r="B473" s="43" t="s">
        <v>159</v>
      </c>
      <c r="C473" s="136" t="str">
        <f>C475&amp;"テーブルから対象患者で絞り込んだ結果を"&amp;R475&amp;"テーブルに格納する。"</f>
        <v>バックアップ_体温表モジュール_記録項目テーブルから対象患者で絞り込んだ結果をベース_体温表モジュール_記録項目テーブルに格納する。</v>
      </c>
      <c r="D473" s="137"/>
      <c r="E473" s="137"/>
      <c r="F473" s="137"/>
      <c r="G473" s="137"/>
      <c r="H473" s="137"/>
      <c r="I473" s="137"/>
      <c r="J473" s="137"/>
      <c r="K473" s="137"/>
      <c r="L473" s="137"/>
      <c r="M473" s="137"/>
      <c r="N473" s="137"/>
      <c r="O473" s="137"/>
      <c r="P473" s="137"/>
      <c r="Q473" s="137"/>
      <c r="R473" s="137"/>
      <c r="S473" s="137"/>
      <c r="T473" s="137"/>
      <c r="U473" s="138"/>
      <c r="W473" s="35" t="str">
        <f>"-- "&amp;C473</f>
        <v>-- バックアップ_体温表モジュール_記録項目テーブルから対象患者で絞り込んだ結果をベース_体温表モジュール_記録項目テーブルに格納する。</v>
      </c>
    </row>
    <row r="475" spans="2:23" ht="18.75" customHeight="1">
      <c r="C475" s="139" t="s">
        <v>4118</v>
      </c>
      <c r="D475" s="140"/>
      <c r="E475" s="145" t="str">
        <f>エンティティ一覧!$O$2</f>
        <v>milscm_2023_009</v>
      </c>
      <c r="H475" s="36"/>
      <c r="I475" s="36"/>
      <c r="J475" s="36"/>
      <c r="K475" s="36"/>
      <c r="L475" s="36"/>
      <c r="M475" s="36"/>
      <c r="N475" s="36"/>
      <c r="O475" s="36"/>
      <c r="P475" s="36"/>
      <c r="Q475" s="36"/>
      <c r="R475" s="158" t="str">
        <f>"ベース"&amp;SUBSTITUTE(C475,"バックアップ","")</f>
        <v>ベース_体温表モジュール_記録項目</v>
      </c>
      <c r="S475" s="159"/>
      <c r="T475" s="145" t="str">
        <f>エンティティ一覧!$O$2</f>
        <v>milscm_2023_009</v>
      </c>
    </row>
    <row r="476" spans="2:23" ht="18.75" customHeight="1">
      <c r="C476" s="141"/>
      <c r="D476" s="142"/>
      <c r="E476" s="146"/>
      <c r="F476" s="37"/>
      <c r="G476" s="38"/>
      <c r="H476" s="37"/>
      <c r="I476" s="37"/>
      <c r="J476" s="37"/>
      <c r="K476" s="37"/>
      <c r="L476" s="37"/>
      <c r="M476" s="37"/>
      <c r="N476" s="37"/>
      <c r="O476" s="37"/>
      <c r="P476" s="37"/>
      <c r="Q476" s="37"/>
      <c r="R476" s="160"/>
      <c r="S476" s="161"/>
      <c r="T476" s="146"/>
    </row>
    <row r="477" spans="2:23" ht="18.75" customHeight="1">
      <c r="F477" s="39"/>
      <c r="G477" s="40"/>
    </row>
    <row r="478" spans="2:23" ht="18.75" customHeight="1">
      <c r="C478" s="139" t="s">
        <v>3738</v>
      </c>
      <c r="D478" s="140"/>
      <c r="E478" s="145" t="str">
        <f>エンティティ一覧!$O$2</f>
        <v>milscm_2023_009</v>
      </c>
      <c r="G478" s="41"/>
    </row>
    <row r="479" spans="2:23" ht="18.75" customHeight="1">
      <c r="C479" s="141"/>
      <c r="D479" s="142"/>
      <c r="E479" s="146"/>
      <c r="F479" s="37"/>
    </row>
    <row r="481" spans="2:21" ht="18.75" customHeight="1" thickBot="1">
      <c r="B481" s="42"/>
      <c r="C481" s="42"/>
      <c r="D481" s="42"/>
      <c r="E481" s="42"/>
      <c r="F481" s="42"/>
      <c r="G481" s="42"/>
      <c r="H481" s="42"/>
      <c r="I481" s="42"/>
      <c r="J481" s="42"/>
      <c r="K481" s="42"/>
      <c r="L481" s="42"/>
      <c r="M481" s="42"/>
      <c r="N481" s="42"/>
      <c r="O481" s="42"/>
      <c r="P481" s="42"/>
      <c r="Q481" s="42"/>
      <c r="R481" s="42"/>
      <c r="S481" s="42"/>
      <c r="T481" s="42"/>
      <c r="U481" s="42"/>
    </row>
  </sheetData>
  <mergeCells count="320">
    <mergeCell ref="C346:D347"/>
    <mergeCell ref="E346:E347"/>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62:D263"/>
    <mergeCell ref="E262:E263"/>
    <mergeCell ref="C268:U268"/>
    <mergeCell ref="C269:U269"/>
    <mergeCell ref="C271:D272"/>
    <mergeCell ref="E271:E272"/>
    <mergeCell ref="R271:S272"/>
    <mergeCell ref="T271:T272"/>
    <mergeCell ref="C190:D191"/>
    <mergeCell ref="E190:E191"/>
    <mergeCell ref="C256:U256"/>
    <mergeCell ref="C257:U257"/>
    <mergeCell ref="C259:D260"/>
    <mergeCell ref="E259:E260"/>
    <mergeCell ref="R259:S260"/>
    <mergeCell ref="T259:T260"/>
    <mergeCell ref="C178:D179"/>
    <mergeCell ref="E178:E179"/>
    <mergeCell ref="C184:U184"/>
    <mergeCell ref="C185:U185"/>
    <mergeCell ref="C187:D188"/>
    <mergeCell ref="E187:E188"/>
    <mergeCell ref="R187:S188"/>
    <mergeCell ref="T187:T188"/>
    <mergeCell ref="C235:D236"/>
    <mergeCell ref="E235:E236"/>
    <mergeCell ref="R235:S236"/>
    <mergeCell ref="T235:T236"/>
    <mergeCell ref="C220:U220"/>
    <mergeCell ref="C221:U221"/>
    <mergeCell ref="C223:D224"/>
    <mergeCell ref="E223:E224"/>
    <mergeCell ref="C166:D167"/>
    <mergeCell ref="E166:E167"/>
    <mergeCell ref="C172:U172"/>
    <mergeCell ref="C173:U173"/>
    <mergeCell ref="C175:D176"/>
    <mergeCell ref="E175:E176"/>
    <mergeCell ref="R175:S176"/>
    <mergeCell ref="T175:T176"/>
    <mergeCell ref="C82:D83"/>
    <mergeCell ref="E82:E83"/>
    <mergeCell ref="C160:U160"/>
    <mergeCell ref="C161:U161"/>
    <mergeCell ref="C163:D164"/>
    <mergeCell ref="E163:E164"/>
    <mergeCell ref="R163:S164"/>
    <mergeCell ref="T163:T164"/>
    <mergeCell ref="C88:U88"/>
    <mergeCell ref="C89:U89"/>
    <mergeCell ref="C91:D92"/>
    <mergeCell ref="E91:E92"/>
    <mergeCell ref="R91:S92"/>
    <mergeCell ref="T91:T92"/>
    <mergeCell ref="C94:D95"/>
    <mergeCell ref="E94:E95"/>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238:D239"/>
    <mergeCell ref="E238:E239"/>
    <mergeCell ref="C250:D251"/>
    <mergeCell ref="E250:E251"/>
    <mergeCell ref="C202:D203"/>
    <mergeCell ref="E202:E203"/>
    <mergeCell ref="C214:D215"/>
    <mergeCell ref="E214:E215"/>
    <mergeCell ref="C226:D227"/>
    <mergeCell ref="E226:E227"/>
    <mergeCell ref="C244:U244"/>
    <mergeCell ref="C245:U245"/>
    <mergeCell ref="C247:D248"/>
    <mergeCell ref="E247:E248"/>
    <mergeCell ref="R247:S248"/>
    <mergeCell ref="T247:T248"/>
    <mergeCell ref="C232:U232"/>
    <mergeCell ref="C233:U233"/>
    <mergeCell ref="R223:S224"/>
    <mergeCell ref="T223:T224"/>
    <mergeCell ref="C208:U208"/>
    <mergeCell ref="C209:U209"/>
    <mergeCell ref="C211:D212"/>
    <mergeCell ref="E211:E212"/>
    <mergeCell ref="R211:S212"/>
    <mergeCell ref="T211:T212"/>
    <mergeCell ref="C196:U196"/>
    <mergeCell ref="C197:U197"/>
    <mergeCell ref="C199:D200"/>
    <mergeCell ref="E199:E200"/>
    <mergeCell ref="R199:S200"/>
    <mergeCell ref="T199:T200"/>
    <mergeCell ref="C352:U352"/>
    <mergeCell ref="C353:U353"/>
    <mergeCell ref="C355:D356"/>
    <mergeCell ref="E355:E356"/>
    <mergeCell ref="R355:S356"/>
    <mergeCell ref="T355:T356"/>
    <mergeCell ref="C358:D359"/>
    <mergeCell ref="E358:E359"/>
    <mergeCell ref="C364:U364"/>
    <mergeCell ref="C365:U365"/>
    <mergeCell ref="C367:D368"/>
    <mergeCell ref="E367:E368"/>
    <mergeCell ref="R367:S368"/>
    <mergeCell ref="T367:T368"/>
    <mergeCell ref="C370:D371"/>
    <mergeCell ref="E370:E371"/>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06:D407"/>
    <mergeCell ref="E406:E407"/>
    <mergeCell ref="C425:U425"/>
    <mergeCell ref="C427:D428"/>
    <mergeCell ref="E427:E428"/>
    <mergeCell ref="R427:S428"/>
    <mergeCell ref="T427:T428"/>
    <mergeCell ref="C430:D431"/>
    <mergeCell ref="E430:E431"/>
    <mergeCell ref="C412:U412"/>
    <mergeCell ref="C413:U413"/>
    <mergeCell ref="C415:D416"/>
    <mergeCell ref="E415:E416"/>
    <mergeCell ref="R415:S416"/>
    <mergeCell ref="T415:T416"/>
    <mergeCell ref="C418:D419"/>
    <mergeCell ref="E418:E419"/>
    <mergeCell ref="C424:U424"/>
    <mergeCell ref="C100:U100"/>
    <mergeCell ref="C101:U101"/>
    <mergeCell ref="C103:D104"/>
    <mergeCell ref="E103:E104"/>
    <mergeCell ref="R103:S104"/>
    <mergeCell ref="T103:T104"/>
    <mergeCell ref="C106:D107"/>
    <mergeCell ref="E106:E107"/>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48:U148"/>
    <mergeCell ref="C149:U149"/>
    <mergeCell ref="C151:D152"/>
    <mergeCell ref="E151:E152"/>
    <mergeCell ref="R151:S152"/>
    <mergeCell ref="T151:T152"/>
    <mergeCell ref="C154:D155"/>
    <mergeCell ref="E154:E155"/>
    <mergeCell ref="C130:D131"/>
    <mergeCell ref="E130:E131"/>
    <mergeCell ref="C136:U136"/>
    <mergeCell ref="C137:U137"/>
    <mergeCell ref="C139:D140"/>
    <mergeCell ref="E139:E140"/>
    <mergeCell ref="R139:S140"/>
    <mergeCell ref="T139:T140"/>
    <mergeCell ref="C142:D143"/>
    <mergeCell ref="E142:E143"/>
    <mergeCell ref="C436:U436"/>
    <mergeCell ref="C437:U437"/>
    <mergeCell ref="C439:D440"/>
    <mergeCell ref="E439:E440"/>
    <mergeCell ref="R439:S440"/>
    <mergeCell ref="T439:T440"/>
    <mergeCell ref="C442:D443"/>
    <mergeCell ref="E442:E443"/>
    <mergeCell ref="C448:U448"/>
    <mergeCell ref="C449:U449"/>
    <mergeCell ref="C451:D452"/>
    <mergeCell ref="E451:E452"/>
    <mergeCell ref="R451:S452"/>
    <mergeCell ref="T451:T452"/>
    <mergeCell ref="C454:D455"/>
    <mergeCell ref="E454:E455"/>
    <mergeCell ref="C460:U460"/>
    <mergeCell ref="C461:U461"/>
    <mergeCell ref="C478:D479"/>
    <mergeCell ref="E478:E479"/>
    <mergeCell ref="C463:D464"/>
    <mergeCell ref="E463:E464"/>
    <mergeCell ref="R463:S464"/>
    <mergeCell ref="T463:T464"/>
    <mergeCell ref="C466:D467"/>
    <mergeCell ref="E466:E467"/>
    <mergeCell ref="C472:U472"/>
    <mergeCell ref="C473:U473"/>
    <mergeCell ref="C475:D476"/>
    <mergeCell ref="E475:E476"/>
    <mergeCell ref="R475:S476"/>
    <mergeCell ref="T475:T476"/>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472"/>
  <sheetViews>
    <sheetView showGridLines="0" topLeftCell="A30" zoomScaleNormal="100" workbookViewId="0">
      <selection activeCell="H43" sqref="H43:L47"/>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4119</v>
      </c>
      <c r="D3" s="112"/>
      <c r="W3" s="35" t="str">
        <f>"-- "&amp;B3&amp;" : "&amp;C3</f>
        <v>-- SQL_ID : 41_01</v>
      </c>
    </row>
    <row r="4" spans="1:23" ht="18.75" customHeight="1">
      <c r="B4" s="43" t="s">
        <v>158</v>
      </c>
      <c r="C4" s="147" t="str">
        <f>R7&amp;"登録"</f>
        <v>ワーク_患者基本データ登録</v>
      </c>
      <c r="D4" s="148"/>
      <c r="E4" s="148"/>
      <c r="F4" s="148"/>
      <c r="G4" s="148"/>
      <c r="H4" s="148"/>
      <c r="I4" s="148"/>
      <c r="J4" s="148"/>
      <c r="K4" s="148"/>
      <c r="L4" s="148"/>
      <c r="M4" s="148"/>
      <c r="N4" s="148"/>
      <c r="O4" s="148"/>
      <c r="P4" s="148"/>
      <c r="Q4" s="148"/>
      <c r="R4" s="148"/>
      <c r="S4" s="148"/>
      <c r="T4" s="148"/>
      <c r="U4" s="149"/>
      <c r="W4" s="35" t="str">
        <f>"-- "&amp;C4</f>
        <v>-- ワーク_患者基本データ登録</v>
      </c>
    </row>
    <row r="5" spans="1:23" ht="18.75" customHeight="1">
      <c r="B5" s="43" t="s">
        <v>159</v>
      </c>
      <c r="C5" s="136" t="str">
        <f>"レセプト、MMLの患者データを抽出し、"&amp;R7&amp;"テーブルに格納する。"</f>
        <v>レセプト、MMLの患者データを抽出し、ワーク_患者基本データテーブルに格納する。</v>
      </c>
      <c r="D5" s="137"/>
      <c r="E5" s="137"/>
      <c r="F5" s="137"/>
      <c r="G5" s="137"/>
      <c r="H5" s="137"/>
      <c r="I5" s="137"/>
      <c r="J5" s="137"/>
      <c r="K5" s="137"/>
      <c r="L5" s="137"/>
      <c r="M5" s="137"/>
      <c r="N5" s="137"/>
      <c r="O5" s="137"/>
      <c r="P5" s="137"/>
      <c r="Q5" s="137"/>
      <c r="R5" s="137"/>
      <c r="S5" s="137"/>
      <c r="T5" s="137"/>
      <c r="U5" s="138"/>
      <c r="W5" s="35" t="str">
        <f>"-- "&amp;C5</f>
        <v>-- レセプト、MMLの患者データを抽出し、ワーク_患者基本データテーブルに格納する。</v>
      </c>
    </row>
    <row r="7" spans="1:23" ht="18.75" customHeight="1">
      <c r="C7" s="139" t="s">
        <v>4120</v>
      </c>
      <c r="D7" s="140"/>
      <c r="E7" s="145" t="str">
        <f>エンティティ一覧!$O$2</f>
        <v>milscm_2023_009</v>
      </c>
      <c r="F7" s="36"/>
      <c r="G7" s="36"/>
      <c r="H7" s="36"/>
      <c r="I7" s="36"/>
      <c r="J7" s="36"/>
      <c r="K7" s="36"/>
      <c r="L7" s="36"/>
      <c r="M7" s="36"/>
      <c r="N7" s="36"/>
      <c r="O7" s="36"/>
      <c r="R7" s="139" t="s">
        <v>4121</v>
      </c>
      <c r="S7" s="140"/>
      <c r="T7" s="145" t="str">
        <f>エンティティ一覧!$O$2</f>
        <v>milscm_2023_009</v>
      </c>
      <c r="W7" s="35" t="s">
        <v>3668</v>
      </c>
    </row>
    <row r="8" spans="1:23" ht="18.75" customHeight="1">
      <c r="C8" s="141"/>
      <c r="D8" s="142"/>
      <c r="E8" s="146"/>
      <c r="F8" s="37"/>
      <c r="G8" s="37"/>
      <c r="H8" s="37"/>
      <c r="I8" s="37"/>
      <c r="J8" s="37"/>
      <c r="K8" s="37"/>
      <c r="L8" s="37"/>
      <c r="M8" s="37"/>
      <c r="N8" s="37"/>
      <c r="O8" s="37"/>
      <c r="P8" s="37"/>
      <c r="Q8" s="38"/>
      <c r="R8" s="141"/>
      <c r="S8" s="142"/>
      <c r="T8" s="146"/>
    </row>
    <row r="9" spans="1:23" ht="18.75" customHeight="1">
      <c r="P9" s="39"/>
      <c r="Q9" s="40"/>
    </row>
    <row r="10" spans="1:23" ht="18.75" customHeight="1">
      <c r="H10" s="139" t="s">
        <v>187</v>
      </c>
      <c r="I10" s="140"/>
      <c r="J10" s="145" t="str">
        <f>エンティティ一覧!$O$2</f>
        <v>milscm_2023_009</v>
      </c>
      <c r="M10" s="36"/>
      <c r="N10" s="36"/>
      <c r="O10" s="36"/>
      <c r="Q10" s="41"/>
    </row>
    <row r="11" spans="1:23" ht="18.75" customHeight="1">
      <c r="H11" s="141"/>
      <c r="I11" s="142"/>
      <c r="J11" s="146"/>
      <c r="K11" s="37"/>
      <c r="L11" s="37"/>
      <c r="M11" s="37"/>
      <c r="N11" s="37"/>
      <c r="O11" s="37"/>
      <c r="P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B15" s="43" t="s">
        <v>163</v>
      </c>
      <c r="C15" s="51" t="s">
        <v>4123</v>
      </c>
      <c r="D15" s="112"/>
      <c r="W15" s="35" t="str">
        <f>"-- "&amp;B15&amp;" : "&amp;C15</f>
        <v>-- SQL_ID : 41_02</v>
      </c>
    </row>
    <row r="16" spans="1:23" ht="18.75" customHeight="1">
      <c r="B16" s="43" t="s">
        <v>158</v>
      </c>
      <c r="C16" s="147" t="str">
        <f>R19&amp;"登録"</f>
        <v>ワーク_疾患データ登録</v>
      </c>
      <c r="D16" s="148"/>
      <c r="E16" s="148"/>
      <c r="F16" s="148"/>
      <c r="G16" s="148"/>
      <c r="H16" s="148"/>
      <c r="I16" s="148"/>
      <c r="J16" s="148"/>
      <c r="K16" s="148"/>
      <c r="L16" s="148"/>
      <c r="M16" s="148"/>
      <c r="N16" s="148"/>
      <c r="O16" s="148"/>
      <c r="P16" s="148"/>
      <c r="Q16" s="148"/>
      <c r="R16" s="148"/>
      <c r="S16" s="148"/>
      <c r="T16" s="148"/>
      <c r="U16" s="149"/>
      <c r="W16" s="35" t="str">
        <f>"-- "&amp;C16</f>
        <v>-- ワーク_疾患データ登録</v>
      </c>
    </row>
    <row r="17" spans="2:23" ht="18.75" customHeight="1">
      <c r="B17" s="43" t="s">
        <v>159</v>
      </c>
      <c r="C17" s="136" t="s">
        <v>4122</v>
      </c>
      <c r="D17" s="137"/>
      <c r="E17" s="137"/>
      <c r="F17" s="137"/>
      <c r="G17" s="137"/>
      <c r="H17" s="137"/>
      <c r="I17" s="137"/>
      <c r="J17" s="137"/>
      <c r="K17" s="137"/>
      <c r="L17" s="137"/>
      <c r="M17" s="137"/>
      <c r="N17" s="137"/>
      <c r="O17" s="137"/>
      <c r="P17" s="137"/>
      <c r="Q17" s="137"/>
      <c r="R17" s="137"/>
      <c r="S17" s="137"/>
      <c r="T17" s="137"/>
      <c r="U17" s="138"/>
      <c r="W17" s="35" t="str">
        <f>"-- "&amp;C17</f>
        <v>-- MMLの疾患データ（疑いを除く）を抽出し、疾患マスタに登録されている疾患コードのデータを登録する。</v>
      </c>
    </row>
    <row r="19" spans="2:23" ht="18.75" customHeight="1">
      <c r="C19" s="139" t="s">
        <v>3677</v>
      </c>
      <c r="D19" s="140"/>
      <c r="E19" s="145" t="str">
        <f>エンティティ一覧!$O$2</f>
        <v>milscm_2023_009</v>
      </c>
      <c r="H19" s="36"/>
      <c r="I19" s="36"/>
      <c r="J19" s="36"/>
      <c r="M19" s="36"/>
      <c r="R19" s="139" t="s">
        <v>4125</v>
      </c>
      <c r="S19" s="140"/>
      <c r="T19" s="145" t="str">
        <f>エンティティ一覧!$O$2</f>
        <v>milscm_2023_009</v>
      </c>
    </row>
    <row r="20" spans="2:23" ht="18.75" customHeight="1">
      <c r="C20" s="141"/>
      <c r="D20" s="142"/>
      <c r="E20" s="146"/>
      <c r="F20" s="37"/>
      <c r="G20" s="38"/>
      <c r="H20" s="37"/>
      <c r="I20" s="37"/>
      <c r="J20" s="37"/>
      <c r="K20" s="37"/>
      <c r="L20" s="38"/>
      <c r="M20" s="37"/>
      <c r="N20" s="37"/>
      <c r="O20" s="38"/>
      <c r="P20" s="96"/>
      <c r="Q20" s="38"/>
      <c r="R20" s="141"/>
      <c r="S20" s="142"/>
      <c r="T20" s="146"/>
    </row>
    <row r="21" spans="2:23" ht="18.75" customHeight="1">
      <c r="F21" s="39"/>
      <c r="G21" s="40"/>
      <c r="K21" s="39"/>
      <c r="L21" s="40"/>
      <c r="N21" s="39"/>
      <c r="O21" s="40"/>
      <c r="P21" s="115"/>
      <c r="Q21" s="40"/>
    </row>
    <row r="22" spans="2:23" ht="18.75" customHeight="1">
      <c r="C22" s="139" t="s">
        <v>178</v>
      </c>
      <c r="D22" s="140"/>
      <c r="E22" s="145" t="str">
        <f>エンティティ一覧!$O$2</f>
        <v>milscm_2023_009</v>
      </c>
      <c r="G22" s="41"/>
      <c r="K22" s="39"/>
      <c r="L22" s="40"/>
      <c r="N22" s="39"/>
      <c r="O22" s="40"/>
      <c r="P22" s="115"/>
      <c r="Q22" s="40"/>
    </row>
    <row r="23" spans="2:23" ht="18.75" customHeight="1">
      <c r="C23" s="141"/>
      <c r="D23" s="142"/>
      <c r="E23" s="146"/>
      <c r="F23" s="37"/>
      <c r="K23" s="39"/>
      <c r="L23" s="40"/>
      <c r="N23" s="39"/>
      <c r="O23" s="40"/>
      <c r="P23" s="115"/>
      <c r="Q23" s="40"/>
    </row>
    <row r="24" spans="2:23" ht="18.75" customHeight="1">
      <c r="K24" s="39"/>
      <c r="L24" s="40"/>
      <c r="N24" s="39"/>
      <c r="O24" s="40"/>
      <c r="P24" s="115"/>
      <c r="Q24" s="40"/>
    </row>
    <row r="25" spans="2:23" ht="18.75" customHeight="1">
      <c r="H25" s="150" t="s">
        <v>3676</v>
      </c>
      <c r="I25" s="151"/>
      <c r="J25" s="145" t="str">
        <f>エンティティ一覧!$O$2</f>
        <v>milscm_2023_009</v>
      </c>
      <c r="L25" s="41"/>
      <c r="N25" s="39"/>
      <c r="O25" s="40"/>
      <c r="P25" s="115"/>
      <c r="Q25" s="40"/>
    </row>
    <row r="26" spans="2:23" ht="18.75" customHeight="1">
      <c r="H26" s="152"/>
      <c r="I26" s="153"/>
      <c r="J26" s="146"/>
      <c r="K26" s="37"/>
      <c r="N26" s="39"/>
      <c r="O26" s="40"/>
      <c r="P26" s="115"/>
      <c r="Q26" s="40"/>
    </row>
    <row r="27" spans="2:23" ht="18.75" customHeight="1">
      <c r="N27" s="39"/>
      <c r="O27" s="40"/>
      <c r="P27" s="115"/>
      <c r="Q27" s="40"/>
    </row>
    <row r="28" spans="2:23" ht="18.75" customHeight="1">
      <c r="C28" s="139" t="s">
        <v>3697</v>
      </c>
      <c r="D28" s="140"/>
      <c r="E28" s="145" t="str">
        <f>エンティティ一覧!$O$2</f>
        <v>milscm_2023_009</v>
      </c>
      <c r="H28" s="36"/>
      <c r="I28" s="36"/>
      <c r="J28" s="36"/>
      <c r="M28" s="36"/>
      <c r="O28" s="41"/>
      <c r="P28" s="115"/>
      <c r="Q28" s="40"/>
    </row>
    <row r="29" spans="2:23" ht="18.75" customHeight="1">
      <c r="C29" s="141"/>
      <c r="D29" s="142"/>
      <c r="E29" s="146"/>
      <c r="F29" s="37"/>
      <c r="G29" s="38"/>
      <c r="H29" s="37"/>
      <c r="I29" s="37"/>
      <c r="J29" s="37"/>
      <c r="K29" s="37"/>
      <c r="L29" s="38"/>
      <c r="M29" s="37"/>
      <c r="N29" s="37"/>
      <c r="P29" s="115"/>
      <c r="Q29" s="40"/>
    </row>
    <row r="30" spans="2:23" ht="18.75" customHeight="1">
      <c r="F30" s="39"/>
      <c r="G30" s="40"/>
      <c r="K30" s="39"/>
      <c r="L30" s="40"/>
      <c r="P30" s="115"/>
      <c r="Q30" s="40"/>
    </row>
    <row r="31" spans="2:23" ht="18.75" customHeight="1">
      <c r="C31" s="139" t="s">
        <v>178</v>
      </c>
      <c r="D31" s="140"/>
      <c r="E31" s="145" t="str">
        <f>エンティティ一覧!$O$2</f>
        <v>milscm_2023_009</v>
      </c>
      <c r="G31" s="41"/>
      <c r="K31" s="39"/>
      <c r="L31" s="40"/>
      <c r="P31" s="115"/>
      <c r="Q31" s="40"/>
    </row>
    <row r="32" spans="2:23" ht="18.75" customHeight="1">
      <c r="C32" s="141"/>
      <c r="D32" s="142"/>
      <c r="E32" s="146"/>
      <c r="F32" s="37"/>
      <c r="K32" s="39"/>
      <c r="L32" s="40"/>
      <c r="P32" s="115"/>
      <c r="Q32" s="40"/>
    </row>
    <row r="33" spans="3:17" ht="18.75" customHeight="1">
      <c r="K33" s="39"/>
      <c r="L33" s="40"/>
      <c r="P33" s="115"/>
      <c r="Q33" s="40"/>
    </row>
    <row r="34" spans="3:17" ht="18.75" customHeight="1">
      <c r="H34" s="139" t="s">
        <v>4124</v>
      </c>
      <c r="I34" s="140"/>
      <c r="J34" s="145" t="str">
        <f>エンティティ一覧!$O$2</f>
        <v>milscm_2023_009</v>
      </c>
      <c r="L34" s="41"/>
      <c r="P34" s="115"/>
      <c r="Q34" s="40"/>
    </row>
    <row r="35" spans="3:17" ht="18.75" customHeight="1">
      <c r="H35" s="141"/>
      <c r="I35" s="142"/>
      <c r="J35" s="146"/>
      <c r="K35" s="96"/>
      <c r="P35" s="115"/>
      <c r="Q35" s="40"/>
    </row>
    <row r="36" spans="3:17" ht="18.75" customHeight="1">
      <c r="K36" s="114"/>
      <c r="P36" s="115"/>
      <c r="Q36" s="40"/>
    </row>
    <row r="37" spans="3:17" ht="18.75" customHeight="1">
      <c r="H37" s="139" t="s">
        <v>3666</v>
      </c>
      <c r="I37" s="140"/>
      <c r="J37" s="143" t="s">
        <v>162</v>
      </c>
      <c r="L37" s="41"/>
      <c r="P37" s="115"/>
      <c r="Q37" s="40"/>
    </row>
    <row r="38" spans="3:17" ht="18.75" customHeight="1">
      <c r="H38" s="141"/>
      <c r="I38" s="142"/>
      <c r="J38" s="144"/>
      <c r="K38" s="37"/>
      <c r="P38" s="115"/>
      <c r="Q38" s="40"/>
    </row>
    <row r="39" spans="3:17" ht="18.75" customHeight="1">
      <c r="P39" s="115"/>
      <c r="Q39" s="40"/>
    </row>
    <row r="40" spans="3:17" ht="18.75" customHeight="1">
      <c r="C40" s="139" t="s">
        <v>178</v>
      </c>
      <c r="D40" s="140"/>
      <c r="E40" s="145" t="str">
        <f>エンティティ一覧!$O$2</f>
        <v>milscm_2023_009</v>
      </c>
      <c r="G40" s="36"/>
      <c r="H40" s="36"/>
      <c r="I40" s="36"/>
      <c r="J40" s="36"/>
      <c r="K40" s="107"/>
      <c r="L40" s="107"/>
      <c r="M40" s="36"/>
      <c r="N40" s="36"/>
      <c r="O40" s="36"/>
      <c r="P40" s="115"/>
      <c r="Q40" s="40"/>
    </row>
    <row r="41" spans="3:17" ht="18.75" customHeight="1">
      <c r="C41" s="141"/>
      <c r="D41" s="142"/>
      <c r="E41" s="146"/>
      <c r="F41" s="37"/>
      <c r="K41" s="101"/>
      <c r="L41" s="101"/>
      <c r="P41" s="39"/>
      <c r="Q41" s="40"/>
    </row>
    <row r="42" spans="3:17" ht="18.75" customHeight="1">
      <c r="K42" s="101"/>
      <c r="L42" s="101"/>
      <c r="P42" s="39"/>
      <c r="Q42" s="40"/>
    </row>
    <row r="43" spans="3:17" ht="18.75" customHeight="1">
      <c r="H43" s="139" t="s">
        <v>3732</v>
      </c>
      <c r="I43" s="140"/>
      <c r="J43" s="145" t="str">
        <f>エンティティ一覧!$O$2</f>
        <v>milscm_2023_009</v>
      </c>
      <c r="M43" s="36"/>
      <c r="N43" s="36"/>
      <c r="O43" s="36"/>
      <c r="Q43" s="41"/>
    </row>
    <row r="44" spans="3:17" ht="18.75" customHeight="1">
      <c r="H44" s="141"/>
      <c r="I44" s="142"/>
      <c r="J44" s="146"/>
      <c r="K44" s="37"/>
      <c r="L44" s="38"/>
      <c r="M44" s="37"/>
      <c r="N44" s="37"/>
      <c r="O44" s="37"/>
      <c r="P44" s="37"/>
    </row>
    <row r="45" spans="3:17" ht="18.75" customHeight="1">
      <c r="K45" s="39"/>
      <c r="L45" s="40"/>
    </row>
    <row r="46" spans="3:17" ht="18.75" customHeight="1">
      <c r="H46" s="139" t="s">
        <v>187</v>
      </c>
      <c r="I46" s="140"/>
      <c r="J46" s="145" t="str">
        <f>エンティティ一覧!$O$2</f>
        <v>milscm_2023_009</v>
      </c>
      <c r="L46" s="41"/>
    </row>
    <row r="47" spans="3:17" ht="18.75" customHeight="1">
      <c r="H47" s="141"/>
      <c r="I47" s="142"/>
      <c r="J47" s="146"/>
      <c r="K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4151</v>
      </c>
      <c r="D51" s="113"/>
      <c r="W51" s="35" t="str">
        <f>"-- "&amp;B51&amp;" : "&amp;C51</f>
        <v>-- SQL_ID : 41_03</v>
      </c>
    </row>
    <row r="52" spans="2:23" ht="18.75" customHeight="1">
      <c r="B52" s="43" t="s">
        <v>158</v>
      </c>
      <c r="C52" s="147" t="str">
        <f>R55&amp;"登録"</f>
        <v>ワーク_入院退院_DPC登録</v>
      </c>
      <c r="D52" s="148"/>
      <c r="E52" s="148"/>
      <c r="F52" s="148"/>
      <c r="G52" s="148"/>
      <c r="H52" s="148"/>
      <c r="I52" s="148"/>
      <c r="J52" s="148"/>
      <c r="K52" s="148"/>
      <c r="L52" s="148"/>
      <c r="M52" s="148"/>
      <c r="N52" s="148"/>
      <c r="O52" s="148"/>
      <c r="P52" s="148"/>
      <c r="Q52" s="148"/>
      <c r="R52" s="148"/>
      <c r="S52" s="148"/>
      <c r="T52" s="148"/>
      <c r="U52" s="149"/>
      <c r="W52" s="35" t="str">
        <f>"-- "&amp;C52</f>
        <v>-- ワーク_入院退院_DPC登録</v>
      </c>
    </row>
    <row r="53" spans="2:23" ht="18.75" customHeight="1">
      <c r="B53" s="43" t="s">
        <v>159</v>
      </c>
      <c r="C53" s="136" t="str">
        <f>"DPCの患者データを抽出し、"&amp;R55&amp;"テーブルに格納する。"</f>
        <v>DPCの患者データを抽出し、ワーク_入院退院_DPCテーブルに格納する。</v>
      </c>
      <c r="D53" s="137"/>
      <c r="E53" s="137"/>
      <c r="F53" s="137"/>
      <c r="G53" s="137"/>
      <c r="H53" s="137"/>
      <c r="I53" s="137"/>
      <c r="J53" s="137"/>
      <c r="K53" s="137"/>
      <c r="L53" s="137"/>
      <c r="M53" s="137"/>
      <c r="N53" s="137"/>
      <c r="O53" s="137"/>
      <c r="P53" s="137"/>
      <c r="Q53" s="137"/>
      <c r="R53" s="137"/>
      <c r="S53" s="137"/>
      <c r="T53" s="137"/>
      <c r="U53" s="138"/>
      <c r="W53" s="35" t="str">
        <f>"-- "&amp;C53</f>
        <v>-- DPCの患者データを抽出し、ワーク_入院退院_DPCテーブルに格納する。</v>
      </c>
    </row>
    <row r="55" spans="2:23" ht="18.75" customHeight="1">
      <c r="C55" s="139" t="s">
        <v>3693</v>
      </c>
      <c r="D55" s="140"/>
      <c r="E55" s="145" t="str">
        <f>エンティティ一覧!$O$2</f>
        <v>milscm_2023_009</v>
      </c>
      <c r="F55" s="36"/>
      <c r="G55" s="36"/>
      <c r="H55" s="36"/>
      <c r="I55" s="36"/>
      <c r="J55" s="36"/>
      <c r="M55" s="36"/>
      <c r="N55" s="36"/>
      <c r="O55" s="36"/>
      <c r="R55" s="139" t="s">
        <v>4127</v>
      </c>
      <c r="S55" s="140"/>
      <c r="T55" s="145" t="str">
        <f>エンティティ一覧!$O$2</f>
        <v>milscm_2023_009</v>
      </c>
    </row>
    <row r="56" spans="2:23" ht="18.75" customHeight="1">
      <c r="C56" s="141"/>
      <c r="D56" s="142"/>
      <c r="E56" s="146"/>
      <c r="F56" s="37"/>
      <c r="G56" s="37"/>
      <c r="H56" s="37"/>
      <c r="I56" s="37"/>
      <c r="J56" s="37"/>
      <c r="K56" s="37"/>
      <c r="L56" s="38"/>
      <c r="M56" s="37"/>
      <c r="N56" s="37"/>
      <c r="O56" s="37"/>
      <c r="P56" s="37"/>
      <c r="Q56" s="38"/>
      <c r="R56" s="141"/>
      <c r="S56" s="142"/>
      <c r="T56" s="146"/>
    </row>
    <row r="57" spans="2:23" ht="18.75" customHeight="1">
      <c r="K57" s="39"/>
      <c r="L57" s="40"/>
      <c r="P57" s="39"/>
      <c r="Q57" s="40"/>
    </row>
    <row r="58" spans="2:23" ht="18.75" customHeight="1">
      <c r="C58" s="139" t="s">
        <v>311</v>
      </c>
      <c r="D58" s="140"/>
      <c r="E58" s="145" t="str">
        <f>エンティティ一覧!$O$2</f>
        <v>milscm_2023_009</v>
      </c>
      <c r="F58" s="36"/>
      <c r="G58" s="36"/>
      <c r="H58" s="36"/>
      <c r="I58" s="36"/>
      <c r="J58" s="36"/>
      <c r="L58" s="41"/>
      <c r="Q58" s="41"/>
    </row>
    <row r="59" spans="2:23" ht="18.75" customHeight="1">
      <c r="C59" s="141"/>
      <c r="D59" s="142"/>
      <c r="E59" s="146"/>
      <c r="F59" s="37"/>
      <c r="G59" s="37"/>
      <c r="H59" s="37"/>
      <c r="I59" s="37"/>
      <c r="J59" s="37"/>
      <c r="K59" s="37"/>
      <c r="Q59" s="41"/>
    </row>
    <row r="60" spans="2:23" ht="18.75" customHeight="1">
      <c r="P60" s="39"/>
      <c r="Q60" s="40"/>
    </row>
    <row r="61" spans="2:23" ht="18.75" customHeight="1">
      <c r="H61" s="139" t="s">
        <v>3732</v>
      </c>
      <c r="I61" s="140"/>
      <c r="J61" s="145" t="str">
        <f>エンティティ一覧!$O$2</f>
        <v>milscm_2023_009</v>
      </c>
      <c r="M61" s="36"/>
      <c r="N61" s="36"/>
      <c r="O61" s="36"/>
      <c r="Q61" s="41"/>
    </row>
    <row r="62" spans="2:23" ht="18.75" customHeight="1">
      <c r="H62" s="141"/>
      <c r="I62" s="142"/>
      <c r="J62" s="146"/>
      <c r="K62" s="37"/>
      <c r="L62" s="38"/>
      <c r="M62" s="37"/>
      <c r="N62" s="37"/>
      <c r="O62" s="37"/>
      <c r="P62" s="37"/>
    </row>
    <row r="63" spans="2:23" ht="18.75" customHeight="1">
      <c r="K63" s="39"/>
      <c r="L63" s="40"/>
    </row>
    <row r="64" spans="2:23" ht="18.75" customHeight="1">
      <c r="H64" s="139" t="s">
        <v>187</v>
      </c>
      <c r="I64" s="140"/>
      <c r="J64" s="145" t="str">
        <f>エンティティ一覧!$O$2</f>
        <v>milscm_2023_009</v>
      </c>
      <c r="L64" s="41"/>
    </row>
    <row r="65" spans="2:23" ht="18.75" customHeight="1">
      <c r="H65" s="141"/>
      <c r="I65" s="142"/>
      <c r="J65" s="146"/>
      <c r="K65" s="37"/>
    </row>
    <row r="67" spans="2:23" ht="18.75" customHeight="1" thickBot="1">
      <c r="B67" s="42"/>
      <c r="C67" s="42"/>
      <c r="D67" s="42"/>
      <c r="E67" s="42"/>
      <c r="F67" s="42"/>
      <c r="G67" s="42"/>
      <c r="H67" s="42"/>
      <c r="I67" s="42"/>
      <c r="J67" s="42"/>
      <c r="K67" s="42"/>
      <c r="L67" s="42"/>
      <c r="M67" s="42"/>
      <c r="N67" s="42"/>
      <c r="O67" s="42"/>
      <c r="P67" s="42"/>
      <c r="Q67" s="42"/>
      <c r="R67" s="42"/>
      <c r="S67" s="42"/>
      <c r="T67" s="42"/>
      <c r="U67" s="42"/>
    </row>
    <row r="69" spans="2:23" ht="18.75" customHeight="1">
      <c r="B69" s="43" t="s">
        <v>163</v>
      </c>
      <c r="C69" s="51" t="s">
        <v>4153</v>
      </c>
      <c r="D69" s="113"/>
      <c r="W69" s="35" t="str">
        <f>"-- "&amp;B69&amp;" : "&amp;C69</f>
        <v>-- SQL_ID : 41_04</v>
      </c>
    </row>
    <row r="70" spans="2:23" ht="18.75" customHeight="1">
      <c r="B70" s="43" t="s">
        <v>158</v>
      </c>
      <c r="C70" s="147" t="str">
        <f>R73&amp;"登録"</f>
        <v>ワーク_入院退院_MML登録</v>
      </c>
      <c r="D70" s="148"/>
      <c r="E70" s="148"/>
      <c r="F70" s="148"/>
      <c r="G70" s="148"/>
      <c r="H70" s="148"/>
      <c r="I70" s="148"/>
      <c r="J70" s="148"/>
      <c r="K70" s="148"/>
      <c r="L70" s="148"/>
      <c r="M70" s="148"/>
      <c r="N70" s="148"/>
      <c r="O70" s="148"/>
      <c r="P70" s="148"/>
      <c r="Q70" s="148"/>
      <c r="R70" s="148"/>
      <c r="S70" s="148"/>
      <c r="T70" s="148"/>
      <c r="U70" s="149"/>
      <c r="W70" s="35" t="str">
        <f>"-- "&amp;C70</f>
        <v>-- ワーク_入院退院_MML登録</v>
      </c>
    </row>
    <row r="71" spans="2:23" ht="18.75" customHeight="1">
      <c r="B71" s="43" t="s">
        <v>159</v>
      </c>
      <c r="C71" s="136" t="str">
        <f>"MMLの患者データを抽出し、"&amp;R73&amp;"テーブルに格納する。"</f>
        <v>MMLの患者データを抽出し、ワーク_入院退院_MMLテーブルに格納する。</v>
      </c>
      <c r="D71" s="137"/>
      <c r="E71" s="137"/>
      <c r="F71" s="137"/>
      <c r="G71" s="137"/>
      <c r="H71" s="137"/>
      <c r="I71" s="137"/>
      <c r="J71" s="137"/>
      <c r="K71" s="137"/>
      <c r="L71" s="137"/>
      <c r="M71" s="137"/>
      <c r="N71" s="137"/>
      <c r="O71" s="137"/>
      <c r="P71" s="137"/>
      <c r="Q71" s="137"/>
      <c r="R71" s="137"/>
      <c r="S71" s="137"/>
      <c r="T71" s="137"/>
      <c r="U71" s="138"/>
      <c r="W71" s="35" t="str">
        <f>"-- "&amp;C71</f>
        <v>-- MMLの患者データを抽出し、ワーク_入院退院_MMLテーブルに格納する。</v>
      </c>
    </row>
    <row r="73" spans="2:23" ht="18.75" customHeight="1">
      <c r="C73" s="139" t="s">
        <v>3685</v>
      </c>
      <c r="D73" s="140"/>
      <c r="E73" s="145" t="str">
        <f>エンティティ一覧!$O$2</f>
        <v>milscm_2023_009</v>
      </c>
      <c r="F73" s="36"/>
      <c r="G73" s="36"/>
      <c r="H73" s="36"/>
      <c r="I73" s="36"/>
      <c r="J73" s="36"/>
      <c r="K73" s="36"/>
      <c r="L73" s="36"/>
      <c r="M73" s="36"/>
      <c r="N73" s="36"/>
      <c r="O73" s="36"/>
      <c r="R73" s="139" t="s">
        <v>4129</v>
      </c>
      <c r="S73" s="140"/>
      <c r="T73" s="145" t="str">
        <f>エンティティ一覧!$O$2</f>
        <v>milscm_2023_009</v>
      </c>
    </row>
    <row r="74" spans="2:23" ht="18.75" customHeight="1">
      <c r="C74" s="141"/>
      <c r="D74" s="142"/>
      <c r="E74" s="146"/>
      <c r="F74" s="37"/>
      <c r="G74" s="37"/>
      <c r="H74" s="37"/>
      <c r="I74" s="37"/>
      <c r="J74" s="37"/>
      <c r="K74" s="37"/>
      <c r="L74" s="37"/>
      <c r="M74" s="37"/>
      <c r="N74" s="37"/>
      <c r="O74" s="37"/>
      <c r="P74" s="37"/>
      <c r="Q74" s="38"/>
      <c r="R74" s="141"/>
      <c r="S74" s="142"/>
      <c r="T74" s="146"/>
    </row>
    <row r="75" spans="2:23" ht="18.75" customHeight="1">
      <c r="P75" s="39"/>
      <c r="Q75" s="40"/>
    </row>
    <row r="76" spans="2:23" ht="18.75" customHeight="1">
      <c r="H76" s="139" t="s">
        <v>3732</v>
      </c>
      <c r="I76" s="140"/>
      <c r="J76" s="145" t="str">
        <f>エンティティ一覧!$O$2</f>
        <v>milscm_2023_009</v>
      </c>
      <c r="M76" s="36"/>
      <c r="N76" s="36"/>
      <c r="O76" s="36"/>
      <c r="Q76" s="41"/>
    </row>
    <row r="77" spans="2:23" ht="18.75" customHeight="1">
      <c r="H77" s="141"/>
      <c r="I77" s="142"/>
      <c r="J77" s="146"/>
      <c r="K77" s="37"/>
      <c r="L77" s="38"/>
      <c r="M77" s="37"/>
      <c r="N77" s="37"/>
      <c r="O77" s="37"/>
      <c r="P77" s="37"/>
    </row>
    <row r="78" spans="2:23" ht="18.75" customHeight="1">
      <c r="K78" s="39"/>
      <c r="L78" s="40"/>
    </row>
    <row r="79" spans="2:23" ht="18.75" customHeight="1">
      <c r="H79" s="139" t="s">
        <v>187</v>
      </c>
      <c r="I79" s="140"/>
      <c r="J79" s="145" t="str">
        <f>エンティティ一覧!$O$2</f>
        <v>milscm_2023_009</v>
      </c>
      <c r="L79" s="41"/>
    </row>
    <row r="80" spans="2:23" ht="18.75" customHeight="1">
      <c r="H80" s="141"/>
      <c r="I80" s="142"/>
      <c r="J80" s="146"/>
      <c r="K80" s="37"/>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4154</v>
      </c>
      <c r="D84" s="113"/>
      <c r="W84" s="35" t="str">
        <f>"-- "&amp;B84&amp;" : "&amp;C84</f>
        <v>-- SQL_ID : 41_05</v>
      </c>
    </row>
    <row r="85" spans="2:23" ht="18.75" customHeight="1">
      <c r="B85" s="43" t="s">
        <v>158</v>
      </c>
      <c r="C85" s="147" t="str">
        <f>R88&amp;"登録"</f>
        <v>ワーク_入院退院登録</v>
      </c>
      <c r="D85" s="148"/>
      <c r="E85" s="148"/>
      <c r="F85" s="148"/>
      <c r="G85" s="148"/>
      <c r="H85" s="148"/>
      <c r="I85" s="148"/>
      <c r="J85" s="148"/>
      <c r="K85" s="148"/>
      <c r="L85" s="148"/>
      <c r="M85" s="148"/>
      <c r="N85" s="148"/>
      <c r="O85" s="148"/>
      <c r="P85" s="148"/>
      <c r="Q85" s="148"/>
      <c r="R85" s="148"/>
      <c r="S85" s="148"/>
      <c r="T85" s="148"/>
      <c r="U85" s="149"/>
      <c r="W85" s="35" t="str">
        <f>"-- "&amp;C85</f>
        <v>-- ワーク_入院退院登録</v>
      </c>
    </row>
    <row r="86" spans="2:23" ht="18.75" customHeight="1">
      <c r="B86" s="43" t="s">
        <v>159</v>
      </c>
      <c r="C86" s="136" t="str">
        <f>"DPC、MMLの入院退院データを抽出し、"&amp;R88&amp;"テーブルに格納する。"</f>
        <v>DPC、MMLの入院退院データを抽出し、ワーク_入院退院テーブルに格納する。</v>
      </c>
      <c r="D86" s="137"/>
      <c r="E86" s="137"/>
      <c r="F86" s="137"/>
      <c r="G86" s="137"/>
      <c r="H86" s="137"/>
      <c r="I86" s="137"/>
      <c r="J86" s="137"/>
      <c r="K86" s="137"/>
      <c r="L86" s="137"/>
      <c r="M86" s="137"/>
      <c r="N86" s="137"/>
      <c r="O86" s="137"/>
      <c r="P86" s="137"/>
      <c r="Q86" s="137"/>
      <c r="R86" s="137"/>
      <c r="S86" s="137"/>
      <c r="T86" s="137"/>
      <c r="U86" s="138"/>
      <c r="W86" s="35" t="str">
        <f>"-- "&amp;C86</f>
        <v>-- DPC、MMLの入院退院データを抽出し、ワーク_入院退院テーブルに格納する。</v>
      </c>
    </row>
    <row r="88" spans="2:23" ht="18.75" customHeight="1">
      <c r="C88" s="139" t="s">
        <v>4127</v>
      </c>
      <c r="D88" s="140"/>
      <c r="E88" s="145" t="str">
        <f>エンティティ一覧!$O$2</f>
        <v>milscm_2023_009</v>
      </c>
      <c r="H88" s="36"/>
      <c r="I88" s="36"/>
      <c r="J88" s="36"/>
      <c r="K88" s="36"/>
      <c r="L88" s="36"/>
      <c r="M88" s="36"/>
      <c r="N88" s="36"/>
      <c r="O88" s="36"/>
      <c r="P88" s="36"/>
      <c r="Q88" s="36"/>
      <c r="R88" s="139" t="s">
        <v>4131</v>
      </c>
      <c r="S88" s="140"/>
      <c r="T88" s="145" t="str">
        <f>エンティティ一覧!$O$2</f>
        <v>milscm_2023_009</v>
      </c>
    </row>
    <row r="89" spans="2:23" ht="18.75" customHeight="1">
      <c r="C89" s="141"/>
      <c r="D89" s="142"/>
      <c r="E89" s="146"/>
      <c r="F89" s="37"/>
      <c r="G89" s="38"/>
      <c r="H89" s="37"/>
      <c r="I89" s="37"/>
      <c r="J89" s="37"/>
      <c r="K89" s="37"/>
      <c r="L89" s="37"/>
      <c r="M89" s="37"/>
      <c r="N89" s="37"/>
      <c r="O89" s="37"/>
      <c r="P89" s="37"/>
      <c r="Q89" s="37"/>
      <c r="R89" s="141"/>
      <c r="S89" s="142"/>
      <c r="T89" s="146"/>
    </row>
    <row r="90" spans="2:23" ht="18.75" customHeight="1">
      <c r="F90" s="39"/>
      <c r="G90" s="40"/>
    </row>
    <row r="91" spans="2:23" ht="18.75" customHeight="1">
      <c r="C91" s="139" t="s">
        <v>4132</v>
      </c>
      <c r="D91" s="140"/>
      <c r="E91" s="145" t="str">
        <f>エンティティ一覧!$O$2</f>
        <v>milscm_2023_009</v>
      </c>
      <c r="G91" s="41"/>
    </row>
    <row r="92" spans="2:23" ht="18.75" customHeight="1">
      <c r="C92" s="141"/>
      <c r="D92" s="142"/>
      <c r="E92" s="146"/>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4126</v>
      </c>
      <c r="D96" s="113"/>
      <c r="W96" s="35" t="str">
        <f>"-- "&amp;B96&amp;" : "&amp;C96</f>
        <v>-- SQL_ID : 41_06</v>
      </c>
    </row>
    <row r="97" spans="2:23" ht="18.75" customHeight="1">
      <c r="B97" s="43" t="s">
        <v>158</v>
      </c>
      <c r="C97" s="147" t="str">
        <f>R100&amp;"登録"</f>
        <v>ワーク_外来_DPC登録</v>
      </c>
      <c r="D97" s="148"/>
      <c r="E97" s="148"/>
      <c r="F97" s="148"/>
      <c r="G97" s="148"/>
      <c r="H97" s="148"/>
      <c r="I97" s="148"/>
      <c r="J97" s="148"/>
      <c r="K97" s="148"/>
      <c r="L97" s="148"/>
      <c r="M97" s="148"/>
      <c r="N97" s="148"/>
      <c r="O97" s="148"/>
      <c r="P97" s="148"/>
      <c r="Q97" s="148"/>
      <c r="R97" s="148"/>
      <c r="S97" s="148"/>
      <c r="T97" s="148"/>
      <c r="U97" s="149"/>
      <c r="W97" s="35" t="str">
        <f>"-- "&amp;C97</f>
        <v>-- ワーク_外来_DPC登録</v>
      </c>
    </row>
    <row r="98" spans="2:23" ht="18.75" customHeight="1">
      <c r="B98" s="43" t="s">
        <v>159</v>
      </c>
      <c r="C98" s="136" t="str">
        <f>"DPCの患者データを抽出し、"&amp;R100&amp;"テーブルに格納する。"</f>
        <v>DPCの患者データを抽出し、ワーク_外来_DPCテーブルに格納する。</v>
      </c>
      <c r="D98" s="137"/>
      <c r="E98" s="137"/>
      <c r="F98" s="137"/>
      <c r="G98" s="137"/>
      <c r="H98" s="137"/>
      <c r="I98" s="137"/>
      <c r="J98" s="137"/>
      <c r="K98" s="137"/>
      <c r="L98" s="137"/>
      <c r="M98" s="137"/>
      <c r="N98" s="137"/>
      <c r="O98" s="137"/>
      <c r="P98" s="137"/>
      <c r="Q98" s="137"/>
      <c r="R98" s="137"/>
      <c r="S98" s="137"/>
      <c r="T98" s="137"/>
      <c r="U98" s="138"/>
      <c r="W98" s="35" t="str">
        <f>"-- "&amp;C98</f>
        <v>-- DPCの患者データを抽出し、ワーク_外来_DPCテーブルに格納する。</v>
      </c>
    </row>
    <row r="100" spans="2:23" ht="18.75" customHeight="1">
      <c r="C100" s="139" t="s">
        <v>310</v>
      </c>
      <c r="D100" s="140"/>
      <c r="E100" s="145" t="str">
        <f>エンティティ一覧!$O$2</f>
        <v>milscm_2023_009</v>
      </c>
      <c r="F100" s="36"/>
      <c r="G100" s="36"/>
      <c r="H100" s="36"/>
      <c r="I100" s="36"/>
      <c r="J100" s="36"/>
      <c r="K100" s="36"/>
      <c r="L100" s="36"/>
      <c r="M100" s="36"/>
      <c r="N100" s="36"/>
      <c r="O100" s="36"/>
      <c r="R100" s="139" t="s">
        <v>4134</v>
      </c>
      <c r="S100" s="140"/>
      <c r="T100" s="145" t="str">
        <f>エンティティ一覧!$O$2</f>
        <v>milscm_2023_009</v>
      </c>
    </row>
    <row r="101" spans="2:23" ht="18.75" customHeight="1">
      <c r="C101" s="141"/>
      <c r="D101" s="142"/>
      <c r="E101" s="146"/>
      <c r="F101" s="37"/>
      <c r="G101" s="37"/>
      <c r="H101" s="37"/>
      <c r="I101" s="37"/>
      <c r="J101" s="37"/>
      <c r="K101" s="37"/>
      <c r="L101" s="37"/>
      <c r="M101" s="37"/>
      <c r="N101" s="37"/>
      <c r="O101" s="37"/>
      <c r="P101" s="37"/>
      <c r="Q101" s="38"/>
      <c r="R101" s="141"/>
      <c r="S101" s="142"/>
      <c r="T101" s="146"/>
    </row>
    <row r="102" spans="2:23" ht="18.75" customHeight="1">
      <c r="P102" s="39"/>
      <c r="Q102" s="40"/>
    </row>
    <row r="103" spans="2:23" ht="18.75" customHeight="1">
      <c r="H103" s="139" t="s">
        <v>3732</v>
      </c>
      <c r="I103" s="140"/>
      <c r="J103" s="145" t="str">
        <f>エンティティ一覧!$O$2</f>
        <v>milscm_2023_009</v>
      </c>
      <c r="M103" s="36"/>
      <c r="N103" s="36"/>
      <c r="O103" s="36"/>
      <c r="Q103" s="41"/>
    </row>
    <row r="104" spans="2:23" ht="18.75" customHeight="1">
      <c r="H104" s="141"/>
      <c r="I104" s="142"/>
      <c r="J104" s="146"/>
      <c r="K104" s="37"/>
      <c r="L104" s="38"/>
      <c r="M104" s="37"/>
      <c r="N104" s="37"/>
      <c r="O104" s="37"/>
      <c r="P104" s="37"/>
    </row>
    <row r="105" spans="2:23" ht="18.75" customHeight="1">
      <c r="K105" s="39"/>
      <c r="L105" s="40"/>
    </row>
    <row r="106" spans="2:23" ht="18.75" customHeight="1">
      <c r="H106" s="139" t="s">
        <v>187</v>
      </c>
      <c r="I106" s="140"/>
      <c r="J106" s="145" t="str">
        <f>エンティティ一覧!$O$2</f>
        <v>milscm_2023_009</v>
      </c>
      <c r="L106" s="41"/>
    </row>
    <row r="107" spans="2:23" ht="18.75" customHeight="1">
      <c r="H107" s="141"/>
      <c r="I107" s="142"/>
      <c r="J107" s="146"/>
      <c r="K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4128</v>
      </c>
      <c r="D111" s="113"/>
      <c r="W111" s="35" t="str">
        <f>"-- "&amp;B111&amp;" : "&amp;C111</f>
        <v>-- SQL_ID : 41_07</v>
      </c>
    </row>
    <row r="112" spans="2:23" ht="18.75" customHeight="1">
      <c r="B112" s="43" t="s">
        <v>158</v>
      </c>
      <c r="C112" s="147" t="str">
        <f>R115&amp;"登録"</f>
        <v>ワーク_外来_MML登録</v>
      </c>
      <c r="D112" s="148"/>
      <c r="E112" s="148"/>
      <c r="F112" s="148"/>
      <c r="G112" s="148"/>
      <c r="H112" s="148"/>
      <c r="I112" s="148"/>
      <c r="J112" s="148"/>
      <c r="K112" s="148"/>
      <c r="L112" s="148"/>
      <c r="M112" s="148"/>
      <c r="N112" s="148"/>
      <c r="O112" s="148"/>
      <c r="P112" s="148"/>
      <c r="Q112" s="148"/>
      <c r="R112" s="148"/>
      <c r="S112" s="148"/>
      <c r="T112" s="148"/>
      <c r="U112" s="149"/>
      <c r="W112" s="35" t="str">
        <f>"-- "&amp;C112</f>
        <v>-- ワーク_外来_MML登録</v>
      </c>
    </row>
    <row r="113" spans="2:23" ht="18.75" customHeight="1">
      <c r="B113" s="43" t="s">
        <v>159</v>
      </c>
      <c r="C113" s="136" t="str">
        <f>"MMLの患者データを抽出し、"&amp;R115&amp;"テーブルに格納する。"</f>
        <v>MMLの患者データを抽出し、ワーク_外来_MMLテーブルに格納する。</v>
      </c>
      <c r="D113" s="137"/>
      <c r="E113" s="137"/>
      <c r="F113" s="137"/>
      <c r="G113" s="137"/>
      <c r="H113" s="137"/>
      <c r="I113" s="137"/>
      <c r="J113" s="137"/>
      <c r="K113" s="137"/>
      <c r="L113" s="137"/>
      <c r="M113" s="137"/>
      <c r="N113" s="137"/>
      <c r="O113" s="137"/>
      <c r="P113" s="137"/>
      <c r="Q113" s="137"/>
      <c r="R113" s="137"/>
      <c r="S113" s="137"/>
      <c r="T113" s="137"/>
      <c r="U113" s="138"/>
      <c r="W113" s="35" t="str">
        <f>"-- "&amp;C113</f>
        <v>-- MMLの患者データを抽出し、ワーク_外来_MMLテーブルに格納する。</v>
      </c>
    </row>
    <row r="115" spans="2:23" ht="18.75" customHeight="1">
      <c r="C115" s="139" t="s">
        <v>3684</v>
      </c>
      <c r="D115" s="140"/>
      <c r="E115" s="145" t="str">
        <f>エンティティ一覧!$O$2</f>
        <v>milscm_2023_009</v>
      </c>
      <c r="F115" s="36"/>
      <c r="G115" s="36"/>
      <c r="H115" s="36"/>
      <c r="I115" s="36"/>
      <c r="J115" s="36"/>
      <c r="K115" s="36"/>
      <c r="L115" s="36"/>
      <c r="M115" s="36"/>
      <c r="N115" s="36"/>
      <c r="O115" s="36"/>
      <c r="R115" s="139" t="s">
        <v>4136</v>
      </c>
      <c r="S115" s="140"/>
      <c r="T115" s="145" t="str">
        <f>エンティティ一覧!$O$2</f>
        <v>milscm_2023_009</v>
      </c>
    </row>
    <row r="116" spans="2:23" ht="18.75" customHeight="1">
      <c r="C116" s="141"/>
      <c r="D116" s="142"/>
      <c r="E116" s="146"/>
      <c r="F116" s="37"/>
      <c r="G116" s="37"/>
      <c r="H116" s="37"/>
      <c r="I116" s="37"/>
      <c r="J116" s="37"/>
      <c r="K116" s="37"/>
      <c r="L116" s="37"/>
      <c r="M116" s="37"/>
      <c r="N116" s="37"/>
      <c r="O116" s="37"/>
      <c r="P116" s="37"/>
      <c r="Q116" s="38"/>
      <c r="R116" s="141"/>
      <c r="S116" s="142"/>
      <c r="T116" s="146"/>
    </row>
    <row r="117" spans="2:23" ht="18.75" customHeight="1">
      <c r="P117" s="39"/>
      <c r="Q117" s="40"/>
    </row>
    <row r="118" spans="2:23" ht="18.75" customHeight="1">
      <c r="H118" s="139" t="s">
        <v>3732</v>
      </c>
      <c r="I118" s="140"/>
      <c r="J118" s="145" t="str">
        <f>エンティティ一覧!$O$2</f>
        <v>milscm_2023_009</v>
      </c>
      <c r="M118" s="36"/>
      <c r="N118" s="36"/>
      <c r="O118" s="36"/>
      <c r="Q118" s="41"/>
    </row>
    <row r="119" spans="2:23" ht="18.75" customHeight="1">
      <c r="H119" s="141"/>
      <c r="I119" s="142"/>
      <c r="J119" s="146"/>
      <c r="K119" s="37"/>
      <c r="L119" s="38"/>
      <c r="M119" s="37"/>
      <c r="N119" s="37"/>
      <c r="O119" s="37"/>
      <c r="P119" s="37"/>
    </row>
    <row r="120" spans="2:23" ht="18.75" customHeight="1">
      <c r="K120" s="39"/>
      <c r="L120" s="40"/>
    </row>
    <row r="121" spans="2:23" ht="18.75" customHeight="1">
      <c r="H121" s="139" t="s">
        <v>187</v>
      </c>
      <c r="I121" s="140"/>
      <c r="J121" s="145" t="str">
        <f>エンティティ一覧!$O$2</f>
        <v>milscm_2023_009</v>
      </c>
      <c r="L121" s="41"/>
    </row>
    <row r="122" spans="2:23" ht="18.75" customHeight="1">
      <c r="H122" s="141"/>
      <c r="I122" s="142"/>
      <c r="J122" s="146"/>
      <c r="K122" s="37"/>
    </row>
    <row r="124" spans="2:23" ht="18.75" customHeight="1" thickBot="1">
      <c r="B124" s="42"/>
      <c r="C124" s="42"/>
      <c r="D124" s="42"/>
      <c r="E124" s="42"/>
      <c r="F124" s="42"/>
      <c r="G124" s="42"/>
      <c r="H124" s="42"/>
      <c r="I124" s="42"/>
      <c r="J124" s="42"/>
      <c r="K124" s="42"/>
      <c r="L124" s="42"/>
      <c r="M124" s="42"/>
      <c r="N124" s="42"/>
      <c r="O124" s="42"/>
      <c r="P124" s="42"/>
      <c r="Q124" s="42"/>
      <c r="R124" s="42"/>
      <c r="S124" s="42"/>
      <c r="T124" s="42"/>
      <c r="U124" s="42"/>
    </row>
    <row r="126" spans="2:23" ht="18.75" customHeight="1">
      <c r="B126" s="43" t="s">
        <v>163</v>
      </c>
      <c r="C126" s="51" t="s">
        <v>4130</v>
      </c>
      <c r="D126" s="113"/>
      <c r="W126" s="35" t="str">
        <f>"-- "&amp;B126&amp;" : "&amp;C126</f>
        <v>-- SQL_ID : 41_08</v>
      </c>
    </row>
    <row r="127" spans="2:23" ht="18.75" customHeight="1">
      <c r="B127" s="43" t="s">
        <v>158</v>
      </c>
      <c r="C127" s="147" t="str">
        <f>R130&amp;"登録"</f>
        <v>ワーク_外来登録</v>
      </c>
      <c r="D127" s="148"/>
      <c r="E127" s="148"/>
      <c r="F127" s="148"/>
      <c r="G127" s="148"/>
      <c r="H127" s="148"/>
      <c r="I127" s="148"/>
      <c r="J127" s="148"/>
      <c r="K127" s="148"/>
      <c r="L127" s="148"/>
      <c r="M127" s="148"/>
      <c r="N127" s="148"/>
      <c r="O127" s="148"/>
      <c r="P127" s="148"/>
      <c r="Q127" s="148"/>
      <c r="R127" s="148"/>
      <c r="S127" s="148"/>
      <c r="T127" s="148"/>
      <c r="U127" s="149"/>
      <c r="W127" s="35" t="str">
        <f>"-- "&amp;C127</f>
        <v>-- ワーク_外来登録</v>
      </c>
    </row>
    <row r="128" spans="2:23" ht="18.75" customHeight="1">
      <c r="B128" s="43" t="s">
        <v>159</v>
      </c>
      <c r="C128" s="136" t="str">
        <f>"DPC、MMLの外来データを抽出し、"&amp;R130&amp;"テーブルに格納する。"</f>
        <v>DPC、MMLの外来データを抽出し、ワーク_外来テーブルに格納する。</v>
      </c>
      <c r="D128" s="137"/>
      <c r="E128" s="137"/>
      <c r="F128" s="137"/>
      <c r="G128" s="137"/>
      <c r="H128" s="137"/>
      <c r="I128" s="137"/>
      <c r="J128" s="137"/>
      <c r="K128" s="137"/>
      <c r="L128" s="137"/>
      <c r="M128" s="137"/>
      <c r="N128" s="137"/>
      <c r="O128" s="137"/>
      <c r="P128" s="137"/>
      <c r="Q128" s="137"/>
      <c r="R128" s="137"/>
      <c r="S128" s="137"/>
      <c r="T128" s="137"/>
      <c r="U128" s="138"/>
      <c r="W128" s="35" t="str">
        <f>"-- "&amp;C128</f>
        <v>-- DPC、MMLの外来データを抽出し、ワーク_外来テーブルに格納する。</v>
      </c>
    </row>
    <row r="130" spans="2:23" ht="18.75" customHeight="1">
      <c r="C130" s="139" t="s">
        <v>4134</v>
      </c>
      <c r="D130" s="140"/>
      <c r="E130" s="145" t="str">
        <f>エンティティ一覧!$O$2</f>
        <v>milscm_2023_009</v>
      </c>
      <c r="H130" s="36"/>
      <c r="I130" s="36"/>
      <c r="J130" s="36"/>
      <c r="K130" s="36"/>
      <c r="L130" s="36"/>
      <c r="M130" s="36"/>
      <c r="N130" s="36"/>
      <c r="O130" s="36"/>
      <c r="P130" s="36"/>
      <c r="Q130" s="36"/>
      <c r="R130" s="139" t="s">
        <v>4138</v>
      </c>
      <c r="S130" s="140"/>
      <c r="T130" s="145" t="str">
        <f>エンティティ一覧!$O$2</f>
        <v>milscm_2023_009</v>
      </c>
    </row>
    <row r="131" spans="2:23" ht="18.75" customHeight="1">
      <c r="C131" s="141"/>
      <c r="D131" s="142"/>
      <c r="E131" s="146"/>
      <c r="F131" s="37"/>
      <c r="G131" s="38"/>
      <c r="H131" s="37"/>
      <c r="I131" s="37"/>
      <c r="J131" s="37"/>
      <c r="K131" s="37"/>
      <c r="L131" s="37"/>
      <c r="M131" s="37"/>
      <c r="N131" s="37"/>
      <c r="O131" s="37"/>
      <c r="P131" s="37"/>
      <c r="Q131" s="37"/>
      <c r="R131" s="141"/>
      <c r="S131" s="142"/>
      <c r="T131" s="146"/>
    </row>
    <row r="132" spans="2:23" ht="18.75" customHeight="1">
      <c r="F132" s="39"/>
      <c r="G132" s="40"/>
    </row>
    <row r="133" spans="2:23" ht="18.75" customHeight="1">
      <c r="C133" s="139" t="s">
        <v>4136</v>
      </c>
      <c r="D133" s="140"/>
      <c r="E133" s="145" t="str">
        <f>エンティティ一覧!$O$2</f>
        <v>milscm_2023_009</v>
      </c>
      <c r="G133" s="41"/>
    </row>
    <row r="134" spans="2:23" ht="18.75" customHeight="1">
      <c r="C134" s="141"/>
      <c r="D134" s="142"/>
      <c r="E134" s="146"/>
      <c r="F134" s="37"/>
    </row>
    <row r="136" spans="2:23" ht="18.75" customHeight="1" thickBot="1">
      <c r="B136" s="42"/>
      <c r="C136" s="42"/>
      <c r="D136" s="42"/>
      <c r="E136" s="42"/>
      <c r="F136" s="42"/>
      <c r="G136" s="42"/>
      <c r="H136" s="42"/>
      <c r="I136" s="42"/>
      <c r="J136" s="42"/>
      <c r="K136" s="42"/>
      <c r="L136" s="42"/>
      <c r="M136" s="42"/>
      <c r="N136" s="42"/>
      <c r="O136" s="42"/>
      <c r="P136" s="42"/>
      <c r="Q136" s="42"/>
      <c r="R136" s="42"/>
      <c r="S136" s="42"/>
      <c r="T136" s="42"/>
      <c r="U136" s="42"/>
    </row>
    <row r="138" spans="2:23" ht="18.75" customHeight="1">
      <c r="B138" s="43" t="s">
        <v>163</v>
      </c>
      <c r="C138" s="51" t="s">
        <v>4133</v>
      </c>
      <c r="D138" s="113"/>
      <c r="W138" s="35" t="str">
        <f>"-- "&amp;B138&amp;" : "&amp;C138</f>
        <v>-- SQL_ID : 41_09</v>
      </c>
    </row>
    <row r="139" spans="2:23" ht="18.75" customHeight="1">
      <c r="B139" s="43" t="s">
        <v>158</v>
      </c>
      <c r="C139" s="147" t="str">
        <f>R142&amp;"登録"</f>
        <v>ワーク_処方データ登録</v>
      </c>
      <c r="D139" s="148"/>
      <c r="E139" s="148"/>
      <c r="F139" s="148"/>
      <c r="G139" s="148"/>
      <c r="H139" s="148"/>
      <c r="I139" s="148"/>
      <c r="J139" s="148"/>
      <c r="K139" s="148"/>
      <c r="L139" s="148"/>
      <c r="M139" s="148"/>
      <c r="N139" s="148"/>
      <c r="O139" s="148"/>
      <c r="P139" s="148"/>
      <c r="Q139" s="148"/>
      <c r="R139" s="148"/>
      <c r="S139" s="148"/>
      <c r="T139" s="148"/>
      <c r="U139" s="149"/>
      <c r="W139" s="35" t="str">
        <f>"-- "&amp;C139</f>
        <v>-- ワーク_処方データ登録</v>
      </c>
    </row>
    <row r="140" spans="2:23" ht="18.75" customHeight="1">
      <c r="B140" s="43" t="s">
        <v>159</v>
      </c>
      <c r="C140" s="136" t="str">
        <f>"処方データを抽出し、"&amp;R142&amp;"テーブルに格納する。"</f>
        <v>処方データを抽出し、ワーク_処方データテーブルに格納する。</v>
      </c>
      <c r="D140" s="137"/>
      <c r="E140" s="137"/>
      <c r="F140" s="137"/>
      <c r="G140" s="137"/>
      <c r="H140" s="137"/>
      <c r="I140" s="137"/>
      <c r="J140" s="137"/>
      <c r="K140" s="137"/>
      <c r="L140" s="137"/>
      <c r="M140" s="137"/>
      <c r="N140" s="137"/>
      <c r="O140" s="137"/>
      <c r="P140" s="137"/>
      <c r="Q140" s="137"/>
      <c r="R140" s="137"/>
      <c r="S140" s="137"/>
      <c r="T140" s="137"/>
      <c r="U140" s="138"/>
      <c r="W140" s="35" t="str">
        <f>"-- "&amp;C140</f>
        <v>-- 処方データを抽出し、ワーク_処方データテーブルに格納する。</v>
      </c>
    </row>
    <row r="142" spans="2:23" ht="18.75" customHeight="1">
      <c r="C142" s="139" t="s">
        <v>4140</v>
      </c>
      <c r="D142" s="140"/>
      <c r="E142" s="145" t="str">
        <f>エンティティ一覧!$O$2</f>
        <v>milscm_2023_009</v>
      </c>
      <c r="F142" s="36"/>
      <c r="G142" s="36"/>
      <c r="H142" s="36"/>
      <c r="I142" s="36"/>
      <c r="J142" s="36"/>
      <c r="M142" s="36"/>
      <c r="N142" s="36"/>
      <c r="O142" s="36"/>
      <c r="R142" s="139" t="s">
        <v>4152</v>
      </c>
      <c r="S142" s="140"/>
      <c r="T142" s="145" t="str">
        <f>エンティティ一覧!$O$2</f>
        <v>milscm_2023_009</v>
      </c>
    </row>
    <row r="143" spans="2:23" ht="18.75" customHeight="1">
      <c r="C143" s="141"/>
      <c r="D143" s="142"/>
      <c r="E143" s="146"/>
      <c r="F143" s="37"/>
      <c r="G143" s="37"/>
      <c r="H143" s="37"/>
      <c r="I143" s="37"/>
      <c r="J143" s="37"/>
      <c r="K143" s="37"/>
      <c r="L143" s="38"/>
      <c r="M143" s="37"/>
      <c r="N143" s="37"/>
      <c r="O143" s="37"/>
      <c r="P143" s="37"/>
      <c r="Q143" s="38"/>
      <c r="R143" s="141"/>
      <c r="S143" s="142"/>
      <c r="T143" s="146"/>
    </row>
    <row r="144" spans="2:23" ht="18.75" customHeight="1">
      <c r="K144" s="39"/>
      <c r="L144" s="40"/>
      <c r="P144" s="39"/>
      <c r="Q144" s="40"/>
    </row>
    <row r="145" spans="2:23" ht="18.75" customHeight="1">
      <c r="H145" s="139" t="s">
        <v>4086</v>
      </c>
      <c r="I145" s="140"/>
      <c r="J145" s="145" t="str">
        <f>エンティティ一覧!$O$2</f>
        <v>milscm_2023_009</v>
      </c>
      <c r="L145" s="41"/>
      <c r="P145" s="39"/>
      <c r="Q145" s="40"/>
    </row>
    <row r="146" spans="2:23" ht="18.75" customHeight="1">
      <c r="H146" s="141"/>
      <c r="I146" s="142"/>
      <c r="J146" s="146"/>
      <c r="K146" s="37"/>
      <c r="P146" s="39"/>
      <c r="Q146" s="40"/>
    </row>
    <row r="147" spans="2:23" ht="18.75" customHeight="1">
      <c r="P147" s="39"/>
      <c r="Q147" s="40"/>
    </row>
    <row r="148" spans="2:23" ht="18.75" customHeight="1">
      <c r="H148" s="139" t="s">
        <v>3732</v>
      </c>
      <c r="I148" s="140"/>
      <c r="J148" s="145" t="str">
        <f>エンティティ一覧!$O$2</f>
        <v>milscm_2023_009</v>
      </c>
      <c r="M148" s="36"/>
      <c r="N148" s="36"/>
      <c r="O148" s="36"/>
      <c r="Q148" s="41"/>
    </row>
    <row r="149" spans="2:23" ht="18.75" customHeight="1">
      <c r="H149" s="141"/>
      <c r="I149" s="142"/>
      <c r="J149" s="146"/>
      <c r="K149" s="37"/>
      <c r="L149" s="38"/>
      <c r="M149" s="37"/>
      <c r="N149" s="37"/>
      <c r="O149" s="37"/>
      <c r="P149" s="37"/>
    </row>
    <row r="150" spans="2:23" ht="18.75" customHeight="1">
      <c r="K150" s="39"/>
      <c r="L150" s="40"/>
    </row>
    <row r="151" spans="2:23" ht="18.75" customHeight="1">
      <c r="H151" s="139" t="s">
        <v>187</v>
      </c>
      <c r="I151" s="140"/>
      <c r="J151" s="145" t="str">
        <f>エンティティ一覧!$O$2</f>
        <v>milscm_2023_009</v>
      </c>
      <c r="L151" s="41"/>
    </row>
    <row r="152" spans="2:23" ht="18.75" customHeight="1">
      <c r="H152" s="141"/>
      <c r="I152" s="142"/>
      <c r="J152" s="146"/>
      <c r="K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4135</v>
      </c>
      <c r="D156" s="113"/>
      <c r="W156" s="35" t="str">
        <f>"-- "&amp;B156&amp;" : "&amp;C156</f>
        <v>-- SQL_ID : 41_10</v>
      </c>
    </row>
    <row r="157" spans="2:23" ht="18.75" customHeight="1">
      <c r="B157" s="43" t="s">
        <v>158</v>
      </c>
      <c r="C157" s="147" t="str">
        <f>R160&amp;"登録"</f>
        <v>ワーク_診療行為データ登録</v>
      </c>
      <c r="D157" s="148"/>
      <c r="E157" s="148"/>
      <c r="F157" s="148"/>
      <c r="G157" s="148"/>
      <c r="H157" s="148"/>
      <c r="I157" s="148"/>
      <c r="J157" s="148"/>
      <c r="K157" s="148"/>
      <c r="L157" s="148"/>
      <c r="M157" s="148"/>
      <c r="N157" s="148"/>
      <c r="O157" s="148"/>
      <c r="P157" s="148"/>
      <c r="Q157" s="148"/>
      <c r="R157" s="148"/>
      <c r="S157" s="148"/>
      <c r="T157" s="148"/>
      <c r="U157" s="149"/>
      <c r="W157" s="35" t="str">
        <f>"-- "&amp;C157</f>
        <v>-- ワーク_診療行為データ登録</v>
      </c>
    </row>
    <row r="158" spans="2:23" ht="18.75" customHeight="1">
      <c r="B158" s="43" t="s">
        <v>159</v>
      </c>
      <c r="C158" s="136" t="str">
        <f>"診療行為データを抽出し、"&amp;R160&amp;"テーブルに格納する。"</f>
        <v>診療行為データを抽出し、ワーク_診療行為データテーブルに格納する。</v>
      </c>
      <c r="D158" s="137"/>
      <c r="E158" s="137"/>
      <c r="F158" s="137"/>
      <c r="G158" s="137"/>
      <c r="H158" s="137"/>
      <c r="I158" s="137"/>
      <c r="J158" s="137"/>
      <c r="K158" s="137"/>
      <c r="L158" s="137"/>
      <c r="M158" s="137"/>
      <c r="N158" s="137"/>
      <c r="O158" s="137"/>
      <c r="P158" s="137"/>
      <c r="Q158" s="137"/>
      <c r="R158" s="137"/>
      <c r="S158" s="137"/>
      <c r="T158" s="137"/>
      <c r="U158" s="138"/>
      <c r="W158" s="35" t="str">
        <f>"-- "&amp;C158</f>
        <v>-- 診療行為データを抽出し、ワーク_診療行為データテーブルに格納する。</v>
      </c>
    </row>
    <row r="160" spans="2:23" ht="18.75" customHeight="1">
      <c r="C160" s="139" t="s">
        <v>3692</v>
      </c>
      <c r="D160" s="140"/>
      <c r="E160" s="145" t="str">
        <f>エンティティ一覧!$O$2</f>
        <v>milscm_2023_009</v>
      </c>
      <c r="F160" s="36"/>
      <c r="G160" s="36"/>
      <c r="H160" s="36"/>
      <c r="I160" s="36"/>
      <c r="J160" s="36"/>
      <c r="M160" s="36"/>
      <c r="N160" s="36"/>
      <c r="O160" s="36"/>
      <c r="R160" s="139" t="s">
        <v>4143</v>
      </c>
      <c r="S160" s="140"/>
      <c r="T160" s="145" t="str">
        <f>エンティティ一覧!$O$2</f>
        <v>milscm_2023_009</v>
      </c>
    </row>
    <row r="161" spans="2:23" ht="18.75" customHeight="1">
      <c r="C161" s="141"/>
      <c r="D161" s="142"/>
      <c r="E161" s="146"/>
      <c r="F161" s="37"/>
      <c r="G161" s="37"/>
      <c r="H161" s="37"/>
      <c r="I161" s="37"/>
      <c r="J161" s="37"/>
      <c r="K161" s="37"/>
      <c r="L161" s="38"/>
      <c r="M161" s="37"/>
      <c r="N161" s="37"/>
      <c r="O161" s="37"/>
      <c r="P161" s="37"/>
      <c r="Q161" s="38"/>
      <c r="R161" s="141"/>
      <c r="S161" s="142"/>
      <c r="T161" s="146"/>
    </row>
    <row r="162" spans="2:23" ht="18.75" customHeight="1">
      <c r="K162" s="39"/>
      <c r="L162" s="40"/>
      <c r="P162" s="39"/>
      <c r="Q162" s="40"/>
    </row>
    <row r="163" spans="2:23" ht="18.75" customHeight="1">
      <c r="H163" s="139" t="s">
        <v>4084</v>
      </c>
      <c r="I163" s="140"/>
      <c r="J163" s="145" t="str">
        <f>エンティティ一覧!$O$2</f>
        <v>milscm_2023_009</v>
      </c>
      <c r="L163" s="41"/>
      <c r="P163" s="39"/>
      <c r="Q163" s="40"/>
    </row>
    <row r="164" spans="2:23" ht="18.75" customHeight="1">
      <c r="H164" s="141"/>
      <c r="I164" s="142"/>
      <c r="J164" s="146"/>
      <c r="K164" s="37"/>
      <c r="P164" s="39"/>
      <c r="Q164" s="40"/>
    </row>
    <row r="165" spans="2:23" ht="18.75" customHeight="1">
      <c r="P165" s="39"/>
      <c r="Q165" s="40"/>
    </row>
    <row r="166" spans="2:23" ht="18.75" customHeight="1">
      <c r="H166" s="139" t="s">
        <v>3732</v>
      </c>
      <c r="I166" s="140"/>
      <c r="J166" s="145" t="str">
        <f>エンティティ一覧!$O$2</f>
        <v>milscm_2023_009</v>
      </c>
      <c r="M166" s="36"/>
      <c r="N166" s="36"/>
      <c r="O166" s="36"/>
      <c r="Q166" s="41"/>
    </row>
    <row r="167" spans="2:23" ht="18.75" customHeight="1">
      <c r="H167" s="141"/>
      <c r="I167" s="142"/>
      <c r="J167" s="146"/>
      <c r="K167" s="37"/>
      <c r="L167" s="38"/>
      <c r="M167" s="37"/>
      <c r="N167" s="37"/>
      <c r="O167" s="37"/>
      <c r="P167" s="37"/>
    </row>
    <row r="168" spans="2:23" ht="18.75" customHeight="1">
      <c r="K168" s="39"/>
      <c r="L168" s="40"/>
    </row>
    <row r="169" spans="2:23" ht="18.75" customHeight="1">
      <c r="H169" s="139" t="s">
        <v>187</v>
      </c>
      <c r="I169" s="140"/>
      <c r="J169" s="145" t="str">
        <f>エンティティ一覧!$O$2</f>
        <v>milscm_2023_009</v>
      </c>
      <c r="L169" s="41"/>
    </row>
    <row r="170" spans="2:23" ht="18.75" customHeight="1">
      <c r="H170" s="141"/>
      <c r="I170" s="142"/>
      <c r="J170" s="146"/>
      <c r="K170" s="37"/>
    </row>
    <row r="172" spans="2:23" ht="18.75" customHeight="1" thickBot="1">
      <c r="B172" s="42"/>
      <c r="C172" s="42"/>
      <c r="D172" s="42"/>
      <c r="E172" s="42"/>
      <c r="F172" s="42"/>
      <c r="G172" s="42"/>
      <c r="H172" s="42"/>
      <c r="I172" s="42"/>
      <c r="J172" s="42"/>
      <c r="K172" s="42"/>
      <c r="L172" s="42"/>
      <c r="M172" s="42"/>
      <c r="N172" s="42"/>
      <c r="O172" s="42"/>
      <c r="P172" s="42"/>
      <c r="Q172" s="42"/>
      <c r="R172" s="42"/>
      <c r="S172" s="42"/>
      <c r="T172" s="42"/>
      <c r="U172" s="42"/>
    </row>
    <row r="174" spans="2:23" ht="18.75" customHeight="1">
      <c r="B174" s="43" t="s">
        <v>163</v>
      </c>
      <c r="C174" s="51" t="s">
        <v>4137</v>
      </c>
      <c r="D174" s="113"/>
      <c r="W174" s="35" t="str">
        <f>"-- "&amp;B174&amp;" : "&amp;C174</f>
        <v>-- SQL_ID : 41_11</v>
      </c>
    </row>
    <row r="175" spans="2:23" ht="18.75" customHeight="1">
      <c r="B175" s="43" t="s">
        <v>158</v>
      </c>
      <c r="C175" s="147" t="str">
        <f>R178&amp;"登録"</f>
        <v>ワーク_検体検査データ_スキーマ2登録</v>
      </c>
      <c r="D175" s="148"/>
      <c r="E175" s="148"/>
      <c r="F175" s="148"/>
      <c r="G175" s="148"/>
      <c r="H175" s="148"/>
      <c r="I175" s="148"/>
      <c r="J175" s="148"/>
      <c r="K175" s="148"/>
      <c r="L175" s="148"/>
      <c r="M175" s="148"/>
      <c r="N175" s="148"/>
      <c r="O175" s="148"/>
      <c r="P175" s="148"/>
      <c r="Q175" s="148"/>
      <c r="R175" s="148"/>
      <c r="S175" s="148"/>
      <c r="T175" s="148"/>
      <c r="U175" s="149"/>
      <c r="W175" s="35" t="str">
        <f>"-- "&amp;C175</f>
        <v>-- ワーク_検体検査データ_スキーマ2登録</v>
      </c>
    </row>
    <row r="176" spans="2:23" ht="18.75" customHeight="1">
      <c r="B176" s="43" t="s">
        <v>159</v>
      </c>
      <c r="C176" s="136" t="str">
        <f>"MMLの検体検査データを抽出し、"&amp;R178&amp;"テーブルに格納する。"</f>
        <v>MMLの検体検査データを抽出し、ワーク_検体検査データ_スキーマ2テーブルに格納する。</v>
      </c>
      <c r="D176" s="137"/>
      <c r="E176" s="137"/>
      <c r="F176" s="137"/>
      <c r="G176" s="137"/>
      <c r="H176" s="137"/>
      <c r="I176" s="137"/>
      <c r="J176" s="137"/>
      <c r="K176" s="137"/>
      <c r="L176" s="137"/>
      <c r="M176" s="137"/>
      <c r="N176" s="137"/>
      <c r="O176" s="137"/>
      <c r="P176" s="137"/>
      <c r="Q176" s="137"/>
      <c r="R176" s="137"/>
      <c r="S176" s="137"/>
      <c r="T176" s="137"/>
      <c r="U176" s="138"/>
      <c r="W176" s="35" t="str">
        <f>"-- "&amp;C176</f>
        <v>-- MMLの検体検査データを抽出し、ワーク_検体検査データ_スキーマ2テーブルに格納する。</v>
      </c>
    </row>
    <row r="178" spans="3:20" ht="18.75" customHeight="1">
      <c r="C178" s="139" t="s">
        <v>3688</v>
      </c>
      <c r="D178" s="140"/>
      <c r="E178" s="145" t="str">
        <f>エンティティ一覧!$O$2</f>
        <v>milscm_2023_009</v>
      </c>
      <c r="F178" s="36"/>
      <c r="G178" s="36"/>
      <c r="H178" s="36"/>
      <c r="I178" s="36"/>
      <c r="J178" s="36"/>
      <c r="K178" s="36"/>
      <c r="L178" s="36"/>
      <c r="R178" s="139" t="s">
        <v>4144</v>
      </c>
      <c r="S178" s="140"/>
      <c r="T178" s="145" t="str">
        <f>エンティティ一覧!$O$2</f>
        <v>milscm_2023_009</v>
      </c>
    </row>
    <row r="179" spans="3:20" ht="18.75" customHeight="1">
      <c r="C179" s="141"/>
      <c r="D179" s="142"/>
      <c r="E179" s="146"/>
      <c r="F179" s="37"/>
      <c r="G179" s="37"/>
      <c r="H179" s="37"/>
      <c r="I179" s="37"/>
      <c r="J179" s="37"/>
      <c r="K179" s="37"/>
      <c r="L179" s="37"/>
      <c r="M179" s="37"/>
      <c r="N179" s="96"/>
      <c r="O179" s="38"/>
      <c r="P179" s="96"/>
      <c r="Q179" s="38"/>
      <c r="R179" s="141"/>
      <c r="S179" s="142"/>
      <c r="T179" s="146"/>
    </row>
    <row r="180" spans="3:20" ht="18.75" customHeight="1">
      <c r="K180" s="39"/>
      <c r="L180" s="101"/>
      <c r="M180" s="104"/>
      <c r="N180" s="39"/>
      <c r="O180" s="40"/>
      <c r="P180" s="115"/>
      <c r="Q180" s="40"/>
    </row>
    <row r="181" spans="3:20" ht="18.75" customHeight="1">
      <c r="H181" s="139" t="s">
        <v>3689</v>
      </c>
      <c r="I181" s="140"/>
      <c r="J181" s="145" t="str">
        <f>エンティティ一覧!$O$2</f>
        <v>milscm_2023_009</v>
      </c>
      <c r="L181" s="36"/>
      <c r="M181" s="105"/>
      <c r="N181" s="39"/>
      <c r="O181" s="40"/>
      <c r="P181" s="115"/>
      <c r="Q181" s="40"/>
    </row>
    <row r="182" spans="3:20" ht="18.75" customHeight="1">
      <c r="H182" s="141"/>
      <c r="I182" s="142"/>
      <c r="J182" s="146"/>
      <c r="K182" s="96"/>
      <c r="N182" s="39"/>
      <c r="O182" s="40"/>
      <c r="P182" s="115"/>
      <c r="Q182" s="40"/>
    </row>
    <row r="183" spans="3:20" ht="18.75" customHeight="1">
      <c r="K183" s="39"/>
      <c r="L183" s="40"/>
      <c r="N183" s="39"/>
      <c r="O183" s="40"/>
      <c r="P183" s="115"/>
      <c r="Q183" s="40"/>
    </row>
    <row r="184" spans="3:20" ht="18.75" customHeight="1">
      <c r="H184" s="139" t="s">
        <v>4066</v>
      </c>
      <c r="I184" s="140"/>
      <c r="J184" s="145" t="str">
        <f>エンティティ一覧!$O$2</f>
        <v>milscm_2023_009</v>
      </c>
      <c r="L184" s="41"/>
      <c r="N184" s="39"/>
      <c r="O184" s="40"/>
      <c r="P184" s="115"/>
      <c r="Q184" s="40"/>
    </row>
    <row r="185" spans="3:20" ht="18.75" customHeight="1">
      <c r="H185" s="141"/>
      <c r="I185" s="142"/>
      <c r="J185" s="146"/>
      <c r="K185" s="37"/>
      <c r="N185" s="39"/>
      <c r="O185" s="40"/>
      <c r="P185" s="115"/>
      <c r="Q185" s="40"/>
    </row>
    <row r="186" spans="3:20" ht="18.75" customHeight="1">
      <c r="N186" s="39"/>
      <c r="O186" s="40"/>
      <c r="P186" s="115"/>
      <c r="Q186" s="40"/>
    </row>
    <row r="187" spans="3:20" ht="18.75" customHeight="1">
      <c r="H187" s="139" t="s">
        <v>3690</v>
      </c>
      <c r="I187" s="140"/>
      <c r="J187" s="145" t="str">
        <f>エンティティ一覧!$O$2</f>
        <v>milscm_2023_009</v>
      </c>
      <c r="M187" s="36"/>
      <c r="O187" s="41"/>
      <c r="P187" s="115"/>
      <c r="Q187" s="40"/>
    </row>
    <row r="188" spans="3:20" ht="18.75" customHeight="1">
      <c r="H188" s="141"/>
      <c r="I188" s="142"/>
      <c r="J188" s="146"/>
      <c r="K188" s="37"/>
      <c r="L188" s="38"/>
      <c r="M188" s="37"/>
      <c r="N188" s="37"/>
      <c r="P188" s="115"/>
      <c r="Q188" s="40"/>
    </row>
    <row r="189" spans="3:20" ht="18.75" customHeight="1">
      <c r="K189" s="39"/>
      <c r="L189" s="40"/>
      <c r="P189" s="115"/>
      <c r="Q189" s="40"/>
    </row>
    <row r="190" spans="3:20" ht="18.75" customHeight="1">
      <c r="H190" s="139" t="s">
        <v>4066</v>
      </c>
      <c r="I190" s="140"/>
      <c r="J190" s="145" t="str">
        <f>エンティティ一覧!$O$2</f>
        <v>milscm_2023_009</v>
      </c>
      <c r="L190" s="41"/>
      <c r="P190" s="115"/>
      <c r="Q190" s="40"/>
    </row>
    <row r="191" spans="3:20" ht="18.75" customHeight="1">
      <c r="H191" s="141"/>
      <c r="I191" s="142"/>
      <c r="J191" s="146"/>
      <c r="K191" s="37"/>
      <c r="P191" s="115"/>
      <c r="Q191" s="40"/>
    </row>
    <row r="192" spans="3:20" ht="18.75" customHeight="1">
      <c r="P192" s="115"/>
      <c r="Q192" s="40"/>
    </row>
    <row r="193" spans="2:23" ht="18.75" customHeight="1">
      <c r="H193" s="139" t="s">
        <v>4066</v>
      </c>
      <c r="I193" s="140"/>
      <c r="J193" s="145" t="s">
        <v>4145</v>
      </c>
      <c r="K193" s="116"/>
      <c r="L193" s="36"/>
      <c r="M193" s="36"/>
      <c r="N193" s="36"/>
      <c r="O193" s="36"/>
      <c r="P193" s="114"/>
      <c r="Q193" s="41"/>
    </row>
    <row r="194" spans="2:23" ht="18.75" customHeight="1">
      <c r="H194" s="141"/>
      <c r="I194" s="142"/>
      <c r="J194" s="146"/>
      <c r="P194" s="94"/>
      <c r="Q194" s="41"/>
    </row>
    <row r="195" spans="2:23" ht="18.75" customHeight="1">
      <c r="P195" s="39"/>
      <c r="Q195" s="40"/>
    </row>
    <row r="196" spans="2:23" ht="18.75" customHeight="1">
      <c r="H196" s="139" t="s">
        <v>3732</v>
      </c>
      <c r="I196" s="140"/>
      <c r="J196" s="145" t="str">
        <f>エンティティ一覧!$O$2</f>
        <v>milscm_2023_009</v>
      </c>
      <c r="M196" s="36"/>
      <c r="N196" s="36"/>
      <c r="O196" s="36"/>
      <c r="Q196" s="41"/>
    </row>
    <row r="197" spans="2:23" ht="18.75" customHeight="1">
      <c r="H197" s="141"/>
      <c r="I197" s="142"/>
      <c r="J197" s="146"/>
      <c r="K197" s="37"/>
      <c r="L197" s="38"/>
      <c r="M197" s="37"/>
      <c r="N197" s="37"/>
      <c r="O197" s="37"/>
      <c r="P197" s="37"/>
    </row>
    <row r="198" spans="2:23" ht="18.75" customHeight="1">
      <c r="K198" s="39"/>
      <c r="L198" s="40"/>
    </row>
    <row r="199" spans="2:23" ht="18.75" customHeight="1">
      <c r="H199" s="139" t="s">
        <v>187</v>
      </c>
      <c r="I199" s="140"/>
      <c r="J199" s="145" t="str">
        <f>エンティティ一覧!$O$2</f>
        <v>milscm_2023_009</v>
      </c>
      <c r="L199" s="41"/>
    </row>
    <row r="200" spans="2:23" ht="18.75" customHeight="1">
      <c r="H200" s="141"/>
      <c r="I200" s="142"/>
      <c r="J200" s="146"/>
      <c r="K200" s="37"/>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4139</v>
      </c>
      <c r="D204" s="113"/>
      <c r="W204" s="35" t="str">
        <f>"-- "&amp;B204&amp;" : "&amp;C204</f>
        <v>-- SQL_ID : 41_12</v>
      </c>
    </row>
    <row r="205" spans="2:23" ht="18.75" customHeight="1">
      <c r="B205" s="43" t="s">
        <v>158</v>
      </c>
      <c r="C205" s="147" t="str">
        <f>R208&amp;"登録"</f>
        <v>ワーク_検体検査データ_スキーマ4登録</v>
      </c>
      <c r="D205" s="148"/>
      <c r="E205" s="148"/>
      <c r="F205" s="148"/>
      <c r="G205" s="148"/>
      <c r="H205" s="148"/>
      <c r="I205" s="148"/>
      <c r="J205" s="148"/>
      <c r="K205" s="148"/>
      <c r="L205" s="148"/>
      <c r="M205" s="148"/>
      <c r="N205" s="148"/>
      <c r="O205" s="148"/>
      <c r="P205" s="148"/>
      <c r="Q205" s="148"/>
      <c r="R205" s="148"/>
      <c r="S205" s="148"/>
      <c r="T205" s="148"/>
      <c r="U205" s="149"/>
      <c r="W205" s="35" t="str">
        <f>"-- "&amp;C205</f>
        <v>-- ワーク_検体検査データ_スキーマ4登録</v>
      </c>
    </row>
    <row r="206" spans="2:23" ht="18.75" customHeight="1">
      <c r="B206" s="43" t="s">
        <v>159</v>
      </c>
      <c r="C206" s="136" t="str">
        <f>"MML（スキーマ4）の検体検査データを抽出し、"&amp;R208&amp;"テーブルに格納する。"</f>
        <v>MML（スキーマ4）の検体検査データを抽出し、ワーク_検体検査データ_スキーマ4テーブルに格納する。</v>
      </c>
      <c r="D206" s="137"/>
      <c r="E206" s="137"/>
      <c r="F206" s="137"/>
      <c r="G206" s="137"/>
      <c r="H206" s="137"/>
      <c r="I206" s="137"/>
      <c r="J206" s="137"/>
      <c r="K206" s="137"/>
      <c r="L206" s="137"/>
      <c r="M206" s="137"/>
      <c r="N206" s="137"/>
      <c r="O206" s="137"/>
      <c r="P206" s="137"/>
      <c r="Q206" s="137"/>
      <c r="R206" s="137"/>
      <c r="S206" s="137"/>
      <c r="T206" s="137"/>
      <c r="U206" s="138"/>
      <c r="W206" s="35" t="str">
        <f>"-- "&amp;C206</f>
        <v>-- MML（スキーマ4）の検体検査データを抽出し、ワーク_検体検査データ_スキーマ4テーブルに格納する。</v>
      </c>
    </row>
    <row r="208" spans="2:23" ht="18.75" customHeight="1">
      <c r="C208" s="139" t="s">
        <v>3992</v>
      </c>
      <c r="D208" s="140"/>
      <c r="E208" s="145" t="str">
        <f>エンティティ一覧!$O$2</f>
        <v>milscm_2023_009</v>
      </c>
      <c r="F208" s="36"/>
      <c r="G208" s="36"/>
      <c r="H208" s="36"/>
      <c r="I208" s="36"/>
      <c r="J208" s="36"/>
      <c r="R208" s="139" t="s">
        <v>4147</v>
      </c>
      <c r="S208" s="140"/>
      <c r="T208" s="145" t="str">
        <f>エンティティ一覧!$O$2</f>
        <v>milscm_2023_009</v>
      </c>
    </row>
    <row r="209" spans="3:20" ht="18.75" customHeight="1">
      <c r="C209" s="141"/>
      <c r="D209" s="142"/>
      <c r="E209" s="146"/>
      <c r="F209" s="37"/>
      <c r="G209" s="37"/>
      <c r="H209" s="37"/>
      <c r="I209" s="37"/>
      <c r="J209" s="37"/>
      <c r="K209" s="37"/>
      <c r="L209" s="38"/>
      <c r="M209" s="37"/>
      <c r="N209" s="96"/>
      <c r="O209" s="38"/>
      <c r="P209" s="96"/>
      <c r="Q209" s="38"/>
      <c r="R209" s="141"/>
      <c r="S209" s="142"/>
      <c r="T209" s="146"/>
    </row>
    <row r="210" spans="3:20" ht="18.75" customHeight="1">
      <c r="F210" s="39"/>
      <c r="G210" s="101"/>
      <c r="K210" s="104"/>
      <c r="L210" s="39"/>
      <c r="M210" s="104"/>
      <c r="N210" s="39"/>
      <c r="O210" s="40"/>
      <c r="P210" s="115"/>
      <c r="Q210" s="40"/>
    </row>
    <row r="211" spans="3:20" ht="18.75" customHeight="1">
      <c r="C211" s="139" t="s">
        <v>3695</v>
      </c>
      <c r="D211" s="140"/>
      <c r="E211" s="145" t="str">
        <f>エンティティ一覧!$O$2</f>
        <v>milscm_2023_009</v>
      </c>
      <c r="F211" s="36"/>
      <c r="G211" s="36"/>
      <c r="H211" s="36"/>
      <c r="I211" s="36"/>
      <c r="J211" s="36"/>
      <c r="K211" s="105"/>
      <c r="L211" s="39"/>
      <c r="M211" s="104"/>
      <c r="N211" s="39"/>
      <c r="O211" s="40"/>
      <c r="P211" s="115"/>
      <c r="Q211" s="40"/>
    </row>
    <row r="212" spans="3:20" ht="18.75" customHeight="1">
      <c r="C212" s="141"/>
      <c r="D212" s="142"/>
      <c r="E212" s="146"/>
      <c r="F212" s="37"/>
      <c r="G212" s="37"/>
      <c r="H212" s="37"/>
      <c r="I212" s="37"/>
      <c r="J212" s="37"/>
      <c r="L212" s="39"/>
      <c r="M212" s="104"/>
      <c r="N212" s="39"/>
      <c r="O212" s="40"/>
      <c r="P212" s="115"/>
      <c r="Q212" s="40"/>
    </row>
    <row r="213" spans="3:20" ht="18.75" customHeight="1">
      <c r="K213" s="39"/>
      <c r="L213" s="101"/>
      <c r="M213" s="104"/>
      <c r="N213" s="39"/>
      <c r="O213" s="40"/>
      <c r="P213" s="115"/>
      <c r="Q213" s="40"/>
    </row>
    <row r="214" spans="3:20" ht="18.75" customHeight="1">
      <c r="H214" s="139" t="s">
        <v>3994</v>
      </c>
      <c r="I214" s="140"/>
      <c r="J214" s="145" t="str">
        <f>エンティティ一覧!$O$2</f>
        <v>milscm_2023_009</v>
      </c>
      <c r="L214" s="36"/>
      <c r="M214" s="105"/>
      <c r="N214" s="39"/>
      <c r="O214" s="40"/>
      <c r="P214" s="115"/>
      <c r="Q214" s="40"/>
    </row>
    <row r="215" spans="3:20" ht="18.75" customHeight="1">
      <c r="H215" s="141"/>
      <c r="I215" s="142"/>
      <c r="J215" s="146"/>
      <c r="K215" s="96"/>
      <c r="N215" s="39"/>
      <c r="O215" s="40"/>
      <c r="P215" s="115"/>
      <c r="Q215" s="40"/>
    </row>
    <row r="216" spans="3:20" ht="18.75" customHeight="1">
      <c r="K216" s="39"/>
      <c r="L216" s="40"/>
      <c r="N216" s="39"/>
      <c r="O216" s="40"/>
      <c r="P216" s="115"/>
      <c r="Q216" s="40"/>
    </row>
    <row r="217" spans="3:20" ht="18.75" customHeight="1">
      <c r="H217" s="139" t="s">
        <v>4066</v>
      </c>
      <c r="I217" s="140"/>
      <c r="J217" s="145" t="str">
        <f>エンティティ一覧!$O$2</f>
        <v>milscm_2023_009</v>
      </c>
      <c r="L217" s="41"/>
      <c r="N217" s="39"/>
      <c r="O217" s="40"/>
      <c r="P217" s="115"/>
      <c r="Q217" s="40"/>
    </row>
    <row r="218" spans="3:20" ht="18.75" customHeight="1">
      <c r="H218" s="141"/>
      <c r="I218" s="142"/>
      <c r="J218" s="146"/>
      <c r="K218" s="37"/>
      <c r="N218" s="39"/>
      <c r="O218" s="40"/>
      <c r="P218" s="115"/>
      <c r="Q218" s="40"/>
    </row>
    <row r="219" spans="3:20" ht="18.75" customHeight="1">
      <c r="N219" s="39"/>
      <c r="O219" s="40"/>
      <c r="P219" s="115"/>
      <c r="Q219" s="40"/>
    </row>
    <row r="220" spans="3:20" ht="18.75" customHeight="1">
      <c r="H220" s="139" t="s">
        <v>3996</v>
      </c>
      <c r="I220" s="140"/>
      <c r="J220" s="145" t="str">
        <f>エンティティ一覧!$O$2</f>
        <v>milscm_2023_009</v>
      </c>
      <c r="M220" s="36"/>
      <c r="O220" s="41"/>
      <c r="P220" s="115"/>
      <c r="Q220" s="40"/>
    </row>
    <row r="221" spans="3:20" ht="18.75" customHeight="1">
      <c r="H221" s="141"/>
      <c r="I221" s="142"/>
      <c r="J221" s="146"/>
      <c r="K221" s="37"/>
      <c r="L221" s="38"/>
      <c r="M221" s="37"/>
      <c r="N221" s="37"/>
      <c r="P221" s="115"/>
      <c r="Q221" s="40"/>
    </row>
    <row r="222" spans="3:20" ht="18.75" customHeight="1">
      <c r="K222" s="39"/>
      <c r="L222" s="40"/>
      <c r="P222" s="115"/>
      <c r="Q222" s="40"/>
    </row>
    <row r="223" spans="3:20" ht="18.75" customHeight="1">
      <c r="H223" s="139" t="s">
        <v>4066</v>
      </c>
      <c r="I223" s="140"/>
      <c r="J223" s="145" t="str">
        <f>エンティティ一覧!$O$2</f>
        <v>milscm_2023_009</v>
      </c>
      <c r="K223" s="105"/>
      <c r="L223" s="41"/>
      <c r="P223" s="115"/>
      <c r="Q223" s="40"/>
    </row>
    <row r="224" spans="3:20" ht="18.75" customHeight="1">
      <c r="H224" s="141"/>
      <c r="I224" s="142"/>
      <c r="J224" s="146"/>
      <c r="K224" s="37"/>
      <c r="P224" s="115"/>
      <c r="Q224" s="40"/>
    </row>
    <row r="225" spans="2:23" ht="18.75" customHeight="1">
      <c r="H225" s="117"/>
      <c r="I225" s="117"/>
      <c r="J225" s="117"/>
      <c r="K225" s="94"/>
      <c r="P225" s="115"/>
      <c r="Q225" s="40"/>
    </row>
    <row r="226" spans="2:23" ht="18.75" customHeight="1">
      <c r="H226" s="139" t="s">
        <v>4066</v>
      </c>
      <c r="I226" s="140"/>
      <c r="J226" s="145" t="str">
        <f>エンティティ一覧!$O$2</f>
        <v>milscm_2023_009</v>
      </c>
      <c r="K226" s="36"/>
      <c r="L226" s="36"/>
      <c r="M226" s="36"/>
      <c r="N226" s="36"/>
      <c r="O226" s="105"/>
      <c r="P226" s="114"/>
      <c r="Q226" s="41"/>
    </row>
    <row r="227" spans="2:23" ht="18.75" customHeight="1">
      <c r="H227" s="141"/>
      <c r="I227" s="142"/>
      <c r="J227" s="146"/>
      <c r="P227" s="94"/>
      <c r="Q227" s="41"/>
    </row>
    <row r="228" spans="2:23" ht="18.75" customHeight="1">
      <c r="P228" s="39"/>
      <c r="Q228" s="40"/>
    </row>
    <row r="229" spans="2:23" ht="18.75" customHeight="1">
      <c r="H229" s="139" t="s">
        <v>3732</v>
      </c>
      <c r="I229" s="140"/>
      <c r="J229" s="145" t="str">
        <f>エンティティ一覧!$O$2</f>
        <v>milscm_2023_009</v>
      </c>
      <c r="L229" s="107"/>
      <c r="M229" s="36"/>
      <c r="N229" s="36"/>
      <c r="O229" s="36"/>
      <c r="P229" s="105"/>
    </row>
    <row r="230" spans="2:23" ht="18.75" customHeight="1">
      <c r="H230" s="141"/>
      <c r="I230" s="142"/>
      <c r="J230" s="146"/>
      <c r="K230" s="37"/>
      <c r="L230" s="40"/>
    </row>
    <row r="231" spans="2:23" ht="18.75" customHeight="1">
      <c r="K231" s="39"/>
      <c r="L231" s="40"/>
    </row>
    <row r="232" spans="2:23" ht="18.75" customHeight="1">
      <c r="H232" s="139" t="s">
        <v>187</v>
      </c>
      <c r="I232" s="140"/>
      <c r="J232" s="145" t="str">
        <f>エンティティ一覧!$O$2</f>
        <v>milscm_2023_009</v>
      </c>
      <c r="L232" s="41"/>
    </row>
    <row r="233" spans="2:23" ht="18.75" customHeight="1">
      <c r="H233" s="141"/>
      <c r="I233" s="142"/>
      <c r="J233" s="146"/>
      <c r="K233" s="37"/>
    </row>
    <row r="235" spans="2:23" ht="18.75" customHeight="1" thickBot="1">
      <c r="B235" s="42"/>
      <c r="C235" s="42"/>
      <c r="D235" s="42"/>
      <c r="E235" s="42"/>
      <c r="F235" s="42"/>
      <c r="G235" s="42"/>
      <c r="H235" s="42"/>
      <c r="I235" s="42"/>
      <c r="J235" s="42"/>
      <c r="K235" s="42"/>
      <c r="L235" s="42"/>
      <c r="M235" s="42"/>
      <c r="N235" s="42"/>
      <c r="O235" s="42"/>
      <c r="P235" s="42"/>
      <c r="Q235" s="42"/>
      <c r="R235" s="42"/>
      <c r="S235" s="42"/>
      <c r="T235" s="42"/>
      <c r="U235" s="42"/>
    </row>
    <row r="237" spans="2:23" ht="18.75" customHeight="1">
      <c r="B237" s="43" t="s">
        <v>163</v>
      </c>
      <c r="C237" s="51" t="s">
        <v>4141</v>
      </c>
      <c r="D237" s="113"/>
      <c r="W237" s="35" t="str">
        <f>"-- "&amp;B237&amp;" : "&amp;C237</f>
        <v>-- SQL_ID : 41_13</v>
      </c>
    </row>
    <row r="238" spans="2:23" ht="18.75" customHeight="1">
      <c r="B238" s="43" t="s">
        <v>158</v>
      </c>
      <c r="C238" s="147" t="str">
        <f>R241&amp;"登録"</f>
        <v>ワーク_検体検査データ登録</v>
      </c>
      <c r="D238" s="148"/>
      <c r="E238" s="148"/>
      <c r="F238" s="148"/>
      <c r="G238" s="148"/>
      <c r="H238" s="148"/>
      <c r="I238" s="148"/>
      <c r="J238" s="148"/>
      <c r="K238" s="148"/>
      <c r="L238" s="148"/>
      <c r="M238" s="148"/>
      <c r="N238" s="148"/>
      <c r="O238" s="148"/>
      <c r="P238" s="148"/>
      <c r="Q238" s="148"/>
      <c r="R238" s="148"/>
      <c r="S238" s="148"/>
      <c r="T238" s="148"/>
      <c r="U238" s="149"/>
      <c r="W238" s="35" t="str">
        <f>"-- "&amp;C238</f>
        <v>-- ワーク_検体検査データ登録</v>
      </c>
    </row>
    <row r="239" spans="2:23" ht="18.75" customHeight="1">
      <c r="B239" s="43" t="s">
        <v>159</v>
      </c>
      <c r="C239" s="136" t="str">
        <f>"MMLの検体検査データを抽出し、"&amp;R241&amp;"テーブルに格納する。"</f>
        <v>MMLの検体検査データを抽出し、ワーク_検体検査データテーブルに格納する。</v>
      </c>
      <c r="D239" s="137"/>
      <c r="E239" s="137"/>
      <c r="F239" s="137"/>
      <c r="G239" s="137"/>
      <c r="H239" s="137"/>
      <c r="I239" s="137"/>
      <c r="J239" s="137"/>
      <c r="K239" s="137"/>
      <c r="L239" s="137"/>
      <c r="M239" s="137"/>
      <c r="N239" s="137"/>
      <c r="O239" s="137"/>
      <c r="P239" s="137"/>
      <c r="Q239" s="137"/>
      <c r="R239" s="137"/>
      <c r="S239" s="137"/>
      <c r="T239" s="137"/>
      <c r="U239" s="138"/>
      <c r="W239" s="35" t="str">
        <f>"-- "&amp;C239</f>
        <v>-- MMLの検体検査データを抽出し、ワーク_検体検査データテーブルに格納する。</v>
      </c>
    </row>
    <row r="241" spans="1:23" ht="18.75" customHeight="1">
      <c r="C241" s="139" t="s">
        <v>4144</v>
      </c>
      <c r="D241" s="140"/>
      <c r="E241" s="145" t="str">
        <f>エンティティ一覧!$O$2</f>
        <v>milscm_2023_009</v>
      </c>
      <c r="H241" s="36"/>
      <c r="I241" s="36"/>
      <c r="J241" s="36"/>
      <c r="K241" s="36"/>
      <c r="L241" s="36"/>
      <c r="M241" s="36"/>
      <c r="N241" s="36"/>
      <c r="O241" s="36"/>
      <c r="P241" s="36"/>
      <c r="Q241" s="36"/>
      <c r="R241" s="139" t="s">
        <v>4148</v>
      </c>
      <c r="S241" s="140"/>
      <c r="T241" s="145" t="str">
        <f>エンティティ一覧!$O$2</f>
        <v>milscm_2023_009</v>
      </c>
    </row>
    <row r="242" spans="1:23" ht="18.75" customHeight="1">
      <c r="C242" s="141"/>
      <c r="D242" s="142"/>
      <c r="E242" s="146"/>
      <c r="F242" s="37"/>
      <c r="G242" s="38"/>
      <c r="H242" s="37"/>
      <c r="I242" s="37"/>
      <c r="J242" s="37"/>
      <c r="K242" s="37"/>
      <c r="L242" s="37"/>
      <c r="M242" s="37"/>
      <c r="N242" s="37"/>
      <c r="O242" s="37"/>
      <c r="P242" s="37"/>
      <c r="Q242" s="37"/>
      <c r="R242" s="141"/>
      <c r="S242" s="142"/>
      <c r="T242" s="146"/>
    </row>
    <row r="243" spans="1:23" ht="18.75" customHeight="1">
      <c r="F243" s="39"/>
      <c r="G243" s="40"/>
    </row>
    <row r="244" spans="1:23" ht="18.75" customHeight="1">
      <c r="C244" s="139" t="s">
        <v>4147</v>
      </c>
      <c r="D244" s="140"/>
      <c r="E244" s="145" t="str">
        <f>エンティティ一覧!$O$2</f>
        <v>milscm_2023_009</v>
      </c>
      <c r="G244" s="41"/>
    </row>
    <row r="245" spans="1:23" ht="18.75" customHeight="1">
      <c r="C245" s="141"/>
      <c r="D245" s="142"/>
      <c r="E245" s="146"/>
      <c r="F245" s="37"/>
    </row>
    <row r="247" spans="1: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1:23" ht="18.75" customHeight="1">
      <c r="A249" s="77"/>
      <c r="B249" s="43" t="s">
        <v>163</v>
      </c>
      <c r="C249" s="51" t="s">
        <v>4142</v>
      </c>
      <c r="D249" s="113"/>
      <c r="W249" s="35" t="str">
        <f>"-- "&amp;B249&amp;" : "&amp;C249</f>
        <v>-- SQL_ID : 41_14</v>
      </c>
    </row>
    <row r="250" spans="1:23" ht="18.75" customHeight="1">
      <c r="B250" s="43" t="s">
        <v>158</v>
      </c>
      <c r="C250" s="147" t="str">
        <f>R253&amp;"登録"</f>
        <v>ワーク_身長体重データ_DPC登録</v>
      </c>
      <c r="D250" s="148"/>
      <c r="E250" s="148"/>
      <c r="F250" s="148"/>
      <c r="G250" s="148"/>
      <c r="H250" s="148"/>
      <c r="I250" s="148"/>
      <c r="J250" s="148"/>
      <c r="K250" s="148"/>
      <c r="L250" s="148"/>
      <c r="M250" s="148"/>
      <c r="N250" s="148"/>
      <c r="O250" s="148"/>
      <c r="P250" s="148"/>
      <c r="Q250" s="148"/>
      <c r="R250" s="148"/>
      <c r="S250" s="148"/>
      <c r="T250" s="148"/>
      <c r="U250" s="149"/>
      <c r="W250" s="35" t="str">
        <f>"-- "&amp;C250</f>
        <v>-- ワーク_身長体重データ_DPC登録</v>
      </c>
    </row>
    <row r="251" spans="1:23" ht="18.75" customHeight="1">
      <c r="B251" s="43" t="s">
        <v>159</v>
      </c>
      <c r="C251" s="136" t="str">
        <f>"DPCの身長体重データを抽出し、"&amp;R253&amp;"テーブルに格納する。"</f>
        <v>DPCの身長体重データを抽出し、ワーク_身長体重データ_DPCテーブルに格納する。</v>
      </c>
      <c r="D251" s="137"/>
      <c r="E251" s="137"/>
      <c r="F251" s="137"/>
      <c r="G251" s="137"/>
      <c r="H251" s="137"/>
      <c r="I251" s="137"/>
      <c r="J251" s="137"/>
      <c r="K251" s="137"/>
      <c r="L251" s="137"/>
      <c r="M251" s="137"/>
      <c r="N251" s="137"/>
      <c r="O251" s="137"/>
      <c r="P251" s="137"/>
      <c r="Q251" s="137"/>
      <c r="R251" s="137"/>
      <c r="S251" s="137"/>
      <c r="T251" s="137"/>
      <c r="U251" s="138"/>
      <c r="W251" s="35" t="str">
        <f>"-- "&amp;C251</f>
        <v>-- DPCの身長体重データを抽出し、ワーク_身長体重データ_DPCテーブルに格納する。</v>
      </c>
    </row>
    <row r="253" spans="1:23" ht="18.75" customHeight="1">
      <c r="C253" s="139" t="s">
        <v>311</v>
      </c>
      <c r="D253" s="140"/>
      <c r="E253" s="145" t="str">
        <f>エンティティ一覧!$O$2</f>
        <v>milscm_2023_009</v>
      </c>
      <c r="F253" s="36"/>
      <c r="G253" s="36"/>
      <c r="H253" s="36"/>
      <c r="I253" s="36"/>
      <c r="J253" s="36"/>
      <c r="K253" s="36"/>
      <c r="L253" s="36"/>
      <c r="M253" s="36"/>
      <c r="N253" s="36"/>
      <c r="O253" s="36"/>
      <c r="R253" s="139" t="s">
        <v>4155</v>
      </c>
      <c r="S253" s="140"/>
      <c r="T253" s="145" t="str">
        <f>エンティティ一覧!$O$2</f>
        <v>milscm_2023_009</v>
      </c>
      <c r="W253" s="35" t="s">
        <v>3668</v>
      </c>
    </row>
    <row r="254" spans="1:23" ht="18.75" customHeight="1">
      <c r="C254" s="141"/>
      <c r="D254" s="142"/>
      <c r="E254" s="146"/>
      <c r="F254" s="37"/>
      <c r="G254" s="37"/>
      <c r="H254" s="37"/>
      <c r="I254" s="37"/>
      <c r="J254" s="37"/>
      <c r="K254" s="37"/>
      <c r="L254" s="37"/>
      <c r="M254" s="37"/>
      <c r="N254" s="37"/>
      <c r="O254" s="37"/>
      <c r="P254" s="37"/>
      <c r="Q254" s="38"/>
      <c r="R254" s="141"/>
      <c r="S254" s="142"/>
      <c r="T254" s="146"/>
    </row>
    <row r="255" spans="1:23" ht="18.75" customHeight="1">
      <c r="P255" s="39"/>
      <c r="Q255" s="40"/>
    </row>
    <row r="256" spans="1:23" ht="18.75" customHeight="1">
      <c r="H256" s="139" t="s">
        <v>3732</v>
      </c>
      <c r="I256" s="140"/>
      <c r="J256" s="145" t="str">
        <f>エンティティ一覧!$O$2</f>
        <v>milscm_2023_009</v>
      </c>
      <c r="M256" s="36"/>
      <c r="N256" s="36"/>
      <c r="O256" s="36"/>
      <c r="Q256" s="41"/>
    </row>
    <row r="257" spans="1:23" ht="18.75" customHeight="1">
      <c r="H257" s="141"/>
      <c r="I257" s="142"/>
      <c r="J257" s="146"/>
      <c r="K257" s="37"/>
      <c r="L257" s="38"/>
      <c r="M257" s="37"/>
      <c r="N257" s="37"/>
      <c r="O257" s="37"/>
      <c r="P257" s="37"/>
    </row>
    <row r="258" spans="1:23" ht="18.75" customHeight="1">
      <c r="K258" s="39"/>
      <c r="L258" s="40"/>
    </row>
    <row r="259" spans="1:23" ht="18.75" customHeight="1">
      <c r="H259" s="139" t="s">
        <v>187</v>
      </c>
      <c r="I259" s="140"/>
      <c r="J259" s="145" t="str">
        <f>エンティティ一覧!$O$2</f>
        <v>milscm_2023_009</v>
      </c>
      <c r="L259" s="41"/>
    </row>
    <row r="260" spans="1:23" ht="18.75" customHeight="1">
      <c r="H260" s="141"/>
      <c r="I260" s="142"/>
      <c r="J260" s="146"/>
      <c r="K260" s="37"/>
    </row>
    <row r="262" spans="1:23" ht="18.75" customHeight="1" thickBot="1">
      <c r="B262" s="42"/>
      <c r="C262" s="42"/>
      <c r="D262" s="42"/>
      <c r="E262" s="42"/>
      <c r="F262" s="42"/>
      <c r="G262" s="42"/>
      <c r="H262" s="42"/>
      <c r="I262" s="42"/>
      <c r="J262" s="42"/>
      <c r="K262" s="42"/>
      <c r="L262" s="42"/>
      <c r="M262" s="42"/>
      <c r="N262" s="42"/>
      <c r="O262" s="42"/>
      <c r="P262" s="42"/>
      <c r="Q262" s="42"/>
      <c r="R262" s="42"/>
      <c r="S262" s="42"/>
      <c r="T262" s="42"/>
      <c r="U262" s="42"/>
    </row>
    <row r="264" spans="1:23" ht="18.75" customHeight="1">
      <c r="A264" s="77"/>
      <c r="B264" s="43" t="s">
        <v>163</v>
      </c>
      <c r="C264" s="51" t="s">
        <v>4156</v>
      </c>
      <c r="D264" s="113"/>
      <c r="W264" s="35" t="str">
        <f>"-- "&amp;B264&amp;" : "&amp;C264</f>
        <v>-- SQL_ID : 41_15-01</v>
      </c>
    </row>
    <row r="265" spans="1:23" ht="18.75" customHeight="1">
      <c r="B265" s="43" t="s">
        <v>158</v>
      </c>
      <c r="C265" s="147" t="str">
        <f>R268&amp;"（mmlVs）登録"</f>
        <v>ワーク_身長体重データ_MML（mmlVs）登録</v>
      </c>
      <c r="D265" s="148"/>
      <c r="E265" s="148"/>
      <c r="F265" s="148"/>
      <c r="G265" s="148"/>
      <c r="H265" s="148"/>
      <c r="I265" s="148"/>
      <c r="J265" s="148"/>
      <c r="K265" s="148"/>
      <c r="L265" s="148"/>
      <c r="M265" s="148"/>
      <c r="N265" s="148"/>
      <c r="O265" s="148"/>
      <c r="P265" s="148"/>
      <c r="Q265" s="148"/>
      <c r="R265" s="148"/>
      <c r="S265" s="148"/>
      <c r="T265" s="148"/>
      <c r="U265" s="149"/>
      <c r="W265" s="35" t="str">
        <f>"-- "&amp;C265</f>
        <v>-- ワーク_身長体重データ_MML（mmlVs）登録</v>
      </c>
    </row>
    <row r="266" spans="1:23" ht="18.75" customHeight="1">
      <c r="B266" s="43" t="s">
        <v>159</v>
      </c>
      <c r="C266" s="136" t="str">
        <f>"MMLの身長体重データを抽出し、"&amp;R268&amp;"テーブルに格納する。"</f>
        <v>MMLの身長体重データを抽出し、ワーク_身長体重データ_MMLテーブルに格納する。</v>
      </c>
      <c r="D266" s="137"/>
      <c r="E266" s="137"/>
      <c r="F266" s="137"/>
      <c r="G266" s="137"/>
      <c r="H266" s="137"/>
      <c r="I266" s="137"/>
      <c r="J266" s="137"/>
      <c r="K266" s="137"/>
      <c r="L266" s="137"/>
      <c r="M266" s="137"/>
      <c r="N266" s="137"/>
      <c r="O266" s="137"/>
      <c r="P266" s="137"/>
      <c r="Q266" s="137"/>
      <c r="R266" s="137"/>
      <c r="S266" s="137"/>
      <c r="T266" s="137"/>
      <c r="U266" s="138"/>
      <c r="W266" s="35" t="str">
        <f>"-- "&amp;C266</f>
        <v>-- MMLの身長体重データを抽出し、ワーク_身長体重データ_MMLテーブルに格納する。</v>
      </c>
    </row>
    <row r="268" spans="1:23" ht="18.75" customHeight="1">
      <c r="C268" s="139" t="s">
        <v>4108</v>
      </c>
      <c r="D268" s="140"/>
      <c r="E268" s="145" t="str">
        <f>エンティティ一覧!$O$2</f>
        <v>milscm_2023_009</v>
      </c>
      <c r="F268" s="36"/>
      <c r="G268" s="36"/>
      <c r="H268" s="36"/>
      <c r="I268" s="36"/>
      <c r="J268" s="36"/>
      <c r="K268" s="36"/>
      <c r="L268" s="36"/>
      <c r="M268" s="36"/>
      <c r="N268" s="36"/>
      <c r="O268" s="36"/>
      <c r="R268" s="139" t="s">
        <v>4157</v>
      </c>
      <c r="S268" s="140"/>
      <c r="T268" s="145" t="str">
        <f>エンティティ一覧!$O$2</f>
        <v>milscm_2023_009</v>
      </c>
      <c r="W268" s="35" t="s">
        <v>3668</v>
      </c>
    </row>
    <row r="269" spans="1:23" ht="18.75" customHeight="1">
      <c r="C269" s="141"/>
      <c r="D269" s="142"/>
      <c r="E269" s="146"/>
      <c r="F269" s="37"/>
      <c r="G269" s="37"/>
      <c r="H269" s="37"/>
      <c r="I269" s="37"/>
      <c r="J269" s="37"/>
      <c r="K269" s="37"/>
      <c r="L269" s="37"/>
      <c r="M269" s="37"/>
      <c r="N269" s="37"/>
      <c r="O269" s="37"/>
      <c r="P269" s="37"/>
      <c r="Q269" s="38"/>
      <c r="R269" s="141"/>
      <c r="S269" s="142"/>
      <c r="T269" s="146"/>
    </row>
    <row r="270" spans="1:23" ht="18.75" customHeight="1">
      <c r="P270" s="39"/>
      <c r="Q270" s="40"/>
    </row>
    <row r="271" spans="1:23" ht="18.75" customHeight="1">
      <c r="H271" s="139" t="s">
        <v>4109</v>
      </c>
      <c r="I271" s="140"/>
      <c r="J271" s="145" t="str">
        <f>エンティティ一覧!$O$2</f>
        <v>milscm_2023_009</v>
      </c>
      <c r="K271" s="36"/>
      <c r="L271" s="36"/>
      <c r="M271" s="36"/>
      <c r="Q271" s="41"/>
    </row>
    <row r="272" spans="1:23" ht="18.75" customHeight="1">
      <c r="H272" s="141"/>
      <c r="I272" s="142"/>
      <c r="J272" s="146"/>
      <c r="K272" s="37"/>
      <c r="L272" s="37"/>
      <c r="M272" s="37"/>
      <c r="N272" s="37"/>
      <c r="O272" s="38"/>
      <c r="P272" s="37"/>
    </row>
    <row r="273" spans="1:23" ht="18.75" customHeight="1">
      <c r="N273" s="39"/>
      <c r="O273" s="40"/>
    </row>
    <row r="274" spans="1:23" ht="18.75" customHeight="1">
      <c r="H274" s="139" t="s">
        <v>3732</v>
      </c>
      <c r="I274" s="140"/>
      <c r="J274" s="145" t="str">
        <f>エンティティ一覧!$O$2</f>
        <v>milscm_2023_009</v>
      </c>
      <c r="M274" s="36"/>
      <c r="O274" s="41"/>
    </row>
    <row r="275" spans="1:23" ht="18.75" customHeight="1">
      <c r="H275" s="141"/>
      <c r="I275" s="142"/>
      <c r="J275" s="146"/>
      <c r="K275" s="37"/>
      <c r="L275" s="38"/>
      <c r="M275" s="37"/>
      <c r="N275" s="37"/>
    </row>
    <row r="276" spans="1:23" ht="18.75" customHeight="1">
      <c r="K276" s="39"/>
      <c r="L276" s="40"/>
    </row>
    <row r="277" spans="1:23" ht="18.75" customHeight="1">
      <c r="H277" s="139" t="s">
        <v>187</v>
      </c>
      <c r="I277" s="140"/>
      <c r="J277" s="145" t="str">
        <f>エンティティ一覧!$O$2</f>
        <v>milscm_2023_009</v>
      </c>
      <c r="L277" s="41"/>
    </row>
    <row r="278" spans="1:23" ht="18.75" customHeight="1">
      <c r="H278" s="141"/>
      <c r="I278" s="142"/>
      <c r="J278" s="146"/>
      <c r="K278" s="37"/>
    </row>
    <row r="280" spans="1:23" ht="18.75" customHeight="1" thickBot="1">
      <c r="B280" s="42"/>
      <c r="C280" s="42"/>
      <c r="D280" s="42"/>
      <c r="E280" s="42"/>
      <c r="F280" s="42"/>
      <c r="G280" s="42"/>
      <c r="H280" s="42"/>
      <c r="I280" s="42"/>
      <c r="J280" s="42"/>
      <c r="K280" s="42"/>
      <c r="L280" s="42"/>
      <c r="M280" s="42"/>
      <c r="N280" s="42"/>
      <c r="O280" s="42"/>
      <c r="P280" s="42"/>
      <c r="Q280" s="42"/>
      <c r="R280" s="42"/>
      <c r="S280" s="42"/>
      <c r="T280" s="42"/>
      <c r="U280" s="42"/>
    </row>
    <row r="282" spans="1:23" ht="18.75" customHeight="1">
      <c r="A282" s="77"/>
      <c r="B282" s="43" t="s">
        <v>163</v>
      </c>
      <c r="C282" s="51" t="s">
        <v>4173</v>
      </c>
      <c r="D282" s="113"/>
      <c r="W282" s="35" t="str">
        <f>"-- "&amp;B282&amp;" : "&amp;C282</f>
        <v>-- SQL_ID : 41_15-02</v>
      </c>
    </row>
    <row r="283" spans="1:23" ht="18.75" customHeight="1">
      <c r="B283" s="43" t="s">
        <v>158</v>
      </c>
      <c r="C283" s="147" t="str">
        <f>R286&amp;"（mmlFs）登録"</f>
        <v>ワーク_身長体重データ_MML（mmlFs）登録</v>
      </c>
      <c r="D283" s="148"/>
      <c r="E283" s="148"/>
      <c r="F283" s="148"/>
      <c r="G283" s="148"/>
      <c r="H283" s="148"/>
      <c r="I283" s="148"/>
      <c r="J283" s="148"/>
      <c r="K283" s="148"/>
      <c r="L283" s="148"/>
      <c r="M283" s="148"/>
      <c r="N283" s="148"/>
      <c r="O283" s="148"/>
      <c r="P283" s="148"/>
      <c r="Q283" s="148"/>
      <c r="R283" s="148"/>
      <c r="S283" s="148"/>
      <c r="T283" s="148"/>
      <c r="U283" s="149"/>
      <c r="W283" s="35" t="str">
        <f>"-- "&amp;C283</f>
        <v>-- ワーク_身長体重データ_MML（mmlFs）登録</v>
      </c>
    </row>
    <row r="284" spans="1:23" ht="18.75" customHeight="1">
      <c r="B284" s="43" t="s">
        <v>159</v>
      </c>
      <c r="C284" s="136" t="str">
        <f>"MMLの身長体重データを抽出し、"&amp;R286&amp;"テーブルに格納する。"</f>
        <v>MMLの身長体重データを抽出し、ワーク_身長体重データ_MMLテーブルに格納する。</v>
      </c>
      <c r="D284" s="137"/>
      <c r="E284" s="137"/>
      <c r="F284" s="137"/>
      <c r="G284" s="137"/>
      <c r="H284" s="137"/>
      <c r="I284" s="137"/>
      <c r="J284" s="137"/>
      <c r="K284" s="137"/>
      <c r="L284" s="137"/>
      <c r="M284" s="137"/>
      <c r="N284" s="137"/>
      <c r="O284" s="137"/>
      <c r="P284" s="137"/>
      <c r="Q284" s="137"/>
      <c r="R284" s="137"/>
      <c r="S284" s="137"/>
      <c r="T284" s="137"/>
      <c r="U284" s="138"/>
      <c r="W284" s="35" t="str">
        <f>"-- "&amp;C284</f>
        <v>-- MMLの身長体重データを抽出し、ワーク_身長体重データ_MMLテーブルに格納する。</v>
      </c>
    </row>
    <row r="286" spans="1:23" ht="18.75" customHeight="1">
      <c r="C286" s="139" t="s">
        <v>4106</v>
      </c>
      <c r="D286" s="140"/>
      <c r="E286" s="145" t="str">
        <f>エンティティ一覧!$O$2</f>
        <v>milscm_2023_009</v>
      </c>
      <c r="F286" s="36"/>
      <c r="G286" s="36"/>
      <c r="H286" s="36"/>
      <c r="I286" s="36"/>
      <c r="J286" s="36"/>
      <c r="K286" s="36"/>
      <c r="L286" s="36"/>
      <c r="M286" s="36"/>
      <c r="N286" s="36"/>
      <c r="O286" s="36"/>
      <c r="R286" s="139" t="s">
        <v>4157</v>
      </c>
      <c r="S286" s="140"/>
      <c r="T286" s="145" t="str">
        <f>エンティティ一覧!$O$2</f>
        <v>milscm_2023_009</v>
      </c>
      <c r="W286" s="35" t="s">
        <v>3668</v>
      </c>
    </row>
    <row r="287" spans="1:23" ht="18.75" customHeight="1">
      <c r="C287" s="141"/>
      <c r="D287" s="142"/>
      <c r="E287" s="146"/>
      <c r="F287" s="37"/>
      <c r="G287" s="37"/>
      <c r="H287" s="37"/>
      <c r="I287" s="37"/>
      <c r="J287" s="37"/>
      <c r="K287" s="37"/>
      <c r="L287" s="37"/>
      <c r="M287" s="37"/>
      <c r="N287" s="37"/>
      <c r="O287" s="37"/>
      <c r="P287" s="37"/>
      <c r="Q287" s="38"/>
      <c r="R287" s="141"/>
      <c r="S287" s="142"/>
      <c r="T287" s="146"/>
    </row>
    <row r="288" spans="1:23" ht="18.75" customHeight="1">
      <c r="P288" s="39"/>
      <c r="Q288" s="40"/>
    </row>
    <row r="289" spans="2:23" ht="18.75" customHeight="1">
      <c r="H289" s="139" t="s">
        <v>4174</v>
      </c>
      <c r="I289" s="140"/>
      <c r="J289" s="145" t="str">
        <f>エンティティ一覧!$O$2</f>
        <v>milscm_2023_009</v>
      </c>
      <c r="K289" s="36"/>
      <c r="L289" s="36"/>
      <c r="M289" s="36"/>
      <c r="Q289" s="41"/>
    </row>
    <row r="290" spans="2:23" ht="18.75" customHeight="1">
      <c r="H290" s="141"/>
      <c r="I290" s="142"/>
      <c r="J290" s="146"/>
      <c r="K290" s="37"/>
      <c r="L290" s="37"/>
      <c r="M290" s="37"/>
      <c r="N290" s="37"/>
      <c r="O290" s="38"/>
      <c r="P290" s="37"/>
    </row>
    <row r="291" spans="2:23" ht="18.75" customHeight="1">
      <c r="N291" s="39"/>
      <c r="O291" s="40"/>
    </row>
    <row r="292" spans="2:23" ht="18.75" customHeight="1">
      <c r="H292" s="139" t="s">
        <v>3732</v>
      </c>
      <c r="I292" s="140"/>
      <c r="J292" s="145" t="str">
        <f>エンティティ一覧!$O$2</f>
        <v>milscm_2023_009</v>
      </c>
      <c r="M292" s="36"/>
      <c r="O292" s="41"/>
    </row>
    <row r="293" spans="2:23" ht="18.75" customHeight="1">
      <c r="H293" s="141"/>
      <c r="I293" s="142"/>
      <c r="J293" s="146"/>
      <c r="K293" s="37"/>
      <c r="L293" s="38"/>
      <c r="M293" s="37"/>
      <c r="N293" s="37"/>
    </row>
    <row r="294" spans="2:23" ht="18.75" customHeight="1">
      <c r="K294" s="39"/>
      <c r="L294" s="40"/>
    </row>
    <row r="295" spans="2:23" ht="18.75" customHeight="1">
      <c r="H295" s="139" t="s">
        <v>187</v>
      </c>
      <c r="I295" s="140"/>
      <c r="J295" s="145" t="str">
        <f>エンティティ一覧!$O$2</f>
        <v>milscm_2023_009</v>
      </c>
      <c r="L295" s="41"/>
    </row>
    <row r="296" spans="2:23" ht="18.75" customHeight="1">
      <c r="H296" s="141"/>
      <c r="I296" s="142"/>
      <c r="J296" s="146"/>
      <c r="K296" s="37"/>
    </row>
    <row r="298" spans="2:23" ht="18.75" customHeight="1" thickBot="1">
      <c r="B298" s="42"/>
      <c r="C298" s="42"/>
      <c r="D298" s="42"/>
      <c r="E298" s="42"/>
      <c r="F298" s="42"/>
      <c r="G298" s="42"/>
      <c r="H298" s="42"/>
      <c r="I298" s="42"/>
      <c r="J298" s="42"/>
      <c r="K298" s="42"/>
      <c r="L298" s="42"/>
      <c r="M298" s="42"/>
      <c r="N298" s="42"/>
      <c r="O298" s="42"/>
      <c r="P298" s="42"/>
      <c r="Q298" s="42"/>
      <c r="R298" s="42"/>
      <c r="S298" s="42"/>
      <c r="T298" s="42"/>
      <c r="U298" s="42"/>
    </row>
    <row r="300" spans="2:23" ht="18.75" customHeight="1">
      <c r="B300" s="43" t="s">
        <v>163</v>
      </c>
      <c r="C300" s="51" t="s">
        <v>4146</v>
      </c>
      <c r="D300" s="113"/>
      <c r="W300" s="35" t="str">
        <f>"-- "&amp;B300&amp;" : "&amp;C300</f>
        <v>-- SQL_ID : 41_16</v>
      </c>
    </row>
    <row r="301" spans="2:23" ht="18.75" customHeight="1">
      <c r="B301" s="43" t="s">
        <v>158</v>
      </c>
      <c r="C301" s="147" t="str">
        <f>R304&amp;"登録"</f>
        <v>ワーク_身長体重データ登録</v>
      </c>
      <c r="D301" s="148"/>
      <c r="E301" s="148"/>
      <c r="F301" s="148"/>
      <c r="G301" s="148"/>
      <c r="H301" s="148"/>
      <c r="I301" s="148"/>
      <c r="J301" s="148"/>
      <c r="K301" s="148"/>
      <c r="L301" s="148"/>
      <c r="M301" s="148"/>
      <c r="N301" s="148"/>
      <c r="O301" s="148"/>
      <c r="P301" s="148"/>
      <c r="Q301" s="148"/>
      <c r="R301" s="148"/>
      <c r="S301" s="148"/>
      <c r="T301" s="148"/>
      <c r="U301" s="149"/>
      <c r="W301" s="35" t="str">
        <f>"-- "&amp;C301</f>
        <v>-- ワーク_身長体重データ登録</v>
      </c>
    </row>
    <row r="302" spans="2:23" ht="18.75" customHeight="1">
      <c r="B302" s="43" t="s">
        <v>159</v>
      </c>
      <c r="C302" s="136" t="str">
        <f>"身長体重データを抽出し、"&amp;R304&amp;"テーブルに格納する。"</f>
        <v>身長体重データを抽出し、ワーク_身長体重データテーブルに格納する。</v>
      </c>
      <c r="D302" s="137"/>
      <c r="E302" s="137"/>
      <c r="F302" s="137"/>
      <c r="G302" s="137"/>
      <c r="H302" s="137"/>
      <c r="I302" s="137"/>
      <c r="J302" s="137"/>
      <c r="K302" s="137"/>
      <c r="L302" s="137"/>
      <c r="M302" s="137"/>
      <c r="N302" s="137"/>
      <c r="O302" s="137"/>
      <c r="P302" s="137"/>
      <c r="Q302" s="137"/>
      <c r="R302" s="137"/>
      <c r="S302" s="137"/>
      <c r="T302" s="137"/>
      <c r="U302" s="138"/>
      <c r="W302" s="35" t="str">
        <f>"-- "&amp;C302</f>
        <v>-- 身長体重データを抽出し、ワーク_身長体重データテーブルに格納する。</v>
      </c>
    </row>
    <row r="304" spans="2:23" ht="18.75" customHeight="1">
      <c r="C304" s="139" t="s">
        <v>4155</v>
      </c>
      <c r="D304" s="140"/>
      <c r="E304" s="145" t="str">
        <f>エンティティ一覧!$O$2</f>
        <v>milscm_2023_009</v>
      </c>
      <c r="H304" s="36"/>
      <c r="I304" s="36"/>
      <c r="J304" s="36"/>
      <c r="K304" s="36"/>
      <c r="L304" s="36"/>
      <c r="M304" s="36"/>
      <c r="N304" s="36"/>
      <c r="O304" s="36"/>
      <c r="P304" s="36"/>
      <c r="Q304" s="36"/>
      <c r="R304" s="139" t="s">
        <v>4158</v>
      </c>
      <c r="S304" s="140"/>
      <c r="T304" s="145" t="str">
        <f>エンティティ一覧!$O$2</f>
        <v>milscm_2023_009</v>
      </c>
    </row>
    <row r="305" spans="2:23" ht="18.75" customHeight="1">
      <c r="C305" s="141"/>
      <c r="D305" s="142"/>
      <c r="E305" s="146"/>
      <c r="F305" s="37"/>
      <c r="G305" s="38"/>
      <c r="H305" s="37"/>
      <c r="I305" s="37"/>
      <c r="J305" s="37"/>
      <c r="K305" s="37"/>
      <c r="L305" s="37"/>
      <c r="M305" s="37"/>
      <c r="N305" s="37"/>
      <c r="O305" s="37"/>
      <c r="P305" s="37"/>
      <c r="Q305" s="37"/>
      <c r="R305" s="141"/>
      <c r="S305" s="142"/>
      <c r="T305" s="146"/>
    </row>
    <row r="306" spans="2:23" ht="18.75" customHeight="1">
      <c r="F306" s="39"/>
      <c r="G306" s="40"/>
    </row>
    <row r="307" spans="2:23" ht="18.75" customHeight="1">
      <c r="C307" s="139" t="s">
        <v>4157</v>
      </c>
      <c r="D307" s="140"/>
      <c r="E307" s="145" t="str">
        <f>エンティティ一覧!$O$2</f>
        <v>milscm_2023_009</v>
      </c>
      <c r="G307" s="41"/>
    </row>
    <row r="308" spans="2:23" ht="18.75" customHeight="1">
      <c r="C308" s="141"/>
      <c r="D308" s="142"/>
      <c r="E308" s="146"/>
      <c r="F308" s="37"/>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4159</v>
      </c>
      <c r="D312" s="113"/>
      <c r="W312" s="35" t="str">
        <f>"-- "&amp;B312&amp;" : "&amp;C312</f>
        <v>-- SQL_ID : 41_17_01</v>
      </c>
    </row>
    <row r="313" spans="2:23" ht="18.75" customHeight="1">
      <c r="B313" s="43" t="s">
        <v>158</v>
      </c>
      <c r="C313" s="147" t="str">
        <f>R316&amp;"登録"</f>
        <v>ワーク_テキスト情報_一時登録</v>
      </c>
      <c r="D313" s="148"/>
      <c r="E313" s="148"/>
      <c r="F313" s="148"/>
      <c r="G313" s="148"/>
      <c r="H313" s="148"/>
      <c r="I313" s="148"/>
      <c r="J313" s="148"/>
      <c r="K313" s="148"/>
      <c r="L313" s="148"/>
      <c r="M313" s="148"/>
      <c r="N313" s="148"/>
      <c r="O313" s="148"/>
      <c r="P313" s="148"/>
      <c r="Q313" s="148"/>
      <c r="R313" s="148"/>
      <c r="S313" s="148"/>
      <c r="T313" s="148"/>
      <c r="U313" s="149"/>
      <c r="W313" s="35" t="str">
        <f>"-- "&amp;C313</f>
        <v>-- ワーク_テキスト情報_一時登録</v>
      </c>
    </row>
    <row r="314" spans="2:23" ht="18.75" customHeight="1">
      <c r="B314" s="43" t="s">
        <v>159</v>
      </c>
      <c r="C314" s="136" t="str">
        <f>"MMLのテキストデータを抽出し、"&amp;R316&amp;"テーブルに格納する。"</f>
        <v>MMLのテキストデータを抽出し、ワーク_テキスト情報_一時テーブルに格納する。</v>
      </c>
      <c r="D314" s="137"/>
      <c r="E314" s="137"/>
      <c r="F314" s="137"/>
      <c r="G314" s="137"/>
      <c r="H314" s="137"/>
      <c r="I314" s="137"/>
      <c r="J314" s="137"/>
      <c r="K314" s="137"/>
      <c r="L314" s="137"/>
      <c r="M314" s="137"/>
      <c r="N314" s="137"/>
      <c r="O314" s="137"/>
      <c r="P314" s="137"/>
      <c r="Q314" s="137"/>
      <c r="R314" s="137"/>
      <c r="S314" s="137"/>
      <c r="T314" s="137"/>
      <c r="U314" s="138"/>
      <c r="W314" s="35" t="str">
        <f>"-- "&amp;C314</f>
        <v>-- MMLのテキストデータを抽出し、ワーク_テキスト情報_一時テーブルに格納する。</v>
      </c>
    </row>
    <row r="316" spans="2:23" ht="18.75" customHeight="1">
      <c r="C316" s="150" t="s">
        <v>3678</v>
      </c>
      <c r="D316" s="151"/>
      <c r="E316" s="145" t="str">
        <f>エンティティ一覧!$O$2</f>
        <v>milscm_2023_009</v>
      </c>
      <c r="F316" s="36"/>
      <c r="G316" s="36"/>
      <c r="H316" s="36"/>
      <c r="I316" s="36"/>
      <c r="J316" s="36"/>
      <c r="K316" s="36"/>
      <c r="L316" s="36"/>
      <c r="M316" s="36"/>
      <c r="N316" s="36"/>
      <c r="O316" s="36"/>
      <c r="R316" s="139" t="s">
        <v>4149</v>
      </c>
      <c r="S316" s="140"/>
      <c r="T316" s="145" t="str">
        <f>エンティティ一覧!$O$2</f>
        <v>milscm_2023_009</v>
      </c>
    </row>
    <row r="317" spans="2:23" ht="18.75" customHeight="1">
      <c r="C317" s="152"/>
      <c r="D317" s="153"/>
      <c r="E317" s="146"/>
      <c r="F317" s="37"/>
      <c r="G317" s="37"/>
      <c r="H317" s="37"/>
      <c r="I317" s="37"/>
      <c r="J317" s="37"/>
      <c r="K317" s="37"/>
      <c r="L317" s="37"/>
      <c r="M317" s="37"/>
      <c r="N317" s="37"/>
      <c r="O317" s="37"/>
      <c r="P317" s="37"/>
      <c r="Q317" s="37"/>
      <c r="R317" s="141"/>
      <c r="S317" s="142"/>
      <c r="T317" s="146"/>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4160</v>
      </c>
      <c r="D321" s="113"/>
      <c r="W321" s="35" t="str">
        <f>"-- "&amp;B321&amp;" : "&amp;C321</f>
        <v>-- SQL_ID : 41_17_02</v>
      </c>
    </row>
    <row r="322" spans="2:23" ht="18.75" customHeight="1">
      <c r="B322" s="43" t="s">
        <v>158</v>
      </c>
      <c r="C322" s="147" t="str">
        <f>R325&amp;"登録"</f>
        <v>ワーク_テキスト情報_一時登録</v>
      </c>
      <c r="D322" s="148"/>
      <c r="E322" s="148"/>
      <c r="F322" s="148"/>
      <c r="G322" s="148"/>
      <c r="H322" s="148"/>
      <c r="I322" s="148"/>
      <c r="J322" s="148"/>
      <c r="K322" s="148"/>
      <c r="L322" s="148"/>
      <c r="M322" s="148"/>
      <c r="N322" s="148"/>
      <c r="O322" s="148"/>
      <c r="P322" s="148"/>
      <c r="Q322" s="148"/>
      <c r="R322" s="148"/>
      <c r="S322" s="148"/>
      <c r="T322" s="148"/>
      <c r="U322" s="149"/>
      <c r="W322" s="35" t="str">
        <f>"-- "&amp;C322</f>
        <v>-- ワーク_テキスト情報_一時登録</v>
      </c>
    </row>
    <row r="323" spans="2:23" ht="18.75" customHeight="1">
      <c r="B323" s="43" t="s">
        <v>159</v>
      </c>
      <c r="C323" s="136" t="str">
        <f>"MMLのテキストデータを抽出し、"&amp;R325&amp;"テーブルに格納する。"</f>
        <v>MMLのテキストデータを抽出し、ワーク_テキスト情報_一時テーブルに格納する。</v>
      </c>
      <c r="D323" s="137"/>
      <c r="E323" s="137"/>
      <c r="F323" s="137"/>
      <c r="G323" s="137"/>
      <c r="H323" s="137"/>
      <c r="I323" s="137"/>
      <c r="J323" s="137"/>
      <c r="K323" s="137"/>
      <c r="L323" s="137"/>
      <c r="M323" s="137"/>
      <c r="N323" s="137"/>
      <c r="O323" s="137"/>
      <c r="P323" s="137"/>
      <c r="Q323" s="137"/>
      <c r="R323" s="137"/>
      <c r="S323" s="137"/>
      <c r="T323" s="137"/>
      <c r="U323" s="138"/>
      <c r="W323" s="35" t="str">
        <f>"-- "&amp;C323</f>
        <v>-- MMLのテキストデータを抽出し、ワーク_テキスト情報_一時テーブルに格納する。</v>
      </c>
    </row>
    <row r="325" spans="2:23" ht="18.75" customHeight="1">
      <c r="C325" s="150" t="s">
        <v>3681</v>
      </c>
      <c r="D325" s="151"/>
      <c r="E325" s="145" t="str">
        <f>エンティティ一覧!$O$2</f>
        <v>milscm_2023_009</v>
      </c>
      <c r="F325" s="36"/>
      <c r="G325" s="36"/>
      <c r="H325" s="36"/>
      <c r="I325" s="36"/>
      <c r="J325" s="36"/>
      <c r="K325" s="36"/>
      <c r="L325" s="36"/>
      <c r="M325" s="36"/>
      <c r="N325" s="36"/>
      <c r="O325" s="36"/>
      <c r="R325" s="139" t="s">
        <v>4149</v>
      </c>
      <c r="S325" s="140"/>
      <c r="T325" s="145" t="str">
        <f>エンティティ一覧!$O$2</f>
        <v>milscm_2023_009</v>
      </c>
    </row>
    <row r="326" spans="2:23" ht="18.75" customHeight="1">
      <c r="C326" s="152"/>
      <c r="D326" s="153"/>
      <c r="E326" s="146"/>
      <c r="F326" s="37"/>
      <c r="G326" s="37"/>
      <c r="H326" s="37"/>
      <c r="I326" s="37"/>
      <c r="J326" s="37"/>
      <c r="K326" s="37"/>
      <c r="L326" s="37"/>
      <c r="M326" s="37"/>
      <c r="N326" s="37"/>
      <c r="O326" s="37"/>
      <c r="P326" s="37"/>
      <c r="Q326" s="37"/>
      <c r="R326" s="141"/>
      <c r="S326" s="142"/>
      <c r="T326" s="146"/>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4161</v>
      </c>
      <c r="D330" s="113"/>
      <c r="W330" s="35" t="str">
        <f>"-- "&amp;B330&amp;" : "&amp;C330</f>
        <v>-- SQL_ID : 41_17_03</v>
      </c>
    </row>
    <row r="331" spans="2:23" ht="18.75" customHeight="1">
      <c r="B331" s="43" t="s">
        <v>158</v>
      </c>
      <c r="C331" s="147" t="str">
        <f>R334&amp;"登録"</f>
        <v>ワーク_テキスト情報_一時登録</v>
      </c>
      <c r="D331" s="148"/>
      <c r="E331" s="148"/>
      <c r="F331" s="148"/>
      <c r="G331" s="148"/>
      <c r="H331" s="148"/>
      <c r="I331" s="148"/>
      <c r="J331" s="148"/>
      <c r="K331" s="148"/>
      <c r="L331" s="148"/>
      <c r="M331" s="148"/>
      <c r="N331" s="148"/>
      <c r="O331" s="148"/>
      <c r="P331" s="148"/>
      <c r="Q331" s="148"/>
      <c r="R331" s="148"/>
      <c r="S331" s="148"/>
      <c r="T331" s="148"/>
      <c r="U331" s="149"/>
      <c r="W331" s="35" t="str">
        <f>"-- "&amp;C331</f>
        <v>-- ワーク_テキスト情報_一時登録</v>
      </c>
    </row>
    <row r="332" spans="2:23" ht="18.75" customHeight="1">
      <c r="B332" s="43" t="s">
        <v>159</v>
      </c>
      <c r="C332" s="136" t="str">
        <f>"MMLのテキストデータを抽出し、"&amp;R334&amp;"テーブルに格納する。"</f>
        <v>MMLのテキストデータを抽出し、ワーク_テキスト情報_一時テーブルに格納する。</v>
      </c>
      <c r="D332" s="137"/>
      <c r="E332" s="137"/>
      <c r="F332" s="137"/>
      <c r="G332" s="137"/>
      <c r="H332" s="137"/>
      <c r="I332" s="137"/>
      <c r="J332" s="137"/>
      <c r="K332" s="137"/>
      <c r="L332" s="137"/>
      <c r="M332" s="137"/>
      <c r="N332" s="137"/>
      <c r="O332" s="137"/>
      <c r="P332" s="137"/>
      <c r="Q332" s="137"/>
      <c r="R332" s="137"/>
      <c r="S332" s="137"/>
      <c r="T332" s="137"/>
      <c r="U332" s="138"/>
      <c r="W332" s="35" t="str">
        <f>"-- "&amp;C332</f>
        <v>-- MMLのテキストデータを抽出し、ワーク_テキスト情報_一時テーブルに格納する。</v>
      </c>
    </row>
    <row r="334" spans="2:23" ht="18.75" customHeight="1">
      <c r="C334" s="150" t="s">
        <v>3682</v>
      </c>
      <c r="D334" s="151"/>
      <c r="E334" s="145" t="str">
        <f>エンティティ一覧!$O$2</f>
        <v>milscm_2023_009</v>
      </c>
      <c r="F334" s="36"/>
      <c r="G334" s="36"/>
      <c r="H334" s="36"/>
      <c r="I334" s="36"/>
      <c r="J334" s="36"/>
      <c r="K334" s="36"/>
      <c r="L334" s="36"/>
      <c r="M334" s="36"/>
      <c r="N334" s="36"/>
      <c r="O334" s="36"/>
      <c r="R334" s="139" t="s">
        <v>4149</v>
      </c>
      <c r="S334" s="140"/>
      <c r="T334" s="145" t="str">
        <f>エンティティ一覧!$O$2</f>
        <v>milscm_2023_009</v>
      </c>
    </row>
    <row r="335" spans="2:23" ht="18.75" customHeight="1">
      <c r="C335" s="152"/>
      <c r="D335" s="153"/>
      <c r="E335" s="146"/>
      <c r="F335" s="37"/>
      <c r="G335" s="37"/>
      <c r="H335" s="37"/>
      <c r="I335" s="37"/>
      <c r="J335" s="37"/>
      <c r="K335" s="37"/>
      <c r="L335" s="37"/>
      <c r="M335" s="37"/>
      <c r="N335" s="37"/>
      <c r="O335" s="37"/>
      <c r="P335" s="37"/>
      <c r="Q335" s="37"/>
      <c r="R335" s="141"/>
      <c r="S335" s="142"/>
      <c r="T335" s="146"/>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4162</v>
      </c>
      <c r="D339" s="113"/>
      <c r="W339" s="35" t="str">
        <f>"-- "&amp;B339&amp;" : "&amp;C339</f>
        <v>-- SQL_ID : 41_17_04</v>
      </c>
    </row>
    <row r="340" spans="2:23" ht="18.75" customHeight="1">
      <c r="B340" s="43" t="s">
        <v>158</v>
      </c>
      <c r="C340" s="147" t="str">
        <f>R343&amp;"登録"</f>
        <v>ワーク_テキスト情報_一時登録</v>
      </c>
      <c r="D340" s="148"/>
      <c r="E340" s="148"/>
      <c r="F340" s="148"/>
      <c r="G340" s="148"/>
      <c r="H340" s="148"/>
      <c r="I340" s="148"/>
      <c r="J340" s="148"/>
      <c r="K340" s="148"/>
      <c r="L340" s="148"/>
      <c r="M340" s="148"/>
      <c r="N340" s="148"/>
      <c r="O340" s="148"/>
      <c r="P340" s="148"/>
      <c r="Q340" s="148"/>
      <c r="R340" s="148"/>
      <c r="S340" s="148"/>
      <c r="T340" s="148"/>
      <c r="U340" s="149"/>
      <c r="W340" s="35" t="str">
        <f>"-- "&amp;C340</f>
        <v>-- ワーク_テキスト情報_一時登録</v>
      </c>
    </row>
    <row r="341" spans="2:23" ht="18.75" customHeight="1">
      <c r="B341" s="43" t="s">
        <v>159</v>
      </c>
      <c r="C341" s="136" t="str">
        <f>"MMLのテキストデータを抽出し、"&amp;R343&amp;"テーブルに格納する。"</f>
        <v>MMLのテキストデータを抽出し、ワーク_テキスト情報_一時テーブルに格納する。</v>
      </c>
      <c r="D341" s="137"/>
      <c r="E341" s="137"/>
      <c r="F341" s="137"/>
      <c r="G341" s="137"/>
      <c r="H341" s="137"/>
      <c r="I341" s="137"/>
      <c r="J341" s="137"/>
      <c r="K341" s="137"/>
      <c r="L341" s="137"/>
      <c r="M341" s="137"/>
      <c r="N341" s="137"/>
      <c r="O341" s="137"/>
      <c r="P341" s="137"/>
      <c r="Q341" s="137"/>
      <c r="R341" s="137"/>
      <c r="S341" s="137"/>
      <c r="T341" s="137"/>
      <c r="U341" s="138"/>
      <c r="W341" s="35" t="str">
        <f>"-- "&amp;C341</f>
        <v>-- MMLのテキストデータを抽出し、ワーク_テキスト情報_一時テーブルに格納する。</v>
      </c>
    </row>
    <row r="343" spans="2:23" ht="18.75" customHeight="1">
      <c r="C343" s="150" t="s">
        <v>3679</v>
      </c>
      <c r="D343" s="151"/>
      <c r="E343" s="145" t="str">
        <f>エンティティ一覧!$O$2</f>
        <v>milscm_2023_009</v>
      </c>
      <c r="F343" s="36"/>
      <c r="G343" s="36"/>
      <c r="H343" s="36"/>
      <c r="I343" s="36"/>
      <c r="J343" s="36"/>
      <c r="K343" s="36"/>
      <c r="L343" s="36"/>
      <c r="M343" s="36"/>
      <c r="N343" s="36"/>
      <c r="O343" s="36"/>
      <c r="R343" s="139" t="s">
        <v>4149</v>
      </c>
      <c r="S343" s="140"/>
      <c r="T343" s="145" t="str">
        <f>エンティティ一覧!$O$2</f>
        <v>milscm_2023_009</v>
      </c>
    </row>
    <row r="344" spans="2:23" ht="18.75" customHeight="1">
      <c r="C344" s="152"/>
      <c r="D344" s="153"/>
      <c r="E344" s="146"/>
      <c r="F344" s="37"/>
      <c r="G344" s="37"/>
      <c r="H344" s="37"/>
      <c r="I344" s="37"/>
      <c r="J344" s="37"/>
      <c r="K344" s="37"/>
      <c r="L344" s="37"/>
      <c r="M344" s="37"/>
      <c r="N344" s="37"/>
      <c r="O344" s="37"/>
      <c r="P344" s="37"/>
      <c r="Q344" s="37"/>
      <c r="R344" s="141"/>
      <c r="S344" s="142"/>
      <c r="T344" s="146"/>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4163</v>
      </c>
      <c r="D348" s="113"/>
      <c r="W348" s="35" t="str">
        <f>"-- "&amp;B348&amp;" : "&amp;C348</f>
        <v>-- SQL_ID : 41_17_05</v>
      </c>
    </row>
    <row r="349" spans="2:23" ht="18.75" customHeight="1">
      <c r="B349" s="43" t="s">
        <v>158</v>
      </c>
      <c r="C349" s="147" t="str">
        <f>R352&amp;"登録"</f>
        <v>ワーク_テキスト情報_一時登録</v>
      </c>
      <c r="D349" s="148"/>
      <c r="E349" s="148"/>
      <c r="F349" s="148"/>
      <c r="G349" s="148"/>
      <c r="H349" s="148"/>
      <c r="I349" s="148"/>
      <c r="J349" s="148"/>
      <c r="K349" s="148"/>
      <c r="L349" s="148"/>
      <c r="M349" s="148"/>
      <c r="N349" s="148"/>
      <c r="O349" s="148"/>
      <c r="P349" s="148"/>
      <c r="Q349" s="148"/>
      <c r="R349" s="148"/>
      <c r="S349" s="148"/>
      <c r="T349" s="148"/>
      <c r="U349" s="149"/>
      <c r="W349" s="35" t="str">
        <f>"-- "&amp;C349</f>
        <v>-- ワーク_テキスト情報_一時登録</v>
      </c>
    </row>
    <row r="350" spans="2:23" ht="18.75" customHeight="1">
      <c r="B350" s="43" t="s">
        <v>159</v>
      </c>
      <c r="C350" s="136" t="str">
        <f>"MMLのテキストデータを抽出し、"&amp;R352&amp;"テーブルに格納する。"</f>
        <v>MMLのテキストデータを抽出し、ワーク_テキスト情報_一時テーブルに格納する。</v>
      </c>
      <c r="D350" s="137"/>
      <c r="E350" s="137"/>
      <c r="F350" s="137"/>
      <c r="G350" s="137"/>
      <c r="H350" s="137"/>
      <c r="I350" s="137"/>
      <c r="J350" s="137"/>
      <c r="K350" s="137"/>
      <c r="L350" s="137"/>
      <c r="M350" s="137"/>
      <c r="N350" s="137"/>
      <c r="O350" s="137"/>
      <c r="P350" s="137"/>
      <c r="Q350" s="137"/>
      <c r="R350" s="137"/>
      <c r="S350" s="137"/>
      <c r="T350" s="137"/>
      <c r="U350" s="138"/>
      <c r="W350" s="35" t="str">
        <f>"-- "&amp;C350</f>
        <v>-- MMLのテキストデータを抽出し、ワーク_テキスト情報_一時テーブルに格納する。</v>
      </c>
    </row>
    <row r="352" spans="2:23" ht="18.75" customHeight="1">
      <c r="C352" s="150" t="s">
        <v>3679</v>
      </c>
      <c r="D352" s="151"/>
      <c r="E352" s="145" t="str">
        <f>エンティティ一覧!$O$2</f>
        <v>milscm_2023_009</v>
      </c>
      <c r="F352" s="36"/>
      <c r="G352" s="36"/>
      <c r="H352" s="36"/>
      <c r="I352" s="36"/>
      <c r="J352" s="36"/>
      <c r="K352" s="36"/>
      <c r="L352" s="36"/>
      <c r="M352" s="36"/>
      <c r="N352" s="36"/>
      <c r="O352" s="36"/>
      <c r="R352" s="139" t="s">
        <v>4149</v>
      </c>
      <c r="S352" s="140"/>
      <c r="T352" s="145" t="str">
        <f>エンティティ一覧!$O$2</f>
        <v>milscm_2023_009</v>
      </c>
    </row>
    <row r="353" spans="2:23" ht="18.75" customHeight="1">
      <c r="C353" s="152"/>
      <c r="D353" s="153"/>
      <c r="E353" s="146"/>
      <c r="F353" s="37"/>
      <c r="G353" s="37"/>
      <c r="H353" s="37"/>
      <c r="I353" s="37"/>
      <c r="J353" s="37"/>
      <c r="K353" s="37"/>
      <c r="L353" s="37"/>
      <c r="M353" s="37"/>
      <c r="N353" s="37"/>
      <c r="O353" s="37"/>
      <c r="P353" s="37"/>
      <c r="Q353" s="37"/>
      <c r="R353" s="141"/>
      <c r="S353" s="142"/>
      <c r="T353" s="146"/>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4164</v>
      </c>
      <c r="D357" s="113"/>
      <c r="W357" s="35" t="str">
        <f>"-- "&amp;B357&amp;" : "&amp;C357</f>
        <v>-- SQL_ID : 41_17_06</v>
      </c>
    </row>
    <row r="358" spans="2:23" ht="18.75" customHeight="1">
      <c r="B358" s="43" t="s">
        <v>158</v>
      </c>
      <c r="C358" s="147" t="str">
        <f>R361&amp;"登録"</f>
        <v>ワーク_テキスト情報_一時登録</v>
      </c>
      <c r="D358" s="148"/>
      <c r="E358" s="148"/>
      <c r="F358" s="148"/>
      <c r="G358" s="148"/>
      <c r="H358" s="148"/>
      <c r="I358" s="148"/>
      <c r="J358" s="148"/>
      <c r="K358" s="148"/>
      <c r="L358" s="148"/>
      <c r="M358" s="148"/>
      <c r="N358" s="148"/>
      <c r="O358" s="148"/>
      <c r="P358" s="148"/>
      <c r="Q358" s="148"/>
      <c r="R358" s="148"/>
      <c r="S358" s="148"/>
      <c r="T358" s="148"/>
      <c r="U358" s="149"/>
      <c r="W358" s="35" t="str">
        <f>"-- "&amp;C358</f>
        <v>-- ワーク_テキスト情報_一時登録</v>
      </c>
    </row>
    <row r="359" spans="2:23" ht="18.75" customHeight="1">
      <c r="B359" s="43" t="s">
        <v>159</v>
      </c>
      <c r="C359" s="136" t="str">
        <f>"MMLのテキストデータを抽出し、"&amp;R361&amp;"テーブルに格納する。"</f>
        <v>MMLのテキストデータを抽出し、ワーク_テキスト情報_一時テーブルに格納する。</v>
      </c>
      <c r="D359" s="137"/>
      <c r="E359" s="137"/>
      <c r="F359" s="137"/>
      <c r="G359" s="137"/>
      <c r="H359" s="137"/>
      <c r="I359" s="137"/>
      <c r="J359" s="137"/>
      <c r="K359" s="137"/>
      <c r="L359" s="137"/>
      <c r="M359" s="137"/>
      <c r="N359" s="137"/>
      <c r="O359" s="137"/>
      <c r="P359" s="137"/>
      <c r="Q359" s="137"/>
      <c r="R359" s="137"/>
      <c r="S359" s="137"/>
      <c r="T359" s="137"/>
      <c r="U359" s="138"/>
      <c r="W359" s="35" t="str">
        <f>"-- "&amp;C359</f>
        <v>-- MMLのテキストデータを抽出し、ワーク_テキスト情報_一時テーブルに格納する。</v>
      </c>
    </row>
    <row r="361" spans="2:23" ht="18.75" customHeight="1">
      <c r="C361" s="150" t="s">
        <v>3679</v>
      </c>
      <c r="D361" s="151"/>
      <c r="E361" s="145" t="str">
        <f>エンティティ一覧!$O$2</f>
        <v>milscm_2023_009</v>
      </c>
      <c r="F361" s="36"/>
      <c r="G361" s="36"/>
      <c r="H361" s="36"/>
      <c r="I361" s="36"/>
      <c r="J361" s="36"/>
      <c r="K361" s="36"/>
      <c r="L361" s="36"/>
      <c r="M361" s="36"/>
      <c r="N361" s="36"/>
      <c r="O361" s="36"/>
      <c r="R361" s="139" t="s">
        <v>4149</v>
      </c>
      <c r="S361" s="140"/>
      <c r="T361" s="145" t="str">
        <f>エンティティ一覧!$O$2</f>
        <v>milscm_2023_009</v>
      </c>
    </row>
    <row r="362" spans="2:23" ht="18.75" customHeight="1">
      <c r="C362" s="152"/>
      <c r="D362" s="153"/>
      <c r="E362" s="146"/>
      <c r="F362" s="37"/>
      <c r="G362" s="37"/>
      <c r="H362" s="37"/>
      <c r="I362" s="37"/>
      <c r="J362" s="37"/>
      <c r="K362" s="37"/>
      <c r="L362" s="37"/>
      <c r="M362" s="37"/>
      <c r="N362" s="37"/>
      <c r="O362" s="37"/>
      <c r="P362" s="37"/>
      <c r="Q362" s="37"/>
      <c r="R362" s="141"/>
      <c r="S362" s="142"/>
      <c r="T362" s="146"/>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4165</v>
      </c>
      <c r="D366" s="113"/>
      <c r="W366" s="35" t="str">
        <f>"-- "&amp;B366&amp;" : "&amp;C366</f>
        <v>-- SQL_ID : 41_17_07</v>
      </c>
    </row>
    <row r="367" spans="2:23" ht="18.75" customHeight="1">
      <c r="B367" s="43" t="s">
        <v>158</v>
      </c>
      <c r="C367" s="147" t="str">
        <f>R370&amp;"登録"</f>
        <v>ワーク_テキスト情報_一時登録</v>
      </c>
      <c r="D367" s="148"/>
      <c r="E367" s="148"/>
      <c r="F367" s="148"/>
      <c r="G367" s="148"/>
      <c r="H367" s="148"/>
      <c r="I367" s="148"/>
      <c r="J367" s="148"/>
      <c r="K367" s="148"/>
      <c r="L367" s="148"/>
      <c r="M367" s="148"/>
      <c r="N367" s="148"/>
      <c r="O367" s="148"/>
      <c r="P367" s="148"/>
      <c r="Q367" s="148"/>
      <c r="R367" s="148"/>
      <c r="S367" s="148"/>
      <c r="T367" s="148"/>
      <c r="U367" s="149"/>
      <c r="W367" s="35" t="str">
        <f>"-- "&amp;C367</f>
        <v>-- ワーク_テキスト情報_一時登録</v>
      </c>
    </row>
    <row r="368" spans="2:23" ht="18.75" customHeight="1">
      <c r="B368" s="43" t="s">
        <v>159</v>
      </c>
      <c r="C368" s="136" t="str">
        <f>"MMLのテキストデータを抽出し、"&amp;R370&amp;"テーブルに格納する。"</f>
        <v>MMLのテキストデータを抽出し、ワーク_テキスト情報_一時テーブルに格納する。</v>
      </c>
      <c r="D368" s="137"/>
      <c r="E368" s="137"/>
      <c r="F368" s="137"/>
      <c r="G368" s="137"/>
      <c r="H368" s="137"/>
      <c r="I368" s="137"/>
      <c r="J368" s="137"/>
      <c r="K368" s="137"/>
      <c r="L368" s="137"/>
      <c r="M368" s="137"/>
      <c r="N368" s="137"/>
      <c r="O368" s="137"/>
      <c r="P368" s="137"/>
      <c r="Q368" s="137"/>
      <c r="R368" s="137"/>
      <c r="S368" s="137"/>
      <c r="T368" s="137"/>
      <c r="U368" s="138"/>
      <c r="W368" s="35" t="str">
        <f>"-- "&amp;C368</f>
        <v>-- MMLのテキストデータを抽出し、ワーク_テキスト情報_一時テーブルに格納する。</v>
      </c>
    </row>
    <row r="370" spans="2:23" ht="18.75" customHeight="1">
      <c r="C370" s="150" t="s">
        <v>3679</v>
      </c>
      <c r="D370" s="151"/>
      <c r="E370" s="145" t="str">
        <f>エンティティ一覧!$O$2</f>
        <v>milscm_2023_009</v>
      </c>
      <c r="F370" s="36"/>
      <c r="G370" s="36"/>
      <c r="H370" s="36"/>
      <c r="I370" s="36"/>
      <c r="J370" s="36"/>
      <c r="K370" s="36"/>
      <c r="L370" s="36"/>
      <c r="M370" s="36"/>
      <c r="N370" s="36"/>
      <c r="O370" s="36"/>
      <c r="R370" s="139" t="s">
        <v>4149</v>
      </c>
      <c r="S370" s="140"/>
      <c r="T370" s="145" t="str">
        <f>エンティティ一覧!$O$2</f>
        <v>milscm_2023_009</v>
      </c>
    </row>
    <row r="371" spans="2:23" ht="18.75" customHeight="1">
      <c r="C371" s="152"/>
      <c r="D371" s="153"/>
      <c r="E371" s="146"/>
      <c r="F371" s="37"/>
      <c r="G371" s="37"/>
      <c r="H371" s="37"/>
      <c r="I371" s="37"/>
      <c r="J371" s="37"/>
      <c r="K371" s="37"/>
      <c r="L371" s="37"/>
      <c r="M371" s="37"/>
      <c r="N371" s="37"/>
      <c r="O371" s="37"/>
      <c r="P371" s="37"/>
      <c r="Q371" s="37"/>
      <c r="R371" s="141"/>
      <c r="S371" s="142"/>
      <c r="T371" s="146"/>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4166</v>
      </c>
      <c r="D375" s="113"/>
      <c r="W375" s="35" t="str">
        <f>"-- "&amp;B375&amp;" : "&amp;C375</f>
        <v>-- SQL_ID : 41_17_08</v>
      </c>
    </row>
    <row r="376" spans="2:23" ht="18.75" customHeight="1">
      <c r="B376" s="43" t="s">
        <v>158</v>
      </c>
      <c r="C376" s="147" t="str">
        <f>R379&amp;"登録"</f>
        <v>ワーク_テキスト情報_一時登録</v>
      </c>
      <c r="D376" s="148"/>
      <c r="E376" s="148"/>
      <c r="F376" s="148"/>
      <c r="G376" s="148"/>
      <c r="H376" s="148"/>
      <c r="I376" s="148"/>
      <c r="J376" s="148"/>
      <c r="K376" s="148"/>
      <c r="L376" s="148"/>
      <c r="M376" s="148"/>
      <c r="N376" s="148"/>
      <c r="O376" s="148"/>
      <c r="P376" s="148"/>
      <c r="Q376" s="148"/>
      <c r="R376" s="148"/>
      <c r="S376" s="148"/>
      <c r="T376" s="148"/>
      <c r="U376" s="149"/>
      <c r="W376" s="35" t="str">
        <f>"-- "&amp;C376</f>
        <v>-- ワーク_テキスト情報_一時登録</v>
      </c>
    </row>
    <row r="377" spans="2:23" ht="18.75" customHeight="1">
      <c r="B377" s="43" t="s">
        <v>159</v>
      </c>
      <c r="C377" s="136" t="str">
        <f>"MMLのテキストデータを抽出し、"&amp;R379&amp;"テーブルに格納する。"</f>
        <v>MMLのテキストデータを抽出し、ワーク_テキスト情報_一時テーブルに格納する。</v>
      </c>
      <c r="D377" s="137"/>
      <c r="E377" s="137"/>
      <c r="F377" s="137"/>
      <c r="G377" s="137"/>
      <c r="H377" s="137"/>
      <c r="I377" s="137"/>
      <c r="J377" s="137"/>
      <c r="K377" s="137"/>
      <c r="L377" s="137"/>
      <c r="M377" s="137"/>
      <c r="N377" s="137"/>
      <c r="O377" s="137"/>
      <c r="P377" s="137"/>
      <c r="Q377" s="137"/>
      <c r="R377" s="137"/>
      <c r="S377" s="137"/>
      <c r="T377" s="137"/>
      <c r="U377" s="138"/>
      <c r="W377" s="35" t="str">
        <f>"-- "&amp;C377</f>
        <v>-- MMLのテキストデータを抽出し、ワーク_テキスト情報_一時テーブルに格納する。</v>
      </c>
    </row>
    <row r="379" spans="2:23" ht="18.75" customHeight="1">
      <c r="C379" s="150" t="s">
        <v>3679</v>
      </c>
      <c r="D379" s="151"/>
      <c r="E379" s="145" t="str">
        <f>エンティティ一覧!$O$2</f>
        <v>milscm_2023_009</v>
      </c>
      <c r="F379" s="36"/>
      <c r="G379" s="36"/>
      <c r="H379" s="36"/>
      <c r="I379" s="36"/>
      <c r="J379" s="36"/>
      <c r="K379" s="36"/>
      <c r="L379" s="36"/>
      <c r="M379" s="36"/>
      <c r="N379" s="36"/>
      <c r="O379" s="36"/>
      <c r="R379" s="139" t="s">
        <v>4149</v>
      </c>
      <c r="S379" s="140"/>
      <c r="T379" s="145" t="str">
        <f>エンティティ一覧!$O$2</f>
        <v>milscm_2023_009</v>
      </c>
    </row>
    <row r="380" spans="2:23" ht="18.75" customHeight="1">
      <c r="C380" s="152"/>
      <c r="D380" s="153"/>
      <c r="E380" s="146"/>
      <c r="F380" s="37"/>
      <c r="G380" s="37"/>
      <c r="H380" s="37"/>
      <c r="I380" s="37"/>
      <c r="J380" s="37"/>
      <c r="K380" s="37"/>
      <c r="L380" s="37"/>
      <c r="M380" s="37"/>
      <c r="N380" s="37"/>
      <c r="O380" s="37"/>
      <c r="P380" s="37"/>
      <c r="Q380" s="37"/>
      <c r="R380" s="141"/>
      <c r="S380" s="142"/>
      <c r="T380" s="146"/>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4167</v>
      </c>
      <c r="D384" s="113"/>
      <c r="W384" s="35" t="str">
        <f>"-- "&amp;B384&amp;" : "&amp;C384</f>
        <v>-- SQL_ID : 41_17_09</v>
      </c>
    </row>
    <row r="385" spans="2:23" ht="18.75" customHeight="1">
      <c r="B385" s="43" t="s">
        <v>158</v>
      </c>
      <c r="C385" s="147" t="str">
        <f>R388&amp;"登録"</f>
        <v>ワーク_テキスト情報_一時登録</v>
      </c>
      <c r="D385" s="148"/>
      <c r="E385" s="148"/>
      <c r="F385" s="148"/>
      <c r="G385" s="148"/>
      <c r="H385" s="148"/>
      <c r="I385" s="148"/>
      <c r="J385" s="148"/>
      <c r="K385" s="148"/>
      <c r="L385" s="148"/>
      <c r="M385" s="148"/>
      <c r="N385" s="148"/>
      <c r="O385" s="148"/>
      <c r="P385" s="148"/>
      <c r="Q385" s="148"/>
      <c r="R385" s="148"/>
      <c r="S385" s="148"/>
      <c r="T385" s="148"/>
      <c r="U385" s="149"/>
      <c r="W385" s="35" t="str">
        <f>"-- "&amp;C385</f>
        <v>-- ワーク_テキスト情報_一時登録</v>
      </c>
    </row>
    <row r="386" spans="2:23" ht="18.75" customHeight="1">
      <c r="B386" s="43" t="s">
        <v>159</v>
      </c>
      <c r="C386" s="136" t="str">
        <f>"MMLのテキストデータを抽出し、"&amp;R388&amp;"テーブルに格納する。"</f>
        <v>MMLのテキストデータを抽出し、ワーク_テキスト情報_一時テーブルに格納する。</v>
      </c>
      <c r="D386" s="137"/>
      <c r="E386" s="137"/>
      <c r="F386" s="137"/>
      <c r="G386" s="137"/>
      <c r="H386" s="137"/>
      <c r="I386" s="137"/>
      <c r="J386" s="137"/>
      <c r="K386" s="137"/>
      <c r="L386" s="137"/>
      <c r="M386" s="137"/>
      <c r="N386" s="137"/>
      <c r="O386" s="137"/>
      <c r="P386" s="137"/>
      <c r="Q386" s="137"/>
      <c r="R386" s="137"/>
      <c r="S386" s="137"/>
      <c r="T386" s="137"/>
      <c r="U386" s="138"/>
      <c r="W386" s="35" t="str">
        <f>"-- "&amp;C386</f>
        <v>-- MMLのテキストデータを抽出し、ワーク_テキスト情報_一時テーブルに格納する。</v>
      </c>
    </row>
    <row r="388" spans="2:23" ht="18.75" customHeight="1">
      <c r="C388" s="150" t="s">
        <v>3683</v>
      </c>
      <c r="D388" s="151"/>
      <c r="E388" s="145" t="str">
        <f>エンティティ一覧!$O$2</f>
        <v>milscm_2023_009</v>
      </c>
      <c r="F388" s="36"/>
      <c r="G388" s="36"/>
      <c r="H388" s="36"/>
      <c r="I388" s="36"/>
      <c r="J388" s="36"/>
      <c r="K388" s="36"/>
      <c r="L388" s="36"/>
      <c r="M388" s="36"/>
      <c r="N388" s="36"/>
      <c r="O388" s="36"/>
      <c r="R388" s="139" t="s">
        <v>4149</v>
      </c>
      <c r="S388" s="140"/>
      <c r="T388" s="145" t="str">
        <f>エンティティ一覧!$O$2</f>
        <v>milscm_2023_009</v>
      </c>
    </row>
    <row r="389" spans="2:23" ht="18.75" customHeight="1">
      <c r="C389" s="152"/>
      <c r="D389" s="153"/>
      <c r="E389" s="146"/>
      <c r="F389" s="37"/>
      <c r="G389" s="37"/>
      <c r="H389" s="37"/>
      <c r="I389" s="37"/>
      <c r="J389" s="37"/>
      <c r="K389" s="37"/>
      <c r="L389" s="37"/>
      <c r="M389" s="37"/>
      <c r="N389" s="37"/>
      <c r="O389" s="37"/>
      <c r="P389" s="37"/>
      <c r="Q389" s="37"/>
      <c r="R389" s="141"/>
      <c r="S389" s="142"/>
      <c r="T389" s="146"/>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4168</v>
      </c>
      <c r="D393" s="113"/>
      <c r="W393" s="35" t="str">
        <f>"-- "&amp;B393&amp;" : "&amp;C393</f>
        <v>-- SQL_ID : 41_17_10</v>
      </c>
    </row>
    <row r="394" spans="2:23" ht="18.75" customHeight="1">
      <c r="B394" s="43" t="s">
        <v>158</v>
      </c>
      <c r="C394" s="147" t="str">
        <f>R397&amp;"登録"</f>
        <v>ワーク_テキスト情報_一時登録</v>
      </c>
      <c r="D394" s="148"/>
      <c r="E394" s="148"/>
      <c r="F394" s="148"/>
      <c r="G394" s="148"/>
      <c r="H394" s="148"/>
      <c r="I394" s="148"/>
      <c r="J394" s="148"/>
      <c r="K394" s="148"/>
      <c r="L394" s="148"/>
      <c r="M394" s="148"/>
      <c r="N394" s="148"/>
      <c r="O394" s="148"/>
      <c r="P394" s="148"/>
      <c r="Q394" s="148"/>
      <c r="R394" s="148"/>
      <c r="S394" s="148"/>
      <c r="T394" s="148"/>
      <c r="U394" s="149"/>
      <c r="W394" s="35" t="str">
        <f>"-- "&amp;C394</f>
        <v>-- ワーク_テキスト情報_一時登録</v>
      </c>
    </row>
    <row r="395" spans="2:23" ht="18.75" customHeight="1">
      <c r="B395" s="43" t="s">
        <v>159</v>
      </c>
      <c r="C395" s="136" t="str">
        <f>"MMLのテキストデータを抽出し、"&amp;R397&amp;"テーブルに格納する。"</f>
        <v>MMLのテキストデータを抽出し、ワーク_テキスト情報_一時テーブルに格納する。</v>
      </c>
      <c r="D395" s="137"/>
      <c r="E395" s="137"/>
      <c r="F395" s="137"/>
      <c r="G395" s="137"/>
      <c r="H395" s="137"/>
      <c r="I395" s="137"/>
      <c r="J395" s="137"/>
      <c r="K395" s="137"/>
      <c r="L395" s="137"/>
      <c r="M395" s="137"/>
      <c r="N395" s="137"/>
      <c r="O395" s="137"/>
      <c r="P395" s="137"/>
      <c r="Q395" s="137"/>
      <c r="R395" s="137"/>
      <c r="S395" s="137"/>
      <c r="T395" s="137"/>
      <c r="U395" s="138"/>
      <c r="W395" s="35" t="str">
        <f>"-- "&amp;C395</f>
        <v>-- MMLのテキストデータを抽出し、ワーク_テキスト情報_一時テーブルに格納する。</v>
      </c>
    </row>
    <row r="397" spans="2:23" ht="18.75" customHeight="1">
      <c r="C397" s="150" t="s">
        <v>3683</v>
      </c>
      <c r="D397" s="151"/>
      <c r="E397" s="145" t="str">
        <f>エンティティ一覧!$O$2</f>
        <v>milscm_2023_009</v>
      </c>
      <c r="F397" s="36"/>
      <c r="G397" s="36"/>
      <c r="H397" s="36"/>
      <c r="I397" s="36"/>
      <c r="J397" s="36"/>
      <c r="K397" s="36"/>
      <c r="L397" s="36"/>
      <c r="M397" s="36"/>
      <c r="N397" s="36"/>
      <c r="O397" s="36"/>
      <c r="R397" s="139" t="s">
        <v>4149</v>
      </c>
      <c r="S397" s="140"/>
      <c r="T397" s="145" t="str">
        <f>エンティティ一覧!$O$2</f>
        <v>milscm_2023_009</v>
      </c>
    </row>
    <row r="398" spans="2:23" ht="18.75" customHeight="1">
      <c r="C398" s="152"/>
      <c r="D398" s="153"/>
      <c r="E398" s="146"/>
      <c r="F398" s="37"/>
      <c r="G398" s="37"/>
      <c r="H398" s="37"/>
      <c r="I398" s="37"/>
      <c r="J398" s="37"/>
      <c r="K398" s="37"/>
      <c r="L398" s="37"/>
      <c r="M398" s="37"/>
      <c r="N398" s="37"/>
      <c r="O398" s="37"/>
      <c r="P398" s="37"/>
      <c r="Q398" s="37"/>
      <c r="R398" s="141"/>
      <c r="S398" s="142"/>
      <c r="T398" s="146"/>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4169</v>
      </c>
      <c r="D402" s="113"/>
      <c r="W402" s="35" t="str">
        <f>"-- "&amp;B402&amp;" : "&amp;C402</f>
        <v>-- SQL_ID : 41_17_11</v>
      </c>
    </row>
    <row r="403" spans="2:23" ht="18.75" customHeight="1">
      <c r="B403" s="43" t="s">
        <v>158</v>
      </c>
      <c r="C403" s="147" t="str">
        <f>R406&amp;"登録"</f>
        <v>ワーク_テキスト情報_一時登録</v>
      </c>
      <c r="D403" s="148"/>
      <c r="E403" s="148"/>
      <c r="F403" s="148"/>
      <c r="G403" s="148"/>
      <c r="H403" s="148"/>
      <c r="I403" s="148"/>
      <c r="J403" s="148"/>
      <c r="K403" s="148"/>
      <c r="L403" s="148"/>
      <c r="M403" s="148"/>
      <c r="N403" s="148"/>
      <c r="O403" s="148"/>
      <c r="P403" s="148"/>
      <c r="Q403" s="148"/>
      <c r="R403" s="148"/>
      <c r="S403" s="148"/>
      <c r="T403" s="148"/>
      <c r="U403" s="149"/>
      <c r="W403" s="35" t="str">
        <f>"-- "&amp;C403</f>
        <v>-- ワーク_テキスト情報_一時登録</v>
      </c>
    </row>
    <row r="404" spans="2:23" ht="18.75" customHeight="1">
      <c r="B404" s="43" t="s">
        <v>159</v>
      </c>
      <c r="C404" s="136" t="str">
        <f>"MMLのテキストデータを抽出し、"&amp;R406&amp;"テーブルに格納する。"</f>
        <v>MMLのテキストデータを抽出し、ワーク_テキスト情報_一時テーブルに格納する。</v>
      </c>
      <c r="D404" s="137"/>
      <c r="E404" s="137"/>
      <c r="F404" s="137"/>
      <c r="G404" s="137"/>
      <c r="H404" s="137"/>
      <c r="I404" s="137"/>
      <c r="J404" s="137"/>
      <c r="K404" s="137"/>
      <c r="L404" s="137"/>
      <c r="M404" s="137"/>
      <c r="N404" s="137"/>
      <c r="O404" s="137"/>
      <c r="P404" s="137"/>
      <c r="Q404" s="137"/>
      <c r="R404" s="137"/>
      <c r="S404" s="137"/>
      <c r="T404" s="137"/>
      <c r="U404" s="138"/>
      <c r="W404" s="35" t="str">
        <f>"-- "&amp;C404</f>
        <v>-- MMLのテキストデータを抽出し、ワーク_テキスト情報_一時テーブルに格納する。</v>
      </c>
    </row>
    <row r="406" spans="2:23" ht="18.75" customHeight="1">
      <c r="C406" s="150" t="s">
        <v>3683</v>
      </c>
      <c r="D406" s="151"/>
      <c r="E406" s="145" t="str">
        <f>エンティティ一覧!$O$2</f>
        <v>milscm_2023_009</v>
      </c>
      <c r="F406" s="36"/>
      <c r="G406" s="36"/>
      <c r="H406" s="36"/>
      <c r="I406" s="36"/>
      <c r="J406" s="36"/>
      <c r="K406" s="36"/>
      <c r="L406" s="36"/>
      <c r="M406" s="36"/>
      <c r="N406" s="36"/>
      <c r="O406" s="36"/>
      <c r="R406" s="139" t="s">
        <v>4149</v>
      </c>
      <c r="S406" s="140"/>
      <c r="T406" s="145" t="str">
        <f>エンティティ一覧!$O$2</f>
        <v>milscm_2023_009</v>
      </c>
    </row>
    <row r="407" spans="2:23" ht="18.75" customHeight="1">
      <c r="C407" s="152"/>
      <c r="D407" s="153"/>
      <c r="E407" s="146"/>
      <c r="F407" s="37"/>
      <c r="G407" s="37"/>
      <c r="H407" s="37"/>
      <c r="I407" s="37"/>
      <c r="J407" s="37"/>
      <c r="K407" s="37"/>
      <c r="L407" s="37"/>
      <c r="M407" s="37"/>
      <c r="N407" s="37"/>
      <c r="O407" s="37"/>
      <c r="P407" s="37"/>
      <c r="Q407" s="37"/>
      <c r="R407" s="141"/>
      <c r="S407" s="142"/>
      <c r="T407" s="146"/>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4170</v>
      </c>
      <c r="D411" s="113"/>
      <c r="W411" s="35" t="str">
        <f>"-- "&amp;B411&amp;" : "&amp;C411</f>
        <v>-- SQL_ID : 41_17_12</v>
      </c>
    </row>
    <row r="412" spans="2:23" ht="18.75" customHeight="1">
      <c r="B412" s="43" t="s">
        <v>158</v>
      </c>
      <c r="C412" s="147" t="str">
        <f>R415&amp;"登録"</f>
        <v>ワーク_テキスト情報_一時登録</v>
      </c>
      <c r="D412" s="148"/>
      <c r="E412" s="148"/>
      <c r="F412" s="148"/>
      <c r="G412" s="148"/>
      <c r="H412" s="148"/>
      <c r="I412" s="148"/>
      <c r="J412" s="148"/>
      <c r="K412" s="148"/>
      <c r="L412" s="148"/>
      <c r="M412" s="148"/>
      <c r="N412" s="148"/>
      <c r="O412" s="148"/>
      <c r="P412" s="148"/>
      <c r="Q412" s="148"/>
      <c r="R412" s="148"/>
      <c r="S412" s="148"/>
      <c r="T412" s="148"/>
      <c r="U412" s="149"/>
      <c r="W412" s="35" t="str">
        <f>"-- "&amp;C412</f>
        <v>-- ワーク_テキスト情報_一時登録</v>
      </c>
    </row>
    <row r="413" spans="2:23" ht="18.75" customHeight="1">
      <c r="B413" s="43" t="s">
        <v>159</v>
      </c>
      <c r="C413" s="136" t="str">
        <f>"MMLのテキストデータを抽出し、"&amp;R415&amp;"テーブルに格納する。"</f>
        <v>MMLのテキストデータを抽出し、ワーク_テキスト情報_一時テーブルに格納する。</v>
      </c>
      <c r="D413" s="137"/>
      <c r="E413" s="137"/>
      <c r="F413" s="137"/>
      <c r="G413" s="137"/>
      <c r="H413" s="137"/>
      <c r="I413" s="137"/>
      <c r="J413" s="137"/>
      <c r="K413" s="137"/>
      <c r="L413" s="137"/>
      <c r="M413" s="137"/>
      <c r="N413" s="137"/>
      <c r="O413" s="137"/>
      <c r="P413" s="137"/>
      <c r="Q413" s="137"/>
      <c r="R413" s="137"/>
      <c r="S413" s="137"/>
      <c r="T413" s="137"/>
      <c r="U413" s="138"/>
      <c r="W413" s="35" t="str">
        <f>"-- "&amp;C413</f>
        <v>-- MMLのテキストデータを抽出し、ワーク_テキスト情報_一時テーブルに格納する。</v>
      </c>
    </row>
    <row r="415" spans="2:23" ht="18.75" customHeight="1">
      <c r="C415" s="150" t="s">
        <v>3683</v>
      </c>
      <c r="D415" s="151"/>
      <c r="E415" s="145" t="str">
        <f>エンティティ一覧!$O$2</f>
        <v>milscm_2023_009</v>
      </c>
      <c r="F415" s="36"/>
      <c r="G415" s="36"/>
      <c r="H415" s="36"/>
      <c r="I415" s="36"/>
      <c r="J415" s="36"/>
      <c r="K415" s="36"/>
      <c r="L415" s="36"/>
      <c r="M415" s="36"/>
      <c r="N415" s="36"/>
      <c r="O415" s="36"/>
      <c r="R415" s="139" t="s">
        <v>4149</v>
      </c>
      <c r="S415" s="140"/>
      <c r="T415" s="145" t="str">
        <f>エンティティ一覧!$O$2</f>
        <v>milscm_2023_009</v>
      </c>
    </row>
    <row r="416" spans="2:23" ht="18.75" customHeight="1">
      <c r="C416" s="152"/>
      <c r="D416" s="153"/>
      <c r="E416" s="146"/>
      <c r="F416" s="37"/>
      <c r="G416" s="37"/>
      <c r="H416" s="37"/>
      <c r="I416" s="37"/>
      <c r="J416" s="37"/>
      <c r="K416" s="37"/>
      <c r="L416" s="37"/>
      <c r="M416" s="37"/>
      <c r="N416" s="37"/>
      <c r="O416" s="37"/>
      <c r="P416" s="37"/>
      <c r="Q416" s="37"/>
      <c r="R416" s="141"/>
      <c r="S416" s="142"/>
      <c r="T416" s="146"/>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4171</v>
      </c>
      <c r="D420" s="113"/>
      <c r="W420" s="35" t="str">
        <f>"-- "&amp;B420&amp;" : "&amp;C420</f>
        <v>-- SQL_ID : 41_17_13</v>
      </c>
    </row>
    <row r="421" spans="2:23" ht="18.75" customHeight="1">
      <c r="B421" s="43" t="s">
        <v>158</v>
      </c>
      <c r="C421" s="147" t="str">
        <f>R424&amp;"登録"</f>
        <v>ワーク_テキスト情報_一時登録</v>
      </c>
      <c r="D421" s="148"/>
      <c r="E421" s="148"/>
      <c r="F421" s="148"/>
      <c r="G421" s="148"/>
      <c r="H421" s="148"/>
      <c r="I421" s="148"/>
      <c r="J421" s="148"/>
      <c r="K421" s="148"/>
      <c r="L421" s="148"/>
      <c r="M421" s="148"/>
      <c r="N421" s="148"/>
      <c r="O421" s="148"/>
      <c r="P421" s="148"/>
      <c r="Q421" s="148"/>
      <c r="R421" s="148"/>
      <c r="S421" s="148"/>
      <c r="T421" s="148"/>
      <c r="U421" s="149"/>
      <c r="W421" s="35" t="str">
        <f>"-- "&amp;C421</f>
        <v>-- ワーク_テキスト情報_一時登録</v>
      </c>
    </row>
    <row r="422" spans="2:23" ht="18.75" customHeight="1">
      <c r="B422" s="43" t="s">
        <v>159</v>
      </c>
      <c r="C422" s="136" t="str">
        <f>"MMLのテキストデータを抽出し、"&amp;R424&amp;"テーブルに格納する。"</f>
        <v>MMLのテキストデータを抽出し、ワーク_テキスト情報_一時テーブルに格納する。</v>
      </c>
      <c r="D422" s="137"/>
      <c r="E422" s="137"/>
      <c r="F422" s="137"/>
      <c r="G422" s="137"/>
      <c r="H422" s="137"/>
      <c r="I422" s="137"/>
      <c r="J422" s="137"/>
      <c r="K422" s="137"/>
      <c r="L422" s="137"/>
      <c r="M422" s="137"/>
      <c r="N422" s="137"/>
      <c r="O422" s="137"/>
      <c r="P422" s="137"/>
      <c r="Q422" s="137"/>
      <c r="R422" s="137"/>
      <c r="S422" s="137"/>
      <c r="T422" s="137"/>
      <c r="U422" s="138"/>
      <c r="W422" s="35" t="str">
        <f>"-- "&amp;C422</f>
        <v>-- MMLのテキストデータを抽出し、ワーク_テキスト情報_一時テーブルに格納する。</v>
      </c>
    </row>
    <row r="424" spans="2:23" ht="18.75" customHeight="1">
      <c r="C424" s="150" t="s">
        <v>3686</v>
      </c>
      <c r="D424" s="151"/>
      <c r="E424" s="145" t="str">
        <f>エンティティ一覧!$O$2</f>
        <v>milscm_2023_009</v>
      </c>
      <c r="F424" s="36"/>
      <c r="G424" s="36"/>
      <c r="H424" s="36"/>
      <c r="I424" s="36"/>
      <c r="J424" s="36"/>
      <c r="K424" s="36"/>
      <c r="L424" s="36"/>
      <c r="M424" s="36"/>
      <c r="N424" s="36"/>
      <c r="O424" s="36"/>
      <c r="R424" s="139" t="s">
        <v>4149</v>
      </c>
      <c r="S424" s="140"/>
      <c r="T424" s="145" t="str">
        <f>エンティティ一覧!$O$2</f>
        <v>milscm_2023_009</v>
      </c>
    </row>
    <row r="425" spans="2:23" ht="18.75" customHeight="1">
      <c r="C425" s="152"/>
      <c r="D425" s="153"/>
      <c r="E425" s="146"/>
      <c r="F425" s="37"/>
      <c r="G425" s="37"/>
      <c r="H425" s="37"/>
      <c r="I425" s="37"/>
      <c r="J425" s="37"/>
      <c r="K425" s="97"/>
      <c r="L425" s="37"/>
      <c r="M425" s="37"/>
      <c r="N425" s="37"/>
      <c r="O425" s="37"/>
      <c r="P425" s="37"/>
      <c r="Q425" s="37"/>
      <c r="R425" s="141"/>
      <c r="S425" s="142"/>
      <c r="T425" s="146"/>
    </row>
    <row r="426" spans="2:23" ht="18.75" customHeight="1">
      <c r="K426" s="104"/>
    </row>
    <row r="427" spans="2:23" ht="18.75" customHeight="1">
      <c r="C427" s="150" t="s">
        <v>3683</v>
      </c>
      <c r="D427" s="151"/>
      <c r="E427" s="145" t="str">
        <f>エンティティ一覧!$O$2</f>
        <v>milscm_2023_009</v>
      </c>
      <c r="F427" s="36"/>
      <c r="G427" s="36"/>
      <c r="H427" s="36"/>
      <c r="I427" s="36"/>
      <c r="J427" s="36"/>
      <c r="K427" s="105"/>
    </row>
    <row r="428" spans="2:23" ht="18.75" customHeight="1">
      <c r="C428" s="152"/>
      <c r="D428" s="153"/>
      <c r="E428" s="146"/>
      <c r="F428" s="37"/>
      <c r="G428" s="37"/>
      <c r="H428" s="37"/>
      <c r="I428" s="37"/>
      <c r="J428" s="37"/>
    </row>
    <row r="429" spans="2:23" ht="18.75" customHeight="1" thickBot="1">
      <c r="B429" s="42"/>
      <c r="C429" s="42"/>
      <c r="D429" s="42"/>
      <c r="E429" s="42"/>
      <c r="F429" s="42"/>
      <c r="G429" s="42"/>
      <c r="H429" s="42"/>
      <c r="I429" s="42"/>
      <c r="J429" s="42"/>
      <c r="K429" s="42"/>
      <c r="L429" s="42"/>
      <c r="M429" s="42"/>
      <c r="N429" s="42"/>
      <c r="O429" s="42"/>
      <c r="P429" s="42"/>
      <c r="Q429" s="42"/>
      <c r="R429" s="42"/>
      <c r="S429" s="42"/>
      <c r="T429" s="42"/>
      <c r="U429" s="42"/>
    </row>
    <row r="431" spans="2:23" ht="18.75" customHeight="1">
      <c r="B431" s="43" t="s">
        <v>163</v>
      </c>
      <c r="C431" s="51" t="s">
        <v>4172</v>
      </c>
      <c r="D431" s="113"/>
      <c r="W431" s="35" t="str">
        <f>"-- "&amp;B431&amp;" : "&amp;C431</f>
        <v>-- SQL_ID : 41_18</v>
      </c>
    </row>
    <row r="432" spans="2:23" ht="18.75" customHeight="1">
      <c r="B432" s="43" t="s">
        <v>158</v>
      </c>
      <c r="C432" s="147" t="str">
        <f>R435&amp;"登録"</f>
        <v>ワーク_テキスト情報登録</v>
      </c>
      <c r="D432" s="148"/>
      <c r="E432" s="148"/>
      <c r="F432" s="148"/>
      <c r="G432" s="148"/>
      <c r="H432" s="148"/>
      <c r="I432" s="148"/>
      <c r="J432" s="148"/>
      <c r="K432" s="148"/>
      <c r="L432" s="148"/>
      <c r="M432" s="148"/>
      <c r="N432" s="148"/>
      <c r="O432" s="148"/>
      <c r="P432" s="148"/>
      <c r="Q432" s="148"/>
      <c r="R432" s="148"/>
      <c r="S432" s="148"/>
      <c r="T432" s="148"/>
      <c r="U432" s="149"/>
      <c r="W432" s="35" t="str">
        <f>"-- "&amp;C432</f>
        <v>-- ワーク_テキスト情報登録</v>
      </c>
    </row>
    <row r="433" spans="2:23" ht="18.75" customHeight="1">
      <c r="B433" s="43" t="s">
        <v>159</v>
      </c>
      <c r="C433" s="136" t="str">
        <f>"MMLのテキストデータを抽出し、"&amp;R435&amp;"テーブルに格納する。"</f>
        <v>MMLのテキストデータを抽出し、ワーク_テキスト情報テーブルに格納する。</v>
      </c>
      <c r="D433" s="137"/>
      <c r="E433" s="137"/>
      <c r="F433" s="137"/>
      <c r="G433" s="137"/>
      <c r="H433" s="137"/>
      <c r="I433" s="137"/>
      <c r="J433" s="137"/>
      <c r="K433" s="137"/>
      <c r="L433" s="137"/>
      <c r="M433" s="137"/>
      <c r="N433" s="137"/>
      <c r="O433" s="137"/>
      <c r="P433" s="137"/>
      <c r="Q433" s="137"/>
      <c r="R433" s="137"/>
      <c r="S433" s="137"/>
      <c r="T433" s="137"/>
      <c r="U433" s="138"/>
      <c r="W433" s="35" t="str">
        <f>"-- "&amp;C433</f>
        <v>-- MMLのテキストデータを抽出し、ワーク_テキスト情報テーブルに格納する。</v>
      </c>
    </row>
    <row r="435" spans="2:23" ht="18.75" customHeight="1">
      <c r="C435" s="139" t="s">
        <v>4149</v>
      </c>
      <c r="D435" s="140"/>
      <c r="E435" s="145" t="str">
        <f>エンティティ一覧!$O$2</f>
        <v>milscm_2023_009</v>
      </c>
      <c r="F435" s="36"/>
      <c r="G435" s="36"/>
      <c r="H435" s="36"/>
      <c r="I435" s="36"/>
      <c r="J435" s="36"/>
      <c r="K435" s="36"/>
      <c r="L435" s="36"/>
      <c r="M435" s="36"/>
      <c r="N435" s="36"/>
      <c r="O435" s="36"/>
      <c r="R435" s="139" t="s">
        <v>4150</v>
      </c>
      <c r="S435" s="140"/>
      <c r="T435" s="145" t="str">
        <f>エンティティ一覧!$O$2</f>
        <v>milscm_2023_009</v>
      </c>
    </row>
    <row r="436" spans="2:23" ht="18.75" customHeight="1">
      <c r="C436" s="141"/>
      <c r="D436" s="142"/>
      <c r="E436" s="146"/>
      <c r="F436" s="37"/>
      <c r="G436" s="37"/>
      <c r="H436" s="37"/>
      <c r="I436" s="37"/>
      <c r="J436" s="37"/>
      <c r="K436" s="37"/>
      <c r="L436" s="37"/>
      <c r="M436" s="37"/>
      <c r="N436" s="37"/>
      <c r="O436" s="37"/>
      <c r="P436" s="37"/>
      <c r="Q436" s="38"/>
      <c r="R436" s="141"/>
      <c r="S436" s="142"/>
      <c r="T436" s="146"/>
    </row>
    <row r="437" spans="2:23" ht="18.75" customHeight="1">
      <c r="P437" s="39"/>
      <c r="Q437" s="40"/>
    </row>
    <row r="438" spans="2:23" ht="18.75" customHeight="1">
      <c r="H438" s="139" t="s">
        <v>3732</v>
      </c>
      <c r="I438" s="140"/>
      <c r="J438" s="145" t="str">
        <f>エンティティ一覧!$O$2</f>
        <v>milscm_2023_009</v>
      </c>
      <c r="M438" s="36"/>
      <c r="N438" s="36"/>
      <c r="O438" s="36"/>
      <c r="Q438" s="41"/>
    </row>
    <row r="439" spans="2:23" ht="18.75" customHeight="1">
      <c r="H439" s="141"/>
      <c r="I439" s="142"/>
      <c r="J439" s="146"/>
      <c r="K439" s="37"/>
      <c r="L439" s="38"/>
      <c r="M439" s="37"/>
      <c r="N439" s="37"/>
      <c r="O439" s="37"/>
      <c r="P439" s="37"/>
    </row>
    <row r="440" spans="2:23" ht="18.75" customHeight="1">
      <c r="K440" s="39"/>
      <c r="L440" s="40"/>
    </row>
    <row r="441" spans="2:23" ht="18.75" customHeight="1">
      <c r="H441" s="139" t="s">
        <v>187</v>
      </c>
      <c r="I441" s="140"/>
      <c r="J441" s="145" t="str">
        <f>エンティティ一覧!$O$2</f>
        <v>milscm_2023_009</v>
      </c>
      <c r="L441" s="41"/>
    </row>
    <row r="442" spans="2:23" ht="18.75" customHeight="1">
      <c r="H442" s="141"/>
      <c r="I442" s="142"/>
      <c r="J442" s="146"/>
      <c r="K442" s="37"/>
    </row>
    <row r="444" spans="2:23" ht="18.75" customHeight="1" thickBot="1">
      <c r="B444" s="42"/>
      <c r="C444" s="42"/>
      <c r="D444" s="42"/>
      <c r="E444" s="42"/>
      <c r="F444" s="42"/>
      <c r="G444" s="42"/>
      <c r="H444" s="42"/>
      <c r="I444" s="42"/>
      <c r="J444" s="42"/>
      <c r="K444" s="42"/>
      <c r="L444" s="42"/>
      <c r="M444" s="42"/>
      <c r="N444" s="42"/>
      <c r="O444" s="42"/>
      <c r="P444" s="42"/>
      <c r="Q444" s="42"/>
      <c r="R444" s="42"/>
      <c r="S444" s="42"/>
      <c r="T444" s="42"/>
      <c r="U444" s="42"/>
    </row>
    <row r="446" spans="2:23" ht="18.75" customHeight="1">
      <c r="B446" s="43" t="s">
        <v>163</v>
      </c>
      <c r="C446" s="51" t="s">
        <v>4287</v>
      </c>
      <c r="D446" s="118"/>
      <c r="W446" s="35" t="str">
        <f>"-- "&amp;B446&amp;" : "&amp;C446</f>
        <v>-- SQL_ID : 41_19</v>
      </c>
    </row>
    <row r="447" spans="2:23" ht="18.75" customHeight="1">
      <c r="B447" s="43" t="s">
        <v>158</v>
      </c>
      <c r="C447" s="147" t="str">
        <f>R450&amp;"登録"</f>
        <v>ワーク_観察期間登録</v>
      </c>
      <c r="D447" s="148"/>
      <c r="E447" s="148"/>
      <c r="F447" s="148"/>
      <c r="G447" s="148"/>
      <c r="H447" s="148"/>
      <c r="I447" s="148"/>
      <c r="J447" s="148"/>
      <c r="K447" s="148"/>
      <c r="L447" s="148"/>
      <c r="M447" s="148"/>
      <c r="N447" s="148"/>
      <c r="O447" s="148"/>
      <c r="P447" s="148"/>
      <c r="Q447" s="148"/>
      <c r="R447" s="148"/>
      <c r="S447" s="148"/>
      <c r="T447" s="148"/>
      <c r="U447" s="149"/>
      <c r="W447" s="35" t="str">
        <f>"-- "&amp;C447</f>
        <v>-- ワーク_観察期間登録</v>
      </c>
    </row>
    <row r="448" spans="2:23" ht="18.75" customHeight="1">
      <c r="B448" s="43" t="s">
        <v>159</v>
      </c>
      <c r="C448" s="136" t="str">
        <f>"MMLのテキストデータを抽出し、"&amp;R450&amp;"テーブルに格納する。"</f>
        <v>MMLのテキストデータを抽出し、ワーク_観察期間テーブルに格納する。</v>
      </c>
      <c r="D448" s="137"/>
      <c r="E448" s="137"/>
      <c r="F448" s="137"/>
      <c r="G448" s="137"/>
      <c r="H448" s="137"/>
      <c r="I448" s="137"/>
      <c r="J448" s="137"/>
      <c r="K448" s="137"/>
      <c r="L448" s="137"/>
      <c r="M448" s="137"/>
      <c r="N448" s="137"/>
      <c r="O448" s="137"/>
      <c r="P448" s="137"/>
      <c r="Q448" s="137"/>
      <c r="R448" s="137"/>
      <c r="S448" s="137"/>
      <c r="T448" s="137"/>
      <c r="U448" s="138"/>
      <c r="W448" s="35" t="str">
        <f>"-- "&amp;C448</f>
        <v>-- MMLのテキストデータを抽出し、ワーク_観察期間テーブルに格納する。</v>
      </c>
    </row>
    <row r="450" spans="3:20" ht="18.75" customHeight="1">
      <c r="C450" s="139" t="s">
        <v>4289</v>
      </c>
      <c r="D450" s="140"/>
      <c r="E450" s="145" t="str">
        <f>エンティティ一覧!$O$2</f>
        <v>milscm_2023_009</v>
      </c>
      <c r="F450" s="36"/>
      <c r="G450" s="36"/>
      <c r="H450" s="36"/>
      <c r="I450" s="36"/>
      <c r="J450" s="36"/>
      <c r="O450" s="36"/>
      <c r="R450" s="139" t="s">
        <v>4288</v>
      </c>
      <c r="S450" s="140"/>
      <c r="T450" s="145" t="str">
        <f>エンティティ一覧!$O$2</f>
        <v>milscm_2023_009</v>
      </c>
    </row>
    <row r="451" spans="3:20" ht="18.75" customHeight="1">
      <c r="C451" s="141"/>
      <c r="D451" s="142"/>
      <c r="E451" s="146"/>
      <c r="F451" s="37"/>
      <c r="G451" s="37"/>
      <c r="H451" s="37"/>
      <c r="I451" s="37"/>
      <c r="J451" s="37"/>
      <c r="K451" s="37"/>
      <c r="L451" s="38"/>
      <c r="M451" s="37"/>
      <c r="N451" s="38"/>
      <c r="O451" s="38"/>
      <c r="P451" s="37"/>
      <c r="Q451" s="38"/>
      <c r="R451" s="141"/>
      <c r="S451" s="142"/>
      <c r="T451" s="146"/>
    </row>
    <row r="452" spans="3:20" ht="18.75" customHeight="1">
      <c r="K452" s="104"/>
      <c r="M452" s="104"/>
      <c r="O452" s="41"/>
      <c r="P452" s="39"/>
      <c r="Q452" s="40"/>
    </row>
    <row r="453" spans="3:20" ht="18.75" customHeight="1">
      <c r="C453" s="139" t="s">
        <v>4290</v>
      </c>
      <c r="D453" s="140"/>
      <c r="E453" s="145" t="str">
        <f>エンティティ一覧!$O$2</f>
        <v>milscm_2023_009</v>
      </c>
      <c r="F453" s="36"/>
      <c r="G453" s="36"/>
      <c r="H453" s="36"/>
      <c r="I453" s="36"/>
      <c r="J453" s="36"/>
      <c r="K453" s="105"/>
      <c r="M453" s="104"/>
      <c r="O453" s="41"/>
      <c r="P453" s="39"/>
      <c r="Q453" s="40"/>
    </row>
    <row r="454" spans="3:20" ht="18.75" customHeight="1">
      <c r="C454" s="141"/>
      <c r="D454" s="142"/>
      <c r="E454" s="146"/>
      <c r="F454" s="37"/>
      <c r="G454" s="37"/>
      <c r="H454" s="37"/>
      <c r="I454" s="37"/>
      <c r="J454" s="37"/>
      <c r="M454" s="104"/>
      <c r="O454" s="41"/>
      <c r="P454" s="39"/>
      <c r="Q454" s="40"/>
    </row>
    <row r="455" spans="3:20" ht="18.75" customHeight="1">
      <c r="M455" s="104"/>
      <c r="O455" s="41"/>
      <c r="P455" s="39"/>
      <c r="Q455" s="40"/>
    </row>
    <row r="456" spans="3:20" ht="18.75" customHeight="1">
      <c r="M456" s="104"/>
      <c r="O456" s="41"/>
      <c r="P456" s="39"/>
      <c r="Q456" s="40"/>
    </row>
    <row r="457" spans="3:20" ht="18.75" customHeight="1">
      <c r="H457" s="139" t="s">
        <v>3732</v>
      </c>
      <c r="I457" s="140"/>
      <c r="J457" s="145" t="str">
        <f>エンティティ一覧!$O$2</f>
        <v>milscm_2023_009</v>
      </c>
      <c r="K457" s="36"/>
      <c r="L457" s="36"/>
      <c r="M457" s="105"/>
      <c r="N457" s="94"/>
      <c r="O457" s="41"/>
      <c r="P457" s="128"/>
      <c r="Q457" s="101"/>
    </row>
    <row r="458" spans="3:20" ht="18.75" customHeight="1">
      <c r="H458" s="141"/>
      <c r="I458" s="142"/>
      <c r="J458" s="146"/>
      <c r="K458" s="37"/>
      <c r="L458" s="41"/>
      <c r="M458" s="94"/>
      <c r="N458" s="94"/>
      <c r="O458" s="41"/>
      <c r="P458" s="128"/>
      <c r="Q458" s="101"/>
    </row>
    <row r="459" spans="3:20" ht="18.75" customHeight="1">
      <c r="L459" s="41"/>
      <c r="M459" s="94"/>
      <c r="N459" s="94"/>
      <c r="O459" s="41"/>
      <c r="P459" s="128"/>
      <c r="Q459" s="101"/>
    </row>
    <row r="460" spans="3:20" ht="18.75" customHeight="1">
      <c r="H460" s="139" t="s">
        <v>187</v>
      </c>
      <c r="I460" s="140"/>
      <c r="J460" s="145" t="str">
        <f>エンティティ一覧!$O$2</f>
        <v>milscm_2023_009</v>
      </c>
      <c r="L460" s="41"/>
      <c r="M460" s="94"/>
      <c r="N460" s="94"/>
      <c r="O460" s="41"/>
      <c r="P460" s="104"/>
      <c r="Q460" s="94"/>
    </row>
    <row r="461" spans="3:20" ht="18.75" customHeight="1">
      <c r="H461" s="141"/>
      <c r="I461" s="142"/>
      <c r="J461" s="146"/>
      <c r="K461" s="37"/>
      <c r="L461" s="94"/>
      <c r="M461" s="94"/>
      <c r="N461" s="94"/>
      <c r="O461" s="41"/>
      <c r="P461" s="104"/>
      <c r="Q461" s="94"/>
    </row>
    <row r="462" spans="3:20" ht="18.75" customHeight="1">
      <c r="H462" s="124"/>
      <c r="I462" s="124"/>
      <c r="J462" s="124"/>
      <c r="K462" s="94"/>
      <c r="L462" s="94"/>
      <c r="M462" s="94"/>
      <c r="N462" s="94"/>
      <c r="O462" s="41"/>
      <c r="P462" s="104"/>
      <c r="Q462" s="94"/>
    </row>
    <row r="463" spans="3:20" ht="18.75" customHeight="1">
      <c r="H463" s="124"/>
      <c r="I463" s="124"/>
      <c r="J463" s="124"/>
      <c r="K463" s="94"/>
      <c r="L463" s="94"/>
      <c r="M463" s="94"/>
      <c r="N463" s="94"/>
      <c r="O463" s="41"/>
      <c r="P463" s="104"/>
      <c r="Q463" s="94"/>
    </row>
    <row r="464" spans="3:20" ht="18.75" customHeight="1">
      <c r="G464" s="38"/>
      <c r="H464" s="127"/>
      <c r="I464" s="127"/>
      <c r="J464" s="127"/>
      <c r="K464" s="37"/>
      <c r="L464" s="37"/>
      <c r="M464" s="37"/>
      <c r="N464" s="37"/>
      <c r="O464" s="94"/>
      <c r="P464" s="104"/>
      <c r="Q464" s="94"/>
    </row>
    <row r="465" spans="2:21" ht="18.75" customHeight="1">
      <c r="G465" s="41"/>
      <c r="H465" s="124"/>
      <c r="I465" s="124"/>
      <c r="J465" s="124"/>
      <c r="K465" s="94"/>
      <c r="L465" s="94"/>
      <c r="M465" s="94"/>
      <c r="N465" s="94"/>
      <c r="O465" s="94"/>
      <c r="P465" s="104"/>
      <c r="Q465" s="94"/>
    </row>
    <row r="466" spans="2:21" ht="18.75" customHeight="1">
      <c r="G466" s="41"/>
      <c r="H466" s="139" t="s">
        <v>4148</v>
      </c>
      <c r="I466" s="140"/>
      <c r="J466" s="145" t="str">
        <f>エンティティ一覧!$O$2</f>
        <v>milscm_2023_009</v>
      </c>
      <c r="K466" s="36"/>
      <c r="L466" s="36"/>
      <c r="M466" s="36"/>
      <c r="N466" s="36"/>
      <c r="O466" s="36"/>
      <c r="P466" s="105"/>
      <c r="Q466" s="94"/>
    </row>
    <row r="467" spans="2:21" ht="18.75" customHeight="1">
      <c r="F467" s="94"/>
      <c r="G467" s="41"/>
      <c r="H467" s="141"/>
      <c r="I467" s="142"/>
      <c r="J467" s="146"/>
      <c r="K467" s="101"/>
      <c r="L467" s="101"/>
      <c r="M467" s="94"/>
      <c r="N467" s="38"/>
      <c r="O467" s="94"/>
      <c r="P467" s="94"/>
      <c r="Q467" s="94"/>
    </row>
    <row r="468" spans="2:21" ht="18.75" customHeight="1">
      <c r="F468" s="94"/>
      <c r="G468" s="41"/>
      <c r="H468" s="124"/>
      <c r="I468" s="124"/>
      <c r="J468" s="124"/>
      <c r="K468" s="101"/>
      <c r="L468" s="101"/>
      <c r="M468" s="94"/>
      <c r="N468" s="41"/>
      <c r="O468" s="94"/>
      <c r="P468" s="94"/>
      <c r="Q468" s="94"/>
    </row>
    <row r="469" spans="2:21" ht="18.75" customHeight="1">
      <c r="C469" s="139" t="s">
        <v>4089</v>
      </c>
      <c r="D469" s="140"/>
      <c r="E469" s="145" t="str">
        <f>エンティティ一覧!$O$2</f>
        <v>milscm_2023_009</v>
      </c>
      <c r="F469" s="36"/>
      <c r="G469" s="116"/>
      <c r="H469" s="126"/>
      <c r="I469" s="126"/>
      <c r="J469" s="126"/>
      <c r="K469" s="36"/>
      <c r="L469" s="36"/>
      <c r="M469" s="36"/>
      <c r="N469" s="41"/>
      <c r="O469" s="94"/>
      <c r="P469" s="94"/>
      <c r="Q469" s="94"/>
    </row>
    <row r="470" spans="2:21" ht="18.75" customHeight="1">
      <c r="C470" s="141"/>
      <c r="D470" s="142"/>
      <c r="E470" s="146"/>
      <c r="H470" s="125"/>
      <c r="I470" s="125"/>
      <c r="J470" s="125"/>
      <c r="K470" s="94"/>
      <c r="L470" s="94"/>
      <c r="M470" s="94"/>
      <c r="N470" s="94"/>
      <c r="O470" s="94"/>
      <c r="P470" s="94"/>
      <c r="Q470" s="94"/>
    </row>
    <row r="472" spans="2:21" ht="18.75" customHeight="1" thickBot="1">
      <c r="B472" s="42"/>
      <c r="C472" s="42"/>
      <c r="D472" s="42"/>
      <c r="E472" s="42"/>
      <c r="F472" s="42"/>
      <c r="G472" s="42"/>
      <c r="H472" s="42"/>
      <c r="I472" s="42"/>
      <c r="J472" s="42"/>
      <c r="K472" s="42"/>
      <c r="L472" s="42"/>
      <c r="M472" s="42"/>
      <c r="N472" s="42"/>
      <c r="O472" s="42"/>
      <c r="P472" s="42"/>
      <c r="Q472" s="42"/>
      <c r="R472" s="42"/>
      <c r="S472" s="42"/>
      <c r="T472" s="42"/>
      <c r="U472" s="42"/>
    </row>
  </sheetData>
  <mergeCells count="312">
    <mergeCell ref="C447:U447"/>
    <mergeCell ref="C448:U448"/>
    <mergeCell ref="C450:D451"/>
    <mergeCell ref="E450:E451"/>
    <mergeCell ref="R450:S451"/>
    <mergeCell ref="T450:T451"/>
    <mergeCell ref="H460:I461"/>
    <mergeCell ref="J460:J461"/>
    <mergeCell ref="C453:D454"/>
    <mergeCell ref="E453:E454"/>
    <mergeCell ref="H457:I458"/>
    <mergeCell ref="J457:J458"/>
    <mergeCell ref="C31:D32"/>
    <mergeCell ref="E31:E32"/>
    <mergeCell ref="H10:I11"/>
    <mergeCell ref="J10:J11"/>
    <mergeCell ref="C22:D23"/>
    <mergeCell ref="E22:E23"/>
    <mergeCell ref="H46:I47"/>
    <mergeCell ref="J46:J47"/>
    <mergeCell ref="H34:I35"/>
    <mergeCell ref="J34:J35"/>
    <mergeCell ref="H37:I38"/>
    <mergeCell ref="J37:J38"/>
    <mergeCell ref="H43:I44"/>
    <mergeCell ref="J43:J44"/>
    <mergeCell ref="H25:I26"/>
    <mergeCell ref="J25:J26"/>
    <mergeCell ref="C40:D41"/>
    <mergeCell ref="E40:E41"/>
    <mergeCell ref="C127:U127"/>
    <mergeCell ref="C128:U128"/>
    <mergeCell ref="C130:D131"/>
    <mergeCell ref="E130:E131"/>
    <mergeCell ref="R130:S131"/>
    <mergeCell ref="T130:T131"/>
    <mergeCell ref="C133:D134"/>
    <mergeCell ref="E133:E134"/>
    <mergeCell ref="H151:I152"/>
    <mergeCell ref="J151:J152"/>
    <mergeCell ref="C112:U112"/>
    <mergeCell ref="C113:U113"/>
    <mergeCell ref="C115:D116"/>
    <mergeCell ref="E115:E116"/>
    <mergeCell ref="R115:S116"/>
    <mergeCell ref="T115:T116"/>
    <mergeCell ref="H118:I119"/>
    <mergeCell ref="J118:J119"/>
    <mergeCell ref="H121:I122"/>
    <mergeCell ref="J121:J122"/>
    <mergeCell ref="C97:U97"/>
    <mergeCell ref="C98:U98"/>
    <mergeCell ref="C100:D101"/>
    <mergeCell ref="E100:E101"/>
    <mergeCell ref="R100:S101"/>
    <mergeCell ref="T100:T101"/>
    <mergeCell ref="H103:I104"/>
    <mergeCell ref="J103:J104"/>
    <mergeCell ref="H106:I107"/>
    <mergeCell ref="J106:J107"/>
    <mergeCell ref="H64:I65"/>
    <mergeCell ref="J64:J65"/>
    <mergeCell ref="C70:U70"/>
    <mergeCell ref="C71:U71"/>
    <mergeCell ref="C73:D74"/>
    <mergeCell ref="E73:E74"/>
    <mergeCell ref="R73:S74"/>
    <mergeCell ref="T73:T74"/>
    <mergeCell ref="C91:D92"/>
    <mergeCell ref="E91:E92"/>
    <mergeCell ref="H76:I77"/>
    <mergeCell ref="J76:J77"/>
    <mergeCell ref="H79:I80"/>
    <mergeCell ref="J79:J80"/>
    <mergeCell ref="C85:U85"/>
    <mergeCell ref="C86:U86"/>
    <mergeCell ref="C88:D89"/>
    <mergeCell ref="E88:E89"/>
    <mergeCell ref="R88:S89"/>
    <mergeCell ref="T88:T89"/>
    <mergeCell ref="C4:U4"/>
    <mergeCell ref="C5:U5"/>
    <mergeCell ref="C7:D8"/>
    <mergeCell ref="E7:E8"/>
    <mergeCell ref="R7:S8"/>
    <mergeCell ref="T7:T8"/>
    <mergeCell ref="C58:D59"/>
    <mergeCell ref="E58:E59"/>
    <mergeCell ref="H61:I62"/>
    <mergeCell ref="J61:J62"/>
    <mergeCell ref="C52:U52"/>
    <mergeCell ref="C53:U53"/>
    <mergeCell ref="C55:D56"/>
    <mergeCell ref="E55:E56"/>
    <mergeCell ref="R55:S56"/>
    <mergeCell ref="T55:T56"/>
    <mergeCell ref="C16:U16"/>
    <mergeCell ref="C17:U17"/>
    <mergeCell ref="C19:D20"/>
    <mergeCell ref="E19:E20"/>
    <mergeCell ref="R19:S20"/>
    <mergeCell ref="T19:T20"/>
    <mergeCell ref="C28:D29"/>
    <mergeCell ref="E28:E29"/>
    <mergeCell ref="E160:E161"/>
    <mergeCell ref="T160:T161"/>
    <mergeCell ref="J163:J164"/>
    <mergeCell ref="C139:U139"/>
    <mergeCell ref="C140:U140"/>
    <mergeCell ref="C142:D143"/>
    <mergeCell ref="E142:E143"/>
    <mergeCell ref="R142:S143"/>
    <mergeCell ref="T142:T143"/>
    <mergeCell ref="H145:I146"/>
    <mergeCell ref="J145:J146"/>
    <mergeCell ref="H148:I149"/>
    <mergeCell ref="J148:J149"/>
    <mergeCell ref="C157:U157"/>
    <mergeCell ref="C158:U158"/>
    <mergeCell ref="C160:D161"/>
    <mergeCell ref="R160:S161"/>
    <mergeCell ref="H163:I164"/>
    <mergeCell ref="H166:I167"/>
    <mergeCell ref="J166:J167"/>
    <mergeCell ref="H169:I170"/>
    <mergeCell ref="J169:J170"/>
    <mergeCell ref="C175:U175"/>
    <mergeCell ref="C176:U176"/>
    <mergeCell ref="C178:D179"/>
    <mergeCell ref="E178:E179"/>
    <mergeCell ref="R178:S179"/>
    <mergeCell ref="T178:T179"/>
    <mergeCell ref="H181:I182"/>
    <mergeCell ref="J181:J182"/>
    <mergeCell ref="H184:I185"/>
    <mergeCell ref="J184:J185"/>
    <mergeCell ref="H187:I188"/>
    <mergeCell ref="J187:J188"/>
    <mergeCell ref="H190:I191"/>
    <mergeCell ref="J190:J191"/>
    <mergeCell ref="H193:I194"/>
    <mergeCell ref="J193:J194"/>
    <mergeCell ref="H196:I197"/>
    <mergeCell ref="J196:J197"/>
    <mergeCell ref="H199:I200"/>
    <mergeCell ref="J199:J200"/>
    <mergeCell ref="C205:U205"/>
    <mergeCell ref="C206:U206"/>
    <mergeCell ref="C208:D209"/>
    <mergeCell ref="E208:E209"/>
    <mergeCell ref="R208:S209"/>
    <mergeCell ref="T208:T209"/>
    <mergeCell ref="C211:D212"/>
    <mergeCell ref="E211:E212"/>
    <mergeCell ref="H214:I215"/>
    <mergeCell ref="J214:J215"/>
    <mergeCell ref="H217:I218"/>
    <mergeCell ref="J217:J218"/>
    <mergeCell ref="H220:I221"/>
    <mergeCell ref="J220:J221"/>
    <mergeCell ref="H223:I224"/>
    <mergeCell ref="J223:J224"/>
    <mergeCell ref="H226:I227"/>
    <mergeCell ref="J226:J227"/>
    <mergeCell ref="H229:I230"/>
    <mergeCell ref="J229:J230"/>
    <mergeCell ref="H232:I233"/>
    <mergeCell ref="J232:J233"/>
    <mergeCell ref="C238:U238"/>
    <mergeCell ref="C239:U239"/>
    <mergeCell ref="C241:D242"/>
    <mergeCell ref="E241:E242"/>
    <mergeCell ref="R241:S242"/>
    <mergeCell ref="T241:T242"/>
    <mergeCell ref="C244:D245"/>
    <mergeCell ref="E244:E245"/>
    <mergeCell ref="C313:U313"/>
    <mergeCell ref="C314:U314"/>
    <mergeCell ref="C316:D317"/>
    <mergeCell ref="E316:E317"/>
    <mergeCell ref="R316:S317"/>
    <mergeCell ref="T316:T317"/>
    <mergeCell ref="C322:U322"/>
    <mergeCell ref="C304:D305"/>
    <mergeCell ref="E304:E305"/>
    <mergeCell ref="R304:S305"/>
    <mergeCell ref="T304:T305"/>
    <mergeCell ref="C307:D308"/>
    <mergeCell ref="E307:E308"/>
    <mergeCell ref="H271:I272"/>
    <mergeCell ref="J271:J272"/>
    <mergeCell ref="C283:U283"/>
    <mergeCell ref="C284:U284"/>
    <mergeCell ref="C286:D287"/>
    <mergeCell ref="E286:E287"/>
    <mergeCell ref="R286:S287"/>
    <mergeCell ref="T286:T287"/>
    <mergeCell ref="H289:I290"/>
    <mergeCell ref="C323:U323"/>
    <mergeCell ref="C325:D326"/>
    <mergeCell ref="E325:E326"/>
    <mergeCell ref="R325:S326"/>
    <mergeCell ref="T325:T326"/>
    <mergeCell ref="C331:U331"/>
    <mergeCell ref="C332:U332"/>
    <mergeCell ref="C334:D335"/>
    <mergeCell ref="E334:E335"/>
    <mergeCell ref="R334:S335"/>
    <mergeCell ref="T334:T335"/>
    <mergeCell ref="C340:U340"/>
    <mergeCell ref="C341:U341"/>
    <mergeCell ref="C343:D344"/>
    <mergeCell ref="E343:E344"/>
    <mergeCell ref="R343:S344"/>
    <mergeCell ref="T343:T344"/>
    <mergeCell ref="C349:U349"/>
    <mergeCell ref="C350:U350"/>
    <mergeCell ref="C352:D353"/>
    <mergeCell ref="E352:E353"/>
    <mergeCell ref="R352:S353"/>
    <mergeCell ref="T352:T353"/>
    <mergeCell ref="C358:U358"/>
    <mergeCell ref="C359:U359"/>
    <mergeCell ref="C361:D362"/>
    <mergeCell ref="E361:E362"/>
    <mergeCell ref="R361:S362"/>
    <mergeCell ref="T361:T362"/>
    <mergeCell ref="C367:U367"/>
    <mergeCell ref="C368:U368"/>
    <mergeCell ref="C370:D371"/>
    <mergeCell ref="E370:E371"/>
    <mergeCell ref="R370:S371"/>
    <mergeCell ref="T370:T371"/>
    <mergeCell ref="H438:I439"/>
    <mergeCell ref="J438:J439"/>
    <mergeCell ref="C412:U412"/>
    <mergeCell ref="C413:U413"/>
    <mergeCell ref="C415:D416"/>
    <mergeCell ref="E415:E416"/>
    <mergeCell ref="R415:S416"/>
    <mergeCell ref="T415:T416"/>
    <mergeCell ref="C421:U421"/>
    <mergeCell ref="C422:U422"/>
    <mergeCell ref="C424:D425"/>
    <mergeCell ref="E424:E425"/>
    <mergeCell ref="R424:S425"/>
    <mergeCell ref="T424:T425"/>
    <mergeCell ref="C404:U404"/>
    <mergeCell ref="C406:D407"/>
    <mergeCell ref="E406:E407"/>
    <mergeCell ref="R406:S407"/>
    <mergeCell ref="T406:T407"/>
    <mergeCell ref="C376:U376"/>
    <mergeCell ref="C377:U377"/>
    <mergeCell ref="C379:D380"/>
    <mergeCell ref="C435:D436"/>
    <mergeCell ref="E435:E436"/>
    <mergeCell ref="R435:S436"/>
    <mergeCell ref="T435:T436"/>
    <mergeCell ref="E379:E380"/>
    <mergeCell ref="R379:S380"/>
    <mergeCell ref="T379:T380"/>
    <mergeCell ref="C385:U385"/>
    <mergeCell ref="C386:U386"/>
    <mergeCell ref="C388:D389"/>
    <mergeCell ref="E388:E389"/>
    <mergeCell ref="R388:S389"/>
    <mergeCell ref="T388:T389"/>
    <mergeCell ref="C265:U265"/>
    <mergeCell ref="C266:U266"/>
    <mergeCell ref="C268:D269"/>
    <mergeCell ref="E268:E269"/>
    <mergeCell ref="R268:S269"/>
    <mergeCell ref="T268:T269"/>
    <mergeCell ref="H274:I275"/>
    <mergeCell ref="J274:J275"/>
    <mergeCell ref="H277:I278"/>
    <mergeCell ref="J277:J278"/>
    <mergeCell ref="C250:U250"/>
    <mergeCell ref="C251:U251"/>
    <mergeCell ref="C253:D254"/>
    <mergeCell ref="E253:E254"/>
    <mergeCell ref="R253:S254"/>
    <mergeCell ref="T253:T254"/>
    <mergeCell ref="H256:I257"/>
    <mergeCell ref="J256:J257"/>
    <mergeCell ref="H259:I260"/>
    <mergeCell ref="J259:J260"/>
    <mergeCell ref="H466:I467"/>
    <mergeCell ref="J466:J467"/>
    <mergeCell ref="C469:D470"/>
    <mergeCell ref="E469:E470"/>
    <mergeCell ref="J289:J290"/>
    <mergeCell ref="H292:I293"/>
    <mergeCell ref="J292:J293"/>
    <mergeCell ref="H295:I296"/>
    <mergeCell ref="J295:J296"/>
    <mergeCell ref="H441:I442"/>
    <mergeCell ref="J441:J442"/>
    <mergeCell ref="C301:U301"/>
    <mergeCell ref="C302:U302"/>
    <mergeCell ref="C427:D428"/>
    <mergeCell ref="E427:E428"/>
    <mergeCell ref="C432:U432"/>
    <mergeCell ref="C433:U433"/>
    <mergeCell ref="C394:U394"/>
    <mergeCell ref="C395:U395"/>
    <mergeCell ref="C397:D398"/>
    <mergeCell ref="E397:E398"/>
    <mergeCell ref="R397:S398"/>
    <mergeCell ref="T397:T398"/>
    <mergeCell ref="C403:U403"/>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121"/>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4322</v>
      </c>
      <c r="D3" s="119"/>
      <c r="W3" s="35" t="str">
        <f>"-- "&amp;B3&amp;" : "&amp;C3</f>
        <v>-- SQL_ID : 51_01</v>
      </c>
    </row>
    <row r="4" spans="1:23" ht="18.75" customHeight="1">
      <c r="B4" s="43" t="s">
        <v>158</v>
      </c>
      <c r="C4" s="147" t="str">
        <f>R7&amp;"登録"</f>
        <v>セレクト_患者基本データ登録</v>
      </c>
      <c r="D4" s="148"/>
      <c r="E4" s="148"/>
      <c r="F4" s="148"/>
      <c r="G4" s="148"/>
      <c r="H4" s="148"/>
      <c r="I4" s="148"/>
      <c r="J4" s="148"/>
      <c r="K4" s="148"/>
      <c r="L4" s="148"/>
      <c r="M4" s="148"/>
      <c r="N4" s="148"/>
      <c r="O4" s="148"/>
      <c r="P4" s="148"/>
      <c r="Q4" s="148"/>
      <c r="R4" s="148"/>
      <c r="S4" s="148"/>
      <c r="T4" s="148"/>
      <c r="U4" s="149"/>
      <c r="W4" s="35" t="str">
        <f>"-- "&amp;C4</f>
        <v>-- セレクト_患者基本データ登録</v>
      </c>
    </row>
    <row r="5" spans="1:23" ht="18.75" customHeight="1">
      <c r="B5" s="43" t="s">
        <v>159</v>
      </c>
      <c r="C5" s="136" t="str">
        <f>C7&amp;"から対象データを抽出し、"&amp;R7&amp;"テーブルに格納する。"</f>
        <v>ベース_患者基本データから対象データを抽出し、セレクト_患者基本データテーブルに格納する。</v>
      </c>
      <c r="D5" s="137"/>
      <c r="E5" s="137"/>
      <c r="F5" s="137"/>
      <c r="G5" s="137"/>
      <c r="H5" s="137"/>
      <c r="I5" s="137"/>
      <c r="J5" s="137"/>
      <c r="K5" s="137"/>
      <c r="L5" s="137"/>
      <c r="M5" s="137"/>
      <c r="N5" s="137"/>
      <c r="O5" s="137"/>
      <c r="P5" s="137"/>
      <c r="Q5" s="137"/>
      <c r="R5" s="137"/>
      <c r="S5" s="137"/>
      <c r="T5" s="137"/>
      <c r="U5" s="138"/>
      <c r="W5" s="35" t="str">
        <f>"-- "&amp;C5</f>
        <v>-- ベース_患者基本データから対象データを抽出し、セレクト_患者基本データテーブルに格納する。</v>
      </c>
    </row>
    <row r="7" spans="1:23" ht="18.75" customHeight="1">
      <c r="C7" s="139" t="s">
        <v>3694</v>
      </c>
      <c r="D7" s="140"/>
      <c r="E7" s="145" t="str">
        <f>エンティティ一覧!$O$2</f>
        <v>milscm_2023_009</v>
      </c>
      <c r="F7" s="36"/>
      <c r="G7" s="36"/>
      <c r="H7" s="36"/>
      <c r="I7" s="36"/>
      <c r="J7" s="36"/>
      <c r="K7" s="94"/>
      <c r="L7" s="94"/>
      <c r="M7" s="94"/>
      <c r="N7" s="94"/>
      <c r="O7" s="94"/>
      <c r="R7" s="139" t="s">
        <v>4321</v>
      </c>
      <c r="S7" s="140"/>
      <c r="T7" s="145" t="str">
        <f>エンティティ一覧!$O$2</f>
        <v>milscm_2023_009</v>
      </c>
    </row>
    <row r="8" spans="1:23" ht="18.75" customHeight="1">
      <c r="C8" s="141"/>
      <c r="D8" s="142"/>
      <c r="E8" s="146"/>
      <c r="F8" s="37"/>
      <c r="G8" s="37"/>
      <c r="H8" s="37"/>
      <c r="I8" s="37"/>
      <c r="J8" s="37"/>
      <c r="K8" s="97"/>
      <c r="L8" s="37"/>
      <c r="M8" s="37"/>
      <c r="N8" s="97"/>
      <c r="O8" s="37"/>
      <c r="P8" s="37"/>
      <c r="Q8" s="37"/>
      <c r="R8" s="141"/>
      <c r="S8" s="142"/>
      <c r="T8" s="146"/>
    </row>
    <row r="9" spans="1:23" ht="18.75" customHeight="1">
      <c r="F9" s="94"/>
      <c r="G9" s="94"/>
      <c r="H9" s="94"/>
      <c r="I9" s="94"/>
      <c r="J9" s="94"/>
      <c r="K9" s="104"/>
      <c r="L9" s="94"/>
      <c r="M9" s="94"/>
      <c r="N9" s="104"/>
      <c r="O9" s="94"/>
      <c r="P9" s="101"/>
      <c r="Q9" s="101"/>
    </row>
    <row r="10" spans="1:23" ht="18.75" customHeight="1">
      <c r="C10" s="139" t="s">
        <v>4125</v>
      </c>
      <c r="D10" s="140"/>
      <c r="E10" s="145" t="str">
        <f>エンティティ一覧!$O$2</f>
        <v>milscm_2023_009</v>
      </c>
      <c r="F10" s="36"/>
      <c r="G10" s="36"/>
      <c r="H10" s="36"/>
      <c r="I10" s="36"/>
      <c r="J10" s="36"/>
      <c r="K10" s="105"/>
      <c r="L10" s="94"/>
      <c r="M10" s="94"/>
      <c r="N10" s="104"/>
      <c r="O10" s="94"/>
      <c r="P10" s="94"/>
      <c r="Q10" s="94"/>
    </row>
    <row r="11" spans="1:23" ht="18.75" customHeight="1">
      <c r="C11" s="141"/>
      <c r="D11" s="142"/>
      <c r="E11" s="146"/>
      <c r="F11" s="104"/>
      <c r="G11" s="94"/>
      <c r="H11" s="94"/>
      <c r="I11" s="94"/>
      <c r="J11" s="94"/>
      <c r="K11" s="94"/>
      <c r="L11" s="94"/>
      <c r="M11" s="94"/>
      <c r="N11" s="104"/>
      <c r="O11" s="94"/>
      <c r="P11" s="94"/>
    </row>
    <row r="12" spans="1:23" ht="18.75" customHeight="1">
      <c r="F12" s="104"/>
      <c r="G12" s="94"/>
      <c r="H12" s="94"/>
      <c r="I12" s="94"/>
      <c r="J12" s="94"/>
      <c r="K12" s="94"/>
      <c r="L12" s="94"/>
      <c r="M12" s="94"/>
      <c r="N12" s="104"/>
    </row>
    <row r="13" spans="1:23" ht="18.75" customHeight="1">
      <c r="C13" s="139" t="s">
        <v>4291</v>
      </c>
      <c r="D13" s="140"/>
      <c r="E13" s="145" t="str">
        <f>エンティティ一覧!$O$2</f>
        <v>milscm_2023_009</v>
      </c>
      <c r="F13" s="105"/>
      <c r="G13" s="94"/>
      <c r="H13" s="94"/>
      <c r="I13" s="94"/>
      <c r="J13" s="94"/>
      <c r="K13" s="94"/>
      <c r="L13" s="94"/>
      <c r="M13" s="94"/>
      <c r="N13" s="104"/>
      <c r="O13" s="94"/>
      <c r="P13" s="94"/>
      <c r="Q13" s="94"/>
      <c r="R13" s="94"/>
    </row>
    <row r="14" spans="1:23" ht="18.75" customHeight="1">
      <c r="C14" s="141"/>
      <c r="D14" s="142"/>
      <c r="E14" s="146"/>
      <c r="G14" s="94"/>
      <c r="H14" s="94"/>
      <c r="I14" s="94"/>
      <c r="J14" s="94"/>
      <c r="K14" s="94"/>
      <c r="L14" s="94"/>
      <c r="M14" s="94"/>
      <c r="N14" s="104"/>
      <c r="O14" s="94"/>
      <c r="P14" s="94"/>
      <c r="Q14" s="94"/>
      <c r="R14" s="94"/>
    </row>
    <row r="15" spans="1:23" ht="18.75" customHeight="1">
      <c r="F15" s="94"/>
      <c r="G15" s="94"/>
      <c r="H15" s="94"/>
      <c r="I15" s="94"/>
      <c r="J15" s="94"/>
      <c r="K15" s="94"/>
      <c r="L15" s="94"/>
      <c r="M15" s="94"/>
      <c r="N15" s="104"/>
    </row>
    <row r="16" spans="1:23" ht="18.75" customHeight="1">
      <c r="C16" s="139" t="s">
        <v>4089</v>
      </c>
      <c r="D16" s="140"/>
      <c r="E16" s="145" t="str">
        <f>エンティティ一覧!$O$2</f>
        <v>milscm_2023_009</v>
      </c>
      <c r="F16" s="36"/>
      <c r="G16" s="36"/>
      <c r="H16" s="36"/>
      <c r="I16" s="36"/>
      <c r="J16" s="36"/>
      <c r="K16" s="36"/>
      <c r="L16" s="36"/>
      <c r="M16" s="36"/>
      <c r="N16" s="105"/>
      <c r="O16" s="94"/>
      <c r="P16" s="94"/>
      <c r="Q16" s="94"/>
      <c r="R16" s="94"/>
    </row>
    <row r="17" spans="1:23" ht="18.75" customHeight="1">
      <c r="C17" s="141"/>
      <c r="D17" s="142"/>
      <c r="E17" s="146"/>
      <c r="K17" s="94"/>
      <c r="L17" s="94"/>
      <c r="M17" s="94"/>
      <c r="N17" s="94"/>
      <c r="O17" s="94"/>
      <c r="P17" s="94"/>
      <c r="Q17" s="94"/>
      <c r="R17" s="94"/>
    </row>
    <row r="18" spans="1:23" ht="18.75" customHeight="1" thickBot="1">
      <c r="B18" s="42"/>
      <c r="C18" s="42"/>
      <c r="D18" s="42"/>
      <c r="E18" s="42"/>
      <c r="F18" s="42"/>
      <c r="G18" s="42"/>
      <c r="H18" s="42"/>
      <c r="I18" s="42"/>
      <c r="J18" s="42"/>
      <c r="K18" s="42"/>
      <c r="L18" s="42"/>
      <c r="M18" s="42"/>
      <c r="N18" s="42"/>
      <c r="O18" s="42"/>
      <c r="P18" s="42"/>
      <c r="Q18" s="42"/>
      <c r="R18" s="42"/>
      <c r="S18" s="42"/>
      <c r="T18" s="42"/>
      <c r="U18" s="42"/>
    </row>
    <row r="20" spans="1:23" ht="18.75" customHeight="1">
      <c r="A20" s="77"/>
      <c r="B20" s="43" t="s">
        <v>163</v>
      </c>
      <c r="C20" s="51" t="s">
        <v>4323</v>
      </c>
      <c r="D20" s="119"/>
      <c r="W20" s="35" t="str">
        <f>"-- "&amp;B20&amp;" : "&amp;C20</f>
        <v>-- SQL_ID : 51_02</v>
      </c>
    </row>
    <row r="21" spans="1:23" ht="18.75" customHeight="1">
      <c r="B21" s="43" t="s">
        <v>158</v>
      </c>
      <c r="C21" s="147" t="str">
        <f>R24&amp;"登録"</f>
        <v>セレクト_併発疾患データ登録</v>
      </c>
      <c r="D21" s="148"/>
      <c r="E21" s="148"/>
      <c r="F21" s="148"/>
      <c r="G21" s="148"/>
      <c r="H21" s="148"/>
      <c r="I21" s="148"/>
      <c r="J21" s="148"/>
      <c r="K21" s="148"/>
      <c r="L21" s="148"/>
      <c r="M21" s="148"/>
      <c r="N21" s="148"/>
      <c r="O21" s="148"/>
      <c r="P21" s="148"/>
      <c r="Q21" s="148"/>
      <c r="R21" s="148"/>
      <c r="S21" s="148"/>
      <c r="T21" s="148"/>
      <c r="U21" s="149"/>
      <c r="W21" s="35" t="str">
        <f>"-- "&amp;C21</f>
        <v>-- セレクト_併発疾患データ登録</v>
      </c>
    </row>
    <row r="22" spans="1:23" ht="18.75" customHeight="1">
      <c r="B22" s="43" t="s">
        <v>159</v>
      </c>
      <c r="C22" s="136" t="str">
        <f>C24&amp;"から対象データを抽出し、"&amp;R24&amp;"テーブルに格納する。"</f>
        <v>ワーク_疾患データから対象データを抽出し、セレクト_併発疾患データテーブルに格納する。</v>
      </c>
      <c r="D22" s="137"/>
      <c r="E22" s="137"/>
      <c r="F22" s="137"/>
      <c r="G22" s="137"/>
      <c r="H22" s="137"/>
      <c r="I22" s="137"/>
      <c r="J22" s="137"/>
      <c r="K22" s="137"/>
      <c r="L22" s="137"/>
      <c r="M22" s="137"/>
      <c r="N22" s="137"/>
      <c r="O22" s="137"/>
      <c r="P22" s="137"/>
      <c r="Q22" s="137"/>
      <c r="R22" s="137"/>
      <c r="S22" s="137"/>
      <c r="T22" s="137"/>
      <c r="U22" s="138"/>
      <c r="W22" s="35" t="str">
        <f>"-- "&amp;C22</f>
        <v>-- ワーク_疾患データから対象データを抽出し、セレクト_併発疾患データテーブルに格納する。</v>
      </c>
    </row>
    <row r="24" spans="1:23" ht="18.75" customHeight="1">
      <c r="C24" s="139" t="s">
        <v>4125</v>
      </c>
      <c r="D24" s="140"/>
      <c r="E24" s="145" t="str">
        <f>エンティティ一覧!$O$2</f>
        <v>milscm_2023_009</v>
      </c>
      <c r="F24" s="36"/>
      <c r="G24" s="36"/>
      <c r="H24" s="36"/>
      <c r="I24" s="36"/>
      <c r="J24" s="36"/>
      <c r="K24" s="36"/>
      <c r="L24" s="94"/>
      <c r="M24" s="94"/>
      <c r="N24" s="36"/>
      <c r="O24" s="36"/>
      <c r="P24" s="36"/>
      <c r="R24" s="139" t="s">
        <v>4324</v>
      </c>
      <c r="S24" s="140"/>
      <c r="T24" s="145" t="str">
        <f>エンティティ一覧!$O$2</f>
        <v>milscm_2023_009</v>
      </c>
    </row>
    <row r="25" spans="1:23" ht="18.75" customHeight="1">
      <c r="C25" s="141"/>
      <c r="D25" s="142"/>
      <c r="E25" s="146"/>
      <c r="F25" s="37"/>
      <c r="G25" s="37"/>
      <c r="H25" s="37"/>
      <c r="I25" s="37"/>
      <c r="J25" s="37"/>
      <c r="K25" s="37"/>
      <c r="L25" s="38"/>
      <c r="M25" s="37"/>
      <c r="N25" s="94"/>
      <c r="O25" s="94"/>
      <c r="P25" s="94"/>
      <c r="Q25" s="37"/>
      <c r="R25" s="141"/>
      <c r="S25" s="142"/>
      <c r="T25" s="146"/>
    </row>
    <row r="26" spans="1:23" ht="18.75" customHeight="1">
      <c r="F26" s="94"/>
      <c r="G26" s="94"/>
      <c r="H26" s="94"/>
      <c r="I26" s="94"/>
      <c r="J26" s="94"/>
      <c r="K26" s="94"/>
      <c r="L26" s="41"/>
      <c r="M26" s="94"/>
      <c r="N26" s="94"/>
      <c r="O26" s="94"/>
      <c r="P26" s="101"/>
      <c r="Q26" s="101"/>
    </row>
    <row r="27" spans="1:23" ht="18.75" customHeight="1">
      <c r="C27" s="139" t="s">
        <v>4321</v>
      </c>
      <c r="D27" s="140"/>
      <c r="E27" s="145" t="str">
        <f>エンティティ一覧!$O$2</f>
        <v>milscm_2023_009</v>
      </c>
      <c r="F27" s="36"/>
      <c r="G27" s="36"/>
      <c r="H27" s="36"/>
      <c r="I27" s="36"/>
      <c r="J27" s="36"/>
      <c r="K27" s="36"/>
      <c r="L27" s="41"/>
      <c r="M27" s="94"/>
      <c r="N27" s="94"/>
      <c r="O27" s="94"/>
      <c r="P27" s="94"/>
      <c r="Q27" s="94"/>
    </row>
    <row r="28" spans="1:23" ht="18.75" customHeight="1">
      <c r="C28" s="141"/>
      <c r="D28" s="142"/>
      <c r="E28" s="146"/>
      <c r="K28" s="94"/>
      <c r="L28" s="94"/>
      <c r="M28" s="94"/>
      <c r="N28" s="94"/>
      <c r="O28" s="94"/>
      <c r="P28" s="94"/>
    </row>
    <row r="30" spans="1:23" ht="18.75" customHeight="1" thickBot="1">
      <c r="B30" s="42"/>
      <c r="C30" s="42"/>
      <c r="D30" s="42"/>
      <c r="E30" s="42"/>
      <c r="F30" s="42"/>
      <c r="G30" s="42"/>
      <c r="H30" s="42"/>
      <c r="I30" s="42"/>
      <c r="J30" s="42"/>
      <c r="K30" s="42"/>
      <c r="L30" s="42"/>
      <c r="M30" s="42"/>
      <c r="N30" s="42"/>
      <c r="O30" s="42"/>
      <c r="P30" s="42"/>
      <c r="Q30" s="42"/>
      <c r="R30" s="42"/>
      <c r="S30" s="42"/>
      <c r="T30" s="42"/>
      <c r="U30" s="42"/>
    </row>
    <row r="32" spans="1:23" ht="18.75" customHeight="1">
      <c r="A32" s="77"/>
      <c r="B32" s="43" t="s">
        <v>163</v>
      </c>
      <c r="C32" s="51" t="s">
        <v>4333</v>
      </c>
      <c r="D32" s="119"/>
      <c r="W32" s="35" t="str">
        <f>"-- "&amp;B32&amp;" : "&amp;C32</f>
        <v>-- SQL_ID : 51_03</v>
      </c>
    </row>
    <row r="33" spans="1:23" ht="18.75" customHeight="1">
      <c r="B33" s="43" t="s">
        <v>158</v>
      </c>
      <c r="C33" s="147" t="str">
        <f>R36&amp;"登録"</f>
        <v>セレクト_入院外来データ登録</v>
      </c>
      <c r="D33" s="148"/>
      <c r="E33" s="148"/>
      <c r="F33" s="148"/>
      <c r="G33" s="148"/>
      <c r="H33" s="148"/>
      <c r="I33" s="148"/>
      <c r="J33" s="148"/>
      <c r="K33" s="148"/>
      <c r="L33" s="148"/>
      <c r="M33" s="148"/>
      <c r="N33" s="148"/>
      <c r="O33" s="148"/>
      <c r="P33" s="148"/>
      <c r="Q33" s="148"/>
      <c r="R33" s="148"/>
      <c r="S33" s="148"/>
      <c r="T33" s="148"/>
      <c r="U33" s="149"/>
      <c r="W33" s="35" t="str">
        <f>"-- "&amp;C33</f>
        <v>-- セレクト_入院外来データ登録</v>
      </c>
    </row>
    <row r="34" spans="1:23" ht="18.75" customHeight="1">
      <c r="B34" s="43" t="s">
        <v>159</v>
      </c>
      <c r="C34" s="136" t="str">
        <f>C36&amp;"から対象データを抽出し、"&amp;R36&amp;"テーブルに格納する。"</f>
        <v>ワーク_入院退院から対象データを抽出し、セレクト_入院外来データテーブルに格納する。</v>
      </c>
      <c r="D34" s="137"/>
      <c r="E34" s="137"/>
      <c r="F34" s="137"/>
      <c r="G34" s="137"/>
      <c r="H34" s="137"/>
      <c r="I34" s="137"/>
      <c r="J34" s="137"/>
      <c r="K34" s="137"/>
      <c r="L34" s="137"/>
      <c r="M34" s="137"/>
      <c r="N34" s="137"/>
      <c r="O34" s="137"/>
      <c r="P34" s="137"/>
      <c r="Q34" s="137"/>
      <c r="R34" s="137"/>
      <c r="S34" s="137"/>
      <c r="T34" s="137"/>
      <c r="U34" s="138"/>
      <c r="W34" s="35" t="str">
        <f>"-- "&amp;C34</f>
        <v>-- ワーク_入院退院から対象データを抽出し、セレクト_入院外来データテーブルに格納する。</v>
      </c>
    </row>
    <row r="36" spans="1:23" ht="18.75" customHeight="1">
      <c r="C36" s="139" t="s">
        <v>4131</v>
      </c>
      <c r="D36" s="140"/>
      <c r="E36" s="145" t="str">
        <f>エンティティ一覧!$O$2</f>
        <v>milscm_2023_009</v>
      </c>
      <c r="F36" s="36"/>
      <c r="G36" s="36"/>
      <c r="H36" s="36"/>
      <c r="I36" s="36"/>
      <c r="J36" s="36"/>
      <c r="K36" s="36"/>
      <c r="L36" s="36"/>
      <c r="M36" s="36"/>
      <c r="N36" s="36"/>
      <c r="O36" s="36"/>
      <c r="P36" s="36"/>
      <c r="R36" s="139" t="s">
        <v>4328</v>
      </c>
      <c r="S36" s="140"/>
      <c r="T36" s="145" t="str">
        <f>エンティティ一覧!$O$2</f>
        <v>milscm_2023_009</v>
      </c>
    </row>
    <row r="37" spans="1:23" ht="18.75" customHeight="1">
      <c r="C37" s="141"/>
      <c r="D37" s="142"/>
      <c r="E37" s="146"/>
      <c r="F37" s="37"/>
      <c r="G37" s="37"/>
      <c r="H37" s="37"/>
      <c r="I37" s="37"/>
      <c r="J37" s="37"/>
      <c r="K37" s="37"/>
      <c r="L37" s="38"/>
      <c r="M37" s="97"/>
      <c r="N37" s="94"/>
      <c r="O37" s="94"/>
      <c r="P37" s="94"/>
      <c r="Q37" s="37"/>
      <c r="R37" s="141"/>
      <c r="S37" s="142"/>
      <c r="T37" s="146"/>
    </row>
    <row r="38" spans="1:23" ht="18.75" customHeight="1">
      <c r="F38" s="94"/>
      <c r="G38" s="94"/>
      <c r="H38" s="94"/>
      <c r="I38" s="94"/>
      <c r="J38" s="94"/>
      <c r="K38" s="94"/>
      <c r="L38" s="41"/>
      <c r="M38" s="104"/>
      <c r="N38" s="94"/>
      <c r="O38" s="94"/>
      <c r="P38" s="101"/>
      <c r="Q38" s="101"/>
    </row>
    <row r="39" spans="1:23" ht="18.75" customHeight="1">
      <c r="C39" s="139" t="s">
        <v>4138</v>
      </c>
      <c r="D39" s="140"/>
      <c r="E39" s="145" t="str">
        <f>エンティティ一覧!$O$2</f>
        <v>milscm_2023_009</v>
      </c>
      <c r="F39" s="36"/>
      <c r="G39" s="36"/>
      <c r="H39" s="36"/>
      <c r="I39" s="36"/>
      <c r="J39" s="36"/>
      <c r="K39" s="36"/>
      <c r="L39" s="41"/>
      <c r="M39" s="104"/>
      <c r="N39" s="94"/>
      <c r="O39" s="94"/>
      <c r="P39" s="94"/>
      <c r="Q39" s="94"/>
    </row>
    <row r="40" spans="1:23" ht="18.75" customHeight="1">
      <c r="C40" s="141"/>
      <c r="D40" s="142"/>
      <c r="E40" s="146"/>
      <c r="K40" s="94"/>
      <c r="L40" s="94"/>
      <c r="M40" s="104"/>
      <c r="N40" s="94"/>
      <c r="O40" s="94"/>
      <c r="P40" s="94"/>
    </row>
    <row r="41" spans="1:23" ht="18.75" customHeight="1">
      <c r="F41" s="94"/>
      <c r="G41" s="94"/>
      <c r="H41" s="94"/>
      <c r="I41" s="94"/>
      <c r="J41" s="94"/>
      <c r="K41" s="94"/>
      <c r="L41" s="94"/>
      <c r="M41" s="104"/>
      <c r="N41" s="94"/>
      <c r="O41" s="94"/>
      <c r="P41" s="101"/>
      <c r="Q41" s="101"/>
    </row>
    <row r="42" spans="1:23" ht="18.75" customHeight="1">
      <c r="C42" s="139" t="s">
        <v>4321</v>
      </c>
      <c r="D42" s="140"/>
      <c r="E42" s="145" t="str">
        <f>エンティティ一覧!$O$2</f>
        <v>milscm_2023_009</v>
      </c>
      <c r="F42" s="36"/>
      <c r="G42" s="36"/>
      <c r="H42" s="36"/>
      <c r="I42" s="36"/>
      <c r="J42" s="36"/>
      <c r="K42" s="36"/>
      <c r="L42" s="36"/>
      <c r="M42" s="105"/>
      <c r="N42" s="94"/>
      <c r="O42" s="94"/>
      <c r="P42" s="94"/>
      <c r="Q42" s="94"/>
    </row>
    <row r="43" spans="1:23" ht="18.75" customHeight="1">
      <c r="C43" s="141"/>
      <c r="D43" s="142"/>
      <c r="E43" s="146"/>
      <c r="K43" s="94"/>
      <c r="L43" s="94"/>
      <c r="M43" s="94"/>
      <c r="N43" s="94"/>
      <c r="O43" s="94"/>
      <c r="P43" s="94"/>
    </row>
    <row r="45" spans="1:23" ht="18.75" customHeight="1" thickBot="1">
      <c r="B45" s="42"/>
      <c r="C45" s="42"/>
      <c r="D45" s="42"/>
      <c r="E45" s="42"/>
      <c r="F45" s="42"/>
      <c r="G45" s="42"/>
      <c r="H45" s="42"/>
      <c r="I45" s="42"/>
      <c r="J45" s="42"/>
      <c r="K45" s="42"/>
      <c r="L45" s="42"/>
      <c r="M45" s="42"/>
      <c r="N45" s="42"/>
      <c r="O45" s="42"/>
      <c r="P45" s="42"/>
      <c r="Q45" s="42"/>
      <c r="R45" s="42"/>
      <c r="S45" s="42"/>
      <c r="T45" s="42"/>
      <c r="U45" s="42"/>
    </row>
    <row r="47" spans="1:23" ht="18.75" customHeight="1">
      <c r="A47" s="77"/>
      <c r="B47" s="43" t="s">
        <v>163</v>
      </c>
      <c r="C47" s="51" t="s">
        <v>4341</v>
      </c>
      <c r="D47" s="119"/>
      <c r="W47" s="35" t="str">
        <f>"-- "&amp;B47&amp;" : "&amp;C47</f>
        <v>-- SQL_ID : 51_04</v>
      </c>
    </row>
    <row r="48" spans="1:23" ht="18.75" customHeight="1">
      <c r="B48" s="43" t="s">
        <v>158</v>
      </c>
      <c r="C48" s="147" t="str">
        <f>R51&amp;"登録"</f>
        <v>セレクト_薬剤データ登録</v>
      </c>
      <c r="D48" s="148"/>
      <c r="E48" s="148"/>
      <c r="F48" s="148"/>
      <c r="G48" s="148"/>
      <c r="H48" s="148"/>
      <c r="I48" s="148"/>
      <c r="J48" s="148"/>
      <c r="K48" s="148"/>
      <c r="L48" s="148"/>
      <c r="M48" s="148"/>
      <c r="N48" s="148"/>
      <c r="O48" s="148"/>
      <c r="P48" s="148"/>
      <c r="Q48" s="148"/>
      <c r="R48" s="148"/>
      <c r="S48" s="148"/>
      <c r="T48" s="148"/>
      <c r="U48" s="149"/>
      <c r="W48" s="35" t="str">
        <f>"-- "&amp;C48</f>
        <v>-- セレクト_薬剤データ登録</v>
      </c>
    </row>
    <row r="49" spans="1:23" ht="18.75" customHeight="1">
      <c r="B49" s="43" t="s">
        <v>159</v>
      </c>
      <c r="C49" s="136" t="str">
        <f>C51&amp;"から対象データを抽出し、"&amp;R51&amp;"テーブルに格納する。"</f>
        <v>ワーク_処方データから対象データを抽出し、セレクト_薬剤データテーブルに格納する。</v>
      </c>
      <c r="D49" s="137"/>
      <c r="E49" s="137"/>
      <c r="F49" s="137"/>
      <c r="G49" s="137"/>
      <c r="H49" s="137"/>
      <c r="I49" s="137"/>
      <c r="J49" s="137"/>
      <c r="K49" s="137"/>
      <c r="L49" s="137"/>
      <c r="M49" s="137"/>
      <c r="N49" s="137"/>
      <c r="O49" s="137"/>
      <c r="P49" s="137"/>
      <c r="Q49" s="137"/>
      <c r="R49" s="137"/>
      <c r="S49" s="137"/>
      <c r="T49" s="137"/>
      <c r="U49" s="138"/>
      <c r="W49" s="35" t="str">
        <f>"-- "&amp;C49</f>
        <v>-- ワーク_処方データから対象データを抽出し、セレクト_薬剤データテーブルに格納する。</v>
      </c>
    </row>
    <row r="51" spans="1:23" ht="18.75" customHeight="1">
      <c r="C51" s="139" t="s">
        <v>4152</v>
      </c>
      <c r="D51" s="140"/>
      <c r="E51" s="145" t="str">
        <f>エンティティ一覧!$O$2</f>
        <v>milscm_2023_009</v>
      </c>
      <c r="F51" s="36"/>
      <c r="G51" s="94"/>
      <c r="H51" s="94"/>
      <c r="I51" s="94"/>
      <c r="J51" s="94"/>
      <c r="K51" s="94"/>
      <c r="L51" s="94"/>
      <c r="M51" s="94"/>
      <c r="N51" s="36"/>
      <c r="O51" s="36"/>
      <c r="P51" s="36"/>
      <c r="R51" s="139" t="s">
        <v>4334</v>
      </c>
      <c r="S51" s="140"/>
      <c r="T51" s="145" t="str">
        <f>エンティティ一覧!$O$2</f>
        <v>milscm_2023_009</v>
      </c>
    </row>
    <row r="52" spans="1:23" ht="18.75" customHeight="1">
      <c r="C52" s="141"/>
      <c r="D52" s="142"/>
      <c r="E52" s="146"/>
      <c r="F52" s="37"/>
      <c r="G52" s="38"/>
      <c r="H52" s="37"/>
      <c r="I52" s="37"/>
      <c r="J52" s="37"/>
      <c r="K52" s="37"/>
      <c r="L52" s="38"/>
      <c r="M52" s="37"/>
      <c r="N52" s="94"/>
      <c r="O52" s="94"/>
      <c r="P52" s="94"/>
      <c r="Q52" s="37"/>
      <c r="R52" s="141"/>
      <c r="S52" s="142"/>
      <c r="T52" s="146"/>
    </row>
    <row r="53" spans="1:23" ht="18.75" customHeight="1">
      <c r="F53" s="94"/>
      <c r="G53" s="41"/>
      <c r="H53" s="94"/>
      <c r="I53" s="94"/>
      <c r="J53" s="94"/>
      <c r="K53" s="94"/>
      <c r="L53" s="41"/>
      <c r="M53" s="94"/>
      <c r="N53" s="94"/>
      <c r="O53" s="94"/>
      <c r="P53" s="101"/>
      <c r="Q53" s="101"/>
    </row>
    <row r="54" spans="1:23" ht="18.75" customHeight="1">
      <c r="C54" s="139" t="s">
        <v>4086</v>
      </c>
      <c r="D54" s="140"/>
      <c r="E54" s="145" t="str">
        <f>エンティティ一覧!$O$2</f>
        <v>milscm_2023_009</v>
      </c>
      <c r="F54" s="36"/>
      <c r="G54" s="41"/>
      <c r="H54" s="94"/>
      <c r="I54" s="94"/>
      <c r="J54" s="94"/>
      <c r="K54" s="94"/>
      <c r="L54" s="41"/>
      <c r="M54" s="94"/>
      <c r="N54" s="94"/>
      <c r="O54" s="94"/>
      <c r="P54" s="94"/>
      <c r="Q54" s="94"/>
    </row>
    <row r="55" spans="1:23" ht="18.75" customHeight="1">
      <c r="C55" s="141"/>
      <c r="D55" s="142"/>
      <c r="E55" s="146"/>
      <c r="K55" s="94"/>
      <c r="L55" s="41"/>
      <c r="M55" s="94"/>
      <c r="N55" s="94"/>
      <c r="O55" s="94"/>
      <c r="P55" s="94"/>
    </row>
    <row r="56" spans="1:23" ht="18.75" customHeight="1">
      <c r="F56" s="94"/>
      <c r="G56" s="94"/>
      <c r="H56" s="94"/>
      <c r="I56" s="94"/>
      <c r="J56" s="94"/>
      <c r="K56" s="94"/>
      <c r="L56" s="41"/>
      <c r="M56" s="94"/>
      <c r="N56" s="94"/>
      <c r="O56" s="94"/>
      <c r="P56" s="101"/>
      <c r="Q56" s="101"/>
    </row>
    <row r="57" spans="1:23" ht="18.75" customHeight="1">
      <c r="C57" s="139" t="s">
        <v>4321</v>
      </c>
      <c r="D57" s="140"/>
      <c r="E57" s="145" t="str">
        <f>エンティティ一覧!$O$2</f>
        <v>milscm_2023_009</v>
      </c>
      <c r="F57" s="36"/>
      <c r="G57" s="36"/>
      <c r="H57" s="36"/>
      <c r="I57" s="36"/>
      <c r="J57" s="36"/>
      <c r="K57" s="36"/>
      <c r="L57" s="41"/>
      <c r="M57" s="94"/>
      <c r="N57" s="94"/>
      <c r="O57" s="94"/>
      <c r="P57" s="94"/>
      <c r="Q57" s="94"/>
    </row>
    <row r="58" spans="1:23" ht="18.75" customHeight="1">
      <c r="C58" s="141"/>
      <c r="D58" s="142"/>
      <c r="E58" s="146"/>
      <c r="K58" s="94"/>
      <c r="L58" s="94"/>
      <c r="M58" s="94"/>
      <c r="N58" s="94"/>
      <c r="O58" s="94"/>
      <c r="P58" s="94"/>
    </row>
    <row r="60" spans="1:23" ht="18.75" customHeight="1" thickBot="1">
      <c r="B60" s="42"/>
      <c r="C60" s="42"/>
      <c r="D60" s="42"/>
      <c r="E60" s="42"/>
      <c r="F60" s="42"/>
      <c r="G60" s="42"/>
      <c r="H60" s="42"/>
      <c r="I60" s="42"/>
      <c r="J60" s="42"/>
      <c r="K60" s="42"/>
      <c r="L60" s="42"/>
      <c r="M60" s="42"/>
      <c r="N60" s="42"/>
      <c r="O60" s="42"/>
      <c r="P60" s="42"/>
      <c r="Q60" s="42"/>
      <c r="R60" s="42"/>
      <c r="S60" s="42"/>
      <c r="T60" s="42"/>
      <c r="U60" s="42"/>
    </row>
    <row r="62" spans="1:23" ht="18.75" customHeight="1">
      <c r="A62" s="77"/>
      <c r="B62" s="43" t="s">
        <v>163</v>
      </c>
      <c r="C62" s="51" t="s">
        <v>4353</v>
      </c>
      <c r="D62" s="120"/>
      <c r="W62" s="35" t="str">
        <f>"-- "&amp;B62&amp;" : "&amp;C62</f>
        <v>-- SQL_ID : 51_05</v>
      </c>
    </row>
    <row r="63" spans="1:23" ht="18.75" customHeight="1">
      <c r="B63" s="43" t="s">
        <v>158</v>
      </c>
      <c r="C63" s="147" t="str">
        <f>R66&amp;"登録"</f>
        <v>セレクト_検査データ登録</v>
      </c>
      <c r="D63" s="148"/>
      <c r="E63" s="148"/>
      <c r="F63" s="148"/>
      <c r="G63" s="148"/>
      <c r="H63" s="148"/>
      <c r="I63" s="148"/>
      <c r="J63" s="148"/>
      <c r="K63" s="148"/>
      <c r="L63" s="148"/>
      <c r="M63" s="148"/>
      <c r="N63" s="148"/>
      <c r="O63" s="148"/>
      <c r="P63" s="148"/>
      <c r="Q63" s="148"/>
      <c r="R63" s="148"/>
      <c r="S63" s="148"/>
      <c r="T63" s="148"/>
      <c r="U63" s="149"/>
      <c r="W63" s="35" t="str">
        <f>"-- "&amp;C63</f>
        <v>-- セレクト_検査データ登録</v>
      </c>
    </row>
    <row r="64" spans="1:23" ht="18.75" customHeight="1">
      <c r="B64" s="43" t="s">
        <v>159</v>
      </c>
      <c r="C64" s="136" t="str">
        <f>C66&amp;"から対象データを抽出し、"&amp;R66&amp;"テーブルに格納する。"</f>
        <v>ワーク_検体検査データから対象データを抽出し、セレクト_検査データテーブルに格納する。</v>
      </c>
      <c r="D64" s="137"/>
      <c r="E64" s="137"/>
      <c r="F64" s="137"/>
      <c r="G64" s="137"/>
      <c r="H64" s="137"/>
      <c r="I64" s="137"/>
      <c r="J64" s="137"/>
      <c r="K64" s="137"/>
      <c r="L64" s="137"/>
      <c r="M64" s="137"/>
      <c r="N64" s="137"/>
      <c r="O64" s="137"/>
      <c r="P64" s="137"/>
      <c r="Q64" s="137"/>
      <c r="R64" s="137"/>
      <c r="S64" s="137"/>
      <c r="T64" s="137"/>
      <c r="U64" s="138"/>
      <c r="W64" s="35" t="str">
        <f>"-- "&amp;C64</f>
        <v>-- ワーク_検体検査データから対象データを抽出し、セレクト_検査データテーブルに格納する。</v>
      </c>
    </row>
    <row r="66" spans="1:23" ht="18.75" customHeight="1">
      <c r="C66" s="139" t="s">
        <v>4209</v>
      </c>
      <c r="D66" s="140"/>
      <c r="E66" s="145" t="str">
        <f>エンティティ一覧!$O$2</f>
        <v>milscm_2023_009</v>
      </c>
      <c r="F66" s="36"/>
      <c r="G66" s="94"/>
      <c r="H66" s="94"/>
      <c r="I66" s="94"/>
      <c r="J66" s="94"/>
      <c r="K66" s="94"/>
      <c r="L66" s="94"/>
      <c r="M66" s="94"/>
      <c r="N66" s="36"/>
      <c r="O66" s="36"/>
      <c r="P66" s="36"/>
      <c r="R66" s="139" t="s">
        <v>4354</v>
      </c>
      <c r="S66" s="140"/>
      <c r="T66" s="145" t="str">
        <f>エンティティ一覧!$O$2</f>
        <v>milscm_2023_009</v>
      </c>
    </row>
    <row r="67" spans="1:23" ht="18.75" customHeight="1">
      <c r="C67" s="141"/>
      <c r="D67" s="142"/>
      <c r="E67" s="146"/>
      <c r="F67" s="37"/>
      <c r="G67" s="38"/>
      <c r="H67" s="37"/>
      <c r="I67" s="37"/>
      <c r="J67" s="37"/>
      <c r="K67" s="37"/>
      <c r="L67" s="38"/>
      <c r="M67" s="97"/>
      <c r="N67" s="94"/>
      <c r="O67" s="94"/>
      <c r="P67" s="94"/>
      <c r="Q67" s="37"/>
      <c r="R67" s="141"/>
      <c r="S67" s="142"/>
      <c r="T67" s="146"/>
    </row>
    <row r="68" spans="1:23" ht="18.75" customHeight="1">
      <c r="F68" s="94"/>
      <c r="G68" s="41"/>
      <c r="H68" s="94"/>
      <c r="I68" s="94"/>
      <c r="J68" s="94"/>
      <c r="K68" s="94"/>
      <c r="L68" s="41"/>
      <c r="M68" s="104"/>
      <c r="N68" s="94"/>
      <c r="O68" s="94"/>
      <c r="P68" s="101"/>
      <c r="Q68" s="101"/>
    </row>
    <row r="69" spans="1:23" ht="18.75" customHeight="1">
      <c r="C69" s="139" t="s">
        <v>4089</v>
      </c>
      <c r="D69" s="140"/>
      <c r="E69" s="145" t="str">
        <f>エンティティ一覧!$O$2</f>
        <v>milscm_2023_009</v>
      </c>
      <c r="F69" s="36"/>
      <c r="G69" s="41"/>
      <c r="H69" s="94"/>
      <c r="I69" s="94"/>
      <c r="J69" s="94"/>
      <c r="K69" s="94"/>
      <c r="L69" s="41"/>
      <c r="M69" s="104"/>
      <c r="N69" s="94"/>
      <c r="O69" s="94"/>
      <c r="P69" s="94"/>
      <c r="Q69" s="94"/>
    </row>
    <row r="70" spans="1:23" ht="18.75" customHeight="1">
      <c r="C70" s="141"/>
      <c r="D70" s="142"/>
      <c r="E70" s="146"/>
      <c r="G70" s="94"/>
      <c r="H70" s="94"/>
      <c r="I70" s="94"/>
      <c r="J70" s="94"/>
      <c r="K70" s="94"/>
      <c r="L70" s="41"/>
      <c r="M70" s="104"/>
      <c r="N70" s="94"/>
      <c r="O70" s="94"/>
      <c r="P70" s="94"/>
    </row>
    <row r="71" spans="1:23" ht="18.75" customHeight="1">
      <c r="F71" s="94"/>
      <c r="G71" s="94"/>
      <c r="H71" s="94"/>
      <c r="I71" s="94"/>
      <c r="J71" s="94"/>
      <c r="K71" s="94"/>
      <c r="L71" s="41"/>
      <c r="M71" s="104"/>
      <c r="N71" s="94"/>
      <c r="O71" s="94"/>
      <c r="P71" s="101"/>
      <c r="Q71" s="101"/>
    </row>
    <row r="72" spans="1:23" ht="18.75" customHeight="1">
      <c r="C72" s="139" t="s">
        <v>4066</v>
      </c>
      <c r="D72" s="140"/>
      <c r="E72" s="145" t="str">
        <f>エンティティ一覧!$O$2</f>
        <v>milscm_2023_009</v>
      </c>
      <c r="F72" s="116"/>
      <c r="G72" s="36"/>
      <c r="H72" s="36"/>
      <c r="I72" s="36"/>
      <c r="J72" s="36"/>
      <c r="K72" s="105"/>
      <c r="L72" s="41"/>
      <c r="M72" s="104"/>
      <c r="N72" s="94"/>
      <c r="O72" s="94"/>
      <c r="P72" s="94"/>
      <c r="Q72" s="94"/>
    </row>
    <row r="73" spans="1:23" ht="18.75" customHeight="1">
      <c r="C73" s="141"/>
      <c r="D73" s="142"/>
      <c r="E73" s="146"/>
      <c r="G73" s="94"/>
      <c r="H73" s="94"/>
      <c r="I73" s="94"/>
      <c r="J73" s="94"/>
      <c r="K73" s="94"/>
      <c r="L73" s="94"/>
      <c r="M73" s="104"/>
      <c r="N73" s="94"/>
      <c r="O73" s="94"/>
      <c r="P73" s="94"/>
    </row>
    <row r="74" spans="1:23" ht="18.75" customHeight="1">
      <c r="F74" s="94"/>
      <c r="G74" s="94"/>
      <c r="H74" s="94"/>
      <c r="I74" s="94"/>
      <c r="J74" s="94"/>
      <c r="K74" s="94"/>
      <c r="L74" s="94"/>
      <c r="M74" s="104"/>
      <c r="N74" s="94"/>
      <c r="O74" s="94"/>
      <c r="P74" s="101"/>
      <c r="Q74" s="101"/>
    </row>
    <row r="75" spans="1:23" ht="18.75" customHeight="1">
      <c r="C75" s="139" t="s">
        <v>4321</v>
      </c>
      <c r="D75" s="140"/>
      <c r="E75" s="145" t="str">
        <f>エンティティ一覧!$O$2</f>
        <v>milscm_2023_009</v>
      </c>
      <c r="F75" s="36"/>
      <c r="G75" s="36"/>
      <c r="H75" s="36"/>
      <c r="I75" s="36"/>
      <c r="J75" s="36"/>
      <c r="K75" s="36"/>
      <c r="L75" s="36"/>
      <c r="M75" s="105"/>
      <c r="N75" s="94"/>
      <c r="O75" s="94"/>
      <c r="P75" s="94"/>
      <c r="Q75" s="94"/>
    </row>
    <row r="76" spans="1:23" ht="18.75" customHeight="1">
      <c r="C76" s="141"/>
      <c r="D76" s="142"/>
      <c r="E76" s="146"/>
      <c r="K76" s="94"/>
      <c r="L76" s="94"/>
      <c r="M76" s="94"/>
      <c r="N76" s="94"/>
      <c r="O76" s="94"/>
      <c r="P76" s="94"/>
    </row>
    <row r="78" spans="1:23" ht="18.75" customHeight="1" thickBot="1">
      <c r="B78" s="42"/>
      <c r="C78" s="42"/>
      <c r="D78" s="42"/>
      <c r="E78" s="42"/>
      <c r="F78" s="42"/>
      <c r="G78" s="42"/>
      <c r="H78" s="42"/>
      <c r="I78" s="42"/>
      <c r="J78" s="42"/>
      <c r="K78" s="42"/>
      <c r="L78" s="42"/>
      <c r="M78" s="42"/>
      <c r="N78" s="42"/>
      <c r="O78" s="42"/>
      <c r="P78" s="42"/>
      <c r="Q78" s="42"/>
      <c r="R78" s="42"/>
      <c r="S78" s="42"/>
      <c r="T78" s="42"/>
      <c r="U78" s="42"/>
    </row>
    <row r="80" spans="1:23" ht="18.75" customHeight="1">
      <c r="A80" s="77"/>
      <c r="B80" s="43" t="s">
        <v>163</v>
      </c>
      <c r="C80" s="51" t="s">
        <v>4357</v>
      </c>
      <c r="D80" s="120"/>
      <c r="W80" s="35" t="str">
        <f>"-- "&amp;B80&amp;" : "&amp;C80</f>
        <v>-- SQL_ID : 51_06</v>
      </c>
    </row>
    <row r="81" spans="2:23" ht="18.75" customHeight="1">
      <c r="B81" s="43" t="s">
        <v>158</v>
      </c>
      <c r="C81" s="147" t="str">
        <f>R84&amp;"登録"</f>
        <v>セレクト_検査データ_統計量抽出用登録</v>
      </c>
      <c r="D81" s="148"/>
      <c r="E81" s="148"/>
      <c r="F81" s="148"/>
      <c r="G81" s="148"/>
      <c r="H81" s="148"/>
      <c r="I81" s="148"/>
      <c r="J81" s="148"/>
      <c r="K81" s="148"/>
      <c r="L81" s="148"/>
      <c r="M81" s="148"/>
      <c r="N81" s="148"/>
      <c r="O81" s="148"/>
      <c r="P81" s="148"/>
      <c r="Q81" s="148"/>
      <c r="R81" s="148"/>
      <c r="S81" s="148"/>
      <c r="T81" s="148"/>
      <c r="U81" s="149"/>
      <c r="W81" s="35" t="str">
        <f>"-- "&amp;C81</f>
        <v>-- セレクト_検査データ_統計量抽出用登録</v>
      </c>
    </row>
    <row r="82" spans="2:23" ht="18.75" customHeight="1">
      <c r="B82" s="43" t="s">
        <v>159</v>
      </c>
      <c r="C82" s="136" t="str">
        <f>C84&amp;"から対象データを抽出し、"&amp;R84&amp;"テーブルに格納する。"</f>
        <v>ワーク_検体検査データから対象データを抽出し、セレクト_検査データ_統計量抽出用テーブルに格納する。</v>
      </c>
      <c r="D82" s="137"/>
      <c r="E82" s="137"/>
      <c r="F82" s="137"/>
      <c r="G82" s="137"/>
      <c r="H82" s="137"/>
      <c r="I82" s="137"/>
      <c r="J82" s="137"/>
      <c r="K82" s="137"/>
      <c r="L82" s="137"/>
      <c r="M82" s="137"/>
      <c r="N82" s="137"/>
      <c r="O82" s="137"/>
      <c r="P82" s="137"/>
      <c r="Q82" s="137"/>
      <c r="R82" s="137"/>
      <c r="S82" s="137"/>
      <c r="T82" s="137"/>
      <c r="U82" s="138"/>
      <c r="W82" s="35" t="str">
        <f>"-- "&amp;C82</f>
        <v>-- ワーク_検体検査データから対象データを抽出し、セレクト_検査データ_統計量抽出用テーブルに格納する。</v>
      </c>
    </row>
    <row r="84" spans="2:23" ht="18.75" customHeight="1">
      <c r="C84" s="139" t="s">
        <v>4209</v>
      </c>
      <c r="D84" s="140"/>
      <c r="E84" s="145" t="str">
        <f>エンティティ一覧!$O$2</f>
        <v>milscm_2023_009</v>
      </c>
      <c r="F84" s="36"/>
      <c r="G84" s="94"/>
      <c r="H84" s="94"/>
      <c r="I84" s="94"/>
      <c r="J84" s="94"/>
      <c r="K84" s="94"/>
      <c r="L84" s="94"/>
      <c r="M84" s="94"/>
      <c r="N84" s="36"/>
      <c r="O84" s="36"/>
      <c r="P84" s="36"/>
      <c r="R84" s="139" t="s">
        <v>4312</v>
      </c>
      <c r="S84" s="140"/>
      <c r="T84" s="145" t="str">
        <f>エンティティ一覧!$O$2</f>
        <v>milscm_2023_009</v>
      </c>
    </row>
    <row r="85" spans="2:23" ht="18.75" customHeight="1">
      <c r="C85" s="141"/>
      <c r="D85" s="142"/>
      <c r="E85" s="146"/>
      <c r="F85" s="37"/>
      <c r="G85" s="38"/>
      <c r="H85" s="37"/>
      <c r="I85" s="37"/>
      <c r="J85" s="37"/>
      <c r="K85" s="37"/>
      <c r="L85" s="38"/>
      <c r="M85" s="97"/>
      <c r="N85" s="94"/>
      <c r="O85" s="94"/>
      <c r="P85" s="94"/>
      <c r="Q85" s="37"/>
      <c r="R85" s="141"/>
      <c r="S85" s="142"/>
      <c r="T85" s="146"/>
    </row>
    <row r="86" spans="2:23" ht="18.75" customHeight="1">
      <c r="F86" s="94"/>
      <c r="G86" s="41"/>
      <c r="H86" s="94"/>
      <c r="I86" s="94"/>
      <c r="J86" s="94"/>
      <c r="K86" s="94"/>
      <c r="L86" s="41"/>
      <c r="M86" s="104"/>
      <c r="N86" s="94"/>
      <c r="O86" s="94"/>
      <c r="P86" s="101"/>
      <c r="Q86" s="101"/>
    </row>
    <row r="87" spans="2:23" ht="18.75" customHeight="1">
      <c r="C87" s="139" t="s">
        <v>4089</v>
      </c>
      <c r="D87" s="140"/>
      <c r="E87" s="145" t="str">
        <f>エンティティ一覧!$O$2</f>
        <v>milscm_2023_009</v>
      </c>
      <c r="F87" s="36"/>
      <c r="G87" s="41"/>
      <c r="H87" s="94"/>
      <c r="I87" s="94"/>
      <c r="J87" s="94"/>
      <c r="K87" s="94"/>
      <c r="L87" s="41"/>
      <c r="M87" s="104"/>
      <c r="N87" s="94"/>
      <c r="O87" s="94"/>
      <c r="P87" s="94"/>
      <c r="Q87" s="94"/>
    </row>
    <row r="88" spans="2:23" ht="18.75" customHeight="1">
      <c r="C88" s="141"/>
      <c r="D88" s="142"/>
      <c r="E88" s="146"/>
      <c r="G88" s="94"/>
      <c r="H88" s="94"/>
      <c r="I88" s="94"/>
      <c r="J88" s="94"/>
      <c r="K88" s="94"/>
      <c r="L88" s="41"/>
      <c r="M88" s="104"/>
      <c r="N88" s="94"/>
      <c r="O88" s="94"/>
      <c r="P88" s="94"/>
    </row>
    <row r="89" spans="2:23" ht="18.75" customHeight="1">
      <c r="F89" s="94"/>
      <c r="G89" s="94"/>
      <c r="H89" s="94"/>
      <c r="I89" s="94"/>
      <c r="J89" s="94"/>
      <c r="K89" s="94"/>
      <c r="L89" s="41"/>
      <c r="M89" s="104"/>
      <c r="N89" s="94"/>
      <c r="O89" s="94"/>
      <c r="P89" s="101"/>
      <c r="Q89" s="101"/>
    </row>
    <row r="90" spans="2:23" ht="18.75" customHeight="1">
      <c r="C90" s="139" t="s">
        <v>4066</v>
      </c>
      <c r="D90" s="140"/>
      <c r="E90" s="145" t="str">
        <f>エンティティ一覧!$O$2</f>
        <v>milscm_2023_009</v>
      </c>
      <c r="F90" s="116"/>
      <c r="G90" s="36"/>
      <c r="H90" s="36"/>
      <c r="I90" s="36"/>
      <c r="J90" s="36"/>
      <c r="K90" s="105"/>
      <c r="L90" s="41"/>
      <c r="M90" s="104"/>
      <c r="N90" s="94"/>
      <c r="O90" s="94"/>
      <c r="P90" s="94"/>
      <c r="Q90" s="94"/>
    </row>
    <row r="91" spans="2:23" ht="18.75" customHeight="1">
      <c r="C91" s="141"/>
      <c r="D91" s="142"/>
      <c r="E91" s="146"/>
      <c r="G91" s="94"/>
      <c r="H91" s="94"/>
      <c r="I91" s="94"/>
      <c r="J91" s="94"/>
      <c r="K91" s="94"/>
      <c r="L91" s="94"/>
      <c r="M91" s="104"/>
      <c r="N91" s="94"/>
      <c r="O91" s="94"/>
      <c r="P91" s="94"/>
    </row>
    <row r="92" spans="2:23" ht="18.75" customHeight="1">
      <c r="F92" s="94"/>
      <c r="G92" s="94"/>
      <c r="H92" s="94"/>
      <c r="I92" s="94"/>
      <c r="J92" s="94"/>
      <c r="K92" s="94"/>
      <c r="L92" s="94"/>
      <c r="M92" s="104"/>
      <c r="N92" s="94"/>
      <c r="O92" s="94"/>
      <c r="P92" s="101"/>
      <c r="Q92" s="101"/>
    </row>
    <row r="93" spans="2:23" ht="18.75" customHeight="1">
      <c r="C93" s="139" t="s">
        <v>4321</v>
      </c>
      <c r="D93" s="140"/>
      <c r="E93" s="145" t="str">
        <f>エンティティ一覧!$O$2</f>
        <v>milscm_2023_009</v>
      </c>
      <c r="F93" s="36"/>
      <c r="G93" s="36"/>
      <c r="H93" s="36"/>
      <c r="I93" s="36"/>
      <c r="J93" s="36"/>
      <c r="K93" s="36"/>
      <c r="L93" s="36"/>
      <c r="M93" s="105"/>
      <c r="N93" s="94"/>
      <c r="O93" s="94"/>
      <c r="P93" s="94"/>
      <c r="Q93" s="94"/>
    </row>
    <row r="94" spans="2:23" ht="18.75" customHeight="1">
      <c r="C94" s="141"/>
      <c r="D94" s="142"/>
      <c r="E94" s="146"/>
      <c r="K94" s="94"/>
      <c r="L94" s="94"/>
      <c r="M94" s="94"/>
      <c r="N94" s="94"/>
      <c r="O94" s="94"/>
      <c r="P94" s="94"/>
    </row>
    <row r="96" spans="2:23" ht="18.75" customHeight="1" thickBot="1">
      <c r="B96" s="42"/>
      <c r="C96" s="42"/>
      <c r="D96" s="42"/>
      <c r="E96" s="42"/>
      <c r="F96" s="42"/>
      <c r="G96" s="42"/>
      <c r="H96" s="42"/>
      <c r="I96" s="42"/>
      <c r="J96" s="42"/>
      <c r="K96" s="42"/>
      <c r="L96" s="42"/>
      <c r="M96" s="42"/>
      <c r="N96" s="42"/>
      <c r="O96" s="42"/>
      <c r="P96" s="42"/>
      <c r="Q96" s="42"/>
      <c r="R96" s="42"/>
      <c r="S96" s="42"/>
      <c r="T96" s="42"/>
      <c r="U96" s="42"/>
    </row>
    <row r="98" spans="1:23" ht="18.75" customHeight="1">
      <c r="A98" s="77"/>
      <c r="B98" s="43" t="s">
        <v>163</v>
      </c>
      <c r="C98" s="51" t="s">
        <v>4360</v>
      </c>
      <c r="D98" s="120"/>
      <c r="W98" s="35" t="str">
        <f>"-- "&amp;B98&amp;" : "&amp;C98</f>
        <v>-- SQL_ID : 51_07</v>
      </c>
    </row>
    <row r="99" spans="1:23" ht="18.75" customHeight="1">
      <c r="B99" s="43" t="s">
        <v>158</v>
      </c>
      <c r="C99" s="147" t="str">
        <f>R102&amp;"登録"</f>
        <v>セレクト_診療行為データ登録</v>
      </c>
      <c r="D99" s="148"/>
      <c r="E99" s="148"/>
      <c r="F99" s="148"/>
      <c r="G99" s="148"/>
      <c r="H99" s="148"/>
      <c r="I99" s="148"/>
      <c r="J99" s="148"/>
      <c r="K99" s="148"/>
      <c r="L99" s="148"/>
      <c r="M99" s="148"/>
      <c r="N99" s="148"/>
      <c r="O99" s="148"/>
      <c r="P99" s="148"/>
      <c r="Q99" s="148"/>
      <c r="R99" s="148"/>
      <c r="S99" s="148"/>
      <c r="T99" s="148"/>
      <c r="U99" s="149"/>
      <c r="W99" s="35" t="str">
        <f>"-- "&amp;C99</f>
        <v>-- セレクト_診療行為データ登録</v>
      </c>
    </row>
    <row r="100" spans="1:23" ht="18.75" customHeight="1">
      <c r="B100" s="43" t="s">
        <v>159</v>
      </c>
      <c r="C100" s="136" t="str">
        <f>C102&amp;"から対象データを抽出し、"&amp;R102&amp;"テーブルに格納する。"</f>
        <v>ワーク_診療行為データから対象データを抽出し、セレクト_診療行為データテーブルに格納する。</v>
      </c>
      <c r="D100" s="137"/>
      <c r="E100" s="137"/>
      <c r="F100" s="137"/>
      <c r="G100" s="137"/>
      <c r="H100" s="137"/>
      <c r="I100" s="137"/>
      <c r="J100" s="137"/>
      <c r="K100" s="137"/>
      <c r="L100" s="137"/>
      <c r="M100" s="137"/>
      <c r="N100" s="137"/>
      <c r="O100" s="137"/>
      <c r="P100" s="137"/>
      <c r="Q100" s="137"/>
      <c r="R100" s="137"/>
      <c r="S100" s="137"/>
      <c r="T100" s="137"/>
      <c r="U100" s="138"/>
      <c r="W100" s="35" t="str">
        <f>"-- "&amp;C100</f>
        <v>-- ワーク_診療行為データから対象データを抽出し、セレクト_診療行為データテーブルに格納する。</v>
      </c>
    </row>
    <row r="102" spans="1:23" ht="18.75" customHeight="1">
      <c r="C102" s="139" t="s">
        <v>4143</v>
      </c>
      <c r="D102" s="140"/>
      <c r="E102" s="145" t="str">
        <f>エンティティ一覧!$O$2</f>
        <v>milscm_2023_009</v>
      </c>
      <c r="F102" s="36"/>
      <c r="G102" s="94"/>
      <c r="H102" s="94"/>
      <c r="I102" s="94"/>
      <c r="J102" s="94"/>
      <c r="K102" s="94"/>
      <c r="L102" s="94"/>
      <c r="M102" s="94"/>
      <c r="N102" s="36"/>
      <c r="O102" s="36"/>
      <c r="P102" s="36"/>
      <c r="R102" s="139" t="s">
        <v>4313</v>
      </c>
      <c r="S102" s="140"/>
      <c r="T102" s="145" t="str">
        <f>エンティティ一覧!$O$2</f>
        <v>milscm_2023_009</v>
      </c>
    </row>
    <row r="103" spans="1:23" ht="18.75" customHeight="1">
      <c r="C103" s="141"/>
      <c r="D103" s="142"/>
      <c r="E103" s="146"/>
      <c r="F103" s="37"/>
      <c r="G103" s="38"/>
      <c r="H103" s="37"/>
      <c r="I103" s="37"/>
      <c r="J103" s="37"/>
      <c r="K103" s="37"/>
      <c r="L103" s="38"/>
      <c r="M103" s="37"/>
      <c r="N103" s="94"/>
      <c r="O103" s="94"/>
      <c r="P103" s="94"/>
      <c r="Q103" s="37"/>
      <c r="R103" s="141"/>
      <c r="S103" s="142"/>
      <c r="T103" s="146"/>
    </row>
    <row r="104" spans="1:23" ht="18.75" customHeight="1">
      <c r="F104" s="94"/>
      <c r="G104" s="41"/>
      <c r="H104" s="94"/>
      <c r="I104" s="94"/>
      <c r="J104" s="94"/>
      <c r="K104" s="94"/>
      <c r="L104" s="41"/>
      <c r="M104" s="94"/>
      <c r="N104" s="94"/>
      <c r="O104" s="94"/>
      <c r="P104" s="101"/>
      <c r="Q104" s="101"/>
    </row>
    <row r="105" spans="1:23" ht="18.75" customHeight="1">
      <c r="C105" s="139" t="s">
        <v>4084</v>
      </c>
      <c r="D105" s="140"/>
      <c r="E105" s="145" t="str">
        <f>エンティティ一覧!$O$2</f>
        <v>milscm_2023_009</v>
      </c>
      <c r="F105" s="36"/>
      <c r="G105" s="41"/>
      <c r="H105" s="94"/>
      <c r="I105" s="94"/>
      <c r="J105" s="94"/>
      <c r="K105" s="94"/>
      <c r="L105" s="41"/>
      <c r="M105" s="94"/>
      <c r="N105" s="94"/>
      <c r="O105" s="94"/>
      <c r="P105" s="94"/>
      <c r="Q105" s="94"/>
    </row>
    <row r="106" spans="1:23" ht="18.75" customHeight="1">
      <c r="C106" s="141"/>
      <c r="D106" s="142"/>
      <c r="E106" s="146"/>
      <c r="K106" s="94"/>
      <c r="L106" s="41"/>
      <c r="M106" s="94"/>
      <c r="N106" s="94"/>
      <c r="O106" s="94"/>
      <c r="P106" s="94"/>
    </row>
    <row r="107" spans="1:23" ht="18.75" customHeight="1">
      <c r="F107" s="94"/>
      <c r="G107" s="94"/>
      <c r="H107" s="94"/>
      <c r="I107" s="94"/>
      <c r="J107" s="94"/>
      <c r="K107" s="94"/>
      <c r="L107" s="41"/>
      <c r="M107" s="94"/>
      <c r="N107" s="94"/>
      <c r="O107" s="94"/>
      <c r="P107" s="101"/>
      <c r="Q107" s="101"/>
    </row>
    <row r="108" spans="1:23" ht="18.75" customHeight="1">
      <c r="C108" s="139" t="s">
        <v>4321</v>
      </c>
      <c r="D108" s="140"/>
      <c r="E108" s="145" t="str">
        <f>エンティティ一覧!$O$2</f>
        <v>milscm_2023_009</v>
      </c>
      <c r="F108" s="36"/>
      <c r="G108" s="36"/>
      <c r="H108" s="36"/>
      <c r="I108" s="36"/>
      <c r="J108" s="36"/>
      <c r="K108" s="36"/>
      <c r="L108" s="41"/>
      <c r="M108" s="94"/>
      <c r="N108" s="94"/>
      <c r="O108" s="94"/>
      <c r="P108" s="94"/>
      <c r="Q108" s="94"/>
    </row>
    <row r="109" spans="1:23" ht="18.75" customHeight="1">
      <c r="C109" s="141"/>
      <c r="D109" s="142"/>
      <c r="E109" s="146"/>
      <c r="K109" s="94"/>
      <c r="L109" s="94"/>
      <c r="M109" s="94"/>
      <c r="N109" s="94"/>
      <c r="O109" s="94"/>
      <c r="P109" s="94"/>
    </row>
    <row r="111" spans="1:23" ht="18.75" customHeight="1" thickBot="1">
      <c r="B111" s="42"/>
      <c r="C111" s="42"/>
      <c r="D111" s="42"/>
      <c r="E111" s="42"/>
      <c r="F111" s="42"/>
      <c r="G111" s="42"/>
      <c r="H111" s="42"/>
      <c r="I111" s="42"/>
      <c r="J111" s="42"/>
      <c r="K111" s="42"/>
      <c r="L111" s="42"/>
      <c r="M111" s="42"/>
      <c r="N111" s="42"/>
      <c r="O111" s="42"/>
      <c r="P111" s="42"/>
      <c r="Q111" s="42"/>
      <c r="R111" s="42"/>
      <c r="S111" s="42"/>
      <c r="T111" s="42"/>
      <c r="U111" s="42"/>
    </row>
    <row r="113" spans="1:23" ht="18.75" customHeight="1">
      <c r="A113" s="77"/>
      <c r="B113" s="43" t="s">
        <v>163</v>
      </c>
      <c r="C113" s="51" t="s">
        <v>4428</v>
      </c>
      <c r="D113" s="123"/>
      <c r="W113" s="35" t="str">
        <f>"-- "&amp;B113&amp;" : "&amp;C113</f>
        <v>-- SQL_ID : 51_08</v>
      </c>
    </row>
    <row r="114" spans="1:23" ht="18.75" customHeight="1">
      <c r="B114" s="43" t="s">
        <v>158</v>
      </c>
      <c r="C114" s="147" t="str">
        <f>R117&amp;"登録"</f>
        <v>セレクト_入院外来サマリ登録</v>
      </c>
      <c r="D114" s="148"/>
      <c r="E114" s="148"/>
      <c r="F114" s="148"/>
      <c r="G114" s="148"/>
      <c r="H114" s="148"/>
      <c r="I114" s="148"/>
      <c r="J114" s="148"/>
      <c r="K114" s="148"/>
      <c r="L114" s="148"/>
      <c r="M114" s="148"/>
      <c r="N114" s="148"/>
      <c r="O114" s="148"/>
      <c r="P114" s="148"/>
      <c r="Q114" s="148"/>
      <c r="R114" s="148"/>
      <c r="S114" s="148"/>
      <c r="T114" s="148"/>
      <c r="U114" s="149"/>
      <c r="W114" s="35" t="str">
        <f>"-- "&amp;C114</f>
        <v>-- セレクト_入院外来サマリ登録</v>
      </c>
    </row>
    <row r="115" spans="1:23" ht="18.75" customHeight="1">
      <c r="B115" s="43" t="s">
        <v>159</v>
      </c>
      <c r="C115" s="136" t="str">
        <f>C117&amp;"から対象データを抽出し、"&amp;R117&amp;"テーブルに格納する。"</f>
        <v>セレクト_入院外来データから対象データを抽出し、セレクト_入院外来サマリテーブルに格納する。</v>
      </c>
      <c r="D115" s="137"/>
      <c r="E115" s="137"/>
      <c r="F115" s="137"/>
      <c r="G115" s="137"/>
      <c r="H115" s="137"/>
      <c r="I115" s="137"/>
      <c r="J115" s="137"/>
      <c r="K115" s="137"/>
      <c r="L115" s="137"/>
      <c r="M115" s="137"/>
      <c r="N115" s="137"/>
      <c r="O115" s="137"/>
      <c r="P115" s="137"/>
      <c r="Q115" s="137"/>
      <c r="R115" s="137"/>
      <c r="S115" s="137"/>
      <c r="T115" s="137"/>
      <c r="U115" s="138"/>
      <c r="W115" s="35" t="str">
        <f>"-- "&amp;C115</f>
        <v>-- セレクト_入院外来データから対象データを抽出し、セレクト_入院外来サマリテーブルに格納する。</v>
      </c>
    </row>
    <row r="117" spans="1:23" ht="18.75" customHeight="1">
      <c r="C117" s="139" t="s">
        <v>4309</v>
      </c>
      <c r="D117" s="140"/>
      <c r="E117" s="145" t="str">
        <f>エンティティ一覧!$O$2</f>
        <v>milscm_2023_009</v>
      </c>
      <c r="F117" s="36"/>
      <c r="G117" s="36"/>
      <c r="H117" s="36"/>
      <c r="I117" s="36"/>
      <c r="J117" s="36"/>
      <c r="K117" s="36"/>
      <c r="L117" s="94"/>
      <c r="M117" s="94"/>
      <c r="N117" s="36"/>
      <c r="O117" s="36"/>
      <c r="P117" s="36"/>
      <c r="R117" s="139" t="s">
        <v>4429</v>
      </c>
      <c r="S117" s="140"/>
      <c r="T117" s="145" t="str">
        <f>エンティティ一覧!$O$2</f>
        <v>milscm_2023_009</v>
      </c>
    </row>
    <row r="118" spans="1:23" ht="18.75" customHeight="1">
      <c r="C118" s="141"/>
      <c r="D118" s="142"/>
      <c r="E118" s="146"/>
      <c r="F118" s="37"/>
      <c r="G118" s="37"/>
      <c r="H118" s="37"/>
      <c r="I118" s="37"/>
      <c r="J118" s="37"/>
      <c r="K118" s="37"/>
      <c r="L118" s="37"/>
      <c r="M118" s="37"/>
      <c r="N118" s="94"/>
      <c r="O118" s="94"/>
      <c r="P118" s="94"/>
      <c r="Q118" s="37"/>
      <c r="R118" s="141"/>
      <c r="S118" s="142"/>
      <c r="T118" s="146"/>
    </row>
    <row r="121" spans="1:23" ht="18.75" customHeight="1" thickBot="1">
      <c r="B121" s="42"/>
      <c r="C121" s="42"/>
      <c r="D121" s="42"/>
      <c r="E121" s="42"/>
      <c r="F121" s="42"/>
      <c r="G121" s="42"/>
      <c r="H121" s="42"/>
      <c r="I121" s="42"/>
      <c r="J121" s="42"/>
      <c r="K121" s="42"/>
      <c r="L121" s="42"/>
      <c r="M121" s="42"/>
      <c r="N121" s="42"/>
      <c r="O121" s="42"/>
      <c r="P121" s="42"/>
      <c r="Q121" s="42"/>
      <c r="R121" s="42"/>
      <c r="S121" s="42"/>
      <c r="T121" s="42"/>
      <c r="U121" s="42"/>
    </row>
  </sheetData>
  <mergeCells count="80">
    <mergeCell ref="C114:U114"/>
    <mergeCell ref="C115:U115"/>
    <mergeCell ref="C117:D118"/>
    <mergeCell ref="E117:E118"/>
    <mergeCell ref="R117:S118"/>
    <mergeCell ref="T117:T118"/>
    <mergeCell ref="C4:U4"/>
    <mergeCell ref="C5:U5"/>
    <mergeCell ref="C7:D8"/>
    <mergeCell ref="E7:E8"/>
    <mergeCell ref="R7:S8"/>
    <mergeCell ref="T7:T8"/>
    <mergeCell ref="C33:U33"/>
    <mergeCell ref="C34:U34"/>
    <mergeCell ref="C27:D28"/>
    <mergeCell ref="E27:E28"/>
    <mergeCell ref="C10:D11"/>
    <mergeCell ref="E10:E11"/>
    <mergeCell ref="C22:U22"/>
    <mergeCell ref="C24:D25"/>
    <mergeCell ref="E24:E25"/>
    <mergeCell ref="R24:S25"/>
    <mergeCell ref="T24:T25"/>
    <mergeCell ref="C13:D14"/>
    <mergeCell ref="E13:E14"/>
    <mergeCell ref="C16:D17"/>
    <mergeCell ref="E16:E17"/>
    <mergeCell ref="C21:U21"/>
    <mergeCell ref="C36:D37"/>
    <mergeCell ref="E36:E37"/>
    <mergeCell ref="C48:U48"/>
    <mergeCell ref="C49:U49"/>
    <mergeCell ref="C51:D52"/>
    <mergeCell ref="E51:E52"/>
    <mergeCell ref="R51:S52"/>
    <mergeCell ref="T51:T52"/>
    <mergeCell ref="R36:S37"/>
    <mergeCell ref="T36:T37"/>
    <mergeCell ref="C39:D40"/>
    <mergeCell ref="E39:E40"/>
    <mergeCell ref="C42:D43"/>
    <mergeCell ref="E42:E43"/>
    <mergeCell ref="C57:D58"/>
    <mergeCell ref="E57:E58"/>
    <mergeCell ref="C54:D55"/>
    <mergeCell ref="E54:E55"/>
    <mergeCell ref="C69:D70"/>
    <mergeCell ref="E69:E70"/>
    <mergeCell ref="C63:U63"/>
    <mergeCell ref="C64:U64"/>
    <mergeCell ref="C66:D67"/>
    <mergeCell ref="E66:E67"/>
    <mergeCell ref="R66:S67"/>
    <mergeCell ref="T66:T67"/>
    <mergeCell ref="C75:D76"/>
    <mergeCell ref="E75:E76"/>
    <mergeCell ref="C72:D73"/>
    <mergeCell ref="E72:E73"/>
    <mergeCell ref="C81:U81"/>
    <mergeCell ref="C82:U82"/>
    <mergeCell ref="C84:D85"/>
    <mergeCell ref="E84:E85"/>
    <mergeCell ref="R84:S85"/>
    <mergeCell ref="T84:T85"/>
    <mergeCell ref="C87:D88"/>
    <mergeCell ref="E87:E88"/>
    <mergeCell ref="C90:D91"/>
    <mergeCell ref="E90:E91"/>
    <mergeCell ref="C93:D94"/>
    <mergeCell ref="E93:E94"/>
    <mergeCell ref="C105:D106"/>
    <mergeCell ref="E105:E106"/>
    <mergeCell ref="C108:D109"/>
    <mergeCell ref="E108:E109"/>
    <mergeCell ref="C99:U99"/>
    <mergeCell ref="C100:U100"/>
    <mergeCell ref="C102:D103"/>
    <mergeCell ref="E102:E103"/>
    <mergeCell ref="R102:S103"/>
    <mergeCell ref="T102:T103"/>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354"/>
  <sheetViews>
    <sheetView showGridLines="0" topLeftCell="A321" zoomScaleNormal="100" workbookViewId="0">
      <selection activeCell="A326" sqref="A326"/>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4386</v>
      </c>
      <c r="D3" s="119"/>
      <c r="W3" s="35" t="str">
        <f>"-- "&amp;B3&amp;" : "&amp;C3</f>
        <v>-- SQL_ID : 52_01</v>
      </c>
    </row>
    <row r="4" spans="1:23" ht="18.75" customHeight="1">
      <c r="B4" s="43" t="s">
        <v>158</v>
      </c>
      <c r="C4" s="147" t="str">
        <f>R7&amp;"_取得"</f>
        <v>患者区分_取得</v>
      </c>
      <c r="D4" s="148"/>
      <c r="E4" s="148"/>
      <c r="F4" s="148"/>
      <c r="G4" s="148"/>
      <c r="H4" s="148"/>
      <c r="I4" s="148"/>
      <c r="J4" s="148"/>
      <c r="K4" s="148"/>
      <c r="L4" s="148"/>
      <c r="M4" s="148"/>
      <c r="N4" s="148"/>
      <c r="O4" s="148"/>
      <c r="P4" s="148"/>
      <c r="Q4" s="148"/>
      <c r="R4" s="148"/>
      <c r="S4" s="148"/>
      <c r="T4" s="148"/>
      <c r="U4" s="149"/>
      <c r="W4" s="35" t="str">
        <f>"-- "&amp;C4</f>
        <v>-- 患者区分_取得</v>
      </c>
    </row>
    <row r="5" spans="1:23" ht="18.75" customHeight="1">
      <c r="B5" s="43" t="s">
        <v>159</v>
      </c>
      <c r="C5" s="136" t="str">
        <f>C7&amp;"からデータを抽出し、"&amp;R7&amp;"を取得する。"</f>
        <v>患者区分からデータを抽出し、患者区分を取得する。</v>
      </c>
      <c r="D5" s="137"/>
      <c r="E5" s="137"/>
      <c r="F5" s="137"/>
      <c r="G5" s="137"/>
      <c r="H5" s="137"/>
      <c r="I5" s="137"/>
      <c r="J5" s="137"/>
      <c r="K5" s="137"/>
      <c r="L5" s="137"/>
      <c r="M5" s="137"/>
      <c r="N5" s="137"/>
      <c r="O5" s="137"/>
      <c r="P5" s="137"/>
      <c r="Q5" s="137"/>
      <c r="R5" s="137"/>
      <c r="S5" s="137"/>
      <c r="T5" s="137"/>
      <c r="U5" s="138"/>
      <c r="W5" s="35" t="str">
        <f>"-- "&amp;C5</f>
        <v>-- 患者区分からデータを抽出し、患者区分を取得する。</v>
      </c>
    </row>
    <row r="7" spans="1:23" ht="18.75" customHeight="1">
      <c r="C7" s="139" t="s">
        <v>4369</v>
      </c>
      <c r="D7" s="140"/>
      <c r="E7" s="145" t="s">
        <v>4388</v>
      </c>
      <c r="F7" s="36"/>
      <c r="G7" s="36"/>
      <c r="H7" s="36"/>
      <c r="I7" s="36"/>
      <c r="J7" s="36"/>
      <c r="K7" s="36"/>
      <c r="L7" s="36"/>
      <c r="M7" s="36"/>
      <c r="N7" s="36"/>
      <c r="O7" s="36"/>
      <c r="R7" s="139" t="s">
        <v>4369</v>
      </c>
      <c r="S7" s="140"/>
      <c r="T7" s="145" t="str">
        <f>エンティティ一覧!$O$2</f>
        <v>milscm_2023_009</v>
      </c>
    </row>
    <row r="8" spans="1:23" ht="18.75" customHeight="1">
      <c r="C8" s="141"/>
      <c r="D8" s="142"/>
      <c r="E8" s="146"/>
      <c r="F8" s="37"/>
      <c r="G8" s="37"/>
      <c r="H8" s="37"/>
      <c r="I8" s="37"/>
      <c r="J8" s="37"/>
      <c r="K8" s="37"/>
      <c r="L8" s="37"/>
      <c r="M8" s="37"/>
      <c r="N8" s="37"/>
      <c r="O8" s="37"/>
      <c r="P8" s="37"/>
      <c r="Q8" s="37"/>
      <c r="R8" s="141"/>
      <c r="S8" s="142"/>
      <c r="T8" s="146"/>
    </row>
    <row r="10" spans="1:23" ht="18.75" customHeight="1" thickBot="1">
      <c r="B10" s="42"/>
      <c r="C10" s="42"/>
      <c r="D10" s="42"/>
      <c r="E10" s="42"/>
      <c r="F10" s="42"/>
      <c r="G10" s="42"/>
      <c r="H10" s="42"/>
      <c r="I10" s="42"/>
      <c r="J10" s="42"/>
      <c r="K10" s="42"/>
      <c r="L10" s="42"/>
      <c r="M10" s="42"/>
      <c r="N10" s="42"/>
      <c r="O10" s="42"/>
      <c r="P10" s="42"/>
      <c r="Q10" s="42"/>
      <c r="R10" s="42"/>
      <c r="S10" s="42"/>
      <c r="T10" s="42"/>
      <c r="U10" s="42"/>
    </row>
    <row r="12" spans="1:23" ht="18.75" customHeight="1">
      <c r="A12" s="77"/>
      <c r="B12" s="43" t="s">
        <v>163</v>
      </c>
      <c r="C12" s="51" t="s">
        <v>4387</v>
      </c>
      <c r="D12" s="120"/>
      <c r="W12" s="35" t="str">
        <f>"-- "&amp;B12&amp;" : "&amp;C12</f>
        <v>-- SQL_ID : 52_02</v>
      </c>
    </row>
    <row r="13" spans="1:23" ht="18.75" customHeight="1">
      <c r="B13" s="43" t="s">
        <v>158</v>
      </c>
      <c r="C13" s="147" t="str">
        <f>R16&amp;"_取得"</f>
        <v>薬剤ごとのN数_取得</v>
      </c>
      <c r="D13" s="148"/>
      <c r="E13" s="148"/>
      <c r="F13" s="148"/>
      <c r="G13" s="148"/>
      <c r="H13" s="148"/>
      <c r="I13" s="148"/>
      <c r="J13" s="148"/>
      <c r="K13" s="148"/>
      <c r="L13" s="148"/>
      <c r="M13" s="148"/>
      <c r="N13" s="148"/>
      <c r="O13" s="148"/>
      <c r="P13" s="148"/>
      <c r="Q13" s="148"/>
      <c r="R13" s="148"/>
      <c r="S13" s="148"/>
      <c r="T13" s="148"/>
      <c r="U13" s="149"/>
      <c r="W13" s="35" t="str">
        <f>"-- "&amp;C13</f>
        <v>-- 薬剤ごとのN数_取得</v>
      </c>
    </row>
    <row r="14" spans="1:23" ht="18.75" customHeight="1">
      <c r="B14" s="43" t="s">
        <v>159</v>
      </c>
      <c r="C14" s="136" t="str">
        <f>C16&amp;"からデータを抽出し、"&amp;R16&amp;"を取得する。"</f>
        <v>セレクト_薬剤データからデータを抽出し、薬剤ごとのN数を取得する。</v>
      </c>
      <c r="D14" s="137"/>
      <c r="E14" s="137"/>
      <c r="F14" s="137"/>
      <c r="G14" s="137"/>
      <c r="H14" s="137"/>
      <c r="I14" s="137"/>
      <c r="J14" s="137"/>
      <c r="K14" s="137"/>
      <c r="L14" s="137"/>
      <c r="M14" s="137"/>
      <c r="N14" s="137"/>
      <c r="O14" s="137"/>
      <c r="P14" s="137"/>
      <c r="Q14" s="137"/>
      <c r="R14" s="137"/>
      <c r="S14" s="137"/>
      <c r="T14" s="137"/>
      <c r="U14" s="138"/>
      <c r="W14" s="35" t="str">
        <f>"-- "&amp;C14</f>
        <v>-- セレクト_薬剤データからデータを抽出し、薬剤ごとのN数を取得する。</v>
      </c>
    </row>
    <row r="16" spans="1:23" ht="18.75" customHeight="1">
      <c r="C16" s="139" t="s">
        <v>4310</v>
      </c>
      <c r="D16" s="140"/>
      <c r="E16" s="145" t="str">
        <f>エンティティ一覧!$O$2</f>
        <v>milscm_2023_009</v>
      </c>
      <c r="F16" s="36"/>
      <c r="G16" s="36"/>
      <c r="H16" s="36"/>
      <c r="I16" s="36"/>
      <c r="J16" s="36"/>
      <c r="K16" s="36"/>
      <c r="L16" s="36"/>
      <c r="M16" s="36"/>
      <c r="N16" s="36"/>
      <c r="O16" s="36"/>
      <c r="R16" s="139" t="s">
        <v>4361</v>
      </c>
      <c r="S16" s="140"/>
      <c r="T16" s="145" t="s">
        <v>3799</v>
      </c>
    </row>
    <row r="17" spans="1:23" ht="18.75" customHeight="1">
      <c r="C17" s="141"/>
      <c r="D17" s="142"/>
      <c r="E17" s="146"/>
      <c r="F17" s="37"/>
      <c r="G17" s="37"/>
      <c r="H17" s="37"/>
      <c r="I17" s="37"/>
      <c r="J17" s="37"/>
      <c r="K17" s="37"/>
      <c r="L17" s="37"/>
      <c r="M17" s="37"/>
      <c r="N17" s="37"/>
      <c r="O17" s="37"/>
      <c r="P17" s="37"/>
      <c r="Q17" s="37"/>
      <c r="R17" s="141"/>
      <c r="S17" s="142"/>
      <c r="T17" s="146"/>
    </row>
    <row r="19" spans="1:23" ht="18.75" customHeight="1" thickBot="1">
      <c r="B19" s="42"/>
      <c r="C19" s="42"/>
      <c r="D19" s="42"/>
      <c r="E19" s="42"/>
      <c r="F19" s="42"/>
      <c r="G19" s="42"/>
      <c r="H19" s="42"/>
      <c r="I19" s="42"/>
      <c r="J19" s="42"/>
      <c r="K19" s="42"/>
      <c r="L19" s="42"/>
      <c r="M19" s="42"/>
      <c r="N19" s="42"/>
      <c r="O19" s="42"/>
      <c r="P19" s="42"/>
      <c r="Q19" s="42"/>
      <c r="R19" s="42"/>
      <c r="S19" s="42"/>
      <c r="T19" s="42"/>
      <c r="U19" s="42"/>
    </row>
    <row r="21" spans="1:23" ht="18.75" customHeight="1">
      <c r="A21" s="77"/>
      <c r="B21" s="43" t="s">
        <v>163</v>
      </c>
      <c r="C21" s="51" t="s">
        <v>4389</v>
      </c>
      <c r="D21" s="119"/>
      <c r="W21" s="35" t="str">
        <f>"-- "&amp;B21&amp;" : "&amp;C21</f>
        <v>-- SQL_ID : 52_03</v>
      </c>
    </row>
    <row r="22" spans="1:23" ht="18.75" customHeight="1">
      <c r="B22" s="43" t="s">
        <v>158</v>
      </c>
      <c r="C22" s="147" t="str">
        <f>R25&amp;"_取得"</f>
        <v>薬剤ごとの使用期間_取得</v>
      </c>
      <c r="D22" s="148"/>
      <c r="E22" s="148"/>
      <c r="F22" s="148"/>
      <c r="G22" s="148"/>
      <c r="H22" s="148"/>
      <c r="I22" s="148"/>
      <c r="J22" s="148"/>
      <c r="K22" s="148"/>
      <c r="L22" s="148"/>
      <c r="M22" s="148"/>
      <c r="N22" s="148"/>
      <c r="O22" s="148"/>
      <c r="P22" s="148"/>
      <c r="Q22" s="148"/>
      <c r="R22" s="148"/>
      <c r="S22" s="148"/>
      <c r="T22" s="148"/>
      <c r="U22" s="149"/>
      <c r="W22" s="35" t="str">
        <f>"-- "&amp;C22</f>
        <v>-- 薬剤ごとの使用期間_取得</v>
      </c>
    </row>
    <row r="23" spans="1:23" ht="18.75" customHeight="1">
      <c r="B23" s="43" t="s">
        <v>159</v>
      </c>
      <c r="C23" s="136" t="str">
        <f>C25&amp;"からデータを抽出し、"&amp;R25&amp;"を取得する。"</f>
        <v>セレクト_薬剤データからデータを抽出し、薬剤ごとの使用期間を取得する。</v>
      </c>
      <c r="D23" s="137"/>
      <c r="E23" s="137"/>
      <c r="F23" s="137"/>
      <c r="G23" s="137"/>
      <c r="H23" s="137"/>
      <c r="I23" s="137"/>
      <c r="J23" s="137"/>
      <c r="K23" s="137"/>
      <c r="L23" s="137"/>
      <c r="M23" s="137"/>
      <c r="N23" s="137"/>
      <c r="O23" s="137"/>
      <c r="P23" s="137"/>
      <c r="Q23" s="137"/>
      <c r="R23" s="137"/>
      <c r="S23" s="137"/>
      <c r="T23" s="137"/>
      <c r="U23" s="138"/>
      <c r="W23" s="35" t="str">
        <f>"-- "&amp;C23</f>
        <v>-- セレクト_薬剤データからデータを抽出し、薬剤ごとの使用期間を取得する。</v>
      </c>
    </row>
    <row r="25" spans="1:23" ht="18.75" customHeight="1">
      <c r="C25" s="139" t="s">
        <v>4310</v>
      </c>
      <c r="D25" s="140"/>
      <c r="E25" s="145" t="str">
        <f>エンティティ一覧!$O$2</f>
        <v>milscm_2023_009</v>
      </c>
      <c r="F25" s="36"/>
      <c r="G25" s="36"/>
      <c r="H25" s="36"/>
      <c r="I25" s="36"/>
      <c r="J25" s="36"/>
      <c r="K25" s="36"/>
      <c r="L25" s="36"/>
      <c r="M25" s="36"/>
      <c r="N25" s="36"/>
      <c r="O25" s="36"/>
      <c r="R25" s="139" t="s">
        <v>4362</v>
      </c>
      <c r="S25" s="140"/>
      <c r="T25" s="145" t="s">
        <v>3799</v>
      </c>
    </row>
    <row r="26" spans="1:23" ht="18.75" customHeight="1">
      <c r="C26" s="141"/>
      <c r="D26" s="142"/>
      <c r="E26" s="146"/>
      <c r="F26" s="37"/>
      <c r="G26" s="37"/>
      <c r="H26" s="37"/>
      <c r="I26" s="37"/>
      <c r="J26" s="37"/>
      <c r="K26" s="37"/>
      <c r="L26" s="37"/>
      <c r="M26" s="37"/>
      <c r="N26" s="37"/>
      <c r="O26" s="37"/>
      <c r="P26" s="37"/>
      <c r="Q26" s="37"/>
      <c r="R26" s="141"/>
      <c r="S26" s="142"/>
      <c r="T26" s="146"/>
    </row>
    <row r="28" spans="1:23" ht="18.75" customHeight="1" thickBot="1">
      <c r="B28" s="42"/>
      <c r="C28" s="42"/>
      <c r="D28" s="42"/>
      <c r="E28" s="42"/>
      <c r="F28" s="42"/>
      <c r="G28" s="42"/>
      <c r="H28" s="42"/>
      <c r="I28" s="42"/>
      <c r="J28" s="42"/>
      <c r="K28" s="42"/>
      <c r="L28" s="42"/>
      <c r="M28" s="42"/>
      <c r="N28" s="42"/>
      <c r="O28" s="42"/>
      <c r="P28" s="42"/>
      <c r="Q28" s="42"/>
      <c r="R28" s="42"/>
      <c r="S28" s="42"/>
      <c r="T28" s="42"/>
      <c r="U28" s="42"/>
    </row>
    <row r="30" spans="1:23" ht="18.75" customHeight="1">
      <c r="A30" s="77"/>
      <c r="B30" s="43" t="s">
        <v>163</v>
      </c>
      <c r="C30" s="51" t="s">
        <v>4390</v>
      </c>
      <c r="D30" s="120"/>
      <c r="W30" s="35" t="str">
        <f>"-- "&amp;B30&amp;" : "&amp;C30</f>
        <v>-- SQL_ID : 52_04</v>
      </c>
    </row>
    <row r="31" spans="1:23" ht="18.75" customHeight="1">
      <c r="B31" s="43" t="s">
        <v>158</v>
      </c>
      <c r="C31" s="147" t="str">
        <f>R34&amp;"_取得"</f>
        <v>診療行為ごとのN数_取得</v>
      </c>
      <c r="D31" s="148"/>
      <c r="E31" s="148"/>
      <c r="F31" s="148"/>
      <c r="G31" s="148"/>
      <c r="H31" s="148"/>
      <c r="I31" s="148"/>
      <c r="J31" s="148"/>
      <c r="K31" s="148"/>
      <c r="L31" s="148"/>
      <c r="M31" s="148"/>
      <c r="N31" s="148"/>
      <c r="O31" s="148"/>
      <c r="P31" s="148"/>
      <c r="Q31" s="148"/>
      <c r="R31" s="148"/>
      <c r="S31" s="148"/>
      <c r="T31" s="148"/>
      <c r="U31" s="149"/>
      <c r="W31" s="35" t="str">
        <f>"-- "&amp;C31</f>
        <v>-- 診療行為ごとのN数_取得</v>
      </c>
    </row>
    <row r="32" spans="1:23" ht="18.75" customHeight="1">
      <c r="B32" s="43" t="s">
        <v>159</v>
      </c>
      <c r="C32" s="136" t="str">
        <f>C34&amp;"からデータを抽出し、"&amp;R34&amp;"を取得する。"</f>
        <v>セレクト_診療行為データからデータを抽出し、診療行為ごとのN数を取得する。</v>
      </c>
      <c r="D32" s="137"/>
      <c r="E32" s="137"/>
      <c r="F32" s="137"/>
      <c r="G32" s="137"/>
      <c r="H32" s="137"/>
      <c r="I32" s="137"/>
      <c r="J32" s="137"/>
      <c r="K32" s="137"/>
      <c r="L32" s="137"/>
      <c r="M32" s="137"/>
      <c r="N32" s="137"/>
      <c r="O32" s="137"/>
      <c r="P32" s="137"/>
      <c r="Q32" s="137"/>
      <c r="R32" s="137"/>
      <c r="S32" s="137"/>
      <c r="T32" s="137"/>
      <c r="U32" s="138"/>
      <c r="W32" s="35" t="str">
        <f>"-- "&amp;C32</f>
        <v>-- セレクト_診療行為データからデータを抽出し、診療行為ごとのN数を取得する。</v>
      </c>
    </row>
    <row r="34" spans="1:23" ht="18.75" customHeight="1">
      <c r="C34" s="139" t="s">
        <v>4313</v>
      </c>
      <c r="D34" s="140"/>
      <c r="E34" s="145" t="str">
        <f>エンティティ一覧!$O$2</f>
        <v>milscm_2023_009</v>
      </c>
      <c r="F34" s="36"/>
      <c r="G34" s="36"/>
      <c r="H34" s="36"/>
      <c r="I34" s="36"/>
      <c r="J34" s="36"/>
      <c r="K34" s="36"/>
      <c r="L34" s="36"/>
      <c r="M34" s="36"/>
      <c r="N34" s="36"/>
      <c r="O34" s="36"/>
      <c r="R34" s="139" t="s">
        <v>4363</v>
      </c>
      <c r="S34" s="140"/>
      <c r="T34" s="145" t="s">
        <v>3799</v>
      </c>
    </row>
    <row r="35" spans="1:23" ht="18.75" customHeight="1">
      <c r="C35" s="141"/>
      <c r="D35" s="142"/>
      <c r="E35" s="146"/>
      <c r="F35" s="37"/>
      <c r="G35" s="37"/>
      <c r="H35" s="37"/>
      <c r="I35" s="37"/>
      <c r="J35" s="37"/>
      <c r="K35" s="37"/>
      <c r="L35" s="37"/>
      <c r="M35" s="37"/>
      <c r="N35" s="37"/>
      <c r="O35" s="37"/>
      <c r="P35" s="37"/>
      <c r="Q35" s="37"/>
      <c r="R35" s="141"/>
      <c r="S35" s="142"/>
      <c r="T35" s="146"/>
    </row>
    <row r="37" spans="1:23" ht="18.75" customHeight="1" thickBot="1">
      <c r="B37" s="42"/>
      <c r="C37" s="42"/>
      <c r="D37" s="42"/>
      <c r="E37" s="42"/>
      <c r="F37" s="42"/>
      <c r="G37" s="42"/>
      <c r="H37" s="42"/>
      <c r="I37" s="42"/>
      <c r="J37" s="42"/>
      <c r="K37" s="42"/>
      <c r="L37" s="42"/>
      <c r="M37" s="42"/>
      <c r="N37" s="42"/>
      <c r="O37" s="42"/>
      <c r="P37" s="42"/>
      <c r="Q37" s="42"/>
      <c r="R37" s="42"/>
      <c r="S37" s="42"/>
      <c r="T37" s="42"/>
      <c r="U37" s="42"/>
    </row>
    <row r="39" spans="1:23" ht="18.75" customHeight="1">
      <c r="A39" s="77"/>
      <c r="B39" s="43" t="s">
        <v>163</v>
      </c>
      <c r="C39" s="51" t="s">
        <v>4391</v>
      </c>
      <c r="D39" s="120"/>
      <c r="W39" s="35" t="str">
        <f>"-- "&amp;B39&amp;" : "&amp;C39</f>
        <v>-- SQL_ID : 52_05</v>
      </c>
    </row>
    <row r="40" spans="1:23" ht="18.75" customHeight="1">
      <c r="B40" s="43" t="s">
        <v>158</v>
      </c>
      <c r="C40" s="147" t="str">
        <f>R43&amp;"_取得"</f>
        <v>検査ごとのN数_取得</v>
      </c>
      <c r="D40" s="148"/>
      <c r="E40" s="148"/>
      <c r="F40" s="148"/>
      <c r="G40" s="148"/>
      <c r="H40" s="148"/>
      <c r="I40" s="148"/>
      <c r="J40" s="148"/>
      <c r="K40" s="148"/>
      <c r="L40" s="148"/>
      <c r="M40" s="148"/>
      <c r="N40" s="148"/>
      <c r="O40" s="148"/>
      <c r="P40" s="148"/>
      <c r="Q40" s="148"/>
      <c r="R40" s="148"/>
      <c r="S40" s="148"/>
      <c r="T40" s="148"/>
      <c r="U40" s="149"/>
      <c r="W40" s="35" t="str">
        <f>"-- "&amp;C40</f>
        <v>-- 検査ごとのN数_取得</v>
      </c>
    </row>
    <row r="41" spans="1:23" ht="18.75" customHeight="1">
      <c r="B41" s="43" t="s">
        <v>159</v>
      </c>
      <c r="C41" s="136" t="str">
        <f>C43&amp;"からデータを抽出し、"&amp;R43&amp;"を取得する。"</f>
        <v>セレクト_検査データからデータを抽出し、検査ごとのN数を取得する。</v>
      </c>
      <c r="D41" s="137"/>
      <c r="E41" s="137"/>
      <c r="F41" s="137"/>
      <c r="G41" s="137"/>
      <c r="H41" s="137"/>
      <c r="I41" s="137"/>
      <c r="J41" s="137"/>
      <c r="K41" s="137"/>
      <c r="L41" s="137"/>
      <c r="M41" s="137"/>
      <c r="N41" s="137"/>
      <c r="O41" s="137"/>
      <c r="P41" s="137"/>
      <c r="Q41" s="137"/>
      <c r="R41" s="137"/>
      <c r="S41" s="137"/>
      <c r="T41" s="137"/>
      <c r="U41" s="138"/>
      <c r="W41" s="35" t="str">
        <f>"-- "&amp;C41</f>
        <v>-- セレクト_検査データからデータを抽出し、検査ごとのN数を取得する。</v>
      </c>
    </row>
    <row r="43" spans="1:23" ht="18.75" customHeight="1">
      <c r="C43" s="139" t="s">
        <v>4354</v>
      </c>
      <c r="D43" s="140"/>
      <c r="E43" s="145" t="str">
        <f>エンティティ一覧!$O$2</f>
        <v>milscm_2023_009</v>
      </c>
      <c r="F43" s="36"/>
      <c r="G43" s="36"/>
      <c r="H43" s="36"/>
      <c r="I43" s="36"/>
      <c r="J43" s="36"/>
      <c r="K43" s="36"/>
      <c r="L43" s="36"/>
      <c r="M43" s="36"/>
      <c r="N43" s="36"/>
      <c r="O43" s="36"/>
      <c r="R43" s="139" t="s">
        <v>4364</v>
      </c>
      <c r="S43" s="140"/>
      <c r="T43" s="145" t="s">
        <v>3799</v>
      </c>
    </row>
    <row r="44" spans="1:23" ht="18.75" customHeight="1">
      <c r="C44" s="141"/>
      <c r="D44" s="142"/>
      <c r="E44" s="146"/>
      <c r="F44" s="37"/>
      <c r="G44" s="37"/>
      <c r="H44" s="37"/>
      <c r="I44" s="37"/>
      <c r="J44" s="37"/>
      <c r="K44" s="37"/>
      <c r="L44" s="37"/>
      <c r="M44" s="37"/>
      <c r="N44" s="37"/>
      <c r="O44" s="37"/>
      <c r="P44" s="37"/>
      <c r="Q44" s="37"/>
      <c r="R44" s="141"/>
      <c r="S44" s="142"/>
      <c r="T44" s="146"/>
    </row>
    <row r="46" spans="1:23" ht="18.75" customHeight="1" thickBot="1">
      <c r="B46" s="42"/>
      <c r="C46" s="42"/>
      <c r="D46" s="42"/>
      <c r="E46" s="42"/>
      <c r="F46" s="42"/>
      <c r="G46" s="42"/>
      <c r="H46" s="42"/>
      <c r="I46" s="42"/>
      <c r="J46" s="42"/>
      <c r="K46" s="42"/>
      <c r="L46" s="42"/>
      <c r="M46" s="42"/>
      <c r="N46" s="42"/>
      <c r="O46" s="42"/>
      <c r="P46" s="42"/>
      <c r="Q46" s="42"/>
      <c r="R46" s="42"/>
      <c r="S46" s="42"/>
      <c r="T46" s="42"/>
      <c r="U46" s="42"/>
    </row>
    <row r="48" spans="1:23" ht="18.75" customHeight="1">
      <c r="A48" s="77"/>
      <c r="B48" s="43" t="s">
        <v>163</v>
      </c>
      <c r="C48" s="51" t="s">
        <v>4392</v>
      </c>
      <c r="D48" s="120"/>
      <c r="W48" s="35" t="str">
        <f>"-- "&amp;B48&amp;" : "&amp;C48</f>
        <v>-- SQL_ID : 52_06</v>
      </c>
    </row>
    <row r="49" spans="1:23" ht="18.75" customHeight="1">
      <c r="B49" s="43" t="s">
        <v>158</v>
      </c>
      <c r="C49" s="147" t="str">
        <f>R52&amp;"_取得"</f>
        <v>観察期間ごとのN数_取得</v>
      </c>
      <c r="D49" s="148"/>
      <c r="E49" s="148"/>
      <c r="F49" s="148"/>
      <c r="G49" s="148"/>
      <c r="H49" s="148"/>
      <c r="I49" s="148"/>
      <c r="J49" s="148"/>
      <c r="K49" s="148"/>
      <c r="L49" s="148"/>
      <c r="M49" s="148"/>
      <c r="N49" s="148"/>
      <c r="O49" s="148"/>
      <c r="P49" s="148"/>
      <c r="Q49" s="148"/>
      <c r="R49" s="148"/>
      <c r="S49" s="148"/>
      <c r="T49" s="148"/>
      <c r="U49" s="149"/>
      <c r="W49" s="35" t="str">
        <f>"-- "&amp;C49</f>
        <v>-- 観察期間ごとのN数_取得</v>
      </c>
    </row>
    <row r="50" spans="1:23" ht="18.75" customHeight="1">
      <c r="B50" s="43" t="s">
        <v>159</v>
      </c>
      <c r="C50" s="136" t="str">
        <f>C52&amp;"からデータを抽出し、"&amp;R52&amp;"を取得する。"</f>
        <v>セレクト_患者基本データからデータを抽出し、観察期間ごとのN数を取得する。</v>
      </c>
      <c r="D50" s="137"/>
      <c r="E50" s="137"/>
      <c r="F50" s="137"/>
      <c r="G50" s="137"/>
      <c r="H50" s="137"/>
      <c r="I50" s="137"/>
      <c r="J50" s="137"/>
      <c r="K50" s="137"/>
      <c r="L50" s="137"/>
      <c r="M50" s="137"/>
      <c r="N50" s="137"/>
      <c r="O50" s="137"/>
      <c r="P50" s="137"/>
      <c r="Q50" s="137"/>
      <c r="R50" s="137"/>
      <c r="S50" s="137"/>
      <c r="T50" s="137"/>
      <c r="U50" s="138"/>
      <c r="W50" s="35" t="str">
        <f>"-- "&amp;C50</f>
        <v>-- セレクト_患者基本データからデータを抽出し、観察期間ごとのN数を取得する。</v>
      </c>
    </row>
    <row r="52" spans="1:23" ht="18.75" customHeight="1">
      <c r="C52" s="139" t="s">
        <v>4321</v>
      </c>
      <c r="D52" s="140"/>
      <c r="E52" s="145" t="str">
        <f>エンティティ一覧!$O$2</f>
        <v>milscm_2023_009</v>
      </c>
      <c r="F52" s="36"/>
      <c r="G52" s="36"/>
      <c r="H52" s="36"/>
      <c r="I52" s="36"/>
      <c r="J52" s="36"/>
      <c r="K52" s="36"/>
      <c r="L52" s="36"/>
      <c r="M52" s="36"/>
      <c r="N52" s="36"/>
      <c r="O52" s="36"/>
      <c r="R52" s="139" t="s">
        <v>4365</v>
      </c>
      <c r="S52" s="140"/>
      <c r="T52" s="145" t="s">
        <v>3799</v>
      </c>
    </row>
    <row r="53" spans="1:23" ht="18.75" customHeight="1">
      <c r="C53" s="141"/>
      <c r="D53" s="142"/>
      <c r="E53" s="146"/>
      <c r="F53" s="37"/>
      <c r="G53" s="37"/>
      <c r="H53" s="37"/>
      <c r="I53" s="37"/>
      <c r="J53" s="37"/>
      <c r="K53" s="37"/>
      <c r="L53" s="37"/>
      <c r="M53" s="37"/>
      <c r="N53" s="37"/>
      <c r="O53" s="37"/>
      <c r="P53" s="37"/>
      <c r="Q53" s="37"/>
      <c r="R53" s="141"/>
      <c r="S53" s="142"/>
      <c r="T53" s="146"/>
    </row>
    <row r="55" spans="1:23" ht="18.75" customHeight="1" thickBot="1">
      <c r="B55" s="42"/>
      <c r="C55" s="42"/>
      <c r="D55" s="42"/>
      <c r="E55" s="42"/>
      <c r="F55" s="42"/>
      <c r="G55" s="42"/>
      <c r="H55" s="42"/>
      <c r="I55" s="42"/>
      <c r="J55" s="42"/>
      <c r="K55" s="42"/>
      <c r="L55" s="42"/>
      <c r="M55" s="42"/>
      <c r="N55" s="42"/>
      <c r="O55" s="42"/>
      <c r="P55" s="42"/>
      <c r="Q55" s="42"/>
      <c r="R55" s="42"/>
      <c r="S55" s="42"/>
      <c r="T55" s="42"/>
      <c r="U55" s="42"/>
    </row>
    <row r="57" spans="1:23" ht="18.75" customHeight="1">
      <c r="A57" s="77"/>
      <c r="B57" s="43" t="s">
        <v>163</v>
      </c>
      <c r="C57" s="51" t="s">
        <v>4393</v>
      </c>
      <c r="D57" s="120"/>
      <c r="W57" s="35" t="str">
        <f>"-- "&amp;B57&amp;" : "&amp;C57</f>
        <v>-- SQL_ID : 52_07</v>
      </c>
    </row>
    <row r="58" spans="1:23" ht="18.75" customHeight="1">
      <c r="B58" s="43" t="s">
        <v>158</v>
      </c>
      <c r="C58" s="147" t="str">
        <f>R61&amp;"_取得"</f>
        <v>年齢ごとのN数_取得</v>
      </c>
      <c r="D58" s="148"/>
      <c r="E58" s="148"/>
      <c r="F58" s="148"/>
      <c r="G58" s="148"/>
      <c r="H58" s="148"/>
      <c r="I58" s="148"/>
      <c r="J58" s="148"/>
      <c r="K58" s="148"/>
      <c r="L58" s="148"/>
      <c r="M58" s="148"/>
      <c r="N58" s="148"/>
      <c r="O58" s="148"/>
      <c r="P58" s="148"/>
      <c r="Q58" s="148"/>
      <c r="R58" s="148"/>
      <c r="S58" s="148"/>
      <c r="T58" s="148"/>
      <c r="U58" s="149"/>
      <c r="W58" s="35" t="str">
        <f>"-- "&amp;C58</f>
        <v>-- 年齢ごとのN数_取得</v>
      </c>
    </row>
    <row r="59" spans="1:23" ht="18.75" customHeight="1">
      <c r="B59" s="43" t="s">
        <v>159</v>
      </c>
      <c r="C59" s="136" t="str">
        <f>C61&amp;"からデータを抽出し、"&amp;R61&amp;"を取得する。"</f>
        <v>セレクト_患者基本データからデータを抽出し、年齢ごとのN数を取得する。</v>
      </c>
      <c r="D59" s="137"/>
      <c r="E59" s="137"/>
      <c r="F59" s="137"/>
      <c r="G59" s="137"/>
      <c r="H59" s="137"/>
      <c r="I59" s="137"/>
      <c r="J59" s="137"/>
      <c r="K59" s="137"/>
      <c r="L59" s="137"/>
      <c r="M59" s="137"/>
      <c r="N59" s="137"/>
      <c r="O59" s="137"/>
      <c r="P59" s="137"/>
      <c r="Q59" s="137"/>
      <c r="R59" s="137"/>
      <c r="S59" s="137"/>
      <c r="T59" s="137"/>
      <c r="U59" s="138"/>
      <c r="W59" s="35" t="str">
        <f>"-- "&amp;C59</f>
        <v>-- セレクト_患者基本データからデータを抽出し、年齢ごとのN数を取得する。</v>
      </c>
    </row>
    <row r="61" spans="1:23" ht="18.75" customHeight="1">
      <c r="C61" s="139" t="s">
        <v>4321</v>
      </c>
      <c r="D61" s="140"/>
      <c r="E61" s="145" t="str">
        <f>エンティティ一覧!$O$2</f>
        <v>milscm_2023_009</v>
      </c>
      <c r="F61" s="36"/>
      <c r="G61" s="36"/>
      <c r="H61" s="36"/>
      <c r="I61" s="36"/>
      <c r="J61" s="36"/>
      <c r="K61" s="36"/>
      <c r="L61" s="36"/>
      <c r="M61" s="36"/>
      <c r="N61" s="36"/>
      <c r="O61" s="36"/>
      <c r="R61" s="139" t="s">
        <v>4366</v>
      </c>
      <c r="S61" s="140"/>
      <c r="T61" s="145" t="s">
        <v>3799</v>
      </c>
    </row>
    <row r="62" spans="1:23" ht="18.75" customHeight="1">
      <c r="C62" s="141"/>
      <c r="D62" s="142"/>
      <c r="E62" s="146"/>
      <c r="F62" s="37"/>
      <c r="G62" s="37"/>
      <c r="H62" s="37"/>
      <c r="I62" s="37"/>
      <c r="J62" s="37"/>
      <c r="K62" s="37"/>
      <c r="L62" s="37"/>
      <c r="M62" s="37"/>
      <c r="N62" s="37"/>
      <c r="O62" s="37"/>
      <c r="P62" s="37"/>
      <c r="Q62" s="37"/>
      <c r="R62" s="141"/>
      <c r="S62" s="142"/>
      <c r="T62" s="146"/>
    </row>
    <row r="64" spans="1:23" ht="18.75" customHeight="1" thickBot="1">
      <c r="B64" s="42"/>
      <c r="C64" s="42"/>
      <c r="D64" s="42"/>
      <c r="E64" s="42"/>
      <c r="F64" s="42"/>
      <c r="G64" s="42"/>
      <c r="H64" s="42"/>
      <c r="I64" s="42"/>
      <c r="J64" s="42"/>
      <c r="K64" s="42"/>
      <c r="L64" s="42"/>
      <c r="M64" s="42"/>
      <c r="N64" s="42"/>
      <c r="O64" s="42"/>
      <c r="P64" s="42"/>
      <c r="Q64" s="42"/>
      <c r="R64" s="42"/>
      <c r="S64" s="42"/>
      <c r="T64" s="42"/>
      <c r="U64" s="42"/>
    </row>
    <row r="66" spans="1:23" ht="18.75" customHeight="1">
      <c r="A66" s="77"/>
      <c r="B66" s="43" t="s">
        <v>163</v>
      </c>
      <c r="C66" s="51" t="s">
        <v>4394</v>
      </c>
      <c r="D66" s="120"/>
      <c r="W66" s="35" t="str">
        <f>"-- "&amp;B66&amp;" : "&amp;C66</f>
        <v>-- SQL_ID : 52_08</v>
      </c>
    </row>
    <row r="67" spans="1:23" ht="18.75" customHeight="1">
      <c r="B67" s="43" t="s">
        <v>158</v>
      </c>
      <c r="C67" s="147" t="str">
        <f>R70&amp;"_取得"</f>
        <v>性別ごとのN数_取得</v>
      </c>
      <c r="D67" s="148"/>
      <c r="E67" s="148"/>
      <c r="F67" s="148"/>
      <c r="G67" s="148"/>
      <c r="H67" s="148"/>
      <c r="I67" s="148"/>
      <c r="J67" s="148"/>
      <c r="K67" s="148"/>
      <c r="L67" s="148"/>
      <c r="M67" s="148"/>
      <c r="N67" s="148"/>
      <c r="O67" s="148"/>
      <c r="P67" s="148"/>
      <c r="Q67" s="148"/>
      <c r="R67" s="148"/>
      <c r="S67" s="148"/>
      <c r="T67" s="148"/>
      <c r="U67" s="149"/>
      <c r="W67" s="35" t="str">
        <f>"-- "&amp;C67</f>
        <v>-- 性別ごとのN数_取得</v>
      </c>
    </row>
    <row r="68" spans="1:23" ht="18.75" customHeight="1">
      <c r="B68" s="43" t="s">
        <v>159</v>
      </c>
      <c r="C68" s="136" t="str">
        <f>C70&amp;"からデータを抽出し、"&amp;R70&amp;"を取得する。"</f>
        <v>セレクト_患者基本データからデータを抽出し、性別ごとのN数を取得する。</v>
      </c>
      <c r="D68" s="137"/>
      <c r="E68" s="137"/>
      <c r="F68" s="137"/>
      <c r="G68" s="137"/>
      <c r="H68" s="137"/>
      <c r="I68" s="137"/>
      <c r="J68" s="137"/>
      <c r="K68" s="137"/>
      <c r="L68" s="137"/>
      <c r="M68" s="137"/>
      <c r="N68" s="137"/>
      <c r="O68" s="137"/>
      <c r="P68" s="137"/>
      <c r="Q68" s="137"/>
      <c r="R68" s="137"/>
      <c r="S68" s="137"/>
      <c r="T68" s="137"/>
      <c r="U68" s="138"/>
      <c r="W68" s="35" t="str">
        <f>"-- "&amp;C68</f>
        <v>-- セレクト_患者基本データからデータを抽出し、性別ごとのN数を取得する。</v>
      </c>
    </row>
    <row r="70" spans="1:23" ht="18.75" customHeight="1">
      <c r="C70" s="139" t="s">
        <v>4321</v>
      </c>
      <c r="D70" s="140"/>
      <c r="E70" s="145" t="str">
        <f>エンティティ一覧!$O$2</f>
        <v>milscm_2023_009</v>
      </c>
      <c r="F70" s="36"/>
      <c r="G70" s="36"/>
      <c r="H70" s="36"/>
      <c r="I70" s="36"/>
      <c r="J70" s="36"/>
      <c r="K70" s="36"/>
      <c r="L70" s="36"/>
      <c r="M70" s="36"/>
      <c r="N70" s="36"/>
      <c r="O70" s="36"/>
      <c r="R70" s="139" t="s">
        <v>4367</v>
      </c>
      <c r="S70" s="140"/>
      <c r="T70" s="145" t="s">
        <v>3799</v>
      </c>
    </row>
    <row r="71" spans="1:23" ht="18.75" customHeight="1">
      <c r="C71" s="141"/>
      <c r="D71" s="142"/>
      <c r="E71" s="146"/>
      <c r="F71" s="37"/>
      <c r="G71" s="37"/>
      <c r="H71" s="37"/>
      <c r="I71" s="37"/>
      <c r="J71" s="37"/>
      <c r="K71" s="37"/>
      <c r="L71" s="37"/>
      <c r="M71" s="37"/>
      <c r="N71" s="37"/>
      <c r="O71" s="37"/>
      <c r="P71" s="37"/>
      <c r="Q71" s="37"/>
      <c r="R71" s="141"/>
      <c r="S71" s="142"/>
      <c r="T71" s="146"/>
    </row>
    <row r="73" spans="1:23" ht="18.75" customHeight="1" thickBot="1">
      <c r="B73" s="42"/>
      <c r="C73" s="42"/>
      <c r="D73" s="42"/>
      <c r="E73" s="42"/>
      <c r="F73" s="42"/>
      <c r="G73" s="42"/>
      <c r="H73" s="42"/>
      <c r="I73" s="42"/>
      <c r="J73" s="42"/>
      <c r="K73" s="42"/>
      <c r="L73" s="42"/>
      <c r="M73" s="42"/>
      <c r="N73" s="42"/>
      <c r="O73" s="42"/>
      <c r="P73" s="42"/>
      <c r="Q73" s="42"/>
      <c r="R73" s="42"/>
      <c r="S73" s="42"/>
      <c r="T73" s="42"/>
      <c r="U73" s="42"/>
    </row>
    <row r="75" spans="1:23" ht="18.75" customHeight="1">
      <c r="A75" s="77"/>
      <c r="B75" s="43" t="s">
        <v>163</v>
      </c>
      <c r="C75" s="51" t="s">
        <v>4395</v>
      </c>
      <c r="D75" s="120"/>
      <c r="W75" s="35" t="str">
        <f>"-- "&amp;B75&amp;" : "&amp;C75</f>
        <v>-- SQL_ID : 52_09</v>
      </c>
    </row>
    <row r="76" spans="1:23" ht="18.75" customHeight="1">
      <c r="B76" s="43" t="s">
        <v>158</v>
      </c>
      <c r="C76" s="147" t="str">
        <f>R79&amp;"_取得"</f>
        <v>lookback期間ごとのN数_取得</v>
      </c>
      <c r="D76" s="148"/>
      <c r="E76" s="148"/>
      <c r="F76" s="148"/>
      <c r="G76" s="148"/>
      <c r="H76" s="148"/>
      <c r="I76" s="148"/>
      <c r="J76" s="148"/>
      <c r="K76" s="148"/>
      <c r="L76" s="148"/>
      <c r="M76" s="148"/>
      <c r="N76" s="148"/>
      <c r="O76" s="148"/>
      <c r="P76" s="148"/>
      <c r="Q76" s="148"/>
      <c r="R76" s="148"/>
      <c r="S76" s="148"/>
      <c r="T76" s="148"/>
      <c r="U76" s="149"/>
      <c r="W76" s="35" t="str">
        <f>"-- "&amp;C76</f>
        <v>-- lookback期間ごとのN数_取得</v>
      </c>
    </row>
    <row r="77" spans="1:23" ht="18.75" customHeight="1">
      <c r="B77" s="43" t="s">
        <v>159</v>
      </c>
      <c r="C77" s="136" t="str">
        <f>C79&amp;"からデータを抽出し、"&amp;R79&amp;"を取得する。"</f>
        <v>セレクト_患者基本データからデータを抽出し、lookback期間ごとのN数を取得する。</v>
      </c>
      <c r="D77" s="137"/>
      <c r="E77" s="137"/>
      <c r="F77" s="137"/>
      <c r="G77" s="137"/>
      <c r="H77" s="137"/>
      <c r="I77" s="137"/>
      <c r="J77" s="137"/>
      <c r="K77" s="137"/>
      <c r="L77" s="137"/>
      <c r="M77" s="137"/>
      <c r="N77" s="137"/>
      <c r="O77" s="137"/>
      <c r="P77" s="137"/>
      <c r="Q77" s="137"/>
      <c r="R77" s="137"/>
      <c r="S77" s="137"/>
      <c r="T77" s="137"/>
      <c r="U77" s="138"/>
      <c r="W77" s="35" t="str">
        <f>"-- "&amp;C77</f>
        <v>-- セレクト_患者基本データからデータを抽出し、lookback期間ごとのN数を取得する。</v>
      </c>
    </row>
    <row r="79" spans="1:23" ht="18.75" customHeight="1">
      <c r="C79" s="139" t="s">
        <v>4321</v>
      </c>
      <c r="D79" s="140"/>
      <c r="E79" s="145" t="str">
        <f>エンティティ一覧!$O$2</f>
        <v>milscm_2023_009</v>
      </c>
      <c r="F79" s="36"/>
      <c r="G79" s="36"/>
      <c r="H79" s="36"/>
      <c r="I79" s="36"/>
      <c r="J79" s="36"/>
      <c r="K79" s="36"/>
      <c r="L79" s="36"/>
      <c r="M79" s="36"/>
      <c r="N79" s="36"/>
      <c r="O79" s="36"/>
      <c r="R79" s="139" t="s">
        <v>4368</v>
      </c>
      <c r="S79" s="140"/>
      <c r="T79" s="145" t="s">
        <v>3799</v>
      </c>
    </row>
    <row r="80" spans="1:23" ht="18.75" customHeight="1">
      <c r="C80" s="141"/>
      <c r="D80" s="142"/>
      <c r="E80" s="146"/>
      <c r="F80" s="97"/>
      <c r="G80" s="37"/>
      <c r="H80" s="37"/>
      <c r="I80" s="37"/>
      <c r="J80" s="37"/>
      <c r="K80" s="37"/>
      <c r="L80" s="37"/>
      <c r="M80" s="37"/>
      <c r="N80" s="37"/>
      <c r="O80" s="37"/>
      <c r="P80" s="37"/>
      <c r="Q80" s="37"/>
      <c r="R80" s="141"/>
      <c r="S80" s="142"/>
      <c r="T80" s="146"/>
    </row>
    <row r="81" spans="1:23" ht="18.75" customHeight="1">
      <c r="C81" s="124"/>
      <c r="D81" s="124"/>
      <c r="E81" s="124"/>
      <c r="F81" s="104"/>
      <c r="G81" s="94"/>
      <c r="H81" s="94"/>
      <c r="I81" s="94"/>
      <c r="J81" s="94"/>
      <c r="K81" s="94"/>
      <c r="L81" s="94"/>
      <c r="M81" s="94"/>
      <c r="N81" s="94"/>
      <c r="O81" s="94"/>
      <c r="P81" s="94"/>
      <c r="Q81" s="94"/>
      <c r="R81" s="124"/>
      <c r="S81" s="124"/>
      <c r="T81" s="124"/>
    </row>
    <row r="82" spans="1:23" ht="18.75" customHeight="1">
      <c r="C82" s="139" t="s">
        <v>4089</v>
      </c>
      <c r="D82" s="140"/>
      <c r="E82" s="145" t="str">
        <f>エンティティ一覧!$O$2</f>
        <v>milscm_2023_009</v>
      </c>
      <c r="F82" s="105"/>
      <c r="G82" s="94"/>
      <c r="H82" s="94"/>
      <c r="I82" s="94"/>
      <c r="J82" s="94"/>
      <c r="K82" s="94"/>
      <c r="L82" s="94"/>
      <c r="M82" s="94"/>
      <c r="N82" s="94"/>
      <c r="O82" s="94"/>
      <c r="P82" s="94"/>
      <c r="Q82" s="94"/>
      <c r="R82" s="124"/>
      <c r="S82" s="124"/>
      <c r="T82" s="124"/>
    </row>
    <row r="83" spans="1:23" ht="18.75" customHeight="1">
      <c r="C83" s="141"/>
      <c r="D83" s="142"/>
      <c r="E83" s="146"/>
      <c r="F83" s="94"/>
      <c r="G83" s="94"/>
      <c r="H83" s="94"/>
      <c r="I83" s="94"/>
      <c r="J83" s="94"/>
      <c r="K83" s="94"/>
      <c r="L83" s="94"/>
      <c r="M83" s="94"/>
      <c r="N83" s="94"/>
      <c r="O83" s="94"/>
      <c r="P83" s="94"/>
      <c r="Q83" s="94"/>
      <c r="R83" s="124"/>
      <c r="S83" s="124"/>
      <c r="T83" s="124"/>
    </row>
    <row r="85" spans="1:23" ht="18.75" customHeight="1" thickBot="1">
      <c r="B85" s="42"/>
      <c r="C85" s="42"/>
      <c r="D85" s="42"/>
      <c r="E85" s="42"/>
      <c r="F85" s="42"/>
      <c r="G85" s="42"/>
      <c r="H85" s="42"/>
      <c r="I85" s="42"/>
      <c r="J85" s="42"/>
      <c r="K85" s="42"/>
      <c r="L85" s="42"/>
      <c r="M85" s="42"/>
      <c r="N85" s="42"/>
      <c r="O85" s="42"/>
      <c r="P85" s="42"/>
      <c r="Q85" s="42"/>
      <c r="R85" s="42"/>
      <c r="S85" s="42"/>
      <c r="T85" s="42"/>
      <c r="U85" s="42"/>
    </row>
    <row r="87" spans="1:23" ht="18.75" customHeight="1">
      <c r="A87" s="77"/>
      <c r="B87" s="43" t="s">
        <v>163</v>
      </c>
      <c r="C87" s="51" t="s">
        <v>4396</v>
      </c>
      <c r="D87" s="121"/>
      <c r="W87" s="35" t="str">
        <f>"-- "&amp;B87&amp;" : "&amp;C87</f>
        <v>-- SQL_ID : 52_10</v>
      </c>
    </row>
    <row r="88" spans="1:23" ht="18.75" customHeight="1">
      <c r="B88" s="43" t="s">
        <v>158</v>
      </c>
      <c r="C88" s="147" t="str">
        <f>R91&amp;"_取得"</f>
        <v>index_dateまでの期間ごとのN数_取得</v>
      </c>
      <c r="D88" s="148"/>
      <c r="E88" s="148"/>
      <c r="F88" s="148"/>
      <c r="G88" s="148"/>
      <c r="H88" s="148"/>
      <c r="I88" s="148"/>
      <c r="J88" s="148"/>
      <c r="K88" s="148"/>
      <c r="L88" s="148"/>
      <c r="M88" s="148"/>
      <c r="N88" s="148"/>
      <c r="O88" s="148"/>
      <c r="P88" s="148"/>
      <c r="Q88" s="148"/>
      <c r="R88" s="148"/>
      <c r="S88" s="148"/>
      <c r="T88" s="148"/>
      <c r="U88" s="149"/>
      <c r="W88" s="35" t="str">
        <f>"-- "&amp;C88</f>
        <v>-- index_dateまでの期間ごとのN数_取得</v>
      </c>
    </row>
    <row r="89" spans="1:23" ht="18.75" customHeight="1">
      <c r="B89" s="43" t="s">
        <v>159</v>
      </c>
      <c r="C89" s="136" t="str">
        <f>C91&amp;"からデータを抽出し、"&amp;R91&amp;"を取得する。"</f>
        <v>セレクト_患者基本データからデータを抽出し、index_dateまでの期間ごとのN数を取得する。</v>
      </c>
      <c r="D89" s="137"/>
      <c r="E89" s="137"/>
      <c r="F89" s="137"/>
      <c r="G89" s="137"/>
      <c r="H89" s="137"/>
      <c r="I89" s="137"/>
      <c r="J89" s="137"/>
      <c r="K89" s="137"/>
      <c r="L89" s="137"/>
      <c r="M89" s="137"/>
      <c r="N89" s="137"/>
      <c r="O89" s="137"/>
      <c r="P89" s="137"/>
      <c r="Q89" s="137"/>
      <c r="R89" s="137"/>
      <c r="S89" s="137"/>
      <c r="T89" s="137"/>
      <c r="U89" s="138"/>
      <c r="W89" s="35" t="str">
        <f>"-- "&amp;C89</f>
        <v>-- セレクト_患者基本データからデータを抽出し、index_dateまでの期間ごとのN数を取得する。</v>
      </c>
    </row>
    <row r="91" spans="1:23" ht="18.75" customHeight="1">
      <c r="C91" s="139" t="s">
        <v>4321</v>
      </c>
      <c r="D91" s="140"/>
      <c r="E91" s="145" t="str">
        <f>エンティティ一覧!$O$2</f>
        <v>milscm_2023_009</v>
      </c>
      <c r="F91" s="36"/>
      <c r="G91" s="94"/>
      <c r="H91" s="94"/>
      <c r="I91" s="94"/>
      <c r="J91" s="94"/>
      <c r="K91" s="94"/>
      <c r="L91" s="36"/>
      <c r="M91" s="36"/>
      <c r="N91" s="36"/>
      <c r="O91" s="36"/>
      <c r="R91" s="139" t="s">
        <v>4422</v>
      </c>
      <c r="S91" s="140"/>
      <c r="T91" s="145" t="s">
        <v>3799</v>
      </c>
    </row>
    <row r="92" spans="1:23" ht="18.75" customHeight="1">
      <c r="C92" s="141"/>
      <c r="D92" s="142"/>
      <c r="E92" s="146"/>
      <c r="F92" s="37"/>
      <c r="G92" s="37"/>
      <c r="H92" s="37"/>
      <c r="I92" s="37"/>
      <c r="J92" s="37"/>
      <c r="K92" s="97"/>
      <c r="L92" s="37"/>
      <c r="M92" s="37"/>
      <c r="N92" s="37"/>
      <c r="O92" s="37"/>
      <c r="P92" s="37"/>
      <c r="Q92" s="37"/>
      <c r="R92" s="141"/>
      <c r="S92" s="142"/>
      <c r="T92" s="146"/>
    </row>
    <row r="93" spans="1:23" ht="18.75" customHeight="1">
      <c r="C93" s="124"/>
      <c r="D93" s="124"/>
      <c r="E93" s="124"/>
      <c r="F93" s="94"/>
      <c r="G93" s="94"/>
      <c r="H93" s="94"/>
      <c r="I93" s="94"/>
      <c r="J93" s="94"/>
      <c r="K93" s="104"/>
      <c r="L93" s="94"/>
      <c r="M93" s="94"/>
      <c r="N93" s="94"/>
      <c r="O93" s="94"/>
      <c r="P93" s="94"/>
      <c r="Q93" s="94"/>
      <c r="R93" s="124"/>
      <c r="S93" s="124"/>
      <c r="T93" s="124"/>
    </row>
    <row r="94" spans="1:23" ht="18.75" customHeight="1">
      <c r="C94" s="139" t="s">
        <v>4310</v>
      </c>
      <c r="D94" s="140"/>
      <c r="E94" s="145" t="str">
        <f>エンティティ一覧!$O$2</f>
        <v>milscm_2023_009</v>
      </c>
      <c r="F94" s="36"/>
      <c r="G94" s="36"/>
      <c r="H94" s="36"/>
      <c r="I94" s="36"/>
      <c r="J94" s="36"/>
      <c r="K94" s="105"/>
      <c r="L94" s="94"/>
      <c r="M94" s="94"/>
      <c r="N94" s="94"/>
      <c r="O94" s="94"/>
      <c r="P94" s="94"/>
      <c r="Q94" s="94"/>
      <c r="R94" s="124"/>
      <c r="S94" s="124"/>
      <c r="T94" s="124"/>
    </row>
    <row r="95" spans="1:23" ht="18.75" customHeight="1">
      <c r="C95" s="141"/>
      <c r="D95" s="142"/>
      <c r="E95" s="146"/>
      <c r="F95" s="94"/>
      <c r="G95" s="94"/>
      <c r="H95" s="94"/>
      <c r="I95" s="94"/>
      <c r="J95" s="94"/>
      <c r="K95" s="94"/>
      <c r="L95" s="94"/>
      <c r="M95" s="94"/>
      <c r="N95" s="94"/>
      <c r="O95" s="94"/>
      <c r="P95" s="94"/>
      <c r="Q95" s="94"/>
      <c r="R95" s="124"/>
      <c r="S95" s="124"/>
      <c r="T95" s="124"/>
    </row>
    <row r="97" spans="1:23" ht="18.75" customHeight="1" thickBot="1">
      <c r="B97" s="42"/>
      <c r="C97" s="42"/>
      <c r="D97" s="42"/>
      <c r="E97" s="42"/>
      <c r="F97" s="42"/>
      <c r="G97" s="42"/>
      <c r="H97" s="42"/>
      <c r="I97" s="42"/>
      <c r="J97" s="42"/>
      <c r="K97" s="42"/>
      <c r="L97" s="42"/>
      <c r="M97" s="42"/>
      <c r="N97" s="42"/>
      <c r="O97" s="42"/>
      <c r="P97" s="42"/>
      <c r="Q97" s="42"/>
      <c r="R97" s="42"/>
      <c r="S97" s="42"/>
      <c r="T97" s="42"/>
      <c r="U97" s="42"/>
    </row>
    <row r="99" spans="1:23" ht="18.75" customHeight="1">
      <c r="A99" s="77"/>
      <c r="B99" s="43" t="s">
        <v>163</v>
      </c>
      <c r="C99" s="51" t="s">
        <v>4397</v>
      </c>
      <c r="D99" s="120"/>
      <c r="W99" s="35" t="str">
        <f>"-- "&amp;B99&amp;" : "&amp;C99</f>
        <v>-- SQL_ID : 52_11</v>
      </c>
    </row>
    <row r="100" spans="1:23" ht="18.75" customHeight="1">
      <c r="B100" s="43" t="s">
        <v>158</v>
      </c>
      <c r="C100" s="147" t="str">
        <f>R103&amp;"_取得"</f>
        <v>薬剤ごとのN数_1q21+_取得</v>
      </c>
      <c r="D100" s="148"/>
      <c r="E100" s="148"/>
      <c r="F100" s="148"/>
      <c r="G100" s="148"/>
      <c r="H100" s="148"/>
      <c r="I100" s="148"/>
      <c r="J100" s="148"/>
      <c r="K100" s="148"/>
      <c r="L100" s="148"/>
      <c r="M100" s="148"/>
      <c r="N100" s="148"/>
      <c r="O100" s="148"/>
      <c r="P100" s="148"/>
      <c r="Q100" s="148"/>
      <c r="R100" s="148"/>
      <c r="S100" s="148"/>
      <c r="T100" s="148"/>
      <c r="U100" s="149"/>
      <c r="W100" s="35" t="str">
        <f>"-- "&amp;C100</f>
        <v>-- 薬剤ごとのN数_1q21+_取得</v>
      </c>
    </row>
    <row r="101" spans="1:23" ht="18.75" customHeight="1">
      <c r="B101" s="43" t="s">
        <v>159</v>
      </c>
      <c r="C101" s="136" t="str">
        <f>C103&amp;"からデータを抽出し、"&amp;R103&amp;"を取得する。"</f>
        <v>セレクト_薬剤データからデータを抽出し、薬剤ごとのN数_1q21+を取得する。</v>
      </c>
      <c r="D101" s="137"/>
      <c r="E101" s="137"/>
      <c r="F101" s="137"/>
      <c r="G101" s="137"/>
      <c r="H101" s="137"/>
      <c r="I101" s="137"/>
      <c r="J101" s="137"/>
      <c r="K101" s="137"/>
      <c r="L101" s="137"/>
      <c r="M101" s="137"/>
      <c r="N101" s="137"/>
      <c r="O101" s="137"/>
      <c r="P101" s="137"/>
      <c r="Q101" s="137"/>
      <c r="R101" s="137"/>
      <c r="S101" s="137"/>
      <c r="T101" s="137"/>
      <c r="U101" s="138"/>
      <c r="W101" s="35" t="str">
        <f>"-- "&amp;C101</f>
        <v>-- セレクト_薬剤データからデータを抽出し、薬剤ごとのN数_1q21+を取得する。</v>
      </c>
    </row>
    <row r="103" spans="1:23" ht="18.75" customHeight="1">
      <c r="C103" s="139" t="s">
        <v>4310</v>
      </c>
      <c r="D103" s="140"/>
      <c r="E103" s="145" t="str">
        <f>エンティティ一覧!$O$2</f>
        <v>milscm_2023_009</v>
      </c>
      <c r="F103" s="36"/>
      <c r="G103" s="36"/>
      <c r="H103" s="36"/>
      <c r="I103" s="94"/>
      <c r="J103" s="94"/>
      <c r="K103" s="94"/>
      <c r="L103" s="36"/>
      <c r="M103" s="36"/>
      <c r="N103" s="36"/>
      <c r="O103" s="36"/>
      <c r="R103" s="139" t="s">
        <v>4370</v>
      </c>
      <c r="S103" s="140"/>
      <c r="T103" s="145" t="s">
        <v>3799</v>
      </c>
    </row>
    <row r="104" spans="1:23" ht="18.75" customHeight="1">
      <c r="C104" s="141"/>
      <c r="D104" s="142"/>
      <c r="E104" s="146"/>
      <c r="F104" s="37"/>
      <c r="G104" s="37"/>
      <c r="H104" s="37"/>
      <c r="I104" s="38"/>
      <c r="J104" s="37"/>
      <c r="K104" s="37"/>
      <c r="L104" s="37"/>
      <c r="M104" s="37"/>
      <c r="N104" s="37"/>
      <c r="O104" s="37"/>
      <c r="P104" s="37"/>
      <c r="Q104" s="37"/>
      <c r="R104" s="141"/>
      <c r="S104" s="142"/>
      <c r="T104" s="146"/>
    </row>
    <row r="105" spans="1:23" ht="18.75" customHeight="1">
      <c r="F105" s="94"/>
      <c r="G105" s="94"/>
      <c r="H105" s="94"/>
      <c r="I105" s="41"/>
      <c r="J105" s="94"/>
      <c r="K105" s="94"/>
      <c r="L105" s="94"/>
      <c r="M105" s="94"/>
      <c r="N105" s="94"/>
      <c r="O105" s="94"/>
      <c r="P105" s="101"/>
      <c r="Q105" s="101"/>
    </row>
    <row r="106" spans="1:23" ht="18.75" customHeight="1">
      <c r="C106" s="139" t="s">
        <v>4369</v>
      </c>
      <c r="D106" s="140"/>
      <c r="E106" s="145" t="str">
        <f>エンティティ一覧!$O$2</f>
        <v>milscm_2023_009</v>
      </c>
      <c r="F106" s="36"/>
      <c r="G106" s="36"/>
      <c r="H106" s="36"/>
      <c r="I106" s="41"/>
      <c r="J106" s="94"/>
      <c r="K106" s="94"/>
      <c r="L106" s="94"/>
      <c r="M106" s="94"/>
      <c r="N106" s="94"/>
      <c r="O106" s="94"/>
      <c r="P106" s="94"/>
      <c r="Q106" s="94"/>
    </row>
    <row r="107" spans="1:23" ht="18.75" customHeight="1">
      <c r="C107" s="141"/>
      <c r="D107" s="142"/>
      <c r="E107" s="146"/>
      <c r="K107" s="94"/>
      <c r="L107" s="94"/>
      <c r="M107" s="94"/>
      <c r="N107" s="94"/>
      <c r="O107" s="94"/>
      <c r="P107" s="94"/>
    </row>
    <row r="109" spans="1: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1:23" ht="18.75" customHeight="1">
      <c r="A111" s="77"/>
      <c r="B111" s="43" t="s">
        <v>163</v>
      </c>
      <c r="C111" s="51" t="s">
        <v>4398</v>
      </c>
      <c r="D111" s="120"/>
      <c r="W111" s="35" t="str">
        <f>"-- "&amp;B111&amp;" : "&amp;C111</f>
        <v>-- SQL_ID : 52_12</v>
      </c>
    </row>
    <row r="112" spans="1:23" ht="18.75" customHeight="1">
      <c r="B112" s="43" t="s">
        <v>158</v>
      </c>
      <c r="C112" s="147" t="str">
        <f>R115&amp;"_取得"</f>
        <v>薬剤ごとの使用期間_1q21+_取得</v>
      </c>
      <c r="D112" s="148"/>
      <c r="E112" s="148"/>
      <c r="F112" s="148"/>
      <c r="G112" s="148"/>
      <c r="H112" s="148"/>
      <c r="I112" s="148"/>
      <c r="J112" s="148"/>
      <c r="K112" s="148"/>
      <c r="L112" s="148"/>
      <c r="M112" s="148"/>
      <c r="N112" s="148"/>
      <c r="O112" s="148"/>
      <c r="P112" s="148"/>
      <c r="Q112" s="148"/>
      <c r="R112" s="148"/>
      <c r="S112" s="148"/>
      <c r="T112" s="148"/>
      <c r="U112" s="149"/>
      <c r="W112" s="35" t="str">
        <f>"-- "&amp;C112</f>
        <v>-- 薬剤ごとの使用期間_1q21+_取得</v>
      </c>
    </row>
    <row r="113" spans="1:23" ht="18.75" customHeight="1">
      <c r="B113" s="43" t="s">
        <v>159</v>
      </c>
      <c r="C113" s="136" t="str">
        <f>C115&amp;"からデータを抽出し、"&amp;R115&amp;"を取得する。"</f>
        <v>セレクト_薬剤データからデータを抽出し、薬剤ごとの使用期間_1q21+を取得する。</v>
      </c>
      <c r="D113" s="137"/>
      <c r="E113" s="137"/>
      <c r="F113" s="137"/>
      <c r="G113" s="137"/>
      <c r="H113" s="137"/>
      <c r="I113" s="137"/>
      <c r="J113" s="137"/>
      <c r="K113" s="137"/>
      <c r="L113" s="137"/>
      <c r="M113" s="137"/>
      <c r="N113" s="137"/>
      <c r="O113" s="137"/>
      <c r="P113" s="137"/>
      <c r="Q113" s="137"/>
      <c r="R113" s="137"/>
      <c r="S113" s="137"/>
      <c r="T113" s="137"/>
      <c r="U113" s="138"/>
      <c r="W113" s="35" t="str">
        <f>"-- "&amp;C113</f>
        <v>-- セレクト_薬剤データからデータを抽出し、薬剤ごとの使用期間_1q21+を取得する。</v>
      </c>
    </row>
    <row r="115" spans="1:23" ht="18.75" customHeight="1">
      <c r="C115" s="139" t="s">
        <v>4310</v>
      </c>
      <c r="D115" s="140"/>
      <c r="E115" s="145" t="str">
        <f>エンティティ一覧!$O$2</f>
        <v>milscm_2023_009</v>
      </c>
      <c r="F115" s="36"/>
      <c r="G115" s="36"/>
      <c r="H115" s="36"/>
      <c r="I115" s="94"/>
      <c r="J115" s="94"/>
      <c r="K115" s="94"/>
      <c r="L115" s="36"/>
      <c r="M115" s="36"/>
      <c r="N115" s="36"/>
      <c r="O115" s="36"/>
      <c r="R115" s="139" t="s">
        <v>4371</v>
      </c>
      <c r="S115" s="140"/>
      <c r="T115" s="145" t="s">
        <v>3799</v>
      </c>
    </row>
    <row r="116" spans="1:23" ht="18.75" customHeight="1">
      <c r="C116" s="141"/>
      <c r="D116" s="142"/>
      <c r="E116" s="146"/>
      <c r="F116" s="37"/>
      <c r="G116" s="37"/>
      <c r="H116" s="37"/>
      <c r="I116" s="38"/>
      <c r="J116" s="37"/>
      <c r="K116" s="37"/>
      <c r="L116" s="37"/>
      <c r="M116" s="37"/>
      <c r="N116" s="37"/>
      <c r="O116" s="37"/>
      <c r="P116" s="37"/>
      <c r="Q116" s="37"/>
      <c r="R116" s="141"/>
      <c r="S116" s="142"/>
      <c r="T116" s="146"/>
    </row>
    <row r="117" spans="1:23" ht="18.75" customHeight="1">
      <c r="F117" s="94"/>
      <c r="G117" s="94"/>
      <c r="H117" s="94"/>
      <c r="I117" s="41"/>
      <c r="J117" s="94"/>
      <c r="K117" s="94"/>
      <c r="L117" s="94"/>
      <c r="M117" s="94"/>
      <c r="N117" s="94"/>
      <c r="O117" s="94"/>
      <c r="P117" s="101"/>
      <c r="Q117" s="101"/>
    </row>
    <row r="118" spans="1:23" ht="18.75" customHeight="1">
      <c r="C118" s="139" t="s">
        <v>4369</v>
      </c>
      <c r="D118" s="140"/>
      <c r="E118" s="145" t="str">
        <f>エンティティ一覧!$O$2</f>
        <v>milscm_2023_009</v>
      </c>
      <c r="F118" s="36"/>
      <c r="G118" s="36"/>
      <c r="H118" s="36"/>
      <c r="I118" s="41"/>
      <c r="J118" s="94"/>
      <c r="K118" s="94"/>
      <c r="L118" s="94"/>
      <c r="M118" s="94"/>
      <c r="N118" s="94"/>
      <c r="O118" s="94"/>
      <c r="P118" s="94"/>
      <c r="Q118" s="94"/>
    </row>
    <row r="119" spans="1:23" ht="18.75" customHeight="1">
      <c r="C119" s="141"/>
      <c r="D119" s="142"/>
      <c r="E119" s="146"/>
      <c r="K119" s="94"/>
      <c r="L119" s="94"/>
      <c r="M119" s="94"/>
      <c r="N119" s="94"/>
      <c r="O119" s="94"/>
      <c r="P119" s="94"/>
    </row>
    <row r="121" spans="1: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1:23" ht="18.75" customHeight="1">
      <c r="A123" s="77"/>
      <c r="B123" s="43" t="s">
        <v>163</v>
      </c>
      <c r="C123" s="51" t="s">
        <v>4399</v>
      </c>
      <c r="D123" s="120"/>
      <c r="W123" s="35" t="str">
        <f>"-- "&amp;B123&amp;" : "&amp;C123</f>
        <v>-- SQL_ID : 52_13</v>
      </c>
    </row>
    <row r="124" spans="1:23" ht="18.75" customHeight="1">
      <c r="B124" s="43" t="s">
        <v>158</v>
      </c>
      <c r="C124" s="147" t="str">
        <f>R127&amp;"_取得"</f>
        <v>診療行為ごとのN数_1q21+_取得</v>
      </c>
      <c r="D124" s="148"/>
      <c r="E124" s="148"/>
      <c r="F124" s="148"/>
      <c r="G124" s="148"/>
      <c r="H124" s="148"/>
      <c r="I124" s="148"/>
      <c r="J124" s="148"/>
      <c r="K124" s="148"/>
      <c r="L124" s="148"/>
      <c r="M124" s="148"/>
      <c r="N124" s="148"/>
      <c r="O124" s="148"/>
      <c r="P124" s="148"/>
      <c r="Q124" s="148"/>
      <c r="R124" s="148"/>
      <c r="S124" s="148"/>
      <c r="T124" s="148"/>
      <c r="U124" s="149"/>
      <c r="W124" s="35" t="str">
        <f>"-- "&amp;C124</f>
        <v>-- 診療行為ごとのN数_1q21+_取得</v>
      </c>
    </row>
    <row r="125" spans="1:23" ht="18.75" customHeight="1">
      <c r="B125" s="43" t="s">
        <v>159</v>
      </c>
      <c r="C125" s="136" t="str">
        <f>C127&amp;"からデータを抽出し、"&amp;R127&amp;"を取得する。"</f>
        <v>セレクト_診療行為データからデータを抽出し、診療行為ごとのN数_1q21+を取得する。</v>
      </c>
      <c r="D125" s="137"/>
      <c r="E125" s="137"/>
      <c r="F125" s="137"/>
      <c r="G125" s="137"/>
      <c r="H125" s="137"/>
      <c r="I125" s="137"/>
      <c r="J125" s="137"/>
      <c r="K125" s="137"/>
      <c r="L125" s="137"/>
      <c r="M125" s="137"/>
      <c r="N125" s="137"/>
      <c r="O125" s="137"/>
      <c r="P125" s="137"/>
      <c r="Q125" s="137"/>
      <c r="R125" s="137"/>
      <c r="S125" s="137"/>
      <c r="T125" s="137"/>
      <c r="U125" s="138"/>
      <c r="W125" s="35" t="str">
        <f>"-- "&amp;C125</f>
        <v>-- セレクト_診療行為データからデータを抽出し、診療行為ごとのN数_1q21+を取得する。</v>
      </c>
    </row>
    <row r="127" spans="1:23" ht="18.75" customHeight="1">
      <c r="C127" s="139" t="s">
        <v>4313</v>
      </c>
      <c r="D127" s="140"/>
      <c r="E127" s="145" t="str">
        <f>エンティティ一覧!$O$2</f>
        <v>milscm_2023_009</v>
      </c>
      <c r="F127" s="36"/>
      <c r="G127" s="36"/>
      <c r="H127" s="36"/>
      <c r="I127" s="94"/>
      <c r="J127" s="94"/>
      <c r="K127" s="94"/>
      <c r="L127" s="36"/>
      <c r="M127" s="36"/>
      <c r="N127" s="36"/>
      <c r="O127" s="36"/>
      <c r="R127" s="139" t="s">
        <v>4372</v>
      </c>
      <c r="S127" s="140"/>
      <c r="T127" s="145" t="s">
        <v>3799</v>
      </c>
    </row>
    <row r="128" spans="1:23" ht="18.75" customHeight="1">
      <c r="C128" s="141"/>
      <c r="D128" s="142"/>
      <c r="E128" s="146"/>
      <c r="F128" s="37"/>
      <c r="G128" s="37"/>
      <c r="H128" s="37"/>
      <c r="I128" s="38"/>
      <c r="J128" s="37"/>
      <c r="K128" s="37"/>
      <c r="L128" s="37"/>
      <c r="M128" s="37"/>
      <c r="N128" s="37"/>
      <c r="O128" s="37"/>
      <c r="P128" s="37"/>
      <c r="Q128" s="37"/>
      <c r="R128" s="141"/>
      <c r="S128" s="142"/>
      <c r="T128" s="146"/>
    </row>
    <row r="129" spans="1:23" ht="18.75" customHeight="1">
      <c r="F129" s="94"/>
      <c r="G129" s="94"/>
      <c r="H129" s="94"/>
      <c r="I129" s="41"/>
      <c r="J129" s="94"/>
      <c r="K129" s="94"/>
      <c r="L129" s="94"/>
      <c r="M129" s="94"/>
      <c r="N129" s="94"/>
      <c r="O129" s="94"/>
      <c r="P129" s="101"/>
      <c r="Q129" s="101"/>
    </row>
    <row r="130" spans="1:23" ht="18.75" customHeight="1">
      <c r="C130" s="139" t="s">
        <v>4369</v>
      </c>
      <c r="D130" s="140"/>
      <c r="E130" s="145" t="str">
        <f>エンティティ一覧!$O$2</f>
        <v>milscm_2023_009</v>
      </c>
      <c r="F130" s="36"/>
      <c r="G130" s="36"/>
      <c r="H130" s="36"/>
      <c r="I130" s="41"/>
      <c r="J130" s="94"/>
      <c r="K130" s="94"/>
      <c r="L130" s="94"/>
      <c r="M130" s="94"/>
      <c r="N130" s="94"/>
      <c r="O130" s="94"/>
      <c r="P130" s="94"/>
      <c r="Q130" s="94"/>
    </row>
    <row r="131" spans="1:23" ht="18.75" customHeight="1">
      <c r="C131" s="141"/>
      <c r="D131" s="142"/>
      <c r="E131" s="146"/>
      <c r="K131" s="94"/>
      <c r="L131" s="94"/>
      <c r="M131" s="94"/>
      <c r="N131" s="94"/>
      <c r="O131" s="94"/>
      <c r="P131" s="94"/>
    </row>
    <row r="133" spans="1: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1:23" ht="18.75" customHeight="1">
      <c r="A135" s="77"/>
      <c r="B135" s="43" t="s">
        <v>163</v>
      </c>
      <c r="C135" s="51" t="s">
        <v>4400</v>
      </c>
      <c r="D135" s="120"/>
      <c r="W135" s="35" t="str">
        <f>"-- "&amp;B135&amp;" : "&amp;C135</f>
        <v>-- SQL_ID : 52_14</v>
      </c>
    </row>
    <row r="136" spans="1:23" ht="18.75" customHeight="1">
      <c r="B136" s="43" t="s">
        <v>158</v>
      </c>
      <c r="C136" s="147" t="str">
        <f>R139&amp;"_取得"</f>
        <v>検査ごとのN数_1q21+_取得</v>
      </c>
      <c r="D136" s="148"/>
      <c r="E136" s="148"/>
      <c r="F136" s="148"/>
      <c r="G136" s="148"/>
      <c r="H136" s="148"/>
      <c r="I136" s="148"/>
      <c r="J136" s="148"/>
      <c r="K136" s="148"/>
      <c r="L136" s="148"/>
      <c r="M136" s="148"/>
      <c r="N136" s="148"/>
      <c r="O136" s="148"/>
      <c r="P136" s="148"/>
      <c r="Q136" s="148"/>
      <c r="R136" s="148"/>
      <c r="S136" s="148"/>
      <c r="T136" s="148"/>
      <c r="U136" s="149"/>
      <c r="W136" s="35" t="str">
        <f>"-- "&amp;C136</f>
        <v>-- 検査ごとのN数_1q21+_取得</v>
      </c>
    </row>
    <row r="137" spans="1:23" ht="18.75" customHeight="1">
      <c r="B137" s="43" t="s">
        <v>159</v>
      </c>
      <c r="C137" s="136" t="str">
        <f>C139&amp;"からデータを抽出し、"&amp;R139&amp;"を取得する。"</f>
        <v>セレクト_検査データからデータを抽出し、検査ごとのN数_1q21+を取得する。</v>
      </c>
      <c r="D137" s="137"/>
      <c r="E137" s="137"/>
      <c r="F137" s="137"/>
      <c r="G137" s="137"/>
      <c r="H137" s="137"/>
      <c r="I137" s="137"/>
      <c r="J137" s="137"/>
      <c r="K137" s="137"/>
      <c r="L137" s="137"/>
      <c r="M137" s="137"/>
      <c r="N137" s="137"/>
      <c r="O137" s="137"/>
      <c r="P137" s="137"/>
      <c r="Q137" s="137"/>
      <c r="R137" s="137"/>
      <c r="S137" s="137"/>
      <c r="T137" s="137"/>
      <c r="U137" s="138"/>
      <c r="W137" s="35" t="str">
        <f>"-- "&amp;C137</f>
        <v>-- セレクト_検査データからデータを抽出し、検査ごとのN数_1q21+を取得する。</v>
      </c>
    </row>
    <row r="139" spans="1:23" ht="18.75" customHeight="1">
      <c r="C139" s="139" t="s">
        <v>4354</v>
      </c>
      <c r="D139" s="140"/>
      <c r="E139" s="145" t="str">
        <f>エンティティ一覧!$O$2</f>
        <v>milscm_2023_009</v>
      </c>
      <c r="F139" s="36"/>
      <c r="G139" s="36"/>
      <c r="H139" s="36"/>
      <c r="I139" s="94"/>
      <c r="J139" s="94"/>
      <c r="K139" s="94"/>
      <c r="L139" s="36"/>
      <c r="M139" s="36"/>
      <c r="N139" s="36"/>
      <c r="O139" s="36"/>
      <c r="R139" s="139" t="s">
        <v>4373</v>
      </c>
      <c r="S139" s="140"/>
      <c r="T139" s="145" t="s">
        <v>3799</v>
      </c>
    </row>
    <row r="140" spans="1:23" ht="18.75" customHeight="1">
      <c r="C140" s="141"/>
      <c r="D140" s="142"/>
      <c r="E140" s="146"/>
      <c r="F140" s="37"/>
      <c r="G140" s="37"/>
      <c r="H140" s="37"/>
      <c r="I140" s="38"/>
      <c r="J140" s="37"/>
      <c r="K140" s="37"/>
      <c r="L140" s="37"/>
      <c r="M140" s="37"/>
      <c r="N140" s="37"/>
      <c r="O140" s="37"/>
      <c r="P140" s="37"/>
      <c r="Q140" s="37"/>
      <c r="R140" s="141"/>
      <c r="S140" s="142"/>
      <c r="T140" s="146"/>
    </row>
    <row r="141" spans="1:23" ht="18.75" customHeight="1">
      <c r="F141" s="94"/>
      <c r="G141" s="94"/>
      <c r="H141" s="94"/>
      <c r="I141" s="41"/>
      <c r="J141" s="94"/>
      <c r="K141" s="94"/>
      <c r="L141" s="94"/>
      <c r="M141" s="94"/>
      <c r="N141" s="94"/>
      <c r="O141" s="94"/>
      <c r="P141" s="101"/>
      <c r="Q141" s="101"/>
    </row>
    <row r="142" spans="1:23" ht="18.75" customHeight="1">
      <c r="C142" s="139" t="s">
        <v>4369</v>
      </c>
      <c r="D142" s="140"/>
      <c r="E142" s="145" t="str">
        <f>エンティティ一覧!$O$2</f>
        <v>milscm_2023_009</v>
      </c>
      <c r="F142" s="36"/>
      <c r="G142" s="36"/>
      <c r="H142" s="36"/>
      <c r="I142" s="41"/>
      <c r="J142" s="94"/>
      <c r="K142" s="94"/>
      <c r="L142" s="94"/>
      <c r="M142" s="94"/>
      <c r="N142" s="94"/>
      <c r="O142" s="94"/>
      <c r="P142" s="94"/>
      <c r="Q142" s="94"/>
    </row>
    <row r="143" spans="1:23" ht="18.75" customHeight="1">
      <c r="C143" s="141"/>
      <c r="D143" s="142"/>
      <c r="E143" s="146"/>
      <c r="K143" s="94"/>
      <c r="L143" s="94"/>
      <c r="M143" s="94"/>
      <c r="N143" s="94"/>
      <c r="O143" s="94"/>
      <c r="P143" s="94"/>
    </row>
    <row r="145" spans="1: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1:23" ht="18.75" customHeight="1">
      <c r="A147" s="77"/>
      <c r="B147" s="43" t="s">
        <v>163</v>
      </c>
      <c r="C147" s="51" t="s">
        <v>4401</v>
      </c>
      <c r="D147" s="120"/>
      <c r="W147" s="35" t="str">
        <f>"-- "&amp;B147&amp;" : "&amp;C147</f>
        <v>-- SQL_ID : 52_15</v>
      </c>
    </row>
    <row r="148" spans="1:23" ht="18.75" customHeight="1">
      <c r="B148" s="43" t="s">
        <v>158</v>
      </c>
      <c r="C148" s="147" t="str">
        <f>R151&amp;"_取得"</f>
        <v>観察期間ごとのN数_1q21+_取得</v>
      </c>
      <c r="D148" s="148"/>
      <c r="E148" s="148"/>
      <c r="F148" s="148"/>
      <c r="G148" s="148"/>
      <c r="H148" s="148"/>
      <c r="I148" s="148"/>
      <c r="J148" s="148"/>
      <c r="K148" s="148"/>
      <c r="L148" s="148"/>
      <c r="M148" s="148"/>
      <c r="N148" s="148"/>
      <c r="O148" s="148"/>
      <c r="P148" s="148"/>
      <c r="Q148" s="148"/>
      <c r="R148" s="148"/>
      <c r="S148" s="148"/>
      <c r="T148" s="148"/>
      <c r="U148" s="149"/>
      <c r="W148" s="35" t="str">
        <f>"-- "&amp;C148</f>
        <v>-- 観察期間ごとのN数_1q21+_取得</v>
      </c>
    </row>
    <row r="149" spans="1:23" ht="18.75" customHeight="1">
      <c r="B149" s="43" t="s">
        <v>159</v>
      </c>
      <c r="C149" s="136" t="str">
        <f>C151&amp;"からデータを抽出し、"&amp;R151&amp;"を取得する。"</f>
        <v>セレクト_患者基本データからデータを抽出し、観察期間ごとのN数_1q21+を取得する。</v>
      </c>
      <c r="D149" s="137"/>
      <c r="E149" s="137"/>
      <c r="F149" s="137"/>
      <c r="G149" s="137"/>
      <c r="H149" s="137"/>
      <c r="I149" s="137"/>
      <c r="J149" s="137"/>
      <c r="K149" s="137"/>
      <c r="L149" s="137"/>
      <c r="M149" s="137"/>
      <c r="N149" s="137"/>
      <c r="O149" s="137"/>
      <c r="P149" s="137"/>
      <c r="Q149" s="137"/>
      <c r="R149" s="137"/>
      <c r="S149" s="137"/>
      <c r="T149" s="137"/>
      <c r="U149" s="138"/>
      <c r="W149" s="35" t="str">
        <f>"-- "&amp;C149</f>
        <v>-- セレクト_患者基本データからデータを抽出し、観察期間ごとのN数_1q21+を取得する。</v>
      </c>
    </row>
    <row r="151" spans="1:23" ht="18.75" customHeight="1">
      <c r="C151" s="139" t="s">
        <v>4321</v>
      </c>
      <c r="D151" s="140"/>
      <c r="E151" s="145" t="str">
        <f>エンティティ一覧!$O$2</f>
        <v>milscm_2023_009</v>
      </c>
      <c r="F151" s="36"/>
      <c r="G151" s="36"/>
      <c r="H151" s="36"/>
      <c r="I151" s="94"/>
      <c r="J151" s="94"/>
      <c r="K151" s="94"/>
      <c r="L151" s="36"/>
      <c r="M151" s="36"/>
      <c r="N151" s="36"/>
      <c r="O151" s="36"/>
      <c r="R151" s="139" t="s">
        <v>4374</v>
      </c>
      <c r="S151" s="140"/>
      <c r="T151" s="145" t="s">
        <v>3799</v>
      </c>
    </row>
    <row r="152" spans="1:23" ht="18.75" customHeight="1">
      <c r="C152" s="141"/>
      <c r="D152" s="142"/>
      <c r="E152" s="146"/>
      <c r="F152" s="37"/>
      <c r="G152" s="37"/>
      <c r="H152" s="37"/>
      <c r="I152" s="38"/>
      <c r="J152" s="37"/>
      <c r="K152" s="37"/>
      <c r="L152" s="37"/>
      <c r="M152" s="37"/>
      <c r="N152" s="37"/>
      <c r="O152" s="37"/>
      <c r="P152" s="37"/>
      <c r="Q152" s="37"/>
      <c r="R152" s="141"/>
      <c r="S152" s="142"/>
      <c r="T152" s="146"/>
    </row>
    <row r="153" spans="1:23" ht="18.75" customHeight="1">
      <c r="F153" s="94"/>
      <c r="G153" s="94"/>
      <c r="H153" s="94"/>
      <c r="I153" s="41"/>
      <c r="J153" s="94"/>
      <c r="K153" s="94"/>
      <c r="L153" s="94"/>
      <c r="M153" s="94"/>
      <c r="N153" s="94"/>
      <c r="O153" s="94"/>
      <c r="P153" s="101"/>
      <c r="Q153" s="101"/>
    </row>
    <row r="154" spans="1:23" ht="18.75" customHeight="1">
      <c r="C154" s="139" t="s">
        <v>4369</v>
      </c>
      <c r="D154" s="140"/>
      <c r="E154" s="145" t="str">
        <f>エンティティ一覧!$O$2</f>
        <v>milscm_2023_009</v>
      </c>
      <c r="F154" s="36"/>
      <c r="G154" s="36"/>
      <c r="H154" s="36"/>
      <c r="I154" s="41"/>
      <c r="J154" s="94"/>
      <c r="K154" s="94"/>
      <c r="L154" s="94"/>
      <c r="M154" s="94"/>
      <c r="N154" s="94"/>
      <c r="O154" s="94"/>
      <c r="P154" s="94"/>
      <c r="Q154" s="94"/>
    </row>
    <row r="155" spans="1:23" ht="18.75" customHeight="1">
      <c r="C155" s="141"/>
      <c r="D155" s="142"/>
      <c r="E155" s="146"/>
      <c r="K155" s="94"/>
      <c r="L155" s="94"/>
      <c r="M155" s="94"/>
      <c r="N155" s="94"/>
      <c r="O155" s="94"/>
      <c r="P155" s="94"/>
    </row>
    <row r="157" spans="1: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1:23" ht="18.75" customHeight="1">
      <c r="A159" s="77"/>
      <c r="B159" s="43" t="s">
        <v>163</v>
      </c>
      <c r="C159" s="51" t="s">
        <v>4402</v>
      </c>
      <c r="D159" s="120"/>
      <c r="W159" s="35" t="str">
        <f>"-- "&amp;B159&amp;" : "&amp;C159</f>
        <v>-- SQL_ID : 52_16</v>
      </c>
    </row>
    <row r="160" spans="1:23" ht="18.75" customHeight="1">
      <c r="B160" s="43" t="s">
        <v>158</v>
      </c>
      <c r="C160" s="147" t="str">
        <f>R163&amp;"_取得"</f>
        <v>年齢ごとのN数_1q21+_取得</v>
      </c>
      <c r="D160" s="148"/>
      <c r="E160" s="148"/>
      <c r="F160" s="148"/>
      <c r="G160" s="148"/>
      <c r="H160" s="148"/>
      <c r="I160" s="148"/>
      <c r="J160" s="148"/>
      <c r="K160" s="148"/>
      <c r="L160" s="148"/>
      <c r="M160" s="148"/>
      <c r="N160" s="148"/>
      <c r="O160" s="148"/>
      <c r="P160" s="148"/>
      <c r="Q160" s="148"/>
      <c r="R160" s="148"/>
      <c r="S160" s="148"/>
      <c r="T160" s="148"/>
      <c r="U160" s="149"/>
      <c r="W160" s="35" t="str">
        <f>"-- "&amp;C160</f>
        <v>-- 年齢ごとのN数_1q21+_取得</v>
      </c>
    </row>
    <row r="161" spans="1:23" ht="18.75" customHeight="1">
      <c r="B161" s="43" t="s">
        <v>159</v>
      </c>
      <c r="C161" s="136" t="str">
        <f>C163&amp;"からデータを抽出し、"&amp;R163&amp;"を取得する。"</f>
        <v>セレクト_患者基本データからデータを抽出し、年齢ごとのN数_1q21+を取得する。</v>
      </c>
      <c r="D161" s="137"/>
      <c r="E161" s="137"/>
      <c r="F161" s="137"/>
      <c r="G161" s="137"/>
      <c r="H161" s="137"/>
      <c r="I161" s="137"/>
      <c r="J161" s="137"/>
      <c r="K161" s="137"/>
      <c r="L161" s="137"/>
      <c r="M161" s="137"/>
      <c r="N161" s="137"/>
      <c r="O161" s="137"/>
      <c r="P161" s="137"/>
      <c r="Q161" s="137"/>
      <c r="R161" s="137"/>
      <c r="S161" s="137"/>
      <c r="T161" s="137"/>
      <c r="U161" s="138"/>
      <c r="W161" s="35" t="str">
        <f>"-- "&amp;C161</f>
        <v>-- セレクト_患者基本データからデータを抽出し、年齢ごとのN数_1q21+を取得する。</v>
      </c>
    </row>
    <row r="163" spans="1:23" ht="18.75" customHeight="1">
      <c r="C163" s="139" t="s">
        <v>4321</v>
      </c>
      <c r="D163" s="140"/>
      <c r="E163" s="145" t="str">
        <f>エンティティ一覧!$O$2</f>
        <v>milscm_2023_009</v>
      </c>
      <c r="F163" s="36"/>
      <c r="G163" s="36"/>
      <c r="H163" s="36"/>
      <c r="I163" s="94"/>
      <c r="J163" s="94"/>
      <c r="K163" s="94"/>
      <c r="L163" s="36"/>
      <c r="M163" s="36"/>
      <c r="N163" s="36"/>
      <c r="O163" s="36"/>
      <c r="R163" s="139" t="s">
        <v>4375</v>
      </c>
      <c r="S163" s="140"/>
      <c r="T163" s="145" t="s">
        <v>3799</v>
      </c>
    </row>
    <row r="164" spans="1:23" ht="18.75" customHeight="1">
      <c r="C164" s="141"/>
      <c r="D164" s="142"/>
      <c r="E164" s="146"/>
      <c r="F164" s="37"/>
      <c r="G164" s="37"/>
      <c r="H164" s="37"/>
      <c r="I164" s="38"/>
      <c r="J164" s="37"/>
      <c r="K164" s="37"/>
      <c r="L164" s="37"/>
      <c r="M164" s="37"/>
      <c r="N164" s="37"/>
      <c r="O164" s="37"/>
      <c r="P164" s="37"/>
      <c r="Q164" s="37"/>
      <c r="R164" s="141"/>
      <c r="S164" s="142"/>
      <c r="T164" s="146"/>
    </row>
    <row r="165" spans="1:23" ht="18.75" customHeight="1">
      <c r="F165" s="94"/>
      <c r="G165" s="94"/>
      <c r="H165" s="94"/>
      <c r="I165" s="41"/>
      <c r="J165" s="94"/>
      <c r="K165" s="94"/>
      <c r="L165" s="94"/>
      <c r="M165" s="94"/>
      <c r="N165" s="94"/>
      <c r="O165" s="94"/>
      <c r="P165" s="101"/>
      <c r="Q165" s="101"/>
    </row>
    <row r="166" spans="1:23" ht="18.75" customHeight="1">
      <c r="C166" s="139" t="s">
        <v>4369</v>
      </c>
      <c r="D166" s="140"/>
      <c r="E166" s="145" t="str">
        <f>エンティティ一覧!$O$2</f>
        <v>milscm_2023_009</v>
      </c>
      <c r="F166" s="36"/>
      <c r="G166" s="36"/>
      <c r="H166" s="36"/>
      <c r="I166" s="41"/>
      <c r="J166" s="94"/>
      <c r="K166" s="94"/>
      <c r="L166" s="94"/>
      <c r="M166" s="94"/>
      <c r="N166" s="94"/>
      <c r="O166" s="94"/>
      <c r="P166" s="94"/>
      <c r="Q166" s="94"/>
    </row>
    <row r="167" spans="1:23" ht="18.75" customHeight="1">
      <c r="C167" s="141"/>
      <c r="D167" s="142"/>
      <c r="E167" s="146"/>
      <c r="K167" s="94"/>
      <c r="L167" s="94"/>
      <c r="M167" s="94"/>
      <c r="N167" s="94"/>
      <c r="O167" s="94"/>
      <c r="P167" s="94"/>
    </row>
    <row r="169" spans="1: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1:23" ht="18.75" customHeight="1">
      <c r="A171" s="77"/>
      <c r="B171" s="43" t="s">
        <v>163</v>
      </c>
      <c r="C171" s="51" t="s">
        <v>4403</v>
      </c>
      <c r="D171" s="120"/>
      <c r="W171" s="35" t="str">
        <f>"-- "&amp;B171&amp;" : "&amp;C171</f>
        <v>-- SQL_ID : 52_17</v>
      </c>
    </row>
    <row r="172" spans="1:23" ht="18.75" customHeight="1">
      <c r="B172" s="43" t="s">
        <v>158</v>
      </c>
      <c r="C172" s="147" t="str">
        <f>R175&amp;"_取得"</f>
        <v>性別ごとのN数_1q21+_取得</v>
      </c>
      <c r="D172" s="148"/>
      <c r="E172" s="148"/>
      <c r="F172" s="148"/>
      <c r="G172" s="148"/>
      <c r="H172" s="148"/>
      <c r="I172" s="148"/>
      <c r="J172" s="148"/>
      <c r="K172" s="148"/>
      <c r="L172" s="148"/>
      <c r="M172" s="148"/>
      <c r="N172" s="148"/>
      <c r="O172" s="148"/>
      <c r="P172" s="148"/>
      <c r="Q172" s="148"/>
      <c r="R172" s="148"/>
      <c r="S172" s="148"/>
      <c r="T172" s="148"/>
      <c r="U172" s="149"/>
      <c r="W172" s="35" t="str">
        <f>"-- "&amp;C172</f>
        <v>-- 性別ごとのN数_1q21+_取得</v>
      </c>
    </row>
    <row r="173" spans="1:23" ht="18.75" customHeight="1">
      <c r="B173" s="43" t="s">
        <v>159</v>
      </c>
      <c r="C173" s="136" t="str">
        <f>C175&amp;"からデータを抽出し、"&amp;R175&amp;"を取得する。"</f>
        <v>セレクト_患者基本データからデータを抽出し、性別ごとのN数_1q21+を取得する。</v>
      </c>
      <c r="D173" s="137"/>
      <c r="E173" s="137"/>
      <c r="F173" s="137"/>
      <c r="G173" s="137"/>
      <c r="H173" s="137"/>
      <c r="I173" s="137"/>
      <c r="J173" s="137"/>
      <c r="K173" s="137"/>
      <c r="L173" s="137"/>
      <c r="M173" s="137"/>
      <c r="N173" s="137"/>
      <c r="O173" s="137"/>
      <c r="P173" s="137"/>
      <c r="Q173" s="137"/>
      <c r="R173" s="137"/>
      <c r="S173" s="137"/>
      <c r="T173" s="137"/>
      <c r="U173" s="138"/>
      <c r="W173" s="35" t="str">
        <f>"-- "&amp;C173</f>
        <v>-- セレクト_患者基本データからデータを抽出し、性別ごとのN数_1q21+を取得する。</v>
      </c>
    </row>
    <row r="175" spans="1:23" ht="18.75" customHeight="1">
      <c r="C175" s="139" t="s">
        <v>4321</v>
      </c>
      <c r="D175" s="140"/>
      <c r="E175" s="145" t="str">
        <f>エンティティ一覧!$O$2</f>
        <v>milscm_2023_009</v>
      </c>
      <c r="F175" s="36"/>
      <c r="G175" s="36"/>
      <c r="H175" s="36"/>
      <c r="I175" s="94"/>
      <c r="J175" s="94"/>
      <c r="K175" s="94"/>
      <c r="L175" s="36"/>
      <c r="M175" s="36"/>
      <c r="N175" s="36"/>
      <c r="O175" s="36"/>
      <c r="R175" s="139" t="s">
        <v>4376</v>
      </c>
      <c r="S175" s="140"/>
      <c r="T175" s="145" t="s">
        <v>3799</v>
      </c>
    </row>
    <row r="176" spans="1:23" ht="18.75" customHeight="1">
      <c r="C176" s="141"/>
      <c r="D176" s="142"/>
      <c r="E176" s="146"/>
      <c r="F176" s="37"/>
      <c r="G176" s="37"/>
      <c r="H176" s="37"/>
      <c r="I176" s="38"/>
      <c r="J176" s="37"/>
      <c r="K176" s="37"/>
      <c r="L176" s="37"/>
      <c r="M176" s="37"/>
      <c r="N176" s="37"/>
      <c r="O176" s="37"/>
      <c r="P176" s="37"/>
      <c r="Q176" s="37"/>
      <c r="R176" s="141"/>
      <c r="S176" s="142"/>
      <c r="T176" s="146"/>
    </row>
    <row r="177" spans="1:23" ht="18.75" customHeight="1">
      <c r="F177" s="94"/>
      <c r="G177" s="94"/>
      <c r="H177" s="94"/>
      <c r="I177" s="41"/>
      <c r="J177" s="94"/>
      <c r="K177" s="94"/>
      <c r="L177" s="94"/>
      <c r="M177" s="94"/>
      <c r="N177" s="94"/>
      <c r="O177" s="94"/>
      <c r="P177" s="101"/>
      <c r="Q177" s="101"/>
    </row>
    <row r="178" spans="1:23" ht="18.75" customHeight="1">
      <c r="C178" s="139" t="s">
        <v>4369</v>
      </c>
      <c r="D178" s="140"/>
      <c r="E178" s="145" t="str">
        <f>エンティティ一覧!$O$2</f>
        <v>milscm_2023_009</v>
      </c>
      <c r="F178" s="36"/>
      <c r="G178" s="36"/>
      <c r="H178" s="36"/>
      <c r="I178" s="41"/>
      <c r="J178" s="94"/>
      <c r="K178" s="94"/>
      <c r="L178" s="94"/>
      <c r="M178" s="94"/>
      <c r="N178" s="94"/>
      <c r="O178" s="94"/>
      <c r="P178" s="94"/>
      <c r="Q178" s="94"/>
    </row>
    <row r="179" spans="1:23" ht="18.75" customHeight="1">
      <c r="C179" s="141"/>
      <c r="D179" s="142"/>
      <c r="E179" s="146"/>
      <c r="K179" s="94"/>
      <c r="L179" s="94"/>
      <c r="M179" s="94"/>
      <c r="N179" s="94"/>
      <c r="O179" s="94"/>
      <c r="P179" s="94"/>
    </row>
    <row r="181" spans="1: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1:23" ht="18.75" customHeight="1">
      <c r="A183" s="77"/>
      <c r="B183" s="43" t="s">
        <v>163</v>
      </c>
      <c r="C183" s="51" t="s">
        <v>4404</v>
      </c>
      <c r="D183" s="120"/>
      <c r="W183" s="35" t="str">
        <f>"-- "&amp;B183&amp;" : "&amp;C183</f>
        <v>-- SQL_ID : 52_18</v>
      </c>
    </row>
    <row r="184" spans="1:23" ht="18.75" customHeight="1">
      <c r="B184" s="43" t="s">
        <v>158</v>
      </c>
      <c r="C184" s="147" t="str">
        <f>R187&amp;"_取得"</f>
        <v>lookback期間ごとのN数_1q21+_取得</v>
      </c>
      <c r="D184" s="148"/>
      <c r="E184" s="148"/>
      <c r="F184" s="148"/>
      <c r="G184" s="148"/>
      <c r="H184" s="148"/>
      <c r="I184" s="148"/>
      <c r="J184" s="148"/>
      <c r="K184" s="148"/>
      <c r="L184" s="148"/>
      <c r="M184" s="148"/>
      <c r="N184" s="148"/>
      <c r="O184" s="148"/>
      <c r="P184" s="148"/>
      <c r="Q184" s="148"/>
      <c r="R184" s="148"/>
      <c r="S184" s="148"/>
      <c r="T184" s="148"/>
      <c r="U184" s="149"/>
      <c r="W184" s="35" t="str">
        <f>"-- "&amp;C184</f>
        <v>-- lookback期間ごとのN数_1q21+_取得</v>
      </c>
    </row>
    <row r="185" spans="1:23" ht="18.75" customHeight="1">
      <c r="B185" s="43" t="s">
        <v>159</v>
      </c>
      <c r="C185" s="136" t="str">
        <f>C187&amp;"からデータを抽出し、"&amp;R187&amp;"を取得する。"</f>
        <v>セレクト_患者基本データからデータを抽出し、lookback期間ごとのN数_1q21+を取得する。</v>
      </c>
      <c r="D185" s="137"/>
      <c r="E185" s="137"/>
      <c r="F185" s="137"/>
      <c r="G185" s="137"/>
      <c r="H185" s="137"/>
      <c r="I185" s="137"/>
      <c r="J185" s="137"/>
      <c r="K185" s="137"/>
      <c r="L185" s="137"/>
      <c r="M185" s="137"/>
      <c r="N185" s="137"/>
      <c r="O185" s="137"/>
      <c r="P185" s="137"/>
      <c r="Q185" s="137"/>
      <c r="R185" s="137"/>
      <c r="S185" s="137"/>
      <c r="T185" s="137"/>
      <c r="U185" s="138"/>
      <c r="W185" s="35" t="str">
        <f>"-- "&amp;C185</f>
        <v>-- セレクト_患者基本データからデータを抽出し、lookback期間ごとのN数_1q21+を取得する。</v>
      </c>
    </row>
    <row r="187" spans="1:23" ht="18.75" customHeight="1">
      <c r="C187" s="139" t="s">
        <v>4321</v>
      </c>
      <c r="D187" s="140"/>
      <c r="E187" s="145" t="str">
        <f>エンティティ一覧!$O$2</f>
        <v>milscm_2023_009</v>
      </c>
      <c r="F187" s="36"/>
      <c r="G187" s="36"/>
      <c r="H187" s="36"/>
      <c r="I187" s="94"/>
      <c r="J187" s="94"/>
      <c r="K187" s="94"/>
      <c r="L187" s="36"/>
      <c r="M187" s="36"/>
      <c r="N187" s="36"/>
      <c r="O187" s="36"/>
      <c r="R187" s="139" t="s">
        <v>4377</v>
      </c>
      <c r="S187" s="140"/>
      <c r="T187" s="145" t="s">
        <v>3799</v>
      </c>
    </row>
    <row r="188" spans="1:23" ht="18.75" customHeight="1">
      <c r="C188" s="141"/>
      <c r="D188" s="142"/>
      <c r="E188" s="146"/>
      <c r="F188" s="37"/>
      <c r="G188" s="38"/>
      <c r="H188" s="37"/>
      <c r="I188" s="37"/>
      <c r="J188" s="37"/>
      <c r="K188" s="97"/>
      <c r="L188" s="37"/>
      <c r="M188" s="37"/>
      <c r="N188" s="37"/>
      <c r="O188" s="37"/>
      <c r="P188" s="37"/>
      <c r="Q188" s="37"/>
      <c r="R188" s="141"/>
      <c r="S188" s="142"/>
      <c r="T188" s="146"/>
    </row>
    <row r="189" spans="1:23" ht="18.75" customHeight="1">
      <c r="C189" s="124"/>
      <c r="D189" s="124"/>
      <c r="E189" s="124"/>
      <c r="F189" s="104"/>
      <c r="G189" s="94"/>
      <c r="H189" s="94"/>
      <c r="I189" s="94"/>
      <c r="J189" s="94"/>
      <c r="K189" s="104"/>
      <c r="L189" s="94"/>
      <c r="M189" s="94"/>
      <c r="N189" s="94"/>
      <c r="O189" s="94"/>
      <c r="P189" s="94"/>
      <c r="Q189" s="94"/>
      <c r="R189" s="124"/>
      <c r="S189" s="124"/>
      <c r="T189" s="124"/>
    </row>
    <row r="190" spans="1:23" ht="18.75" customHeight="1">
      <c r="C190" s="139" t="s">
        <v>4089</v>
      </c>
      <c r="D190" s="140"/>
      <c r="E190" s="145" t="str">
        <f>エンティティ一覧!$O$2</f>
        <v>milscm_2023_009</v>
      </c>
      <c r="F190" s="105"/>
      <c r="G190" s="94"/>
      <c r="H190" s="94"/>
      <c r="I190" s="94"/>
      <c r="J190" s="94"/>
      <c r="K190" s="104"/>
      <c r="L190" s="94"/>
      <c r="M190" s="94"/>
      <c r="N190" s="94"/>
      <c r="O190" s="94"/>
      <c r="P190" s="94"/>
      <c r="Q190" s="94"/>
      <c r="R190" s="124"/>
      <c r="S190" s="124"/>
      <c r="T190" s="124"/>
    </row>
    <row r="191" spans="1:23" ht="18.75" customHeight="1">
      <c r="C191" s="141"/>
      <c r="D191" s="142"/>
      <c r="E191" s="146"/>
      <c r="F191" s="94"/>
      <c r="G191" s="94"/>
      <c r="H191" s="94"/>
      <c r="I191" s="94"/>
      <c r="J191" s="94"/>
      <c r="K191" s="104"/>
      <c r="L191" s="94"/>
      <c r="M191" s="94"/>
      <c r="N191" s="94"/>
      <c r="O191" s="94"/>
      <c r="P191" s="94"/>
      <c r="Q191" s="94"/>
      <c r="R191" s="124"/>
      <c r="S191" s="124"/>
      <c r="T191" s="124"/>
    </row>
    <row r="192" spans="1:23" ht="18.75" customHeight="1">
      <c r="F192" s="94"/>
      <c r="G192" s="94"/>
      <c r="H192" s="94"/>
      <c r="I192" s="94"/>
      <c r="J192" s="94"/>
      <c r="K192" s="104"/>
      <c r="L192" s="94"/>
      <c r="M192" s="94"/>
      <c r="N192" s="94"/>
      <c r="O192" s="94"/>
      <c r="P192" s="101"/>
      <c r="Q192" s="101"/>
    </row>
    <row r="193" spans="1:23" ht="18.75" customHeight="1">
      <c r="C193" s="139" t="s">
        <v>4369</v>
      </c>
      <c r="D193" s="140"/>
      <c r="E193" s="145" t="str">
        <f>エンティティ一覧!$O$2</f>
        <v>milscm_2023_009</v>
      </c>
      <c r="F193" s="36"/>
      <c r="G193" s="36"/>
      <c r="H193" s="36"/>
      <c r="I193" s="36"/>
      <c r="J193" s="36"/>
      <c r="K193" s="105"/>
      <c r="L193" s="94"/>
      <c r="M193" s="94"/>
      <c r="N193" s="94"/>
      <c r="O193" s="94"/>
      <c r="P193" s="94"/>
      <c r="Q193" s="94"/>
    </row>
    <row r="194" spans="1:23" ht="18.75" customHeight="1">
      <c r="C194" s="141"/>
      <c r="D194" s="142"/>
      <c r="E194" s="146"/>
      <c r="K194" s="94"/>
      <c r="L194" s="94"/>
      <c r="M194" s="94"/>
      <c r="N194" s="94"/>
      <c r="O194" s="94"/>
      <c r="P194" s="94"/>
    </row>
    <row r="196" spans="1:23" ht="18.600000000000001"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1:23" ht="18.75" customHeight="1">
      <c r="A198" s="77"/>
      <c r="B198" s="43" t="s">
        <v>163</v>
      </c>
      <c r="C198" s="51" t="s">
        <v>4405</v>
      </c>
      <c r="D198" s="121"/>
      <c r="W198" s="35" t="str">
        <f>"-- "&amp;B198&amp;" : "&amp;C198</f>
        <v>-- SQL_ID : 52_19</v>
      </c>
    </row>
    <row r="199" spans="1:23" ht="18.75" customHeight="1">
      <c r="B199" s="43" t="s">
        <v>158</v>
      </c>
      <c r="C199" s="147" t="str">
        <f>R202&amp;"_取得"</f>
        <v>index_dateまでの期間ごとのN数_1q21+_取得</v>
      </c>
      <c r="D199" s="148"/>
      <c r="E199" s="148"/>
      <c r="F199" s="148"/>
      <c r="G199" s="148"/>
      <c r="H199" s="148"/>
      <c r="I199" s="148"/>
      <c r="J199" s="148"/>
      <c r="K199" s="148"/>
      <c r="L199" s="148"/>
      <c r="M199" s="148"/>
      <c r="N199" s="148"/>
      <c r="O199" s="148"/>
      <c r="P199" s="148"/>
      <c r="Q199" s="148"/>
      <c r="R199" s="148"/>
      <c r="S199" s="148"/>
      <c r="T199" s="148"/>
      <c r="U199" s="149"/>
      <c r="W199" s="35" t="str">
        <f>"-- "&amp;C199</f>
        <v>-- index_dateまでの期間ごとのN数_1q21+_取得</v>
      </c>
    </row>
    <row r="200" spans="1:23" ht="18.75" customHeight="1">
      <c r="B200" s="43" t="s">
        <v>159</v>
      </c>
      <c r="C200" s="136" t="str">
        <f>C202&amp;"からデータを抽出し、"&amp;R202&amp;"を取得する。"</f>
        <v>セレクト_患者基本データからデータを抽出し、index_dateまでの期間ごとのN数_1q21+を取得する。</v>
      </c>
      <c r="D200" s="137"/>
      <c r="E200" s="137"/>
      <c r="F200" s="137"/>
      <c r="G200" s="137"/>
      <c r="H200" s="137"/>
      <c r="I200" s="137"/>
      <c r="J200" s="137"/>
      <c r="K200" s="137"/>
      <c r="L200" s="137"/>
      <c r="M200" s="137"/>
      <c r="N200" s="137"/>
      <c r="O200" s="137"/>
      <c r="P200" s="137"/>
      <c r="Q200" s="137"/>
      <c r="R200" s="137"/>
      <c r="S200" s="137"/>
      <c r="T200" s="137"/>
      <c r="U200" s="138"/>
      <c r="W200" s="35" t="str">
        <f>"-- "&amp;C200</f>
        <v>-- セレクト_患者基本データからデータを抽出し、index_dateまでの期間ごとのN数_1q21+を取得する。</v>
      </c>
    </row>
    <row r="202" spans="1:23" ht="18.75" customHeight="1">
      <c r="C202" s="139" t="s">
        <v>4321</v>
      </c>
      <c r="D202" s="140"/>
      <c r="E202" s="145" t="str">
        <f>エンティティ一覧!$O$2</f>
        <v>milscm_2023_009</v>
      </c>
      <c r="F202" s="36"/>
      <c r="G202" s="94"/>
      <c r="H202" s="94"/>
      <c r="I202" s="94"/>
      <c r="J202" s="94"/>
      <c r="K202" s="94"/>
      <c r="L202" s="36"/>
      <c r="M202" s="36"/>
      <c r="N202" s="36"/>
      <c r="O202" s="36"/>
      <c r="R202" s="139" t="s">
        <v>4424</v>
      </c>
      <c r="S202" s="140"/>
      <c r="T202" s="145" t="s">
        <v>3799</v>
      </c>
    </row>
    <row r="203" spans="1:23" ht="18.75" customHeight="1">
      <c r="C203" s="141"/>
      <c r="D203" s="142"/>
      <c r="E203" s="146"/>
      <c r="F203" s="37"/>
      <c r="G203" s="37"/>
      <c r="H203" s="37"/>
      <c r="I203" s="38"/>
      <c r="J203" s="37"/>
      <c r="K203" s="97"/>
      <c r="L203" s="37"/>
      <c r="M203" s="37"/>
      <c r="N203" s="37"/>
      <c r="O203" s="37"/>
      <c r="P203" s="37"/>
      <c r="Q203" s="37"/>
      <c r="R203" s="141"/>
      <c r="S203" s="142"/>
      <c r="T203" s="146"/>
    </row>
    <row r="204" spans="1:23" ht="18.75" customHeight="1">
      <c r="F204" s="94"/>
      <c r="G204" s="94"/>
      <c r="H204" s="94"/>
      <c r="I204" s="41"/>
      <c r="J204" s="94"/>
      <c r="K204" s="94"/>
      <c r="L204" s="41"/>
      <c r="M204" s="94"/>
      <c r="N204" s="94"/>
      <c r="O204" s="94"/>
      <c r="P204" s="101"/>
      <c r="Q204" s="101"/>
    </row>
    <row r="205" spans="1:23" ht="18.75" customHeight="1">
      <c r="C205" s="139" t="s">
        <v>4369</v>
      </c>
      <c r="D205" s="140"/>
      <c r="E205" s="145" t="str">
        <f>エンティティ一覧!$O$2</f>
        <v>milscm_2023_009</v>
      </c>
      <c r="F205" s="36"/>
      <c r="G205" s="36"/>
      <c r="H205" s="36"/>
      <c r="I205" s="41"/>
      <c r="J205" s="94"/>
      <c r="K205" s="94"/>
      <c r="L205" s="41"/>
      <c r="M205" s="94"/>
      <c r="N205" s="94"/>
      <c r="O205" s="94"/>
      <c r="P205" s="94"/>
      <c r="Q205" s="94"/>
    </row>
    <row r="206" spans="1:23" ht="18.75" customHeight="1">
      <c r="C206" s="141"/>
      <c r="D206" s="142"/>
      <c r="E206" s="146"/>
      <c r="K206" s="94"/>
      <c r="L206" s="41"/>
      <c r="M206" s="94"/>
      <c r="N206" s="94"/>
      <c r="O206" s="94"/>
      <c r="P206" s="94"/>
    </row>
    <row r="207" spans="1:23" ht="18.75" customHeight="1">
      <c r="C207" s="124"/>
      <c r="D207" s="124"/>
      <c r="E207" s="124"/>
      <c r="F207" s="94"/>
      <c r="G207" s="94"/>
      <c r="H207" s="94"/>
      <c r="I207" s="94"/>
      <c r="J207" s="94"/>
      <c r="K207" s="104"/>
      <c r="L207" s="94"/>
      <c r="M207" s="94"/>
      <c r="N207" s="94"/>
      <c r="O207" s="94"/>
      <c r="P207" s="94"/>
      <c r="Q207" s="94"/>
      <c r="R207" s="124"/>
      <c r="S207" s="124"/>
      <c r="T207" s="124"/>
    </row>
    <row r="208" spans="1:23" ht="18.75" customHeight="1">
      <c r="C208" s="139" t="s">
        <v>4310</v>
      </c>
      <c r="D208" s="140"/>
      <c r="E208" s="145" t="str">
        <f>エンティティ一覧!$O$2</f>
        <v>milscm_2023_009</v>
      </c>
      <c r="F208" s="36"/>
      <c r="G208" s="36"/>
      <c r="H208" s="36"/>
      <c r="I208" s="36"/>
      <c r="J208" s="36"/>
      <c r="K208" s="105"/>
      <c r="L208" s="94"/>
      <c r="M208" s="94"/>
      <c r="N208" s="94"/>
      <c r="O208" s="94"/>
      <c r="P208" s="94"/>
      <c r="Q208" s="94"/>
      <c r="R208" s="124"/>
      <c r="S208" s="124"/>
      <c r="T208" s="124"/>
    </row>
    <row r="209" spans="1:23" ht="18.75" customHeight="1">
      <c r="C209" s="141"/>
      <c r="D209" s="142"/>
      <c r="E209" s="146"/>
      <c r="F209" s="94"/>
      <c r="G209" s="94"/>
      <c r="H209" s="94"/>
      <c r="I209" s="94"/>
      <c r="J209" s="94"/>
      <c r="K209" s="94"/>
      <c r="L209" s="94"/>
      <c r="M209" s="94"/>
      <c r="N209" s="94"/>
      <c r="O209" s="94"/>
      <c r="P209" s="94"/>
      <c r="Q209" s="94"/>
      <c r="R209" s="124"/>
      <c r="S209" s="124"/>
      <c r="T209" s="124"/>
    </row>
    <row r="211" spans="1: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1:23" ht="18.75" customHeight="1">
      <c r="A213" s="77"/>
      <c r="B213" s="43" t="s">
        <v>163</v>
      </c>
      <c r="C213" s="51" t="s">
        <v>4406</v>
      </c>
      <c r="D213" s="120"/>
      <c r="W213" s="35" t="str">
        <f>"-- "&amp;B213&amp;" : "&amp;C213</f>
        <v>-- SQL_ID : 52_20</v>
      </c>
    </row>
    <row r="214" spans="1:23" ht="18.75" customHeight="1">
      <c r="B214" s="43" t="s">
        <v>158</v>
      </c>
      <c r="C214" s="147" t="str">
        <f>R217&amp;"_取得"</f>
        <v>薬剤ごとのN数_ハイリスク3種_取得</v>
      </c>
      <c r="D214" s="148"/>
      <c r="E214" s="148"/>
      <c r="F214" s="148"/>
      <c r="G214" s="148"/>
      <c r="H214" s="148"/>
      <c r="I214" s="148"/>
      <c r="J214" s="148"/>
      <c r="K214" s="148"/>
      <c r="L214" s="148"/>
      <c r="M214" s="148"/>
      <c r="N214" s="148"/>
      <c r="O214" s="148"/>
      <c r="P214" s="148"/>
      <c r="Q214" s="148"/>
      <c r="R214" s="148"/>
      <c r="S214" s="148"/>
      <c r="T214" s="148"/>
      <c r="U214" s="149"/>
      <c r="W214" s="35" t="str">
        <f>"-- "&amp;C214</f>
        <v>-- 薬剤ごとのN数_ハイリスク3種_取得</v>
      </c>
    </row>
    <row r="215" spans="1:23" ht="18.75" customHeight="1">
      <c r="B215" s="43" t="s">
        <v>159</v>
      </c>
      <c r="C215" s="136" t="str">
        <f>C217&amp;"からデータを抽出し、"&amp;R217&amp;"を取得する。"</f>
        <v>セレクト_薬剤データからデータを抽出し、薬剤ごとのN数_ハイリスク3種を取得する。</v>
      </c>
      <c r="D215" s="137"/>
      <c r="E215" s="137"/>
      <c r="F215" s="137"/>
      <c r="G215" s="137"/>
      <c r="H215" s="137"/>
      <c r="I215" s="137"/>
      <c r="J215" s="137"/>
      <c r="K215" s="137"/>
      <c r="L215" s="137"/>
      <c r="M215" s="137"/>
      <c r="N215" s="137"/>
      <c r="O215" s="137"/>
      <c r="P215" s="137"/>
      <c r="Q215" s="137"/>
      <c r="R215" s="137"/>
      <c r="S215" s="137"/>
      <c r="T215" s="137"/>
      <c r="U215" s="138"/>
      <c r="W215" s="35" t="str">
        <f>"-- "&amp;C215</f>
        <v>-- セレクト_薬剤データからデータを抽出し、薬剤ごとのN数_ハイリスク3種を取得する。</v>
      </c>
    </row>
    <row r="217" spans="1:23" ht="18.75" customHeight="1">
      <c r="C217" s="139" t="s">
        <v>4310</v>
      </c>
      <c r="D217" s="140"/>
      <c r="E217" s="145" t="str">
        <f>エンティティ一覧!$O$2</f>
        <v>milscm_2023_009</v>
      </c>
      <c r="F217" s="36"/>
      <c r="G217" s="36"/>
      <c r="H217" s="36"/>
      <c r="I217" s="94"/>
      <c r="J217" s="94"/>
      <c r="K217" s="94"/>
      <c r="L217" s="36"/>
      <c r="M217" s="36"/>
      <c r="N217" s="36"/>
      <c r="O217" s="36"/>
      <c r="R217" s="139" t="s">
        <v>4378</v>
      </c>
      <c r="S217" s="140"/>
      <c r="T217" s="145" t="s">
        <v>3799</v>
      </c>
    </row>
    <row r="218" spans="1:23" ht="18.75" customHeight="1">
      <c r="C218" s="141"/>
      <c r="D218" s="142"/>
      <c r="E218" s="146"/>
      <c r="F218" s="37"/>
      <c r="G218" s="37"/>
      <c r="H218" s="37"/>
      <c r="I218" s="38"/>
      <c r="J218" s="37"/>
      <c r="K218" s="37"/>
      <c r="L218" s="37"/>
      <c r="M218" s="37"/>
      <c r="N218" s="37"/>
      <c r="O218" s="37"/>
      <c r="P218" s="37"/>
      <c r="Q218" s="37"/>
      <c r="R218" s="141"/>
      <c r="S218" s="142"/>
      <c r="T218" s="146"/>
    </row>
    <row r="219" spans="1:23" ht="18.75" customHeight="1">
      <c r="F219" s="94"/>
      <c r="G219" s="94"/>
      <c r="H219" s="94"/>
      <c r="I219" s="41"/>
      <c r="J219" s="94"/>
      <c r="K219" s="94"/>
      <c r="L219" s="94"/>
      <c r="M219" s="94"/>
      <c r="N219" s="94"/>
      <c r="O219" s="94"/>
      <c r="P219" s="101"/>
      <c r="Q219" s="101"/>
    </row>
    <row r="220" spans="1:23" ht="18.75" customHeight="1">
      <c r="C220" s="139" t="s">
        <v>4369</v>
      </c>
      <c r="D220" s="140"/>
      <c r="E220" s="145" t="str">
        <f>エンティティ一覧!$O$2</f>
        <v>milscm_2023_009</v>
      </c>
      <c r="F220" s="36"/>
      <c r="G220" s="36"/>
      <c r="H220" s="36"/>
      <c r="I220" s="41"/>
      <c r="J220" s="94"/>
      <c r="K220" s="94"/>
      <c r="L220" s="94"/>
      <c r="M220" s="94"/>
      <c r="N220" s="94"/>
      <c r="O220" s="94"/>
      <c r="P220" s="94"/>
      <c r="Q220" s="94"/>
    </row>
    <row r="221" spans="1:23" ht="18.75" customHeight="1">
      <c r="C221" s="141"/>
      <c r="D221" s="142"/>
      <c r="E221" s="146"/>
      <c r="K221" s="94"/>
      <c r="L221" s="94"/>
      <c r="M221" s="94"/>
      <c r="N221" s="94"/>
      <c r="O221" s="94"/>
      <c r="P221" s="94"/>
    </row>
    <row r="223" spans="1: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1:23" ht="18.75" customHeight="1">
      <c r="A225" s="77"/>
      <c r="B225" s="43" t="s">
        <v>163</v>
      </c>
      <c r="C225" s="51" t="s">
        <v>4407</v>
      </c>
      <c r="D225" s="120"/>
      <c r="W225" s="35" t="str">
        <f>"-- "&amp;B225&amp;" : "&amp;C225</f>
        <v>-- SQL_ID : 52_21</v>
      </c>
    </row>
    <row r="226" spans="1:23" ht="18.75" customHeight="1">
      <c r="B226" s="43" t="s">
        <v>158</v>
      </c>
      <c r="C226" s="147" t="str">
        <f>R229&amp;"_取得"</f>
        <v>薬剤ごとの使用期間_ハイリスク3種_取得</v>
      </c>
      <c r="D226" s="148"/>
      <c r="E226" s="148"/>
      <c r="F226" s="148"/>
      <c r="G226" s="148"/>
      <c r="H226" s="148"/>
      <c r="I226" s="148"/>
      <c r="J226" s="148"/>
      <c r="K226" s="148"/>
      <c r="L226" s="148"/>
      <c r="M226" s="148"/>
      <c r="N226" s="148"/>
      <c r="O226" s="148"/>
      <c r="P226" s="148"/>
      <c r="Q226" s="148"/>
      <c r="R226" s="148"/>
      <c r="S226" s="148"/>
      <c r="T226" s="148"/>
      <c r="U226" s="149"/>
      <c r="W226" s="35" t="str">
        <f>"-- "&amp;C226</f>
        <v>-- 薬剤ごとの使用期間_ハイリスク3種_取得</v>
      </c>
    </row>
    <row r="227" spans="1:23" ht="18.75" customHeight="1">
      <c r="B227" s="43" t="s">
        <v>159</v>
      </c>
      <c r="C227" s="136" t="str">
        <f>C229&amp;"からデータを抽出し、"&amp;R229&amp;"を取得する。"</f>
        <v>セレクト_薬剤データからデータを抽出し、薬剤ごとの使用期間_ハイリスク3種を取得する。</v>
      </c>
      <c r="D227" s="137"/>
      <c r="E227" s="137"/>
      <c r="F227" s="137"/>
      <c r="G227" s="137"/>
      <c r="H227" s="137"/>
      <c r="I227" s="137"/>
      <c r="J227" s="137"/>
      <c r="K227" s="137"/>
      <c r="L227" s="137"/>
      <c r="M227" s="137"/>
      <c r="N227" s="137"/>
      <c r="O227" s="137"/>
      <c r="P227" s="137"/>
      <c r="Q227" s="137"/>
      <c r="R227" s="137"/>
      <c r="S227" s="137"/>
      <c r="T227" s="137"/>
      <c r="U227" s="138"/>
      <c r="W227" s="35" t="str">
        <f>"-- "&amp;C227</f>
        <v>-- セレクト_薬剤データからデータを抽出し、薬剤ごとの使用期間_ハイリスク3種を取得する。</v>
      </c>
    </row>
    <row r="229" spans="1:23" ht="18.75" customHeight="1">
      <c r="C229" s="139" t="s">
        <v>4310</v>
      </c>
      <c r="D229" s="140"/>
      <c r="E229" s="145" t="str">
        <f>エンティティ一覧!$O$2</f>
        <v>milscm_2023_009</v>
      </c>
      <c r="F229" s="36"/>
      <c r="G229" s="36"/>
      <c r="H229" s="36"/>
      <c r="I229" s="94"/>
      <c r="J229" s="94"/>
      <c r="K229" s="94"/>
      <c r="L229" s="36"/>
      <c r="M229" s="36"/>
      <c r="N229" s="36"/>
      <c r="O229" s="36"/>
      <c r="R229" s="139" t="s">
        <v>4379</v>
      </c>
      <c r="S229" s="140"/>
      <c r="T229" s="145" t="s">
        <v>3799</v>
      </c>
    </row>
    <row r="230" spans="1:23" ht="18.75" customHeight="1">
      <c r="C230" s="141"/>
      <c r="D230" s="142"/>
      <c r="E230" s="146"/>
      <c r="F230" s="37"/>
      <c r="G230" s="37"/>
      <c r="H230" s="37"/>
      <c r="I230" s="38"/>
      <c r="J230" s="37"/>
      <c r="K230" s="37"/>
      <c r="L230" s="37"/>
      <c r="M230" s="37"/>
      <c r="N230" s="37"/>
      <c r="O230" s="37"/>
      <c r="P230" s="37"/>
      <c r="Q230" s="37"/>
      <c r="R230" s="141"/>
      <c r="S230" s="142"/>
      <c r="T230" s="146"/>
    </row>
    <row r="231" spans="1:23" ht="18.75" customHeight="1">
      <c r="F231" s="94"/>
      <c r="G231" s="94"/>
      <c r="H231" s="94"/>
      <c r="I231" s="41"/>
      <c r="J231" s="94"/>
      <c r="K231" s="94"/>
      <c r="L231" s="94"/>
      <c r="M231" s="94"/>
      <c r="N231" s="94"/>
      <c r="O231" s="94"/>
      <c r="P231" s="101"/>
      <c r="Q231" s="101"/>
    </row>
    <row r="232" spans="1:23" ht="18.75" customHeight="1">
      <c r="C232" s="139" t="s">
        <v>4369</v>
      </c>
      <c r="D232" s="140"/>
      <c r="E232" s="145" t="str">
        <f>エンティティ一覧!$O$2</f>
        <v>milscm_2023_009</v>
      </c>
      <c r="F232" s="36"/>
      <c r="G232" s="36"/>
      <c r="H232" s="36"/>
      <c r="I232" s="41"/>
      <c r="J232" s="94"/>
      <c r="K232" s="94"/>
      <c r="L232" s="94"/>
      <c r="M232" s="94"/>
      <c r="N232" s="94"/>
      <c r="O232" s="94"/>
      <c r="P232" s="94"/>
      <c r="Q232" s="94"/>
    </row>
    <row r="233" spans="1:23" ht="18.75" customHeight="1">
      <c r="C233" s="141"/>
      <c r="D233" s="142"/>
      <c r="E233" s="146"/>
      <c r="K233" s="94"/>
      <c r="L233" s="94"/>
      <c r="M233" s="94"/>
      <c r="N233" s="94"/>
      <c r="O233" s="94"/>
      <c r="P233" s="94"/>
    </row>
    <row r="235" spans="1:23" ht="18.75" customHeight="1" thickBot="1">
      <c r="B235" s="42"/>
      <c r="C235" s="42"/>
      <c r="D235" s="42"/>
      <c r="E235" s="42"/>
      <c r="F235" s="42"/>
      <c r="G235" s="42"/>
      <c r="H235" s="42"/>
      <c r="I235" s="42"/>
      <c r="J235" s="42"/>
      <c r="K235" s="42"/>
      <c r="L235" s="42"/>
      <c r="M235" s="42"/>
      <c r="N235" s="42"/>
      <c r="O235" s="42"/>
      <c r="P235" s="42"/>
      <c r="Q235" s="42"/>
      <c r="R235" s="42"/>
      <c r="S235" s="42"/>
      <c r="T235" s="42"/>
      <c r="U235" s="42"/>
    </row>
    <row r="237" spans="1:23" ht="18.75" customHeight="1">
      <c r="A237" s="77"/>
      <c r="B237" s="43" t="s">
        <v>163</v>
      </c>
      <c r="C237" s="51" t="s">
        <v>4408</v>
      </c>
      <c r="D237" s="120"/>
      <c r="W237" s="35" t="str">
        <f>"-- "&amp;B237&amp;" : "&amp;C237</f>
        <v>-- SQL_ID : 52_22</v>
      </c>
    </row>
    <row r="238" spans="1:23" ht="18.75" customHeight="1">
      <c r="B238" s="43" t="s">
        <v>158</v>
      </c>
      <c r="C238" s="147" t="str">
        <f>R241&amp;"_取得"</f>
        <v>診療行為ごとのN数_ハイリスク3種_取得</v>
      </c>
      <c r="D238" s="148"/>
      <c r="E238" s="148"/>
      <c r="F238" s="148"/>
      <c r="G238" s="148"/>
      <c r="H238" s="148"/>
      <c r="I238" s="148"/>
      <c r="J238" s="148"/>
      <c r="K238" s="148"/>
      <c r="L238" s="148"/>
      <c r="M238" s="148"/>
      <c r="N238" s="148"/>
      <c r="O238" s="148"/>
      <c r="P238" s="148"/>
      <c r="Q238" s="148"/>
      <c r="R238" s="148"/>
      <c r="S238" s="148"/>
      <c r="T238" s="148"/>
      <c r="U238" s="149"/>
      <c r="W238" s="35" t="str">
        <f>"-- "&amp;C238</f>
        <v>-- 診療行為ごとのN数_ハイリスク3種_取得</v>
      </c>
    </row>
    <row r="239" spans="1:23" ht="18.75" customHeight="1">
      <c r="B239" s="43" t="s">
        <v>159</v>
      </c>
      <c r="C239" s="136" t="str">
        <f>C241&amp;"からデータを抽出し、"&amp;R241&amp;"を取得する。"</f>
        <v>セレクト_診療行為データからデータを抽出し、診療行為ごとのN数_ハイリスク3種を取得する。</v>
      </c>
      <c r="D239" s="137"/>
      <c r="E239" s="137"/>
      <c r="F239" s="137"/>
      <c r="G239" s="137"/>
      <c r="H239" s="137"/>
      <c r="I239" s="137"/>
      <c r="J239" s="137"/>
      <c r="K239" s="137"/>
      <c r="L239" s="137"/>
      <c r="M239" s="137"/>
      <c r="N239" s="137"/>
      <c r="O239" s="137"/>
      <c r="P239" s="137"/>
      <c r="Q239" s="137"/>
      <c r="R239" s="137"/>
      <c r="S239" s="137"/>
      <c r="T239" s="137"/>
      <c r="U239" s="138"/>
      <c r="W239" s="35" t="str">
        <f>"-- "&amp;C239</f>
        <v>-- セレクト_診療行為データからデータを抽出し、診療行為ごとのN数_ハイリスク3種を取得する。</v>
      </c>
    </row>
    <row r="241" spans="1:23" ht="18.75" customHeight="1">
      <c r="C241" s="139" t="s">
        <v>4313</v>
      </c>
      <c r="D241" s="140"/>
      <c r="E241" s="145" t="str">
        <f>エンティティ一覧!$O$2</f>
        <v>milscm_2023_009</v>
      </c>
      <c r="F241" s="36"/>
      <c r="G241" s="36"/>
      <c r="H241" s="36"/>
      <c r="I241" s="94"/>
      <c r="J241" s="94"/>
      <c r="K241" s="94"/>
      <c r="L241" s="36"/>
      <c r="M241" s="36"/>
      <c r="N241" s="36"/>
      <c r="O241" s="36"/>
      <c r="R241" s="139" t="s">
        <v>4380</v>
      </c>
      <c r="S241" s="140"/>
      <c r="T241" s="145" t="s">
        <v>3799</v>
      </c>
    </row>
    <row r="242" spans="1:23" ht="18.75" customHeight="1">
      <c r="C242" s="141"/>
      <c r="D242" s="142"/>
      <c r="E242" s="146"/>
      <c r="F242" s="37"/>
      <c r="G242" s="37"/>
      <c r="H242" s="37"/>
      <c r="I242" s="38"/>
      <c r="J242" s="37"/>
      <c r="K242" s="37"/>
      <c r="L242" s="37"/>
      <c r="M242" s="37"/>
      <c r="N242" s="37"/>
      <c r="O242" s="37"/>
      <c r="P242" s="37"/>
      <c r="Q242" s="37"/>
      <c r="R242" s="141"/>
      <c r="S242" s="142"/>
      <c r="T242" s="146"/>
    </row>
    <row r="243" spans="1:23" ht="18.75" customHeight="1">
      <c r="F243" s="94"/>
      <c r="G243" s="94"/>
      <c r="H243" s="94"/>
      <c r="I243" s="41"/>
      <c r="J243" s="94"/>
      <c r="K243" s="94"/>
      <c r="L243" s="94"/>
      <c r="M243" s="94"/>
      <c r="N243" s="94"/>
      <c r="O243" s="94"/>
      <c r="P243" s="101"/>
      <c r="Q243" s="101"/>
    </row>
    <row r="244" spans="1:23" ht="18.75" customHeight="1">
      <c r="C244" s="139" t="s">
        <v>4369</v>
      </c>
      <c r="D244" s="140"/>
      <c r="E244" s="145" t="str">
        <f>エンティティ一覧!$O$2</f>
        <v>milscm_2023_009</v>
      </c>
      <c r="F244" s="36"/>
      <c r="G244" s="36"/>
      <c r="H244" s="36"/>
      <c r="I244" s="41"/>
      <c r="J244" s="94"/>
      <c r="K244" s="94"/>
      <c r="L244" s="94"/>
      <c r="M244" s="94"/>
      <c r="N244" s="94"/>
      <c r="O244" s="94"/>
      <c r="P244" s="94"/>
      <c r="Q244" s="94"/>
    </row>
    <row r="245" spans="1:23" ht="18.75" customHeight="1">
      <c r="C245" s="141"/>
      <c r="D245" s="142"/>
      <c r="E245" s="146"/>
      <c r="K245" s="94"/>
      <c r="L245" s="94"/>
      <c r="M245" s="94"/>
      <c r="N245" s="94"/>
      <c r="O245" s="94"/>
      <c r="P245" s="94"/>
    </row>
    <row r="247" spans="1: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1:23" ht="18.75" customHeight="1">
      <c r="A249" s="77"/>
      <c r="B249" s="43" t="s">
        <v>163</v>
      </c>
      <c r="C249" s="51" t="s">
        <v>4409</v>
      </c>
      <c r="D249" s="120"/>
      <c r="W249" s="35" t="str">
        <f>"-- "&amp;B249&amp;" : "&amp;C249</f>
        <v>-- SQL_ID : 52_23</v>
      </c>
    </row>
    <row r="250" spans="1:23" ht="18.75" customHeight="1">
      <c r="B250" s="43" t="s">
        <v>158</v>
      </c>
      <c r="C250" s="147" t="str">
        <f>R253&amp;"_取得"</f>
        <v>検査ごとのN数_ハイリスク3種_取得</v>
      </c>
      <c r="D250" s="148"/>
      <c r="E250" s="148"/>
      <c r="F250" s="148"/>
      <c r="G250" s="148"/>
      <c r="H250" s="148"/>
      <c r="I250" s="148"/>
      <c r="J250" s="148"/>
      <c r="K250" s="148"/>
      <c r="L250" s="148"/>
      <c r="M250" s="148"/>
      <c r="N250" s="148"/>
      <c r="O250" s="148"/>
      <c r="P250" s="148"/>
      <c r="Q250" s="148"/>
      <c r="R250" s="148"/>
      <c r="S250" s="148"/>
      <c r="T250" s="148"/>
      <c r="U250" s="149"/>
      <c r="W250" s="35" t="str">
        <f>"-- "&amp;C250</f>
        <v>-- 検査ごとのN数_ハイリスク3種_取得</v>
      </c>
    </row>
    <row r="251" spans="1:23" ht="18.75" customHeight="1">
      <c r="B251" s="43" t="s">
        <v>159</v>
      </c>
      <c r="C251" s="136" t="str">
        <f>C253&amp;"からデータを抽出し、"&amp;R253&amp;"を取得する。"</f>
        <v>セレクト_検査データからデータを抽出し、検査ごとのN数_ハイリスク3種を取得する。</v>
      </c>
      <c r="D251" s="137"/>
      <c r="E251" s="137"/>
      <c r="F251" s="137"/>
      <c r="G251" s="137"/>
      <c r="H251" s="137"/>
      <c r="I251" s="137"/>
      <c r="J251" s="137"/>
      <c r="K251" s="137"/>
      <c r="L251" s="137"/>
      <c r="M251" s="137"/>
      <c r="N251" s="137"/>
      <c r="O251" s="137"/>
      <c r="P251" s="137"/>
      <c r="Q251" s="137"/>
      <c r="R251" s="137"/>
      <c r="S251" s="137"/>
      <c r="T251" s="137"/>
      <c r="U251" s="138"/>
      <c r="W251" s="35" t="str">
        <f>"-- "&amp;C251</f>
        <v>-- セレクト_検査データからデータを抽出し、検査ごとのN数_ハイリスク3種を取得する。</v>
      </c>
    </row>
    <row r="253" spans="1:23" ht="18.75" customHeight="1">
      <c r="C253" s="139" t="s">
        <v>4354</v>
      </c>
      <c r="D253" s="140"/>
      <c r="E253" s="145" t="str">
        <f>エンティティ一覧!$O$2</f>
        <v>milscm_2023_009</v>
      </c>
      <c r="F253" s="36"/>
      <c r="G253" s="36"/>
      <c r="H253" s="36"/>
      <c r="I253" s="94"/>
      <c r="J253" s="94"/>
      <c r="K253" s="94"/>
      <c r="L253" s="36"/>
      <c r="M253" s="36"/>
      <c r="N253" s="36"/>
      <c r="O253" s="36"/>
      <c r="R253" s="139" t="s">
        <v>4381</v>
      </c>
      <c r="S253" s="140"/>
      <c r="T253" s="145" t="s">
        <v>3799</v>
      </c>
    </row>
    <row r="254" spans="1:23" ht="18.75" customHeight="1">
      <c r="C254" s="141"/>
      <c r="D254" s="142"/>
      <c r="E254" s="146"/>
      <c r="F254" s="37"/>
      <c r="G254" s="37"/>
      <c r="H254" s="37"/>
      <c r="I254" s="38"/>
      <c r="J254" s="37"/>
      <c r="K254" s="37"/>
      <c r="L254" s="37"/>
      <c r="M254" s="37"/>
      <c r="N254" s="37"/>
      <c r="O254" s="37"/>
      <c r="P254" s="37"/>
      <c r="Q254" s="37"/>
      <c r="R254" s="141"/>
      <c r="S254" s="142"/>
      <c r="T254" s="146"/>
    </row>
    <row r="255" spans="1:23" ht="18.75" customHeight="1">
      <c r="F255" s="94"/>
      <c r="G255" s="94"/>
      <c r="H255" s="94"/>
      <c r="I255" s="41"/>
      <c r="J255" s="94"/>
      <c r="K255" s="94"/>
      <c r="L255" s="94"/>
      <c r="M255" s="94"/>
      <c r="N255" s="94"/>
      <c r="O255" s="94"/>
      <c r="P255" s="101"/>
      <c r="Q255" s="101"/>
    </row>
    <row r="256" spans="1:23" ht="18.75" customHeight="1">
      <c r="C256" s="139" t="s">
        <v>4369</v>
      </c>
      <c r="D256" s="140"/>
      <c r="E256" s="145" t="str">
        <f>エンティティ一覧!$O$2</f>
        <v>milscm_2023_009</v>
      </c>
      <c r="F256" s="36"/>
      <c r="G256" s="36"/>
      <c r="H256" s="36"/>
      <c r="I256" s="41"/>
      <c r="J256" s="94"/>
      <c r="K256" s="94"/>
      <c r="L256" s="94"/>
      <c r="M256" s="94"/>
      <c r="N256" s="94"/>
      <c r="O256" s="94"/>
      <c r="P256" s="94"/>
      <c r="Q256" s="94"/>
    </row>
    <row r="257" spans="1:23" ht="18.75" customHeight="1">
      <c r="C257" s="141"/>
      <c r="D257" s="142"/>
      <c r="E257" s="146"/>
      <c r="K257" s="94"/>
      <c r="L257" s="94"/>
      <c r="M257" s="94"/>
      <c r="N257" s="94"/>
      <c r="O257" s="94"/>
      <c r="P257" s="94"/>
    </row>
    <row r="259" spans="1: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1:23" ht="18.75" customHeight="1">
      <c r="A261" s="77"/>
      <c r="B261" s="43" t="s">
        <v>163</v>
      </c>
      <c r="C261" s="51" t="s">
        <v>4410</v>
      </c>
      <c r="D261" s="120"/>
      <c r="W261" s="35" t="str">
        <f>"-- "&amp;B261&amp;" : "&amp;C261</f>
        <v>-- SQL_ID : 52_24</v>
      </c>
    </row>
    <row r="262" spans="1:23" ht="18.75" customHeight="1">
      <c r="B262" s="43" t="s">
        <v>158</v>
      </c>
      <c r="C262" s="147" t="str">
        <f>R265&amp;"_取得"</f>
        <v>観察期間ごとのN数_ハイリスク3種_取得</v>
      </c>
      <c r="D262" s="148"/>
      <c r="E262" s="148"/>
      <c r="F262" s="148"/>
      <c r="G262" s="148"/>
      <c r="H262" s="148"/>
      <c r="I262" s="148"/>
      <c r="J262" s="148"/>
      <c r="K262" s="148"/>
      <c r="L262" s="148"/>
      <c r="M262" s="148"/>
      <c r="N262" s="148"/>
      <c r="O262" s="148"/>
      <c r="P262" s="148"/>
      <c r="Q262" s="148"/>
      <c r="R262" s="148"/>
      <c r="S262" s="148"/>
      <c r="T262" s="148"/>
      <c r="U262" s="149"/>
      <c r="W262" s="35" t="str">
        <f>"-- "&amp;C262</f>
        <v>-- 観察期間ごとのN数_ハイリスク3種_取得</v>
      </c>
    </row>
    <row r="263" spans="1:23" ht="18.75" customHeight="1">
      <c r="B263" s="43" t="s">
        <v>159</v>
      </c>
      <c r="C263" s="136" t="str">
        <f>C265&amp;"からデータを抽出し、"&amp;R265&amp;"を取得する。"</f>
        <v>セレクト_患者基本データからデータを抽出し、観察期間ごとのN数_ハイリスク3種を取得する。</v>
      </c>
      <c r="D263" s="137"/>
      <c r="E263" s="137"/>
      <c r="F263" s="137"/>
      <c r="G263" s="137"/>
      <c r="H263" s="137"/>
      <c r="I263" s="137"/>
      <c r="J263" s="137"/>
      <c r="K263" s="137"/>
      <c r="L263" s="137"/>
      <c r="M263" s="137"/>
      <c r="N263" s="137"/>
      <c r="O263" s="137"/>
      <c r="P263" s="137"/>
      <c r="Q263" s="137"/>
      <c r="R263" s="137"/>
      <c r="S263" s="137"/>
      <c r="T263" s="137"/>
      <c r="U263" s="138"/>
      <c r="W263" s="35" t="str">
        <f>"-- "&amp;C263</f>
        <v>-- セレクト_患者基本データからデータを抽出し、観察期間ごとのN数_ハイリスク3種を取得する。</v>
      </c>
    </row>
    <row r="265" spans="1:23" ht="18.75" customHeight="1">
      <c r="C265" s="139" t="s">
        <v>4321</v>
      </c>
      <c r="D265" s="140"/>
      <c r="E265" s="145" t="str">
        <f>エンティティ一覧!$O$2</f>
        <v>milscm_2023_009</v>
      </c>
      <c r="F265" s="36"/>
      <c r="G265" s="36"/>
      <c r="H265" s="36"/>
      <c r="I265" s="94"/>
      <c r="J265" s="94"/>
      <c r="K265" s="94"/>
      <c r="L265" s="36"/>
      <c r="M265" s="36"/>
      <c r="N265" s="36"/>
      <c r="O265" s="36"/>
      <c r="R265" s="139" t="s">
        <v>4382</v>
      </c>
      <c r="S265" s="140"/>
      <c r="T265" s="145" t="s">
        <v>3799</v>
      </c>
    </row>
    <row r="266" spans="1:23" ht="18.75" customHeight="1">
      <c r="C266" s="141"/>
      <c r="D266" s="142"/>
      <c r="E266" s="146"/>
      <c r="F266" s="37"/>
      <c r="G266" s="37"/>
      <c r="H266" s="37"/>
      <c r="I266" s="38"/>
      <c r="J266" s="37"/>
      <c r="K266" s="37"/>
      <c r="L266" s="37"/>
      <c r="M266" s="37"/>
      <c r="N266" s="37"/>
      <c r="O266" s="37"/>
      <c r="P266" s="37"/>
      <c r="Q266" s="37"/>
      <c r="R266" s="141"/>
      <c r="S266" s="142"/>
      <c r="T266" s="146"/>
    </row>
    <row r="267" spans="1:23" ht="18.75" customHeight="1">
      <c r="F267" s="94"/>
      <c r="G267" s="94"/>
      <c r="H267" s="94"/>
      <c r="I267" s="41"/>
      <c r="J267" s="94"/>
      <c r="K267" s="94"/>
      <c r="L267" s="94"/>
      <c r="M267" s="94"/>
      <c r="N267" s="94"/>
      <c r="O267" s="94"/>
      <c r="P267" s="101"/>
      <c r="Q267" s="101"/>
    </row>
    <row r="268" spans="1:23" ht="18.75" customHeight="1">
      <c r="C268" s="139" t="s">
        <v>4369</v>
      </c>
      <c r="D268" s="140"/>
      <c r="E268" s="145" t="str">
        <f>エンティティ一覧!$O$2</f>
        <v>milscm_2023_009</v>
      </c>
      <c r="F268" s="36"/>
      <c r="G268" s="36"/>
      <c r="H268" s="36"/>
      <c r="I268" s="41"/>
      <c r="J268" s="94"/>
      <c r="K268" s="94"/>
      <c r="L268" s="94"/>
      <c r="M268" s="94"/>
      <c r="N268" s="94"/>
      <c r="O268" s="94"/>
      <c r="P268" s="94"/>
      <c r="Q268" s="94"/>
    </row>
    <row r="269" spans="1:23" ht="18.75" customHeight="1">
      <c r="C269" s="141"/>
      <c r="D269" s="142"/>
      <c r="E269" s="146"/>
      <c r="K269" s="94"/>
      <c r="L269" s="94"/>
      <c r="M269" s="94"/>
      <c r="N269" s="94"/>
      <c r="O269" s="94"/>
      <c r="P269" s="94"/>
    </row>
    <row r="271" spans="1:23" ht="18.75" customHeight="1" thickBot="1">
      <c r="B271" s="42"/>
      <c r="C271" s="42"/>
      <c r="D271" s="42"/>
      <c r="E271" s="42"/>
      <c r="F271" s="42"/>
      <c r="G271" s="42"/>
      <c r="H271" s="42"/>
      <c r="I271" s="42"/>
      <c r="J271" s="42"/>
      <c r="K271" s="42"/>
      <c r="L271" s="42"/>
      <c r="M271" s="42"/>
      <c r="N271" s="42"/>
      <c r="O271" s="42"/>
      <c r="P271" s="42"/>
      <c r="Q271" s="42"/>
      <c r="R271" s="42"/>
      <c r="S271" s="42"/>
      <c r="T271" s="42"/>
      <c r="U271" s="42"/>
    </row>
    <row r="273" spans="1:23" ht="18.75" customHeight="1">
      <c r="A273" s="77"/>
      <c r="B273" s="43" t="s">
        <v>163</v>
      </c>
      <c r="C273" s="51" t="s">
        <v>4411</v>
      </c>
      <c r="D273" s="120"/>
      <c r="W273" s="35" t="str">
        <f>"-- "&amp;B273&amp;" : "&amp;C273</f>
        <v>-- SQL_ID : 52_25</v>
      </c>
    </row>
    <row r="274" spans="1:23" ht="18.75" customHeight="1">
      <c r="B274" s="43" t="s">
        <v>158</v>
      </c>
      <c r="C274" s="147" t="str">
        <f>R277&amp;"_取得"</f>
        <v>年齢ごとのN数_ハイリスク3種_取得</v>
      </c>
      <c r="D274" s="148"/>
      <c r="E274" s="148"/>
      <c r="F274" s="148"/>
      <c r="G274" s="148"/>
      <c r="H274" s="148"/>
      <c r="I274" s="148"/>
      <c r="J274" s="148"/>
      <c r="K274" s="148"/>
      <c r="L274" s="148"/>
      <c r="M274" s="148"/>
      <c r="N274" s="148"/>
      <c r="O274" s="148"/>
      <c r="P274" s="148"/>
      <c r="Q274" s="148"/>
      <c r="R274" s="148"/>
      <c r="S274" s="148"/>
      <c r="T274" s="148"/>
      <c r="U274" s="149"/>
      <c r="W274" s="35" t="str">
        <f>"-- "&amp;C274</f>
        <v>-- 年齢ごとのN数_ハイリスク3種_取得</v>
      </c>
    </row>
    <row r="275" spans="1:23" ht="18.75" customHeight="1">
      <c r="B275" s="43" t="s">
        <v>159</v>
      </c>
      <c r="C275" s="136" t="str">
        <f>C277&amp;"からデータを抽出し、"&amp;R277&amp;"を取得する。"</f>
        <v>セレクト_患者基本データからデータを抽出し、年齢ごとのN数_ハイリスク3種を取得する。</v>
      </c>
      <c r="D275" s="137"/>
      <c r="E275" s="137"/>
      <c r="F275" s="137"/>
      <c r="G275" s="137"/>
      <c r="H275" s="137"/>
      <c r="I275" s="137"/>
      <c r="J275" s="137"/>
      <c r="K275" s="137"/>
      <c r="L275" s="137"/>
      <c r="M275" s="137"/>
      <c r="N275" s="137"/>
      <c r="O275" s="137"/>
      <c r="P275" s="137"/>
      <c r="Q275" s="137"/>
      <c r="R275" s="137"/>
      <c r="S275" s="137"/>
      <c r="T275" s="137"/>
      <c r="U275" s="138"/>
      <c r="W275" s="35" t="str">
        <f>"-- "&amp;C275</f>
        <v>-- セレクト_患者基本データからデータを抽出し、年齢ごとのN数_ハイリスク3種を取得する。</v>
      </c>
    </row>
    <row r="277" spans="1:23" ht="18.75" customHeight="1">
      <c r="C277" s="139" t="s">
        <v>4321</v>
      </c>
      <c r="D277" s="140"/>
      <c r="E277" s="145" t="str">
        <f>エンティティ一覧!$O$2</f>
        <v>milscm_2023_009</v>
      </c>
      <c r="F277" s="36"/>
      <c r="G277" s="36"/>
      <c r="H277" s="36"/>
      <c r="I277" s="94"/>
      <c r="J277" s="94"/>
      <c r="K277" s="94"/>
      <c r="L277" s="36"/>
      <c r="M277" s="36"/>
      <c r="N277" s="36"/>
      <c r="O277" s="36"/>
      <c r="R277" s="139" t="s">
        <v>4383</v>
      </c>
      <c r="S277" s="140"/>
      <c r="T277" s="145" t="s">
        <v>3799</v>
      </c>
    </row>
    <row r="278" spans="1:23" ht="18.75" customHeight="1">
      <c r="C278" s="141"/>
      <c r="D278" s="142"/>
      <c r="E278" s="146"/>
      <c r="F278" s="37"/>
      <c r="G278" s="37"/>
      <c r="H278" s="37"/>
      <c r="I278" s="38"/>
      <c r="J278" s="37"/>
      <c r="K278" s="37"/>
      <c r="L278" s="37"/>
      <c r="M278" s="37"/>
      <c r="N278" s="37"/>
      <c r="O278" s="37"/>
      <c r="P278" s="37"/>
      <c r="Q278" s="37"/>
      <c r="R278" s="141"/>
      <c r="S278" s="142"/>
      <c r="T278" s="146"/>
    </row>
    <row r="279" spans="1:23" ht="18.75" customHeight="1">
      <c r="F279" s="94"/>
      <c r="G279" s="94"/>
      <c r="H279" s="94"/>
      <c r="I279" s="41"/>
      <c r="J279" s="94"/>
      <c r="K279" s="94"/>
      <c r="L279" s="94"/>
      <c r="M279" s="94"/>
      <c r="N279" s="94"/>
      <c r="O279" s="94"/>
      <c r="P279" s="101"/>
      <c r="Q279" s="101"/>
    </row>
    <row r="280" spans="1:23" ht="18.75" customHeight="1">
      <c r="C280" s="139" t="s">
        <v>4369</v>
      </c>
      <c r="D280" s="140"/>
      <c r="E280" s="145" t="str">
        <f>エンティティ一覧!$O$2</f>
        <v>milscm_2023_009</v>
      </c>
      <c r="F280" s="36"/>
      <c r="G280" s="36"/>
      <c r="H280" s="36"/>
      <c r="I280" s="41"/>
      <c r="J280" s="94"/>
      <c r="K280" s="94"/>
      <c r="L280" s="94"/>
      <c r="M280" s="94"/>
      <c r="N280" s="94"/>
      <c r="O280" s="94"/>
      <c r="P280" s="94"/>
      <c r="Q280" s="94"/>
    </row>
    <row r="281" spans="1:23" ht="18.75" customHeight="1">
      <c r="C281" s="141"/>
      <c r="D281" s="142"/>
      <c r="E281" s="146"/>
      <c r="K281" s="94"/>
      <c r="L281" s="94"/>
      <c r="M281" s="94"/>
      <c r="N281" s="94"/>
      <c r="O281" s="94"/>
      <c r="P281" s="94"/>
    </row>
    <row r="283" spans="1: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1:23" ht="18.75" customHeight="1">
      <c r="A285" s="77"/>
      <c r="B285" s="43" t="s">
        <v>163</v>
      </c>
      <c r="C285" s="51" t="s">
        <v>4423</v>
      </c>
      <c r="D285" s="120"/>
      <c r="W285" s="35" t="str">
        <f>"-- "&amp;B285&amp;" : "&amp;C285</f>
        <v>-- SQL_ID : 52_26</v>
      </c>
    </row>
    <row r="286" spans="1:23" ht="18.75" customHeight="1">
      <c r="B286" s="43" t="s">
        <v>158</v>
      </c>
      <c r="C286" s="147" t="str">
        <f>R289&amp;"_取得"</f>
        <v>性別ごとのN数_ハイリスク3種_取得</v>
      </c>
      <c r="D286" s="148"/>
      <c r="E286" s="148"/>
      <c r="F286" s="148"/>
      <c r="G286" s="148"/>
      <c r="H286" s="148"/>
      <c r="I286" s="148"/>
      <c r="J286" s="148"/>
      <c r="K286" s="148"/>
      <c r="L286" s="148"/>
      <c r="M286" s="148"/>
      <c r="N286" s="148"/>
      <c r="O286" s="148"/>
      <c r="P286" s="148"/>
      <c r="Q286" s="148"/>
      <c r="R286" s="148"/>
      <c r="S286" s="148"/>
      <c r="T286" s="148"/>
      <c r="U286" s="149"/>
      <c r="W286" s="35" t="str">
        <f>"-- "&amp;C286</f>
        <v>-- 性別ごとのN数_ハイリスク3種_取得</v>
      </c>
    </row>
    <row r="287" spans="1:23" ht="18.75" customHeight="1">
      <c r="B287" s="43" t="s">
        <v>159</v>
      </c>
      <c r="C287" s="136" t="str">
        <f>C289&amp;"からデータを抽出し、"&amp;R289&amp;"を取得する。"</f>
        <v>セレクト_患者基本データからデータを抽出し、性別ごとのN数_ハイリスク3種を取得する。</v>
      </c>
      <c r="D287" s="137"/>
      <c r="E287" s="137"/>
      <c r="F287" s="137"/>
      <c r="G287" s="137"/>
      <c r="H287" s="137"/>
      <c r="I287" s="137"/>
      <c r="J287" s="137"/>
      <c r="K287" s="137"/>
      <c r="L287" s="137"/>
      <c r="M287" s="137"/>
      <c r="N287" s="137"/>
      <c r="O287" s="137"/>
      <c r="P287" s="137"/>
      <c r="Q287" s="137"/>
      <c r="R287" s="137"/>
      <c r="S287" s="137"/>
      <c r="T287" s="137"/>
      <c r="U287" s="138"/>
      <c r="W287" s="35" t="str">
        <f>"-- "&amp;C287</f>
        <v>-- セレクト_患者基本データからデータを抽出し、性別ごとのN数_ハイリスク3種を取得する。</v>
      </c>
    </row>
    <row r="289" spans="1:23" ht="18.75" customHeight="1">
      <c r="C289" s="139" t="s">
        <v>4321</v>
      </c>
      <c r="D289" s="140"/>
      <c r="E289" s="145" t="str">
        <f>エンティティ一覧!$O$2</f>
        <v>milscm_2023_009</v>
      </c>
      <c r="F289" s="36"/>
      <c r="G289" s="36"/>
      <c r="H289" s="36"/>
      <c r="I289" s="94"/>
      <c r="J289" s="94"/>
      <c r="K289" s="94"/>
      <c r="L289" s="36"/>
      <c r="M289" s="36"/>
      <c r="N289" s="36"/>
      <c r="O289" s="36"/>
      <c r="R289" s="139" t="s">
        <v>4384</v>
      </c>
      <c r="S289" s="140"/>
      <c r="T289" s="145" t="s">
        <v>3799</v>
      </c>
    </row>
    <row r="290" spans="1:23" ht="18.75" customHeight="1">
      <c r="C290" s="141"/>
      <c r="D290" s="142"/>
      <c r="E290" s="146"/>
      <c r="F290" s="37"/>
      <c r="G290" s="37"/>
      <c r="H290" s="37"/>
      <c r="I290" s="38"/>
      <c r="J290" s="37"/>
      <c r="K290" s="37"/>
      <c r="L290" s="37"/>
      <c r="M290" s="37"/>
      <c r="N290" s="37"/>
      <c r="O290" s="37"/>
      <c r="P290" s="37"/>
      <c r="Q290" s="37"/>
      <c r="R290" s="141"/>
      <c r="S290" s="142"/>
      <c r="T290" s="146"/>
    </row>
    <row r="291" spans="1:23" ht="18.75" customHeight="1">
      <c r="F291" s="94"/>
      <c r="G291" s="94"/>
      <c r="H291" s="94"/>
      <c r="I291" s="41"/>
      <c r="J291" s="94"/>
      <c r="K291" s="94"/>
      <c r="L291" s="94"/>
      <c r="M291" s="94"/>
      <c r="N291" s="94"/>
      <c r="O291" s="94"/>
      <c r="P291" s="101"/>
      <c r="Q291" s="101"/>
    </row>
    <row r="292" spans="1:23" ht="18.75" customHeight="1">
      <c r="C292" s="139" t="s">
        <v>4369</v>
      </c>
      <c r="D292" s="140"/>
      <c r="E292" s="145" t="str">
        <f>エンティティ一覧!$O$2</f>
        <v>milscm_2023_009</v>
      </c>
      <c r="F292" s="36"/>
      <c r="G292" s="36"/>
      <c r="H292" s="36"/>
      <c r="I292" s="41"/>
      <c r="J292" s="94"/>
      <c r="K292" s="94"/>
      <c r="L292" s="94"/>
      <c r="M292" s="94"/>
      <c r="N292" s="94"/>
      <c r="O292" s="94"/>
      <c r="P292" s="94"/>
      <c r="Q292" s="94"/>
    </row>
    <row r="293" spans="1:23" ht="18.75" customHeight="1">
      <c r="C293" s="141"/>
      <c r="D293" s="142"/>
      <c r="E293" s="146"/>
      <c r="K293" s="94"/>
      <c r="L293" s="94"/>
      <c r="M293" s="94"/>
      <c r="N293" s="94"/>
      <c r="O293" s="94"/>
      <c r="P293" s="94"/>
    </row>
    <row r="295" spans="1: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1:23" ht="18.75" customHeight="1">
      <c r="A297" s="77"/>
      <c r="B297" s="43" t="s">
        <v>163</v>
      </c>
      <c r="C297" s="51" t="s">
        <v>4425</v>
      </c>
      <c r="D297" s="120"/>
      <c r="W297" s="35" t="str">
        <f>"-- "&amp;B297&amp;" : "&amp;C297</f>
        <v>-- SQL_ID : 52_27</v>
      </c>
    </row>
    <row r="298" spans="1:23" ht="18.75" customHeight="1">
      <c r="B298" s="43" t="s">
        <v>158</v>
      </c>
      <c r="C298" s="147" t="str">
        <f>R301&amp;"_取得"</f>
        <v>lookback期間ごとのN数_ハイリスク3種_取得</v>
      </c>
      <c r="D298" s="148"/>
      <c r="E298" s="148"/>
      <c r="F298" s="148"/>
      <c r="G298" s="148"/>
      <c r="H298" s="148"/>
      <c r="I298" s="148"/>
      <c r="J298" s="148"/>
      <c r="K298" s="148"/>
      <c r="L298" s="148"/>
      <c r="M298" s="148"/>
      <c r="N298" s="148"/>
      <c r="O298" s="148"/>
      <c r="P298" s="148"/>
      <c r="Q298" s="148"/>
      <c r="R298" s="148"/>
      <c r="S298" s="148"/>
      <c r="T298" s="148"/>
      <c r="U298" s="149"/>
      <c r="W298" s="35" t="str">
        <f>"-- "&amp;C298</f>
        <v>-- lookback期間ごとのN数_ハイリスク3種_取得</v>
      </c>
    </row>
    <row r="299" spans="1:23" ht="18.75" customHeight="1">
      <c r="B299" s="43" t="s">
        <v>159</v>
      </c>
      <c r="C299" s="136" t="str">
        <f>C301&amp;"からデータを抽出し、"&amp;R301&amp;"を取得する。"</f>
        <v>セレクト_患者基本データからデータを抽出し、lookback期間ごとのN数_ハイリスク3種を取得する。</v>
      </c>
      <c r="D299" s="137"/>
      <c r="E299" s="137"/>
      <c r="F299" s="137"/>
      <c r="G299" s="137"/>
      <c r="H299" s="137"/>
      <c r="I299" s="137"/>
      <c r="J299" s="137"/>
      <c r="K299" s="137"/>
      <c r="L299" s="137"/>
      <c r="M299" s="137"/>
      <c r="N299" s="137"/>
      <c r="O299" s="137"/>
      <c r="P299" s="137"/>
      <c r="Q299" s="137"/>
      <c r="R299" s="137"/>
      <c r="S299" s="137"/>
      <c r="T299" s="137"/>
      <c r="U299" s="138"/>
      <c r="W299" s="35" t="str">
        <f>"-- "&amp;C299</f>
        <v>-- セレクト_患者基本データからデータを抽出し、lookback期間ごとのN数_ハイリスク3種を取得する。</v>
      </c>
    </row>
    <row r="301" spans="1:23" ht="18.75" customHeight="1">
      <c r="C301" s="139" t="s">
        <v>4321</v>
      </c>
      <c r="D301" s="140"/>
      <c r="E301" s="145" t="str">
        <f>エンティティ一覧!$O$2</f>
        <v>milscm_2023_009</v>
      </c>
      <c r="F301" s="36"/>
      <c r="G301" s="94"/>
      <c r="H301" s="94"/>
      <c r="I301" s="94"/>
      <c r="J301" s="94"/>
      <c r="K301" s="94"/>
      <c r="L301" s="36"/>
      <c r="M301" s="36"/>
      <c r="N301" s="36"/>
      <c r="O301" s="36"/>
      <c r="R301" s="139" t="s">
        <v>4385</v>
      </c>
      <c r="S301" s="140"/>
      <c r="T301" s="145" t="s">
        <v>3799</v>
      </c>
    </row>
    <row r="302" spans="1:23" ht="18.75" customHeight="1">
      <c r="C302" s="141"/>
      <c r="D302" s="142"/>
      <c r="E302" s="146"/>
      <c r="F302" s="97"/>
      <c r="G302" s="37"/>
      <c r="H302" s="37"/>
      <c r="I302" s="37"/>
      <c r="J302" s="37"/>
      <c r="K302" s="97"/>
      <c r="L302" s="37"/>
      <c r="M302" s="37"/>
      <c r="N302" s="37"/>
      <c r="O302" s="37"/>
      <c r="P302" s="37"/>
      <c r="Q302" s="37"/>
      <c r="R302" s="141"/>
      <c r="S302" s="142"/>
      <c r="T302" s="146"/>
    </row>
    <row r="303" spans="1:23" ht="18.75" customHeight="1">
      <c r="C303" s="124"/>
      <c r="D303" s="124"/>
      <c r="E303" s="124"/>
      <c r="F303" s="104"/>
      <c r="G303" s="94"/>
      <c r="H303" s="94"/>
      <c r="I303" s="94"/>
      <c r="J303" s="94"/>
      <c r="K303" s="104"/>
      <c r="L303" s="94"/>
      <c r="M303" s="94"/>
      <c r="N303" s="94"/>
      <c r="O303" s="94"/>
      <c r="P303" s="94"/>
      <c r="Q303" s="94"/>
      <c r="R303" s="124"/>
      <c r="S303" s="124"/>
      <c r="T303" s="124"/>
    </row>
    <row r="304" spans="1:23" ht="18.75" customHeight="1">
      <c r="C304" s="139" t="s">
        <v>4089</v>
      </c>
      <c r="D304" s="140"/>
      <c r="E304" s="145" t="str">
        <f>エンティティ一覧!$O$2</f>
        <v>milscm_2023_009</v>
      </c>
      <c r="F304" s="105"/>
      <c r="G304" s="94"/>
      <c r="H304" s="94"/>
      <c r="I304" s="94"/>
      <c r="J304" s="94"/>
      <c r="K304" s="104"/>
      <c r="L304" s="94"/>
      <c r="M304" s="94"/>
      <c r="N304" s="94"/>
      <c r="O304" s="94"/>
      <c r="P304" s="94"/>
      <c r="Q304" s="94"/>
      <c r="R304" s="124"/>
      <c r="S304" s="124"/>
      <c r="T304" s="124"/>
    </row>
    <row r="305" spans="1:23" ht="18.75" customHeight="1">
      <c r="C305" s="141"/>
      <c r="D305" s="142"/>
      <c r="E305" s="146"/>
      <c r="F305" s="94"/>
      <c r="G305" s="94"/>
      <c r="H305" s="94"/>
      <c r="I305" s="94"/>
      <c r="J305" s="94"/>
      <c r="K305" s="104"/>
      <c r="L305" s="94"/>
      <c r="M305" s="94"/>
      <c r="N305" s="94"/>
      <c r="O305" s="94"/>
      <c r="P305" s="94"/>
      <c r="Q305" s="94"/>
      <c r="R305" s="124"/>
      <c r="S305" s="124"/>
      <c r="T305" s="124"/>
    </row>
    <row r="306" spans="1:23" ht="18.75" customHeight="1">
      <c r="F306" s="94"/>
      <c r="G306" s="94"/>
      <c r="H306" s="94"/>
      <c r="I306" s="94"/>
      <c r="J306" s="94"/>
      <c r="K306" s="104"/>
      <c r="L306" s="94"/>
      <c r="M306" s="94"/>
      <c r="N306" s="94"/>
      <c r="O306" s="94"/>
      <c r="P306" s="101"/>
      <c r="Q306" s="101"/>
    </row>
    <row r="307" spans="1:23" ht="18.75" customHeight="1">
      <c r="C307" s="139" t="s">
        <v>4369</v>
      </c>
      <c r="D307" s="140"/>
      <c r="E307" s="145" t="str">
        <f>エンティティ一覧!$O$2</f>
        <v>milscm_2023_009</v>
      </c>
      <c r="F307" s="36"/>
      <c r="G307" s="36"/>
      <c r="H307" s="36"/>
      <c r="I307" s="36"/>
      <c r="J307" s="36"/>
      <c r="K307" s="105"/>
      <c r="L307" s="94"/>
      <c r="M307" s="94"/>
      <c r="N307" s="94"/>
      <c r="O307" s="94"/>
      <c r="P307" s="94"/>
      <c r="Q307" s="94"/>
    </row>
    <row r="308" spans="1:23" ht="18.75" customHeight="1">
      <c r="C308" s="141"/>
      <c r="D308" s="142"/>
      <c r="E308" s="146"/>
      <c r="K308" s="94"/>
      <c r="L308" s="94"/>
      <c r="M308" s="94"/>
      <c r="N308" s="94"/>
      <c r="O308" s="94"/>
      <c r="P308" s="94"/>
    </row>
    <row r="310" spans="1: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1:23" ht="18.75" customHeight="1">
      <c r="A312" s="77"/>
      <c r="B312" s="43" t="s">
        <v>163</v>
      </c>
      <c r="C312" s="51" t="s">
        <v>4426</v>
      </c>
      <c r="D312" s="121"/>
      <c r="W312" s="35" t="str">
        <f>"-- "&amp;B312&amp;" : "&amp;C312</f>
        <v>-- SQL_ID : 52_28</v>
      </c>
    </row>
    <row r="313" spans="1:23" ht="18.75" customHeight="1">
      <c r="B313" s="43" t="s">
        <v>158</v>
      </c>
      <c r="C313" s="147" t="str">
        <f>R316&amp;"_取得"</f>
        <v>index_dateまでの期間ごとのN数_ハイリスク3種_取得</v>
      </c>
      <c r="D313" s="148"/>
      <c r="E313" s="148"/>
      <c r="F313" s="148"/>
      <c r="G313" s="148"/>
      <c r="H313" s="148"/>
      <c r="I313" s="148"/>
      <c r="J313" s="148"/>
      <c r="K313" s="148"/>
      <c r="L313" s="148"/>
      <c r="M313" s="148"/>
      <c r="N313" s="148"/>
      <c r="O313" s="148"/>
      <c r="P313" s="148"/>
      <c r="Q313" s="148"/>
      <c r="R313" s="148"/>
      <c r="S313" s="148"/>
      <c r="T313" s="148"/>
      <c r="U313" s="149"/>
      <c r="W313" s="35" t="str">
        <f>"-- "&amp;C313</f>
        <v>-- index_dateまでの期間ごとのN数_ハイリスク3種_取得</v>
      </c>
    </row>
    <row r="314" spans="1:23" ht="18.75" customHeight="1">
      <c r="B314" s="43" t="s">
        <v>159</v>
      </c>
      <c r="C314" s="136" t="str">
        <f>C316&amp;"からデータを抽出し、"&amp;R316&amp;"を取得する。"</f>
        <v>セレクト_患者基本データからデータを抽出し、index_dateまでの期間ごとのN数_ハイリスク3種を取得する。</v>
      </c>
      <c r="D314" s="137"/>
      <c r="E314" s="137"/>
      <c r="F314" s="137"/>
      <c r="G314" s="137"/>
      <c r="H314" s="137"/>
      <c r="I314" s="137"/>
      <c r="J314" s="137"/>
      <c r="K314" s="137"/>
      <c r="L314" s="137"/>
      <c r="M314" s="137"/>
      <c r="N314" s="137"/>
      <c r="O314" s="137"/>
      <c r="P314" s="137"/>
      <c r="Q314" s="137"/>
      <c r="R314" s="137"/>
      <c r="S314" s="137"/>
      <c r="T314" s="137"/>
      <c r="U314" s="138"/>
      <c r="W314" s="35" t="str">
        <f>"-- "&amp;C314</f>
        <v>-- セレクト_患者基本データからデータを抽出し、index_dateまでの期間ごとのN数_ハイリスク3種を取得する。</v>
      </c>
    </row>
    <row r="316" spans="1:23" ht="18.75" customHeight="1">
      <c r="C316" s="139" t="s">
        <v>4321</v>
      </c>
      <c r="D316" s="140"/>
      <c r="E316" s="145" t="str">
        <f>エンティティ一覧!$O$2</f>
        <v>milscm_2023_009</v>
      </c>
      <c r="F316" s="36"/>
      <c r="G316" s="94"/>
      <c r="H316" s="94"/>
      <c r="I316" s="94"/>
      <c r="J316" s="94"/>
      <c r="K316" s="94"/>
      <c r="L316" s="36"/>
      <c r="M316" s="36"/>
      <c r="N316" s="36"/>
      <c r="O316" s="36"/>
      <c r="R316" s="139" t="s">
        <v>4427</v>
      </c>
      <c r="S316" s="140"/>
      <c r="T316" s="145" t="s">
        <v>3799</v>
      </c>
    </row>
    <row r="317" spans="1:23" ht="18.75" customHeight="1">
      <c r="C317" s="141"/>
      <c r="D317" s="142"/>
      <c r="E317" s="146"/>
      <c r="F317" s="37"/>
      <c r="G317" s="37"/>
      <c r="H317" s="37"/>
      <c r="I317" s="38"/>
      <c r="J317" s="37"/>
      <c r="K317" s="97"/>
      <c r="L317" s="37"/>
      <c r="M317" s="37"/>
      <c r="N317" s="37"/>
      <c r="O317" s="37"/>
      <c r="P317" s="37"/>
      <c r="Q317" s="37"/>
      <c r="R317" s="141"/>
      <c r="S317" s="142"/>
      <c r="T317" s="146"/>
    </row>
    <row r="318" spans="1:23" ht="18.75" customHeight="1">
      <c r="F318" s="94"/>
      <c r="G318" s="94"/>
      <c r="H318" s="94"/>
      <c r="I318" s="41"/>
      <c r="J318" s="94"/>
      <c r="K318" s="94"/>
      <c r="L318" s="41"/>
      <c r="M318" s="94"/>
      <c r="N318" s="94"/>
      <c r="O318" s="94"/>
      <c r="P318" s="101"/>
      <c r="Q318" s="101"/>
    </row>
    <row r="319" spans="1:23" ht="18.75" customHeight="1">
      <c r="C319" s="139" t="s">
        <v>4369</v>
      </c>
      <c r="D319" s="140"/>
      <c r="E319" s="145" t="str">
        <f>エンティティ一覧!$O$2</f>
        <v>milscm_2023_009</v>
      </c>
      <c r="F319" s="36"/>
      <c r="G319" s="36"/>
      <c r="H319" s="36"/>
      <c r="I319" s="41"/>
      <c r="J319" s="94"/>
      <c r="K319" s="94"/>
      <c r="L319" s="41"/>
      <c r="M319" s="94"/>
      <c r="N319" s="94"/>
      <c r="O319" s="94"/>
      <c r="P319" s="94"/>
      <c r="Q319" s="94"/>
    </row>
    <row r="320" spans="1:23" ht="18.75" customHeight="1">
      <c r="C320" s="141"/>
      <c r="D320" s="142"/>
      <c r="E320" s="146"/>
      <c r="K320" s="94"/>
      <c r="L320" s="41"/>
      <c r="M320" s="94"/>
      <c r="N320" s="94"/>
      <c r="O320" s="94"/>
      <c r="P320" s="94"/>
    </row>
    <row r="321" spans="1:23" ht="18.75" customHeight="1">
      <c r="C321" s="124"/>
      <c r="D321" s="124"/>
      <c r="E321" s="124"/>
      <c r="F321" s="94"/>
      <c r="G321" s="94"/>
      <c r="H321" s="94"/>
      <c r="I321" s="94"/>
      <c r="J321" s="94"/>
      <c r="K321" s="104"/>
      <c r="L321" s="94"/>
      <c r="M321" s="94"/>
      <c r="N321" s="94"/>
      <c r="O321" s="94"/>
      <c r="P321" s="94"/>
      <c r="Q321" s="94"/>
      <c r="R321" s="124"/>
      <c r="S321" s="124"/>
      <c r="T321" s="124"/>
    </row>
    <row r="322" spans="1:23" ht="18.75" customHeight="1">
      <c r="C322" s="139" t="s">
        <v>4310</v>
      </c>
      <c r="D322" s="140"/>
      <c r="E322" s="145" t="str">
        <f>エンティティ一覧!$O$2</f>
        <v>milscm_2023_009</v>
      </c>
      <c r="F322" s="36"/>
      <c r="G322" s="36"/>
      <c r="H322" s="36"/>
      <c r="I322" s="36"/>
      <c r="J322" s="36"/>
      <c r="K322" s="105"/>
      <c r="L322" s="94"/>
      <c r="M322" s="94"/>
      <c r="N322" s="94"/>
      <c r="O322" s="94"/>
      <c r="P322" s="94"/>
      <c r="Q322" s="94"/>
      <c r="R322" s="124"/>
      <c r="S322" s="124"/>
      <c r="T322" s="124"/>
    </row>
    <row r="323" spans="1:23" ht="18.75" customHeight="1">
      <c r="C323" s="141"/>
      <c r="D323" s="142"/>
      <c r="E323" s="146"/>
      <c r="F323" s="94"/>
      <c r="G323" s="94"/>
      <c r="H323" s="94"/>
      <c r="I323" s="94"/>
      <c r="J323" s="94"/>
      <c r="K323" s="94"/>
      <c r="L323" s="94"/>
      <c r="M323" s="94"/>
      <c r="N323" s="94"/>
      <c r="O323" s="94"/>
      <c r="P323" s="94"/>
      <c r="Q323" s="94"/>
      <c r="R323" s="124"/>
      <c r="S323" s="124"/>
      <c r="T323" s="124"/>
    </row>
    <row r="325" spans="1: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1:23" ht="18.75" customHeight="1">
      <c r="A327" s="77"/>
      <c r="B327" s="43" t="s">
        <v>163</v>
      </c>
      <c r="C327" s="51" t="s">
        <v>4566</v>
      </c>
      <c r="D327" s="130"/>
      <c r="W327" s="35" t="str">
        <f>"-- "&amp;B327&amp;" : "&amp;C327</f>
        <v>-- SQL_ID : 52_29</v>
      </c>
    </row>
    <row r="328" spans="1:23" ht="18.75" customHeight="1">
      <c r="B328" s="43" t="s">
        <v>158</v>
      </c>
      <c r="C328" s="147" t="str">
        <f>R331&amp;"_登録"</f>
        <v>ステップ1報告_疾患データ_登録</v>
      </c>
      <c r="D328" s="148"/>
      <c r="E328" s="148"/>
      <c r="F328" s="148"/>
      <c r="G328" s="148"/>
      <c r="H328" s="148"/>
      <c r="I328" s="148"/>
      <c r="J328" s="148"/>
      <c r="K328" s="148"/>
      <c r="L328" s="148"/>
      <c r="M328" s="148"/>
      <c r="N328" s="148"/>
      <c r="O328" s="148"/>
      <c r="P328" s="148"/>
      <c r="Q328" s="148"/>
      <c r="R328" s="148"/>
      <c r="S328" s="148"/>
      <c r="T328" s="148"/>
      <c r="U328" s="149"/>
      <c r="W328" s="35" t="str">
        <f>"-- "&amp;C328</f>
        <v>-- ステップ1報告_疾患データ_登録</v>
      </c>
    </row>
    <row r="329" spans="1:23" ht="18.75" customHeight="1">
      <c r="B329" s="43" t="s">
        <v>159</v>
      </c>
      <c r="C329" s="136" t="str">
        <f>"MMLから対象データを抽出し、"&amp;R331&amp;"に格納する。"</f>
        <v>MMLから対象データを抽出し、ステップ1報告_疾患データに格納する。</v>
      </c>
      <c r="D329" s="137"/>
      <c r="E329" s="137"/>
      <c r="F329" s="137"/>
      <c r="G329" s="137"/>
      <c r="H329" s="137"/>
      <c r="I329" s="137"/>
      <c r="J329" s="137"/>
      <c r="K329" s="137"/>
      <c r="L329" s="137"/>
      <c r="M329" s="137"/>
      <c r="N329" s="137"/>
      <c r="O329" s="137"/>
      <c r="P329" s="137"/>
      <c r="Q329" s="137"/>
      <c r="R329" s="137"/>
      <c r="S329" s="137"/>
      <c r="T329" s="137"/>
      <c r="U329" s="138"/>
      <c r="W329" s="35" t="str">
        <f>"-- "&amp;C329</f>
        <v>-- MMLから対象データを抽出し、ステップ1報告_疾患データに格納する。</v>
      </c>
    </row>
    <row r="331" spans="1:23" ht="18.75" customHeight="1">
      <c r="C331" s="139" t="s">
        <v>3677</v>
      </c>
      <c r="D331" s="140"/>
      <c r="E331" s="145" t="str">
        <f>エンティティ一覧!$O$2</f>
        <v>milscm_2023_009</v>
      </c>
      <c r="F331" s="36"/>
      <c r="G331" s="94"/>
      <c r="H331" s="94"/>
      <c r="I331" s="94"/>
      <c r="J331" s="94"/>
      <c r="K331" s="94"/>
      <c r="L331" s="36"/>
      <c r="M331" s="36"/>
      <c r="N331" s="36"/>
      <c r="O331" s="36"/>
      <c r="R331" s="139" t="s">
        <v>4565</v>
      </c>
      <c r="S331" s="140"/>
      <c r="T331" s="145" t="str">
        <f>エンティティ一覧!$O$2</f>
        <v>milscm_2023_009</v>
      </c>
    </row>
    <row r="332" spans="1:23" ht="18.75" customHeight="1">
      <c r="C332" s="141"/>
      <c r="D332" s="142"/>
      <c r="E332" s="146"/>
      <c r="F332" s="37"/>
      <c r="G332" s="38"/>
      <c r="H332" s="37"/>
      <c r="I332" s="37"/>
      <c r="J332" s="38"/>
      <c r="K332" s="37"/>
      <c r="L332" s="37"/>
      <c r="M332" s="37"/>
      <c r="N332" s="97"/>
      <c r="O332" s="37"/>
      <c r="P332" s="97"/>
      <c r="Q332" s="37"/>
      <c r="R332" s="141"/>
      <c r="S332" s="142"/>
      <c r="T332" s="146"/>
    </row>
    <row r="333" spans="1:23" ht="18.75" customHeight="1">
      <c r="F333" s="94"/>
      <c r="G333" s="41"/>
      <c r="H333" s="94"/>
      <c r="I333" s="94"/>
      <c r="J333" s="41"/>
      <c r="K333" s="94"/>
      <c r="L333" s="94"/>
      <c r="M333" s="94"/>
      <c r="N333" s="104"/>
      <c r="O333" s="94"/>
      <c r="P333" s="128"/>
      <c r="Q333" s="101"/>
    </row>
    <row r="334" spans="1:23" ht="18.75" customHeight="1">
      <c r="C334" s="150" t="s">
        <v>4567</v>
      </c>
      <c r="D334" s="151"/>
      <c r="E334" s="145" t="str">
        <f>エンティティ一覧!$O$2</f>
        <v>milscm_2023_009</v>
      </c>
      <c r="F334" s="36"/>
      <c r="G334" s="41"/>
      <c r="H334" s="94"/>
      <c r="I334" s="94"/>
      <c r="J334" s="41"/>
      <c r="K334" s="94"/>
      <c r="L334" s="94"/>
      <c r="M334" s="94"/>
      <c r="N334" s="104"/>
      <c r="O334" s="94"/>
      <c r="P334" s="104"/>
      <c r="Q334" s="94"/>
    </row>
    <row r="335" spans="1:23" ht="18.75" customHeight="1">
      <c r="C335" s="152"/>
      <c r="D335" s="153"/>
      <c r="E335" s="146"/>
      <c r="F335" s="94"/>
      <c r="G335" s="94"/>
      <c r="H335" s="94"/>
      <c r="I335" s="94"/>
      <c r="J335" s="41"/>
      <c r="K335" s="94"/>
      <c r="L335" s="94"/>
      <c r="M335" s="94"/>
      <c r="N335" s="104"/>
      <c r="O335" s="94"/>
      <c r="P335" s="104"/>
    </row>
    <row r="336" spans="1:23" ht="18.75" customHeight="1">
      <c r="C336" s="124"/>
      <c r="D336" s="124"/>
      <c r="E336" s="124"/>
      <c r="F336" s="94"/>
      <c r="G336" s="94"/>
      <c r="H336" s="94"/>
      <c r="I336" s="94"/>
      <c r="J336" s="41"/>
      <c r="K336" s="94"/>
      <c r="L336" s="94"/>
      <c r="M336" s="94"/>
      <c r="N336" s="104"/>
      <c r="O336" s="94"/>
      <c r="P336" s="104"/>
      <c r="Q336" s="94"/>
      <c r="R336" s="124"/>
      <c r="S336" s="124"/>
      <c r="T336" s="124"/>
    </row>
    <row r="337" spans="3:20" ht="18.75" customHeight="1">
      <c r="C337" s="139" t="s">
        <v>4568</v>
      </c>
      <c r="D337" s="140"/>
      <c r="E337" s="145" t="str">
        <f>エンティティ一覧!$O$2</f>
        <v>milscm_2023_009</v>
      </c>
      <c r="F337" s="36"/>
      <c r="G337" s="36"/>
      <c r="H337" s="36"/>
      <c r="I337" s="36"/>
      <c r="J337" s="41"/>
      <c r="K337" s="94"/>
      <c r="L337" s="94"/>
      <c r="M337" s="94"/>
      <c r="N337" s="104"/>
      <c r="O337" s="94"/>
      <c r="P337" s="104"/>
      <c r="Q337" s="94"/>
      <c r="R337" s="124"/>
      <c r="S337" s="124"/>
      <c r="T337" s="124"/>
    </row>
    <row r="338" spans="3:20" ht="18.75" customHeight="1">
      <c r="C338" s="141"/>
      <c r="D338" s="142"/>
      <c r="E338" s="146"/>
      <c r="F338" s="94"/>
      <c r="G338" s="41"/>
      <c r="H338" s="94"/>
      <c r="I338" s="37"/>
      <c r="J338" s="94"/>
      <c r="K338" s="94"/>
      <c r="L338" s="94"/>
      <c r="M338" s="94"/>
      <c r="N338" s="104"/>
      <c r="O338" s="94"/>
      <c r="P338" s="104"/>
      <c r="Q338" s="94"/>
      <c r="R338" s="124"/>
      <c r="S338" s="124"/>
      <c r="T338" s="124"/>
    </row>
    <row r="339" spans="3:20" ht="18.75" customHeight="1">
      <c r="F339" s="94"/>
      <c r="G339" s="41"/>
      <c r="H339" s="94"/>
      <c r="I339" s="94"/>
      <c r="J339" s="94"/>
      <c r="K339" s="94"/>
      <c r="L339" s="94"/>
      <c r="M339" s="94"/>
      <c r="N339" s="104"/>
      <c r="O339" s="94"/>
      <c r="P339" s="128"/>
      <c r="Q339" s="101"/>
    </row>
    <row r="340" spans="3:20" ht="18.75" customHeight="1">
      <c r="C340" s="150" t="s">
        <v>4569</v>
      </c>
      <c r="D340" s="151"/>
      <c r="E340" s="145" t="str">
        <f>エンティティ一覧!$O$2</f>
        <v>milscm_2023_009</v>
      </c>
      <c r="F340" s="36"/>
      <c r="G340" s="41"/>
      <c r="H340" s="94"/>
      <c r="I340" s="94"/>
      <c r="J340" s="94"/>
      <c r="K340" s="94"/>
      <c r="L340" s="94"/>
      <c r="M340" s="94"/>
      <c r="N340" s="104"/>
      <c r="O340" s="94"/>
      <c r="P340" s="104"/>
      <c r="Q340" s="94"/>
    </row>
    <row r="341" spans="3:20" ht="18.75" customHeight="1">
      <c r="C341" s="152"/>
      <c r="D341" s="153"/>
      <c r="E341" s="146"/>
      <c r="F341" s="37"/>
      <c r="G341" s="41"/>
      <c r="H341" s="94"/>
      <c r="I341" s="94"/>
      <c r="J341" s="94"/>
      <c r="K341" s="94"/>
      <c r="L341" s="94"/>
      <c r="M341" s="94"/>
      <c r="N341" s="104"/>
      <c r="O341" s="94"/>
      <c r="P341" s="104"/>
    </row>
    <row r="342" spans="3:20" ht="18.75" customHeight="1">
      <c r="F342" s="94"/>
      <c r="G342" s="41"/>
      <c r="H342" s="117"/>
      <c r="I342" s="117"/>
      <c r="J342" s="117"/>
      <c r="K342" s="117"/>
      <c r="L342" s="117"/>
      <c r="M342" s="117"/>
      <c r="N342" s="135"/>
      <c r="O342" s="117"/>
      <c r="P342" s="135"/>
      <c r="Q342" s="101"/>
    </row>
    <row r="343" spans="3:20" ht="18.75" customHeight="1">
      <c r="C343" s="139" t="s">
        <v>3666</v>
      </c>
      <c r="D343" s="140"/>
      <c r="E343" s="143" t="s">
        <v>162</v>
      </c>
      <c r="F343" s="36"/>
      <c r="G343" s="41"/>
      <c r="H343" s="117"/>
      <c r="I343" s="117"/>
      <c r="J343" s="117"/>
      <c r="K343" s="117"/>
      <c r="L343" s="117"/>
      <c r="M343" s="117"/>
      <c r="N343" s="135"/>
      <c r="O343" s="117"/>
      <c r="P343" s="135"/>
      <c r="Q343" s="101"/>
    </row>
    <row r="344" spans="3:20" ht="18.75" customHeight="1">
      <c r="C344" s="141"/>
      <c r="D344" s="142"/>
      <c r="E344" s="144"/>
      <c r="F344" s="94"/>
      <c r="G344" s="94"/>
      <c r="H344" s="117"/>
      <c r="I344" s="117"/>
      <c r="J344" s="117"/>
      <c r="K344" s="117"/>
      <c r="L344" s="117"/>
      <c r="M344" s="117"/>
      <c r="N344" s="135"/>
      <c r="O344" s="117"/>
      <c r="P344" s="135"/>
      <c r="Q344" s="101"/>
    </row>
    <row r="345" spans="3:20" ht="18.75" customHeight="1">
      <c r="F345" s="94"/>
      <c r="G345" s="94"/>
      <c r="H345" s="94"/>
      <c r="I345" s="94"/>
      <c r="J345" s="94"/>
      <c r="K345" s="94"/>
      <c r="L345" s="94"/>
      <c r="M345" s="94"/>
      <c r="N345" s="104"/>
      <c r="O345" s="94"/>
      <c r="P345" s="104"/>
    </row>
    <row r="346" spans="3:20" ht="18.75" customHeight="1">
      <c r="C346" s="139" t="s">
        <v>178</v>
      </c>
      <c r="D346" s="140"/>
      <c r="E346" s="145" t="str">
        <f>エンティティ一覧!$O$2</f>
        <v>milscm_2023_009</v>
      </c>
      <c r="F346" s="36"/>
      <c r="G346" s="36"/>
      <c r="H346" s="36"/>
      <c r="I346" s="36"/>
      <c r="J346" s="36"/>
      <c r="K346" s="36"/>
      <c r="L346" s="36"/>
      <c r="M346" s="36"/>
      <c r="N346" s="105"/>
      <c r="O346" s="94"/>
      <c r="P346" s="104"/>
    </row>
    <row r="347" spans="3:20" ht="18.75" customHeight="1">
      <c r="C347" s="141"/>
      <c r="D347" s="142"/>
      <c r="E347" s="146"/>
      <c r="M347" s="94"/>
      <c r="N347" s="94"/>
      <c r="O347" s="94"/>
      <c r="P347" s="104"/>
    </row>
    <row r="348" spans="3:20" ht="18.75" customHeight="1">
      <c r="M348" s="94"/>
      <c r="N348" s="94"/>
      <c r="O348" s="94"/>
      <c r="P348" s="104"/>
    </row>
    <row r="349" spans="3:20" ht="18.75" customHeight="1">
      <c r="H349" s="139" t="s">
        <v>3732</v>
      </c>
      <c r="I349" s="140"/>
      <c r="J349" s="145" t="str">
        <f>エンティティ一覧!$O$2</f>
        <v>milscm_2023_009</v>
      </c>
      <c r="M349" s="36"/>
      <c r="N349" s="36"/>
      <c r="O349" s="36"/>
      <c r="P349" s="105"/>
    </row>
    <row r="350" spans="3:20" ht="18.75" customHeight="1">
      <c r="H350" s="141"/>
      <c r="I350" s="142"/>
      <c r="J350" s="146"/>
      <c r="K350" s="37"/>
      <c r="L350" s="38"/>
    </row>
    <row r="351" spans="3:20" ht="18.75" customHeight="1">
      <c r="K351" s="39"/>
      <c r="L351" s="40"/>
    </row>
    <row r="352" spans="3:20" ht="18.75" customHeight="1">
      <c r="H352" s="139" t="s">
        <v>187</v>
      </c>
      <c r="I352" s="140"/>
      <c r="J352" s="145" t="str">
        <f>エンティティ一覧!$O$2</f>
        <v>milscm_2023_009</v>
      </c>
      <c r="L352" s="41"/>
    </row>
    <row r="353" spans="2:21" ht="18.75" customHeight="1">
      <c r="H353" s="141"/>
      <c r="I353" s="142"/>
      <c r="J353" s="146"/>
      <c r="K353" s="37"/>
    </row>
    <row r="354" spans="2:21" ht="18.75" customHeight="1" thickBot="1">
      <c r="B354" s="42"/>
      <c r="C354" s="42"/>
      <c r="D354" s="42"/>
      <c r="E354" s="42"/>
      <c r="F354" s="42"/>
      <c r="G354" s="42"/>
      <c r="H354" s="42"/>
      <c r="I354" s="42"/>
      <c r="J354" s="42"/>
      <c r="K354" s="42"/>
      <c r="L354" s="42"/>
      <c r="M354" s="42"/>
      <c r="N354" s="42"/>
      <c r="O354" s="42"/>
      <c r="P354" s="42"/>
      <c r="Q354" s="42"/>
      <c r="R354" s="42"/>
      <c r="S354" s="42"/>
      <c r="T354" s="42"/>
      <c r="U354" s="42"/>
    </row>
  </sheetData>
  <mergeCells count="236">
    <mergeCell ref="C52:D53"/>
    <mergeCell ref="E52:E53"/>
    <mergeCell ref="R52:S53"/>
    <mergeCell ref="T52:T53"/>
    <mergeCell ref="C40:U40"/>
    <mergeCell ref="C41:U41"/>
    <mergeCell ref="C43:D44"/>
    <mergeCell ref="E43:E44"/>
    <mergeCell ref="R43:S44"/>
    <mergeCell ref="T43:T44"/>
    <mergeCell ref="T25:T26"/>
    <mergeCell ref="C13:U13"/>
    <mergeCell ref="C14:U14"/>
    <mergeCell ref="C16:D17"/>
    <mergeCell ref="E16:E17"/>
    <mergeCell ref="R16:S17"/>
    <mergeCell ref="T16:T17"/>
    <mergeCell ref="C49:U49"/>
    <mergeCell ref="C50:U50"/>
    <mergeCell ref="T79:T80"/>
    <mergeCell ref="C67:U67"/>
    <mergeCell ref="C68:U68"/>
    <mergeCell ref="C70:D71"/>
    <mergeCell ref="E70:E71"/>
    <mergeCell ref="R70:S71"/>
    <mergeCell ref="T70:T71"/>
    <mergeCell ref="C4:U4"/>
    <mergeCell ref="C5:U5"/>
    <mergeCell ref="C7:D8"/>
    <mergeCell ref="E7:E8"/>
    <mergeCell ref="R7:S8"/>
    <mergeCell ref="T7:T8"/>
    <mergeCell ref="C31:U31"/>
    <mergeCell ref="C32:U32"/>
    <mergeCell ref="C34:D35"/>
    <mergeCell ref="E34:E35"/>
    <mergeCell ref="R34:S35"/>
    <mergeCell ref="T34:T35"/>
    <mergeCell ref="C22:U22"/>
    <mergeCell ref="C23:U23"/>
    <mergeCell ref="C25:D26"/>
    <mergeCell ref="E25:E26"/>
    <mergeCell ref="R25:S26"/>
    <mergeCell ref="C58:U58"/>
    <mergeCell ref="C59:U59"/>
    <mergeCell ref="C61:D62"/>
    <mergeCell ref="E61:E62"/>
    <mergeCell ref="R61:S62"/>
    <mergeCell ref="T61:T62"/>
    <mergeCell ref="C106:D107"/>
    <mergeCell ref="E106:E107"/>
    <mergeCell ref="C112:U112"/>
    <mergeCell ref="C82:D83"/>
    <mergeCell ref="E82:E83"/>
    <mergeCell ref="C88:U88"/>
    <mergeCell ref="C89:U89"/>
    <mergeCell ref="C91:D92"/>
    <mergeCell ref="E91:E92"/>
    <mergeCell ref="R91:S92"/>
    <mergeCell ref="T91:T92"/>
    <mergeCell ref="C94:D95"/>
    <mergeCell ref="E94:E95"/>
    <mergeCell ref="C76:U76"/>
    <mergeCell ref="C77:U77"/>
    <mergeCell ref="C79:D80"/>
    <mergeCell ref="E79:E80"/>
    <mergeCell ref="R79:S80"/>
    <mergeCell ref="C113:U113"/>
    <mergeCell ref="C115:D116"/>
    <mergeCell ref="E115:E116"/>
    <mergeCell ref="R115:S116"/>
    <mergeCell ref="T115:T116"/>
    <mergeCell ref="C100:U100"/>
    <mergeCell ref="C101:U101"/>
    <mergeCell ref="C103:D104"/>
    <mergeCell ref="E103:E104"/>
    <mergeCell ref="R103:S104"/>
    <mergeCell ref="T103:T104"/>
    <mergeCell ref="C130:D131"/>
    <mergeCell ref="E130:E131"/>
    <mergeCell ref="C136:U136"/>
    <mergeCell ref="C137:U137"/>
    <mergeCell ref="C139:D140"/>
    <mergeCell ref="E139:E140"/>
    <mergeCell ref="R139:S140"/>
    <mergeCell ref="T139:T140"/>
    <mergeCell ref="C118:D119"/>
    <mergeCell ref="E118:E119"/>
    <mergeCell ref="C124:U124"/>
    <mergeCell ref="C125:U125"/>
    <mergeCell ref="C127:D128"/>
    <mergeCell ref="E127:E128"/>
    <mergeCell ref="R127:S128"/>
    <mergeCell ref="T127:T128"/>
    <mergeCell ref="C154:D155"/>
    <mergeCell ref="E154:E155"/>
    <mergeCell ref="C160:U160"/>
    <mergeCell ref="C161:U161"/>
    <mergeCell ref="C163:D164"/>
    <mergeCell ref="E163:E164"/>
    <mergeCell ref="R163:S164"/>
    <mergeCell ref="T163:T164"/>
    <mergeCell ref="C142:D143"/>
    <mergeCell ref="E142:E143"/>
    <mergeCell ref="C148:U148"/>
    <mergeCell ref="C149:U149"/>
    <mergeCell ref="C151:D152"/>
    <mergeCell ref="E151:E152"/>
    <mergeCell ref="R151:S152"/>
    <mergeCell ref="T151:T152"/>
    <mergeCell ref="C214:U214"/>
    <mergeCell ref="C215:U215"/>
    <mergeCell ref="C217:D218"/>
    <mergeCell ref="E217:E218"/>
    <mergeCell ref="R217:S218"/>
    <mergeCell ref="T217:T218"/>
    <mergeCell ref="C178:D179"/>
    <mergeCell ref="E178:E179"/>
    <mergeCell ref="C184:U184"/>
    <mergeCell ref="C185:U185"/>
    <mergeCell ref="C187:D188"/>
    <mergeCell ref="E187:E188"/>
    <mergeCell ref="R187:S188"/>
    <mergeCell ref="T187:T188"/>
    <mergeCell ref="C199:U199"/>
    <mergeCell ref="C200:U200"/>
    <mergeCell ref="C202:D203"/>
    <mergeCell ref="E202:E203"/>
    <mergeCell ref="R202:S203"/>
    <mergeCell ref="T202:T203"/>
    <mergeCell ref="C208:D209"/>
    <mergeCell ref="E208:E209"/>
    <mergeCell ref="C205:D206"/>
    <mergeCell ref="E205:E206"/>
    <mergeCell ref="R241:S242"/>
    <mergeCell ref="T241:T242"/>
    <mergeCell ref="C220:D221"/>
    <mergeCell ref="E220:E221"/>
    <mergeCell ref="C226:U226"/>
    <mergeCell ref="C227:U227"/>
    <mergeCell ref="C229:D230"/>
    <mergeCell ref="E229:E230"/>
    <mergeCell ref="R229:S230"/>
    <mergeCell ref="T229:T230"/>
    <mergeCell ref="C232:D233"/>
    <mergeCell ref="E232:E233"/>
    <mergeCell ref="C238:U238"/>
    <mergeCell ref="C239:U239"/>
    <mergeCell ref="C241:D242"/>
    <mergeCell ref="E241:E242"/>
    <mergeCell ref="C304:D305"/>
    <mergeCell ref="E304:E305"/>
    <mergeCell ref="C268:D269"/>
    <mergeCell ref="E268:E269"/>
    <mergeCell ref="C274:U274"/>
    <mergeCell ref="C275:U275"/>
    <mergeCell ref="C277:D278"/>
    <mergeCell ref="E277:E278"/>
    <mergeCell ref="R277:S278"/>
    <mergeCell ref="C298:U298"/>
    <mergeCell ref="C292:D293"/>
    <mergeCell ref="E292:E293"/>
    <mergeCell ref="C280:D281"/>
    <mergeCell ref="E280:E281"/>
    <mergeCell ref="C286:U286"/>
    <mergeCell ref="C287:U287"/>
    <mergeCell ref="C289:D290"/>
    <mergeCell ref="E289:E290"/>
    <mergeCell ref="R289:S290"/>
    <mergeCell ref="T289:T290"/>
    <mergeCell ref="C244:D245"/>
    <mergeCell ref="E244:E245"/>
    <mergeCell ref="C250:U250"/>
    <mergeCell ref="C251:U251"/>
    <mergeCell ref="C253:D254"/>
    <mergeCell ref="E253:E254"/>
    <mergeCell ref="R253:S254"/>
    <mergeCell ref="T253:T254"/>
    <mergeCell ref="C307:D308"/>
    <mergeCell ref="E307:E308"/>
    <mergeCell ref="C299:U299"/>
    <mergeCell ref="C301:D302"/>
    <mergeCell ref="E301:E302"/>
    <mergeCell ref="R301:S302"/>
    <mergeCell ref="T301:T302"/>
    <mergeCell ref="T277:T278"/>
    <mergeCell ref="C256:D257"/>
    <mergeCell ref="E256:E257"/>
    <mergeCell ref="C262:U262"/>
    <mergeCell ref="C263:U263"/>
    <mergeCell ref="C265:D266"/>
    <mergeCell ref="E265:E266"/>
    <mergeCell ref="R265:S266"/>
    <mergeCell ref="T265:T266"/>
    <mergeCell ref="C190:D191"/>
    <mergeCell ref="E190:E191"/>
    <mergeCell ref="C193:D194"/>
    <mergeCell ref="E193:E194"/>
    <mergeCell ref="C166:D167"/>
    <mergeCell ref="E166:E167"/>
    <mergeCell ref="C172:U172"/>
    <mergeCell ref="C173:U173"/>
    <mergeCell ref="C175:D176"/>
    <mergeCell ref="E175:E176"/>
    <mergeCell ref="R175:S176"/>
    <mergeCell ref="T175:T176"/>
    <mergeCell ref="C313:U313"/>
    <mergeCell ref="C314:U314"/>
    <mergeCell ref="C316:D317"/>
    <mergeCell ref="E316:E317"/>
    <mergeCell ref="R316:S317"/>
    <mergeCell ref="T316:T317"/>
    <mergeCell ref="C319:D320"/>
    <mergeCell ref="E319:E320"/>
    <mergeCell ref="C322:D323"/>
    <mergeCell ref="E322:E323"/>
    <mergeCell ref="C328:U328"/>
    <mergeCell ref="C329:U329"/>
    <mergeCell ref="C331:D332"/>
    <mergeCell ref="E331:E332"/>
    <mergeCell ref="R331:S332"/>
    <mergeCell ref="T331:T332"/>
    <mergeCell ref="C334:D335"/>
    <mergeCell ref="E334:E335"/>
    <mergeCell ref="C337:D338"/>
    <mergeCell ref="E337:E338"/>
    <mergeCell ref="H349:I350"/>
    <mergeCell ref="J349:J350"/>
    <mergeCell ref="H352:I353"/>
    <mergeCell ref="J352:J353"/>
    <mergeCell ref="C340:D341"/>
    <mergeCell ref="E340:E341"/>
    <mergeCell ref="C343:D344"/>
    <mergeCell ref="E343:E344"/>
    <mergeCell ref="C346:D347"/>
    <mergeCell ref="E346:E347"/>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64"/>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4496</v>
      </c>
      <c r="D3" s="129"/>
      <c r="W3" s="35" t="str">
        <f>"-- "&amp;B3&amp;" : "&amp;C3</f>
        <v>-- SQL_ID : 61_01</v>
      </c>
    </row>
    <row r="4" spans="1:23" ht="18.75" customHeight="1">
      <c r="B4" s="43" t="s">
        <v>158</v>
      </c>
      <c r="C4" s="147" t="str">
        <f>R7&amp;"登録"</f>
        <v>匿名化_患者情報登録</v>
      </c>
      <c r="D4" s="148"/>
      <c r="E4" s="148"/>
      <c r="F4" s="148"/>
      <c r="G4" s="148"/>
      <c r="H4" s="148"/>
      <c r="I4" s="148"/>
      <c r="J4" s="148"/>
      <c r="K4" s="148"/>
      <c r="L4" s="148"/>
      <c r="M4" s="148"/>
      <c r="N4" s="148"/>
      <c r="O4" s="148"/>
      <c r="P4" s="148"/>
      <c r="Q4" s="148"/>
      <c r="R4" s="148"/>
      <c r="S4" s="148"/>
      <c r="T4" s="148"/>
      <c r="U4" s="149"/>
      <c r="W4" s="35" t="str">
        <f>"-- "&amp;C4</f>
        <v>-- 匿名化_患者情報登録</v>
      </c>
    </row>
    <row r="5" spans="1:23" ht="18.75" customHeight="1">
      <c r="B5" s="43" t="s">
        <v>159</v>
      </c>
      <c r="C5" s="136" t="str">
        <f>C7&amp;"から対象データを抽出し、"&amp;R7&amp;"テーブルに格納する。"</f>
        <v>セレクト_患者基本データから対象データを抽出し、匿名化_患者情報テーブルに格納する。</v>
      </c>
      <c r="D5" s="137"/>
      <c r="E5" s="137"/>
      <c r="F5" s="137"/>
      <c r="G5" s="137"/>
      <c r="H5" s="137"/>
      <c r="I5" s="137"/>
      <c r="J5" s="137"/>
      <c r="K5" s="137"/>
      <c r="L5" s="137"/>
      <c r="M5" s="137"/>
      <c r="N5" s="137"/>
      <c r="O5" s="137"/>
      <c r="P5" s="137"/>
      <c r="Q5" s="137"/>
      <c r="R5" s="137"/>
      <c r="S5" s="137"/>
      <c r="T5" s="137"/>
      <c r="U5" s="138"/>
      <c r="W5" s="35" t="str">
        <f>"-- "&amp;C5</f>
        <v>-- セレクト_患者基本データから対象データを抽出し、匿名化_患者情報テーブルに格納する。</v>
      </c>
    </row>
    <row r="7" spans="1:23" ht="18.75" customHeight="1">
      <c r="C7" s="139" t="s">
        <v>4321</v>
      </c>
      <c r="D7" s="140"/>
      <c r="E7" s="145" t="str">
        <f>エンティティ一覧!$O$2</f>
        <v>milscm_2023_009</v>
      </c>
      <c r="F7" s="36"/>
      <c r="G7" s="36"/>
      <c r="H7" s="36"/>
      <c r="I7" s="36"/>
      <c r="J7" s="36"/>
      <c r="K7" s="36"/>
      <c r="L7" s="36"/>
      <c r="M7" s="36"/>
      <c r="N7" s="36"/>
      <c r="O7" s="36"/>
      <c r="R7" s="139" t="s">
        <v>4495</v>
      </c>
      <c r="S7" s="140"/>
      <c r="T7" s="145" t="str">
        <f>エンティティ一覧!$O$2</f>
        <v>milscm_2023_009</v>
      </c>
    </row>
    <row r="8" spans="1:23" ht="18.75" customHeight="1">
      <c r="C8" s="141"/>
      <c r="D8" s="142"/>
      <c r="E8" s="146"/>
      <c r="F8" s="37"/>
      <c r="G8" s="37"/>
      <c r="H8" s="37"/>
      <c r="I8" s="37"/>
      <c r="J8" s="37"/>
      <c r="K8" s="37"/>
      <c r="L8" s="37"/>
      <c r="M8" s="37"/>
      <c r="N8" s="37"/>
      <c r="O8" s="37"/>
      <c r="P8" s="37"/>
      <c r="Q8" s="37"/>
      <c r="R8" s="141"/>
      <c r="S8" s="142"/>
      <c r="T8" s="146"/>
    </row>
    <row r="9" spans="1:23" ht="18.75" customHeight="1">
      <c r="C9" s="124"/>
      <c r="D9" s="124"/>
      <c r="E9" s="124"/>
      <c r="F9" s="94"/>
      <c r="G9" s="94"/>
      <c r="H9" s="94"/>
      <c r="I9" s="94"/>
      <c r="J9" s="94"/>
      <c r="K9" s="94"/>
      <c r="L9" s="94"/>
      <c r="M9" s="94"/>
      <c r="N9" s="94"/>
      <c r="O9" s="94"/>
      <c r="P9" s="94"/>
      <c r="Q9" s="94"/>
      <c r="R9" s="124"/>
      <c r="S9" s="124"/>
      <c r="T9" s="124"/>
    </row>
    <row r="10" spans="1:23" ht="18.75" customHeight="1" thickBot="1">
      <c r="B10" s="42"/>
      <c r="C10" s="42"/>
      <c r="D10" s="42"/>
      <c r="E10" s="42"/>
      <c r="F10" s="42"/>
      <c r="G10" s="42"/>
      <c r="H10" s="42"/>
      <c r="I10" s="42"/>
      <c r="J10" s="42"/>
      <c r="K10" s="42"/>
      <c r="L10" s="42"/>
      <c r="M10" s="42"/>
      <c r="N10" s="42"/>
      <c r="O10" s="42"/>
      <c r="P10" s="42"/>
      <c r="Q10" s="42"/>
      <c r="R10" s="42"/>
      <c r="S10" s="42"/>
      <c r="T10" s="42"/>
      <c r="U10" s="42"/>
    </row>
    <row r="12" spans="1:23" ht="18.75" customHeight="1">
      <c r="A12" s="77"/>
      <c r="B12" s="43" t="s">
        <v>163</v>
      </c>
      <c r="C12" s="51" t="s">
        <v>4549</v>
      </c>
      <c r="D12" s="129"/>
      <c r="W12" s="35" t="str">
        <f>"-- "&amp;B12&amp;" : "&amp;C12</f>
        <v>-- SQL_ID : 61_02</v>
      </c>
    </row>
    <row r="13" spans="1:23" ht="18.75" customHeight="1">
      <c r="B13" s="43" t="s">
        <v>158</v>
      </c>
      <c r="C13" s="147" t="str">
        <f>R16&amp;"登録"</f>
        <v>匿名化_併発疾患情報登録</v>
      </c>
      <c r="D13" s="148"/>
      <c r="E13" s="148"/>
      <c r="F13" s="148"/>
      <c r="G13" s="148"/>
      <c r="H13" s="148"/>
      <c r="I13" s="148"/>
      <c r="J13" s="148"/>
      <c r="K13" s="148"/>
      <c r="L13" s="148"/>
      <c r="M13" s="148"/>
      <c r="N13" s="148"/>
      <c r="O13" s="148"/>
      <c r="P13" s="148"/>
      <c r="Q13" s="148"/>
      <c r="R13" s="148"/>
      <c r="S13" s="148"/>
      <c r="T13" s="148"/>
      <c r="U13" s="149"/>
      <c r="W13" s="35" t="str">
        <f>"-- "&amp;C13</f>
        <v>-- 匿名化_併発疾患情報登録</v>
      </c>
    </row>
    <row r="14" spans="1:23" ht="18.75" customHeight="1">
      <c r="B14" s="43" t="s">
        <v>159</v>
      </c>
      <c r="C14" s="136" t="str">
        <f>C16&amp;"から対象データを抽出し、"&amp;R16&amp;"テーブルに格納する。"</f>
        <v>セレクト_併発疾患データから対象データを抽出し、匿名化_併発疾患情報テーブルに格納する。</v>
      </c>
      <c r="D14" s="137"/>
      <c r="E14" s="137"/>
      <c r="F14" s="137"/>
      <c r="G14" s="137"/>
      <c r="H14" s="137"/>
      <c r="I14" s="137"/>
      <c r="J14" s="137"/>
      <c r="K14" s="137"/>
      <c r="L14" s="137"/>
      <c r="M14" s="137"/>
      <c r="N14" s="137"/>
      <c r="O14" s="137"/>
      <c r="P14" s="137"/>
      <c r="Q14" s="137"/>
      <c r="R14" s="137"/>
      <c r="S14" s="137"/>
      <c r="T14" s="137"/>
      <c r="U14" s="138"/>
      <c r="W14" s="35" t="str">
        <f>"-- "&amp;C14</f>
        <v>-- セレクト_併発疾患データから対象データを抽出し、匿名化_併発疾患情報テーブルに格納する。</v>
      </c>
    </row>
    <row r="16" spans="1:23" ht="18.75" customHeight="1">
      <c r="C16" s="139" t="s">
        <v>4308</v>
      </c>
      <c r="D16" s="140"/>
      <c r="E16" s="145" t="str">
        <f>エンティティ一覧!$O$2</f>
        <v>milscm_2023_009</v>
      </c>
      <c r="F16" s="36"/>
      <c r="G16" s="36"/>
      <c r="H16" s="36"/>
      <c r="I16" s="36"/>
      <c r="J16" s="36"/>
      <c r="K16" s="36"/>
      <c r="L16" s="36"/>
      <c r="M16" s="94"/>
      <c r="N16" s="36"/>
      <c r="O16" s="36"/>
      <c r="P16" s="36"/>
      <c r="R16" s="139" t="s">
        <v>4497</v>
      </c>
      <c r="S16" s="140"/>
      <c r="T16" s="145" t="str">
        <f>エンティティ一覧!$O$2</f>
        <v>milscm_2023_009</v>
      </c>
    </row>
    <row r="17" spans="1:23" ht="18.75" customHeight="1">
      <c r="C17" s="141"/>
      <c r="D17" s="142"/>
      <c r="E17" s="146"/>
      <c r="F17" s="37"/>
      <c r="G17" s="37"/>
      <c r="H17" s="37"/>
      <c r="I17" s="37"/>
      <c r="J17" s="37"/>
      <c r="K17" s="37"/>
      <c r="L17" s="37"/>
      <c r="M17" s="37"/>
      <c r="N17" s="94"/>
      <c r="O17" s="94"/>
      <c r="P17" s="94"/>
      <c r="Q17" s="37"/>
      <c r="R17" s="141"/>
      <c r="S17" s="142"/>
      <c r="T17" s="146"/>
    </row>
    <row r="19" spans="1:23" ht="18.75" customHeight="1" thickBot="1">
      <c r="B19" s="42"/>
      <c r="C19" s="42"/>
      <c r="D19" s="42"/>
      <c r="E19" s="42"/>
      <c r="F19" s="42"/>
      <c r="G19" s="42"/>
      <c r="H19" s="42"/>
      <c r="I19" s="42"/>
      <c r="J19" s="42"/>
      <c r="K19" s="42"/>
      <c r="L19" s="42"/>
      <c r="M19" s="42"/>
      <c r="N19" s="42"/>
      <c r="O19" s="42"/>
      <c r="P19" s="42"/>
      <c r="Q19" s="42"/>
      <c r="R19" s="42"/>
      <c r="S19" s="42"/>
      <c r="T19" s="42"/>
      <c r="U19" s="42"/>
    </row>
    <row r="21" spans="1:23" ht="18.75" customHeight="1">
      <c r="A21" s="77"/>
      <c r="B21" s="43" t="s">
        <v>163</v>
      </c>
      <c r="C21" s="51" t="s">
        <v>4550</v>
      </c>
      <c r="D21" s="129"/>
      <c r="W21" s="35" t="str">
        <f>"-- "&amp;B21&amp;" : "&amp;C21</f>
        <v>-- SQL_ID : 61_03</v>
      </c>
    </row>
    <row r="22" spans="1:23" ht="18.75" customHeight="1">
      <c r="B22" s="43" t="s">
        <v>158</v>
      </c>
      <c r="C22" s="147" t="str">
        <f>R25&amp;"登録"</f>
        <v>匿名化_染色体情報登録</v>
      </c>
      <c r="D22" s="148"/>
      <c r="E22" s="148"/>
      <c r="F22" s="148"/>
      <c r="G22" s="148"/>
      <c r="H22" s="148"/>
      <c r="I22" s="148"/>
      <c r="J22" s="148"/>
      <c r="K22" s="148"/>
      <c r="L22" s="148"/>
      <c r="M22" s="148"/>
      <c r="N22" s="148"/>
      <c r="O22" s="148"/>
      <c r="P22" s="148"/>
      <c r="Q22" s="148"/>
      <c r="R22" s="148"/>
      <c r="S22" s="148"/>
      <c r="T22" s="148"/>
      <c r="U22" s="149"/>
      <c r="W22" s="35" t="str">
        <f>"-- "&amp;C22</f>
        <v>-- 匿名化_染色体情報登録</v>
      </c>
    </row>
    <row r="23" spans="1:23" ht="18.75" customHeight="1">
      <c r="B23" s="43" t="s">
        <v>159</v>
      </c>
      <c r="C23" s="136" t="str">
        <f>"染色体情報のテキスト確認結果を"&amp;R25&amp;"テーブルに格納する。"</f>
        <v>染色体情報のテキスト確認結果を匿名化_染色体情報テーブルに格納する。</v>
      </c>
      <c r="D23" s="137"/>
      <c r="E23" s="137"/>
      <c r="F23" s="137"/>
      <c r="G23" s="137"/>
      <c r="H23" s="137"/>
      <c r="I23" s="137"/>
      <c r="J23" s="137"/>
      <c r="K23" s="137"/>
      <c r="L23" s="137"/>
      <c r="M23" s="137"/>
      <c r="N23" s="137"/>
      <c r="O23" s="137"/>
      <c r="P23" s="137"/>
      <c r="Q23" s="137"/>
      <c r="R23" s="137"/>
      <c r="S23" s="137"/>
      <c r="T23" s="137"/>
      <c r="U23" s="138"/>
      <c r="W23" s="35" t="str">
        <f>"-- "&amp;C23</f>
        <v>-- 染色体情報のテキスト確認結果を匿名化_染色体情報テーブルに格納する。</v>
      </c>
    </row>
    <row r="25" spans="1:23" ht="18.75" customHeight="1">
      <c r="C25" s="139" t="s">
        <v>4505</v>
      </c>
      <c r="D25" s="140"/>
      <c r="E25" s="145" t="s">
        <v>3799</v>
      </c>
      <c r="F25" s="94"/>
      <c r="G25" s="94"/>
      <c r="H25" s="94"/>
      <c r="I25" s="94"/>
      <c r="J25" s="94"/>
      <c r="K25" s="94"/>
      <c r="L25" s="94"/>
      <c r="M25" s="94"/>
      <c r="N25" s="36"/>
      <c r="O25" s="36"/>
      <c r="P25" s="36"/>
      <c r="R25" s="139" t="s">
        <v>4504</v>
      </c>
      <c r="S25" s="140"/>
      <c r="T25" s="145" t="str">
        <f>エンティティ一覧!$O$2</f>
        <v>milscm_2023_009</v>
      </c>
    </row>
    <row r="26" spans="1:23" ht="18.75" customHeight="1">
      <c r="C26" s="141"/>
      <c r="D26" s="142"/>
      <c r="E26" s="146"/>
      <c r="F26" s="37"/>
      <c r="G26" s="37"/>
      <c r="H26" s="37"/>
      <c r="I26" s="37"/>
      <c r="J26" s="37"/>
      <c r="K26" s="37"/>
      <c r="L26" s="37"/>
      <c r="M26" s="37"/>
      <c r="N26" s="94"/>
      <c r="O26" s="94"/>
      <c r="P26" s="94"/>
      <c r="Q26" s="37"/>
      <c r="R26" s="141"/>
      <c r="S26" s="142"/>
      <c r="T26" s="146"/>
    </row>
    <row r="28" spans="1:23" ht="18.75" customHeight="1" thickBot="1">
      <c r="B28" s="42"/>
      <c r="C28" s="42"/>
      <c r="D28" s="42"/>
      <c r="E28" s="42"/>
      <c r="F28" s="42"/>
      <c r="G28" s="42"/>
      <c r="H28" s="42"/>
      <c r="I28" s="42"/>
      <c r="J28" s="42"/>
      <c r="K28" s="42"/>
      <c r="L28" s="42"/>
      <c r="M28" s="42"/>
      <c r="N28" s="42"/>
      <c r="O28" s="42"/>
      <c r="P28" s="42"/>
      <c r="Q28" s="42"/>
      <c r="R28" s="42"/>
      <c r="S28" s="42"/>
      <c r="T28" s="42"/>
      <c r="U28" s="42"/>
    </row>
    <row r="30" spans="1:23" ht="18.75" customHeight="1">
      <c r="A30" s="77"/>
      <c r="B30" s="43" t="s">
        <v>163</v>
      </c>
      <c r="C30" s="51" t="s">
        <v>4551</v>
      </c>
      <c r="D30" s="129"/>
      <c r="W30" s="35" t="str">
        <f>"-- "&amp;B30&amp;" : "&amp;C30</f>
        <v>-- SQL_ID : 61_04</v>
      </c>
    </row>
    <row r="31" spans="1:23" ht="18.75" customHeight="1">
      <c r="B31" s="43" t="s">
        <v>158</v>
      </c>
      <c r="C31" s="147" t="str">
        <f>R34&amp;"登録"</f>
        <v>匿名化_検査値情報登録</v>
      </c>
      <c r="D31" s="148"/>
      <c r="E31" s="148"/>
      <c r="F31" s="148"/>
      <c r="G31" s="148"/>
      <c r="H31" s="148"/>
      <c r="I31" s="148"/>
      <c r="J31" s="148"/>
      <c r="K31" s="148"/>
      <c r="L31" s="148"/>
      <c r="M31" s="148"/>
      <c r="N31" s="148"/>
      <c r="O31" s="148"/>
      <c r="P31" s="148"/>
      <c r="Q31" s="148"/>
      <c r="R31" s="148"/>
      <c r="S31" s="148"/>
      <c r="T31" s="148"/>
      <c r="U31" s="149"/>
      <c r="W31" s="35" t="str">
        <f>"-- "&amp;C31</f>
        <v>-- 匿名化_検査値情報登録</v>
      </c>
    </row>
    <row r="32" spans="1:23" ht="18.75" customHeight="1">
      <c r="B32" s="43" t="s">
        <v>159</v>
      </c>
      <c r="C32" s="136" t="str">
        <f>C34&amp;"から対象データを抽出し、"&amp;R34&amp;"テーブルに格納する。"</f>
        <v>セレクト_検査データから対象データを抽出し、匿名化_検査値情報テーブルに格納する。</v>
      </c>
      <c r="D32" s="137"/>
      <c r="E32" s="137"/>
      <c r="F32" s="137"/>
      <c r="G32" s="137"/>
      <c r="H32" s="137"/>
      <c r="I32" s="137"/>
      <c r="J32" s="137"/>
      <c r="K32" s="137"/>
      <c r="L32" s="137"/>
      <c r="M32" s="137"/>
      <c r="N32" s="137"/>
      <c r="O32" s="137"/>
      <c r="P32" s="137"/>
      <c r="Q32" s="137"/>
      <c r="R32" s="137"/>
      <c r="S32" s="137"/>
      <c r="T32" s="137"/>
      <c r="U32" s="138"/>
      <c r="W32" s="35" t="str">
        <f>"-- "&amp;C32</f>
        <v>-- セレクト_検査データから対象データを抽出し、匿名化_検査値情報テーブルに格納する。</v>
      </c>
    </row>
    <row r="34" spans="1:23" ht="18.75" customHeight="1">
      <c r="C34" s="139" t="s">
        <v>4354</v>
      </c>
      <c r="D34" s="140"/>
      <c r="E34" s="145" t="str">
        <f>エンティティ一覧!$O$2</f>
        <v>milscm_2023_009</v>
      </c>
      <c r="F34" s="94"/>
      <c r="G34" s="94"/>
      <c r="H34" s="94"/>
      <c r="I34" s="94"/>
      <c r="J34" s="94"/>
      <c r="K34" s="94"/>
      <c r="L34" s="94"/>
      <c r="M34" s="94"/>
      <c r="N34" s="94"/>
      <c r="O34" s="36"/>
      <c r="P34" s="36"/>
      <c r="R34" s="139" t="s">
        <v>4560</v>
      </c>
      <c r="S34" s="140"/>
      <c r="T34" s="145" t="str">
        <f>エンティティ一覧!$O$2</f>
        <v>milscm_2023_009</v>
      </c>
    </row>
    <row r="35" spans="1:23" ht="18.75" customHeight="1">
      <c r="C35" s="141"/>
      <c r="D35" s="142"/>
      <c r="E35" s="146"/>
      <c r="F35" s="37"/>
      <c r="G35" s="37"/>
      <c r="H35" s="37"/>
      <c r="I35" s="37"/>
      <c r="J35" s="37"/>
      <c r="K35" s="37"/>
      <c r="L35" s="37"/>
      <c r="M35" s="37"/>
      <c r="N35" s="37"/>
      <c r="O35" s="94"/>
      <c r="P35" s="94"/>
      <c r="Q35" s="37"/>
      <c r="R35" s="141"/>
      <c r="S35" s="142"/>
      <c r="T35" s="146"/>
    </row>
    <row r="37" spans="1:23" ht="18.75" customHeight="1" thickBot="1">
      <c r="B37" s="42"/>
      <c r="C37" s="42"/>
      <c r="D37" s="42"/>
      <c r="E37" s="42"/>
      <c r="F37" s="42"/>
      <c r="G37" s="42"/>
      <c r="H37" s="42"/>
      <c r="I37" s="42"/>
      <c r="J37" s="42"/>
      <c r="K37" s="42"/>
      <c r="L37" s="42"/>
      <c r="M37" s="42"/>
      <c r="N37" s="42"/>
      <c r="O37" s="42"/>
      <c r="P37" s="42"/>
      <c r="Q37" s="42"/>
      <c r="R37" s="42"/>
      <c r="S37" s="42"/>
      <c r="T37" s="42"/>
      <c r="U37" s="42"/>
    </row>
    <row r="39" spans="1:23" ht="18.75" customHeight="1">
      <c r="A39" s="77"/>
      <c r="B39" s="43" t="s">
        <v>163</v>
      </c>
      <c r="C39" s="51" t="s">
        <v>4552</v>
      </c>
      <c r="D39" s="129"/>
      <c r="W39" s="35" t="str">
        <f>"-- "&amp;B39&amp;" : "&amp;C39</f>
        <v>-- SQL_ID : 61_05</v>
      </c>
    </row>
    <row r="40" spans="1:23" ht="18.75" customHeight="1">
      <c r="B40" s="43" t="s">
        <v>158</v>
      </c>
      <c r="C40" s="147" t="str">
        <f>R43&amp;"登録"</f>
        <v>匿名化_診療行為情報登録</v>
      </c>
      <c r="D40" s="148"/>
      <c r="E40" s="148"/>
      <c r="F40" s="148"/>
      <c r="G40" s="148"/>
      <c r="H40" s="148"/>
      <c r="I40" s="148"/>
      <c r="J40" s="148"/>
      <c r="K40" s="148"/>
      <c r="L40" s="148"/>
      <c r="M40" s="148"/>
      <c r="N40" s="148"/>
      <c r="O40" s="148"/>
      <c r="P40" s="148"/>
      <c r="Q40" s="148"/>
      <c r="R40" s="148"/>
      <c r="S40" s="148"/>
      <c r="T40" s="148"/>
      <c r="U40" s="149"/>
      <c r="W40" s="35" t="str">
        <f>"-- "&amp;C40</f>
        <v>-- 匿名化_診療行為情報登録</v>
      </c>
    </row>
    <row r="41" spans="1:23" ht="18.75" customHeight="1">
      <c r="B41" s="43" t="s">
        <v>159</v>
      </c>
      <c r="C41" s="136" t="str">
        <f>C43&amp;"から対象データを抽出し、"&amp;R43&amp;"テーブルに格納する。"</f>
        <v>セレクト_診療行為データから対象データを抽出し、匿名化_診療行為情報テーブルに格納する。</v>
      </c>
      <c r="D41" s="137"/>
      <c r="E41" s="137"/>
      <c r="F41" s="137"/>
      <c r="G41" s="137"/>
      <c r="H41" s="137"/>
      <c r="I41" s="137"/>
      <c r="J41" s="137"/>
      <c r="K41" s="137"/>
      <c r="L41" s="137"/>
      <c r="M41" s="137"/>
      <c r="N41" s="137"/>
      <c r="O41" s="137"/>
      <c r="P41" s="137"/>
      <c r="Q41" s="137"/>
      <c r="R41" s="137"/>
      <c r="S41" s="137"/>
      <c r="T41" s="137"/>
      <c r="U41" s="138"/>
      <c r="W41" s="35" t="str">
        <f>"-- "&amp;C41</f>
        <v>-- セレクト_診療行為データから対象データを抽出し、匿名化_診療行為情報テーブルに格納する。</v>
      </c>
    </row>
    <row r="43" spans="1:23" ht="18.75" customHeight="1">
      <c r="C43" s="139" t="s">
        <v>4313</v>
      </c>
      <c r="D43" s="140"/>
      <c r="E43" s="145" t="str">
        <f>エンティティ一覧!$O$2</f>
        <v>milscm_2023_009</v>
      </c>
      <c r="F43" s="94"/>
      <c r="G43" s="94"/>
      <c r="H43" s="94"/>
      <c r="I43" s="94"/>
      <c r="J43" s="94"/>
      <c r="K43" s="94"/>
      <c r="L43" s="94"/>
      <c r="M43" s="94"/>
      <c r="N43" s="36"/>
      <c r="O43" s="36"/>
      <c r="P43" s="36"/>
      <c r="R43" s="139" t="s">
        <v>4538</v>
      </c>
      <c r="S43" s="140"/>
      <c r="T43" s="145" t="str">
        <f>エンティティ一覧!$O$2</f>
        <v>milscm_2023_009</v>
      </c>
    </row>
    <row r="44" spans="1:23" ht="18.75" customHeight="1">
      <c r="C44" s="141"/>
      <c r="D44" s="142"/>
      <c r="E44" s="146"/>
      <c r="F44" s="37"/>
      <c r="G44" s="37"/>
      <c r="H44" s="37"/>
      <c r="I44" s="37"/>
      <c r="J44" s="37"/>
      <c r="K44" s="37"/>
      <c r="L44" s="37"/>
      <c r="M44" s="37"/>
      <c r="N44" s="94"/>
      <c r="O44" s="94"/>
      <c r="P44" s="94"/>
      <c r="Q44" s="37"/>
      <c r="R44" s="141"/>
      <c r="S44" s="142"/>
      <c r="T44" s="146"/>
    </row>
    <row r="46" spans="1:23" ht="18.75" customHeight="1" thickBot="1">
      <c r="B46" s="42"/>
      <c r="C46" s="42"/>
      <c r="D46" s="42"/>
      <c r="E46" s="42"/>
      <c r="F46" s="42"/>
      <c r="G46" s="42"/>
      <c r="H46" s="42"/>
      <c r="I46" s="42"/>
      <c r="J46" s="42"/>
      <c r="K46" s="42"/>
      <c r="L46" s="42"/>
      <c r="M46" s="42"/>
      <c r="N46" s="42"/>
      <c r="O46" s="42"/>
      <c r="P46" s="42"/>
      <c r="Q46" s="42"/>
      <c r="R46" s="42"/>
      <c r="S46" s="42"/>
      <c r="T46" s="42"/>
      <c r="U46" s="42"/>
    </row>
    <row r="48" spans="1:23" ht="18.75" customHeight="1">
      <c r="A48" s="77"/>
      <c r="B48" s="43" t="s">
        <v>163</v>
      </c>
      <c r="C48" s="51" t="s">
        <v>4553</v>
      </c>
      <c r="D48" s="129"/>
      <c r="W48" s="35" t="str">
        <f>"-- "&amp;B48&amp;" : "&amp;C48</f>
        <v>-- SQL_ID : 61_06</v>
      </c>
    </row>
    <row r="49" spans="2:23" ht="18.75" customHeight="1">
      <c r="B49" s="43" t="s">
        <v>158</v>
      </c>
      <c r="C49" s="147" t="str">
        <f>R52&amp;"登録"</f>
        <v>匿名化_日付情報登録</v>
      </c>
      <c r="D49" s="148"/>
      <c r="E49" s="148"/>
      <c r="F49" s="148"/>
      <c r="G49" s="148"/>
      <c r="H49" s="148"/>
      <c r="I49" s="148"/>
      <c r="J49" s="148"/>
      <c r="K49" s="148"/>
      <c r="L49" s="148"/>
      <c r="M49" s="148"/>
      <c r="N49" s="148"/>
      <c r="O49" s="148"/>
      <c r="P49" s="148"/>
      <c r="Q49" s="148"/>
      <c r="R49" s="148"/>
      <c r="S49" s="148"/>
      <c r="T49" s="148"/>
      <c r="U49" s="149"/>
      <c r="W49" s="35" t="str">
        <f>"-- "&amp;C49</f>
        <v>-- 匿名化_日付情報登録</v>
      </c>
    </row>
    <row r="50" spans="2:23" ht="18.75" customHeight="1">
      <c r="B50" s="43" t="s">
        <v>159</v>
      </c>
      <c r="C50" s="136" t="s">
        <v>4503</v>
      </c>
      <c r="D50" s="137"/>
      <c r="E50" s="137"/>
      <c r="F50" s="137"/>
      <c r="G50" s="137"/>
      <c r="H50" s="137"/>
      <c r="I50" s="137"/>
      <c r="J50" s="137"/>
      <c r="K50" s="137"/>
      <c r="L50" s="137"/>
      <c r="M50" s="137"/>
      <c r="N50" s="137"/>
      <c r="O50" s="137"/>
      <c r="P50" s="137"/>
      <c r="Q50" s="137"/>
      <c r="R50" s="137"/>
      <c r="S50" s="137"/>
      <c r="T50" s="137"/>
      <c r="U50" s="138"/>
      <c r="W50" s="35" t="str">
        <f>"-- "&amp;C50</f>
        <v>-- 患者ごとのイベント日付を取得し、セレクト_入院外来データテーブルを結合した結果を匿名化_日付情報テーブルに格納する。</v>
      </c>
    </row>
    <row r="52" spans="2:23" ht="18.75" customHeight="1">
      <c r="C52" s="139" t="s">
        <v>4504</v>
      </c>
      <c r="D52" s="140"/>
      <c r="E52" s="145" t="str">
        <f>エンティティ一覧!$O$2</f>
        <v>milscm_2023_009</v>
      </c>
      <c r="F52" s="36"/>
      <c r="G52" s="36"/>
      <c r="H52" s="36"/>
      <c r="I52" s="36"/>
      <c r="J52" s="36"/>
      <c r="K52" s="36"/>
      <c r="L52" s="36"/>
      <c r="M52" s="36"/>
      <c r="N52" s="36"/>
      <c r="O52" s="36"/>
      <c r="P52" s="36"/>
      <c r="R52" s="139" t="s">
        <v>4437</v>
      </c>
      <c r="S52" s="140"/>
      <c r="T52" s="145" t="str">
        <f>エンティティ一覧!$O$2</f>
        <v>milscm_2023_009</v>
      </c>
    </row>
    <row r="53" spans="2:23" ht="18.75" customHeight="1">
      <c r="C53" s="141"/>
      <c r="D53" s="142"/>
      <c r="E53" s="146"/>
      <c r="F53" s="37"/>
      <c r="G53" s="37"/>
      <c r="H53" s="37"/>
      <c r="I53" s="37"/>
      <c r="J53" s="37"/>
      <c r="K53" s="37"/>
      <c r="L53" s="38"/>
      <c r="M53" s="97"/>
      <c r="N53" s="94"/>
      <c r="O53" s="94"/>
      <c r="P53" s="94"/>
      <c r="Q53" s="37"/>
      <c r="R53" s="141"/>
      <c r="S53" s="142"/>
      <c r="T53" s="146"/>
    </row>
    <row r="54" spans="2:23" ht="18.75" customHeight="1">
      <c r="F54" s="94"/>
      <c r="G54" s="94"/>
      <c r="H54" s="94"/>
      <c r="I54" s="94"/>
      <c r="J54" s="94"/>
      <c r="K54" s="94"/>
      <c r="L54" s="41"/>
      <c r="M54" s="104"/>
      <c r="N54" s="94"/>
      <c r="O54" s="94"/>
      <c r="P54" s="101"/>
      <c r="Q54" s="101"/>
    </row>
    <row r="55" spans="2:23" ht="18.75" customHeight="1">
      <c r="C55" s="139" t="s">
        <v>4560</v>
      </c>
      <c r="D55" s="140"/>
      <c r="E55" s="145" t="str">
        <f>エンティティ一覧!$O$2</f>
        <v>milscm_2023_009</v>
      </c>
      <c r="F55" s="36"/>
      <c r="G55" s="36"/>
      <c r="H55" s="36"/>
      <c r="I55" s="36"/>
      <c r="J55" s="36"/>
      <c r="K55" s="36"/>
      <c r="L55" s="41"/>
      <c r="M55" s="104"/>
      <c r="N55" s="94"/>
      <c r="O55" s="94"/>
      <c r="P55" s="94"/>
      <c r="Q55" s="94"/>
    </row>
    <row r="56" spans="2:23" ht="18.75" customHeight="1">
      <c r="C56" s="141"/>
      <c r="D56" s="142"/>
      <c r="E56" s="146"/>
      <c r="K56" s="97"/>
      <c r="L56" s="94"/>
      <c r="M56" s="104"/>
      <c r="N56" s="94"/>
      <c r="O56" s="94"/>
      <c r="P56" s="94"/>
    </row>
    <row r="57" spans="2:23" ht="18.75" customHeight="1">
      <c r="F57" s="94"/>
      <c r="G57" s="94"/>
      <c r="H57" s="94"/>
      <c r="I57" s="94"/>
      <c r="J57" s="94"/>
      <c r="K57" s="94"/>
      <c r="L57" s="41"/>
      <c r="M57" s="104"/>
      <c r="N57" s="94"/>
      <c r="O57" s="94"/>
      <c r="P57" s="101"/>
      <c r="Q57" s="101"/>
    </row>
    <row r="58" spans="2:23" ht="18.75" customHeight="1">
      <c r="C58" s="139" t="s">
        <v>4538</v>
      </c>
      <c r="D58" s="140"/>
      <c r="E58" s="145" t="str">
        <f>エンティティ一覧!$O$2</f>
        <v>milscm_2023_009</v>
      </c>
      <c r="F58" s="36"/>
      <c r="G58" s="36"/>
      <c r="H58" s="36"/>
      <c r="I58" s="36"/>
      <c r="J58" s="36"/>
      <c r="K58" s="36"/>
      <c r="L58" s="41"/>
      <c r="M58" s="104"/>
      <c r="N58" s="94"/>
      <c r="O58" s="94"/>
      <c r="P58" s="94"/>
      <c r="Q58" s="94"/>
    </row>
    <row r="59" spans="2:23" ht="18.75" customHeight="1">
      <c r="C59" s="141"/>
      <c r="D59" s="142"/>
      <c r="E59" s="146"/>
      <c r="K59" s="94"/>
      <c r="L59" s="94"/>
      <c r="M59" s="104"/>
      <c r="N59" s="94"/>
      <c r="O59" s="94"/>
      <c r="P59" s="94"/>
    </row>
    <row r="60" spans="2:23" ht="18.75" customHeight="1">
      <c r="F60" s="94"/>
      <c r="G60" s="94"/>
      <c r="H60" s="94"/>
      <c r="I60" s="94"/>
      <c r="J60" s="94"/>
      <c r="K60" s="94"/>
      <c r="L60" s="94"/>
      <c r="M60" s="104"/>
      <c r="N60" s="94"/>
      <c r="O60" s="94"/>
      <c r="P60" s="101"/>
      <c r="Q60" s="101"/>
    </row>
    <row r="61" spans="2:23" ht="18.75" customHeight="1">
      <c r="C61" s="139" t="s">
        <v>4309</v>
      </c>
      <c r="D61" s="140"/>
      <c r="E61" s="145" t="str">
        <f>エンティティ一覧!$O$2</f>
        <v>milscm_2023_009</v>
      </c>
      <c r="F61" s="36"/>
      <c r="G61" s="36"/>
      <c r="H61" s="36"/>
      <c r="I61" s="36"/>
      <c r="J61" s="36"/>
      <c r="K61" s="36"/>
      <c r="L61" s="36"/>
      <c r="M61" s="105"/>
      <c r="N61" s="94"/>
      <c r="O61" s="94"/>
      <c r="P61" s="94"/>
      <c r="Q61" s="94"/>
    </row>
    <row r="62" spans="2:23" ht="18.75" customHeight="1">
      <c r="C62" s="141"/>
      <c r="D62" s="142"/>
      <c r="E62" s="146"/>
      <c r="K62" s="94"/>
      <c r="L62" s="94"/>
      <c r="M62" s="94"/>
      <c r="N62" s="94"/>
      <c r="O62" s="94"/>
      <c r="P62" s="94"/>
    </row>
    <row r="64" spans="2:23" ht="18.75" customHeight="1" thickBot="1">
      <c r="B64" s="42"/>
      <c r="C64" s="42"/>
      <c r="D64" s="42"/>
      <c r="E64" s="42"/>
      <c r="F64" s="42"/>
      <c r="G64" s="42"/>
      <c r="H64" s="42"/>
      <c r="I64" s="42"/>
      <c r="J64" s="42"/>
      <c r="K64" s="42"/>
      <c r="L64" s="42"/>
      <c r="M64" s="42"/>
      <c r="N64" s="42"/>
      <c r="O64" s="42"/>
      <c r="P64" s="42"/>
      <c r="Q64" s="42"/>
      <c r="R64" s="42"/>
      <c r="S64" s="42"/>
      <c r="T64" s="42"/>
      <c r="U64" s="42"/>
    </row>
  </sheetData>
  <mergeCells count="42">
    <mergeCell ref="C4:U4"/>
    <mergeCell ref="C5:U5"/>
    <mergeCell ref="C7:D8"/>
    <mergeCell ref="E7:E8"/>
    <mergeCell ref="R7:S8"/>
    <mergeCell ref="T7:T8"/>
    <mergeCell ref="C13:U13"/>
    <mergeCell ref="C14:U14"/>
    <mergeCell ref="C16:D17"/>
    <mergeCell ref="E16:E17"/>
    <mergeCell ref="R16:S17"/>
    <mergeCell ref="T16:T17"/>
    <mergeCell ref="C61:D62"/>
    <mergeCell ref="E61:E62"/>
    <mergeCell ref="C22:U22"/>
    <mergeCell ref="C23:U23"/>
    <mergeCell ref="C49:U49"/>
    <mergeCell ref="C50:U50"/>
    <mergeCell ref="E52:E53"/>
    <mergeCell ref="R52:S53"/>
    <mergeCell ref="T52:T53"/>
    <mergeCell ref="C25:D26"/>
    <mergeCell ref="E25:E26"/>
    <mergeCell ref="R25:S26"/>
    <mergeCell ref="T25:T26"/>
    <mergeCell ref="E58:E59"/>
    <mergeCell ref="C58:D59"/>
    <mergeCell ref="C52:D53"/>
    <mergeCell ref="C55:D56"/>
    <mergeCell ref="E55:E56"/>
    <mergeCell ref="C31:U31"/>
    <mergeCell ref="C32:U32"/>
    <mergeCell ref="C34:D35"/>
    <mergeCell ref="E34:E35"/>
    <mergeCell ref="R34:S35"/>
    <mergeCell ref="T34:T35"/>
    <mergeCell ref="C40:U40"/>
    <mergeCell ref="C41:U41"/>
    <mergeCell ref="C43:D44"/>
    <mergeCell ref="E43:E44"/>
    <mergeCell ref="R43:S44"/>
    <mergeCell ref="T43:T4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60"/>
  <sheetViews>
    <sheetView showGridLines="0" zoomScaleNormal="100" workbookViewId="0">
      <pane xSplit="27" ySplit="5" topLeftCell="AB243" activePane="bottomRight" state="frozenSplit"/>
      <selection pane="topRight" activeCell="AC1" sqref="AC1"/>
      <selection pane="bottomLeft" activeCell="A6" sqref="A6"/>
      <selection pane="bottomRight" activeCell="P246" sqref="P246:AD246"/>
    </sheetView>
  </sheetViews>
  <sheetFormatPr defaultColWidth="2.625" defaultRowHeight="18.75" outlineLevelRow="1"/>
  <cols>
    <col min="1" max="1" width="2.625" style="34" customWidth="1"/>
    <col min="2" max="6" width="2.625" style="65"/>
    <col min="7" max="14" width="2.625" style="32"/>
    <col min="15" max="15" width="20.5" style="32" bestFit="1" customWidth="1"/>
    <col min="16" max="20" width="2.625" style="32"/>
    <col min="21" max="21" width="2.625" style="32" customWidth="1"/>
    <col min="22" max="63" width="2.625" style="32"/>
    <col min="64" max="64" width="2.875" style="32" bestFit="1" customWidth="1"/>
    <col min="65" max="16384" width="2.625" style="32"/>
  </cols>
  <sheetData>
    <row r="1" spans="1:64">
      <c r="B1" s="191" t="s">
        <v>138</v>
      </c>
      <c r="C1" s="192"/>
      <c r="D1" s="192"/>
      <c r="E1" s="192"/>
      <c r="F1" s="192"/>
      <c r="G1" s="192"/>
      <c r="H1" s="192"/>
      <c r="I1" s="192"/>
      <c r="J1" s="192"/>
      <c r="K1" s="192"/>
      <c r="L1" s="192"/>
      <c r="M1" s="192"/>
      <c r="N1" s="193"/>
      <c r="O1" s="197" t="s">
        <v>157</v>
      </c>
      <c r="P1" s="198"/>
      <c r="Q1" s="198"/>
      <c r="R1" s="198"/>
      <c r="S1" s="198"/>
      <c r="T1" s="198"/>
      <c r="U1" s="198"/>
      <c r="V1" s="198"/>
      <c r="W1" s="198"/>
      <c r="X1" s="198"/>
      <c r="Y1" s="198"/>
      <c r="Z1" s="198"/>
      <c r="AA1" s="198"/>
      <c r="AB1" s="198"/>
      <c r="AC1" s="198"/>
      <c r="AD1" s="199"/>
      <c r="AE1" s="197" t="s">
        <v>3283</v>
      </c>
      <c r="AF1" s="198"/>
      <c r="AG1" s="198"/>
      <c r="AH1" s="198"/>
      <c r="AI1" s="198"/>
      <c r="AJ1" s="198"/>
      <c r="AK1" s="198"/>
      <c r="AL1" s="198"/>
      <c r="AM1" s="198"/>
      <c r="AN1" s="198"/>
      <c r="AO1" s="198"/>
      <c r="AP1" s="198"/>
      <c r="AQ1" s="198"/>
      <c r="AR1" s="199"/>
      <c r="AS1" s="197"/>
      <c r="AT1" s="198"/>
      <c r="AU1" s="198"/>
      <c r="AV1" s="198"/>
      <c r="AW1" s="198"/>
      <c r="AX1" s="199"/>
      <c r="AY1" s="197"/>
      <c r="AZ1" s="198"/>
      <c r="BA1" s="198"/>
      <c r="BB1" s="198"/>
      <c r="BC1" s="198"/>
      <c r="BD1" s="199"/>
      <c r="BE1" s="197"/>
      <c r="BF1" s="198"/>
      <c r="BG1" s="198"/>
      <c r="BH1" s="198"/>
      <c r="BI1" s="198"/>
      <c r="BJ1" s="199"/>
    </row>
    <row r="2" spans="1:64">
      <c r="B2" s="194"/>
      <c r="C2" s="195"/>
      <c r="D2" s="195"/>
      <c r="E2" s="195"/>
      <c r="F2" s="195"/>
      <c r="G2" s="195"/>
      <c r="H2" s="195"/>
      <c r="I2" s="195"/>
      <c r="J2" s="195"/>
      <c r="K2" s="195"/>
      <c r="L2" s="195"/>
      <c r="M2" s="195"/>
      <c r="N2" s="196"/>
      <c r="O2" s="200" t="s">
        <v>3782</v>
      </c>
      <c r="P2" s="201"/>
      <c r="Q2" s="201"/>
      <c r="R2" s="201"/>
      <c r="S2" s="201"/>
      <c r="T2" s="201"/>
      <c r="U2" s="201"/>
      <c r="V2" s="201"/>
      <c r="W2" s="201"/>
      <c r="X2" s="201"/>
      <c r="Y2" s="201"/>
      <c r="Z2" s="201"/>
      <c r="AA2" s="201"/>
      <c r="AB2" s="201"/>
      <c r="AC2" s="201"/>
      <c r="AD2" s="202"/>
      <c r="AE2" s="200" t="s">
        <v>3783</v>
      </c>
      <c r="AF2" s="201"/>
      <c r="AG2" s="201"/>
      <c r="AH2" s="201"/>
      <c r="AI2" s="201"/>
      <c r="AJ2" s="201"/>
      <c r="AK2" s="201"/>
      <c r="AL2" s="201"/>
      <c r="AM2" s="201"/>
      <c r="AN2" s="201"/>
      <c r="AO2" s="201"/>
      <c r="AP2" s="201"/>
      <c r="AQ2" s="201"/>
      <c r="AR2" s="202"/>
      <c r="AS2" s="220"/>
      <c r="AT2" s="221"/>
      <c r="AU2" s="221"/>
      <c r="AV2" s="221"/>
      <c r="AW2" s="221"/>
      <c r="AX2" s="222"/>
      <c r="AY2" s="220"/>
      <c r="AZ2" s="221"/>
      <c r="BA2" s="221"/>
      <c r="BB2" s="221"/>
      <c r="BC2" s="221"/>
      <c r="BD2" s="222"/>
      <c r="BE2" s="220"/>
      <c r="BF2" s="221"/>
      <c r="BG2" s="221"/>
      <c r="BH2" s="221"/>
      <c r="BI2" s="221"/>
      <c r="BJ2" s="222"/>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18" t="s">
        <v>165</v>
      </c>
      <c r="C4" s="210"/>
      <c r="D4" s="210"/>
      <c r="E4" s="210"/>
      <c r="F4" s="211"/>
      <c r="G4" s="209" t="s">
        <v>164</v>
      </c>
      <c r="H4" s="210"/>
      <c r="I4" s="210"/>
      <c r="J4" s="210"/>
      <c r="K4" s="210"/>
      <c r="L4" s="210"/>
      <c r="M4" s="210"/>
      <c r="N4" s="211"/>
      <c r="O4" s="209" t="s">
        <v>160</v>
      </c>
      <c r="P4" s="203" t="s">
        <v>139</v>
      </c>
      <c r="Q4" s="204"/>
      <c r="R4" s="204"/>
      <c r="S4" s="204"/>
      <c r="T4" s="204"/>
      <c r="U4" s="204"/>
      <c r="V4" s="204"/>
      <c r="W4" s="204"/>
      <c r="X4" s="204"/>
      <c r="Y4" s="204"/>
      <c r="Z4" s="204"/>
      <c r="AA4" s="204"/>
      <c r="AB4" s="204"/>
      <c r="AC4" s="204"/>
      <c r="AD4" s="205"/>
      <c r="AE4" s="203" t="s">
        <v>136</v>
      </c>
      <c r="AF4" s="204"/>
      <c r="AG4" s="204"/>
      <c r="AH4" s="204"/>
      <c r="AI4" s="204"/>
      <c r="AJ4" s="204"/>
      <c r="AK4" s="204"/>
      <c r="AL4" s="205"/>
      <c r="AM4" s="209" t="s">
        <v>117</v>
      </c>
      <c r="AN4" s="210"/>
      <c r="AO4" s="210"/>
      <c r="AP4" s="210"/>
      <c r="AQ4" s="210"/>
      <c r="AR4" s="210"/>
      <c r="AS4" s="210"/>
      <c r="AT4" s="210"/>
      <c r="AU4" s="210"/>
      <c r="AV4" s="210"/>
      <c r="AW4" s="210"/>
      <c r="AX4" s="210"/>
      <c r="AY4" s="210"/>
      <c r="AZ4" s="210"/>
      <c r="BA4" s="210"/>
      <c r="BB4" s="210"/>
      <c r="BC4" s="210"/>
      <c r="BD4" s="210"/>
      <c r="BE4" s="210"/>
      <c r="BF4" s="210"/>
      <c r="BG4" s="210"/>
      <c r="BH4" s="210"/>
      <c r="BI4" s="210"/>
      <c r="BJ4" s="223"/>
    </row>
    <row r="5" spans="1:64" ht="42" customHeight="1" thickBot="1">
      <c r="B5" s="219"/>
      <c r="C5" s="213"/>
      <c r="D5" s="213"/>
      <c r="E5" s="213"/>
      <c r="F5" s="214"/>
      <c r="G5" s="212"/>
      <c r="H5" s="213"/>
      <c r="I5" s="213"/>
      <c r="J5" s="213"/>
      <c r="K5" s="213"/>
      <c r="L5" s="213"/>
      <c r="M5" s="213"/>
      <c r="N5" s="214"/>
      <c r="O5" s="215"/>
      <c r="P5" s="215"/>
      <c r="Q5" s="216"/>
      <c r="R5" s="216"/>
      <c r="S5" s="216"/>
      <c r="T5" s="216"/>
      <c r="U5" s="216"/>
      <c r="V5" s="216"/>
      <c r="W5" s="216"/>
      <c r="X5" s="216"/>
      <c r="Y5" s="216"/>
      <c r="Z5" s="216"/>
      <c r="AA5" s="216"/>
      <c r="AB5" s="216"/>
      <c r="AC5" s="216"/>
      <c r="AD5" s="217"/>
      <c r="AE5" s="206"/>
      <c r="AF5" s="207"/>
      <c r="AG5" s="207"/>
      <c r="AH5" s="207"/>
      <c r="AI5" s="207"/>
      <c r="AJ5" s="207"/>
      <c r="AK5" s="207"/>
      <c r="AL5" s="208"/>
      <c r="AM5" s="224"/>
      <c r="AN5" s="225"/>
      <c r="AO5" s="225"/>
      <c r="AP5" s="225"/>
      <c r="AQ5" s="225"/>
      <c r="AR5" s="225"/>
      <c r="AS5" s="225"/>
      <c r="AT5" s="225"/>
      <c r="AU5" s="225"/>
      <c r="AV5" s="225"/>
      <c r="AW5" s="225"/>
      <c r="AX5" s="225"/>
      <c r="AY5" s="225"/>
      <c r="AZ5" s="225"/>
      <c r="BA5" s="225"/>
      <c r="BB5" s="225"/>
      <c r="BC5" s="225"/>
      <c r="BD5" s="225"/>
      <c r="BE5" s="225"/>
      <c r="BF5" s="225"/>
      <c r="BG5" s="225"/>
      <c r="BH5" s="225"/>
      <c r="BI5" s="225"/>
      <c r="BJ5" s="226"/>
    </row>
    <row r="6" spans="1:64" ht="37.5" hidden="1" customHeight="1" outlineLevel="1" thickTop="1">
      <c r="A6" s="34" t="str">
        <f>P6</f>
        <v>バックアップ_疾患データ_組み入れ第一条件</v>
      </c>
      <c r="B6" s="181" t="str">
        <f>TEXT(1,"00")</f>
        <v>01</v>
      </c>
      <c r="C6" s="182"/>
      <c r="D6" s="182"/>
      <c r="E6" s="182"/>
      <c r="F6" s="183"/>
      <c r="G6" s="184" t="s">
        <v>196</v>
      </c>
      <c r="H6" s="185"/>
      <c r="I6" s="185"/>
      <c r="J6" s="185"/>
      <c r="K6" s="185"/>
      <c r="L6" s="185"/>
      <c r="M6" s="185"/>
      <c r="N6" s="186"/>
      <c r="O6" s="79" t="s">
        <v>3672</v>
      </c>
      <c r="P6" s="188" t="s">
        <v>3787</v>
      </c>
      <c r="Q6" s="189"/>
      <c r="R6" s="189"/>
      <c r="S6" s="189"/>
      <c r="T6" s="189"/>
      <c r="U6" s="189"/>
      <c r="V6" s="189"/>
      <c r="W6" s="189"/>
      <c r="X6" s="189"/>
      <c r="Y6" s="189"/>
      <c r="Z6" s="189"/>
      <c r="AA6" s="189"/>
      <c r="AB6" s="189"/>
      <c r="AC6" s="189"/>
      <c r="AD6" s="190"/>
      <c r="AE6" s="165" t="str">
        <f t="shared" ref="AE6" ca="1" si="0">IFERROR(INDIRECT(P6&amp;"!D8"),"")</f>
        <v>sny_202310_backup_shikkan_first_criteria</v>
      </c>
      <c r="AF6" s="166"/>
      <c r="AG6" s="166"/>
      <c r="AH6" s="166"/>
      <c r="AI6" s="166"/>
      <c r="AJ6" s="166"/>
      <c r="AK6" s="166"/>
      <c r="AL6" s="187"/>
      <c r="AM6" s="165" t="str">
        <f t="shared" ref="AM6" ca="1" si="1">IFERROR(INDIRECT(P6&amp;"!D9"),"")</f>
        <v>MML診断履歴情報からICD10コードがC900のもので絞り込んだ結果を格納するテーブル</v>
      </c>
      <c r="AN6" s="166"/>
      <c r="AO6" s="166"/>
      <c r="AP6" s="166"/>
      <c r="AQ6" s="166"/>
      <c r="AR6" s="166"/>
      <c r="AS6" s="166"/>
      <c r="AT6" s="166"/>
      <c r="AU6" s="166"/>
      <c r="AV6" s="166"/>
      <c r="AW6" s="166"/>
      <c r="AX6" s="166"/>
      <c r="AY6" s="166"/>
      <c r="AZ6" s="166"/>
      <c r="BA6" s="166"/>
      <c r="BB6" s="166"/>
      <c r="BC6" s="166"/>
      <c r="BD6" s="166"/>
      <c r="BE6" s="166"/>
      <c r="BF6" s="166"/>
      <c r="BG6" s="166"/>
      <c r="BH6" s="166"/>
      <c r="BI6" s="166"/>
      <c r="BJ6" s="167"/>
      <c r="BK6" s="32" t="str">
        <f t="shared" ref="BK6:BK7" si="2">IF(P6&lt;&gt;"",O6&amp;"_"&amp;P6&amp;".sql","")</f>
        <v>ENT_01_01_バックアップ_疾患データ_組み入れ第一条件.sql</v>
      </c>
    </row>
    <row r="7" spans="1:64" ht="37.5" hidden="1" customHeight="1" outlineLevel="1">
      <c r="A7" s="34" t="str">
        <f t="shared" ref="A7" si="3">P7</f>
        <v>バックアップ_患者マスタ_組入れ第一条件</v>
      </c>
      <c r="B7" s="181" t="str">
        <f t="shared" ref="B7" si="4">TEXT(1,"00")</f>
        <v>01</v>
      </c>
      <c r="C7" s="182"/>
      <c r="D7" s="182"/>
      <c r="E7" s="182"/>
      <c r="F7" s="183"/>
      <c r="G7" s="184" t="s">
        <v>196</v>
      </c>
      <c r="H7" s="185"/>
      <c r="I7" s="185"/>
      <c r="J7" s="185"/>
      <c r="K7" s="185"/>
      <c r="L7" s="185"/>
      <c r="M7" s="185"/>
      <c r="N7" s="186"/>
      <c r="O7" s="79" t="s">
        <v>3673</v>
      </c>
      <c r="P7" s="188" t="s">
        <v>3675</v>
      </c>
      <c r="Q7" s="189"/>
      <c r="R7" s="189"/>
      <c r="S7" s="189"/>
      <c r="T7" s="189"/>
      <c r="U7" s="189"/>
      <c r="V7" s="189"/>
      <c r="W7" s="189"/>
      <c r="X7" s="189"/>
      <c r="Y7" s="189"/>
      <c r="Z7" s="189"/>
      <c r="AA7" s="189"/>
      <c r="AB7" s="189"/>
      <c r="AC7" s="189"/>
      <c r="AD7" s="190"/>
      <c r="AE7" s="165" t="str">
        <f t="shared" ref="AE7" ca="1" si="5">IFERROR(INDIRECT(P7&amp;"!D8"),"")</f>
        <v>sny_202310_backup_kanja_first_criteria</v>
      </c>
      <c r="AF7" s="166"/>
      <c r="AG7" s="166"/>
      <c r="AH7" s="166"/>
      <c r="AI7" s="166"/>
      <c r="AJ7" s="166"/>
      <c r="AK7" s="166"/>
      <c r="AL7" s="187"/>
      <c r="AM7" s="165" t="str">
        <f t="shared" ref="AM7" ca="1" si="6">IFERROR(INDIRECT(P7&amp;"!D9"),"")</f>
        <v>患者マスタ_組入れ第一条件テーブルから組入れ条件の第一条件で絞り込んだ結果を格納するテーブル</v>
      </c>
      <c r="AN7" s="166"/>
      <c r="AO7" s="166"/>
      <c r="AP7" s="166"/>
      <c r="AQ7" s="166"/>
      <c r="AR7" s="166"/>
      <c r="AS7" s="166"/>
      <c r="AT7" s="166"/>
      <c r="AU7" s="166"/>
      <c r="AV7" s="166"/>
      <c r="AW7" s="166"/>
      <c r="AX7" s="166"/>
      <c r="AY7" s="166"/>
      <c r="AZ7" s="166"/>
      <c r="BA7" s="166"/>
      <c r="BB7" s="166"/>
      <c r="BC7" s="166"/>
      <c r="BD7" s="166"/>
      <c r="BE7" s="166"/>
      <c r="BF7" s="166"/>
      <c r="BG7" s="166"/>
      <c r="BH7" s="166"/>
      <c r="BI7" s="166"/>
      <c r="BJ7" s="167"/>
      <c r="BK7" s="32" t="str">
        <f t="shared" si="2"/>
        <v>ENT_01_02_バックアップ_患者マスタ_組入れ第一条件.sql</v>
      </c>
    </row>
    <row r="8" spans="1:64" ht="37.5" hidden="1" customHeight="1" outlineLevel="1">
      <c r="A8" s="34" t="str">
        <f t="shared" ref="A8:A19" si="7">P8</f>
        <v>バックアップ_処方データ</v>
      </c>
      <c r="B8" s="181" t="str">
        <f t="shared" ref="B8:B152" si="8">TEXT(1,"00")</f>
        <v>01</v>
      </c>
      <c r="C8" s="182"/>
      <c r="D8" s="182"/>
      <c r="E8" s="182"/>
      <c r="F8" s="183"/>
      <c r="G8" s="184" t="s">
        <v>196</v>
      </c>
      <c r="H8" s="185"/>
      <c r="I8" s="185"/>
      <c r="J8" s="185"/>
      <c r="K8" s="185"/>
      <c r="L8" s="185"/>
      <c r="M8" s="185"/>
      <c r="N8" s="186"/>
      <c r="O8" s="79" t="s">
        <v>3132</v>
      </c>
      <c r="P8" s="188" t="s">
        <v>1735</v>
      </c>
      <c r="Q8" s="189"/>
      <c r="R8" s="189"/>
      <c r="S8" s="189"/>
      <c r="T8" s="189"/>
      <c r="U8" s="189"/>
      <c r="V8" s="189"/>
      <c r="W8" s="189"/>
      <c r="X8" s="189"/>
      <c r="Y8" s="189"/>
      <c r="Z8" s="189"/>
      <c r="AA8" s="189"/>
      <c r="AB8" s="189"/>
      <c r="AC8" s="189"/>
      <c r="AD8" s="190"/>
      <c r="AE8" s="165" t="str">
        <f t="shared" ref="AE8:AE19" ca="1" si="9">IFERROR(INDIRECT(P8&amp;"!D8"),"")</f>
        <v>sny_202310_backup_mart_shohou</v>
      </c>
      <c r="AF8" s="166"/>
      <c r="AG8" s="166"/>
      <c r="AH8" s="166"/>
      <c r="AI8" s="166"/>
      <c r="AJ8" s="166"/>
      <c r="AK8" s="166"/>
      <c r="AL8" s="187"/>
      <c r="AM8" s="165" t="str">
        <f t="shared" ref="AM8:AM19" ca="1" si="10">IFERROR(INDIRECT(P8&amp;"!D9"),"")</f>
        <v>処方データテーブルから組入れ条件の第一条件で絞り込んだ結果を格納するテーブル</v>
      </c>
      <c r="AN8" s="166"/>
      <c r="AO8" s="166"/>
      <c r="AP8" s="166"/>
      <c r="AQ8" s="166"/>
      <c r="AR8" s="166"/>
      <c r="AS8" s="166"/>
      <c r="AT8" s="166"/>
      <c r="AU8" s="166"/>
      <c r="AV8" s="166"/>
      <c r="AW8" s="166"/>
      <c r="AX8" s="166"/>
      <c r="AY8" s="166"/>
      <c r="AZ8" s="166"/>
      <c r="BA8" s="166"/>
      <c r="BB8" s="166"/>
      <c r="BC8" s="166"/>
      <c r="BD8" s="166"/>
      <c r="BE8" s="166"/>
      <c r="BF8" s="166"/>
      <c r="BG8" s="166"/>
      <c r="BH8" s="166"/>
      <c r="BI8" s="166"/>
      <c r="BJ8" s="167"/>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81" t="str">
        <f t="shared" si="8"/>
        <v>01</v>
      </c>
      <c r="C9" s="182"/>
      <c r="D9" s="182"/>
      <c r="E9" s="182"/>
      <c r="F9" s="183"/>
      <c r="G9" s="184" t="s">
        <v>196</v>
      </c>
      <c r="H9" s="185"/>
      <c r="I9" s="185"/>
      <c r="J9" s="185"/>
      <c r="K9" s="185"/>
      <c r="L9" s="185"/>
      <c r="M9" s="185"/>
      <c r="N9" s="186"/>
      <c r="O9" s="79" t="s">
        <v>3133</v>
      </c>
      <c r="P9" s="188" t="s">
        <v>1762</v>
      </c>
      <c r="Q9" s="189"/>
      <c r="R9" s="189"/>
      <c r="S9" s="189"/>
      <c r="T9" s="189"/>
      <c r="U9" s="189"/>
      <c r="V9" s="189"/>
      <c r="W9" s="189"/>
      <c r="X9" s="189"/>
      <c r="Y9" s="189"/>
      <c r="Z9" s="189"/>
      <c r="AA9" s="189"/>
      <c r="AB9" s="189"/>
      <c r="AC9" s="189"/>
      <c r="AD9" s="190"/>
      <c r="AE9" s="165" t="str">
        <f t="shared" ca="1" si="9"/>
        <v>sny_202310_backup_mart_shinryou_koui</v>
      </c>
      <c r="AF9" s="166"/>
      <c r="AG9" s="166"/>
      <c r="AH9" s="166"/>
      <c r="AI9" s="166"/>
      <c r="AJ9" s="166"/>
      <c r="AK9" s="166"/>
      <c r="AL9" s="187"/>
      <c r="AM9" s="165" t="str">
        <f t="shared" ca="1" si="10"/>
        <v>診療行為データテーブルから組入れ条件の第一条件で絞り込んだ結果を格納するテーブル</v>
      </c>
      <c r="AN9" s="166"/>
      <c r="AO9" s="166"/>
      <c r="AP9" s="166"/>
      <c r="AQ9" s="166"/>
      <c r="AR9" s="166"/>
      <c r="AS9" s="166"/>
      <c r="AT9" s="166"/>
      <c r="AU9" s="166"/>
      <c r="AV9" s="166"/>
      <c r="AW9" s="166"/>
      <c r="AX9" s="166"/>
      <c r="AY9" s="166"/>
      <c r="AZ9" s="166"/>
      <c r="BA9" s="166"/>
      <c r="BB9" s="166"/>
      <c r="BC9" s="166"/>
      <c r="BD9" s="166"/>
      <c r="BE9" s="166"/>
      <c r="BF9" s="166"/>
      <c r="BG9" s="166"/>
      <c r="BH9" s="166"/>
      <c r="BI9" s="166"/>
      <c r="BJ9" s="167"/>
      <c r="BK9" s="32" t="str">
        <f t="shared" si="11"/>
        <v>ENT_01_A1-03_バックアップ_診療行為データ.sql</v>
      </c>
      <c r="BL9" s="32">
        <v>1</v>
      </c>
    </row>
    <row r="10" spans="1:64" ht="37.5" hidden="1" customHeight="1" outlineLevel="1">
      <c r="A10" s="34" t="str">
        <f t="shared" si="7"/>
        <v>バックアップ_疾患データ</v>
      </c>
      <c r="B10" s="181" t="str">
        <f t="shared" si="8"/>
        <v>01</v>
      </c>
      <c r="C10" s="182"/>
      <c r="D10" s="182"/>
      <c r="E10" s="182"/>
      <c r="F10" s="183"/>
      <c r="G10" s="184" t="s">
        <v>196</v>
      </c>
      <c r="H10" s="185"/>
      <c r="I10" s="185"/>
      <c r="J10" s="185"/>
      <c r="K10" s="185"/>
      <c r="L10" s="185"/>
      <c r="M10" s="185"/>
      <c r="N10" s="186"/>
      <c r="O10" s="79" t="s">
        <v>3134</v>
      </c>
      <c r="P10" s="188" t="s">
        <v>1771</v>
      </c>
      <c r="Q10" s="189"/>
      <c r="R10" s="189"/>
      <c r="S10" s="189"/>
      <c r="T10" s="189"/>
      <c r="U10" s="189"/>
      <c r="V10" s="189"/>
      <c r="W10" s="189"/>
      <c r="X10" s="189"/>
      <c r="Y10" s="189"/>
      <c r="Z10" s="189"/>
      <c r="AA10" s="189"/>
      <c r="AB10" s="189"/>
      <c r="AC10" s="189"/>
      <c r="AD10" s="190"/>
      <c r="AE10" s="165" t="str">
        <f t="shared" ca="1" si="9"/>
        <v>sny_202310_backup_mart_shikkan</v>
      </c>
      <c r="AF10" s="166"/>
      <c r="AG10" s="166"/>
      <c r="AH10" s="166"/>
      <c r="AI10" s="166"/>
      <c r="AJ10" s="166"/>
      <c r="AK10" s="166"/>
      <c r="AL10" s="187"/>
      <c r="AM10" s="165" t="str">
        <f t="shared" ca="1" si="10"/>
        <v>疾患データテーブルから組入れ条件の第一条件で絞り込んだ結果を格納するテーブル</v>
      </c>
      <c r="AN10" s="166"/>
      <c r="AO10" s="166"/>
      <c r="AP10" s="166"/>
      <c r="AQ10" s="166"/>
      <c r="AR10" s="166"/>
      <c r="AS10" s="166"/>
      <c r="AT10" s="166"/>
      <c r="AU10" s="166"/>
      <c r="AV10" s="166"/>
      <c r="AW10" s="166"/>
      <c r="AX10" s="166"/>
      <c r="AY10" s="166"/>
      <c r="AZ10" s="166"/>
      <c r="BA10" s="166"/>
      <c r="BB10" s="166"/>
      <c r="BC10" s="166"/>
      <c r="BD10" s="166"/>
      <c r="BE10" s="166"/>
      <c r="BF10" s="166"/>
      <c r="BG10" s="166"/>
      <c r="BH10" s="166"/>
      <c r="BI10" s="166"/>
      <c r="BJ10" s="167"/>
      <c r="BK10" s="32" t="str">
        <f t="shared" si="11"/>
        <v>ENT_01_A1-04_バックアップ_疾患データ.sql</v>
      </c>
    </row>
    <row r="11" spans="1:64" ht="37.5" hidden="1" customHeight="1" outlineLevel="1">
      <c r="A11" s="34" t="str">
        <f t="shared" si="7"/>
        <v>バックアップ_疾患診療科データ</v>
      </c>
      <c r="B11" s="181" t="str">
        <f t="shared" si="8"/>
        <v>01</v>
      </c>
      <c r="C11" s="182"/>
      <c r="D11" s="182"/>
      <c r="E11" s="182"/>
      <c r="F11" s="183"/>
      <c r="G11" s="184" t="s">
        <v>196</v>
      </c>
      <c r="H11" s="185"/>
      <c r="I11" s="185"/>
      <c r="J11" s="185"/>
      <c r="K11" s="185"/>
      <c r="L11" s="185"/>
      <c r="M11" s="185"/>
      <c r="N11" s="186"/>
      <c r="O11" s="79" t="s">
        <v>3135</v>
      </c>
      <c r="P11" s="188" t="s">
        <v>1798</v>
      </c>
      <c r="Q11" s="189"/>
      <c r="R11" s="189"/>
      <c r="S11" s="189"/>
      <c r="T11" s="189"/>
      <c r="U11" s="189"/>
      <c r="V11" s="189"/>
      <c r="W11" s="189"/>
      <c r="X11" s="189"/>
      <c r="Y11" s="189"/>
      <c r="Z11" s="189"/>
      <c r="AA11" s="189"/>
      <c r="AB11" s="189"/>
      <c r="AC11" s="189"/>
      <c r="AD11" s="190"/>
      <c r="AE11" s="165" t="str">
        <f t="shared" ca="1" si="9"/>
        <v>sny_202310_backup_mart_shikkan_department</v>
      </c>
      <c r="AF11" s="166"/>
      <c r="AG11" s="166"/>
      <c r="AH11" s="166"/>
      <c r="AI11" s="166"/>
      <c r="AJ11" s="166"/>
      <c r="AK11" s="166"/>
      <c r="AL11" s="187"/>
      <c r="AM11" s="165" t="str">
        <f t="shared" ca="1" si="10"/>
        <v>疾患診療科データテーブルから組入れ条件の第一条件で絞り込んだ結果を格納するテーブル</v>
      </c>
      <c r="AN11" s="166"/>
      <c r="AO11" s="166"/>
      <c r="AP11" s="166"/>
      <c r="AQ11" s="166"/>
      <c r="AR11" s="166"/>
      <c r="AS11" s="166"/>
      <c r="AT11" s="166"/>
      <c r="AU11" s="166"/>
      <c r="AV11" s="166"/>
      <c r="AW11" s="166"/>
      <c r="AX11" s="166"/>
      <c r="AY11" s="166"/>
      <c r="AZ11" s="166"/>
      <c r="BA11" s="166"/>
      <c r="BB11" s="166"/>
      <c r="BC11" s="166"/>
      <c r="BD11" s="166"/>
      <c r="BE11" s="166"/>
      <c r="BF11" s="166"/>
      <c r="BG11" s="166"/>
      <c r="BH11" s="166"/>
      <c r="BI11" s="166"/>
      <c r="BJ11" s="167"/>
      <c r="BK11" s="32" t="str">
        <f t="shared" si="11"/>
        <v>ENT_01_A1-05_バックアップ_疾患診療科データ.sql</v>
      </c>
    </row>
    <row r="12" spans="1:64" ht="37.5" hidden="1" customHeight="1" outlineLevel="1">
      <c r="A12" s="34" t="str">
        <f t="shared" si="7"/>
        <v>バックアップ_入院退院データ</v>
      </c>
      <c r="B12" s="181" t="str">
        <f t="shared" si="8"/>
        <v>01</v>
      </c>
      <c r="C12" s="182"/>
      <c r="D12" s="182"/>
      <c r="E12" s="182"/>
      <c r="F12" s="183"/>
      <c r="G12" s="184" t="s">
        <v>196</v>
      </c>
      <c r="H12" s="185"/>
      <c r="I12" s="185"/>
      <c r="J12" s="185"/>
      <c r="K12" s="185"/>
      <c r="L12" s="185"/>
      <c r="M12" s="185"/>
      <c r="N12" s="186"/>
      <c r="O12" s="79" t="s">
        <v>3136</v>
      </c>
      <c r="P12" s="188" t="s">
        <v>1806</v>
      </c>
      <c r="Q12" s="189"/>
      <c r="R12" s="189"/>
      <c r="S12" s="189"/>
      <c r="T12" s="189"/>
      <c r="U12" s="189"/>
      <c r="V12" s="189"/>
      <c r="W12" s="189"/>
      <c r="X12" s="189"/>
      <c r="Y12" s="189"/>
      <c r="Z12" s="189"/>
      <c r="AA12" s="189"/>
      <c r="AB12" s="189"/>
      <c r="AC12" s="189"/>
      <c r="AD12" s="190"/>
      <c r="AE12" s="165" t="str">
        <f t="shared" ca="1" si="9"/>
        <v>sny_202310_backup_mart_nyu_tai_in</v>
      </c>
      <c r="AF12" s="166"/>
      <c r="AG12" s="166"/>
      <c r="AH12" s="166"/>
      <c r="AI12" s="166"/>
      <c r="AJ12" s="166"/>
      <c r="AK12" s="166"/>
      <c r="AL12" s="187"/>
      <c r="AM12" s="165" t="str">
        <f t="shared" ca="1" si="10"/>
        <v>入院退院データテーブルから組入れ条件の第一条件で絞り込んだ結果を格納するテーブル</v>
      </c>
      <c r="AN12" s="166"/>
      <c r="AO12" s="166"/>
      <c r="AP12" s="166"/>
      <c r="AQ12" s="166"/>
      <c r="AR12" s="166"/>
      <c r="AS12" s="166"/>
      <c r="AT12" s="166"/>
      <c r="AU12" s="166"/>
      <c r="AV12" s="166"/>
      <c r="AW12" s="166"/>
      <c r="AX12" s="166"/>
      <c r="AY12" s="166"/>
      <c r="AZ12" s="166"/>
      <c r="BA12" s="166"/>
      <c r="BB12" s="166"/>
      <c r="BC12" s="166"/>
      <c r="BD12" s="166"/>
      <c r="BE12" s="166"/>
      <c r="BF12" s="166"/>
      <c r="BG12" s="166"/>
      <c r="BH12" s="166"/>
      <c r="BI12" s="166"/>
      <c r="BJ12" s="167"/>
      <c r="BK12" s="32" t="str">
        <f t="shared" si="11"/>
        <v>ENT_01_A1-06_バックアップ_入院退院データ.sql</v>
      </c>
      <c r="BL12" s="32">
        <v>1</v>
      </c>
    </row>
    <row r="13" spans="1:64" ht="37.5" hidden="1" customHeight="1" outlineLevel="1">
      <c r="A13" s="34" t="str">
        <f t="shared" si="7"/>
        <v>バックアップ_二次利用DB登録患者データ</v>
      </c>
      <c r="B13" s="181" t="str">
        <f t="shared" si="8"/>
        <v>01</v>
      </c>
      <c r="C13" s="182"/>
      <c r="D13" s="182"/>
      <c r="E13" s="182"/>
      <c r="F13" s="183"/>
      <c r="G13" s="184" t="s">
        <v>196</v>
      </c>
      <c r="H13" s="185"/>
      <c r="I13" s="185"/>
      <c r="J13" s="185"/>
      <c r="K13" s="185"/>
      <c r="L13" s="185"/>
      <c r="M13" s="185"/>
      <c r="N13" s="186"/>
      <c r="O13" s="79" t="s">
        <v>3137</v>
      </c>
      <c r="P13" s="188" t="s">
        <v>1819</v>
      </c>
      <c r="Q13" s="189"/>
      <c r="R13" s="189"/>
      <c r="S13" s="189"/>
      <c r="T13" s="189"/>
      <c r="U13" s="189"/>
      <c r="V13" s="189"/>
      <c r="W13" s="189"/>
      <c r="X13" s="189"/>
      <c r="Y13" s="189"/>
      <c r="Z13" s="189"/>
      <c r="AA13" s="189"/>
      <c r="AB13" s="189"/>
      <c r="AC13" s="189"/>
      <c r="AD13" s="190"/>
      <c r="AE13" s="165" t="str">
        <f t="shared" ca="1" si="9"/>
        <v>sny_202310_backup_mart_2riyo_patient_id</v>
      </c>
      <c r="AF13" s="166"/>
      <c r="AG13" s="166"/>
      <c r="AH13" s="166"/>
      <c r="AI13" s="166"/>
      <c r="AJ13" s="166"/>
      <c r="AK13" s="166"/>
      <c r="AL13" s="187"/>
      <c r="AM13" s="165" t="str">
        <f t="shared" ca="1" si="10"/>
        <v>二次利用DB登録患者データテーブルから組入れ条件の第一条件で絞り込んだ結果を格納するテーブル</v>
      </c>
      <c r="AN13" s="166"/>
      <c r="AO13" s="166"/>
      <c r="AP13" s="166"/>
      <c r="AQ13" s="166"/>
      <c r="AR13" s="166"/>
      <c r="AS13" s="166"/>
      <c r="AT13" s="166"/>
      <c r="AU13" s="166"/>
      <c r="AV13" s="166"/>
      <c r="AW13" s="166"/>
      <c r="AX13" s="166"/>
      <c r="AY13" s="166"/>
      <c r="AZ13" s="166"/>
      <c r="BA13" s="166"/>
      <c r="BB13" s="166"/>
      <c r="BC13" s="166"/>
      <c r="BD13" s="166"/>
      <c r="BE13" s="166"/>
      <c r="BF13" s="166"/>
      <c r="BG13" s="166"/>
      <c r="BH13" s="166"/>
      <c r="BI13" s="166"/>
      <c r="BJ13" s="167"/>
      <c r="BK13" s="32" t="str">
        <f t="shared" si="11"/>
        <v>ENT_01_A1-07_バックアップ_二次利用DB登録患者データ.sql</v>
      </c>
    </row>
    <row r="14" spans="1:64" ht="37.5" hidden="1" customHeight="1" outlineLevel="1">
      <c r="A14" s="34" t="str">
        <f t="shared" si="7"/>
        <v>バックアップ_二次利用DB登録患者データ_DPC</v>
      </c>
      <c r="B14" s="181" t="str">
        <f t="shared" si="8"/>
        <v>01</v>
      </c>
      <c r="C14" s="182"/>
      <c r="D14" s="182"/>
      <c r="E14" s="182"/>
      <c r="F14" s="183"/>
      <c r="G14" s="184" t="s">
        <v>196</v>
      </c>
      <c r="H14" s="185"/>
      <c r="I14" s="185"/>
      <c r="J14" s="185"/>
      <c r="K14" s="185"/>
      <c r="L14" s="185"/>
      <c r="M14" s="185"/>
      <c r="N14" s="186"/>
      <c r="O14" s="79" t="s">
        <v>3138</v>
      </c>
      <c r="P14" s="188" t="s">
        <v>1825</v>
      </c>
      <c r="Q14" s="189"/>
      <c r="R14" s="189"/>
      <c r="S14" s="189"/>
      <c r="T14" s="189"/>
      <c r="U14" s="189"/>
      <c r="V14" s="189"/>
      <c r="W14" s="189"/>
      <c r="X14" s="189"/>
      <c r="Y14" s="189"/>
      <c r="Z14" s="189"/>
      <c r="AA14" s="189"/>
      <c r="AB14" s="189"/>
      <c r="AC14" s="189"/>
      <c r="AD14" s="190"/>
      <c r="AE14" s="165" t="str">
        <f t="shared" ca="1" si="9"/>
        <v>sny_202310_backup_mart_2riyo_patient_id_dpc</v>
      </c>
      <c r="AF14" s="166"/>
      <c r="AG14" s="166"/>
      <c r="AH14" s="166"/>
      <c r="AI14" s="166"/>
      <c r="AJ14" s="166"/>
      <c r="AK14" s="166"/>
      <c r="AL14" s="187"/>
      <c r="AM14" s="165" t="str">
        <f t="shared" ca="1" si="10"/>
        <v>二次利用DB登録患者データ_DPCテーブルから組入れ条件の第一条件で絞り込んだ結果を格納するテーブル</v>
      </c>
      <c r="AN14" s="166"/>
      <c r="AO14" s="166"/>
      <c r="AP14" s="166"/>
      <c r="AQ14" s="166"/>
      <c r="AR14" s="166"/>
      <c r="AS14" s="166"/>
      <c r="AT14" s="166"/>
      <c r="AU14" s="166"/>
      <c r="AV14" s="166"/>
      <c r="AW14" s="166"/>
      <c r="AX14" s="166"/>
      <c r="AY14" s="166"/>
      <c r="AZ14" s="166"/>
      <c r="BA14" s="166"/>
      <c r="BB14" s="166"/>
      <c r="BC14" s="166"/>
      <c r="BD14" s="166"/>
      <c r="BE14" s="166"/>
      <c r="BF14" s="166"/>
      <c r="BG14" s="166"/>
      <c r="BH14" s="166"/>
      <c r="BI14" s="166"/>
      <c r="BJ14" s="167"/>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81" t="str">
        <f t="shared" si="8"/>
        <v>01</v>
      </c>
      <c r="C15" s="182"/>
      <c r="D15" s="182"/>
      <c r="E15" s="182"/>
      <c r="F15" s="183"/>
      <c r="G15" s="184" t="s">
        <v>196</v>
      </c>
      <c r="H15" s="185"/>
      <c r="I15" s="185"/>
      <c r="J15" s="185"/>
      <c r="K15" s="185"/>
      <c r="L15" s="185"/>
      <c r="M15" s="185"/>
      <c r="N15" s="186"/>
      <c r="O15" s="79" t="s">
        <v>3139</v>
      </c>
      <c r="P15" s="188" t="s">
        <v>1835</v>
      </c>
      <c r="Q15" s="189"/>
      <c r="R15" s="189"/>
      <c r="S15" s="189"/>
      <c r="T15" s="189"/>
      <c r="U15" s="189"/>
      <c r="V15" s="189"/>
      <c r="W15" s="189"/>
      <c r="X15" s="189"/>
      <c r="Y15" s="189"/>
      <c r="Z15" s="189"/>
      <c r="AA15" s="189"/>
      <c r="AB15" s="189"/>
      <c r="AC15" s="189"/>
      <c r="AD15" s="190"/>
      <c r="AE15" s="165" t="str">
        <f t="shared" ca="1" si="9"/>
        <v>sny_202310_backup_mart_2riyo_patient_id_rcp</v>
      </c>
      <c r="AF15" s="166"/>
      <c r="AG15" s="166"/>
      <c r="AH15" s="166"/>
      <c r="AI15" s="166"/>
      <c r="AJ15" s="166"/>
      <c r="AK15" s="166"/>
      <c r="AL15" s="187"/>
      <c r="AM15" s="165" t="str">
        <f t="shared" ca="1" si="10"/>
        <v>二次利用DB登録患者データ_レセプトテーブルから組入れ条件の第一条件で絞り込んだ結果を格納するテーブル</v>
      </c>
      <c r="AN15" s="166"/>
      <c r="AO15" s="166"/>
      <c r="AP15" s="166"/>
      <c r="AQ15" s="166"/>
      <c r="AR15" s="166"/>
      <c r="AS15" s="166"/>
      <c r="AT15" s="166"/>
      <c r="AU15" s="166"/>
      <c r="AV15" s="166"/>
      <c r="AW15" s="166"/>
      <c r="AX15" s="166"/>
      <c r="AY15" s="166"/>
      <c r="AZ15" s="166"/>
      <c r="BA15" s="166"/>
      <c r="BB15" s="166"/>
      <c r="BC15" s="166"/>
      <c r="BD15" s="166"/>
      <c r="BE15" s="166"/>
      <c r="BF15" s="166"/>
      <c r="BG15" s="166"/>
      <c r="BH15" s="166"/>
      <c r="BI15" s="166"/>
      <c r="BJ15" s="167"/>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81" t="str">
        <f t="shared" si="8"/>
        <v>01</v>
      </c>
      <c r="C16" s="182"/>
      <c r="D16" s="182"/>
      <c r="E16" s="182"/>
      <c r="F16" s="183"/>
      <c r="G16" s="184" t="s">
        <v>196</v>
      </c>
      <c r="H16" s="185"/>
      <c r="I16" s="185"/>
      <c r="J16" s="185"/>
      <c r="K16" s="185"/>
      <c r="L16" s="185"/>
      <c r="M16" s="185"/>
      <c r="N16" s="186"/>
      <c r="O16" s="79" t="s">
        <v>3140</v>
      </c>
      <c r="P16" s="188" t="s">
        <v>1838</v>
      </c>
      <c r="Q16" s="189"/>
      <c r="R16" s="189"/>
      <c r="S16" s="189"/>
      <c r="T16" s="189"/>
      <c r="U16" s="189"/>
      <c r="V16" s="189"/>
      <c r="W16" s="189"/>
      <c r="X16" s="189"/>
      <c r="Y16" s="189"/>
      <c r="Z16" s="189"/>
      <c r="AA16" s="189"/>
      <c r="AB16" s="189"/>
      <c r="AC16" s="189"/>
      <c r="AD16" s="190"/>
      <c r="AE16" s="165" t="str">
        <f t="shared" ca="1" si="9"/>
        <v>sny_202310_backup_mart_2riyo_patient_id_mml</v>
      </c>
      <c r="AF16" s="166"/>
      <c r="AG16" s="166"/>
      <c r="AH16" s="166"/>
      <c r="AI16" s="166"/>
      <c r="AJ16" s="166"/>
      <c r="AK16" s="166"/>
      <c r="AL16" s="187"/>
      <c r="AM16" s="165" t="str">
        <f t="shared" ca="1" si="10"/>
        <v>二次利用DB登録患者データ_MMLテーブルから組入れ条件の第一条件で絞り込んだ結果を格納するテーブル</v>
      </c>
      <c r="AN16" s="166"/>
      <c r="AO16" s="166"/>
      <c r="AP16" s="166"/>
      <c r="AQ16" s="166"/>
      <c r="AR16" s="166"/>
      <c r="AS16" s="166"/>
      <c r="AT16" s="166"/>
      <c r="AU16" s="166"/>
      <c r="AV16" s="166"/>
      <c r="AW16" s="166"/>
      <c r="AX16" s="166"/>
      <c r="AY16" s="166"/>
      <c r="AZ16" s="166"/>
      <c r="BA16" s="166"/>
      <c r="BB16" s="166"/>
      <c r="BC16" s="166"/>
      <c r="BD16" s="166"/>
      <c r="BE16" s="166"/>
      <c r="BF16" s="166"/>
      <c r="BG16" s="166"/>
      <c r="BH16" s="166"/>
      <c r="BI16" s="166"/>
      <c r="BJ16" s="167"/>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81" t="str">
        <f t="shared" si="8"/>
        <v>01</v>
      </c>
      <c r="C17" s="182"/>
      <c r="D17" s="182"/>
      <c r="E17" s="182"/>
      <c r="F17" s="183"/>
      <c r="G17" s="184" t="s">
        <v>196</v>
      </c>
      <c r="H17" s="185"/>
      <c r="I17" s="185"/>
      <c r="J17" s="185"/>
      <c r="K17" s="185"/>
      <c r="L17" s="185"/>
      <c r="M17" s="185"/>
      <c r="N17" s="186"/>
      <c r="O17" s="79" t="s">
        <v>3141</v>
      </c>
      <c r="P17" s="188" t="s">
        <v>1842</v>
      </c>
      <c r="Q17" s="189"/>
      <c r="R17" s="189"/>
      <c r="S17" s="189"/>
      <c r="T17" s="189"/>
      <c r="U17" s="189"/>
      <c r="V17" s="189"/>
      <c r="W17" s="189"/>
      <c r="X17" s="189"/>
      <c r="Y17" s="189"/>
      <c r="Z17" s="189"/>
      <c r="AA17" s="189"/>
      <c r="AB17" s="189"/>
      <c r="AC17" s="189"/>
      <c r="AD17" s="190"/>
      <c r="AE17" s="165" t="str">
        <f t="shared" ca="1" si="9"/>
        <v>sny_202310_backup_mart_2riyo_patient_himoduke</v>
      </c>
      <c r="AF17" s="166"/>
      <c r="AG17" s="166"/>
      <c r="AH17" s="166"/>
      <c r="AI17" s="166"/>
      <c r="AJ17" s="166"/>
      <c r="AK17" s="166"/>
      <c r="AL17" s="187"/>
      <c r="AM17" s="165" t="str">
        <f t="shared" ca="1" si="10"/>
        <v>二次利用DB登録患者紐付けデータテーブルから組入れ条件の第一条件で絞り込んだ結果を格納するテーブル</v>
      </c>
      <c r="AN17" s="166"/>
      <c r="AO17" s="166"/>
      <c r="AP17" s="166"/>
      <c r="AQ17" s="166"/>
      <c r="AR17" s="166"/>
      <c r="AS17" s="166"/>
      <c r="AT17" s="166"/>
      <c r="AU17" s="166"/>
      <c r="AV17" s="166"/>
      <c r="AW17" s="166"/>
      <c r="AX17" s="166"/>
      <c r="AY17" s="166"/>
      <c r="AZ17" s="166"/>
      <c r="BA17" s="166"/>
      <c r="BB17" s="166"/>
      <c r="BC17" s="166"/>
      <c r="BD17" s="166"/>
      <c r="BE17" s="166"/>
      <c r="BF17" s="166"/>
      <c r="BG17" s="166"/>
      <c r="BH17" s="166"/>
      <c r="BI17" s="166"/>
      <c r="BJ17" s="167"/>
      <c r="BK17" s="32" t="str">
        <f t="shared" si="11"/>
        <v>ENT_01_A1-11_バックアップ_二次利用DB登録患者紐付けデータ.sql</v>
      </c>
    </row>
    <row r="18" spans="1:64" ht="37.5" hidden="1" customHeight="1" outlineLevel="1">
      <c r="A18" s="34" t="str">
        <f t="shared" si="7"/>
        <v>バックアップ_エラー患者データ</v>
      </c>
      <c r="B18" s="181" t="str">
        <f t="shared" si="8"/>
        <v>01</v>
      </c>
      <c r="C18" s="182"/>
      <c r="D18" s="182"/>
      <c r="E18" s="182"/>
      <c r="F18" s="183"/>
      <c r="G18" s="184" t="s">
        <v>196</v>
      </c>
      <c r="H18" s="185"/>
      <c r="I18" s="185"/>
      <c r="J18" s="185"/>
      <c r="K18" s="185"/>
      <c r="L18" s="185"/>
      <c r="M18" s="185"/>
      <c r="N18" s="186"/>
      <c r="O18" s="79" t="s">
        <v>3142</v>
      </c>
      <c r="P18" s="188" t="s">
        <v>1848</v>
      </c>
      <c r="Q18" s="189"/>
      <c r="R18" s="189"/>
      <c r="S18" s="189"/>
      <c r="T18" s="189"/>
      <c r="U18" s="189"/>
      <c r="V18" s="189"/>
      <c r="W18" s="189"/>
      <c r="X18" s="189"/>
      <c r="Y18" s="189"/>
      <c r="Z18" s="189"/>
      <c r="AA18" s="189"/>
      <c r="AB18" s="189"/>
      <c r="AC18" s="189"/>
      <c r="AD18" s="190"/>
      <c r="AE18" s="165" t="str">
        <f t="shared" ca="1" si="9"/>
        <v>sny_202310_backup_mart_error_patient</v>
      </c>
      <c r="AF18" s="166"/>
      <c r="AG18" s="166"/>
      <c r="AH18" s="166"/>
      <c r="AI18" s="166"/>
      <c r="AJ18" s="166"/>
      <c r="AK18" s="166"/>
      <c r="AL18" s="187"/>
      <c r="AM18" s="165" t="str">
        <f t="shared" ca="1" si="10"/>
        <v>エラー患者データテーブルから組入れ条件の第一条件で絞り込んだ結果を格納するテーブル</v>
      </c>
      <c r="AN18" s="166"/>
      <c r="AO18" s="166"/>
      <c r="AP18" s="166"/>
      <c r="AQ18" s="166"/>
      <c r="AR18" s="166"/>
      <c r="AS18" s="166"/>
      <c r="AT18" s="166"/>
      <c r="AU18" s="166"/>
      <c r="AV18" s="166"/>
      <c r="AW18" s="166"/>
      <c r="AX18" s="166"/>
      <c r="AY18" s="166"/>
      <c r="AZ18" s="166"/>
      <c r="BA18" s="166"/>
      <c r="BB18" s="166"/>
      <c r="BC18" s="166"/>
      <c r="BD18" s="166"/>
      <c r="BE18" s="166"/>
      <c r="BF18" s="166"/>
      <c r="BG18" s="166"/>
      <c r="BH18" s="166"/>
      <c r="BI18" s="166"/>
      <c r="BJ18" s="167"/>
      <c r="BK18" s="32" t="str">
        <f t="shared" si="11"/>
        <v>ENT_01_A1-13_バックアップ_エラー患者データ.sql</v>
      </c>
    </row>
    <row r="19" spans="1:64" ht="37.5" hidden="1" customHeight="1" outlineLevel="1">
      <c r="A19" s="34" t="str">
        <f t="shared" si="7"/>
        <v>バックアップ_患者基本データ</v>
      </c>
      <c r="B19" s="181" t="str">
        <f t="shared" si="8"/>
        <v>01</v>
      </c>
      <c r="C19" s="182"/>
      <c r="D19" s="182"/>
      <c r="E19" s="182"/>
      <c r="F19" s="183"/>
      <c r="G19" s="184" t="s">
        <v>196</v>
      </c>
      <c r="H19" s="185"/>
      <c r="I19" s="185"/>
      <c r="J19" s="185"/>
      <c r="K19" s="185"/>
      <c r="L19" s="185"/>
      <c r="M19" s="185"/>
      <c r="N19" s="186"/>
      <c r="O19" s="79" t="s">
        <v>3143</v>
      </c>
      <c r="P19" s="188" t="s">
        <v>1849</v>
      </c>
      <c r="Q19" s="189"/>
      <c r="R19" s="189"/>
      <c r="S19" s="189"/>
      <c r="T19" s="189"/>
      <c r="U19" s="189"/>
      <c r="V19" s="189"/>
      <c r="W19" s="189"/>
      <c r="X19" s="189"/>
      <c r="Y19" s="189"/>
      <c r="Z19" s="189"/>
      <c r="AA19" s="189"/>
      <c r="AB19" s="189"/>
      <c r="AC19" s="189"/>
      <c r="AD19" s="190"/>
      <c r="AE19" s="165" t="str">
        <f t="shared" ca="1" si="9"/>
        <v>sny_202310_backup_mart_patient_basic</v>
      </c>
      <c r="AF19" s="166"/>
      <c r="AG19" s="166"/>
      <c r="AH19" s="166"/>
      <c r="AI19" s="166"/>
      <c r="AJ19" s="166"/>
      <c r="AK19" s="166"/>
      <c r="AL19" s="187"/>
      <c r="AM19" s="165" t="str">
        <f t="shared" ca="1" si="10"/>
        <v>患者基本データテーブルから組入れ条件の第一条件で絞り込んだ結果を格納するテーブル</v>
      </c>
      <c r="AN19" s="166"/>
      <c r="AO19" s="166"/>
      <c r="AP19" s="166"/>
      <c r="AQ19" s="166"/>
      <c r="AR19" s="166"/>
      <c r="AS19" s="166"/>
      <c r="AT19" s="166"/>
      <c r="AU19" s="166"/>
      <c r="AV19" s="166"/>
      <c r="AW19" s="166"/>
      <c r="AX19" s="166"/>
      <c r="AY19" s="166"/>
      <c r="AZ19" s="166"/>
      <c r="BA19" s="166"/>
      <c r="BB19" s="166"/>
      <c r="BC19" s="166"/>
      <c r="BD19" s="166"/>
      <c r="BE19" s="166"/>
      <c r="BF19" s="166"/>
      <c r="BG19" s="166"/>
      <c r="BH19" s="166"/>
      <c r="BI19" s="166"/>
      <c r="BJ19" s="167"/>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81" t="str">
        <f t="shared" si="8"/>
        <v>01</v>
      </c>
      <c r="C20" s="182"/>
      <c r="D20" s="182"/>
      <c r="E20" s="182"/>
      <c r="F20" s="183"/>
      <c r="G20" s="184" t="s">
        <v>196</v>
      </c>
      <c r="H20" s="185"/>
      <c r="I20" s="185"/>
      <c r="J20" s="185"/>
      <c r="K20" s="185"/>
      <c r="L20" s="185"/>
      <c r="M20" s="185"/>
      <c r="N20" s="186"/>
      <c r="O20" s="79" t="s">
        <v>3144</v>
      </c>
      <c r="P20" s="188" t="s">
        <v>1855</v>
      </c>
      <c r="Q20" s="189"/>
      <c r="R20" s="189"/>
      <c r="S20" s="189"/>
      <c r="T20" s="189"/>
      <c r="U20" s="189"/>
      <c r="V20" s="189"/>
      <c r="W20" s="189"/>
      <c r="X20" s="189"/>
      <c r="Y20" s="189"/>
      <c r="Z20" s="189"/>
      <c r="AA20" s="189"/>
      <c r="AB20" s="189"/>
      <c r="AC20" s="189"/>
      <c r="AD20" s="190"/>
      <c r="AE20" s="165" t="str">
        <f t="shared" ref="AE20:AE71" ca="1" si="13">IFERROR(INDIRECT(P20&amp;"!D8"),"")</f>
        <v>sny_202310_backup_mt_shisetsu_zokusei</v>
      </c>
      <c r="AF20" s="166"/>
      <c r="AG20" s="166"/>
      <c r="AH20" s="166"/>
      <c r="AI20" s="166"/>
      <c r="AJ20" s="166"/>
      <c r="AK20" s="166"/>
      <c r="AL20" s="187"/>
      <c r="AM20" s="165" t="str">
        <f t="shared" ref="AM20:AM71" ca="1" si="14">IFERROR(INDIRECT(P20&amp;"!D9"),"")</f>
        <v>施設属性マスタ取込用テーブルから組入れ条件の第一条件で絞り込んだ結果を格納するテーブル</v>
      </c>
      <c r="AN20" s="166"/>
      <c r="AO20" s="166"/>
      <c r="AP20" s="166"/>
      <c r="AQ20" s="166"/>
      <c r="AR20" s="166"/>
      <c r="AS20" s="166"/>
      <c r="AT20" s="166"/>
      <c r="AU20" s="166"/>
      <c r="AV20" s="166"/>
      <c r="AW20" s="166"/>
      <c r="AX20" s="166"/>
      <c r="AY20" s="166"/>
      <c r="AZ20" s="166"/>
      <c r="BA20" s="166"/>
      <c r="BB20" s="166"/>
      <c r="BC20" s="166"/>
      <c r="BD20" s="166"/>
      <c r="BE20" s="166"/>
      <c r="BF20" s="166"/>
      <c r="BG20" s="166"/>
      <c r="BH20" s="166"/>
      <c r="BI20" s="166"/>
      <c r="BJ20" s="167"/>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81" t="str">
        <f t="shared" si="8"/>
        <v>01</v>
      </c>
      <c r="C21" s="182"/>
      <c r="D21" s="182"/>
      <c r="E21" s="182"/>
      <c r="F21" s="183"/>
      <c r="G21" s="184" t="s">
        <v>196</v>
      </c>
      <c r="H21" s="185"/>
      <c r="I21" s="185"/>
      <c r="J21" s="185"/>
      <c r="K21" s="185"/>
      <c r="L21" s="185"/>
      <c r="M21" s="185"/>
      <c r="N21" s="186"/>
      <c r="O21" s="79" t="s">
        <v>3145</v>
      </c>
      <c r="P21" s="188" t="s">
        <v>1891</v>
      </c>
      <c r="Q21" s="189"/>
      <c r="R21" s="189"/>
      <c r="S21" s="189"/>
      <c r="T21" s="189"/>
      <c r="U21" s="189"/>
      <c r="V21" s="189"/>
      <c r="W21" s="189"/>
      <c r="X21" s="189"/>
      <c r="Y21" s="189"/>
      <c r="Z21" s="189"/>
      <c r="AA21" s="189"/>
      <c r="AB21" s="189"/>
      <c r="AC21" s="189"/>
      <c r="AD21" s="190"/>
      <c r="AE21" s="165" t="str">
        <f t="shared" ca="1" si="13"/>
        <v>sny_202310_backup_mt_iryouken2</v>
      </c>
      <c r="AF21" s="166"/>
      <c r="AG21" s="166"/>
      <c r="AH21" s="166"/>
      <c r="AI21" s="166"/>
      <c r="AJ21" s="166"/>
      <c r="AK21" s="166"/>
      <c r="AL21" s="187"/>
      <c r="AM21" s="165" t="str">
        <f t="shared" ca="1" si="14"/>
        <v>二次医療圏マスタ取込用テーブルから組入れ条件の第一条件で絞り込んだ結果を格納するテーブル</v>
      </c>
      <c r="AN21" s="166"/>
      <c r="AO21" s="166"/>
      <c r="AP21" s="166"/>
      <c r="AQ21" s="166"/>
      <c r="AR21" s="166"/>
      <c r="AS21" s="166"/>
      <c r="AT21" s="166"/>
      <c r="AU21" s="166"/>
      <c r="AV21" s="166"/>
      <c r="AW21" s="166"/>
      <c r="AX21" s="166"/>
      <c r="AY21" s="166"/>
      <c r="AZ21" s="166"/>
      <c r="BA21" s="166"/>
      <c r="BB21" s="166"/>
      <c r="BC21" s="166"/>
      <c r="BD21" s="166"/>
      <c r="BE21" s="166"/>
      <c r="BF21" s="166"/>
      <c r="BG21" s="166"/>
      <c r="BH21" s="166"/>
      <c r="BI21" s="166"/>
      <c r="BJ21" s="167"/>
      <c r="BK21" s="32" t="str">
        <f t="shared" si="15"/>
        <v>ENT_01_A3-03_バックアップ_二次医療圏マスタ取込用.sql</v>
      </c>
    </row>
    <row r="22" spans="1:64" ht="37.5" hidden="1" customHeight="1" outlineLevel="1">
      <c r="A22" s="34" t="str">
        <f t="shared" si="12"/>
        <v>バックアップ_新旧医薬品コードマスタ取込用</v>
      </c>
      <c r="B22" s="181" t="str">
        <f t="shared" si="8"/>
        <v>01</v>
      </c>
      <c r="C22" s="182"/>
      <c r="D22" s="182"/>
      <c r="E22" s="182"/>
      <c r="F22" s="183"/>
      <c r="G22" s="184" t="s">
        <v>196</v>
      </c>
      <c r="H22" s="185"/>
      <c r="I22" s="185"/>
      <c r="J22" s="185"/>
      <c r="K22" s="185"/>
      <c r="L22" s="185"/>
      <c r="M22" s="185"/>
      <c r="N22" s="186"/>
      <c r="O22" s="79" t="s">
        <v>3146</v>
      </c>
      <c r="P22" s="188" t="s">
        <v>1911</v>
      </c>
      <c r="Q22" s="189"/>
      <c r="R22" s="189"/>
      <c r="S22" s="189"/>
      <c r="T22" s="189"/>
      <c r="U22" s="189"/>
      <c r="V22" s="189"/>
      <c r="W22" s="189"/>
      <c r="X22" s="189"/>
      <c r="Y22" s="189"/>
      <c r="Z22" s="189"/>
      <c r="AA22" s="189"/>
      <c r="AB22" s="189"/>
      <c r="AC22" s="189"/>
      <c r="AD22" s="190"/>
      <c r="AE22" s="165" t="str">
        <f t="shared" ca="1" si="13"/>
        <v>sny_202310_backup_mt_old_new_iyakuhin</v>
      </c>
      <c r="AF22" s="166"/>
      <c r="AG22" s="166"/>
      <c r="AH22" s="166"/>
      <c r="AI22" s="166"/>
      <c r="AJ22" s="166"/>
      <c r="AK22" s="166"/>
      <c r="AL22" s="187"/>
      <c r="AM22" s="165" t="str">
        <f t="shared" ca="1" si="14"/>
        <v>新旧医薬品コードマスタ取込用テーブルから組入れ条件の第一条件で絞り込んだ結果を格納するテーブル</v>
      </c>
      <c r="AN22" s="166"/>
      <c r="AO22" s="166"/>
      <c r="AP22" s="166"/>
      <c r="AQ22" s="166"/>
      <c r="AR22" s="166"/>
      <c r="AS22" s="166"/>
      <c r="AT22" s="166"/>
      <c r="AU22" s="166"/>
      <c r="AV22" s="166"/>
      <c r="AW22" s="166"/>
      <c r="AX22" s="166"/>
      <c r="AY22" s="166"/>
      <c r="AZ22" s="166"/>
      <c r="BA22" s="166"/>
      <c r="BB22" s="166"/>
      <c r="BC22" s="166"/>
      <c r="BD22" s="166"/>
      <c r="BE22" s="166"/>
      <c r="BF22" s="166"/>
      <c r="BG22" s="166"/>
      <c r="BH22" s="166"/>
      <c r="BI22" s="166"/>
      <c r="BJ22" s="167"/>
      <c r="BK22" s="32" t="str">
        <f t="shared" si="15"/>
        <v>ENT_01_A3-04_バックアップ_新旧医薬品コードマスタ取込用.sql</v>
      </c>
    </row>
    <row r="23" spans="1:64" ht="37.5" hidden="1" customHeight="1" outlineLevel="1">
      <c r="A23" s="34" t="str">
        <f t="shared" si="12"/>
        <v>バックアップ_DPC6ICD10対応表マスタ取込用</v>
      </c>
      <c r="B23" s="181" t="str">
        <f t="shared" si="8"/>
        <v>01</v>
      </c>
      <c r="C23" s="182"/>
      <c r="D23" s="182"/>
      <c r="E23" s="182"/>
      <c r="F23" s="183"/>
      <c r="G23" s="184" t="s">
        <v>196</v>
      </c>
      <c r="H23" s="185"/>
      <c r="I23" s="185"/>
      <c r="J23" s="185"/>
      <c r="K23" s="185"/>
      <c r="L23" s="185"/>
      <c r="M23" s="185"/>
      <c r="N23" s="186"/>
      <c r="O23" s="79" t="s">
        <v>3147</v>
      </c>
      <c r="P23" s="188" t="s">
        <v>1925</v>
      </c>
      <c r="Q23" s="189"/>
      <c r="R23" s="189"/>
      <c r="S23" s="189"/>
      <c r="T23" s="189"/>
      <c r="U23" s="189"/>
      <c r="V23" s="189"/>
      <c r="W23" s="189"/>
      <c r="X23" s="189"/>
      <c r="Y23" s="189"/>
      <c r="Z23" s="189"/>
      <c r="AA23" s="189"/>
      <c r="AB23" s="189"/>
      <c r="AC23" s="189"/>
      <c r="AD23" s="190"/>
      <c r="AE23" s="165" t="str">
        <f t="shared" ca="1" si="13"/>
        <v>sny_202310_backup_mt_dpc6_icd</v>
      </c>
      <c r="AF23" s="166"/>
      <c r="AG23" s="166"/>
      <c r="AH23" s="166"/>
      <c r="AI23" s="166"/>
      <c r="AJ23" s="166"/>
      <c r="AK23" s="166"/>
      <c r="AL23" s="187"/>
      <c r="AM23" s="165" t="str">
        <f t="shared" ca="1" si="14"/>
        <v>DPC6ICD10対応表マスタ取込用テーブルから組入れ条件の第一条件で絞り込んだ結果を格納するテーブル</v>
      </c>
      <c r="AN23" s="166"/>
      <c r="AO23" s="166"/>
      <c r="AP23" s="166"/>
      <c r="AQ23" s="166"/>
      <c r="AR23" s="166"/>
      <c r="AS23" s="166"/>
      <c r="AT23" s="166"/>
      <c r="AU23" s="166"/>
      <c r="AV23" s="166"/>
      <c r="AW23" s="166"/>
      <c r="AX23" s="166"/>
      <c r="AY23" s="166"/>
      <c r="AZ23" s="166"/>
      <c r="BA23" s="166"/>
      <c r="BB23" s="166"/>
      <c r="BC23" s="166"/>
      <c r="BD23" s="166"/>
      <c r="BE23" s="166"/>
      <c r="BF23" s="166"/>
      <c r="BG23" s="166"/>
      <c r="BH23" s="166"/>
      <c r="BI23" s="166"/>
      <c r="BJ23" s="167"/>
      <c r="BK23" s="32" t="str">
        <f t="shared" si="15"/>
        <v>ENT_01_A3-05_バックアップ_DPC6ICD10対応表マスタ取込用.sql</v>
      </c>
    </row>
    <row r="24" spans="1:64" ht="37.5" hidden="1" customHeight="1" outlineLevel="1">
      <c r="A24" s="34" t="str">
        <f t="shared" si="12"/>
        <v>バックアップ_修飾語マスタ取込用</v>
      </c>
      <c r="B24" s="181" t="str">
        <f t="shared" si="8"/>
        <v>01</v>
      </c>
      <c r="C24" s="182"/>
      <c r="D24" s="182"/>
      <c r="E24" s="182"/>
      <c r="F24" s="183"/>
      <c r="G24" s="184" t="s">
        <v>196</v>
      </c>
      <c r="H24" s="185"/>
      <c r="I24" s="185"/>
      <c r="J24" s="185"/>
      <c r="K24" s="185"/>
      <c r="L24" s="185"/>
      <c r="M24" s="185"/>
      <c r="N24" s="186"/>
      <c r="O24" s="79" t="s">
        <v>3148</v>
      </c>
      <c r="P24" s="188" t="s">
        <v>1943</v>
      </c>
      <c r="Q24" s="189"/>
      <c r="R24" s="189"/>
      <c r="S24" s="189"/>
      <c r="T24" s="189"/>
      <c r="U24" s="189"/>
      <c r="V24" s="189"/>
      <c r="W24" s="189"/>
      <c r="X24" s="189"/>
      <c r="Y24" s="189"/>
      <c r="Z24" s="189"/>
      <c r="AA24" s="189"/>
      <c r="AB24" s="189"/>
      <c r="AC24" s="189"/>
      <c r="AD24" s="190"/>
      <c r="AE24" s="165" t="str">
        <f t="shared" ca="1" si="13"/>
        <v>sny_202310_backup_mt_syusyokugo</v>
      </c>
      <c r="AF24" s="166"/>
      <c r="AG24" s="166"/>
      <c r="AH24" s="166"/>
      <c r="AI24" s="166"/>
      <c r="AJ24" s="166"/>
      <c r="AK24" s="166"/>
      <c r="AL24" s="187"/>
      <c r="AM24" s="165" t="str">
        <f t="shared" ca="1" si="14"/>
        <v>修飾語マスタ取込用テーブルから組入れ条件の第一条件で絞り込んだ結果を格納するテーブル</v>
      </c>
      <c r="AN24" s="166"/>
      <c r="AO24" s="166"/>
      <c r="AP24" s="166"/>
      <c r="AQ24" s="166"/>
      <c r="AR24" s="166"/>
      <c r="AS24" s="166"/>
      <c r="AT24" s="166"/>
      <c r="AU24" s="166"/>
      <c r="AV24" s="166"/>
      <c r="AW24" s="166"/>
      <c r="AX24" s="166"/>
      <c r="AY24" s="166"/>
      <c r="AZ24" s="166"/>
      <c r="BA24" s="166"/>
      <c r="BB24" s="166"/>
      <c r="BC24" s="166"/>
      <c r="BD24" s="166"/>
      <c r="BE24" s="166"/>
      <c r="BF24" s="166"/>
      <c r="BG24" s="166"/>
      <c r="BH24" s="166"/>
      <c r="BI24" s="166"/>
      <c r="BJ24" s="167"/>
      <c r="BK24" s="32" t="str">
        <f t="shared" si="15"/>
        <v>ENT_01_A3-06_バックアップ_修飾語マスタ取込用.sql</v>
      </c>
    </row>
    <row r="25" spans="1:64" ht="37.5" hidden="1" customHeight="1" outlineLevel="1">
      <c r="A25" s="34" t="str">
        <f t="shared" si="12"/>
        <v>バックアップ_コメントマスタ取込用</v>
      </c>
      <c r="B25" s="181" t="str">
        <f t="shared" si="8"/>
        <v>01</v>
      </c>
      <c r="C25" s="182"/>
      <c r="D25" s="182"/>
      <c r="E25" s="182"/>
      <c r="F25" s="183"/>
      <c r="G25" s="184" t="s">
        <v>196</v>
      </c>
      <c r="H25" s="185"/>
      <c r="I25" s="185"/>
      <c r="J25" s="185"/>
      <c r="K25" s="185"/>
      <c r="L25" s="185"/>
      <c r="M25" s="185"/>
      <c r="N25" s="186"/>
      <c r="O25" s="79" t="s">
        <v>3149</v>
      </c>
      <c r="P25" s="188" t="s">
        <v>1980</v>
      </c>
      <c r="Q25" s="189"/>
      <c r="R25" s="189"/>
      <c r="S25" s="189"/>
      <c r="T25" s="189"/>
      <c r="U25" s="189"/>
      <c r="V25" s="189"/>
      <c r="W25" s="189"/>
      <c r="X25" s="189"/>
      <c r="Y25" s="189"/>
      <c r="Z25" s="189"/>
      <c r="AA25" s="189"/>
      <c r="AB25" s="189"/>
      <c r="AC25" s="189"/>
      <c r="AD25" s="190"/>
      <c r="AE25" s="165" t="str">
        <f t="shared" ca="1" si="13"/>
        <v>sny_202310_backup_mt_comment</v>
      </c>
      <c r="AF25" s="166"/>
      <c r="AG25" s="166"/>
      <c r="AH25" s="166"/>
      <c r="AI25" s="166"/>
      <c r="AJ25" s="166"/>
      <c r="AK25" s="166"/>
      <c r="AL25" s="187"/>
      <c r="AM25" s="165" t="str">
        <f t="shared" ca="1" si="14"/>
        <v>コメントマスタ取込用テーブルから組入れ条件の第一条件で絞り込んだ結果を格納するテーブル</v>
      </c>
      <c r="AN25" s="166"/>
      <c r="AO25" s="166"/>
      <c r="AP25" s="166"/>
      <c r="AQ25" s="166"/>
      <c r="AR25" s="166"/>
      <c r="AS25" s="166"/>
      <c r="AT25" s="166"/>
      <c r="AU25" s="166"/>
      <c r="AV25" s="166"/>
      <c r="AW25" s="166"/>
      <c r="AX25" s="166"/>
      <c r="AY25" s="166"/>
      <c r="AZ25" s="166"/>
      <c r="BA25" s="166"/>
      <c r="BB25" s="166"/>
      <c r="BC25" s="166"/>
      <c r="BD25" s="166"/>
      <c r="BE25" s="166"/>
      <c r="BF25" s="166"/>
      <c r="BG25" s="166"/>
      <c r="BH25" s="166"/>
      <c r="BI25" s="166"/>
      <c r="BJ25" s="167"/>
      <c r="BK25" s="32" t="str">
        <f t="shared" si="15"/>
        <v>ENT_01_A3-07_バックアップ_コメントマスタ取込用.sql</v>
      </c>
    </row>
    <row r="26" spans="1:64" ht="37.5" hidden="1" customHeight="1" outlineLevel="1">
      <c r="A26" s="34" t="str">
        <f t="shared" si="12"/>
        <v>バックアップ_成分量マスタ取込用</v>
      </c>
      <c r="B26" s="181" t="str">
        <f t="shared" si="8"/>
        <v>01</v>
      </c>
      <c r="C26" s="182"/>
      <c r="D26" s="182"/>
      <c r="E26" s="182"/>
      <c r="F26" s="183"/>
      <c r="G26" s="184" t="s">
        <v>196</v>
      </c>
      <c r="H26" s="185"/>
      <c r="I26" s="185"/>
      <c r="J26" s="185"/>
      <c r="K26" s="185"/>
      <c r="L26" s="185"/>
      <c r="M26" s="185"/>
      <c r="N26" s="186"/>
      <c r="O26" s="79" t="s">
        <v>3150</v>
      </c>
      <c r="P26" s="188" t="s">
        <v>2027</v>
      </c>
      <c r="Q26" s="189"/>
      <c r="R26" s="189"/>
      <c r="S26" s="189"/>
      <c r="T26" s="189"/>
      <c r="U26" s="189"/>
      <c r="V26" s="189"/>
      <c r="W26" s="189"/>
      <c r="X26" s="189"/>
      <c r="Y26" s="189"/>
      <c r="Z26" s="189"/>
      <c r="AA26" s="189"/>
      <c r="AB26" s="189"/>
      <c r="AC26" s="189"/>
      <c r="AD26" s="190"/>
      <c r="AE26" s="165" t="str">
        <f t="shared" ca="1" si="13"/>
        <v>sny_202310_backup_mt_seibunryo</v>
      </c>
      <c r="AF26" s="166"/>
      <c r="AG26" s="166"/>
      <c r="AH26" s="166"/>
      <c r="AI26" s="166"/>
      <c r="AJ26" s="166"/>
      <c r="AK26" s="166"/>
      <c r="AL26" s="187"/>
      <c r="AM26" s="165" t="str">
        <f t="shared" ca="1" si="14"/>
        <v>成分量マスタ取込用テーブルから組入れ条件の第一条件で絞り込んだ結果を格納するテーブル</v>
      </c>
      <c r="AN26" s="166"/>
      <c r="AO26" s="166"/>
      <c r="AP26" s="166"/>
      <c r="AQ26" s="166"/>
      <c r="AR26" s="166"/>
      <c r="AS26" s="166"/>
      <c r="AT26" s="166"/>
      <c r="AU26" s="166"/>
      <c r="AV26" s="166"/>
      <c r="AW26" s="166"/>
      <c r="AX26" s="166"/>
      <c r="AY26" s="166"/>
      <c r="AZ26" s="166"/>
      <c r="BA26" s="166"/>
      <c r="BB26" s="166"/>
      <c r="BC26" s="166"/>
      <c r="BD26" s="166"/>
      <c r="BE26" s="166"/>
      <c r="BF26" s="166"/>
      <c r="BG26" s="166"/>
      <c r="BH26" s="166"/>
      <c r="BI26" s="166"/>
      <c r="BJ26" s="167"/>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81" t="str">
        <f t="shared" si="8"/>
        <v>01</v>
      </c>
      <c r="C27" s="182"/>
      <c r="D27" s="182"/>
      <c r="E27" s="182"/>
      <c r="F27" s="183"/>
      <c r="G27" s="184" t="s">
        <v>196</v>
      </c>
      <c r="H27" s="185"/>
      <c r="I27" s="185"/>
      <c r="J27" s="185"/>
      <c r="K27" s="185"/>
      <c r="L27" s="185"/>
      <c r="M27" s="185"/>
      <c r="N27" s="186"/>
      <c r="O27" s="79" t="s">
        <v>3151</v>
      </c>
      <c r="P27" s="188" t="s">
        <v>2052</v>
      </c>
      <c r="Q27" s="189"/>
      <c r="R27" s="189"/>
      <c r="S27" s="189"/>
      <c r="T27" s="189"/>
      <c r="U27" s="189"/>
      <c r="V27" s="189"/>
      <c r="W27" s="189"/>
      <c r="X27" s="189"/>
      <c r="Y27" s="189"/>
      <c r="Z27" s="189"/>
      <c r="AA27" s="189"/>
      <c r="AB27" s="189"/>
      <c r="AC27" s="189"/>
      <c r="AD27" s="190"/>
      <c r="AE27" s="165" t="str">
        <f t="shared" ca="1" si="13"/>
        <v>sny_202310_backup_mt_seibun_name</v>
      </c>
      <c r="AF27" s="166"/>
      <c r="AG27" s="166"/>
      <c r="AH27" s="166"/>
      <c r="AI27" s="166"/>
      <c r="AJ27" s="166"/>
      <c r="AK27" s="166"/>
      <c r="AL27" s="187"/>
      <c r="AM27" s="165" t="str">
        <f t="shared" ca="1" si="14"/>
        <v>成分名マスタ取込用テーブルから組入れ条件の第一条件で絞り込んだ結果を格納するテーブル</v>
      </c>
      <c r="AN27" s="166"/>
      <c r="AO27" s="166"/>
      <c r="AP27" s="166"/>
      <c r="AQ27" s="166"/>
      <c r="AR27" s="166"/>
      <c r="AS27" s="166"/>
      <c r="AT27" s="166"/>
      <c r="AU27" s="166"/>
      <c r="AV27" s="166"/>
      <c r="AW27" s="166"/>
      <c r="AX27" s="166"/>
      <c r="AY27" s="166"/>
      <c r="AZ27" s="166"/>
      <c r="BA27" s="166"/>
      <c r="BB27" s="166"/>
      <c r="BC27" s="166"/>
      <c r="BD27" s="166"/>
      <c r="BE27" s="166"/>
      <c r="BF27" s="166"/>
      <c r="BG27" s="166"/>
      <c r="BH27" s="166"/>
      <c r="BI27" s="166"/>
      <c r="BJ27" s="167"/>
      <c r="BK27" s="32" t="str">
        <f t="shared" si="16"/>
        <v>ENT_01_A3-09_バックアップ_成分名マスタ取込用.sql</v>
      </c>
    </row>
    <row r="28" spans="1:64" ht="37.5" hidden="1" customHeight="1" outlineLevel="1">
      <c r="A28" s="34" t="str">
        <f t="shared" si="12"/>
        <v>バックアップ_単位マスタ取込用</v>
      </c>
      <c r="B28" s="181" t="str">
        <f t="shared" si="8"/>
        <v>01</v>
      </c>
      <c r="C28" s="182"/>
      <c r="D28" s="182"/>
      <c r="E28" s="182"/>
      <c r="F28" s="183"/>
      <c r="G28" s="184" t="s">
        <v>196</v>
      </c>
      <c r="H28" s="185"/>
      <c r="I28" s="185"/>
      <c r="J28" s="185"/>
      <c r="K28" s="185"/>
      <c r="L28" s="185"/>
      <c r="M28" s="185"/>
      <c r="N28" s="186"/>
      <c r="O28" s="79" t="s">
        <v>3152</v>
      </c>
      <c r="P28" s="188" t="s">
        <v>2073</v>
      </c>
      <c r="Q28" s="189"/>
      <c r="R28" s="189"/>
      <c r="S28" s="189"/>
      <c r="T28" s="189"/>
      <c r="U28" s="189"/>
      <c r="V28" s="189"/>
      <c r="W28" s="189"/>
      <c r="X28" s="189"/>
      <c r="Y28" s="189"/>
      <c r="Z28" s="189"/>
      <c r="AA28" s="189"/>
      <c r="AB28" s="189"/>
      <c r="AC28" s="189"/>
      <c r="AD28" s="190"/>
      <c r="AE28" s="165" t="str">
        <f t="shared" ca="1" si="13"/>
        <v>sny_202310_backup_mt_unit</v>
      </c>
      <c r="AF28" s="166"/>
      <c r="AG28" s="166"/>
      <c r="AH28" s="166"/>
      <c r="AI28" s="166"/>
      <c r="AJ28" s="166"/>
      <c r="AK28" s="166"/>
      <c r="AL28" s="187"/>
      <c r="AM28" s="165" t="str">
        <f t="shared" ca="1" si="14"/>
        <v>単位マスタ取込用テーブルから組入れ条件の第一条件で絞り込んだ結果を格納するテーブル</v>
      </c>
      <c r="AN28" s="166"/>
      <c r="AO28" s="166"/>
      <c r="AP28" s="166"/>
      <c r="AQ28" s="166"/>
      <c r="AR28" s="166"/>
      <c r="AS28" s="166"/>
      <c r="AT28" s="166"/>
      <c r="AU28" s="166"/>
      <c r="AV28" s="166"/>
      <c r="AW28" s="166"/>
      <c r="AX28" s="166"/>
      <c r="AY28" s="166"/>
      <c r="AZ28" s="166"/>
      <c r="BA28" s="166"/>
      <c r="BB28" s="166"/>
      <c r="BC28" s="166"/>
      <c r="BD28" s="166"/>
      <c r="BE28" s="166"/>
      <c r="BF28" s="166"/>
      <c r="BG28" s="166"/>
      <c r="BH28" s="166"/>
      <c r="BI28" s="166"/>
      <c r="BJ28" s="167"/>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81" t="str">
        <f t="shared" si="8"/>
        <v>01</v>
      </c>
      <c r="C29" s="182"/>
      <c r="D29" s="182"/>
      <c r="E29" s="182"/>
      <c r="F29" s="183"/>
      <c r="G29" s="184" t="s">
        <v>196</v>
      </c>
      <c r="H29" s="185"/>
      <c r="I29" s="185"/>
      <c r="J29" s="185"/>
      <c r="K29" s="185"/>
      <c r="L29" s="185"/>
      <c r="M29" s="185"/>
      <c r="N29" s="186"/>
      <c r="O29" s="79" t="s">
        <v>3153</v>
      </c>
      <c r="P29" s="188" t="s">
        <v>2080</v>
      </c>
      <c r="Q29" s="189"/>
      <c r="R29" s="189"/>
      <c r="S29" s="189"/>
      <c r="T29" s="189"/>
      <c r="U29" s="189"/>
      <c r="V29" s="189"/>
      <c r="W29" s="189"/>
      <c r="X29" s="189"/>
      <c r="Y29" s="189"/>
      <c r="Z29" s="189"/>
      <c r="AA29" s="189"/>
      <c r="AB29" s="189"/>
      <c r="AC29" s="189"/>
      <c r="AD29" s="190"/>
      <c r="AE29" s="165" t="str">
        <f t="shared" ca="1" si="13"/>
        <v>sny_202310_backup_mt_tekiyou_recept_combi_link</v>
      </c>
      <c r="AF29" s="166"/>
      <c r="AG29" s="166"/>
      <c r="AH29" s="166"/>
      <c r="AI29" s="166"/>
      <c r="AJ29" s="166"/>
      <c r="AK29" s="166"/>
      <c r="AL29" s="187"/>
      <c r="AM29" s="165" t="str">
        <f t="shared" ca="1" si="14"/>
        <v>適応病名レセ病名組み合わせ関係リンクマスタ取込用テーブルから組入れ条件の第一条件で絞り込んだ結果を格納するテーブル</v>
      </c>
      <c r="AN29" s="166"/>
      <c r="AO29" s="166"/>
      <c r="AP29" s="166"/>
      <c r="AQ29" s="166"/>
      <c r="AR29" s="166"/>
      <c r="AS29" s="166"/>
      <c r="AT29" s="166"/>
      <c r="AU29" s="166"/>
      <c r="AV29" s="166"/>
      <c r="AW29" s="166"/>
      <c r="AX29" s="166"/>
      <c r="AY29" s="166"/>
      <c r="AZ29" s="166"/>
      <c r="BA29" s="166"/>
      <c r="BB29" s="166"/>
      <c r="BC29" s="166"/>
      <c r="BD29" s="166"/>
      <c r="BE29" s="166"/>
      <c r="BF29" s="166"/>
      <c r="BG29" s="166"/>
      <c r="BH29" s="166"/>
      <c r="BI29" s="166"/>
      <c r="BJ29" s="167"/>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81" t="str">
        <f t="shared" si="8"/>
        <v>01</v>
      </c>
      <c r="C30" s="182"/>
      <c r="D30" s="182"/>
      <c r="E30" s="182"/>
      <c r="F30" s="183"/>
      <c r="G30" s="184" t="s">
        <v>196</v>
      </c>
      <c r="H30" s="185"/>
      <c r="I30" s="185"/>
      <c r="J30" s="185"/>
      <c r="K30" s="185"/>
      <c r="L30" s="185"/>
      <c r="M30" s="185"/>
      <c r="N30" s="186"/>
      <c r="O30" s="79" t="s">
        <v>3154</v>
      </c>
      <c r="P30" s="188" t="s">
        <v>2099</v>
      </c>
      <c r="Q30" s="189"/>
      <c r="R30" s="189"/>
      <c r="S30" s="189"/>
      <c r="T30" s="189"/>
      <c r="U30" s="189"/>
      <c r="V30" s="189"/>
      <c r="W30" s="189"/>
      <c r="X30" s="189"/>
      <c r="Y30" s="189"/>
      <c r="Z30" s="189"/>
      <c r="AA30" s="189"/>
      <c r="AB30" s="189"/>
      <c r="AC30" s="189"/>
      <c r="AD30" s="190"/>
      <c r="AE30" s="165" t="s">
        <v>2544</v>
      </c>
      <c r="AF30" s="166"/>
      <c r="AG30" s="166"/>
      <c r="AH30" s="166"/>
      <c r="AI30" s="166"/>
      <c r="AJ30" s="166"/>
      <c r="AK30" s="166"/>
      <c r="AL30" s="187"/>
      <c r="AM30" s="165" t="s">
        <v>2545</v>
      </c>
      <c r="AN30" s="166"/>
      <c r="AO30" s="166"/>
      <c r="AP30" s="166"/>
      <c r="AQ30" s="166"/>
      <c r="AR30" s="166"/>
      <c r="AS30" s="166"/>
      <c r="AT30" s="166"/>
      <c r="AU30" s="166"/>
      <c r="AV30" s="166"/>
      <c r="AW30" s="166"/>
      <c r="AX30" s="166"/>
      <c r="AY30" s="166"/>
      <c r="AZ30" s="166"/>
      <c r="BA30" s="166"/>
      <c r="BB30" s="166"/>
      <c r="BC30" s="166"/>
      <c r="BD30" s="166"/>
      <c r="BE30" s="166"/>
      <c r="BF30" s="166"/>
      <c r="BG30" s="166"/>
      <c r="BH30" s="166"/>
      <c r="BI30" s="166"/>
      <c r="BJ30" s="167"/>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81" t="str">
        <f t="shared" si="8"/>
        <v>01</v>
      </c>
      <c r="C31" s="182"/>
      <c r="D31" s="182"/>
      <c r="E31" s="182"/>
      <c r="F31" s="183"/>
      <c r="G31" s="184" t="s">
        <v>196</v>
      </c>
      <c r="H31" s="185"/>
      <c r="I31" s="185"/>
      <c r="J31" s="185"/>
      <c r="K31" s="185"/>
      <c r="L31" s="185"/>
      <c r="M31" s="185"/>
      <c r="N31" s="186"/>
      <c r="O31" s="79" t="s">
        <v>3155</v>
      </c>
      <c r="P31" s="188" t="s">
        <v>2100</v>
      </c>
      <c r="Q31" s="189"/>
      <c r="R31" s="189"/>
      <c r="S31" s="189"/>
      <c r="T31" s="189"/>
      <c r="U31" s="189"/>
      <c r="V31" s="189"/>
      <c r="W31" s="189"/>
      <c r="X31" s="189"/>
      <c r="Y31" s="189"/>
      <c r="Z31" s="189"/>
      <c r="AA31" s="189"/>
      <c r="AB31" s="189"/>
      <c r="AC31" s="189"/>
      <c r="AD31" s="190"/>
      <c r="AE31" s="165" t="str">
        <f t="shared" ca="1" si="13"/>
        <v>sny_202310_backup_mt_tekiyou_byoumei</v>
      </c>
      <c r="AF31" s="166"/>
      <c r="AG31" s="166"/>
      <c r="AH31" s="166"/>
      <c r="AI31" s="166"/>
      <c r="AJ31" s="166"/>
      <c r="AK31" s="166"/>
      <c r="AL31" s="187"/>
      <c r="AM31" s="165" t="str">
        <f t="shared" ca="1" si="14"/>
        <v>適用病名マスタ取込用テーブルから組入れ条件の第一条件で絞り込んだ結果を格納するテーブル</v>
      </c>
      <c r="AN31" s="166"/>
      <c r="AO31" s="166"/>
      <c r="AP31" s="166"/>
      <c r="AQ31" s="166"/>
      <c r="AR31" s="166"/>
      <c r="AS31" s="166"/>
      <c r="AT31" s="166"/>
      <c r="AU31" s="166"/>
      <c r="AV31" s="166"/>
      <c r="AW31" s="166"/>
      <c r="AX31" s="166"/>
      <c r="AY31" s="166"/>
      <c r="AZ31" s="166"/>
      <c r="BA31" s="166"/>
      <c r="BB31" s="166"/>
      <c r="BC31" s="166"/>
      <c r="BD31" s="166"/>
      <c r="BE31" s="166"/>
      <c r="BF31" s="166"/>
      <c r="BG31" s="166"/>
      <c r="BH31" s="166"/>
      <c r="BI31" s="166"/>
      <c r="BJ31" s="167"/>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81" t="str">
        <f t="shared" si="8"/>
        <v>01</v>
      </c>
      <c r="C32" s="182"/>
      <c r="D32" s="182"/>
      <c r="E32" s="182"/>
      <c r="F32" s="183"/>
      <c r="G32" s="184" t="s">
        <v>196</v>
      </c>
      <c r="H32" s="185"/>
      <c r="I32" s="185"/>
      <c r="J32" s="185"/>
      <c r="K32" s="185"/>
      <c r="L32" s="185"/>
      <c r="M32" s="185"/>
      <c r="N32" s="186"/>
      <c r="O32" s="79" t="s">
        <v>3156</v>
      </c>
      <c r="P32" s="188" t="s">
        <v>2109</v>
      </c>
      <c r="Q32" s="189"/>
      <c r="R32" s="189"/>
      <c r="S32" s="189"/>
      <c r="T32" s="189"/>
      <c r="U32" s="189"/>
      <c r="V32" s="189"/>
      <c r="W32" s="189"/>
      <c r="X32" s="189"/>
      <c r="Y32" s="189"/>
      <c r="Z32" s="189"/>
      <c r="AA32" s="189"/>
      <c r="AB32" s="189"/>
      <c r="AC32" s="189"/>
      <c r="AD32" s="190"/>
      <c r="AE32" s="165" t="str">
        <f t="shared" ca="1" si="13"/>
        <v>sny_202310_backup_mt_yjcode_receptdensancode_link</v>
      </c>
      <c r="AF32" s="166"/>
      <c r="AG32" s="166"/>
      <c r="AH32" s="166"/>
      <c r="AI32" s="166"/>
      <c r="AJ32" s="166"/>
      <c r="AK32" s="166"/>
      <c r="AL32" s="187"/>
      <c r="AM32" s="165" t="str">
        <f t="shared" ca="1" si="14"/>
        <v>ＹＪコード医薬品コードリンクマスタ取込用テーブルから組入れ条件の第一条件で絞り込んだ結果を格納するテーブル</v>
      </c>
      <c r="AN32" s="166"/>
      <c r="AO32" s="166"/>
      <c r="AP32" s="166"/>
      <c r="AQ32" s="166"/>
      <c r="AR32" s="166"/>
      <c r="AS32" s="166"/>
      <c r="AT32" s="166"/>
      <c r="AU32" s="166"/>
      <c r="AV32" s="166"/>
      <c r="AW32" s="166"/>
      <c r="AX32" s="166"/>
      <c r="AY32" s="166"/>
      <c r="AZ32" s="166"/>
      <c r="BA32" s="166"/>
      <c r="BB32" s="166"/>
      <c r="BC32" s="166"/>
      <c r="BD32" s="166"/>
      <c r="BE32" s="166"/>
      <c r="BF32" s="166"/>
      <c r="BG32" s="166"/>
      <c r="BH32" s="166"/>
      <c r="BI32" s="166"/>
      <c r="BJ32" s="167"/>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81" t="str">
        <f t="shared" si="8"/>
        <v>01</v>
      </c>
      <c r="C33" s="182"/>
      <c r="D33" s="182"/>
      <c r="E33" s="182"/>
      <c r="F33" s="183"/>
      <c r="G33" s="184" t="s">
        <v>196</v>
      </c>
      <c r="H33" s="185"/>
      <c r="I33" s="185"/>
      <c r="J33" s="185"/>
      <c r="K33" s="185"/>
      <c r="L33" s="185"/>
      <c r="M33" s="185"/>
      <c r="N33" s="186"/>
      <c r="O33" s="79" t="s">
        <v>3157</v>
      </c>
      <c r="P33" s="188" t="s">
        <v>2119</v>
      </c>
      <c r="Q33" s="189"/>
      <c r="R33" s="189"/>
      <c r="S33" s="189"/>
      <c r="T33" s="189"/>
      <c r="U33" s="189"/>
      <c r="V33" s="189"/>
      <c r="W33" s="189"/>
      <c r="X33" s="189"/>
      <c r="Y33" s="189"/>
      <c r="Z33" s="189"/>
      <c r="AA33" s="189"/>
      <c r="AB33" s="189"/>
      <c r="AC33" s="189"/>
      <c r="AD33" s="190"/>
      <c r="AE33" s="165" t="str">
        <f t="shared" ca="1" si="13"/>
        <v>sny_202310_backup_mt_shinryo_koi_fuka</v>
      </c>
      <c r="AF33" s="166"/>
      <c r="AG33" s="166"/>
      <c r="AH33" s="166"/>
      <c r="AI33" s="166"/>
      <c r="AJ33" s="166"/>
      <c r="AK33" s="166"/>
      <c r="AL33" s="187"/>
      <c r="AM33" s="165" t="str">
        <f t="shared" ca="1" si="14"/>
        <v>診療行為付加情報マスタ取込用テーブルから組入れ条件の第一条件で絞り込んだ結果を格納するテーブル</v>
      </c>
      <c r="AN33" s="166"/>
      <c r="AO33" s="166"/>
      <c r="AP33" s="166"/>
      <c r="AQ33" s="166"/>
      <c r="AR33" s="166"/>
      <c r="AS33" s="166"/>
      <c r="AT33" s="166"/>
      <c r="AU33" s="166"/>
      <c r="AV33" s="166"/>
      <c r="AW33" s="166"/>
      <c r="AX33" s="166"/>
      <c r="AY33" s="166"/>
      <c r="AZ33" s="166"/>
      <c r="BA33" s="166"/>
      <c r="BB33" s="166"/>
      <c r="BC33" s="166"/>
      <c r="BD33" s="166"/>
      <c r="BE33" s="166"/>
      <c r="BF33" s="166"/>
      <c r="BG33" s="166"/>
      <c r="BH33" s="166"/>
      <c r="BI33" s="166"/>
      <c r="BJ33" s="167"/>
      <c r="BK33" s="32" t="str">
        <f t="shared" si="16"/>
        <v>ENT_01_A3-15_バックアップ_診療行為付加情報マスタ取込用.sql</v>
      </c>
    </row>
    <row r="34" spans="1:63" ht="37.5" hidden="1" customHeight="1" outlineLevel="1">
      <c r="A34" s="34" t="str">
        <f t="shared" si="12"/>
        <v>バックアップ_処理対象施設マスタ</v>
      </c>
      <c r="B34" s="181" t="str">
        <f t="shared" si="8"/>
        <v>01</v>
      </c>
      <c r="C34" s="182"/>
      <c r="D34" s="182"/>
      <c r="E34" s="182"/>
      <c r="F34" s="183"/>
      <c r="G34" s="184" t="s">
        <v>196</v>
      </c>
      <c r="H34" s="185"/>
      <c r="I34" s="185"/>
      <c r="J34" s="185"/>
      <c r="K34" s="185"/>
      <c r="L34" s="185"/>
      <c r="M34" s="185"/>
      <c r="N34" s="186"/>
      <c r="O34" s="79" t="s">
        <v>3158</v>
      </c>
      <c r="P34" s="188" t="s">
        <v>2400</v>
      </c>
      <c r="Q34" s="189"/>
      <c r="R34" s="189"/>
      <c r="S34" s="189"/>
      <c r="T34" s="189"/>
      <c r="U34" s="189"/>
      <c r="V34" s="189"/>
      <c r="W34" s="189"/>
      <c r="X34" s="189"/>
      <c r="Y34" s="189"/>
      <c r="Z34" s="189"/>
      <c r="AA34" s="189"/>
      <c r="AB34" s="189"/>
      <c r="AC34" s="189"/>
      <c r="AD34" s="190"/>
      <c r="AE34" s="165" t="str">
        <f t="shared" ca="1" si="13"/>
        <v>sny_202310_backup_mt_shori_shisetsu</v>
      </c>
      <c r="AF34" s="166"/>
      <c r="AG34" s="166"/>
      <c r="AH34" s="166"/>
      <c r="AI34" s="166"/>
      <c r="AJ34" s="166"/>
      <c r="AK34" s="166"/>
      <c r="AL34" s="187"/>
      <c r="AM34" s="165" t="str">
        <f t="shared" ca="1" si="14"/>
        <v>処理対象施設マスタテーブルから組入れ条件の第一条件で絞り込んだ結果を格納するテーブル</v>
      </c>
      <c r="AN34" s="166"/>
      <c r="AO34" s="166"/>
      <c r="AP34" s="166"/>
      <c r="AQ34" s="166"/>
      <c r="AR34" s="166"/>
      <c r="AS34" s="166"/>
      <c r="AT34" s="166"/>
      <c r="AU34" s="166"/>
      <c r="AV34" s="166"/>
      <c r="AW34" s="166"/>
      <c r="AX34" s="166"/>
      <c r="AY34" s="166"/>
      <c r="AZ34" s="166"/>
      <c r="BA34" s="166"/>
      <c r="BB34" s="166"/>
      <c r="BC34" s="166"/>
      <c r="BD34" s="166"/>
      <c r="BE34" s="166"/>
      <c r="BF34" s="166"/>
      <c r="BG34" s="166"/>
      <c r="BH34" s="166"/>
      <c r="BI34" s="166"/>
      <c r="BJ34" s="167"/>
      <c r="BK34" s="32" t="str">
        <f t="shared" si="16"/>
        <v>ENT_01_A3-16_バックアップ_処理対象施設マスタ.sql</v>
      </c>
    </row>
    <row r="35" spans="1:63" ht="37.5" hidden="1" customHeight="1" outlineLevel="1">
      <c r="A35" s="34" t="str">
        <f t="shared" si="12"/>
        <v>バックアップ_処理対象施設マスタ管理</v>
      </c>
      <c r="B35" s="181" t="str">
        <f t="shared" si="8"/>
        <v>01</v>
      </c>
      <c r="C35" s="182"/>
      <c r="D35" s="182"/>
      <c r="E35" s="182"/>
      <c r="F35" s="183"/>
      <c r="G35" s="184" t="s">
        <v>196</v>
      </c>
      <c r="H35" s="185"/>
      <c r="I35" s="185"/>
      <c r="J35" s="185"/>
      <c r="K35" s="185"/>
      <c r="L35" s="185"/>
      <c r="M35" s="185"/>
      <c r="N35" s="186"/>
      <c r="O35" s="79" t="s">
        <v>3217</v>
      </c>
      <c r="P35" s="188" t="s">
        <v>2429</v>
      </c>
      <c r="Q35" s="189"/>
      <c r="R35" s="189"/>
      <c r="S35" s="189"/>
      <c r="T35" s="189"/>
      <c r="U35" s="189"/>
      <c r="V35" s="189"/>
      <c r="W35" s="189"/>
      <c r="X35" s="189"/>
      <c r="Y35" s="189"/>
      <c r="Z35" s="189"/>
      <c r="AA35" s="189"/>
      <c r="AB35" s="189"/>
      <c r="AC35" s="189"/>
      <c r="AD35" s="190"/>
      <c r="AE35" s="165" t="str">
        <f t="shared" ca="1" si="13"/>
        <v>sny_202310_backup_mt_shori_shisetsu_manage</v>
      </c>
      <c r="AF35" s="166"/>
      <c r="AG35" s="166"/>
      <c r="AH35" s="166"/>
      <c r="AI35" s="166"/>
      <c r="AJ35" s="166"/>
      <c r="AK35" s="166"/>
      <c r="AL35" s="187"/>
      <c r="AM35" s="165" t="str">
        <f t="shared" ca="1" si="14"/>
        <v>処理対象施設マスタ管理テーブルから組入れ条件の第一条件で絞り込んだ結果を格納するテーブル</v>
      </c>
      <c r="AN35" s="166"/>
      <c r="AO35" s="166"/>
      <c r="AP35" s="166"/>
      <c r="AQ35" s="166"/>
      <c r="AR35" s="166"/>
      <c r="AS35" s="166"/>
      <c r="AT35" s="166"/>
      <c r="AU35" s="166"/>
      <c r="AV35" s="166"/>
      <c r="AW35" s="166"/>
      <c r="AX35" s="166"/>
      <c r="AY35" s="166"/>
      <c r="AZ35" s="166"/>
      <c r="BA35" s="166"/>
      <c r="BB35" s="166"/>
      <c r="BC35" s="166"/>
      <c r="BD35" s="166"/>
      <c r="BE35" s="166"/>
      <c r="BF35" s="166"/>
      <c r="BG35" s="166"/>
      <c r="BH35" s="166"/>
      <c r="BI35" s="166"/>
      <c r="BJ35" s="167"/>
      <c r="BK35" s="32" t="str">
        <f t="shared" si="16"/>
        <v>ENT_01_A3-17_バックアップ_処理対象施設マスタ管理.sql</v>
      </c>
    </row>
    <row r="36" spans="1:63" ht="37.5" hidden="1" customHeight="1" outlineLevel="1">
      <c r="A36" s="34" t="str">
        <f t="shared" ref="A36:A51" si="17">P36</f>
        <v>バックアップ_医薬品マスタ</v>
      </c>
      <c r="B36" s="181" t="str">
        <f t="shared" si="8"/>
        <v>01</v>
      </c>
      <c r="C36" s="182"/>
      <c r="D36" s="182"/>
      <c r="E36" s="182"/>
      <c r="F36" s="183"/>
      <c r="G36" s="184" t="s">
        <v>196</v>
      </c>
      <c r="H36" s="185"/>
      <c r="I36" s="185"/>
      <c r="J36" s="185"/>
      <c r="K36" s="185"/>
      <c r="L36" s="185"/>
      <c r="M36" s="185"/>
      <c r="N36" s="186"/>
      <c r="O36" s="79" t="s">
        <v>3218</v>
      </c>
      <c r="P36" s="188" t="s">
        <v>3238</v>
      </c>
      <c r="Q36" s="189"/>
      <c r="R36" s="189"/>
      <c r="S36" s="189"/>
      <c r="T36" s="189"/>
      <c r="U36" s="189"/>
      <c r="V36" s="189"/>
      <c r="W36" s="189"/>
      <c r="X36" s="189"/>
      <c r="Y36" s="189"/>
      <c r="Z36" s="189"/>
      <c r="AA36" s="189"/>
      <c r="AB36" s="189"/>
      <c r="AC36" s="189"/>
      <c r="AD36" s="190"/>
      <c r="AE36" s="165" t="str">
        <f t="shared" ref="AE36:AE45" ca="1" si="18">IFERROR(INDIRECT(P36&amp;"!D8"),"")</f>
        <v>sny_202310_backup_mt_iyakuhin</v>
      </c>
      <c r="AF36" s="166"/>
      <c r="AG36" s="166"/>
      <c r="AH36" s="166"/>
      <c r="AI36" s="166"/>
      <c r="AJ36" s="166"/>
      <c r="AK36" s="166"/>
      <c r="AL36" s="187"/>
      <c r="AM36" s="165" t="str">
        <f t="shared" ref="AM36:AM45" ca="1" si="19">IFERROR(INDIRECT(P36&amp;"!D9"),"")</f>
        <v>医薬品マスタテーブルから組入れ条件の第一条件で絞り込んだ結果を格納するテーブル</v>
      </c>
      <c r="AN36" s="166"/>
      <c r="AO36" s="166"/>
      <c r="AP36" s="166"/>
      <c r="AQ36" s="166"/>
      <c r="AR36" s="166"/>
      <c r="AS36" s="166"/>
      <c r="AT36" s="166"/>
      <c r="AU36" s="166"/>
      <c r="AV36" s="166"/>
      <c r="AW36" s="166"/>
      <c r="AX36" s="166"/>
      <c r="AY36" s="166"/>
      <c r="AZ36" s="166"/>
      <c r="BA36" s="166"/>
      <c r="BB36" s="166"/>
      <c r="BC36" s="166"/>
      <c r="BD36" s="166"/>
      <c r="BE36" s="166"/>
      <c r="BF36" s="166"/>
      <c r="BG36" s="166"/>
      <c r="BH36" s="166"/>
      <c r="BI36" s="166"/>
      <c r="BJ36" s="167"/>
      <c r="BK36" s="32" t="str">
        <f t="shared" si="16"/>
        <v>ENT_01_A3-18_バックアップ_医薬品マスタ.sql</v>
      </c>
    </row>
    <row r="37" spans="1:63" ht="37.5" hidden="1" customHeight="1" outlineLevel="1">
      <c r="A37" s="34" t="str">
        <f t="shared" si="17"/>
        <v>バックアップ_医薬品ブランドマスタ</v>
      </c>
      <c r="B37" s="181" t="str">
        <f t="shared" si="8"/>
        <v>01</v>
      </c>
      <c r="C37" s="182"/>
      <c r="D37" s="182"/>
      <c r="E37" s="182"/>
      <c r="F37" s="183"/>
      <c r="G37" s="184" t="s">
        <v>196</v>
      </c>
      <c r="H37" s="185"/>
      <c r="I37" s="185"/>
      <c r="J37" s="185"/>
      <c r="K37" s="185"/>
      <c r="L37" s="185"/>
      <c r="M37" s="185"/>
      <c r="N37" s="186"/>
      <c r="O37" s="79" t="s">
        <v>3219</v>
      </c>
      <c r="P37" s="188" t="s">
        <v>3239</v>
      </c>
      <c r="Q37" s="189"/>
      <c r="R37" s="189"/>
      <c r="S37" s="189"/>
      <c r="T37" s="189"/>
      <c r="U37" s="189"/>
      <c r="V37" s="189"/>
      <c r="W37" s="189"/>
      <c r="X37" s="189"/>
      <c r="Y37" s="189"/>
      <c r="Z37" s="189"/>
      <c r="AA37" s="189"/>
      <c r="AB37" s="189"/>
      <c r="AC37" s="189"/>
      <c r="AD37" s="190"/>
      <c r="AE37" s="165" t="str">
        <f t="shared" ca="1" si="18"/>
        <v>sny_202310_backup_mt_iyakuhin_brand</v>
      </c>
      <c r="AF37" s="166"/>
      <c r="AG37" s="166"/>
      <c r="AH37" s="166"/>
      <c r="AI37" s="166"/>
      <c r="AJ37" s="166"/>
      <c r="AK37" s="166"/>
      <c r="AL37" s="187"/>
      <c r="AM37" s="165" t="str">
        <f t="shared" ca="1" si="19"/>
        <v>医薬品ブランドマスタテーブルから組入れ条件の第一条件で絞り込んだ結果を格納するテーブル</v>
      </c>
      <c r="AN37" s="166"/>
      <c r="AO37" s="166"/>
      <c r="AP37" s="166"/>
      <c r="AQ37" s="166"/>
      <c r="AR37" s="166"/>
      <c r="AS37" s="166"/>
      <c r="AT37" s="166"/>
      <c r="AU37" s="166"/>
      <c r="AV37" s="166"/>
      <c r="AW37" s="166"/>
      <c r="AX37" s="166"/>
      <c r="AY37" s="166"/>
      <c r="AZ37" s="166"/>
      <c r="BA37" s="166"/>
      <c r="BB37" s="166"/>
      <c r="BC37" s="166"/>
      <c r="BD37" s="166"/>
      <c r="BE37" s="166"/>
      <c r="BF37" s="166"/>
      <c r="BG37" s="166"/>
      <c r="BH37" s="166"/>
      <c r="BI37" s="166"/>
      <c r="BJ37" s="167"/>
      <c r="BK37" s="32" t="str">
        <f t="shared" si="16"/>
        <v>ENT_01_A3-19_バックアップ_医薬品ブランドマスタ.sql</v>
      </c>
    </row>
    <row r="38" spans="1:63" ht="37.5" hidden="1" customHeight="1" outlineLevel="1">
      <c r="A38" s="34" t="str">
        <f t="shared" si="17"/>
        <v>バックアップ_医薬品一般名マスタ</v>
      </c>
      <c r="B38" s="181" t="str">
        <f t="shared" ref="B38:B106" si="20">TEXT(1,"00")</f>
        <v>01</v>
      </c>
      <c r="C38" s="182"/>
      <c r="D38" s="182"/>
      <c r="E38" s="182"/>
      <c r="F38" s="183"/>
      <c r="G38" s="184" t="s">
        <v>196</v>
      </c>
      <c r="H38" s="185"/>
      <c r="I38" s="185"/>
      <c r="J38" s="185"/>
      <c r="K38" s="185"/>
      <c r="L38" s="185"/>
      <c r="M38" s="185"/>
      <c r="N38" s="186"/>
      <c r="O38" s="79" t="s">
        <v>3220</v>
      </c>
      <c r="P38" s="188" t="s">
        <v>3240</v>
      </c>
      <c r="Q38" s="189"/>
      <c r="R38" s="189"/>
      <c r="S38" s="189"/>
      <c r="T38" s="189"/>
      <c r="U38" s="189"/>
      <c r="V38" s="189"/>
      <c r="W38" s="189"/>
      <c r="X38" s="189"/>
      <c r="Y38" s="189"/>
      <c r="Z38" s="189"/>
      <c r="AA38" s="189"/>
      <c r="AB38" s="189"/>
      <c r="AC38" s="189"/>
      <c r="AD38" s="190"/>
      <c r="AE38" s="165" t="str">
        <f t="shared" ca="1" si="18"/>
        <v>sny_202310_backup_mt_iyakuhin_ippan_name</v>
      </c>
      <c r="AF38" s="166"/>
      <c r="AG38" s="166"/>
      <c r="AH38" s="166"/>
      <c r="AI38" s="166"/>
      <c r="AJ38" s="166"/>
      <c r="AK38" s="166"/>
      <c r="AL38" s="187"/>
      <c r="AM38" s="165" t="str">
        <f t="shared" ca="1" si="19"/>
        <v>医薬品一般名マスタテーブルから組入れ条件の第一条件で絞り込んだ結果を格納するテーブル</v>
      </c>
      <c r="AN38" s="166"/>
      <c r="AO38" s="166"/>
      <c r="AP38" s="166"/>
      <c r="AQ38" s="166"/>
      <c r="AR38" s="166"/>
      <c r="AS38" s="166"/>
      <c r="AT38" s="166"/>
      <c r="AU38" s="166"/>
      <c r="AV38" s="166"/>
      <c r="AW38" s="166"/>
      <c r="AX38" s="166"/>
      <c r="AY38" s="166"/>
      <c r="AZ38" s="166"/>
      <c r="BA38" s="166"/>
      <c r="BB38" s="166"/>
      <c r="BC38" s="166"/>
      <c r="BD38" s="166"/>
      <c r="BE38" s="166"/>
      <c r="BF38" s="166"/>
      <c r="BG38" s="166"/>
      <c r="BH38" s="166"/>
      <c r="BI38" s="166"/>
      <c r="BJ38" s="167"/>
      <c r="BK38" s="32" t="str">
        <f t="shared" si="16"/>
        <v>ENT_01_A3-20_バックアップ_医薬品一般名マスタ.sql</v>
      </c>
    </row>
    <row r="39" spans="1:63" ht="37.5" hidden="1" customHeight="1" outlineLevel="1">
      <c r="A39" s="34" t="str">
        <f t="shared" si="17"/>
        <v>バックアップ_医薬品販売会社マスタ</v>
      </c>
      <c r="B39" s="181" t="str">
        <f t="shared" si="20"/>
        <v>01</v>
      </c>
      <c r="C39" s="182"/>
      <c r="D39" s="182"/>
      <c r="E39" s="182"/>
      <c r="F39" s="183"/>
      <c r="G39" s="184" t="s">
        <v>196</v>
      </c>
      <c r="H39" s="185"/>
      <c r="I39" s="185"/>
      <c r="J39" s="185"/>
      <c r="K39" s="185"/>
      <c r="L39" s="185"/>
      <c r="M39" s="185"/>
      <c r="N39" s="186"/>
      <c r="O39" s="79" t="s">
        <v>3221</v>
      </c>
      <c r="P39" s="188" t="s">
        <v>3241</v>
      </c>
      <c r="Q39" s="189"/>
      <c r="R39" s="189"/>
      <c r="S39" s="189"/>
      <c r="T39" s="189"/>
      <c r="U39" s="189"/>
      <c r="V39" s="189"/>
      <c r="W39" s="189"/>
      <c r="X39" s="189"/>
      <c r="Y39" s="189"/>
      <c r="Z39" s="189"/>
      <c r="AA39" s="189"/>
      <c r="AB39" s="189"/>
      <c r="AC39" s="189"/>
      <c r="AD39" s="190"/>
      <c r="AE39" s="165" t="str">
        <f t="shared" ca="1" si="18"/>
        <v>sny_202310_backup_mt_iyakuhin_sales_kaisha</v>
      </c>
      <c r="AF39" s="166"/>
      <c r="AG39" s="166"/>
      <c r="AH39" s="166"/>
      <c r="AI39" s="166"/>
      <c r="AJ39" s="166"/>
      <c r="AK39" s="166"/>
      <c r="AL39" s="187"/>
      <c r="AM39" s="165" t="str">
        <f t="shared" ca="1" si="19"/>
        <v>医薬品販売会社マスタテーブルから組入れ条件の第一条件で絞り込んだ結果を格納するテーブル</v>
      </c>
      <c r="AN39" s="166"/>
      <c r="AO39" s="166"/>
      <c r="AP39" s="166"/>
      <c r="AQ39" s="166"/>
      <c r="AR39" s="166"/>
      <c r="AS39" s="166"/>
      <c r="AT39" s="166"/>
      <c r="AU39" s="166"/>
      <c r="AV39" s="166"/>
      <c r="AW39" s="166"/>
      <c r="AX39" s="166"/>
      <c r="AY39" s="166"/>
      <c r="AZ39" s="166"/>
      <c r="BA39" s="166"/>
      <c r="BB39" s="166"/>
      <c r="BC39" s="166"/>
      <c r="BD39" s="166"/>
      <c r="BE39" s="166"/>
      <c r="BF39" s="166"/>
      <c r="BG39" s="166"/>
      <c r="BH39" s="166"/>
      <c r="BI39" s="166"/>
      <c r="BJ39" s="167"/>
      <c r="BK39" s="32" t="str">
        <f t="shared" si="16"/>
        <v>ENT_01_A3-21_バックアップ_医薬品販売会社マスタ.sql</v>
      </c>
    </row>
    <row r="40" spans="1:63" ht="37.5" hidden="1" customHeight="1" outlineLevel="1">
      <c r="A40" s="34" t="str">
        <f t="shared" si="17"/>
        <v>バックアップ_メーカマスタ</v>
      </c>
      <c r="B40" s="181" t="str">
        <f t="shared" si="20"/>
        <v>01</v>
      </c>
      <c r="C40" s="182"/>
      <c r="D40" s="182"/>
      <c r="E40" s="182"/>
      <c r="F40" s="183"/>
      <c r="G40" s="184" t="s">
        <v>196</v>
      </c>
      <c r="H40" s="185"/>
      <c r="I40" s="185"/>
      <c r="J40" s="185"/>
      <c r="K40" s="185"/>
      <c r="L40" s="185"/>
      <c r="M40" s="185"/>
      <c r="N40" s="186"/>
      <c r="O40" s="79" t="s">
        <v>3222</v>
      </c>
      <c r="P40" s="188" t="s">
        <v>3242</v>
      </c>
      <c r="Q40" s="189"/>
      <c r="R40" s="189"/>
      <c r="S40" s="189"/>
      <c r="T40" s="189"/>
      <c r="U40" s="189"/>
      <c r="V40" s="189"/>
      <c r="W40" s="189"/>
      <c r="X40" s="189"/>
      <c r="Y40" s="189"/>
      <c r="Z40" s="189"/>
      <c r="AA40" s="189"/>
      <c r="AB40" s="189"/>
      <c r="AC40" s="189"/>
      <c r="AD40" s="190"/>
      <c r="AE40" s="165" t="str">
        <f t="shared" ca="1" si="18"/>
        <v>sny_202310_backup_mt_maker</v>
      </c>
      <c r="AF40" s="166"/>
      <c r="AG40" s="166"/>
      <c r="AH40" s="166"/>
      <c r="AI40" s="166"/>
      <c r="AJ40" s="166"/>
      <c r="AK40" s="166"/>
      <c r="AL40" s="187"/>
      <c r="AM40" s="165" t="str">
        <f t="shared" ca="1" si="19"/>
        <v>メーカマスタテーブルから組入れ条件の第一条件で絞り込んだ結果を格納するテーブル</v>
      </c>
      <c r="AN40" s="166"/>
      <c r="AO40" s="166"/>
      <c r="AP40" s="166"/>
      <c r="AQ40" s="166"/>
      <c r="AR40" s="166"/>
      <c r="AS40" s="166"/>
      <c r="AT40" s="166"/>
      <c r="AU40" s="166"/>
      <c r="AV40" s="166"/>
      <c r="AW40" s="166"/>
      <c r="AX40" s="166"/>
      <c r="AY40" s="166"/>
      <c r="AZ40" s="166"/>
      <c r="BA40" s="166"/>
      <c r="BB40" s="166"/>
      <c r="BC40" s="166"/>
      <c r="BD40" s="166"/>
      <c r="BE40" s="166"/>
      <c r="BF40" s="166"/>
      <c r="BG40" s="166"/>
      <c r="BH40" s="166"/>
      <c r="BI40" s="166"/>
      <c r="BJ40" s="167"/>
      <c r="BK40" s="32" t="str">
        <f t="shared" si="16"/>
        <v>ENT_01_A3-22_バックアップ_メーカマスタ.sql</v>
      </c>
    </row>
    <row r="41" spans="1:63" ht="37.5" hidden="1" customHeight="1" outlineLevel="1">
      <c r="A41" s="34" t="str">
        <f t="shared" si="17"/>
        <v>バックアップ_薬価マスタ</v>
      </c>
      <c r="B41" s="181" t="str">
        <f t="shared" si="20"/>
        <v>01</v>
      </c>
      <c r="C41" s="182"/>
      <c r="D41" s="182"/>
      <c r="E41" s="182"/>
      <c r="F41" s="183"/>
      <c r="G41" s="184" t="s">
        <v>196</v>
      </c>
      <c r="H41" s="185"/>
      <c r="I41" s="185"/>
      <c r="J41" s="185"/>
      <c r="K41" s="185"/>
      <c r="L41" s="185"/>
      <c r="M41" s="185"/>
      <c r="N41" s="186"/>
      <c r="O41" s="79" t="s">
        <v>3223</v>
      </c>
      <c r="P41" s="188" t="s">
        <v>3243</v>
      </c>
      <c r="Q41" s="189"/>
      <c r="R41" s="189"/>
      <c r="S41" s="189"/>
      <c r="T41" s="189"/>
      <c r="U41" s="189"/>
      <c r="V41" s="189"/>
      <c r="W41" s="189"/>
      <c r="X41" s="189"/>
      <c r="Y41" s="189"/>
      <c r="Z41" s="189"/>
      <c r="AA41" s="189"/>
      <c r="AB41" s="189"/>
      <c r="AC41" s="189"/>
      <c r="AD41" s="190"/>
      <c r="AE41" s="165" t="str">
        <f t="shared" ca="1" si="18"/>
        <v>sny_202310_backup_mt_price</v>
      </c>
      <c r="AF41" s="166"/>
      <c r="AG41" s="166"/>
      <c r="AH41" s="166"/>
      <c r="AI41" s="166"/>
      <c r="AJ41" s="166"/>
      <c r="AK41" s="166"/>
      <c r="AL41" s="187"/>
      <c r="AM41" s="165" t="str">
        <f t="shared" ca="1" si="19"/>
        <v>薬価マスタテーブルから組入れ条件の第一条件で絞り込んだ結果を格納するテーブル</v>
      </c>
      <c r="AN41" s="166"/>
      <c r="AO41" s="166"/>
      <c r="AP41" s="166"/>
      <c r="AQ41" s="166"/>
      <c r="AR41" s="166"/>
      <c r="AS41" s="166"/>
      <c r="AT41" s="166"/>
      <c r="AU41" s="166"/>
      <c r="AV41" s="166"/>
      <c r="AW41" s="166"/>
      <c r="AX41" s="166"/>
      <c r="AY41" s="166"/>
      <c r="AZ41" s="166"/>
      <c r="BA41" s="166"/>
      <c r="BB41" s="166"/>
      <c r="BC41" s="166"/>
      <c r="BD41" s="166"/>
      <c r="BE41" s="166"/>
      <c r="BF41" s="166"/>
      <c r="BG41" s="166"/>
      <c r="BH41" s="166"/>
      <c r="BI41" s="166"/>
      <c r="BJ41" s="167"/>
      <c r="BK41" s="32" t="str">
        <f t="shared" si="16"/>
        <v>ENT_01_A3-23_バックアップ_薬価マスタ.sql</v>
      </c>
    </row>
    <row r="42" spans="1:63" ht="37.5" hidden="1" customHeight="1" outlineLevel="1">
      <c r="A42" s="34" t="str">
        <f t="shared" si="17"/>
        <v>バックアップ_薬効ATC分類1マスタ</v>
      </c>
      <c r="B42" s="181" t="str">
        <f t="shared" si="20"/>
        <v>01</v>
      </c>
      <c r="C42" s="182"/>
      <c r="D42" s="182"/>
      <c r="E42" s="182"/>
      <c r="F42" s="183"/>
      <c r="G42" s="184" t="s">
        <v>196</v>
      </c>
      <c r="H42" s="185"/>
      <c r="I42" s="185"/>
      <c r="J42" s="185"/>
      <c r="K42" s="185"/>
      <c r="L42" s="185"/>
      <c r="M42" s="185"/>
      <c r="N42" s="186"/>
      <c r="O42" s="79" t="s">
        <v>3224</v>
      </c>
      <c r="P42" s="188" t="s">
        <v>3244</v>
      </c>
      <c r="Q42" s="189"/>
      <c r="R42" s="189"/>
      <c r="S42" s="189"/>
      <c r="T42" s="189"/>
      <c r="U42" s="189"/>
      <c r="V42" s="189"/>
      <c r="W42" s="189"/>
      <c r="X42" s="189"/>
      <c r="Y42" s="189"/>
      <c r="Z42" s="189"/>
      <c r="AA42" s="189"/>
      <c r="AB42" s="189"/>
      <c r="AC42" s="189"/>
      <c r="AD42" s="190"/>
      <c r="AE42" s="165" t="str">
        <f t="shared" ca="1" si="18"/>
        <v>sny_202310_backup_mt_yakko_atc1</v>
      </c>
      <c r="AF42" s="166"/>
      <c r="AG42" s="166"/>
      <c r="AH42" s="166"/>
      <c r="AI42" s="166"/>
      <c r="AJ42" s="166"/>
      <c r="AK42" s="166"/>
      <c r="AL42" s="187"/>
      <c r="AM42" s="165" t="str">
        <f t="shared" ca="1" si="19"/>
        <v>薬効ATC分類1マスタテーブルから組入れ条件の第一条件で絞り込んだ結果を格納するテーブル</v>
      </c>
      <c r="AN42" s="166"/>
      <c r="AO42" s="166"/>
      <c r="AP42" s="166"/>
      <c r="AQ42" s="166"/>
      <c r="AR42" s="166"/>
      <c r="AS42" s="166"/>
      <c r="AT42" s="166"/>
      <c r="AU42" s="166"/>
      <c r="AV42" s="166"/>
      <c r="AW42" s="166"/>
      <c r="AX42" s="166"/>
      <c r="AY42" s="166"/>
      <c r="AZ42" s="166"/>
      <c r="BA42" s="166"/>
      <c r="BB42" s="166"/>
      <c r="BC42" s="166"/>
      <c r="BD42" s="166"/>
      <c r="BE42" s="166"/>
      <c r="BF42" s="166"/>
      <c r="BG42" s="166"/>
      <c r="BH42" s="166"/>
      <c r="BI42" s="166"/>
      <c r="BJ42" s="167"/>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81" t="str">
        <f t="shared" si="20"/>
        <v>01</v>
      </c>
      <c r="C43" s="182"/>
      <c r="D43" s="182"/>
      <c r="E43" s="182"/>
      <c r="F43" s="183"/>
      <c r="G43" s="184" t="s">
        <v>196</v>
      </c>
      <c r="H43" s="185"/>
      <c r="I43" s="185"/>
      <c r="J43" s="185"/>
      <c r="K43" s="185"/>
      <c r="L43" s="185"/>
      <c r="M43" s="185"/>
      <c r="N43" s="186"/>
      <c r="O43" s="79" t="s">
        <v>3225</v>
      </c>
      <c r="P43" s="188" t="s">
        <v>3245</v>
      </c>
      <c r="Q43" s="189"/>
      <c r="R43" s="189"/>
      <c r="S43" s="189"/>
      <c r="T43" s="189"/>
      <c r="U43" s="189"/>
      <c r="V43" s="189"/>
      <c r="W43" s="189"/>
      <c r="X43" s="189"/>
      <c r="Y43" s="189"/>
      <c r="Z43" s="189"/>
      <c r="AA43" s="189"/>
      <c r="AB43" s="189"/>
      <c r="AC43" s="189"/>
      <c r="AD43" s="190"/>
      <c r="AE43" s="165" t="str">
        <f t="shared" ca="1" si="18"/>
        <v>sny_202310_backup_mt_yakko_atc2</v>
      </c>
      <c r="AF43" s="166"/>
      <c r="AG43" s="166"/>
      <c r="AH43" s="166"/>
      <c r="AI43" s="166"/>
      <c r="AJ43" s="166"/>
      <c r="AK43" s="166"/>
      <c r="AL43" s="187"/>
      <c r="AM43" s="165" t="str">
        <f t="shared" ca="1" si="19"/>
        <v>薬効ATC分類2マスタテーブルから組入れ条件の第一条件で絞り込んだ結果を格納するテーブル</v>
      </c>
      <c r="AN43" s="166"/>
      <c r="AO43" s="166"/>
      <c r="AP43" s="166"/>
      <c r="AQ43" s="166"/>
      <c r="AR43" s="166"/>
      <c r="AS43" s="166"/>
      <c r="AT43" s="166"/>
      <c r="AU43" s="166"/>
      <c r="AV43" s="166"/>
      <c r="AW43" s="166"/>
      <c r="AX43" s="166"/>
      <c r="AY43" s="166"/>
      <c r="AZ43" s="166"/>
      <c r="BA43" s="166"/>
      <c r="BB43" s="166"/>
      <c r="BC43" s="166"/>
      <c r="BD43" s="166"/>
      <c r="BE43" s="166"/>
      <c r="BF43" s="166"/>
      <c r="BG43" s="166"/>
      <c r="BH43" s="166"/>
      <c r="BI43" s="166"/>
      <c r="BJ43" s="167"/>
      <c r="BK43" s="32" t="str">
        <f t="shared" si="21"/>
        <v>ENT_01_A3-25_バックアップ_薬効ATC分類2マスタ.sql</v>
      </c>
    </row>
    <row r="44" spans="1:63" ht="37.5" hidden="1" customHeight="1" outlineLevel="1">
      <c r="A44" s="34" t="str">
        <f t="shared" si="17"/>
        <v>バックアップ_薬効ATC分類3マスタ</v>
      </c>
      <c r="B44" s="181" t="str">
        <f t="shared" si="20"/>
        <v>01</v>
      </c>
      <c r="C44" s="182"/>
      <c r="D44" s="182"/>
      <c r="E44" s="182"/>
      <c r="F44" s="183"/>
      <c r="G44" s="184" t="s">
        <v>196</v>
      </c>
      <c r="H44" s="185"/>
      <c r="I44" s="185"/>
      <c r="J44" s="185"/>
      <c r="K44" s="185"/>
      <c r="L44" s="185"/>
      <c r="M44" s="185"/>
      <c r="N44" s="186"/>
      <c r="O44" s="79" t="s">
        <v>3226</v>
      </c>
      <c r="P44" s="188" t="s">
        <v>3246</v>
      </c>
      <c r="Q44" s="189"/>
      <c r="R44" s="189"/>
      <c r="S44" s="189"/>
      <c r="T44" s="189"/>
      <c r="U44" s="189"/>
      <c r="V44" s="189"/>
      <c r="W44" s="189"/>
      <c r="X44" s="189"/>
      <c r="Y44" s="189"/>
      <c r="Z44" s="189"/>
      <c r="AA44" s="189"/>
      <c r="AB44" s="189"/>
      <c r="AC44" s="189"/>
      <c r="AD44" s="190"/>
      <c r="AE44" s="165" t="str">
        <f t="shared" ca="1" si="18"/>
        <v>sny_202310_backup_mt_yakko_atc3</v>
      </c>
      <c r="AF44" s="166"/>
      <c r="AG44" s="166"/>
      <c r="AH44" s="166"/>
      <c r="AI44" s="166"/>
      <c r="AJ44" s="166"/>
      <c r="AK44" s="166"/>
      <c r="AL44" s="187"/>
      <c r="AM44" s="165" t="str">
        <f t="shared" ca="1" si="19"/>
        <v>薬効ATC分類3マスタテーブルから組入れ条件の第一条件で絞り込んだ結果を格納するテーブル</v>
      </c>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7"/>
      <c r="BK44" s="32" t="str">
        <f t="shared" si="21"/>
        <v>ENT_01_A3-26_バックアップ_薬効ATC分類3マスタ.sql</v>
      </c>
    </row>
    <row r="45" spans="1:63" ht="37.5" hidden="1" customHeight="1" outlineLevel="1">
      <c r="A45" s="34" t="str">
        <f t="shared" si="17"/>
        <v>バックアップ_薬効ATC分類4マスタ</v>
      </c>
      <c r="B45" s="181" t="str">
        <f t="shared" si="20"/>
        <v>01</v>
      </c>
      <c r="C45" s="182"/>
      <c r="D45" s="182"/>
      <c r="E45" s="182"/>
      <c r="F45" s="183"/>
      <c r="G45" s="184" t="s">
        <v>196</v>
      </c>
      <c r="H45" s="185"/>
      <c r="I45" s="185"/>
      <c r="J45" s="185"/>
      <c r="K45" s="185"/>
      <c r="L45" s="185"/>
      <c r="M45" s="185"/>
      <c r="N45" s="186"/>
      <c r="O45" s="79" t="s">
        <v>3227</v>
      </c>
      <c r="P45" s="188" t="s">
        <v>3247</v>
      </c>
      <c r="Q45" s="189"/>
      <c r="R45" s="189"/>
      <c r="S45" s="189"/>
      <c r="T45" s="189"/>
      <c r="U45" s="189"/>
      <c r="V45" s="189"/>
      <c r="W45" s="189"/>
      <c r="X45" s="189"/>
      <c r="Y45" s="189"/>
      <c r="Z45" s="189"/>
      <c r="AA45" s="189"/>
      <c r="AB45" s="189"/>
      <c r="AC45" s="189"/>
      <c r="AD45" s="190"/>
      <c r="AE45" s="165" t="str">
        <f t="shared" ca="1" si="18"/>
        <v>sny_202310_backup_mt_yakko_atc4</v>
      </c>
      <c r="AF45" s="166"/>
      <c r="AG45" s="166"/>
      <c r="AH45" s="166"/>
      <c r="AI45" s="166"/>
      <c r="AJ45" s="166"/>
      <c r="AK45" s="166"/>
      <c r="AL45" s="187"/>
      <c r="AM45" s="165" t="str">
        <f t="shared" ca="1" si="19"/>
        <v>薬効ATC分類4マスタテーブルから組入れ条件の第一条件で絞り込んだ結果を格納するテーブル</v>
      </c>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7"/>
      <c r="BK45" s="32" t="str">
        <f t="shared" si="21"/>
        <v>ENT_01_A3-27_バックアップ_薬効ATC分類4マスタ.sql</v>
      </c>
    </row>
    <row r="46" spans="1:63" ht="37.5" hidden="1" customHeight="1" outlineLevel="1">
      <c r="A46" s="34" t="str">
        <f t="shared" si="17"/>
        <v>バックアップ_薬効ATC分類5マスタ</v>
      </c>
      <c r="B46" s="181" t="str">
        <f t="shared" si="20"/>
        <v>01</v>
      </c>
      <c r="C46" s="182"/>
      <c r="D46" s="182"/>
      <c r="E46" s="182"/>
      <c r="F46" s="183"/>
      <c r="G46" s="184" t="s">
        <v>196</v>
      </c>
      <c r="H46" s="185"/>
      <c r="I46" s="185"/>
      <c r="J46" s="185"/>
      <c r="K46" s="185"/>
      <c r="L46" s="185"/>
      <c r="M46" s="185"/>
      <c r="N46" s="186"/>
      <c r="O46" s="79" t="s">
        <v>3228</v>
      </c>
      <c r="P46" s="188" t="s">
        <v>3248</v>
      </c>
      <c r="Q46" s="189"/>
      <c r="R46" s="189"/>
      <c r="S46" s="189"/>
      <c r="T46" s="189"/>
      <c r="U46" s="189"/>
      <c r="V46" s="189"/>
      <c r="W46" s="189"/>
      <c r="X46" s="189"/>
      <c r="Y46" s="189"/>
      <c r="Z46" s="189"/>
      <c r="AA46" s="189"/>
      <c r="AB46" s="189"/>
      <c r="AC46" s="189"/>
      <c r="AD46" s="190"/>
      <c r="AE46" s="165" t="str">
        <f t="shared" ref="AE46" ca="1" si="22">IFERROR(INDIRECT(P46&amp;"!D8"),"")</f>
        <v>sny_202310_backup_mt_yakko_atc5</v>
      </c>
      <c r="AF46" s="166"/>
      <c r="AG46" s="166"/>
      <c r="AH46" s="166"/>
      <c r="AI46" s="166"/>
      <c r="AJ46" s="166"/>
      <c r="AK46" s="166"/>
      <c r="AL46" s="187"/>
      <c r="AM46" s="165" t="str">
        <f t="shared" ref="AM46" ca="1" si="23">IFERROR(INDIRECT(P46&amp;"!D9"),"")</f>
        <v>薬効ATC分類5マスタテーブルから組入れ条件の第一条件で絞り込んだ結果を格納するテーブル</v>
      </c>
      <c r="AN46" s="166"/>
      <c r="AO46" s="166"/>
      <c r="AP46" s="166"/>
      <c r="AQ46" s="166"/>
      <c r="AR46" s="166"/>
      <c r="AS46" s="166"/>
      <c r="AT46" s="166"/>
      <c r="AU46" s="166"/>
      <c r="AV46" s="166"/>
      <c r="AW46" s="166"/>
      <c r="AX46" s="166"/>
      <c r="AY46" s="166"/>
      <c r="AZ46" s="166"/>
      <c r="BA46" s="166"/>
      <c r="BB46" s="166"/>
      <c r="BC46" s="166"/>
      <c r="BD46" s="166"/>
      <c r="BE46" s="166"/>
      <c r="BF46" s="166"/>
      <c r="BG46" s="166"/>
      <c r="BH46" s="166"/>
      <c r="BI46" s="166"/>
      <c r="BJ46" s="167"/>
      <c r="BK46" s="32" t="str">
        <f t="shared" si="21"/>
        <v>ENT_01_A3-28_バックアップ_薬効ATC分類5マスタ.sql</v>
      </c>
    </row>
    <row r="47" spans="1:63" ht="37.5" hidden="1" customHeight="1" outlineLevel="1">
      <c r="A47" s="34" t="str">
        <f t="shared" si="17"/>
        <v>バックアップ_疾病マスタ</v>
      </c>
      <c r="B47" s="181" t="str">
        <f t="shared" si="20"/>
        <v>01</v>
      </c>
      <c r="C47" s="182"/>
      <c r="D47" s="182"/>
      <c r="E47" s="182"/>
      <c r="F47" s="183"/>
      <c r="G47" s="184" t="s">
        <v>196</v>
      </c>
      <c r="H47" s="185"/>
      <c r="I47" s="185"/>
      <c r="J47" s="185"/>
      <c r="K47" s="185"/>
      <c r="L47" s="185"/>
      <c r="M47" s="185"/>
      <c r="N47" s="186"/>
      <c r="O47" s="79" t="s">
        <v>3229</v>
      </c>
      <c r="P47" s="188" t="s">
        <v>3249</v>
      </c>
      <c r="Q47" s="189"/>
      <c r="R47" s="189"/>
      <c r="S47" s="189"/>
      <c r="T47" s="189"/>
      <c r="U47" s="189"/>
      <c r="V47" s="189"/>
      <c r="W47" s="189"/>
      <c r="X47" s="189"/>
      <c r="Y47" s="189"/>
      <c r="Z47" s="189"/>
      <c r="AA47" s="189"/>
      <c r="AB47" s="189"/>
      <c r="AC47" s="189"/>
      <c r="AD47" s="190"/>
      <c r="AE47" s="165" t="str">
        <f t="shared" ref="AE47:AE51" ca="1" si="24">IFERROR(INDIRECT(P47&amp;"!D8"),"")</f>
        <v>sny_202310_backup_mt_shippei</v>
      </c>
      <c r="AF47" s="166"/>
      <c r="AG47" s="166"/>
      <c r="AH47" s="166"/>
      <c r="AI47" s="166"/>
      <c r="AJ47" s="166"/>
      <c r="AK47" s="166"/>
      <c r="AL47" s="187"/>
      <c r="AM47" s="165" t="str">
        <f t="shared" ref="AM47:AM51" ca="1" si="25">IFERROR(INDIRECT(P47&amp;"!D9"),"")</f>
        <v>疾病マスタテーブルから組入れ条件の第一条件で絞り込んだ結果を格納するテーブル</v>
      </c>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7"/>
      <c r="BK47" s="32" t="str">
        <f t="shared" si="21"/>
        <v>ENT_01_A3-29_バックアップ_疾病マスタ.sql</v>
      </c>
    </row>
    <row r="48" spans="1:63" ht="37.5" hidden="1" customHeight="1" outlineLevel="1">
      <c r="A48" s="34" t="str">
        <f t="shared" si="17"/>
        <v>バックアップ_ICD10大分類マスタ</v>
      </c>
      <c r="B48" s="181" t="str">
        <f t="shared" si="20"/>
        <v>01</v>
      </c>
      <c r="C48" s="182"/>
      <c r="D48" s="182"/>
      <c r="E48" s="182"/>
      <c r="F48" s="183"/>
      <c r="G48" s="184" t="s">
        <v>196</v>
      </c>
      <c r="H48" s="185"/>
      <c r="I48" s="185"/>
      <c r="J48" s="185"/>
      <c r="K48" s="185"/>
      <c r="L48" s="185"/>
      <c r="M48" s="185"/>
      <c r="N48" s="186"/>
      <c r="O48" s="79" t="s">
        <v>3233</v>
      </c>
      <c r="P48" s="188" t="s">
        <v>3250</v>
      </c>
      <c r="Q48" s="189"/>
      <c r="R48" s="189"/>
      <c r="S48" s="189"/>
      <c r="T48" s="189"/>
      <c r="U48" s="189"/>
      <c r="V48" s="189"/>
      <c r="W48" s="189"/>
      <c r="X48" s="189"/>
      <c r="Y48" s="189"/>
      <c r="Z48" s="189"/>
      <c r="AA48" s="189"/>
      <c r="AB48" s="189"/>
      <c r="AC48" s="189"/>
      <c r="AD48" s="190"/>
      <c r="AE48" s="165" t="str">
        <f t="shared" ca="1" si="24"/>
        <v>sny_202310_backup_mt_icd10_l</v>
      </c>
      <c r="AF48" s="166"/>
      <c r="AG48" s="166"/>
      <c r="AH48" s="166"/>
      <c r="AI48" s="166"/>
      <c r="AJ48" s="166"/>
      <c r="AK48" s="166"/>
      <c r="AL48" s="187"/>
      <c r="AM48" s="165" t="str">
        <f t="shared" ca="1" si="25"/>
        <v>ICD10大分類マスタテーブルから組入れ条件の第一条件で絞り込んだ結果を格納するテーブル</v>
      </c>
      <c r="AN48" s="166"/>
      <c r="AO48" s="166"/>
      <c r="AP48" s="166"/>
      <c r="AQ48" s="166"/>
      <c r="AR48" s="166"/>
      <c r="AS48" s="166"/>
      <c r="AT48" s="166"/>
      <c r="AU48" s="166"/>
      <c r="AV48" s="166"/>
      <c r="AW48" s="166"/>
      <c r="AX48" s="166"/>
      <c r="AY48" s="166"/>
      <c r="AZ48" s="166"/>
      <c r="BA48" s="166"/>
      <c r="BB48" s="166"/>
      <c r="BC48" s="166"/>
      <c r="BD48" s="166"/>
      <c r="BE48" s="166"/>
      <c r="BF48" s="166"/>
      <c r="BG48" s="166"/>
      <c r="BH48" s="166"/>
      <c r="BI48" s="166"/>
      <c r="BJ48" s="167"/>
      <c r="BK48" s="32" t="str">
        <f t="shared" si="21"/>
        <v>ENT_01_A3-30_バックアップ_ICD10大分類マスタ.sql</v>
      </c>
    </row>
    <row r="49" spans="1:63" ht="37.5" hidden="1" customHeight="1" outlineLevel="1">
      <c r="A49" s="34" t="str">
        <f t="shared" si="17"/>
        <v>バックアップ_ICD10中分類マスタ</v>
      </c>
      <c r="B49" s="181" t="str">
        <f t="shared" si="20"/>
        <v>01</v>
      </c>
      <c r="C49" s="182"/>
      <c r="D49" s="182"/>
      <c r="E49" s="182"/>
      <c r="F49" s="183"/>
      <c r="G49" s="184" t="s">
        <v>196</v>
      </c>
      <c r="H49" s="185"/>
      <c r="I49" s="185"/>
      <c r="J49" s="185"/>
      <c r="K49" s="185"/>
      <c r="L49" s="185"/>
      <c r="M49" s="185"/>
      <c r="N49" s="186"/>
      <c r="O49" s="79" t="s">
        <v>3230</v>
      </c>
      <c r="P49" s="188" t="s">
        <v>3251</v>
      </c>
      <c r="Q49" s="189"/>
      <c r="R49" s="189"/>
      <c r="S49" s="189"/>
      <c r="T49" s="189"/>
      <c r="U49" s="189"/>
      <c r="V49" s="189"/>
      <c r="W49" s="189"/>
      <c r="X49" s="189"/>
      <c r="Y49" s="189"/>
      <c r="Z49" s="189"/>
      <c r="AA49" s="189"/>
      <c r="AB49" s="189"/>
      <c r="AC49" s="189"/>
      <c r="AD49" s="190"/>
      <c r="AE49" s="165" t="str">
        <f t="shared" ca="1" si="24"/>
        <v>sny_202310_backup_mt_icd10_m</v>
      </c>
      <c r="AF49" s="166"/>
      <c r="AG49" s="166"/>
      <c r="AH49" s="166"/>
      <c r="AI49" s="166"/>
      <c r="AJ49" s="166"/>
      <c r="AK49" s="166"/>
      <c r="AL49" s="187"/>
      <c r="AM49" s="165" t="str">
        <f t="shared" ca="1" si="25"/>
        <v>ICD10中分類マスタテーブルから組入れ条件の第一条件で絞り込んだ結果を格納するテーブル</v>
      </c>
      <c r="AN49" s="166"/>
      <c r="AO49" s="166"/>
      <c r="AP49" s="166"/>
      <c r="AQ49" s="166"/>
      <c r="AR49" s="166"/>
      <c r="AS49" s="166"/>
      <c r="AT49" s="166"/>
      <c r="AU49" s="166"/>
      <c r="AV49" s="166"/>
      <c r="AW49" s="166"/>
      <c r="AX49" s="166"/>
      <c r="AY49" s="166"/>
      <c r="AZ49" s="166"/>
      <c r="BA49" s="166"/>
      <c r="BB49" s="166"/>
      <c r="BC49" s="166"/>
      <c r="BD49" s="166"/>
      <c r="BE49" s="166"/>
      <c r="BF49" s="166"/>
      <c r="BG49" s="166"/>
      <c r="BH49" s="166"/>
      <c r="BI49" s="166"/>
      <c r="BJ49" s="167"/>
      <c r="BK49" s="32" t="str">
        <f t="shared" si="21"/>
        <v>ENT_01_A3-31_バックアップ_ICD10中分類マスタ.sql</v>
      </c>
    </row>
    <row r="50" spans="1:63" ht="37.5" hidden="1" customHeight="1" outlineLevel="1">
      <c r="A50" s="34" t="str">
        <f t="shared" si="17"/>
        <v>バックアップ_ICD10小分類マスタ</v>
      </c>
      <c r="B50" s="181" t="str">
        <f t="shared" si="20"/>
        <v>01</v>
      </c>
      <c r="C50" s="182"/>
      <c r="D50" s="182"/>
      <c r="E50" s="182"/>
      <c r="F50" s="183"/>
      <c r="G50" s="184" t="s">
        <v>196</v>
      </c>
      <c r="H50" s="185"/>
      <c r="I50" s="185"/>
      <c r="J50" s="185"/>
      <c r="K50" s="185"/>
      <c r="L50" s="185"/>
      <c r="M50" s="185"/>
      <c r="N50" s="186"/>
      <c r="O50" s="79" t="s">
        <v>3231</v>
      </c>
      <c r="P50" s="188" t="s">
        <v>3252</v>
      </c>
      <c r="Q50" s="189"/>
      <c r="R50" s="189"/>
      <c r="S50" s="189"/>
      <c r="T50" s="189"/>
      <c r="U50" s="189"/>
      <c r="V50" s="189"/>
      <c r="W50" s="189"/>
      <c r="X50" s="189"/>
      <c r="Y50" s="189"/>
      <c r="Z50" s="189"/>
      <c r="AA50" s="189"/>
      <c r="AB50" s="189"/>
      <c r="AC50" s="189"/>
      <c r="AD50" s="190"/>
      <c r="AE50" s="165" t="str">
        <f t="shared" ca="1" si="24"/>
        <v>sny_202310_backup_mt_icd10_s</v>
      </c>
      <c r="AF50" s="166"/>
      <c r="AG50" s="166"/>
      <c r="AH50" s="166"/>
      <c r="AI50" s="166"/>
      <c r="AJ50" s="166"/>
      <c r="AK50" s="166"/>
      <c r="AL50" s="187"/>
      <c r="AM50" s="165" t="str">
        <f t="shared" ca="1" si="25"/>
        <v>ICD10小分類マスタテーブルから組入れ条件の第一条件で絞り込んだ結果を格納するテーブル</v>
      </c>
      <c r="AN50" s="166"/>
      <c r="AO50" s="166"/>
      <c r="AP50" s="166"/>
      <c r="AQ50" s="166"/>
      <c r="AR50" s="166"/>
      <c r="AS50" s="166"/>
      <c r="AT50" s="166"/>
      <c r="AU50" s="166"/>
      <c r="AV50" s="166"/>
      <c r="AW50" s="166"/>
      <c r="AX50" s="166"/>
      <c r="AY50" s="166"/>
      <c r="AZ50" s="166"/>
      <c r="BA50" s="166"/>
      <c r="BB50" s="166"/>
      <c r="BC50" s="166"/>
      <c r="BD50" s="166"/>
      <c r="BE50" s="166"/>
      <c r="BF50" s="166"/>
      <c r="BG50" s="166"/>
      <c r="BH50" s="166"/>
      <c r="BI50" s="166"/>
      <c r="BJ50" s="167"/>
      <c r="BK50" s="32" t="str">
        <f t="shared" si="21"/>
        <v>ENT_01_A3-32_バックアップ_ICD10小分類マスタ.sql</v>
      </c>
    </row>
    <row r="51" spans="1:63" ht="37.5" hidden="1" customHeight="1" outlineLevel="1">
      <c r="A51" s="34" t="str">
        <f t="shared" si="17"/>
        <v>バックアップ_ICD10細分類マスタ</v>
      </c>
      <c r="B51" s="181" t="str">
        <f t="shared" si="20"/>
        <v>01</v>
      </c>
      <c r="C51" s="182"/>
      <c r="D51" s="182"/>
      <c r="E51" s="182"/>
      <c r="F51" s="183"/>
      <c r="G51" s="184" t="s">
        <v>196</v>
      </c>
      <c r="H51" s="185"/>
      <c r="I51" s="185"/>
      <c r="J51" s="185"/>
      <c r="K51" s="185"/>
      <c r="L51" s="185"/>
      <c r="M51" s="185"/>
      <c r="N51" s="186"/>
      <c r="O51" s="79" t="s">
        <v>3232</v>
      </c>
      <c r="P51" s="188" t="s">
        <v>3253</v>
      </c>
      <c r="Q51" s="189"/>
      <c r="R51" s="189"/>
      <c r="S51" s="189"/>
      <c r="T51" s="189"/>
      <c r="U51" s="189"/>
      <c r="V51" s="189"/>
      <c r="W51" s="189"/>
      <c r="X51" s="189"/>
      <c r="Y51" s="189"/>
      <c r="Z51" s="189"/>
      <c r="AA51" s="189"/>
      <c r="AB51" s="189"/>
      <c r="AC51" s="189"/>
      <c r="AD51" s="190"/>
      <c r="AE51" s="165" t="str">
        <f t="shared" ca="1" si="24"/>
        <v>sny_202310_backup_mt_icd10_ss</v>
      </c>
      <c r="AF51" s="166"/>
      <c r="AG51" s="166"/>
      <c r="AH51" s="166"/>
      <c r="AI51" s="166"/>
      <c r="AJ51" s="166"/>
      <c r="AK51" s="166"/>
      <c r="AL51" s="187"/>
      <c r="AM51" s="165" t="str">
        <f t="shared" ca="1" si="25"/>
        <v>ICD10細分類マスタテーブルから組入れ条件の第一条件で絞り込んだ結果を格納するテーブル</v>
      </c>
      <c r="AN51" s="166"/>
      <c r="AO51" s="166"/>
      <c r="AP51" s="166"/>
      <c r="AQ51" s="166"/>
      <c r="AR51" s="166"/>
      <c r="AS51" s="166"/>
      <c r="AT51" s="166"/>
      <c r="AU51" s="166"/>
      <c r="AV51" s="166"/>
      <c r="AW51" s="166"/>
      <c r="AX51" s="166"/>
      <c r="AY51" s="166"/>
      <c r="AZ51" s="166"/>
      <c r="BA51" s="166"/>
      <c r="BB51" s="166"/>
      <c r="BC51" s="166"/>
      <c r="BD51" s="166"/>
      <c r="BE51" s="166"/>
      <c r="BF51" s="166"/>
      <c r="BG51" s="166"/>
      <c r="BH51" s="166"/>
      <c r="BI51" s="166"/>
      <c r="BJ51" s="167"/>
      <c r="BK51" s="32" t="str">
        <f t="shared" si="21"/>
        <v>ENT_01_A3-33_バックアップ_ICD10細分類マスタ.sql</v>
      </c>
    </row>
    <row r="52" spans="1:63" ht="37.5" hidden="1" customHeight="1" outlineLevel="1">
      <c r="A52" s="34" t="str">
        <f t="shared" ref="A52:A55" si="26">P52</f>
        <v>バックアップ_DPC2桁マスタ</v>
      </c>
      <c r="B52" s="181" t="str">
        <f t="shared" si="20"/>
        <v>01</v>
      </c>
      <c r="C52" s="182"/>
      <c r="D52" s="182"/>
      <c r="E52" s="182"/>
      <c r="F52" s="183"/>
      <c r="G52" s="184" t="s">
        <v>196</v>
      </c>
      <c r="H52" s="185"/>
      <c r="I52" s="185"/>
      <c r="J52" s="185"/>
      <c r="K52" s="185"/>
      <c r="L52" s="185"/>
      <c r="M52" s="185"/>
      <c r="N52" s="186"/>
      <c r="O52" s="79" t="s">
        <v>3234</v>
      </c>
      <c r="P52" s="188" t="s">
        <v>3254</v>
      </c>
      <c r="Q52" s="189"/>
      <c r="R52" s="189"/>
      <c r="S52" s="189"/>
      <c r="T52" s="189"/>
      <c r="U52" s="189"/>
      <c r="V52" s="189"/>
      <c r="W52" s="189"/>
      <c r="X52" s="189"/>
      <c r="Y52" s="189"/>
      <c r="Z52" s="189"/>
      <c r="AA52" s="189"/>
      <c r="AB52" s="189"/>
      <c r="AC52" s="189"/>
      <c r="AD52" s="190"/>
      <c r="AE52" s="165" t="str">
        <f t="shared" ref="AE52:AE55" ca="1" si="27">IFERROR(INDIRECT(P52&amp;"!D8"),"")</f>
        <v>sny_202310_backup_mt_dpc2</v>
      </c>
      <c r="AF52" s="166"/>
      <c r="AG52" s="166"/>
      <c r="AH52" s="166"/>
      <c r="AI52" s="166"/>
      <c r="AJ52" s="166"/>
      <c r="AK52" s="166"/>
      <c r="AL52" s="187"/>
      <c r="AM52" s="165" t="str">
        <f t="shared" ref="AM52:AM55" ca="1" si="28">IFERROR(INDIRECT(P52&amp;"!D9"),"")</f>
        <v>DPC2桁マスタテーブルから組入れ条件の第一条件で絞り込んだ結果を格納するテーブル</v>
      </c>
      <c r="AN52" s="166"/>
      <c r="AO52" s="166"/>
      <c r="AP52" s="166"/>
      <c r="AQ52" s="166"/>
      <c r="AR52" s="166"/>
      <c r="AS52" s="166"/>
      <c r="AT52" s="166"/>
      <c r="AU52" s="166"/>
      <c r="AV52" s="166"/>
      <c r="AW52" s="166"/>
      <c r="AX52" s="166"/>
      <c r="AY52" s="166"/>
      <c r="AZ52" s="166"/>
      <c r="BA52" s="166"/>
      <c r="BB52" s="166"/>
      <c r="BC52" s="166"/>
      <c r="BD52" s="166"/>
      <c r="BE52" s="166"/>
      <c r="BF52" s="166"/>
      <c r="BG52" s="166"/>
      <c r="BH52" s="166"/>
      <c r="BI52" s="166"/>
      <c r="BJ52" s="167"/>
      <c r="BK52" s="32" t="str">
        <f t="shared" ref="BK52:BK55" si="29">IF(P52&lt;&gt;"",O52&amp;"_"&amp;P52&amp;".sql","")</f>
        <v>ENT_01_A3-34_バックアップ_DPC2桁マスタ.sql</v>
      </c>
    </row>
    <row r="53" spans="1:63" ht="37.5" hidden="1" customHeight="1" outlineLevel="1">
      <c r="A53" s="34" t="str">
        <f t="shared" si="26"/>
        <v>バックアップ_DPC6桁マスタ</v>
      </c>
      <c r="B53" s="181" t="str">
        <f t="shared" si="20"/>
        <v>01</v>
      </c>
      <c r="C53" s="182"/>
      <c r="D53" s="182"/>
      <c r="E53" s="182"/>
      <c r="F53" s="183"/>
      <c r="G53" s="184" t="s">
        <v>196</v>
      </c>
      <c r="H53" s="185"/>
      <c r="I53" s="185"/>
      <c r="J53" s="185"/>
      <c r="K53" s="185"/>
      <c r="L53" s="185"/>
      <c r="M53" s="185"/>
      <c r="N53" s="186"/>
      <c r="O53" s="79" t="s">
        <v>3235</v>
      </c>
      <c r="P53" s="188" t="s">
        <v>3255</v>
      </c>
      <c r="Q53" s="189"/>
      <c r="R53" s="189"/>
      <c r="S53" s="189"/>
      <c r="T53" s="189"/>
      <c r="U53" s="189"/>
      <c r="V53" s="189"/>
      <c r="W53" s="189"/>
      <c r="X53" s="189"/>
      <c r="Y53" s="189"/>
      <c r="Z53" s="189"/>
      <c r="AA53" s="189"/>
      <c r="AB53" s="189"/>
      <c r="AC53" s="189"/>
      <c r="AD53" s="190"/>
      <c r="AE53" s="165" t="str">
        <f t="shared" ca="1" si="27"/>
        <v>sny_202310_backup_mt_dpc6</v>
      </c>
      <c r="AF53" s="166"/>
      <c r="AG53" s="166"/>
      <c r="AH53" s="166"/>
      <c r="AI53" s="166"/>
      <c r="AJ53" s="166"/>
      <c r="AK53" s="166"/>
      <c r="AL53" s="187"/>
      <c r="AM53" s="165" t="str">
        <f t="shared" ca="1" si="28"/>
        <v>DPC6桁マスタテーブルから組入れ条件の第一条件で絞り込んだ結果を格納するテーブル</v>
      </c>
      <c r="AN53" s="166"/>
      <c r="AO53" s="166"/>
      <c r="AP53" s="166"/>
      <c r="AQ53" s="166"/>
      <c r="AR53" s="166"/>
      <c r="AS53" s="166"/>
      <c r="AT53" s="166"/>
      <c r="AU53" s="166"/>
      <c r="AV53" s="166"/>
      <c r="AW53" s="166"/>
      <c r="AX53" s="166"/>
      <c r="AY53" s="166"/>
      <c r="AZ53" s="166"/>
      <c r="BA53" s="166"/>
      <c r="BB53" s="166"/>
      <c r="BC53" s="166"/>
      <c r="BD53" s="166"/>
      <c r="BE53" s="166"/>
      <c r="BF53" s="166"/>
      <c r="BG53" s="166"/>
      <c r="BH53" s="166"/>
      <c r="BI53" s="166"/>
      <c r="BJ53" s="167"/>
      <c r="BK53" s="32" t="str">
        <f t="shared" si="29"/>
        <v>ENT_01_A3-35_バックアップ_DPC6桁マスタ.sql</v>
      </c>
    </row>
    <row r="54" spans="1:63" ht="37.5" hidden="1" customHeight="1" outlineLevel="1">
      <c r="A54" s="34" t="str">
        <f t="shared" si="26"/>
        <v>バックアップ_郵便番号マスタ</v>
      </c>
      <c r="B54" s="181" t="str">
        <f t="shared" si="20"/>
        <v>01</v>
      </c>
      <c r="C54" s="182"/>
      <c r="D54" s="182"/>
      <c r="E54" s="182"/>
      <c r="F54" s="183"/>
      <c r="G54" s="184" t="s">
        <v>196</v>
      </c>
      <c r="H54" s="185"/>
      <c r="I54" s="185"/>
      <c r="J54" s="185"/>
      <c r="K54" s="185"/>
      <c r="L54" s="185"/>
      <c r="M54" s="185"/>
      <c r="N54" s="186"/>
      <c r="O54" s="79" t="s">
        <v>3236</v>
      </c>
      <c r="P54" s="188" t="s">
        <v>3256</v>
      </c>
      <c r="Q54" s="189"/>
      <c r="R54" s="189"/>
      <c r="S54" s="189"/>
      <c r="T54" s="189"/>
      <c r="U54" s="189"/>
      <c r="V54" s="189"/>
      <c r="W54" s="189"/>
      <c r="X54" s="189"/>
      <c r="Y54" s="189"/>
      <c r="Z54" s="189"/>
      <c r="AA54" s="189"/>
      <c r="AB54" s="189"/>
      <c r="AC54" s="189"/>
      <c r="AD54" s="190"/>
      <c r="AE54" s="165" t="str">
        <f t="shared" ca="1" si="27"/>
        <v>sny_202310_backup_mt_postal</v>
      </c>
      <c r="AF54" s="166"/>
      <c r="AG54" s="166"/>
      <c r="AH54" s="166"/>
      <c r="AI54" s="166"/>
      <c r="AJ54" s="166"/>
      <c r="AK54" s="166"/>
      <c r="AL54" s="187"/>
      <c r="AM54" s="165" t="str">
        <f t="shared" ca="1" si="28"/>
        <v>郵便番号マスタテーブルから組入れ条件の第一条件で絞り込んだ結果を格納するテーブル</v>
      </c>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7"/>
      <c r="BK54" s="32" t="str">
        <f t="shared" si="29"/>
        <v>ENT_01_A3-36_バックアップ_郵便番号マスタ.sql</v>
      </c>
    </row>
    <row r="55" spans="1:63" ht="37.5" hidden="1" customHeight="1" outlineLevel="1">
      <c r="A55" s="34" t="str">
        <f t="shared" si="26"/>
        <v>バックアップ_特定機材マスタ</v>
      </c>
      <c r="B55" s="181" t="str">
        <f t="shared" si="20"/>
        <v>01</v>
      </c>
      <c r="C55" s="182"/>
      <c r="D55" s="182"/>
      <c r="E55" s="182"/>
      <c r="F55" s="183"/>
      <c r="G55" s="184" t="s">
        <v>196</v>
      </c>
      <c r="H55" s="185"/>
      <c r="I55" s="185"/>
      <c r="J55" s="185"/>
      <c r="K55" s="185"/>
      <c r="L55" s="185"/>
      <c r="M55" s="185"/>
      <c r="N55" s="186"/>
      <c r="O55" s="79" t="s">
        <v>3237</v>
      </c>
      <c r="P55" s="188" t="s">
        <v>3257</v>
      </c>
      <c r="Q55" s="189"/>
      <c r="R55" s="189"/>
      <c r="S55" s="189"/>
      <c r="T55" s="189"/>
      <c r="U55" s="189"/>
      <c r="V55" s="189"/>
      <c r="W55" s="189"/>
      <c r="X55" s="189"/>
      <c r="Y55" s="189"/>
      <c r="Z55" s="189"/>
      <c r="AA55" s="189"/>
      <c r="AB55" s="189"/>
      <c r="AC55" s="189"/>
      <c r="AD55" s="190"/>
      <c r="AE55" s="165" t="str">
        <f t="shared" ca="1" si="27"/>
        <v>sny_202310_backup_mt_tokutei_kizai</v>
      </c>
      <c r="AF55" s="166"/>
      <c r="AG55" s="166"/>
      <c r="AH55" s="166"/>
      <c r="AI55" s="166"/>
      <c r="AJ55" s="166"/>
      <c r="AK55" s="166"/>
      <c r="AL55" s="187"/>
      <c r="AM55" s="165" t="str">
        <f t="shared" ca="1" si="28"/>
        <v>特定機材マスタテーブルから組入れ条件の第一条件で絞り込んだ結果を格納するテーブル</v>
      </c>
      <c r="AN55" s="166"/>
      <c r="AO55" s="166"/>
      <c r="AP55" s="166"/>
      <c r="AQ55" s="166"/>
      <c r="AR55" s="166"/>
      <c r="AS55" s="166"/>
      <c r="AT55" s="166"/>
      <c r="AU55" s="166"/>
      <c r="AV55" s="166"/>
      <c r="AW55" s="166"/>
      <c r="AX55" s="166"/>
      <c r="AY55" s="166"/>
      <c r="AZ55" s="166"/>
      <c r="BA55" s="166"/>
      <c r="BB55" s="166"/>
      <c r="BC55" s="166"/>
      <c r="BD55" s="166"/>
      <c r="BE55" s="166"/>
      <c r="BF55" s="166"/>
      <c r="BG55" s="166"/>
      <c r="BH55" s="166"/>
      <c r="BI55" s="166"/>
      <c r="BJ55" s="167"/>
      <c r="BK55" s="32" t="str">
        <f t="shared" si="29"/>
        <v>ENT_01_A3-37_バックアップ_特定機材マスタ.sql</v>
      </c>
    </row>
    <row r="56" spans="1:63" ht="37.5" hidden="1" customHeight="1" outlineLevel="1">
      <c r="A56" s="34" t="str">
        <f t="shared" ref="A56:A68" si="30">P56</f>
        <v>バックアップ_年度マスタ</v>
      </c>
      <c r="B56" s="181" t="str">
        <f t="shared" si="20"/>
        <v>01</v>
      </c>
      <c r="C56" s="182"/>
      <c r="D56" s="182"/>
      <c r="E56" s="182"/>
      <c r="F56" s="183"/>
      <c r="G56" s="184" t="s">
        <v>196</v>
      </c>
      <c r="H56" s="185"/>
      <c r="I56" s="185"/>
      <c r="J56" s="185"/>
      <c r="K56" s="185"/>
      <c r="L56" s="185"/>
      <c r="M56" s="185"/>
      <c r="N56" s="186"/>
      <c r="O56" s="79" t="s">
        <v>3159</v>
      </c>
      <c r="P56" s="188" t="s">
        <v>2430</v>
      </c>
      <c r="Q56" s="189"/>
      <c r="R56" s="189"/>
      <c r="S56" s="189"/>
      <c r="T56" s="189"/>
      <c r="U56" s="189"/>
      <c r="V56" s="189"/>
      <c r="W56" s="189"/>
      <c r="X56" s="189"/>
      <c r="Y56" s="189"/>
      <c r="Z56" s="189"/>
      <c r="AA56" s="189"/>
      <c r="AB56" s="189"/>
      <c r="AC56" s="189"/>
      <c r="AD56" s="190"/>
      <c r="AE56" s="165" t="str">
        <f t="shared" ref="AE56:AE68" ca="1" si="31">IFERROR(INDIRECT(P56&amp;"!D8"),"")</f>
        <v>sny_202310_backup_mt2_nendo</v>
      </c>
      <c r="AF56" s="166"/>
      <c r="AG56" s="166"/>
      <c r="AH56" s="166"/>
      <c r="AI56" s="166"/>
      <c r="AJ56" s="166"/>
      <c r="AK56" s="166"/>
      <c r="AL56" s="187"/>
      <c r="AM56" s="165" t="str">
        <f t="shared" ref="AM56:AM68" ca="1" si="32">IFERROR(INDIRECT(P56&amp;"!D9"),"")</f>
        <v>年度マスタテーブルから組入れ条件の第一条件で絞り込んだ結果を格納するテーブル</v>
      </c>
      <c r="AN56" s="166"/>
      <c r="AO56" s="166"/>
      <c r="AP56" s="166"/>
      <c r="AQ56" s="166"/>
      <c r="AR56" s="166"/>
      <c r="AS56" s="166"/>
      <c r="AT56" s="166"/>
      <c r="AU56" s="166"/>
      <c r="AV56" s="166"/>
      <c r="AW56" s="166"/>
      <c r="AX56" s="166"/>
      <c r="AY56" s="166"/>
      <c r="AZ56" s="166"/>
      <c r="BA56" s="166"/>
      <c r="BB56" s="166"/>
      <c r="BC56" s="166"/>
      <c r="BD56" s="166"/>
      <c r="BE56" s="166"/>
      <c r="BF56" s="166"/>
      <c r="BG56" s="166"/>
      <c r="BH56" s="166"/>
      <c r="BI56" s="166"/>
      <c r="BJ56" s="167"/>
      <c r="BK56" s="32" t="str">
        <f t="shared" si="16"/>
        <v>ENT_01_A4-01_バックアップ_年度マスタ.sql</v>
      </c>
    </row>
    <row r="57" spans="1:63" ht="37.5" hidden="1" customHeight="1" outlineLevel="1">
      <c r="A57" s="34" t="str">
        <f t="shared" si="30"/>
        <v>バックアップ_都道府県地方コードマスタ</v>
      </c>
      <c r="B57" s="181" t="str">
        <f t="shared" si="20"/>
        <v>01</v>
      </c>
      <c r="C57" s="182"/>
      <c r="D57" s="182"/>
      <c r="E57" s="182"/>
      <c r="F57" s="183"/>
      <c r="G57" s="184" t="s">
        <v>196</v>
      </c>
      <c r="H57" s="185"/>
      <c r="I57" s="185"/>
      <c r="J57" s="185"/>
      <c r="K57" s="185"/>
      <c r="L57" s="185"/>
      <c r="M57" s="185"/>
      <c r="N57" s="186"/>
      <c r="O57" s="79" t="s">
        <v>3160</v>
      </c>
      <c r="P57" s="188" t="s">
        <v>2454</v>
      </c>
      <c r="Q57" s="189"/>
      <c r="R57" s="189"/>
      <c r="S57" s="189"/>
      <c r="T57" s="189"/>
      <c r="U57" s="189"/>
      <c r="V57" s="189"/>
      <c r="W57" s="189"/>
      <c r="X57" s="189"/>
      <c r="Y57" s="189"/>
      <c r="Z57" s="189"/>
      <c r="AA57" s="189"/>
      <c r="AB57" s="189"/>
      <c r="AC57" s="189"/>
      <c r="AD57" s="190"/>
      <c r="AE57" s="165" t="str">
        <f t="shared" ca="1" si="31"/>
        <v>sny_202310_backup_mt2_prefecture_region</v>
      </c>
      <c r="AF57" s="166"/>
      <c r="AG57" s="166"/>
      <c r="AH57" s="166"/>
      <c r="AI57" s="166"/>
      <c r="AJ57" s="166"/>
      <c r="AK57" s="166"/>
      <c r="AL57" s="187"/>
      <c r="AM57" s="165" t="str">
        <f t="shared" ca="1" si="32"/>
        <v>都道府県地方コードマスタテーブルから組入れ条件の第一条件で絞り込んだ結果を格納するテーブル</v>
      </c>
      <c r="AN57" s="166"/>
      <c r="AO57" s="166"/>
      <c r="AP57" s="166"/>
      <c r="AQ57" s="166"/>
      <c r="AR57" s="166"/>
      <c r="AS57" s="166"/>
      <c r="AT57" s="166"/>
      <c r="AU57" s="166"/>
      <c r="AV57" s="166"/>
      <c r="AW57" s="166"/>
      <c r="AX57" s="166"/>
      <c r="AY57" s="166"/>
      <c r="AZ57" s="166"/>
      <c r="BA57" s="166"/>
      <c r="BB57" s="166"/>
      <c r="BC57" s="166"/>
      <c r="BD57" s="166"/>
      <c r="BE57" s="166"/>
      <c r="BF57" s="166"/>
      <c r="BG57" s="166"/>
      <c r="BH57" s="166"/>
      <c r="BI57" s="166"/>
      <c r="BJ57" s="167"/>
      <c r="BK57" s="32" t="str">
        <f t="shared" si="16"/>
        <v>ENT_01_A4-02_バックアップ_都道府県地方コードマスタ.sql</v>
      </c>
    </row>
    <row r="58" spans="1:63" ht="37.5" hidden="1" customHeight="1" outlineLevel="1">
      <c r="A58" s="34" t="str">
        <f t="shared" si="30"/>
        <v>バックアップ_施設属性マスタ</v>
      </c>
      <c r="B58" s="181" t="str">
        <f t="shared" si="20"/>
        <v>01</v>
      </c>
      <c r="C58" s="182"/>
      <c r="D58" s="182"/>
      <c r="E58" s="182"/>
      <c r="F58" s="183"/>
      <c r="G58" s="184" t="s">
        <v>196</v>
      </c>
      <c r="H58" s="185"/>
      <c r="I58" s="185"/>
      <c r="J58" s="185"/>
      <c r="K58" s="185"/>
      <c r="L58" s="185"/>
      <c r="M58" s="185"/>
      <c r="N58" s="186"/>
      <c r="O58" s="79" t="s">
        <v>3161</v>
      </c>
      <c r="P58" s="188" t="s">
        <v>2490</v>
      </c>
      <c r="Q58" s="189"/>
      <c r="R58" s="189"/>
      <c r="S58" s="189"/>
      <c r="T58" s="189"/>
      <c r="U58" s="189"/>
      <c r="V58" s="189"/>
      <c r="W58" s="189"/>
      <c r="X58" s="189"/>
      <c r="Y58" s="189"/>
      <c r="Z58" s="189"/>
      <c r="AA58" s="189"/>
      <c r="AB58" s="189"/>
      <c r="AC58" s="189"/>
      <c r="AD58" s="190"/>
      <c r="AE58" s="165" t="str">
        <f t="shared" ca="1" si="31"/>
        <v>sny_202310_backup_mt2_shisetsu_zokusei</v>
      </c>
      <c r="AF58" s="166"/>
      <c r="AG58" s="166"/>
      <c r="AH58" s="166"/>
      <c r="AI58" s="166"/>
      <c r="AJ58" s="166"/>
      <c r="AK58" s="166"/>
      <c r="AL58" s="187"/>
      <c r="AM58" s="165" t="str">
        <f t="shared" ca="1" si="32"/>
        <v>施設属性マスタテーブルから組入れ条件の第一条件で絞り込んだ結果を格納するテーブル</v>
      </c>
      <c r="AN58" s="166"/>
      <c r="AO58" s="166"/>
      <c r="AP58" s="166"/>
      <c r="AQ58" s="166"/>
      <c r="AR58" s="166"/>
      <c r="AS58" s="166"/>
      <c r="AT58" s="166"/>
      <c r="AU58" s="166"/>
      <c r="AV58" s="166"/>
      <c r="AW58" s="166"/>
      <c r="AX58" s="166"/>
      <c r="AY58" s="166"/>
      <c r="AZ58" s="166"/>
      <c r="BA58" s="166"/>
      <c r="BB58" s="166"/>
      <c r="BC58" s="166"/>
      <c r="BD58" s="166"/>
      <c r="BE58" s="166"/>
      <c r="BF58" s="166"/>
      <c r="BG58" s="166"/>
      <c r="BH58" s="166"/>
      <c r="BI58" s="166"/>
      <c r="BJ58" s="167"/>
      <c r="BK58" s="32" t="str">
        <f t="shared" si="16"/>
        <v>ENT_01_A4-03_バックアップ_施設属性マスタ.sql</v>
      </c>
    </row>
    <row r="59" spans="1:63" ht="37.5" hidden="1" customHeight="1" outlineLevel="1">
      <c r="A59" s="34" t="str">
        <f t="shared" si="30"/>
        <v>バックアップ_二次医療圏マスタ</v>
      </c>
      <c r="B59" s="181" t="str">
        <f t="shared" si="20"/>
        <v>01</v>
      </c>
      <c r="C59" s="182"/>
      <c r="D59" s="182"/>
      <c r="E59" s="182"/>
      <c r="F59" s="183"/>
      <c r="G59" s="184" t="s">
        <v>196</v>
      </c>
      <c r="H59" s="185"/>
      <c r="I59" s="185"/>
      <c r="J59" s="185"/>
      <c r="K59" s="185"/>
      <c r="L59" s="185"/>
      <c r="M59" s="185"/>
      <c r="N59" s="186"/>
      <c r="O59" s="79" t="s">
        <v>3162</v>
      </c>
      <c r="P59" s="188" t="s">
        <v>2533</v>
      </c>
      <c r="Q59" s="189"/>
      <c r="R59" s="189"/>
      <c r="S59" s="189"/>
      <c r="T59" s="189"/>
      <c r="U59" s="189"/>
      <c r="V59" s="189"/>
      <c r="W59" s="189"/>
      <c r="X59" s="189"/>
      <c r="Y59" s="189"/>
      <c r="Z59" s="189"/>
      <c r="AA59" s="189"/>
      <c r="AB59" s="189"/>
      <c r="AC59" s="189"/>
      <c r="AD59" s="190"/>
      <c r="AE59" s="165" t="str">
        <f t="shared" ca="1" si="31"/>
        <v>sny_202310_backup_mt2_iryouken2</v>
      </c>
      <c r="AF59" s="166"/>
      <c r="AG59" s="166"/>
      <c r="AH59" s="166"/>
      <c r="AI59" s="166"/>
      <c r="AJ59" s="166"/>
      <c r="AK59" s="166"/>
      <c r="AL59" s="187"/>
      <c r="AM59" s="165" t="str">
        <f t="shared" ca="1" si="32"/>
        <v>二次医療圏マスタテーブルから組入れ条件の第一条件で絞り込んだ結果を格納するテーブル</v>
      </c>
      <c r="AN59" s="166"/>
      <c r="AO59" s="166"/>
      <c r="AP59" s="166"/>
      <c r="AQ59" s="166"/>
      <c r="AR59" s="166"/>
      <c r="AS59" s="166"/>
      <c r="AT59" s="166"/>
      <c r="AU59" s="166"/>
      <c r="AV59" s="166"/>
      <c r="AW59" s="166"/>
      <c r="AX59" s="166"/>
      <c r="AY59" s="166"/>
      <c r="AZ59" s="166"/>
      <c r="BA59" s="166"/>
      <c r="BB59" s="166"/>
      <c r="BC59" s="166"/>
      <c r="BD59" s="166"/>
      <c r="BE59" s="166"/>
      <c r="BF59" s="166"/>
      <c r="BG59" s="166"/>
      <c r="BH59" s="166"/>
      <c r="BI59" s="166"/>
      <c r="BJ59" s="167"/>
      <c r="BK59" s="32" t="str">
        <f t="shared" si="16"/>
        <v>ENT_01_A4-04_バックアップ_二次医療圏マスタ.sql</v>
      </c>
    </row>
    <row r="60" spans="1:63" ht="37.5" hidden="1" customHeight="1" outlineLevel="1">
      <c r="A60" s="34" t="str">
        <f t="shared" si="30"/>
        <v>バックアップ_施設ID対応マスタ</v>
      </c>
      <c r="B60" s="181" t="str">
        <f t="shared" si="20"/>
        <v>01</v>
      </c>
      <c r="C60" s="182"/>
      <c r="D60" s="182"/>
      <c r="E60" s="182"/>
      <c r="F60" s="183"/>
      <c r="G60" s="184" t="s">
        <v>196</v>
      </c>
      <c r="H60" s="185"/>
      <c r="I60" s="185"/>
      <c r="J60" s="185"/>
      <c r="K60" s="185"/>
      <c r="L60" s="185"/>
      <c r="M60" s="185"/>
      <c r="N60" s="186"/>
      <c r="O60" s="79" t="s">
        <v>3163</v>
      </c>
      <c r="P60" s="188" t="s">
        <v>2538</v>
      </c>
      <c r="Q60" s="189"/>
      <c r="R60" s="189"/>
      <c r="S60" s="189"/>
      <c r="T60" s="189"/>
      <c r="U60" s="189"/>
      <c r="V60" s="189"/>
      <c r="W60" s="189"/>
      <c r="X60" s="189"/>
      <c r="Y60" s="189"/>
      <c r="Z60" s="189"/>
      <c r="AA60" s="189"/>
      <c r="AB60" s="189"/>
      <c r="AC60" s="189"/>
      <c r="AD60" s="190"/>
      <c r="AE60" s="165" t="str">
        <f t="shared" ca="1" si="31"/>
        <v>sny_202310_backup_mt2_old_new_shisetsu</v>
      </c>
      <c r="AF60" s="166"/>
      <c r="AG60" s="166"/>
      <c r="AH60" s="166"/>
      <c r="AI60" s="166"/>
      <c r="AJ60" s="166"/>
      <c r="AK60" s="166"/>
      <c r="AL60" s="187"/>
      <c r="AM60" s="165" t="str">
        <f t="shared" ca="1" si="32"/>
        <v>施設ID対応マスタテーブルから組入れ条件の第一条件で絞り込んだ結果を格納するテーブル</v>
      </c>
      <c r="AN60" s="166"/>
      <c r="AO60" s="166"/>
      <c r="AP60" s="166"/>
      <c r="AQ60" s="166"/>
      <c r="AR60" s="166"/>
      <c r="AS60" s="166"/>
      <c r="AT60" s="166"/>
      <c r="AU60" s="166"/>
      <c r="AV60" s="166"/>
      <c r="AW60" s="166"/>
      <c r="AX60" s="166"/>
      <c r="AY60" s="166"/>
      <c r="AZ60" s="166"/>
      <c r="BA60" s="166"/>
      <c r="BB60" s="166"/>
      <c r="BC60" s="166"/>
      <c r="BD60" s="166"/>
      <c r="BE60" s="166"/>
      <c r="BF60" s="166"/>
      <c r="BG60" s="166"/>
      <c r="BH60" s="166"/>
      <c r="BI60" s="166"/>
      <c r="BJ60" s="167"/>
      <c r="BK60" s="32" t="str">
        <f t="shared" si="16"/>
        <v>ENT_01_A4-05_バックアップ_施設ID対応マスタ.sql</v>
      </c>
    </row>
    <row r="61" spans="1:63" ht="37.5" hidden="1" customHeight="1" outlineLevel="1">
      <c r="A61" s="34" t="str">
        <f t="shared" si="30"/>
        <v>バックアップ_医薬品関連マスタ</v>
      </c>
      <c r="B61" s="181" t="str">
        <f t="shared" si="20"/>
        <v>01</v>
      </c>
      <c r="C61" s="182"/>
      <c r="D61" s="182"/>
      <c r="E61" s="182"/>
      <c r="F61" s="183"/>
      <c r="G61" s="184" t="s">
        <v>196</v>
      </c>
      <c r="H61" s="185"/>
      <c r="I61" s="185"/>
      <c r="J61" s="185"/>
      <c r="K61" s="185"/>
      <c r="L61" s="185"/>
      <c r="M61" s="185"/>
      <c r="N61" s="186"/>
      <c r="O61" s="79" t="s">
        <v>3164</v>
      </c>
      <c r="P61" s="188" t="s">
        <v>2546</v>
      </c>
      <c r="Q61" s="189"/>
      <c r="R61" s="189"/>
      <c r="S61" s="189"/>
      <c r="T61" s="189"/>
      <c r="U61" s="189"/>
      <c r="V61" s="189"/>
      <c r="W61" s="189"/>
      <c r="X61" s="189"/>
      <c r="Y61" s="189"/>
      <c r="Z61" s="189"/>
      <c r="AA61" s="189"/>
      <c r="AB61" s="189"/>
      <c r="AC61" s="189"/>
      <c r="AD61" s="190"/>
      <c r="AE61" s="165" t="str">
        <f t="shared" ca="1" si="31"/>
        <v>sny_202310_backup_mt2_iyakuhin_kanren</v>
      </c>
      <c r="AF61" s="166"/>
      <c r="AG61" s="166"/>
      <c r="AH61" s="166"/>
      <c r="AI61" s="166"/>
      <c r="AJ61" s="166"/>
      <c r="AK61" s="166"/>
      <c r="AL61" s="187"/>
      <c r="AM61" s="165" t="str">
        <f t="shared" ca="1" si="32"/>
        <v>医薬品関連マスタテーブルから組入れ条件の第一条件で絞り込んだ結果を格納するテーブル</v>
      </c>
      <c r="AN61" s="166"/>
      <c r="AO61" s="166"/>
      <c r="AP61" s="166"/>
      <c r="AQ61" s="166"/>
      <c r="AR61" s="166"/>
      <c r="AS61" s="166"/>
      <c r="AT61" s="166"/>
      <c r="AU61" s="166"/>
      <c r="AV61" s="166"/>
      <c r="AW61" s="166"/>
      <c r="AX61" s="166"/>
      <c r="AY61" s="166"/>
      <c r="AZ61" s="166"/>
      <c r="BA61" s="166"/>
      <c r="BB61" s="166"/>
      <c r="BC61" s="166"/>
      <c r="BD61" s="166"/>
      <c r="BE61" s="166"/>
      <c r="BF61" s="166"/>
      <c r="BG61" s="166"/>
      <c r="BH61" s="166"/>
      <c r="BI61" s="166"/>
      <c r="BJ61" s="167"/>
      <c r="BK61" s="32" t="str">
        <f t="shared" si="16"/>
        <v>ENT_01_A4-07_バックアップ_医薬品関連マスタ.sql</v>
      </c>
    </row>
    <row r="62" spans="1:63" ht="37.5" hidden="1" customHeight="1" outlineLevel="1">
      <c r="A62" s="34" t="str">
        <f t="shared" si="30"/>
        <v>バックアップ_薬価関連マスタ</v>
      </c>
      <c r="B62" s="181" t="str">
        <f t="shared" si="20"/>
        <v>01</v>
      </c>
      <c r="C62" s="182"/>
      <c r="D62" s="182"/>
      <c r="E62" s="182"/>
      <c r="F62" s="183"/>
      <c r="G62" s="184" t="s">
        <v>196</v>
      </c>
      <c r="H62" s="185"/>
      <c r="I62" s="185"/>
      <c r="J62" s="185"/>
      <c r="K62" s="185"/>
      <c r="L62" s="185"/>
      <c r="M62" s="185"/>
      <c r="N62" s="186"/>
      <c r="O62" s="79" t="s">
        <v>3165</v>
      </c>
      <c r="P62" s="188" t="s">
        <v>2602</v>
      </c>
      <c r="Q62" s="189"/>
      <c r="R62" s="189"/>
      <c r="S62" s="189"/>
      <c r="T62" s="189"/>
      <c r="U62" s="189"/>
      <c r="V62" s="189"/>
      <c r="W62" s="189"/>
      <c r="X62" s="189"/>
      <c r="Y62" s="189"/>
      <c r="Z62" s="189"/>
      <c r="AA62" s="189"/>
      <c r="AB62" s="189"/>
      <c r="AC62" s="189"/>
      <c r="AD62" s="190"/>
      <c r="AE62" s="165" t="str">
        <f t="shared" ca="1" si="31"/>
        <v>sny_202310_backup_mt2_price_kanren</v>
      </c>
      <c r="AF62" s="166"/>
      <c r="AG62" s="166"/>
      <c r="AH62" s="166"/>
      <c r="AI62" s="166"/>
      <c r="AJ62" s="166"/>
      <c r="AK62" s="166"/>
      <c r="AL62" s="187"/>
      <c r="AM62" s="165" t="str">
        <f t="shared" ca="1" si="32"/>
        <v>薬価関連マスタテーブルから組入れ条件の第一条件で絞り込んだ結果を格納するテーブル</v>
      </c>
      <c r="AN62" s="166"/>
      <c r="AO62" s="166"/>
      <c r="AP62" s="166"/>
      <c r="AQ62" s="166"/>
      <c r="AR62" s="166"/>
      <c r="AS62" s="166"/>
      <c r="AT62" s="166"/>
      <c r="AU62" s="166"/>
      <c r="AV62" s="166"/>
      <c r="AW62" s="166"/>
      <c r="AX62" s="166"/>
      <c r="AY62" s="166"/>
      <c r="AZ62" s="166"/>
      <c r="BA62" s="166"/>
      <c r="BB62" s="166"/>
      <c r="BC62" s="166"/>
      <c r="BD62" s="166"/>
      <c r="BE62" s="166"/>
      <c r="BF62" s="166"/>
      <c r="BG62" s="166"/>
      <c r="BH62" s="166"/>
      <c r="BI62" s="166"/>
      <c r="BJ62" s="167"/>
      <c r="BK62" s="32" t="str">
        <f t="shared" si="16"/>
        <v>ENT_01_A4-08_バックアップ_薬価関連マスタ.sql</v>
      </c>
    </row>
    <row r="63" spans="1:63" ht="37.5" hidden="1" customHeight="1" outlineLevel="1">
      <c r="A63" s="34" t="str">
        <f t="shared" si="30"/>
        <v>バックアップ_診療行為関連マスタ</v>
      </c>
      <c r="B63" s="181" t="str">
        <f t="shared" si="20"/>
        <v>01</v>
      </c>
      <c r="C63" s="182"/>
      <c r="D63" s="182"/>
      <c r="E63" s="182"/>
      <c r="F63" s="183"/>
      <c r="G63" s="184" t="s">
        <v>196</v>
      </c>
      <c r="H63" s="185"/>
      <c r="I63" s="185"/>
      <c r="J63" s="185"/>
      <c r="K63" s="185"/>
      <c r="L63" s="185"/>
      <c r="M63" s="185"/>
      <c r="N63" s="186"/>
      <c r="O63" s="79" t="s">
        <v>3166</v>
      </c>
      <c r="P63" s="188" t="s">
        <v>2609</v>
      </c>
      <c r="Q63" s="189"/>
      <c r="R63" s="189"/>
      <c r="S63" s="189"/>
      <c r="T63" s="189"/>
      <c r="U63" s="189"/>
      <c r="V63" s="189"/>
      <c r="W63" s="189"/>
      <c r="X63" s="189"/>
      <c r="Y63" s="189"/>
      <c r="Z63" s="189"/>
      <c r="AA63" s="189"/>
      <c r="AB63" s="189"/>
      <c r="AC63" s="189"/>
      <c r="AD63" s="190"/>
      <c r="AE63" s="165" t="str">
        <f t="shared" ca="1" si="31"/>
        <v>sny_202310_backup_mt2_shinryo_koi_kanren</v>
      </c>
      <c r="AF63" s="166"/>
      <c r="AG63" s="166"/>
      <c r="AH63" s="166"/>
      <c r="AI63" s="166"/>
      <c r="AJ63" s="166"/>
      <c r="AK63" s="166"/>
      <c r="AL63" s="187"/>
      <c r="AM63" s="165" t="str">
        <f t="shared" ca="1" si="32"/>
        <v>診療行為関連マスタテーブルから組入れ条件の第一条件で絞り込んだ結果を格納するテーブル</v>
      </c>
      <c r="AN63" s="166"/>
      <c r="AO63" s="166"/>
      <c r="AP63" s="166"/>
      <c r="AQ63" s="166"/>
      <c r="AR63" s="166"/>
      <c r="AS63" s="166"/>
      <c r="AT63" s="166"/>
      <c r="AU63" s="166"/>
      <c r="AV63" s="166"/>
      <c r="AW63" s="166"/>
      <c r="AX63" s="166"/>
      <c r="AY63" s="166"/>
      <c r="AZ63" s="166"/>
      <c r="BA63" s="166"/>
      <c r="BB63" s="166"/>
      <c r="BC63" s="166"/>
      <c r="BD63" s="166"/>
      <c r="BE63" s="166"/>
      <c r="BF63" s="166"/>
      <c r="BG63" s="166"/>
      <c r="BH63" s="166"/>
      <c r="BI63" s="166"/>
      <c r="BJ63" s="167"/>
      <c r="BK63" s="32" t="str">
        <f t="shared" si="16"/>
        <v>ENT_01_A4-09_バックアップ_診療行為関連マスタ.sql</v>
      </c>
    </row>
    <row r="64" spans="1:63" ht="37.5" hidden="1" customHeight="1" outlineLevel="1">
      <c r="A64" s="34" t="str">
        <f t="shared" si="30"/>
        <v>バックアップ_特定器材関連マスタ</v>
      </c>
      <c r="B64" s="181" t="str">
        <f t="shared" si="20"/>
        <v>01</v>
      </c>
      <c r="C64" s="182"/>
      <c r="D64" s="182"/>
      <c r="E64" s="182"/>
      <c r="F64" s="183"/>
      <c r="G64" s="184" t="s">
        <v>196</v>
      </c>
      <c r="H64" s="185"/>
      <c r="I64" s="185"/>
      <c r="J64" s="185"/>
      <c r="K64" s="185"/>
      <c r="L64" s="185"/>
      <c r="M64" s="185"/>
      <c r="N64" s="186"/>
      <c r="O64" s="79" t="s">
        <v>3167</v>
      </c>
      <c r="P64" s="188" t="s">
        <v>2629</v>
      </c>
      <c r="Q64" s="189"/>
      <c r="R64" s="189"/>
      <c r="S64" s="189"/>
      <c r="T64" s="189"/>
      <c r="U64" s="189"/>
      <c r="V64" s="189"/>
      <c r="W64" s="189"/>
      <c r="X64" s="189"/>
      <c r="Y64" s="189"/>
      <c r="Z64" s="189"/>
      <c r="AA64" s="189"/>
      <c r="AB64" s="189"/>
      <c r="AC64" s="189"/>
      <c r="AD64" s="190"/>
      <c r="AE64" s="165" t="str">
        <f t="shared" ca="1" si="31"/>
        <v>sny_202310_backup_mt2_tokutei_kizai_kanren</v>
      </c>
      <c r="AF64" s="166"/>
      <c r="AG64" s="166"/>
      <c r="AH64" s="166"/>
      <c r="AI64" s="166"/>
      <c r="AJ64" s="166"/>
      <c r="AK64" s="166"/>
      <c r="AL64" s="187"/>
      <c r="AM64" s="165" t="str">
        <f t="shared" ca="1" si="32"/>
        <v>特定器材関連マスタテーブルから組入れ条件の第一条件で絞り込んだ結果を格納するテーブル</v>
      </c>
      <c r="AN64" s="166"/>
      <c r="AO64" s="166"/>
      <c r="AP64" s="166"/>
      <c r="AQ64" s="166"/>
      <c r="AR64" s="166"/>
      <c r="AS64" s="166"/>
      <c r="AT64" s="166"/>
      <c r="AU64" s="166"/>
      <c r="AV64" s="166"/>
      <c r="AW64" s="166"/>
      <c r="AX64" s="166"/>
      <c r="AY64" s="166"/>
      <c r="AZ64" s="166"/>
      <c r="BA64" s="166"/>
      <c r="BB64" s="166"/>
      <c r="BC64" s="166"/>
      <c r="BD64" s="166"/>
      <c r="BE64" s="166"/>
      <c r="BF64" s="166"/>
      <c r="BG64" s="166"/>
      <c r="BH64" s="166"/>
      <c r="BI64" s="166"/>
      <c r="BJ64" s="167"/>
      <c r="BK64" s="32" t="str">
        <f t="shared" si="16"/>
        <v>ENT_01_A4-10_バックアップ_特定器材関連マスタ.sql</v>
      </c>
    </row>
    <row r="65" spans="1:64" ht="37.5" hidden="1" customHeight="1" outlineLevel="1">
      <c r="A65" s="34" t="str">
        <f t="shared" si="30"/>
        <v>バックアップ_DPC関連マスタ</v>
      </c>
      <c r="B65" s="181" t="str">
        <f t="shared" si="20"/>
        <v>01</v>
      </c>
      <c r="C65" s="182"/>
      <c r="D65" s="182"/>
      <c r="E65" s="182"/>
      <c r="F65" s="183"/>
      <c r="G65" s="184" t="s">
        <v>196</v>
      </c>
      <c r="H65" s="185"/>
      <c r="I65" s="185"/>
      <c r="J65" s="185"/>
      <c r="K65" s="185"/>
      <c r="L65" s="185"/>
      <c r="M65" s="185"/>
      <c r="N65" s="186"/>
      <c r="O65" s="79" t="s">
        <v>3168</v>
      </c>
      <c r="P65" s="188" t="s">
        <v>2641</v>
      </c>
      <c r="Q65" s="189"/>
      <c r="R65" s="189"/>
      <c r="S65" s="189"/>
      <c r="T65" s="189"/>
      <c r="U65" s="189"/>
      <c r="V65" s="189"/>
      <c r="W65" s="189"/>
      <c r="X65" s="189"/>
      <c r="Y65" s="189"/>
      <c r="Z65" s="189"/>
      <c r="AA65" s="189"/>
      <c r="AB65" s="189"/>
      <c r="AC65" s="189"/>
      <c r="AD65" s="190"/>
      <c r="AE65" s="165" t="str">
        <f t="shared" ca="1" si="31"/>
        <v>sny_202310_backup_mt2_dpc_kanren</v>
      </c>
      <c r="AF65" s="166"/>
      <c r="AG65" s="166"/>
      <c r="AH65" s="166"/>
      <c r="AI65" s="166"/>
      <c r="AJ65" s="166"/>
      <c r="AK65" s="166"/>
      <c r="AL65" s="187"/>
      <c r="AM65" s="165" t="str">
        <f t="shared" ca="1" si="32"/>
        <v>DPC関連マスタテーブルから組入れ条件の第一条件で絞り込んだ結果を格納するテーブル</v>
      </c>
      <c r="AN65" s="166"/>
      <c r="AO65" s="166"/>
      <c r="AP65" s="166"/>
      <c r="AQ65" s="166"/>
      <c r="AR65" s="166"/>
      <c r="AS65" s="166"/>
      <c r="AT65" s="166"/>
      <c r="AU65" s="166"/>
      <c r="AV65" s="166"/>
      <c r="AW65" s="166"/>
      <c r="AX65" s="166"/>
      <c r="AY65" s="166"/>
      <c r="AZ65" s="166"/>
      <c r="BA65" s="166"/>
      <c r="BB65" s="166"/>
      <c r="BC65" s="166"/>
      <c r="BD65" s="166"/>
      <c r="BE65" s="166"/>
      <c r="BF65" s="166"/>
      <c r="BG65" s="166"/>
      <c r="BH65" s="166"/>
      <c r="BI65" s="166"/>
      <c r="BJ65" s="167"/>
      <c r="BK65" s="32" t="str">
        <f t="shared" si="16"/>
        <v>ENT_01_A4-11_バックアップ_DPC関連マスタ.sql</v>
      </c>
    </row>
    <row r="66" spans="1:64" ht="37.5" hidden="1" customHeight="1" outlineLevel="1">
      <c r="A66" s="34" t="str">
        <f t="shared" si="30"/>
        <v>バックアップ_疾患関連マスタ</v>
      </c>
      <c r="B66" s="181" t="str">
        <f t="shared" si="20"/>
        <v>01</v>
      </c>
      <c r="C66" s="182"/>
      <c r="D66" s="182"/>
      <c r="E66" s="182"/>
      <c r="F66" s="183"/>
      <c r="G66" s="184" t="s">
        <v>196</v>
      </c>
      <c r="H66" s="185"/>
      <c r="I66" s="185"/>
      <c r="J66" s="185"/>
      <c r="K66" s="185"/>
      <c r="L66" s="185"/>
      <c r="M66" s="185"/>
      <c r="N66" s="186"/>
      <c r="O66" s="79" t="s">
        <v>3169</v>
      </c>
      <c r="P66" s="188" t="s">
        <v>2650</v>
      </c>
      <c r="Q66" s="189"/>
      <c r="R66" s="189"/>
      <c r="S66" s="189"/>
      <c r="T66" s="189"/>
      <c r="U66" s="189"/>
      <c r="V66" s="189"/>
      <c r="W66" s="189"/>
      <c r="X66" s="189"/>
      <c r="Y66" s="189"/>
      <c r="Z66" s="189"/>
      <c r="AA66" s="189"/>
      <c r="AB66" s="189"/>
      <c r="AC66" s="189"/>
      <c r="AD66" s="190"/>
      <c r="AE66" s="165" t="str">
        <f t="shared" ca="1" si="31"/>
        <v>sny_202310_backup_mt2_shikkan_kanren</v>
      </c>
      <c r="AF66" s="166"/>
      <c r="AG66" s="166"/>
      <c r="AH66" s="166"/>
      <c r="AI66" s="166"/>
      <c r="AJ66" s="166"/>
      <c r="AK66" s="166"/>
      <c r="AL66" s="187"/>
      <c r="AM66" s="165" t="str">
        <f t="shared" ca="1" si="32"/>
        <v>疾患関連マスタテーブルから組入れ条件の第一条件で絞り込んだ結果を格納するテーブル</v>
      </c>
      <c r="AN66" s="166"/>
      <c r="AO66" s="166"/>
      <c r="AP66" s="166"/>
      <c r="AQ66" s="166"/>
      <c r="AR66" s="166"/>
      <c r="AS66" s="166"/>
      <c r="AT66" s="166"/>
      <c r="AU66" s="166"/>
      <c r="AV66" s="166"/>
      <c r="AW66" s="166"/>
      <c r="AX66" s="166"/>
      <c r="AY66" s="166"/>
      <c r="AZ66" s="166"/>
      <c r="BA66" s="166"/>
      <c r="BB66" s="166"/>
      <c r="BC66" s="166"/>
      <c r="BD66" s="166"/>
      <c r="BE66" s="166"/>
      <c r="BF66" s="166"/>
      <c r="BG66" s="166"/>
      <c r="BH66" s="166"/>
      <c r="BI66" s="166"/>
      <c r="BJ66" s="167"/>
      <c r="BK66" s="32" t="str">
        <f t="shared" si="16"/>
        <v>ENT_01_A4-12_バックアップ_疾患関連マスタ.sql</v>
      </c>
    </row>
    <row r="67" spans="1:64" ht="37.5" hidden="1" customHeight="1" outlineLevel="1">
      <c r="A67" s="34" t="str">
        <f t="shared" si="30"/>
        <v>バックアップ_医薬品成分関連マスタ</v>
      </c>
      <c r="B67" s="181" t="str">
        <f t="shared" si="20"/>
        <v>01</v>
      </c>
      <c r="C67" s="182"/>
      <c r="D67" s="182"/>
      <c r="E67" s="182"/>
      <c r="F67" s="183"/>
      <c r="G67" s="184" t="s">
        <v>196</v>
      </c>
      <c r="H67" s="185"/>
      <c r="I67" s="185"/>
      <c r="J67" s="185"/>
      <c r="K67" s="185"/>
      <c r="L67" s="185"/>
      <c r="M67" s="185"/>
      <c r="N67" s="186"/>
      <c r="O67" s="79" t="s">
        <v>3170</v>
      </c>
      <c r="P67" s="188" t="s">
        <v>2679</v>
      </c>
      <c r="Q67" s="189"/>
      <c r="R67" s="189"/>
      <c r="S67" s="189"/>
      <c r="T67" s="189"/>
      <c r="U67" s="189"/>
      <c r="V67" s="189"/>
      <c r="W67" s="189"/>
      <c r="X67" s="189"/>
      <c r="Y67" s="189"/>
      <c r="Z67" s="189"/>
      <c r="AA67" s="189"/>
      <c r="AB67" s="189"/>
      <c r="AC67" s="189"/>
      <c r="AD67" s="190"/>
      <c r="AE67" s="165" t="str">
        <f t="shared" ca="1" si="31"/>
        <v>sny_202310_backup_mt2_iyakuhin_seibun_kanren</v>
      </c>
      <c r="AF67" s="166"/>
      <c r="AG67" s="166"/>
      <c r="AH67" s="166"/>
      <c r="AI67" s="166"/>
      <c r="AJ67" s="166"/>
      <c r="AK67" s="166"/>
      <c r="AL67" s="187"/>
      <c r="AM67" s="165" t="str">
        <f t="shared" ca="1" si="32"/>
        <v>医薬品成分関連マスタテーブルから組入れ条件の第一条件で絞り込んだ結果を格納するテーブル</v>
      </c>
      <c r="AN67" s="166"/>
      <c r="AO67" s="166"/>
      <c r="AP67" s="166"/>
      <c r="AQ67" s="166"/>
      <c r="AR67" s="166"/>
      <c r="AS67" s="166"/>
      <c r="AT67" s="166"/>
      <c r="AU67" s="166"/>
      <c r="AV67" s="166"/>
      <c r="AW67" s="166"/>
      <c r="AX67" s="166"/>
      <c r="AY67" s="166"/>
      <c r="AZ67" s="166"/>
      <c r="BA67" s="166"/>
      <c r="BB67" s="166"/>
      <c r="BC67" s="166"/>
      <c r="BD67" s="166"/>
      <c r="BE67" s="166"/>
      <c r="BF67" s="166"/>
      <c r="BG67" s="166"/>
      <c r="BH67" s="166"/>
      <c r="BI67" s="166"/>
      <c r="BJ67" s="167"/>
      <c r="BK67" s="32" t="str">
        <f t="shared" si="16"/>
        <v>ENT_01_A4-13_バックアップ_医薬品成分関連マスタ.sql</v>
      </c>
    </row>
    <row r="68" spans="1:64" ht="37.5" hidden="1" customHeight="1" outlineLevel="1">
      <c r="A68" s="34" t="str">
        <f t="shared" si="30"/>
        <v>バックアップ_医薬品適用病名関連マスタ</v>
      </c>
      <c r="B68" s="181" t="str">
        <f t="shared" si="20"/>
        <v>01</v>
      </c>
      <c r="C68" s="182"/>
      <c r="D68" s="182"/>
      <c r="E68" s="182"/>
      <c r="F68" s="183"/>
      <c r="G68" s="184" t="s">
        <v>196</v>
      </c>
      <c r="H68" s="185"/>
      <c r="I68" s="185"/>
      <c r="J68" s="185"/>
      <c r="K68" s="185"/>
      <c r="L68" s="185"/>
      <c r="M68" s="185"/>
      <c r="N68" s="186"/>
      <c r="O68" s="79" t="s">
        <v>3171</v>
      </c>
      <c r="P68" s="188" t="s">
        <v>2700</v>
      </c>
      <c r="Q68" s="189"/>
      <c r="R68" s="189"/>
      <c r="S68" s="189"/>
      <c r="T68" s="189"/>
      <c r="U68" s="189"/>
      <c r="V68" s="189"/>
      <c r="W68" s="189"/>
      <c r="X68" s="189"/>
      <c r="Y68" s="189"/>
      <c r="Z68" s="189"/>
      <c r="AA68" s="189"/>
      <c r="AB68" s="189"/>
      <c r="AC68" s="189"/>
      <c r="AD68" s="190"/>
      <c r="AE68" s="165" t="str">
        <f t="shared" ca="1" si="31"/>
        <v>sny_202310_backup_mt2_iyakuhin_tekiyou_byomei_kanren</v>
      </c>
      <c r="AF68" s="166"/>
      <c r="AG68" s="166"/>
      <c r="AH68" s="166"/>
      <c r="AI68" s="166"/>
      <c r="AJ68" s="166"/>
      <c r="AK68" s="166"/>
      <c r="AL68" s="187"/>
      <c r="AM68" s="165" t="str">
        <f t="shared" ca="1" si="32"/>
        <v>医薬品適用病名関連マスタテーブルから組入れ条件の第一条件で絞り込んだ結果を格納するテーブル</v>
      </c>
      <c r="AN68" s="166"/>
      <c r="AO68" s="166"/>
      <c r="AP68" s="166"/>
      <c r="AQ68" s="166"/>
      <c r="AR68" s="166"/>
      <c r="AS68" s="166"/>
      <c r="AT68" s="166"/>
      <c r="AU68" s="166"/>
      <c r="AV68" s="166"/>
      <c r="AW68" s="166"/>
      <c r="AX68" s="166"/>
      <c r="AY68" s="166"/>
      <c r="AZ68" s="166"/>
      <c r="BA68" s="166"/>
      <c r="BB68" s="166"/>
      <c r="BC68" s="166"/>
      <c r="BD68" s="166"/>
      <c r="BE68" s="166"/>
      <c r="BF68" s="166"/>
      <c r="BG68" s="166"/>
      <c r="BH68" s="166"/>
      <c r="BI68" s="166"/>
      <c r="BJ68" s="167"/>
      <c r="BK68" s="32" t="str">
        <f t="shared" si="16"/>
        <v>ENT_01_A4-14_バックアップ_医薬品適用病名関連マスタ.sql</v>
      </c>
    </row>
    <row r="69" spans="1:64" ht="37.5" hidden="1" customHeight="1" outlineLevel="1">
      <c r="A69" s="34" t="str">
        <f t="shared" si="12"/>
        <v>バックアップ_MML共通</v>
      </c>
      <c r="B69" s="181" t="str">
        <f t="shared" si="20"/>
        <v>01</v>
      </c>
      <c r="C69" s="182"/>
      <c r="D69" s="182"/>
      <c r="E69" s="182"/>
      <c r="F69" s="183"/>
      <c r="G69" s="184" t="s">
        <v>196</v>
      </c>
      <c r="H69" s="185"/>
      <c r="I69" s="185"/>
      <c r="J69" s="185"/>
      <c r="K69" s="185"/>
      <c r="L69" s="185"/>
      <c r="M69" s="185"/>
      <c r="N69" s="186"/>
      <c r="O69" s="79" t="s">
        <v>3183</v>
      </c>
      <c r="P69" s="188" t="s">
        <v>3184</v>
      </c>
      <c r="Q69" s="189"/>
      <c r="R69" s="189"/>
      <c r="S69" s="189"/>
      <c r="T69" s="189"/>
      <c r="U69" s="189"/>
      <c r="V69" s="189"/>
      <c r="W69" s="189"/>
      <c r="X69" s="189"/>
      <c r="Y69" s="189"/>
      <c r="Z69" s="189"/>
      <c r="AA69" s="189"/>
      <c r="AB69" s="189"/>
      <c r="AC69" s="189"/>
      <c r="AD69" s="190"/>
      <c r="AE69" s="165" t="str">
        <f t="shared" ca="1" si="13"/>
        <v>sny_202310_backup_text_mml_common</v>
      </c>
      <c r="AF69" s="166"/>
      <c r="AG69" s="166"/>
      <c r="AH69" s="166"/>
      <c r="AI69" s="166"/>
      <c r="AJ69" s="166"/>
      <c r="AK69" s="166"/>
      <c r="AL69" s="187"/>
      <c r="AM69" s="165" t="str">
        <f t="shared" ca="1" si="14"/>
        <v>MML共通テーブルから組入れ条件の第一条件で絞り込んだ結果を格納するテーブル</v>
      </c>
      <c r="AN69" s="166"/>
      <c r="AO69" s="166"/>
      <c r="AP69" s="166"/>
      <c r="AQ69" s="166"/>
      <c r="AR69" s="166"/>
      <c r="AS69" s="166"/>
      <c r="AT69" s="166"/>
      <c r="AU69" s="166"/>
      <c r="AV69" s="166"/>
      <c r="AW69" s="166"/>
      <c r="AX69" s="166"/>
      <c r="AY69" s="166"/>
      <c r="AZ69" s="166"/>
      <c r="BA69" s="166"/>
      <c r="BB69" s="166"/>
      <c r="BC69" s="166"/>
      <c r="BD69" s="166"/>
      <c r="BE69" s="166"/>
      <c r="BF69" s="166"/>
      <c r="BG69" s="166"/>
      <c r="BH69" s="166"/>
      <c r="BI69" s="166"/>
      <c r="BJ69" s="167"/>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81" t="str">
        <f t="shared" si="20"/>
        <v>01</v>
      </c>
      <c r="C70" s="182"/>
      <c r="D70" s="182"/>
      <c r="E70" s="182"/>
      <c r="F70" s="183"/>
      <c r="G70" s="184" t="s">
        <v>196</v>
      </c>
      <c r="H70" s="185"/>
      <c r="I70" s="185"/>
      <c r="J70" s="185"/>
      <c r="K70" s="185"/>
      <c r="L70" s="185"/>
      <c r="M70" s="185"/>
      <c r="N70" s="186"/>
      <c r="O70" s="79" t="s">
        <v>3185</v>
      </c>
      <c r="P70" s="188" t="s">
        <v>2779</v>
      </c>
      <c r="Q70" s="189"/>
      <c r="R70" s="189"/>
      <c r="S70" s="189"/>
      <c r="T70" s="189"/>
      <c r="U70" s="189"/>
      <c r="V70" s="189"/>
      <c r="W70" s="189"/>
      <c r="X70" s="189"/>
      <c r="Y70" s="189"/>
      <c r="Z70" s="189"/>
      <c r="AA70" s="189"/>
      <c r="AB70" s="189"/>
      <c r="AC70" s="189"/>
      <c r="AD70" s="190"/>
      <c r="AE70" s="165" t="str">
        <f t="shared" ref="AE70" ca="1" si="34">IFERROR(INDIRECT(P70&amp;"!D8"),"")</f>
        <v>sny_202310_backup_text_mml_mmlrd_body</v>
      </c>
      <c r="AF70" s="166"/>
      <c r="AG70" s="166"/>
      <c r="AH70" s="166"/>
      <c r="AI70" s="166"/>
      <c r="AJ70" s="166"/>
      <c r="AK70" s="166"/>
      <c r="AL70" s="187"/>
      <c r="AM70" s="165" t="str">
        <f t="shared" ref="AM70" ca="1" si="35">IFERROR(INDIRECT(P70&amp;"!D9"),"")</f>
        <v>MML_診断履歴情報モジュール_本文テーブルから組入れ条件の第一条件で絞り込んだ結果を格納するテーブル</v>
      </c>
      <c r="AN70" s="166"/>
      <c r="AO70" s="166"/>
      <c r="AP70" s="166"/>
      <c r="AQ70" s="166"/>
      <c r="AR70" s="166"/>
      <c r="AS70" s="166"/>
      <c r="AT70" s="166"/>
      <c r="AU70" s="166"/>
      <c r="AV70" s="166"/>
      <c r="AW70" s="166"/>
      <c r="AX70" s="166"/>
      <c r="AY70" s="166"/>
      <c r="AZ70" s="166"/>
      <c r="BA70" s="166"/>
      <c r="BB70" s="166"/>
      <c r="BC70" s="166"/>
      <c r="BD70" s="166"/>
      <c r="BE70" s="166"/>
      <c r="BF70" s="166"/>
      <c r="BG70" s="166"/>
      <c r="BH70" s="166"/>
      <c r="BI70" s="166"/>
      <c r="BJ70" s="167"/>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81" t="str">
        <f t="shared" si="20"/>
        <v>01</v>
      </c>
      <c r="C71" s="182"/>
      <c r="D71" s="182"/>
      <c r="E71" s="182"/>
      <c r="F71" s="183"/>
      <c r="G71" s="184" t="s">
        <v>196</v>
      </c>
      <c r="H71" s="185"/>
      <c r="I71" s="185"/>
      <c r="J71" s="185"/>
      <c r="K71" s="185"/>
      <c r="L71" s="185"/>
      <c r="M71" s="185"/>
      <c r="N71" s="186"/>
      <c r="O71" s="79" t="s">
        <v>3186</v>
      </c>
      <c r="P71" s="188" t="s">
        <v>2795</v>
      </c>
      <c r="Q71" s="189"/>
      <c r="R71" s="189"/>
      <c r="S71" s="189"/>
      <c r="T71" s="189"/>
      <c r="U71" s="189"/>
      <c r="V71" s="189"/>
      <c r="W71" s="189"/>
      <c r="X71" s="189"/>
      <c r="Y71" s="189"/>
      <c r="Z71" s="189"/>
      <c r="AA71" s="189"/>
      <c r="AB71" s="189"/>
      <c r="AC71" s="189"/>
      <c r="AD71" s="190"/>
      <c r="AE71" s="165" t="str">
        <f t="shared" ca="1" si="13"/>
        <v>sny_202310_backup_text_mml_mmlrd_byomei</v>
      </c>
      <c r="AF71" s="166"/>
      <c r="AG71" s="166"/>
      <c r="AH71" s="166"/>
      <c r="AI71" s="166"/>
      <c r="AJ71" s="166"/>
      <c r="AK71" s="166"/>
      <c r="AL71" s="187"/>
      <c r="AM71" s="165" t="str">
        <f t="shared" ca="1" si="14"/>
        <v>MML_診断履歴情報モジュール_病名テーブルから組入れ条件の第一条件で絞り込んだ結果を格納するテーブル</v>
      </c>
      <c r="AN71" s="166"/>
      <c r="AO71" s="166"/>
      <c r="AP71" s="166"/>
      <c r="AQ71" s="166"/>
      <c r="AR71" s="166"/>
      <c r="AS71" s="166"/>
      <c r="AT71" s="166"/>
      <c r="AU71" s="166"/>
      <c r="AV71" s="166"/>
      <c r="AW71" s="166"/>
      <c r="AX71" s="166"/>
      <c r="AY71" s="166"/>
      <c r="AZ71" s="166"/>
      <c r="BA71" s="166"/>
      <c r="BB71" s="166"/>
      <c r="BC71" s="166"/>
      <c r="BD71" s="166"/>
      <c r="BE71" s="166"/>
      <c r="BF71" s="166"/>
      <c r="BG71" s="166"/>
      <c r="BH71" s="166"/>
      <c r="BI71" s="166"/>
      <c r="BJ71" s="167"/>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81" t="str">
        <f t="shared" si="20"/>
        <v>01</v>
      </c>
      <c r="C72" s="182"/>
      <c r="D72" s="182"/>
      <c r="E72" s="182"/>
      <c r="F72" s="183"/>
      <c r="G72" s="184" t="s">
        <v>196</v>
      </c>
      <c r="H72" s="185"/>
      <c r="I72" s="185"/>
      <c r="J72" s="185"/>
      <c r="K72" s="185"/>
      <c r="L72" s="185"/>
      <c r="M72" s="185"/>
      <c r="N72" s="186"/>
      <c r="O72" s="79" t="s">
        <v>3187</v>
      </c>
      <c r="P72" s="188" t="s">
        <v>2806</v>
      </c>
      <c r="Q72" s="189"/>
      <c r="R72" s="189"/>
      <c r="S72" s="189"/>
      <c r="T72" s="189"/>
      <c r="U72" s="189"/>
      <c r="V72" s="189"/>
      <c r="W72" s="189"/>
      <c r="X72" s="189"/>
      <c r="Y72" s="189"/>
      <c r="Z72" s="189"/>
      <c r="AA72" s="189"/>
      <c r="AB72" s="189"/>
      <c r="AC72" s="189"/>
      <c r="AD72" s="190"/>
      <c r="AE72" s="165" t="str">
        <f t="shared" ref="AE72:AE104" ca="1" si="37">IFERROR(INDIRECT(P72&amp;"!D8"),"")</f>
        <v>sny_202310_backup_text_mml_mmlrd_category</v>
      </c>
      <c r="AF72" s="166"/>
      <c r="AG72" s="166"/>
      <c r="AH72" s="166"/>
      <c r="AI72" s="166"/>
      <c r="AJ72" s="166"/>
      <c r="AK72" s="166"/>
      <c r="AL72" s="187"/>
      <c r="AM72" s="165" t="str">
        <f t="shared" ref="AM72:AM104" ca="1" si="38">IFERROR(INDIRECT(P72&amp;"!D9"),"")</f>
        <v>MML_診断履歴情報モジュール_カテゴリ名テーブルから組入れ条件の第一条件で絞り込んだ結果を格納するテーブル</v>
      </c>
      <c r="AN72" s="166"/>
      <c r="AO72" s="166"/>
      <c r="AP72" s="166"/>
      <c r="AQ72" s="166"/>
      <c r="AR72" s="166"/>
      <c r="AS72" s="166"/>
      <c r="AT72" s="166"/>
      <c r="AU72" s="166"/>
      <c r="AV72" s="166"/>
      <c r="AW72" s="166"/>
      <c r="AX72" s="166"/>
      <c r="AY72" s="166"/>
      <c r="AZ72" s="166"/>
      <c r="BA72" s="166"/>
      <c r="BB72" s="166"/>
      <c r="BC72" s="166"/>
      <c r="BD72" s="166"/>
      <c r="BE72" s="166"/>
      <c r="BF72" s="166"/>
      <c r="BG72" s="166"/>
      <c r="BH72" s="166"/>
      <c r="BI72" s="166"/>
      <c r="BJ72" s="167"/>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81" t="str">
        <f t="shared" si="20"/>
        <v>01</v>
      </c>
      <c r="C73" s="182"/>
      <c r="D73" s="182"/>
      <c r="E73" s="182"/>
      <c r="F73" s="183"/>
      <c r="G73" s="184" t="s">
        <v>196</v>
      </c>
      <c r="H73" s="185"/>
      <c r="I73" s="185"/>
      <c r="J73" s="185"/>
      <c r="K73" s="185"/>
      <c r="L73" s="185"/>
      <c r="M73" s="185"/>
      <c r="N73" s="186"/>
      <c r="O73" s="79" t="s">
        <v>3861</v>
      </c>
      <c r="P73" s="188" t="s">
        <v>3857</v>
      </c>
      <c r="Q73" s="189"/>
      <c r="R73" s="189"/>
      <c r="S73" s="189"/>
      <c r="T73" s="189"/>
      <c r="U73" s="189"/>
      <c r="V73" s="189"/>
      <c r="W73" s="189"/>
      <c r="X73" s="189"/>
      <c r="Y73" s="189"/>
      <c r="Z73" s="189"/>
      <c r="AA73" s="189"/>
      <c r="AB73" s="189"/>
      <c r="AC73" s="189"/>
      <c r="AD73" s="190"/>
      <c r="AE73" s="165" t="str">
        <f t="shared" ref="AE73:AE78" ca="1" si="40">IFERROR(INDIRECT(P73&amp;"!D8"),"")</f>
        <v>sny_202310_backup_text_mml_mmllb_body</v>
      </c>
      <c r="AF73" s="166"/>
      <c r="AG73" s="166"/>
      <c r="AH73" s="166"/>
      <c r="AI73" s="166"/>
      <c r="AJ73" s="166"/>
      <c r="AK73" s="166"/>
      <c r="AL73" s="187"/>
      <c r="AM73" s="165" t="str">
        <f t="shared" ref="AM73:AM78" ca="1" si="41">IFERROR(INDIRECT(P73&amp;"!D9"),"")</f>
        <v>MML_検歴情報モジュール_本文テーブルから組入れ条件の第一条件で絞り込んだ結果を格納するテーブル</v>
      </c>
      <c r="AN73" s="166"/>
      <c r="AO73" s="166"/>
      <c r="AP73" s="166"/>
      <c r="AQ73" s="166"/>
      <c r="AR73" s="166"/>
      <c r="AS73" s="166"/>
      <c r="AT73" s="166"/>
      <c r="AU73" s="166"/>
      <c r="AV73" s="166"/>
      <c r="AW73" s="166"/>
      <c r="AX73" s="166"/>
      <c r="AY73" s="166"/>
      <c r="AZ73" s="166"/>
      <c r="BA73" s="166"/>
      <c r="BB73" s="166"/>
      <c r="BC73" s="166"/>
      <c r="BD73" s="166"/>
      <c r="BE73" s="166"/>
      <c r="BF73" s="166"/>
      <c r="BG73" s="166"/>
      <c r="BH73" s="166"/>
      <c r="BI73" s="166"/>
      <c r="BJ73" s="167"/>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81" t="str">
        <f t="shared" si="20"/>
        <v>01</v>
      </c>
      <c r="C74" s="182"/>
      <c r="D74" s="182"/>
      <c r="E74" s="182"/>
      <c r="F74" s="183"/>
      <c r="G74" s="184" t="s">
        <v>196</v>
      </c>
      <c r="H74" s="185"/>
      <c r="I74" s="185"/>
      <c r="J74" s="185"/>
      <c r="K74" s="185"/>
      <c r="L74" s="185"/>
      <c r="M74" s="185"/>
      <c r="N74" s="186"/>
      <c r="O74" s="79" t="s">
        <v>3862</v>
      </c>
      <c r="P74" s="188" t="s">
        <v>3858</v>
      </c>
      <c r="Q74" s="189"/>
      <c r="R74" s="189"/>
      <c r="S74" s="189"/>
      <c r="T74" s="189"/>
      <c r="U74" s="189"/>
      <c r="V74" s="189"/>
      <c r="W74" s="189"/>
      <c r="X74" s="189"/>
      <c r="Y74" s="189"/>
      <c r="Z74" s="189"/>
      <c r="AA74" s="189"/>
      <c r="AB74" s="189"/>
      <c r="AC74" s="189"/>
      <c r="AD74" s="190"/>
      <c r="AE74" s="165" t="str">
        <f t="shared" ca="1" si="40"/>
        <v>sny_202310_backup_text_mml_mmllb_memo</v>
      </c>
      <c r="AF74" s="166"/>
      <c r="AG74" s="166"/>
      <c r="AH74" s="166"/>
      <c r="AI74" s="166"/>
      <c r="AJ74" s="166"/>
      <c r="AK74" s="166"/>
      <c r="AL74" s="187"/>
      <c r="AM74" s="165" t="str">
        <f t="shared" ca="1" si="41"/>
        <v>MML_検歴情報モジュール_報告コメントテーブルから組入れ条件の第一条件で絞り込んだ結果を格納するテーブル</v>
      </c>
      <c r="AN74" s="166"/>
      <c r="AO74" s="166"/>
      <c r="AP74" s="166"/>
      <c r="AQ74" s="166"/>
      <c r="AR74" s="166"/>
      <c r="AS74" s="166"/>
      <c r="AT74" s="166"/>
      <c r="AU74" s="166"/>
      <c r="AV74" s="166"/>
      <c r="AW74" s="166"/>
      <c r="AX74" s="166"/>
      <c r="AY74" s="166"/>
      <c r="AZ74" s="166"/>
      <c r="BA74" s="166"/>
      <c r="BB74" s="166"/>
      <c r="BC74" s="166"/>
      <c r="BD74" s="166"/>
      <c r="BE74" s="166"/>
      <c r="BF74" s="166"/>
      <c r="BG74" s="166"/>
      <c r="BH74" s="166"/>
      <c r="BI74" s="166"/>
      <c r="BJ74" s="167"/>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81" t="str">
        <f t="shared" si="20"/>
        <v>01</v>
      </c>
      <c r="C75" s="182"/>
      <c r="D75" s="182"/>
      <c r="E75" s="182"/>
      <c r="F75" s="183"/>
      <c r="G75" s="184" t="s">
        <v>196</v>
      </c>
      <c r="H75" s="185"/>
      <c r="I75" s="185"/>
      <c r="J75" s="185"/>
      <c r="K75" s="185"/>
      <c r="L75" s="185"/>
      <c r="M75" s="185"/>
      <c r="N75" s="186"/>
      <c r="O75" s="79" t="s">
        <v>3863</v>
      </c>
      <c r="P75" s="188" t="s">
        <v>3859</v>
      </c>
      <c r="Q75" s="189"/>
      <c r="R75" s="189"/>
      <c r="S75" s="189"/>
      <c r="T75" s="189"/>
      <c r="U75" s="189"/>
      <c r="V75" s="189"/>
      <c r="W75" s="189"/>
      <c r="X75" s="189"/>
      <c r="Y75" s="189"/>
      <c r="Z75" s="189"/>
      <c r="AA75" s="189"/>
      <c r="AB75" s="189"/>
      <c r="AC75" s="189"/>
      <c r="AD75" s="190"/>
      <c r="AE75" s="165" t="str">
        <f t="shared" ca="1" si="40"/>
        <v>sny_202310_backup_text_mml_mmllb_labo_test</v>
      </c>
      <c r="AF75" s="166"/>
      <c r="AG75" s="166"/>
      <c r="AH75" s="166"/>
      <c r="AI75" s="166"/>
      <c r="AJ75" s="166"/>
      <c r="AK75" s="166"/>
      <c r="AL75" s="187"/>
      <c r="AM75" s="165" t="str">
        <f t="shared" ca="1" si="41"/>
        <v>MML_検歴情報モジュール_検体検査結果情報テーブルから組入れ条件の第一条件で絞り込んだ結果を格納するテーブル</v>
      </c>
      <c r="AN75" s="166"/>
      <c r="AO75" s="166"/>
      <c r="AP75" s="166"/>
      <c r="AQ75" s="166"/>
      <c r="AR75" s="166"/>
      <c r="AS75" s="166"/>
      <c r="AT75" s="166"/>
      <c r="AU75" s="166"/>
      <c r="AV75" s="166"/>
      <c r="AW75" s="166"/>
      <c r="AX75" s="166"/>
      <c r="AY75" s="166"/>
      <c r="AZ75" s="166"/>
      <c r="BA75" s="166"/>
      <c r="BB75" s="166"/>
      <c r="BC75" s="166"/>
      <c r="BD75" s="166"/>
      <c r="BE75" s="166"/>
      <c r="BF75" s="166"/>
      <c r="BG75" s="166"/>
      <c r="BH75" s="166"/>
      <c r="BI75" s="166"/>
      <c r="BJ75" s="167"/>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81" t="str">
        <f t="shared" si="20"/>
        <v>01</v>
      </c>
      <c r="C76" s="182"/>
      <c r="D76" s="182"/>
      <c r="E76" s="182"/>
      <c r="F76" s="183"/>
      <c r="G76" s="184" t="s">
        <v>196</v>
      </c>
      <c r="H76" s="185"/>
      <c r="I76" s="185"/>
      <c r="J76" s="185"/>
      <c r="K76" s="185"/>
      <c r="L76" s="185"/>
      <c r="M76" s="185"/>
      <c r="N76" s="186"/>
      <c r="O76" s="79" t="s">
        <v>3864</v>
      </c>
      <c r="P76" s="188" t="s">
        <v>3860</v>
      </c>
      <c r="Q76" s="189"/>
      <c r="R76" s="189"/>
      <c r="S76" s="189"/>
      <c r="T76" s="189"/>
      <c r="U76" s="189"/>
      <c r="V76" s="189"/>
      <c r="W76" s="189"/>
      <c r="X76" s="189"/>
      <c r="Y76" s="189"/>
      <c r="Z76" s="189"/>
      <c r="AA76" s="189"/>
      <c r="AB76" s="189"/>
      <c r="AC76" s="189"/>
      <c r="AD76" s="190"/>
      <c r="AE76" s="165" t="str">
        <f t="shared" ca="1" si="40"/>
        <v>sny_202310_backup_text_mml_mmllb_spc_memo</v>
      </c>
      <c r="AF76" s="166"/>
      <c r="AG76" s="166"/>
      <c r="AH76" s="166"/>
      <c r="AI76" s="166"/>
      <c r="AJ76" s="166"/>
      <c r="AK76" s="166"/>
      <c r="AL76" s="187"/>
      <c r="AM76" s="165" t="str">
        <f t="shared" ca="1" si="41"/>
        <v>MML_検歴情報モジュール_検体コメントテーブルから組入れ条件の第一条件で絞り込んだ結果を格納するテーブル</v>
      </c>
      <c r="AN76" s="166"/>
      <c r="AO76" s="166"/>
      <c r="AP76" s="166"/>
      <c r="AQ76" s="166"/>
      <c r="AR76" s="166"/>
      <c r="AS76" s="166"/>
      <c r="AT76" s="166"/>
      <c r="AU76" s="166"/>
      <c r="AV76" s="166"/>
      <c r="AW76" s="166"/>
      <c r="AX76" s="166"/>
      <c r="AY76" s="166"/>
      <c r="AZ76" s="166"/>
      <c r="BA76" s="166"/>
      <c r="BB76" s="166"/>
      <c r="BC76" s="166"/>
      <c r="BD76" s="166"/>
      <c r="BE76" s="166"/>
      <c r="BF76" s="166"/>
      <c r="BG76" s="166"/>
      <c r="BH76" s="166"/>
      <c r="BI76" s="166"/>
      <c r="BJ76" s="167"/>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81" t="str">
        <f t="shared" si="20"/>
        <v>01</v>
      </c>
      <c r="C77" s="182"/>
      <c r="D77" s="182"/>
      <c r="E77" s="182"/>
      <c r="F77" s="183"/>
      <c r="G77" s="184" t="s">
        <v>196</v>
      </c>
      <c r="H77" s="185"/>
      <c r="I77" s="185"/>
      <c r="J77" s="185"/>
      <c r="K77" s="185"/>
      <c r="L77" s="185"/>
      <c r="M77" s="185"/>
      <c r="N77" s="186"/>
      <c r="O77" s="79" t="s">
        <v>3865</v>
      </c>
      <c r="P77" s="188" t="s">
        <v>3919</v>
      </c>
      <c r="Q77" s="189"/>
      <c r="R77" s="189"/>
      <c r="S77" s="189"/>
      <c r="T77" s="189"/>
      <c r="U77" s="189"/>
      <c r="V77" s="189"/>
      <c r="W77" s="189"/>
      <c r="X77" s="189"/>
      <c r="Y77" s="189"/>
      <c r="Z77" s="189"/>
      <c r="AA77" s="189"/>
      <c r="AB77" s="189"/>
      <c r="AC77" s="189"/>
      <c r="AD77" s="190"/>
      <c r="AE77" s="165" t="str">
        <f t="shared" ca="1" si="40"/>
        <v>sny_202310_backup_text_mml_mmllb_item</v>
      </c>
      <c r="AF77" s="166"/>
      <c r="AG77" s="166"/>
      <c r="AH77" s="166"/>
      <c r="AI77" s="166"/>
      <c r="AJ77" s="166"/>
      <c r="AK77" s="166"/>
      <c r="AL77" s="187"/>
      <c r="AM77" s="165" t="str">
        <f t="shared" ca="1" si="41"/>
        <v>MML_検歴情報モジュール_検査項目テーブルから組入れ条件の第一条件で絞り込んだ結果を格納するテーブル</v>
      </c>
      <c r="AN77" s="166"/>
      <c r="AO77" s="166"/>
      <c r="AP77" s="166"/>
      <c r="AQ77" s="166"/>
      <c r="AR77" s="166"/>
      <c r="AS77" s="166"/>
      <c r="AT77" s="166"/>
      <c r="AU77" s="166"/>
      <c r="AV77" s="166"/>
      <c r="AW77" s="166"/>
      <c r="AX77" s="166"/>
      <c r="AY77" s="166"/>
      <c r="AZ77" s="166"/>
      <c r="BA77" s="166"/>
      <c r="BB77" s="166"/>
      <c r="BC77" s="166"/>
      <c r="BD77" s="166"/>
      <c r="BE77" s="166"/>
      <c r="BF77" s="166"/>
      <c r="BG77" s="166"/>
      <c r="BH77" s="166"/>
      <c r="BI77" s="166"/>
      <c r="BJ77" s="167"/>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81" t="str">
        <f t="shared" si="20"/>
        <v>01</v>
      </c>
      <c r="C78" s="182"/>
      <c r="D78" s="182"/>
      <c r="E78" s="182"/>
      <c r="F78" s="183"/>
      <c r="G78" s="184" t="s">
        <v>196</v>
      </c>
      <c r="H78" s="185"/>
      <c r="I78" s="185"/>
      <c r="J78" s="185"/>
      <c r="K78" s="185"/>
      <c r="L78" s="185"/>
      <c r="M78" s="185"/>
      <c r="N78" s="186"/>
      <c r="O78" s="79" t="s">
        <v>3866</v>
      </c>
      <c r="P78" s="188" t="s">
        <v>3920</v>
      </c>
      <c r="Q78" s="189"/>
      <c r="R78" s="189"/>
      <c r="S78" s="189"/>
      <c r="T78" s="189"/>
      <c r="U78" s="189"/>
      <c r="V78" s="189"/>
      <c r="W78" s="189"/>
      <c r="X78" s="189"/>
      <c r="Y78" s="189"/>
      <c r="Z78" s="189"/>
      <c r="AA78" s="189"/>
      <c r="AB78" s="189"/>
      <c r="AC78" s="189"/>
      <c r="AD78" s="190"/>
      <c r="AE78" s="165" t="str">
        <f t="shared" ca="1" si="40"/>
        <v>sny_202310_backup_text_mml_mmllb_item_memo</v>
      </c>
      <c r="AF78" s="166"/>
      <c r="AG78" s="166"/>
      <c r="AH78" s="166"/>
      <c r="AI78" s="166"/>
      <c r="AJ78" s="166"/>
      <c r="AK78" s="166"/>
      <c r="AL78" s="187"/>
      <c r="AM78" s="165" t="str">
        <f t="shared" ca="1" si="41"/>
        <v>MML_検歴情報モジュール_検査項目コメントテーブルから組入れ条件の第一条件で絞り込んだ結果を格納するテーブル</v>
      </c>
      <c r="AN78" s="166"/>
      <c r="AO78" s="166"/>
      <c r="AP78" s="166"/>
      <c r="AQ78" s="166"/>
      <c r="AR78" s="166"/>
      <c r="AS78" s="166"/>
      <c r="AT78" s="166"/>
      <c r="AU78" s="166"/>
      <c r="AV78" s="166"/>
      <c r="AW78" s="166"/>
      <c r="AX78" s="166"/>
      <c r="AY78" s="166"/>
      <c r="AZ78" s="166"/>
      <c r="BA78" s="166"/>
      <c r="BB78" s="166"/>
      <c r="BC78" s="166"/>
      <c r="BD78" s="166"/>
      <c r="BE78" s="166"/>
      <c r="BF78" s="166"/>
      <c r="BG78" s="166"/>
      <c r="BH78" s="166"/>
      <c r="BI78" s="166"/>
      <c r="BJ78" s="167"/>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81" t="str">
        <f t="shared" si="20"/>
        <v>01</v>
      </c>
      <c r="C79" s="182"/>
      <c r="D79" s="182"/>
      <c r="E79" s="182"/>
      <c r="F79" s="183"/>
      <c r="G79" s="184" t="s">
        <v>196</v>
      </c>
      <c r="H79" s="185"/>
      <c r="I79" s="185"/>
      <c r="J79" s="185"/>
      <c r="K79" s="185"/>
      <c r="L79" s="185"/>
      <c r="M79" s="185"/>
      <c r="N79" s="186"/>
      <c r="O79" s="79" t="s">
        <v>3188</v>
      </c>
      <c r="P79" s="188" t="s">
        <v>2811</v>
      </c>
      <c r="Q79" s="189"/>
      <c r="R79" s="189"/>
      <c r="S79" s="189"/>
      <c r="T79" s="189"/>
      <c r="U79" s="189"/>
      <c r="V79" s="189"/>
      <c r="W79" s="189"/>
      <c r="X79" s="189"/>
      <c r="Y79" s="189"/>
      <c r="Z79" s="189"/>
      <c r="AA79" s="189"/>
      <c r="AB79" s="189"/>
      <c r="AC79" s="189"/>
      <c r="AD79" s="190"/>
      <c r="AE79" s="165" t="str">
        <f t="shared" ca="1" si="37"/>
        <v>sny_202310_backup_text_mml_mmlps_body</v>
      </c>
      <c r="AF79" s="166"/>
      <c r="AG79" s="166"/>
      <c r="AH79" s="166"/>
      <c r="AI79" s="166"/>
      <c r="AJ79" s="166"/>
      <c r="AK79" s="166"/>
      <c r="AL79" s="187"/>
      <c r="AM79" s="165" t="str">
        <f t="shared" ca="1" si="38"/>
        <v>MML_処方箋モジュール_本文テーブルから組入れ条件の第一条件で絞り込んだ結果を格納するテーブル</v>
      </c>
      <c r="AN79" s="166"/>
      <c r="AO79" s="166"/>
      <c r="AP79" s="166"/>
      <c r="AQ79" s="166"/>
      <c r="AR79" s="166"/>
      <c r="AS79" s="166"/>
      <c r="AT79" s="166"/>
      <c r="AU79" s="166"/>
      <c r="AV79" s="166"/>
      <c r="AW79" s="166"/>
      <c r="AX79" s="166"/>
      <c r="AY79" s="166"/>
      <c r="AZ79" s="166"/>
      <c r="BA79" s="166"/>
      <c r="BB79" s="166"/>
      <c r="BC79" s="166"/>
      <c r="BD79" s="166"/>
      <c r="BE79" s="166"/>
      <c r="BF79" s="166"/>
      <c r="BG79" s="166"/>
      <c r="BH79" s="166"/>
      <c r="BI79" s="166"/>
      <c r="BJ79" s="167"/>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81" t="str">
        <f t="shared" si="20"/>
        <v>01</v>
      </c>
      <c r="C80" s="182"/>
      <c r="D80" s="182"/>
      <c r="E80" s="182"/>
      <c r="F80" s="183"/>
      <c r="G80" s="184" t="s">
        <v>196</v>
      </c>
      <c r="H80" s="185"/>
      <c r="I80" s="185"/>
      <c r="J80" s="185"/>
      <c r="K80" s="185"/>
      <c r="L80" s="185"/>
      <c r="M80" s="185"/>
      <c r="N80" s="186"/>
      <c r="O80" s="79" t="s">
        <v>3189</v>
      </c>
      <c r="P80" s="188" t="s">
        <v>2819</v>
      </c>
      <c r="Q80" s="189"/>
      <c r="R80" s="189"/>
      <c r="S80" s="189"/>
      <c r="T80" s="189"/>
      <c r="U80" s="189"/>
      <c r="V80" s="189"/>
      <c r="W80" s="189"/>
      <c r="X80" s="189"/>
      <c r="Y80" s="189"/>
      <c r="Z80" s="189"/>
      <c r="AA80" s="189"/>
      <c r="AB80" s="189"/>
      <c r="AC80" s="189"/>
      <c r="AD80" s="190"/>
      <c r="AE80" s="165" t="str">
        <f t="shared" ca="1" si="37"/>
        <v>sny_202310_backup_text_mml_mmlps_medication</v>
      </c>
      <c r="AF80" s="166"/>
      <c r="AG80" s="166"/>
      <c r="AH80" s="166"/>
      <c r="AI80" s="166"/>
      <c r="AJ80" s="166"/>
      <c r="AK80" s="166"/>
      <c r="AL80" s="187"/>
      <c r="AM80" s="165" t="str">
        <f t="shared" ca="1" si="38"/>
        <v>MML_処方箋モジュール_投薬テーブルから組入れ条件の第一条件で絞り込んだ結果を格納するテーブル</v>
      </c>
      <c r="AN80" s="166"/>
      <c r="AO80" s="166"/>
      <c r="AP80" s="166"/>
      <c r="AQ80" s="166"/>
      <c r="AR80" s="166"/>
      <c r="AS80" s="166"/>
      <c r="AT80" s="166"/>
      <c r="AU80" s="166"/>
      <c r="AV80" s="166"/>
      <c r="AW80" s="166"/>
      <c r="AX80" s="166"/>
      <c r="AY80" s="166"/>
      <c r="AZ80" s="166"/>
      <c r="BA80" s="166"/>
      <c r="BB80" s="166"/>
      <c r="BC80" s="166"/>
      <c r="BD80" s="166"/>
      <c r="BE80" s="166"/>
      <c r="BF80" s="166"/>
      <c r="BG80" s="166"/>
      <c r="BH80" s="166"/>
      <c r="BI80" s="166"/>
      <c r="BJ80" s="167"/>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81" t="str">
        <f t="shared" si="20"/>
        <v>01</v>
      </c>
      <c r="C81" s="182"/>
      <c r="D81" s="182"/>
      <c r="E81" s="182"/>
      <c r="F81" s="183"/>
      <c r="G81" s="184" t="s">
        <v>196</v>
      </c>
      <c r="H81" s="185"/>
      <c r="I81" s="185"/>
      <c r="J81" s="185"/>
      <c r="K81" s="185"/>
      <c r="L81" s="185"/>
      <c r="M81" s="185"/>
      <c r="N81" s="186"/>
      <c r="O81" s="79" t="s">
        <v>3190</v>
      </c>
      <c r="P81" s="188" t="s">
        <v>2855</v>
      </c>
      <c r="Q81" s="189"/>
      <c r="R81" s="189"/>
      <c r="S81" s="189"/>
      <c r="T81" s="189"/>
      <c r="U81" s="189"/>
      <c r="V81" s="189"/>
      <c r="W81" s="189"/>
      <c r="X81" s="189"/>
      <c r="Y81" s="189"/>
      <c r="Z81" s="189"/>
      <c r="AA81" s="189"/>
      <c r="AB81" s="189"/>
      <c r="AC81" s="189"/>
      <c r="AD81" s="190"/>
      <c r="AE81" s="165" t="str">
        <f t="shared" ca="1" si="37"/>
        <v>sny_202310_backup_text_mml_mmlps_medicine</v>
      </c>
      <c r="AF81" s="166"/>
      <c r="AG81" s="166"/>
      <c r="AH81" s="166"/>
      <c r="AI81" s="166"/>
      <c r="AJ81" s="166"/>
      <c r="AK81" s="166"/>
      <c r="AL81" s="187"/>
      <c r="AM81" s="165" t="str">
        <f t="shared" ca="1" si="38"/>
        <v>MML_処方箋モジュール_薬剤テーブルから組入れ条件の第一条件で絞り込んだ結果を格納するテーブル</v>
      </c>
      <c r="AN81" s="166"/>
      <c r="AO81" s="166"/>
      <c r="AP81" s="166"/>
      <c r="AQ81" s="166"/>
      <c r="AR81" s="166"/>
      <c r="AS81" s="166"/>
      <c r="AT81" s="166"/>
      <c r="AU81" s="166"/>
      <c r="AV81" s="166"/>
      <c r="AW81" s="166"/>
      <c r="AX81" s="166"/>
      <c r="AY81" s="166"/>
      <c r="AZ81" s="166"/>
      <c r="BA81" s="166"/>
      <c r="BB81" s="166"/>
      <c r="BC81" s="166"/>
      <c r="BD81" s="166"/>
      <c r="BE81" s="166"/>
      <c r="BF81" s="166"/>
      <c r="BG81" s="166"/>
      <c r="BH81" s="166"/>
      <c r="BI81" s="166"/>
      <c r="BJ81" s="167"/>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81" t="str">
        <f t="shared" si="20"/>
        <v>01</v>
      </c>
      <c r="C82" s="182"/>
      <c r="D82" s="182"/>
      <c r="E82" s="182"/>
      <c r="F82" s="183"/>
      <c r="G82" s="184" t="s">
        <v>196</v>
      </c>
      <c r="H82" s="185"/>
      <c r="I82" s="185"/>
      <c r="J82" s="185"/>
      <c r="K82" s="185"/>
      <c r="L82" s="185"/>
      <c r="M82" s="185"/>
      <c r="N82" s="186"/>
      <c r="O82" s="79" t="s">
        <v>3191</v>
      </c>
      <c r="P82" s="188" t="s">
        <v>2860</v>
      </c>
      <c r="Q82" s="189"/>
      <c r="R82" s="189"/>
      <c r="S82" s="189"/>
      <c r="T82" s="189"/>
      <c r="U82" s="189"/>
      <c r="V82" s="189"/>
      <c r="W82" s="189"/>
      <c r="X82" s="189"/>
      <c r="Y82" s="189"/>
      <c r="Z82" s="189"/>
      <c r="AA82" s="189"/>
      <c r="AB82" s="189"/>
      <c r="AC82" s="189"/>
      <c r="AD82" s="190"/>
      <c r="AE82" s="165" t="str">
        <f t="shared" ca="1" si="37"/>
        <v>sny_202310_backup_text_mml_mmlinj_body</v>
      </c>
      <c r="AF82" s="166"/>
      <c r="AG82" s="166"/>
      <c r="AH82" s="166"/>
      <c r="AI82" s="166"/>
      <c r="AJ82" s="166"/>
      <c r="AK82" s="166"/>
      <c r="AL82" s="187"/>
      <c r="AM82" s="165" t="str">
        <f t="shared" ca="1" si="38"/>
        <v>MML_注射記録モジュール_本文テーブルから組入れ条件の第一条件で絞り込んだ結果を格納するテーブル</v>
      </c>
      <c r="AN82" s="166"/>
      <c r="AO82" s="166"/>
      <c r="AP82" s="166"/>
      <c r="AQ82" s="166"/>
      <c r="AR82" s="166"/>
      <c r="AS82" s="166"/>
      <c r="AT82" s="166"/>
      <c r="AU82" s="166"/>
      <c r="AV82" s="166"/>
      <c r="AW82" s="166"/>
      <c r="AX82" s="166"/>
      <c r="AY82" s="166"/>
      <c r="AZ82" s="166"/>
      <c r="BA82" s="166"/>
      <c r="BB82" s="166"/>
      <c r="BC82" s="166"/>
      <c r="BD82" s="166"/>
      <c r="BE82" s="166"/>
      <c r="BF82" s="166"/>
      <c r="BG82" s="166"/>
      <c r="BH82" s="166"/>
      <c r="BI82" s="166"/>
      <c r="BJ82" s="167"/>
      <c r="BK82" s="32" t="str">
        <f t="shared" si="16"/>
        <v>ENT_01_A6-27_バックアップ_MML_注射記録モジュール_本文.sql</v>
      </c>
    </row>
    <row r="83" spans="1:64" ht="37.5" hidden="1" customHeight="1" outlineLevel="1">
      <c r="A83" s="34" t="str">
        <f t="shared" si="36"/>
        <v>バックアップ_MML_注射記録モジュール_投薬</v>
      </c>
      <c r="B83" s="181" t="str">
        <f t="shared" si="20"/>
        <v>01</v>
      </c>
      <c r="C83" s="182"/>
      <c r="D83" s="182"/>
      <c r="E83" s="182"/>
      <c r="F83" s="183"/>
      <c r="G83" s="184" t="s">
        <v>196</v>
      </c>
      <c r="H83" s="185"/>
      <c r="I83" s="185"/>
      <c r="J83" s="185"/>
      <c r="K83" s="185"/>
      <c r="L83" s="185"/>
      <c r="M83" s="185"/>
      <c r="N83" s="186"/>
      <c r="O83" s="79" t="s">
        <v>3192</v>
      </c>
      <c r="P83" s="188" t="s">
        <v>2869</v>
      </c>
      <c r="Q83" s="189"/>
      <c r="R83" s="189"/>
      <c r="S83" s="189"/>
      <c r="T83" s="189"/>
      <c r="U83" s="189"/>
      <c r="V83" s="189"/>
      <c r="W83" s="189"/>
      <c r="X83" s="189"/>
      <c r="Y83" s="189"/>
      <c r="Z83" s="189"/>
      <c r="AA83" s="189"/>
      <c r="AB83" s="189"/>
      <c r="AC83" s="189"/>
      <c r="AD83" s="190"/>
      <c r="AE83" s="165" t="str">
        <f t="shared" ca="1" si="37"/>
        <v>sny_202310_backup_text_mml_mmlinj_medication</v>
      </c>
      <c r="AF83" s="166"/>
      <c r="AG83" s="166"/>
      <c r="AH83" s="166"/>
      <c r="AI83" s="166"/>
      <c r="AJ83" s="166"/>
      <c r="AK83" s="166"/>
      <c r="AL83" s="187"/>
      <c r="AM83" s="165" t="str">
        <f t="shared" ca="1" si="38"/>
        <v>MML_注射記録モジュール_投薬テーブルから組入れ条件の第一条件で絞り込んだ結果を格納するテーブル</v>
      </c>
      <c r="AN83" s="166"/>
      <c r="AO83" s="166"/>
      <c r="AP83" s="166"/>
      <c r="AQ83" s="166"/>
      <c r="AR83" s="166"/>
      <c r="AS83" s="166"/>
      <c r="AT83" s="166"/>
      <c r="AU83" s="166"/>
      <c r="AV83" s="166"/>
      <c r="AW83" s="166"/>
      <c r="AX83" s="166"/>
      <c r="AY83" s="166"/>
      <c r="AZ83" s="166"/>
      <c r="BA83" s="166"/>
      <c r="BB83" s="166"/>
      <c r="BC83" s="166"/>
      <c r="BD83" s="166"/>
      <c r="BE83" s="166"/>
      <c r="BF83" s="166"/>
      <c r="BG83" s="166"/>
      <c r="BH83" s="166"/>
      <c r="BI83" s="166"/>
      <c r="BJ83" s="167"/>
      <c r="BK83" s="32" t="str">
        <f t="shared" si="16"/>
        <v>ENT_01_A6-28_バックアップ_MML_注射記録モジュール_投薬.sql</v>
      </c>
    </row>
    <row r="84" spans="1:64" ht="37.5" hidden="1" customHeight="1" outlineLevel="1">
      <c r="A84" s="34" t="str">
        <f t="shared" si="36"/>
        <v>バックアップ_MML_注射記録モジュール_薬剤</v>
      </c>
      <c r="B84" s="181" t="str">
        <f t="shared" si="20"/>
        <v>01</v>
      </c>
      <c r="C84" s="182"/>
      <c r="D84" s="182"/>
      <c r="E84" s="182"/>
      <c r="F84" s="183"/>
      <c r="G84" s="184" t="s">
        <v>196</v>
      </c>
      <c r="H84" s="185"/>
      <c r="I84" s="185"/>
      <c r="J84" s="185"/>
      <c r="K84" s="185"/>
      <c r="L84" s="185"/>
      <c r="M84" s="185"/>
      <c r="N84" s="186"/>
      <c r="O84" s="79" t="s">
        <v>3193</v>
      </c>
      <c r="P84" s="188" t="s">
        <v>2870</v>
      </c>
      <c r="Q84" s="189"/>
      <c r="R84" s="189"/>
      <c r="S84" s="189"/>
      <c r="T84" s="189"/>
      <c r="U84" s="189"/>
      <c r="V84" s="189"/>
      <c r="W84" s="189"/>
      <c r="X84" s="189"/>
      <c r="Y84" s="189"/>
      <c r="Z84" s="189"/>
      <c r="AA84" s="189"/>
      <c r="AB84" s="189"/>
      <c r="AC84" s="189"/>
      <c r="AD84" s="190"/>
      <c r="AE84" s="165" t="str">
        <f t="shared" ca="1" si="37"/>
        <v>sny_202310_backup_text_mml_mmlinj_medicine</v>
      </c>
      <c r="AF84" s="166"/>
      <c r="AG84" s="166"/>
      <c r="AH84" s="166"/>
      <c r="AI84" s="166"/>
      <c r="AJ84" s="166"/>
      <c r="AK84" s="166"/>
      <c r="AL84" s="187"/>
      <c r="AM84" s="165" t="str">
        <f t="shared" ca="1" si="38"/>
        <v>MML_注射記録モジュール_薬剤テーブルから組入れ条件の第一条件で絞り込んだ結果を格納するテーブル</v>
      </c>
      <c r="AN84" s="166"/>
      <c r="AO84" s="166"/>
      <c r="AP84" s="166"/>
      <c r="AQ84" s="166"/>
      <c r="AR84" s="166"/>
      <c r="AS84" s="166"/>
      <c r="AT84" s="166"/>
      <c r="AU84" s="166"/>
      <c r="AV84" s="166"/>
      <c r="AW84" s="166"/>
      <c r="AX84" s="166"/>
      <c r="AY84" s="166"/>
      <c r="AZ84" s="166"/>
      <c r="BA84" s="166"/>
      <c r="BB84" s="166"/>
      <c r="BC84" s="166"/>
      <c r="BD84" s="166"/>
      <c r="BE84" s="166"/>
      <c r="BF84" s="166"/>
      <c r="BG84" s="166"/>
      <c r="BH84" s="166"/>
      <c r="BI84" s="166"/>
      <c r="BJ84" s="167"/>
      <c r="BK84" s="32" t="str">
        <f t="shared" ref="BK84:BK249"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81" t="str">
        <f t="shared" si="20"/>
        <v>01</v>
      </c>
      <c r="C85" s="182"/>
      <c r="D85" s="182"/>
      <c r="E85" s="182"/>
      <c r="F85" s="183"/>
      <c r="G85" s="184" t="s">
        <v>196</v>
      </c>
      <c r="H85" s="185"/>
      <c r="I85" s="185"/>
      <c r="J85" s="185"/>
      <c r="K85" s="185"/>
      <c r="L85" s="185"/>
      <c r="M85" s="185"/>
      <c r="N85" s="186"/>
      <c r="O85" s="79" t="s">
        <v>3194</v>
      </c>
      <c r="P85" s="188" t="s">
        <v>2871</v>
      </c>
      <c r="Q85" s="189"/>
      <c r="R85" s="189"/>
      <c r="S85" s="189"/>
      <c r="T85" s="189"/>
      <c r="U85" s="189"/>
      <c r="V85" s="189"/>
      <c r="W85" s="189"/>
      <c r="X85" s="189"/>
      <c r="Y85" s="189"/>
      <c r="Z85" s="189"/>
      <c r="AA85" s="189"/>
      <c r="AB85" s="189"/>
      <c r="AC85" s="189"/>
      <c r="AD85" s="190"/>
      <c r="AE85" s="165" t="str">
        <f t="shared" ref="AE85:AE92" ca="1" si="45">IFERROR(INDIRECT(P85&amp;"!D8"),"")</f>
        <v>sny_202310_backup_text_mml_mmlsg_surgery_item</v>
      </c>
      <c r="AF85" s="166"/>
      <c r="AG85" s="166"/>
      <c r="AH85" s="166"/>
      <c r="AI85" s="166"/>
      <c r="AJ85" s="166"/>
      <c r="AK85" s="166"/>
      <c r="AL85" s="187"/>
      <c r="AM85" s="165" t="str">
        <f t="shared" ref="AM85:AM92" ca="1" si="46">IFERROR(INDIRECT(P85&amp;"!D9"),"")</f>
        <v>MML_手術モジュール_手術項目テーブルから組入れ条件の第一条件で絞り込んだ結果を格納するテーブル</v>
      </c>
      <c r="AN85" s="166"/>
      <c r="AO85" s="166"/>
      <c r="AP85" s="166"/>
      <c r="AQ85" s="166"/>
      <c r="AR85" s="166"/>
      <c r="AS85" s="166"/>
      <c r="AT85" s="166"/>
      <c r="AU85" s="166"/>
      <c r="AV85" s="166"/>
      <c r="AW85" s="166"/>
      <c r="AX85" s="166"/>
      <c r="AY85" s="166"/>
      <c r="AZ85" s="166"/>
      <c r="BA85" s="166"/>
      <c r="BB85" s="166"/>
      <c r="BC85" s="166"/>
      <c r="BD85" s="166"/>
      <c r="BE85" s="166"/>
      <c r="BF85" s="166"/>
      <c r="BG85" s="166"/>
      <c r="BH85" s="166"/>
      <c r="BI85" s="166"/>
      <c r="BJ85" s="167"/>
      <c r="BK85" s="32" t="str">
        <f t="shared" si="43"/>
        <v>ENT_01_A6-42_バックアップ_MML_手術モジュール_手術項目.sql</v>
      </c>
    </row>
    <row r="86" spans="1:64" ht="37.5" hidden="1" customHeight="1" outlineLevel="1">
      <c r="A86" s="34" t="str">
        <f t="shared" si="44"/>
        <v>バックアップ_MML_手術モジュール_診療科情報</v>
      </c>
      <c r="B86" s="181" t="str">
        <f t="shared" si="20"/>
        <v>01</v>
      </c>
      <c r="C86" s="182"/>
      <c r="D86" s="182"/>
      <c r="E86" s="182"/>
      <c r="F86" s="183"/>
      <c r="G86" s="184" t="s">
        <v>196</v>
      </c>
      <c r="H86" s="185"/>
      <c r="I86" s="185"/>
      <c r="J86" s="185"/>
      <c r="K86" s="185"/>
      <c r="L86" s="185"/>
      <c r="M86" s="185"/>
      <c r="N86" s="186"/>
      <c r="O86" s="79" t="s">
        <v>3195</v>
      </c>
      <c r="P86" s="188" t="s">
        <v>2890</v>
      </c>
      <c r="Q86" s="189"/>
      <c r="R86" s="189"/>
      <c r="S86" s="189"/>
      <c r="T86" s="189"/>
      <c r="U86" s="189"/>
      <c r="V86" s="189"/>
      <c r="W86" s="189"/>
      <c r="X86" s="189"/>
      <c r="Y86" s="189"/>
      <c r="Z86" s="189"/>
      <c r="AA86" s="189"/>
      <c r="AB86" s="189"/>
      <c r="AC86" s="189"/>
      <c r="AD86" s="190"/>
      <c r="AE86" s="165" t="str">
        <f t="shared" ca="1" si="45"/>
        <v>sny_202310_backup_text_mml_mmlsg_dp</v>
      </c>
      <c r="AF86" s="166"/>
      <c r="AG86" s="166"/>
      <c r="AH86" s="166"/>
      <c r="AI86" s="166"/>
      <c r="AJ86" s="166"/>
      <c r="AK86" s="166"/>
      <c r="AL86" s="187"/>
      <c r="AM86" s="165" t="str">
        <f t="shared" ca="1" si="46"/>
        <v>MML_手術モジュール_診療科情報テーブルから組入れ条件の第一条件で絞り込んだ結果を格納するテーブル</v>
      </c>
      <c r="AN86" s="166"/>
      <c r="AO86" s="166"/>
      <c r="AP86" s="166"/>
      <c r="AQ86" s="166"/>
      <c r="AR86" s="166"/>
      <c r="AS86" s="166"/>
      <c r="AT86" s="166"/>
      <c r="AU86" s="166"/>
      <c r="AV86" s="166"/>
      <c r="AW86" s="166"/>
      <c r="AX86" s="166"/>
      <c r="AY86" s="166"/>
      <c r="AZ86" s="166"/>
      <c r="BA86" s="166"/>
      <c r="BB86" s="166"/>
      <c r="BC86" s="166"/>
      <c r="BD86" s="166"/>
      <c r="BE86" s="166"/>
      <c r="BF86" s="166"/>
      <c r="BG86" s="166"/>
      <c r="BH86" s="166"/>
      <c r="BI86" s="166"/>
      <c r="BJ86" s="167"/>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81" t="str">
        <f t="shared" si="20"/>
        <v>01</v>
      </c>
      <c r="C87" s="182"/>
      <c r="D87" s="182"/>
      <c r="E87" s="182"/>
      <c r="F87" s="183"/>
      <c r="G87" s="184" t="s">
        <v>196</v>
      </c>
      <c r="H87" s="185"/>
      <c r="I87" s="185"/>
      <c r="J87" s="185"/>
      <c r="K87" s="185"/>
      <c r="L87" s="185"/>
      <c r="M87" s="185"/>
      <c r="N87" s="186"/>
      <c r="O87" s="79" t="s">
        <v>3196</v>
      </c>
      <c r="P87" s="188" t="s">
        <v>2915</v>
      </c>
      <c r="Q87" s="189"/>
      <c r="R87" s="189"/>
      <c r="S87" s="189"/>
      <c r="T87" s="189"/>
      <c r="U87" s="189"/>
      <c r="V87" s="189"/>
      <c r="W87" s="189"/>
      <c r="X87" s="189"/>
      <c r="Y87" s="189"/>
      <c r="Z87" s="189"/>
      <c r="AA87" s="189"/>
      <c r="AB87" s="189"/>
      <c r="AC87" s="189"/>
      <c r="AD87" s="190"/>
      <c r="AE87" s="165" t="str">
        <f t="shared" ca="1" si="45"/>
        <v>sny_202310_backup_text_mml_mmlsg_rd</v>
      </c>
      <c r="AF87" s="166"/>
      <c r="AG87" s="166"/>
      <c r="AH87" s="166"/>
      <c r="AI87" s="166"/>
      <c r="AJ87" s="166"/>
      <c r="AK87" s="166"/>
      <c r="AL87" s="187"/>
      <c r="AM87" s="165" t="str">
        <f t="shared" ca="1" si="46"/>
        <v>MML_手術モジュール_診断履歴情報テーブルから組入れ条件の第一条件で絞り込んだ結果を格納するテーブル</v>
      </c>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7"/>
      <c r="BK87" s="32" t="str">
        <f t="shared" si="43"/>
        <v>ENT_01_A6-44_バックアップ_MML_手術モジュール_診断履歴情報.sql</v>
      </c>
    </row>
    <row r="88" spans="1:64" ht="37.5" hidden="1" customHeight="1" outlineLevel="1">
      <c r="A88" s="34" t="str">
        <f t="shared" si="44"/>
        <v>バックアップ_MML_手術モジュール_病名</v>
      </c>
      <c r="B88" s="181" t="str">
        <f t="shared" si="20"/>
        <v>01</v>
      </c>
      <c r="C88" s="182"/>
      <c r="D88" s="182"/>
      <c r="E88" s="182"/>
      <c r="F88" s="183"/>
      <c r="G88" s="184" t="s">
        <v>196</v>
      </c>
      <c r="H88" s="185"/>
      <c r="I88" s="185"/>
      <c r="J88" s="185"/>
      <c r="K88" s="185"/>
      <c r="L88" s="185"/>
      <c r="M88" s="185"/>
      <c r="N88" s="186"/>
      <c r="O88" s="79" t="s">
        <v>3197</v>
      </c>
      <c r="P88" s="188" t="s">
        <v>2918</v>
      </c>
      <c r="Q88" s="189"/>
      <c r="R88" s="189"/>
      <c r="S88" s="189"/>
      <c r="T88" s="189"/>
      <c r="U88" s="189"/>
      <c r="V88" s="189"/>
      <c r="W88" s="189"/>
      <c r="X88" s="189"/>
      <c r="Y88" s="189"/>
      <c r="Z88" s="189"/>
      <c r="AA88" s="189"/>
      <c r="AB88" s="189"/>
      <c r="AC88" s="189"/>
      <c r="AD88" s="190"/>
      <c r="AE88" s="165" t="str">
        <f t="shared" ca="1" si="45"/>
        <v>sny_202310_backup_text_mml_mmlsg_rd_byomei</v>
      </c>
      <c r="AF88" s="166"/>
      <c r="AG88" s="166"/>
      <c r="AH88" s="166"/>
      <c r="AI88" s="166"/>
      <c r="AJ88" s="166"/>
      <c r="AK88" s="166"/>
      <c r="AL88" s="187"/>
      <c r="AM88" s="165" t="str">
        <f t="shared" ca="1" si="46"/>
        <v>MML_手術モジュール_病名テーブルから組入れ条件の第一条件で絞り込んだ結果を格納するテーブル</v>
      </c>
      <c r="AN88" s="166"/>
      <c r="AO88" s="166"/>
      <c r="AP88" s="166"/>
      <c r="AQ88" s="166"/>
      <c r="AR88" s="166"/>
      <c r="AS88" s="166"/>
      <c r="AT88" s="166"/>
      <c r="AU88" s="166"/>
      <c r="AV88" s="166"/>
      <c r="AW88" s="166"/>
      <c r="AX88" s="166"/>
      <c r="AY88" s="166"/>
      <c r="AZ88" s="166"/>
      <c r="BA88" s="166"/>
      <c r="BB88" s="166"/>
      <c r="BC88" s="166"/>
      <c r="BD88" s="166"/>
      <c r="BE88" s="166"/>
      <c r="BF88" s="166"/>
      <c r="BG88" s="166"/>
      <c r="BH88" s="166"/>
      <c r="BI88" s="166"/>
      <c r="BJ88" s="167"/>
      <c r="BK88" s="32" t="str">
        <f t="shared" si="43"/>
        <v>ENT_01_A6-45_バックアップ_MML_手術モジュール_病名.sql</v>
      </c>
    </row>
    <row r="89" spans="1:64" ht="37.5" hidden="1" customHeight="1" outlineLevel="1">
      <c r="A89" s="34" t="str">
        <f t="shared" si="44"/>
        <v>バックアップ_MML_手術モジュール_カテゴリ名</v>
      </c>
      <c r="B89" s="181" t="str">
        <f t="shared" si="20"/>
        <v>01</v>
      </c>
      <c r="C89" s="182"/>
      <c r="D89" s="182"/>
      <c r="E89" s="182"/>
      <c r="F89" s="183"/>
      <c r="G89" s="184" t="s">
        <v>196</v>
      </c>
      <c r="H89" s="185"/>
      <c r="I89" s="185"/>
      <c r="J89" s="185"/>
      <c r="K89" s="185"/>
      <c r="L89" s="185"/>
      <c r="M89" s="185"/>
      <c r="N89" s="186"/>
      <c r="O89" s="79" t="s">
        <v>3198</v>
      </c>
      <c r="P89" s="188" t="s">
        <v>2919</v>
      </c>
      <c r="Q89" s="189"/>
      <c r="R89" s="189"/>
      <c r="S89" s="189"/>
      <c r="T89" s="189"/>
      <c r="U89" s="189"/>
      <c r="V89" s="189"/>
      <c r="W89" s="189"/>
      <c r="X89" s="189"/>
      <c r="Y89" s="189"/>
      <c r="Z89" s="189"/>
      <c r="AA89" s="189"/>
      <c r="AB89" s="189"/>
      <c r="AC89" s="189"/>
      <c r="AD89" s="190"/>
      <c r="AE89" s="165" t="str">
        <f t="shared" ca="1" si="45"/>
        <v>sny_202310_backup_text_mml_mmlsg_rd_category</v>
      </c>
      <c r="AF89" s="166"/>
      <c r="AG89" s="166"/>
      <c r="AH89" s="166"/>
      <c r="AI89" s="166"/>
      <c r="AJ89" s="166"/>
      <c r="AK89" s="166"/>
      <c r="AL89" s="187"/>
      <c r="AM89" s="165" t="str">
        <f t="shared" ca="1" si="46"/>
        <v>MML_手術モジュール_カテゴリ名テーブルから組入れ条件の第一条件で絞り込んだ結果を格納するテーブル</v>
      </c>
      <c r="AN89" s="166"/>
      <c r="AO89" s="166"/>
      <c r="AP89" s="166"/>
      <c r="AQ89" s="166"/>
      <c r="AR89" s="166"/>
      <c r="AS89" s="166"/>
      <c r="AT89" s="166"/>
      <c r="AU89" s="166"/>
      <c r="AV89" s="166"/>
      <c r="AW89" s="166"/>
      <c r="AX89" s="166"/>
      <c r="AY89" s="166"/>
      <c r="AZ89" s="166"/>
      <c r="BA89" s="166"/>
      <c r="BB89" s="166"/>
      <c r="BC89" s="166"/>
      <c r="BD89" s="166"/>
      <c r="BE89" s="166"/>
      <c r="BF89" s="166"/>
      <c r="BG89" s="166"/>
      <c r="BH89" s="166"/>
      <c r="BI89" s="166"/>
      <c r="BJ89" s="167"/>
      <c r="BK89" s="32" t="str">
        <f t="shared" si="43"/>
        <v>ENT_01_A6-46_バックアップ_MML_手術モジュール_カテゴリ名.sql</v>
      </c>
    </row>
    <row r="90" spans="1:64" ht="37.5" hidden="1" customHeight="1" outlineLevel="1">
      <c r="A90" s="34" t="str">
        <f t="shared" si="44"/>
        <v>バックアップ_MML_手術モジュール_手術法</v>
      </c>
      <c r="B90" s="181" t="str">
        <f t="shared" si="20"/>
        <v>01</v>
      </c>
      <c r="C90" s="182"/>
      <c r="D90" s="182"/>
      <c r="E90" s="182"/>
      <c r="F90" s="183"/>
      <c r="G90" s="184" t="s">
        <v>196</v>
      </c>
      <c r="H90" s="185"/>
      <c r="I90" s="185"/>
      <c r="J90" s="185"/>
      <c r="K90" s="185"/>
      <c r="L90" s="185"/>
      <c r="M90" s="185"/>
      <c r="N90" s="186"/>
      <c r="O90" s="79" t="s">
        <v>3199</v>
      </c>
      <c r="P90" s="188" t="s">
        <v>2920</v>
      </c>
      <c r="Q90" s="189"/>
      <c r="R90" s="189"/>
      <c r="S90" s="189"/>
      <c r="T90" s="189"/>
      <c r="U90" s="189"/>
      <c r="V90" s="189"/>
      <c r="W90" s="189"/>
      <c r="X90" s="189"/>
      <c r="Y90" s="189"/>
      <c r="Z90" s="189"/>
      <c r="AA90" s="189"/>
      <c r="AB90" s="189"/>
      <c r="AC90" s="189"/>
      <c r="AD90" s="190"/>
      <c r="AE90" s="165" t="str">
        <f t="shared" ca="1" si="45"/>
        <v>sny_202310_backup_text_mml_mmlsg_procedure_item</v>
      </c>
      <c r="AF90" s="166"/>
      <c r="AG90" s="166"/>
      <c r="AH90" s="166"/>
      <c r="AI90" s="166"/>
      <c r="AJ90" s="166"/>
      <c r="AK90" s="166"/>
      <c r="AL90" s="187"/>
      <c r="AM90" s="165" t="str">
        <f t="shared" ca="1" si="46"/>
        <v>MML_手術モジュール_手術法テーブルから組入れ条件の第一条件で絞り込んだ結果を格納するテーブル</v>
      </c>
      <c r="AN90" s="166"/>
      <c r="AO90" s="166"/>
      <c r="AP90" s="166"/>
      <c r="AQ90" s="166"/>
      <c r="AR90" s="166"/>
      <c r="AS90" s="166"/>
      <c r="AT90" s="166"/>
      <c r="AU90" s="166"/>
      <c r="AV90" s="166"/>
      <c r="AW90" s="166"/>
      <c r="AX90" s="166"/>
      <c r="AY90" s="166"/>
      <c r="AZ90" s="166"/>
      <c r="BA90" s="166"/>
      <c r="BB90" s="166"/>
      <c r="BC90" s="166"/>
      <c r="BD90" s="166"/>
      <c r="BE90" s="166"/>
      <c r="BF90" s="166"/>
      <c r="BG90" s="166"/>
      <c r="BH90" s="166"/>
      <c r="BI90" s="166"/>
      <c r="BJ90" s="167"/>
      <c r="BK90" s="32" t="str">
        <f t="shared" si="43"/>
        <v>ENT_01_A6-47_バックアップ_MML_手術モジュール_手術法.sql</v>
      </c>
    </row>
    <row r="91" spans="1:64" ht="37.5" hidden="1" customHeight="1" outlineLevel="1">
      <c r="A91" s="34" t="str">
        <f t="shared" si="44"/>
        <v>バックアップ_MML_手術モジュール_手術要素</v>
      </c>
      <c r="B91" s="181" t="str">
        <f t="shared" si="20"/>
        <v>01</v>
      </c>
      <c r="C91" s="182"/>
      <c r="D91" s="182"/>
      <c r="E91" s="182"/>
      <c r="F91" s="183"/>
      <c r="G91" s="184" t="s">
        <v>196</v>
      </c>
      <c r="H91" s="185"/>
      <c r="I91" s="185"/>
      <c r="J91" s="185"/>
      <c r="K91" s="185"/>
      <c r="L91" s="185"/>
      <c r="M91" s="185"/>
      <c r="N91" s="186"/>
      <c r="O91" s="79" t="s">
        <v>3200</v>
      </c>
      <c r="P91" s="188" t="s">
        <v>2929</v>
      </c>
      <c r="Q91" s="189"/>
      <c r="R91" s="189"/>
      <c r="S91" s="189"/>
      <c r="T91" s="189"/>
      <c r="U91" s="189"/>
      <c r="V91" s="189"/>
      <c r="W91" s="189"/>
      <c r="X91" s="189"/>
      <c r="Y91" s="189"/>
      <c r="Z91" s="189"/>
      <c r="AA91" s="189"/>
      <c r="AB91" s="189"/>
      <c r="AC91" s="189"/>
      <c r="AD91" s="190"/>
      <c r="AE91" s="165" t="str">
        <f t="shared" ca="1" si="45"/>
        <v>sny_202310_backup_text_mml_mmlsg_operation_element</v>
      </c>
      <c r="AF91" s="166"/>
      <c r="AG91" s="166"/>
      <c r="AH91" s="166"/>
      <c r="AI91" s="166"/>
      <c r="AJ91" s="166"/>
      <c r="AK91" s="166"/>
      <c r="AL91" s="187"/>
      <c r="AM91" s="165" t="str">
        <f t="shared" ca="1" si="46"/>
        <v>MML_手術モジュール_手術要素テーブルから組入れ条件の第一条件で絞り込んだ結果を格納するテーブル</v>
      </c>
      <c r="AN91" s="166"/>
      <c r="AO91" s="166"/>
      <c r="AP91" s="166"/>
      <c r="AQ91" s="166"/>
      <c r="AR91" s="166"/>
      <c r="AS91" s="166"/>
      <c r="AT91" s="166"/>
      <c r="AU91" s="166"/>
      <c r="AV91" s="166"/>
      <c r="AW91" s="166"/>
      <c r="AX91" s="166"/>
      <c r="AY91" s="166"/>
      <c r="AZ91" s="166"/>
      <c r="BA91" s="166"/>
      <c r="BB91" s="166"/>
      <c r="BC91" s="166"/>
      <c r="BD91" s="166"/>
      <c r="BE91" s="166"/>
      <c r="BF91" s="166"/>
      <c r="BG91" s="166"/>
      <c r="BH91" s="166"/>
      <c r="BI91" s="166"/>
      <c r="BJ91" s="167"/>
      <c r="BK91" s="32" t="str">
        <f t="shared" si="43"/>
        <v>ENT_01_A6-48_バックアップ_MML_手術モジュール_手術要素.sql</v>
      </c>
    </row>
    <row r="92" spans="1:64" ht="37.5" hidden="1" customHeight="1" outlineLevel="1">
      <c r="A92" s="34" t="str">
        <f t="shared" si="44"/>
        <v>バックアップ_MML_手術モジュール_麻酔法</v>
      </c>
      <c r="B92" s="181" t="str">
        <f t="shared" si="20"/>
        <v>01</v>
      </c>
      <c r="C92" s="182"/>
      <c r="D92" s="182"/>
      <c r="E92" s="182"/>
      <c r="F92" s="183"/>
      <c r="G92" s="184" t="s">
        <v>196</v>
      </c>
      <c r="H92" s="185"/>
      <c r="I92" s="185"/>
      <c r="J92" s="185"/>
      <c r="K92" s="185"/>
      <c r="L92" s="185"/>
      <c r="M92" s="185"/>
      <c r="N92" s="186"/>
      <c r="O92" s="79" t="s">
        <v>3201</v>
      </c>
      <c r="P92" s="188" t="s">
        <v>2933</v>
      </c>
      <c r="Q92" s="189"/>
      <c r="R92" s="189"/>
      <c r="S92" s="189"/>
      <c r="T92" s="189"/>
      <c r="U92" s="189"/>
      <c r="V92" s="189"/>
      <c r="W92" s="189"/>
      <c r="X92" s="189"/>
      <c r="Y92" s="189"/>
      <c r="Z92" s="189"/>
      <c r="AA92" s="189"/>
      <c r="AB92" s="189"/>
      <c r="AC92" s="189"/>
      <c r="AD92" s="190"/>
      <c r="AE92" s="165" t="str">
        <f t="shared" ca="1" si="45"/>
        <v>sny_202310_backup_text_mml_mmlsg_anesthesia_procedure</v>
      </c>
      <c r="AF92" s="166"/>
      <c r="AG92" s="166"/>
      <c r="AH92" s="166"/>
      <c r="AI92" s="166"/>
      <c r="AJ92" s="166"/>
      <c r="AK92" s="166"/>
      <c r="AL92" s="187"/>
      <c r="AM92" s="165" t="str">
        <f t="shared" ca="1" si="46"/>
        <v>MML_手術モジュール_麻酔法テーブルから組入れ条件の第一条件で絞り込んだ結果を格納するテーブル</v>
      </c>
      <c r="AN92" s="166"/>
      <c r="AO92" s="166"/>
      <c r="AP92" s="166"/>
      <c r="AQ92" s="166"/>
      <c r="AR92" s="166"/>
      <c r="AS92" s="166"/>
      <c r="AT92" s="166"/>
      <c r="AU92" s="166"/>
      <c r="AV92" s="166"/>
      <c r="AW92" s="166"/>
      <c r="AX92" s="166"/>
      <c r="AY92" s="166"/>
      <c r="AZ92" s="166"/>
      <c r="BA92" s="166"/>
      <c r="BB92" s="166"/>
      <c r="BC92" s="166"/>
      <c r="BD92" s="166"/>
      <c r="BE92" s="166"/>
      <c r="BF92" s="166"/>
      <c r="BG92" s="166"/>
      <c r="BH92" s="166"/>
      <c r="BI92" s="166"/>
      <c r="BJ92" s="167"/>
      <c r="BK92" s="32" t="str">
        <f t="shared" si="43"/>
        <v>ENT_01_A6-49_バックアップ_MML_手術モジュール_麻酔法.sql</v>
      </c>
    </row>
    <row r="93" spans="1:64" ht="37.5" hidden="1" customHeight="1" outlineLevel="1">
      <c r="A93" s="34" t="str">
        <f t="shared" si="36"/>
        <v>バックアップ_MML_報告書情報モジュール_本文</v>
      </c>
      <c r="B93" s="181" t="str">
        <f t="shared" si="20"/>
        <v>01</v>
      </c>
      <c r="C93" s="182"/>
      <c r="D93" s="182"/>
      <c r="E93" s="182"/>
      <c r="F93" s="183"/>
      <c r="G93" s="184" t="s">
        <v>196</v>
      </c>
      <c r="H93" s="185"/>
      <c r="I93" s="185"/>
      <c r="J93" s="185"/>
      <c r="K93" s="185"/>
      <c r="L93" s="185"/>
      <c r="M93" s="185"/>
      <c r="N93" s="186"/>
      <c r="O93" s="79" t="s">
        <v>3202</v>
      </c>
      <c r="P93" s="188" t="s">
        <v>2940</v>
      </c>
      <c r="Q93" s="189"/>
      <c r="R93" s="189"/>
      <c r="S93" s="189"/>
      <c r="T93" s="189"/>
      <c r="U93" s="189"/>
      <c r="V93" s="189"/>
      <c r="W93" s="189"/>
      <c r="X93" s="189"/>
      <c r="Y93" s="189"/>
      <c r="Z93" s="189"/>
      <c r="AA93" s="189"/>
      <c r="AB93" s="189"/>
      <c r="AC93" s="189"/>
      <c r="AD93" s="190"/>
      <c r="AE93" s="165" t="str">
        <f t="shared" ca="1" si="37"/>
        <v>sny_202310_backup_text_mml_mmlrp_body</v>
      </c>
      <c r="AF93" s="166"/>
      <c r="AG93" s="166"/>
      <c r="AH93" s="166"/>
      <c r="AI93" s="166"/>
      <c r="AJ93" s="166"/>
      <c r="AK93" s="166"/>
      <c r="AL93" s="187"/>
      <c r="AM93" s="165" t="str">
        <f t="shared" ca="1" si="38"/>
        <v>MML_報告書情報モジュール_本文テーブルから組入れ条件の第一条件で絞り込んだ結果を格納するテーブル</v>
      </c>
      <c r="AN93" s="166"/>
      <c r="AO93" s="166"/>
      <c r="AP93" s="166"/>
      <c r="AQ93" s="166"/>
      <c r="AR93" s="166"/>
      <c r="AS93" s="166"/>
      <c r="AT93" s="166"/>
      <c r="AU93" s="166"/>
      <c r="AV93" s="166"/>
      <c r="AW93" s="166"/>
      <c r="AX93" s="166"/>
      <c r="AY93" s="166"/>
      <c r="AZ93" s="166"/>
      <c r="BA93" s="166"/>
      <c r="BB93" s="166"/>
      <c r="BC93" s="166"/>
      <c r="BD93" s="166"/>
      <c r="BE93" s="166"/>
      <c r="BF93" s="166"/>
      <c r="BG93" s="166"/>
      <c r="BH93" s="166"/>
      <c r="BI93" s="166"/>
      <c r="BJ93" s="167"/>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81" t="str">
        <f t="shared" si="20"/>
        <v>01</v>
      </c>
      <c r="C94" s="182"/>
      <c r="D94" s="182"/>
      <c r="E94" s="182"/>
      <c r="F94" s="183"/>
      <c r="G94" s="184" t="s">
        <v>196</v>
      </c>
      <c r="H94" s="185"/>
      <c r="I94" s="185"/>
      <c r="J94" s="185"/>
      <c r="K94" s="185"/>
      <c r="L94" s="185"/>
      <c r="M94" s="185"/>
      <c r="N94" s="186"/>
      <c r="O94" s="79" t="s">
        <v>3203</v>
      </c>
      <c r="P94" s="188" t="s">
        <v>2998</v>
      </c>
      <c r="Q94" s="189"/>
      <c r="R94" s="189"/>
      <c r="S94" s="189"/>
      <c r="T94" s="189"/>
      <c r="U94" s="189"/>
      <c r="V94" s="189"/>
      <c r="W94" s="189"/>
      <c r="X94" s="189"/>
      <c r="Y94" s="189"/>
      <c r="Z94" s="189"/>
      <c r="AA94" s="189"/>
      <c r="AB94" s="189"/>
      <c r="AC94" s="189"/>
      <c r="AD94" s="190"/>
      <c r="AE94" s="165" t="str">
        <f t="shared" ca="1" si="37"/>
        <v>sny_202310_backup_text_mml_mmlrp_test_memo</v>
      </c>
      <c r="AF94" s="166"/>
      <c r="AG94" s="166"/>
      <c r="AH94" s="166"/>
      <c r="AI94" s="166"/>
      <c r="AJ94" s="166"/>
      <c r="AK94" s="166"/>
      <c r="AL94" s="187"/>
      <c r="AM94" s="165" t="str">
        <f t="shared" ca="1" si="38"/>
        <v>MML_報告書情報モジュール_検査コメントテーブルから組入れ条件の第一条件で絞り込んだ結果を格納するテーブル</v>
      </c>
      <c r="AN94" s="166"/>
      <c r="AO94" s="166"/>
      <c r="AP94" s="166"/>
      <c r="AQ94" s="166"/>
      <c r="AR94" s="166"/>
      <c r="AS94" s="166"/>
      <c r="AT94" s="166"/>
      <c r="AU94" s="166"/>
      <c r="AV94" s="166"/>
      <c r="AW94" s="166"/>
      <c r="AX94" s="166"/>
      <c r="AY94" s="166"/>
      <c r="AZ94" s="166"/>
      <c r="BA94" s="166"/>
      <c r="BB94" s="166"/>
      <c r="BC94" s="166"/>
      <c r="BD94" s="166"/>
      <c r="BE94" s="166"/>
      <c r="BF94" s="166"/>
      <c r="BG94" s="166"/>
      <c r="BH94" s="166"/>
      <c r="BI94" s="166"/>
      <c r="BJ94" s="167"/>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81" t="str">
        <f t="shared" si="20"/>
        <v>01</v>
      </c>
      <c r="C95" s="182"/>
      <c r="D95" s="182"/>
      <c r="E95" s="182"/>
      <c r="F95" s="183"/>
      <c r="G95" s="184" t="s">
        <v>196</v>
      </c>
      <c r="H95" s="185"/>
      <c r="I95" s="185"/>
      <c r="J95" s="185"/>
      <c r="K95" s="185"/>
      <c r="L95" s="185"/>
      <c r="M95" s="185"/>
      <c r="N95" s="186"/>
      <c r="O95" s="79" t="s">
        <v>3204</v>
      </c>
      <c r="P95" s="188" t="s">
        <v>3216</v>
      </c>
      <c r="Q95" s="189"/>
      <c r="R95" s="189"/>
      <c r="S95" s="189"/>
      <c r="T95" s="189"/>
      <c r="U95" s="189"/>
      <c r="V95" s="189"/>
      <c r="W95" s="189"/>
      <c r="X95" s="189"/>
      <c r="Y95" s="189"/>
      <c r="Z95" s="189"/>
      <c r="AA95" s="189"/>
      <c r="AB95" s="189"/>
      <c r="AC95" s="189"/>
      <c r="AD95" s="190"/>
      <c r="AE95" s="165" t="str">
        <f t="shared" ref="AE95:AE103" ca="1" si="48">IFERROR(INDIRECT(P95&amp;"!D8"),"")</f>
        <v>sny_202310_backup_text_mml_mmlls_body</v>
      </c>
      <c r="AF95" s="166"/>
      <c r="AG95" s="166"/>
      <c r="AH95" s="166"/>
      <c r="AI95" s="166"/>
      <c r="AJ95" s="166"/>
      <c r="AK95" s="166"/>
      <c r="AL95" s="187"/>
      <c r="AM95" s="165" t="str">
        <f t="shared" ref="AM95:AM103" ca="1" si="49">IFERROR(INDIRECT(P95&amp;"!D9"),"")</f>
        <v>MML_生活習慣情報モジュール_本文テーブルから組入れ条件の第一条件で絞り込んだ結果を格納するテーブル</v>
      </c>
      <c r="AN95" s="166"/>
      <c r="AO95" s="166"/>
      <c r="AP95" s="166"/>
      <c r="AQ95" s="166"/>
      <c r="AR95" s="166"/>
      <c r="AS95" s="166"/>
      <c r="AT95" s="166"/>
      <c r="AU95" s="166"/>
      <c r="AV95" s="166"/>
      <c r="AW95" s="166"/>
      <c r="AX95" s="166"/>
      <c r="AY95" s="166"/>
      <c r="AZ95" s="166"/>
      <c r="BA95" s="166"/>
      <c r="BB95" s="166"/>
      <c r="BC95" s="166"/>
      <c r="BD95" s="166"/>
      <c r="BE95" s="166"/>
      <c r="BF95" s="166"/>
      <c r="BG95" s="166"/>
      <c r="BH95" s="166"/>
      <c r="BI95" s="166"/>
      <c r="BJ95" s="167"/>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81" t="str">
        <f t="shared" si="20"/>
        <v>01</v>
      </c>
      <c r="C96" s="182"/>
      <c r="D96" s="182"/>
      <c r="E96" s="182"/>
      <c r="F96" s="183"/>
      <c r="G96" s="184" t="s">
        <v>196</v>
      </c>
      <c r="H96" s="185"/>
      <c r="I96" s="185"/>
      <c r="J96" s="185"/>
      <c r="K96" s="185"/>
      <c r="L96" s="185"/>
      <c r="M96" s="185"/>
      <c r="N96" s="186"/>
      <c r="O96" s="79" t="s">
        <v>3205</v>
      </c>
      <c r="P96" s="188" t="s">
        <v>3009</v>
      </c>
      <c r="Q96" s="189"/>
      <c r="R96" s="189"/>
      <c r="S96" s="189"/>
      <c r="T96" s="189"/>
      <c r="U96" s="189"/>
      <c r="V96" s="189"/>
      <c r="W96" s="189"/>
      <c r="X96" s="189"/>
      <c r="Y96" s="189"/>
      <c r="Z96" s="189"/>
      <c r="AA96" s="189"/>
      <c r="AB96" s="189"/>
      <c r="AC96" s="189"/>
      <c r="AD96" s="190"/>
      <c r="AE96" s="165" t="str">
        <f t="shared" ref="AE96" ca="1" si="51">IFERROR(INDIRECT(P96&amp;"!D8"),"")</f>
        <v>sny_202310_backup_text_mml_mmlre_body</v>
      </c>
      <c r="AF96" s="166"/>
      <c r="AG96" s="166"/>
      <c r="AH96" s="166"/>
      <c r="AI96" s="166"/>
      <c r="AJ96" s="166"/>
      <c r="AK96" s="166"/>
      <c r="AL96" s="187"/>
      <c r="AM96" s="165" t="str">
        <f t="shared" ref="AM96" ca="1" si="52">IFERROR(INDIRECT(P96&amp;"!D9"),"")</f>
        <v>MML_紹介状モジュール_本文テーブルから組入れ条件の第一条件で絞り込んだ結果を格納するテーブル</v>
      </c>
      <c r="AN96" s="166"/>
      <c r="AO96" s="166"/>
      <c r="AP96" s="166"/>
      <c r="AQ96" s="166"/>
      <c r="AR96" s="166"/>
      <c r="AS96" s="166"/>
      <c r="AT96" s="166"/>
      <c r="AU96" s="166"/>
      <c r="AV96" s="166"/>
      <c r="AW96" s="166"/>
      <c r="AX96" s="166"/>
      <c r="AY96" s="166"/>
      <c r="AZ96" s="166"/>
      <c r="BA96" s="166"/>
      <c r="BB96" s="166"/>
      <c r="BC96" s="166"/>
      <c r="BD96" s="166"/>
      <c r="BE96" s="166"/>
      <c r="BF96" s="166"/>
      <c r="BG96" s="166"/>
      <c r="BH96" s="166"/>
      <c r="BI96" s="166"/>
      <c r="BJ96" s="167"/>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81" t="str">
        <f t="shared" si="20"/>
        <v>01</v>
      </c>
      <c r="C97" s="182"/>
      <c r="D97" s="182"/>
      <c r="E97" s="182"/>
      <c r="F97" s="183"/>
      <c r="G97" s="184" t="s">
        <v>196</v>
      </c>
      <c r="H97" s="185"/>
      <c r="I97" s="185"/>
      <c r="J97" s="185"/>
      <c r="K97" s="185"/>
      <c r="L97" s="185"/>
      <c r="M97" s="185"/>
      <c r="N97" s="186"/>
      <c r="O97" s="79" t="s">
        <v>3206</v>
      </c>
      <c r="P97" s="188" t="s">
        <v>3038</v>
      </c>
      <c r="Q97" s="189"/>
      <c r="R97" s="189"/>
      <c r="S97" s="189"/>
      <c r="T97" s="189"/>
      <c r="U97" s="189"/>
      <c r="V97" s="189"/>
      <c r="W97" s="189"/>
      <c r="X97" s="189"/>
      <c r="Y97" s="189"/>
      <c r="Z97" s="189"/>
      <c r="AA97" s="189"/>
      <c r="AB97" s="189"/>
      <c r="AC97" s="189"/>
      <c r="AD97" s="190"/>
      <c r="AE97" s="165" t="str">
        <f t="shared" ref="AE97" ca="1" si="54">IFERROR(INDIRECT(P97&amp;"!D8"),"")</f>
        <v>sny_202310_backup_text_mml_mmlre_inj</v>
      </c>
      <c r="AF97" s="166"/>
      <c r="AG97" s="166"/>
      <c r="AH97" s="166"/>
      <c r="AI97" s="166"/>
      <c r="AJ97" s="166"/>
      <c r="AK97" s="166"/>
      <c r="AL97" s="187"/>
      <c r="AM97" s="165" t="str">
        <f t="shared" ref="AM97" ca="1" si="55">IFERROR(INDIRECT(P97&amp;"!D9"),"")</f>
        <v>MML_紹介状モジュール_注射記録テーブルから組入れ条件の第一条件で絞り込んだ結果を格納するテーブル</v>
      </c>
      <c r="AN97" s="166"/>
      <c r="AO97" s="166"/>
      <c r="AP97" s="166"/>
      <c r="AQ97" s="166"/>
      <c r="AR97" s="166"/>
      <c r="AS97" s="166"/>
      <c r="AT97" s="166"/>
      <c r="AU97" s="166"/>
      <c r="AV97" s="166"/>
      <c r="AW97" s="166"/>
      <c r="AX97" s="166"/>
      <c r="AY97" s="166"/>
      <c r="AZ97" s="166"/>
      <c r="BA97" s="166"/>
      <c r="BB97" s="166"/>
      <c r="BC97" s="166"/>
      <c r="BD97" s="166"/>
      <c r="BE97" s="166"/>
      <c r="BF97" s="166"/>
      <c r="BG97" s="166"/>
      <c r="BH97" s="166"/>
      <c r="BI97" s="166"/>
      <c r="BJ97" s="167"/>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81" t="str">
        <f t="shared" si="20"/>
        <v>01</v>
      </c>
      <c r="C98" s="182"/>
      <c r="D98" s="182"/>
      <c r="E98" s="182"/>
      <c r="F98" s="183"/>
      <c r="G98" s="184" t="s">
        <v>196</v>
      </c>
      <c r="H98" s="185"/>
      <c r="I98" s="185"/>
      <c r="J98" s="185"/>
      <c r="K98" s="185"/>
      <c r="L98" s="185"/>
      <c r="M98" s="185"/>
      <c r="N98" s="186"/>
      <c r="O98" s="79" t="s">
        <v>3207</v>
      </c>
      <c r="P98" s="188" t="s">
        <v>3039</v>
      </c>
      <c r="Q98" s="189"/>
      <c r="R98" s="189"/>
      <c r="S98" s="189"/>
      <c r="T98" s="189"/>
      <c r="U98" s="189"/>
      <c r="V98" s="189"/>
      <c r="W98" s="189"/>
      <c r="X98" s="189"/>
      <c r="Y98" s="189"/>
      <c r="Z98" s="189"/>
      <c r="AA98" s="189"/>
      <c r="AB98" s="189"/>
      <c r="AC98" s="189"/>
      <c r="AD98" s="190"/>
      <c r="AE98" s="165" t="str">
        <f t="shared" ca="1" si="48"/>
        <v>sny_202310_backup_text_mml_mmlre_inj_medication</v>
      </c>
      <c r="AF98" s="166"/>
      <c r="AG98" s="166"/>
      <c r="AH98" s="166"/>
      <c r="AI98" s="166"/>
      <c r="AJ98" s="166"/>
      <c r="AK98" s="166"/>
      <c r="AL98" s="187"/>
      <c r="AM98" s="165" t="str">
        <f t="shared" ca="1" si="49"/>
        <v>MML_紹介状モジュール_注射記録投薬テーブルから組入れ条件の第一条件で絞り込んだ結果を格納するテーブル</v>
      </c>
      <c r="AN98" s="166"/>
      <c r="AO98" s="166"/>
      <c r="AP98" s="166"/>
      <c r="AQ98" s="166"/>
      <c r="AR98" s="166"/>
      <c r="AS98" s="166"/>
      <c r="AT98" s="166"/>
      <c r="AU98" s="166"/>
      <c r="AV98" s="166"/>
      <c r="AW98" s="166"/>
      <c r="AX98" s="166"/>
      <c r="AY98" s="166"/>
      <c r="AZ98" s="166"/>
      <c r="BA98" s="166"/>
      <c r="BB98" s="166"/>
      <c r="BC98" s="166"/>
      <c r="BD98" s="166"/>
      <c r="BE98" s="166"/>
      <c r="BF98" s="166"/>
      <c r="BG98" s="166"/>
      <c r="BH98" s="166"/>
      <c r="BI98" s="166"/>
      <c r="BJ98" s="167"/>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81" t="str">
        <f t="shared" si="20"/>
        <v>01</v>
      </c>
      <c r="C99" s="182"/>
      <c r="D99" s="182"/>
      <c r="E99" s="182"/>
      <c r="F99" s="183"/>
      <c r="G99" s="184" t="s">
        <v>196</v>
      </c>
      <c r="H99" s="185"/>
      <c r="I99" s="185"/>
      <c r="J99" s="185"/>
      <c r="K99" s="185"/>
      <c r="L99" s="185"/>
      <c r="M99" s="185"/>
      <c r="N99" s="186"/>
      <c r="O99" s="79" t="s">
        <v>3208</v>
      </c>
      <c r="P99" s="188" t="s">
        <v>3042</v>
      </c>
      <c r="Q99" s="189"/>
      <c r="R99" s="189"/>
      <c r="S99" s="189"/>
      <c r="T99" s="189"/>
      <c r="U99" s="189"/>
      <c r="V99" s="189"/>
      <c r="W99" s="189"/>
      <c r="X99" s="189"/>
      <c r="Y99" s="189"/>
      <c r="Z99" s="189"/>
      <c r="AA99" s="189"/>
      <c r="AB99" s="189"/>
      <c r="AC99" s="189"/>
      <c r="AD99" s="190"/>
      <c r="AE99" s="165" t="str">
        <f t="shared" ca="1" si="48"/>
        <v>sny_202310_backup_text_mml_mmlre_inj_medicine</v>
      </c>
      <c r="AF99" s="166"/>
      <c r="AG99" s="166"/>
      <c r="AH99" s="166"/>
      <c r="AI99" s="166"/>
      <c r="AJ99" s="166"/>
      <c r="AK99" s="166"/>
      <c r="AL99" s="187"/>
      <c r="AM99" s="165" t="str">
        <f t="shared" ca="1" si="49"/>
        <v>MML_紹介状モジュール_注射記録薬剤テーブルから組入れ条件の第一条件で絞り込んだ結果を格納するテーブル</v>
      </c>
      <c r="AN99" s="166"/>
      <c r="AO99" s="166"/>
      <c r="AP99" s="166"/>
      <c r="AQ99" s="166"/>
      <c r="AR99" s="166"/>
      <c r="AS99" s="166"/>
      <c r="AT99" s="166"/>
      <c r="AU99" s="166"/>
      <c r="AV99" s="166"/>
      <c r="AW99" s="166"/>
      <c r="AX99" s="166"/>
      <c r="AY99" s="166"/>
      <c r="AZ99" s="166"/>
      <c r="BA99" s="166"/>
      <c r="BB99" s="166"/>
      <c r="BC99" s="166"/>
      <c r="BD99" s="166"/>
      <c r="BE99" s="166"/>
      <c r="BF99" s="166"/>
      <c r="BG99" s="166"/>
      <c r="BH99" s="166"/>
      <c r="BI99" s="166"/>
      <c r="BJ99" s="167"/>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81" t="str">
        <f t="shared" si="20"/>
        <v>01</v>
      </c>
      <c r="C100" s="182"/>
      <c r="D100" s="182"/>
      <c r="E100" s="182"/>
      <c r="F100" s="183"/>
      <c r="G100" s="184" t="s">
        <v>196</v>
      </c>
      <c r="H100" s="185"/>
      <c r="I100" s="185"/>
      <c r="J100" s="185"/>
      <c r="K100" s="185"/>
      <c r="L100" s="185"/>
      <c r="M100" s="185"/>
      <c r="N100" s="186"/>
      <c r="O100" s="79" t="s">
        <v>3209</v>
      </c>
      <c r="P100" s="188" t="s">
        <v>3043</v>
      </c>
      <c r="Q100" s="189"/>
      <c r="R100" s="189"/>
      <c r="S100" s="189"/>
      <c r="T100" s="189"/>
      <c r="U100" s="189"/>
      <c r="V100" s="189"/>
      <c r="W100" s="189"/>
      <c r="X100" s="189"/>
      <c r="Y100" s="189"/>
      <c r="Z100" s="189"/>
      <c r="AA100" s="189"/>
      <c r="AB100" s="189"/>
      <c r="AC100" s="189"/>
      <c r="AD100" s="190"/>
      <c r="AE100" s="165" t="str">
        <f t="shared" ca="1" si="48"/>
        <v>sny_202310_backup_text_mml_mmlre_pi</v>
      </c>
      <c r="AF100" s="166"/>
      <c r="AG100" s="166"/>
      <c r="AH100" s="166"/>
      <c r="AI100" s="166"/>
      <c r="AJ100" s="166"/>
      <c r="AK100" s="166"/>
      <c r="AL100" s="187"/>
      <c r="AM100" s="165" t="str">
        <f t="shared" ca="1" si="49"/>
        <v>MML_紹介状モジュール_患者情報テーブルから組入れ条件の第一条件で絞り込んだ結果を格納するテーブル</v>
      </c>
      <c r="AN100" s="166"/>
      <c r="AO100" s="166"/>
      <c r="AP100" s="166"/>
      <c r="AQ100" s="166"/>
      <c r="AR100" s="166"/>
      <c r="AS100" s="166"/>
      <c r="AT100" s="166"/>
      <c r="AU100" s="166"/>
      <c r="AV100" s="166"/>
      <c r="AW100" s="166"/>
      <c r="AX100" s="166"/>
      <c r="AY100" s="166"/>
      <c r="AZ100" s="166"/>
      <c r="BA100" s="166"/>
      <c r="BB100" s="166"/>
      <c r="BC100" s="166"/>
      <c r="BD100" s="166"/>
      <c r="BE100" s="166"/>
      <c r="BF100" s="166"/>
      <c r="BG100" s="166"/>
      <c r="BH100" s="166"/>
      <c r="BI100" s="166"/>
      <c r="BJ100" s="167"/>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81" t="str">
        <f t="shared" si="20"/>
        <v>01</v>
      </c>
      <c r="C101" s="182"/>
      <c r="D101" s="182"/>
      <c r="E101" s="182"/>
      <c r="F101" s="183"/>
      <c r="G101" s="184" t="s">
        <v>196</v>
      </c>
      <c r="H101" s="185"/>
      <c r="I101" s="185"/>
      <c r="J101" s="185"/>
      <c r="K101" s="185"/>
      <c r="L101" s="185"/>
      <c r="M101" s="185"/>
      <c r="N101" s="186"/>
      <c r="O101" s="79" t="s">
        <v>3210</v>
      </c>
      <c r="P101" s="188" t="s">
        <v>3053</v>
      </c>
      <c r="Q101" s="189"/>
      <c r="R101" s="189"/>
      <c r="S101" s="189"/>
      <c r="T101" s="189"/>
      <c r="U101" s="189"/>
      <c r="V101" s="189"/>
      <c r="W101" s="189"/>
      <c r="X101" s="189"/>
      <c r="Y101" s="189"/>
      <c r="Z101" s="189"/>
      <c r="AA101" s="189"/>
      <c r="AB101" s="189"/>
      <c r="AC101" s="189"/>
      <c r="AD101" s="190"/>
      <c r="AE101" s="165" t="str">
        <f t="shared" ca="1" si="48"/>
        <v>sny_202310_backup_text_mml_mmlre_pi_address</v>
      </c>
      <c r="AF101" s="166"/>
      <c r="AG101" s="166"/>
      <c r="AH101" s="166"/>
      <c r="AI101" s="166"/>
      <c r="AJ101" s="166"/>
      <c r="AK101" s="166"/>
      <c r="AL101" s="187"/>
      <c r="AM101" s="165" t="str">
        <f t="shared" ca="1" si="49"/>
        <v>MML_紹介状モジュール_患者情報住所テーブルから組入れ条件の第一条件で絞り込んだ結果を格納するテーブル</v>
      </c>
      <c r="AN101" s="166"/>
      <c r="AO101" s="166"/>
      <c r="AP101" s="166"/>
      <c r="AQ101" s="166"/>
      <c r="AR101" s="166"/>
      <c r="AS101" s="166"/>
      <c r="AT101" s="166"/>
      <c r="AU101" s="166"/>
      <c r="AV101" s="166"/>
      <c r="AW101" s="166"/>
      <c r="AX101" s="166"/>
      <c r="AY101" s="166"/>
      <c r="AZ101" s="166"/>
      <c r="BA101" s="166"/>
      <c r="BB101" s="166"/>
      <c r="BC101" s="166"/>
      <c r="BD101" s="166"/>
      <c r="BE101" s="166"/>
      <c r="BF101" s="166"/>
      <c r="BG101" s="166"/>
      <c r="BH101" s="166"/>
      <c r="BI101" s="166"/>
      <c r="BJ101" s="167"/>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81" t="str">
        <f t="shared" si="20"/>
        <v>01</v>
      </c>
      <c r="C102" s="182"/>
      <c r="D102" s="182"/>
      <c r="E102" s="182"/>
      <c r="F102" s="183"/>
      <c r="G102" s="184" t="s">
        <v>196</v>
      </c>
      <c r="H102" s="185"/>
      <c r="I102" s="185"/>
      <c r="J102" s="185"/>
      <c r="K102" s="185"/>
      <c r="L102" s="185"/>
      <c r="M102" s="185"/>
      <c r="N102" s="186"/>
      <c r="O102" s="79" t="s">
        <v>3211</v>
      </c>
      <c r="P102" s="188" t="s">
        <v>3071</v>
      </c>
      <c r="Q102" s="189"/>
      <c r="R102" s="189"/>
      <c r="S102" s="189"/>
      <c r="T102" s="189"/>
      <c r="U102" s="189"/>
      <c r="V102" s="189"/>
      <c r="W102" s="189"/>
      <c r="X102" s="189"/>
      <c r="Y102" s="189"/>
      <c r="Z102" s="189"/>
      <c r="AA102" s="189"/>
      <c r="AB102" s="189"/>
      <c r="AC102" s="189"/>
      <c r="AD102" s="190"/>
      <c r="AE102" s="165" t="str">
        <f t="shared" ca="1" si="48"/>
        <v>sny_202310_backup_text_mml_mmlre_ps</v>
      </c>
      <c r="AF102" s="166"/>
      <c r="AG102" s="166"/>
      <c r="AH102" s="166"/>
      <c r="AI102" s="166"/>
      <c r="AJ102" s="166"/>
      <c r="AK102" s="166"/>
      <c r="AL102" s="187"/>
      <c r="AM102" s="165" t="str">
        <f t="shared" ca="1" si="49"/>
        <v>MML_紹介状モジュール_処方箋テーブルから組入れ条件の第一条件で絞り込んだ結果を格納するテーブル</v>
      </c>
      <c r="AN102" s="166"/>
      <c r="AO102" s="166"/>
      <c r="AP102" s="166"/>
      <c r="AQ102" s="166"/>
      <c r="AR102" s="166"/>
      <c r="AS102" s="166"/>
      <c r="AT102" s="166"/>
      <c r="AU102" s="166"/>
      <c r="AV102" s="166"/>
      <c r="AW102" s="166"/>
      <c r="AX102" s="166"/>
      <c r="AY102" s="166"/>
      <c r="AZ102" s="166"/>
      <c r="BA102" s="166"/>
      <c r="BB102" s="166"/>
      <c r="BC102" s="166"/>
      <c r="BD102" s="166"/>
      <c r="BE102" s="166"/>
      <c r="BF102" s="166"/>
      <c r="BG102" s="166"/>
      <c r="BH102" s="166"/>
      <c r="BI102" s="166"/>
      <c r="BJ102" s="167"/>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81" t="str">
        <f t="shared" si="20"/>
        <v>01</v>
      </c>
      <c r="C103" s="182"/>
      <c r="D103" s="182"/>
      <c r="E103" s="182"/>
      <c r="F103" s="183"/>
      <c r="G103" s="184" t="s">
        <v>196</v>
      </c>
      <c r="H103" s="185"/>
      <c r="I103" s="185"/>
      <c r="J103" s="185"/>
      <c r="K103" s="185"/>
      <c r="L103" s="185"/>
      <c r="M103" s="185"/>
      <c r="N103" s="186"/>
      <c r="O103" s="79" t="s">
        <v>3212</v>
      </c>
      <c r="P103" s="188" t="s">
        <v>3072</v>
      </c>
      <c r="Q103" s="189"/>
      <c r="R103" s="189"/>
      <c r="S103" s="189"/>
      <c r="T103" s="189"/>
      <c r="U103" s="189"/>
      <c r="V103" s="189"/>
      <c r="W103" s="189"/>
      <c r="X103" s="189"/>
      <c r="Y103" s="189"/>
      <c r="Z103" s="189"/>
      <c r="AA103" s="189"/>
      <c r="AB103" s="189"/>
      <c r="AC103" s="189"/>
      <c r="AD103" s="190"/>
      <c r="AE103" s="165" t="str">
        <f t="shared" ca="1" si="48"/>
        <v>sny_202310_backup_text_mml_mmlre_ps_medication</v>
      </c>
      <c r="AF103" s="166"/>
      <c r="AG103" s="166"/>
      <c r="AH103" s="166"/>
      <c r="AI103" s="166"/>
      <c r="AJ103" s="166"/>
      <c r="AK103" s="166"/>
      <c r="AL103" s="187"/>
      <c r="AM103" s="165" t="str">
        <f t="shared" ca="1" si="49"/>
        <v>MML_紹介状モジュール_処方箋投薬テーブルから組入れ条件の第一条件で絞り込んだ結果を格納するテーブル</v>
      </c>
      <c r="AN103" s="166"/>
      <c r="AO103" s="166"/>
      <c r="AP103" s="166"/>
      <c r="AQ103" s="166"/>
      <c r="AR103" s="166"/>
      <c r="AS103" s="166"/>
      <c r="AT103" s="166"/>
      <c r="AU103" s="166"/>
      <c r="AV103" s="166"/>
      <c r="AW103" s="166"/>
      <c r="AX103" s="166"/>
      <c r="AY103" s="166"/>
      <c r="AZ103" s="166"/>
      <c r="BA103" s="166"/>
      <c r="BB103" s="166"/>
      <c r="BC103" s="166"/>
      <c r="BD103" s="166"/>
      <c r="BE103" s="166"/>
      <c r="BF103" s="166"/>
      <c r="BG103" s="166"/>
      <c r="BH103" s="166"/>
      <c r="BI103" s="166"/>
      <c r="BJ103" s="167"/>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81" t="str">
        <f t="shared" si="20"/>
        <v>01</v>
      </c>
      <c r="C104" s="182"/>
      <c r="D104" s="182"/>
      <c r="E104" s="182"/>
      <c r="F104" s="183"/>
      <c r="G104" s="184" t="s">
        <v>196</v>
      </c>
      <c r="H104" s="185"/>
      <c r="I104" s="185"/>
      <c r="J104" s="185"/>
      <c r="K104" s="185"/>
      <c r="L104" s="185"/>
      <c r="M104" s="185"/>
      <c r="N104" s="186"/>
      <c r="O104" s="79" t="s">
        <v>3213</v>
      </c>
      <c r="P104" s="188" t="s">
        <v>3073</v>
      </c>
      <c r="Q104" s="189"/>
      <c r="R104" s="189"/>
      <c r="S104" s="189"/>
      <c r="T104" s="189"/>
      <c r="U104" s="189"/>
      <c r="V104" s="189"/>
      <c r="W104" s="189"/>
      <c r="X104" s="189"/>
      <c r="Y104" s="189"/>
      <c r="Z104" s="189"/>
      <c r="AA104" s="189"/>
      <c r="AB104" s="189"/>
      <c r="AC104" s="189"/>
      <c r="AD104" s="190"/>
      <c r="AE104" s="165" t="str">
        <f t="shared" ca="1" si="37"/>
        <v>sny_202310_backup_text_mml_mmlre_ps_medicine</v>
      </c>
      <c r="AF104" s="166"/>
      <c r="AG104" s="166"/>
      <c r="AH104" s="166"/>
      <c r="AI104" s="166"/>
      <c r="AJ104" s="166"/>
      <c r="AK104" s="166"/>
      <c r="AL104" s="187"/>
      <c r="AM104" s="165" t="str">
        <f t="shared" ca="1" si="38"/>
        <v>MML_紹介状モジュール_処方箋薬剤テーブルから組入れ条件の第一条件で絞り込んだ結果を格納するテーブル</v>
      </c>
      <c r="AN104" s="166"/>
      <c r="AO104" s="166"/>
      <c r="AP104" s="166"/>
      <c r="AQ104" s="166"/>
      <c r="AR104" s="166"/>
      <c r="AS104" s="166"/>
      <c r="AT104" s="166"/>
      <c r="AU104" s="166"/>
      <c r="AV104" s="166"/>
      <c r="AW104" s="166"/>
      <c r="AX104" s="166"/>
      <c r="AY104" s="166"/>
      <c r="AZ104" s="166"/>
      <c r="BA104" s="166"/>
      <c r="BB104" s="166"/>
      <c r="BC104" s="166"/>
      <c r="BD104" s="166"/>
      <c r="BE104" s="166"/>
      <c r="BF104" s="166"/>
      <c r="BG104" s="166"/>
      <c r="BH104" s="166"/>
      <c r="BI104" s="166"/>
      <c r="BJ104" s="167"/>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81" t="str">
        <f t="shared" si="20"/>
        <v>01</v>
      </c>
      <c r="C105" s="182"/>
      <c r="D105" s="182"/>
      <c r="E105" s="182"/>
      <c r="F105" s="183"/>
      <c r="G105" s="184" t="s">
        <v>196</v>
      </c>
      <c r="H105" s="185"/>
      <c r="I105" s="185"/>
      <c r="J105" s="185"/>
      <c r="K105" s="185"/>
      <c r="L105" s="185"/>
      <c r="M105" s="185"/>
      <c r="N105" s="186"/>
      <c r="O105" s="79" t="s">
        <v>3214</v>
      </c>
      <c r="P105" s="188" t="s">
        <v>3074</v>
      </c>
      <c r="Q105" s="189"/>
      <c r="R105" s="189"/>
      <c r="S105" s="189"/>
      <c r="T105" s="189"/>
      <c r="U105" s="189"/>
      <c r="V105" s="189"/>
      <c r="W105" s="189"/>
      <c r="X105" s="189"/>
      <c r="Y105" s="189"/>
      <c r="Z105" s="189"/>
      <c r="AA105" s="189"/>
      <c r="AB105" s="189"/>
      <c r="AC105" s="189"/>
      <c r="AD105" s="190"/>
      <c r="AE105" s="165" t="s">
        <v>3083</v>
      </c>
      <c r="AF105" s="166"/>
      <c r="AG105" s="166"/>
      <c r="AH105" s="166"/>
      <c r="AI105" s="166"/>
      <c r="AJ105" s="166"/>
      <c r="AK105" s="166"/>
      <c r="AL105" s="187"/>
      <c r="AM105" s="165" t="s">
        <v>3084</v>
      </c>
      <c r="AN105" s="166"/>
      <c r="AO105" s="166"/>
      <c r="AP105" s="166"/>
      <c r="AQ105" s="166"/>
      <c r="AR105" s="166"/>
      <c r="AS105" s="166"/>
      <c r="AT105" s="166"/>
      <c r="AU105" s="166"/>
      <c r="AV105" s="166"/>
      <c r="AW105" s="166"/>
      <c r="AX105" s="166"/>
      <c r="AY105" s="166"/>
      <c r="AZ105" s="166"/>
      <c r="BA105" s="166"/>
      <c r="BB105" s="166"/>
      <c r="BC105" s="166"/>
      <c r="BD105" s="166"/>
      <c r="BE105" s="166"/>
      <c r="BF105" s="166"/>
      <c r="BG105" s="166"/>
      <c r="BH105" s="166"/>
      <c r="BI105" s="166"/>
      <c r="BJ105" s="167"/>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81" t="str">
        <f t="shared" si="20"/>
        <v>01</v>
      </c>
      <c r="C106" s="182"/>
      <c r="D106" s="182"/>
      <c r="E106" s="182"/>
      <c r="F106" s="183"/>
      <c r="G106" s="184" t="s">
        <v>196</v>
      </c>
      <c r="H106" s="185"/>
      <c r="I106" s="185"/>
      <c r="J106" s="185"/>
      <c r="K106" s="185"/>
      <c r="L106" s="185"/>
      <c r="M106" s="185"/>
      <c r="N106" s="186"/>
      <c r="O106" s="79" t="s">
        <v>3215</v>
      </c>
      <c r="P106" s="188" t="s">
        <v>3085</v>
      </c>
      <c r="Q106" s="189"/>
      <c r="R106" s="189"/>
      <c r="S106" s="189"/>
      <c r="T106" s="189"/>
      <c r="U106" s="189"/>
      <c r="V106" s="189"/>
      <c r="W106" s="189"/>
      <c r="X106" s="189"/>
      <c r="Y106" s="189"/>
      <c r="Z106" s="189"/>
      <c r="AA106" s="189"/>
      <c r="AB106" s="189"/>
      <c r="AC106" s="189"/>
      <c r="AD106" s="190"/>
      <c r="AE106" s="165" t="str">
        <f t="shared" ref="AE106" ca="1" si="58">IFERROR(INDIRECT(P106&amp;"!D8"),"")</f>
        <v>sny_202310_backup_text_mml_mmlre_dp</v>
      </c>
      <c r="AF106" s="166"/>
      <c r="AG106" s="166"/>
      <c r="AH106" s="166"/>
      <c r="AI106" s="166"/>
      <c r="AJ106" s="166"/>
      <c r="AK106" s="166"/>
      <c r="AL106" s="187"/>
      <c r="AM106" s="165" t="str">
        <f t="shared" ref="AM106" ca="1" si="59">IFERROR(INDIRECT(P106&amp;"!D9"),"")</f>
        <v>MML_紹介状モジュール_診療科情報テーブルから組入れ条件の第一条件で絞り込んだ結果を格納するテーブル</v>
      </c>
      <c r="AN106" s="166"/>
      <c r="AO106" s="166"/>
      <c r="AP106" s="166"/>
      <c r="AQ106" s="166"/>
      <c r="AR106" s="166"/>
      <c r="AS106" s="166"/>
      <c r="AT106" s="166"/>
      <c r="AU106" s="166"/>
      <c r="AV106" s="166"/>
      <c r="AW106" s="166"/>
      <c r="AX106" s="166"/>
      <c r="AY106" s="166"/>
      <c r="AZ106" s="166"/>
      <c r="BA106" s="166"/>
      <c r="BB106" s="166"/>
      <c r="BC106" s="166"/>
      <c r="BD106" s="166"/>
      <c r="BE106" s="166"/>
      <c r="BF106" s="166"/>
      <c r="BG106" s="166"/>
      <c r="BH106" s="166"/>
      <c r="BI106" s="166"/>
      <c r="BJ106" s="167"/>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81" t="str">
        <f>TEXT(1,"00")</f>
        <v>01</v>
      </c>
      <c r="C107" s="182"/>
      <c r="D107" s="182"/>
      <c r="E107" s="182"/>
      <c r="F107" s="183"/>
      <c r="G107" s="184" t="s">
        <v>196</v>
      </c>
      <c r="H107" s="185"/>
      <c r="I107" s="185"/>
      <c r="J107" s="185"/>
      <c r="K107" s="185"/>
      <c r="L107" s="185"/>
      <c r="M107" s="185"/>
      <c r="N107" s="186"/>
      <c r="O107" s="90" t="s">
        <v>3086</v>
      </c>
      <c r="P107" s="174" t="s">
        <v>191</v>
      </c>
      <c r="Q107" s="175"/>
      <c r="R107" s="175"/>
      <c r="S107" s="175"/>
      <c r="T107" s="175"/>
      <c r="U107" s="175"/>
      <c r="V107" s="175"/>
      <c r="W107" s="175"/>
      <c r="X107" s="175"/>
      <c r="Y107" s="175"/>
      <c r="Z107" s="175"/>
      <c r="AA107" s="175"/>
      <c r="AB107" s="175"/>
      <c r="AC107" s="175"/>
      <c r="AD107" s="176"/>
      <c r="AE107" s="177" t="str">
        <f t="shared" ref="AE107:AE112" ca="1" si="61">IFERROR(INDIRECT(P107&amp;"!D8"),"")</f>
        <v>sny_202310_backup_merge_dpc_dn</v>
      </c>
      <c r="AF107" s="178"/>
      <c r="AG107" s="178"/>
      <c r="AH107" s="178"/>
      <c r="AI107" s="178"/>
      <c r="AJ107" s="178"/>
      <c r="AK107" s="178"/>
      <c r="AL107" s="179"/>
      <c r="AM107" s="177" t="str">
        <f t="shared" ref="AM107:AM112" ca="1" si="62">IFERROR(INDIRECT(P107&amp;"!D9"),"")</f>
        <v>DPC調査データ_Dファイルテーブルから組入れ条件の第一条件で絞り込んだ結果を格納するテーブル</v>
      </c>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80"/>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81" t="str">
        <f>TEXT(1,"00")</f>
        <v>01</v>
      </c>
      <c r="C108" s="182"/>
      <c r="D108" s="182"/>
      <c r="E108" s="182"/>
      <c r="F108" s="183"/>
      <c r="G108" s="184" t="s">
        <v>196</v>
      </c>
      <c r="H108" s="185"/>
      <c r="I108" s="185"/>
      <c r="J108" s="185"/>
      <c r="K108" s="185"/>
      <c r="L108" s="185"/>
      <c r="M108" s="185"/>
      <c r="N108" s="186"/>
      <c r="O108" s="79" t="s">
        <v>3087</v>
      </c>
      <c r="P108" s="188" t="s">
        <v>192</v>
      </c>
      <c r="Q108" s="189"/>
      <c r="R108" s="189"/>
      <c r="S108" s="189"/>
      <c r="T108" s="189"/>
      <c r="U108" s="189"/>
      <c r="V108" s="189"/>
      <c r="W108" s="189"/>
      <c r="X108" s="189"/>
      <c r="Y108" s="189"/>
      <c r="Z108" s="189"/>
      <c r="AA108" s="189"/>
      <c r="AB108" s="189"/>
      <c r="AC108" s="189"/>
      <c r="AD108" s="190"/>
      <c r="AE108" s="165" t="str">
        <f t="shared" ca="1" si="61"/>
        <v>sny_202310_backup_merge_dpc_efn</v>
      </c>
      <c r="AF108" s="166"/>
      <c r="AG108" s="166"/>
      <c r="AH108" s="166"/>
      <c r="AI108" s="166"/>
      <c r="AJ108" s="166"/>
      <c r="AK108" s="166"/>
      <c r="AL108" s="187"/>
      <c r="AM108" s="165" t="str">
        <f t="shared" ca="1" si="62"/>
        <v>DPC調査データ_入院EF統合ファイルテーブルから組入れ条件の第一条件で絞り込んだ結果を格納するテーブル</v>
      </c>
      <c r="AN108" s="166"/>
      <c r="AO108" s="166"/>
      <c r="AP108" s="166"/>
      <c r="AQ108" s="166"/>
      <c r="AR108" s="166"/>
      <c r="AS108" s="166"/>
      <c r="AT108" s="166"/>
      <c r="AU108" s="166"/>
      <c r="AV108" s="166"/>
      <c r="AW108" s="166"/>
      <c r="AX108" s="166"/>
      <c r="AY108" s="166"/>
      <c r="AZ108" s="166"/>
      <c r="BA108" s="166"/>
      <c r="BB108" s="166"/>
      <c r="BC108" s="166"/>
      <c r="BD108" s="166"/>
      <c r="BE108" s="166"/>
      <c r="BF108" s="166"/>
      <c r="BG108" s="166"/>
      <c r="BH108" s="166"/>
      <c r="BI108" s="166"/>
      <c r="BJ108" s="167"/>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81" t="str">
        <f t="shared" ref="B109:B112" si="64">TEXT(1,"00")</f>
        <v>01</v>
      </c>
      <c r="C109" s="182"/>
      <c r="D109" s="182"/>
      <c r="E109" s="182"/>
      <c r="F109" s="183"/>
      <c r="G109" s="184" t="s">
        <v>196</v>
      </c>
      <c r="H109" s="185"/>
      <c r="I109" s="185"/>
      <c r="J109" s="185"/>
      <c r="K109" s="185"/>
      <c r="L109" s="185"/>
      <c r="M109" s="185"/>
      <c r="N109" s="186"/>
      <c r="O109" s="79" t="s">
        <v>3088</v>
      </c>
      <c r="P109" s="188" t="s">
        <v>193</v>
      </c>
      <c r="Q109" s="189"/>
      <c r="R109" s="189"/>
      <c r="S109" s="189"/>
      <c r="T109" s="189"/>
      <c r="U109" s="189"/>
      <c r="V109" s="189"/>
      <c r="W109" s="189"/>
      <c r="X109" s="189"/>
      <c r="Y109" s="189"/>
      <c r="Z109" s="189"/>
      <c r="AA109" s="189"/>
      <c r="AB109" s="189"/>
      <c r="AC109" s="189"/>
      <c r="AD109" s="190"/>
      <c r="AE109" s="165" t="str">
        <f t="shared" ca="1" si="61"/>
        <v>sny_202310_backup_merge_dpc_efg</v>
      </c>
      <c r="AF109" s="166"/>
      <c r="AG109" s="166"/>
      <c r="AH109" s="166"/>
      <c r="AI109" s="166"/>
      <c r="AJ109" s="166"/>
      <c r="AK109" s="166"/>
      <c r="AL109" s="187"/>
      <c r="AM109" s="165" t="str">
        <f t="shared" ca="1" si="62"/>
        <v>DPC調査データ_外来EF統合ファイルテーブルから組入れ条件の第一条件で絞り込んだ結果を格納するテーブル</v>
      </c>
      <c r="AN109" s="166"/>
      <c r="AO109" s="166"/>
      <c r="AP109" s="166"/>
      <c r="AQ109" s="166"/>
      <c r="AR109" s="166"/>
      <c r="AS109" s="166"/>
      <c r="AT109" s="166"/>
      <c r="AU109" s="166"/>
      <c r="AV109" s="166"/>
      <c r="AW109" s="166"/>
      <c r="AX109" s="166"/>
      <c r="AY109" s="166"/>
      <c r="AZ109" s="166"/>
      <c r="BA109" s="166"/>
      <c r="BB109" s="166"/>
      <c r="BC109" s="166"/>
      <c r="BD109" s="166"/>
      <c r="BE109" s="166"/>
      <c r="BF109" s="166"/>
      <c r="BG109" s="166"/>
      <c r="BH109" s="166"/>
      <c r="BI109" s="166"/>
      <c r="BJ109" s="167"/>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81" t="str">
        <f t="shared" si="64"/>
        <v>01</v>
      </c>
      <c r="C110" s="182"/>
      <c r="D110" s="182"/>
      <c r="E110" s="182"/>
      <c r="F110" s="183"/>
      <c r="G110" s="184" t="s">
        <v>196</v>
      </c>
      <c r="H110" s="185"/>
      <c r="I110" s="185"/>
      <c r="J110" s="185"/>
      <c r="K110" s="185"/>
      <c r="L110" s="185"/>
      <c r="M110" s="185"/>
      <c r="N110" s="186"/>
      <c r="O110" s="79" t="s">
        <v>3089</v>
      </c>
      <c r="P110" s="188" t="s">
        <v>194</v>
      </c>
      <c r="Q110" s="189"/>
      <c r="R110" s="189"/>
      <c r="S110" s="189"/>
      <c r="T110" s="189"/>
      <c r="U110" s="189"/>
      <c r="V110" s="189"/>
      <c r="W110" s="189"/>
      <c r="X110" s="189"/>
      <c r="Y110" s="189"/>
      <c r="Z110" s="189"/>
      <c r="AA110" s="189"/>
      <c r="AB110" s="189"/>
      <c r="AC110" s="189"/>
      <c r="AD110" s="190"/>
      <c r="AE110" s="165" t="str">
        <f t="shared" ca="1" si="61"/>
        <v>sny_202310_backup_merge_dpc_hn</v>
      </c>
      <c r="AF110" s="166"/>
      <c r="AG110" s="166"/>
      <c r="AH110" s="166"/>
      <c r="AI110" s="166"/>
      <c r="AJ110" s="166"/>
      <c r="AK110" s="166"/>
      <c r="AL110" s="187"/>
      <c r="AM110" s="165" t="str">
        <f t="shared" ca="1" si="62"/>
        <v>DPC調査データ_Hファイルテーブルから組入れ条件の第一条件で絞り込んだ結果を格納するテーブル</v>
      </c>
      <c r="AN110" s="166"/>
      <c r="AO110" s="166"/>
      <c r="AP110" s="166"/>
      <c r="AQ110" s="166"/>
      <c r="AR110" s="166"/>
      <c r="AS110" s="166"/>
      <c r="AT110" s="166"/>
      <c r="AU110" s="166"/>
      <c r="AV110" s="166"/>
      <c r="AW110" s="166"/>
      <c r="AX110" s="166"/>
      <c r="AY110" s="166"/>
      <c r="AZ110" s="166"/>
      <c r="BA110" s="166"/>
      <c r="BB110" s="166"/>
      <c r="BC110" s="166"/>
      <c r="BD110" s="166"/>
      <c r="BE110" s="166"/>
      <c r="BF110" s="166"/>
      <c r="BG110" s="166"/>
      <c r="BH110" s="166"/>
      <c r="BI110" s="166"/>
      <c r="BJ110" s="167"/>
      <c r="BK110" s="32" t="str">
        <f t="shared" si="63"/>
        <v>ENT_01_C1-04_バックアップ_DPC調査データ_Hファイル.sql</v>
      </c>
    </row>
    <row r="111" spans="1:64" ht="37.5" hidden="1" customHeight="1" outlineLevel="1">
      <c r="A111" s="34" t="str">
        <f t="shared" si="60"/>
        <v>バックアップ_DPC調査データ_様式1</v>
      </c>
      <c r="B111" s="181" t="str">
        <f t="shared" si="64"/>
        <v>01</v>
      </c>
      <c r="C111" s="182"/>
      <c r="D111" s="182"/>
      <c r="E111" s="182"/>
      <c r="F111" s="183"/>
      <c r="G111" s="184" t="s">
        <v>196</v>
      </c>
      <c r="H111" s="185"/>
      <c r="I111" s="185"/>
      <c r="J111" s="185"/>
      <c r="K111" s="185"/>
      <c r="L111" s="185"/>
      <c r="M111" s="185"/>
      <c r="N111" s="186"/>
      <c r="O111" s="79" t="s">
        <v>3090</v>
      </c>
      <c r="P111" s="188" t="s">
        <v>195</v>
      </c>
      <c r="Q111" s="189"/>
      <c r="R111" s="189"/>
      <c r="S111" s="189"/>
      <c r="T111" s="189"/>
      <c r="U111" s="189"/>
      <c r="V111" s="189"/>
      <c r="W111" s="189"/>
      <c r="X111" s="189"/>
      <c r="Y111" s="189"/>
      <c r="Z111" s="189"/>
      <c r="AA111" s="189"/>
      <c r="AB111" s="189"/>
      <c r="AC111" s="189"/>
      <c r="AD111" s="190"/>
      <c r="AE111" s="165" t="str">
        <f t="shared" ca="1" si="61"/>
        <v>sny_202310_backup_merge_dpc_ff1</v>
      </c>
      <c r="AF111" s="166"/>
      <c r="AG111" s="166"/>
      <c r="AH111" s="166"/>
      <c r="AI111" s="166"/>
      <c r="AJ111" s="166"/>
      <c r="AK111" s="166"/>
      <c r="AL111" s="187"/>
      <c r="AM111" s="165" t="str">
        <f t="shared" ca="1" si="62"/>
        <v>DPC調査データ_様式1テーブルから組入れ条件の第一条件で絞り込んだ結果を格納するテーブル</v>
      </c>
      <c r="AN111" s="166"/>
      <c r="AO111" s="166"/>
      <c r="AP111" s="166"/>
      <c r="AQ111" s="166"/>
      <c r="AR111" s="166"/>
      <c r="AS111" s="166"/>
      <c r="AT111" s="166"/>
      <c r="AU111" s="166"/>
      <c r="AV111" s="166"/>
      <c r="AW111" s="166"/>
      <c r="AX111" s="166"/>
      <c r="AY111" s="166"/>
      <c r="AZ111" s="166"/>
      <c r="BA111" s="166"/>
      <c r="BB111" s="166"/>
      <c r="BC111" s="166"/>
      <c r="BD111" s="166"/>
      <c r="BE111" s="166"/>
      <c r="BF111" s="166"/>
      <c r="BG111" s="166"/>
      <c r="BH111" s="166"/>
      <c r="BI111" s="166"/>
      <c r="BJ111" s="167"/>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81" t="str">
        <f t="shared" si="64"/>
        <v>01</v>
      </c>
      <c r="C112" s="182"/>
      <c r="D112" s="182"/>
      <c r="E112" s="182"/>
      <c r="F112" s="183"/>
      <c r="G112" s="184" t="s">
        <v>196</v>
      </c>
      <c r="H112" s="185"/>
      <c r="I112" s="185"/>
      <c r="J112" s="185"/>
      <c r="K112" s="185"/>
      <c r="L112" s="185"/>
      <c r="M112" s="185"/>
      <c r="N112" s="186"/>
      <c r="O112" s="79" t="s">
        <v>3091</v>
      </c>
      <c r="P112" s="188" t="s">
        <v>314</v>
      </c>
      <c r="Q112" s="189"/>
      <c r="R112" s="189"/>
      <c r="S112" s="189"/>
      <c r="T112" s="189"/>
      <c r="U112" s="189"/>
      <c r="V112" s="189"/>
      <c r="W112" s="189"/>
      <c r="X112" s="189"/>
      <c r="Y112" s="189"/>
      <c r="Z112" s="189"/>
      <c r="AA112" s="189"/>
      <c r="AB112" s="189"/>
      <c r="AC112" s="189"/>
      <c r="AD112" s="190"/>
      <c r="AE112" s="165" t="str">
        <f t="shared" ca="1" si="61"/>
        <v>sny_202310_backup_merge_dpc_ff1_a006040</v>
      </c>
      <c r="AF112" s="166"/>
      <c r="AG112" s="166"/>
      <c r="AH112" s="166"/>
      <c r="AI112" s="166"/>
      <c r="AJ112" s="166"/>
      <c r="AK112" s="166"/>
      <c r="AL112" s="187"/>
      <c r="AM112" s="165" t="str">
        <f t="shared" ca="1" si="62"/>
        <v>DPC調査データ_様式1_診断情報_併存症テーブルから組入れ条件の第一条件で絞り込んだ結果を格納するテーブル</v>
      </c>
      <c r="AN112" s="166"/>
      <c r="AO112" s="166"/>
      <c r="AP112" s="166"/>
      <c r="AQ112" s="166"/>
      <c r="AR112" s="166"/>
      <c r="AS112" s="166"/>
      <c r="AT112" s="166"/>
      <c r="AU112" s="166"/>
      <c r="AV112" s="166"/>
      <c r="AW112" s="166"/>
      <c r="AX112" s="166"/>
      <c r="AY112" s="166"/>
      <c r="AZ112" s="166"/>
      <c r="BA112" s="166"/>
      <c r="BB112" s="166"/>
      <c r="BC112" s="166"/>
      <c r="BD112" s="166"/>
      <c r="BE112" s="166"/>
      <c r="BF112" s="166"/>
      <c r="BG112" s="166"/>
      <c r="BH112" s="166"/>
      <c r="BI112" s="166"/>
      <c r="BJ112" s="167"/>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81" t="str">
        <f>TEXT(1,"00")</f>
        <v>01</v>
      </c>
      <c r="C113" s="182"/>
      <c r="D113" s="182"/>
      <c r="E113" s="182"/>
      <c r="F113" s="183"/>
      <c r="G113" s="184" t="s">
        <v>196</v>
      </c>
      <c r="H113" s="185"/>
      <c r="I113" s="185"/>
      <c r="J113" s="185"/>
      <c r="K113" s="185"/>
      <c r="L113" s="185"/>
      <c r="M113" s="185"/>
      <c r="N113" s="186"/>
      <c r="O113" s="79" t="s">
        <v>3092</v>
      </c>
      <c r="P113" s="188" t="s">
        <v>315</v>
      </c>
      <c r="Q113" s="189"/>
      <c r="R113" s="189"/>
      <c r="S113" s="189"/>
      <c r="T113" s="189"/>
      <c r="U113" s="189"/>
      <c r="V113" s="189"/>
      <c r="W113" s="189"/>
      <c r="X113" s="189"/>
      <c r="Y113" s="189"/>
      <c r="Z113" s="189"/>
      <c r="AA113" s="189"/>
      <c r="AB113" s="189"/>
      <c r="AC113" s="189"/>
      <c r="AD113" s="190"/>
      <c r="AE113" s="165" t="str">
        <f t="shared" ref="AE113" ca="1" si="65">IFERROR(INDIRECT(P113&amp;"!D8"),"")</f>
        <v>sny_202310_backup_merge_dpc_ff1_a006050</v>
      </c>
      <c r="AF113" s="166"/>
      <c r="AG113" s="166"/>
      <c r="AH113" s="166"/>
      <c r="AI113" s="166"/>
      <c r="AJ113" s="166"/>
      <c r="AK113" s="166"/>
      <c r="AL113" s="187"/>
      <c r="AM113" s="165" t="str">
        <f t="shared" ref="AM113" ca="1" si="66">IFERROR(INDIRECT(P113&amp;"!D9"),"")</f>
        <v>DPC調査データ_様式1_診断情報_続発症テーブルから組入れ条件の第一条件で絞り込んだ結果を格納するテーブル</v>
      </c>
      <c r="AN113" s="166"/>
      <c r="AO113" s="166"/>
      <c r="AP113" s="166"/>
      <c r="AQ113" s="166"/>
      <c r="AR113" s="166"/>
      <c r="AS113" s="166"/>
      <c r="AT113" s="166"/>
      <c r="AU113" s="166"/>
      <c r="AV113" s="166"/>
      <c r="AW113" s="166"/>
      <c r="AX113" s="166"/>
      <c r="AY113" s="166"/>
      <c r="AZ113" s="166"/>
      <c r="BA113" s="166"/>
      <c r="BB113" s="166"/>
      <c r="BC113" s="166"/>
      <c r="BD113" s="166"/>
      <c r="BE113" s="166"/>
      <c r="BF113" s="166"/>
      <c r="BG113" s="166"/>
      <c r="BH113" s="166"/>
      <c r="BI113" s="166"/>
      <c r="BJ113" s="167"/>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81" t="str">
        <f t="shared" ref="B114:B118" si="67">TEXT(1,"00")</f>
        <v>01</v>
      </c>
      <c r="C114" s="182"/>
      <c r="D114" s="182"/>
      <c r="E114" s="182"/>
      <c r="F114" s="183"/>
      <c r="G114" s="184" t="s">
        <v>196</v>
      </c>
      <c r="H114" s="185"/>
      <c r="I114" s="185"/>
      <c r="J114" s="185"/>
      <c r="K114" s="185"/>
      <c r="L114" s="185"/>
      <c r="M114" s="185"/>
      <c r="N114" s="186"/>
      <c r="O114" s="79" t="s">
        <v>3093</v>
      </c>
      <c r="P114" s="188" t="s">
        <v>903</v>
      </c>
      <c r="Q114" s="189"/>
      <c r="R114" s="189"/>
      <c r="S114" s="189"/>
      <c r="T114" s="189"/>
      <c r="U114" s="189"/>
      <c r="V114" s="189"/>
      <c r="W114" s="189"/>
      <c r="X114" s="189"/>
      <c r="Y114" s="189"/>
      <c r="Z114" s="189"/>
      <c r="AA114" s="189"/>
      <c r="AB114" s="189"/>
      <c r="AC114" s="189"/>
      <c r="AD114" s="190"/>
      <c r="AE114" s="165" t="str">
        <f t="shared" ref="AE114:AE152" ca="1" si="68">IFERROR(INDIRECT(P114&amp;"!D8"),"")</f>
        <v>sny_202310_backup_merge_receiptc_ir</v>
      </c>
      <c r="AF114" s="166"/>
      <c r="AG114" s="166"/>
      <c r="AH114" s="166"/>
      <c r="AI114" s="166"/>
      <c r="AJ114" s="166"/>
      <c r="AK114" s="166"/>
      <c r="AL114" s="187"/>
      <c r="AM114" s="165" t="str">
        <f t="shared" ref="AM114:AM152" ca="1" si="69">IFERROR(INDIRECT(P114&amp;"!D9"),"")</f>
        <v>医科レセプト_医療機関情報レコードテーブルから組入れ条件の第一条件で絞り込んだ結果を格納するテーブル</v>
      </c>
      <c r="AN114" s="166"/>
      <c r="AO114" s="166"/>
      <c r="AP114" s="166"/>
      <c r="AQ114" s="166"/>
      <c r="AR114" s="166"/>
      <c r="AS114" s="166"/>
      <c r="AT114" s="166"/>
      <c r="AU114" s="166"/>
      <c r="AV114" s="166"/>
      <c r="AW114" s="166"/>
      <c r="AX114" s="166"/>
      <c r="AY114" s="166"/>
      <c r="AZ114" s="166"/>
      <c r="BA114" s="166"/>
      <c r="BB114" s="166"/>
      <c r="BC114" s="166"/>
      <c r="BD114" s="166"/>
      <c r="BE114" s="166"/>
      <c r="BF114" s="166"/>
      <c r="BG114" s="166"/>
      <c r="BH114" s="166"/>
      <c r="BI114" s="166"/>
      <c r="BJ114" s="167"/>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81" t="str">
        <f t="shared" si="67"/>
        <v>01</v>
      </c>
      <c r="C115" s="182"/>
      <c r="D115" s="182"/>
      <c r="E115" s="182"/>
      <c r="F115" s="183"/>
      <c r="G115" s="184" t="s">
        <v>196</v>
      </c>
      <c r="H115" s="185"/>
      <c r="I115" s="185"/>
      <c r="J115" s="185"/>
      <c r="K115" s="185"/>
      <c r="L115" s="185"/>
      <c r="M115" s="185"/>
      <c r="N115" s="186"/>
      <c r="O115" s="79" t="s">
        <v>3094</v>
      </c>
      <c r="P115" s="188" t="s">
        <v>938</v>
      </c>
      <c r="Q115" s="189"/>
      <c r="R115" s="189"/>
      <c r="S115" s="189"/>
      <c r="T115" s="189"/>
      <c r="U115" s="189"/>
      <c r="V115" s="189"/>
      <c r="W115" s="189"/>
      <c r="X115" s="189"/>
      <c r="Y115" s="189"/>
      <c r="Z115" s="189"/>
      <c r="AA115" s="189"/>
      <c r="AB115" s="189"/>
      <c r="AC115" s="189"/>
      <c r="AD115" s="190"/>
      <c r="AE115" s="165" t="str">
        <f t="shared" ca="1" si="68"/>
        <v>sny_202310_backup_merge_receiptc_re</v>
      </c>
      <c r="AF115" s="166"/>
      <c r="AG115" s="166"/>
      <c r="AH115" s="166"/>
      <c r="AI115" s="166"/>
      <c r="AJ115" s="166"/>
      <c r="AK115" s="166"/>
      <c r="AL115" s="187"/>
      <c r="AM115" s="165" t="str">
        <f t="shared" ca="1" si="69"/>
        <v>医科レセプト_レセプト共通レコードテーブルから組入れ条件の第一条件で絞り込んだ結果を格納するテーブル</v>
      </c>
      <c r="AN115" s="166"/>
      <c r="AO115" s="166"/>
      <c r="AP115" s="166"/>
      <c r="AQ115" s="166"/>
      <c r="AR115" s="166"/>
      <c r="AS115" s="166"/>
      <c r="AT115" s="166"/>
      <c r="AU115" s="166"/>
      <c r="AV115" s="166"/>
      <c r="AW115" s="166"/>
      <c r="AX115" s="166"/>
      <c r="AY115" s="166"/>
      <c r="AZ115" s="166"/>
      <c r="BA115" s="166"/>
      <c r="BB115" s="166"/>
      <c r="BC115" s="166"/>
      <c r="BD115" s="166"/>
      <c r="BE115" s="166"/>
      <c r="BF115" s="166"/>
      <c r="BG115" s="166"/>
      <c r="BH115" s="166"/>
      <c r="BI115" s="166"/>
      <c r="BJ115" s="167"/>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81" t="str">
        <f t="shared" si="67"/>
        <v>01</v>
      </c>
      <c r="C116" s="182"/>
      <c r="D116" s="182"/>
      <c r="E116" s="182"/>
      <c r="F116" s="183"/>
      <c r="G116" s="184" t="s">
        <v>196</v>
      </c>
      <c r="H116" s="185"/>
      <c r="I116" s="185"/>
      <c r="J116" s="185"/>
      <c r="K116" s="185"/>
      <c r="L116" s="185"/>
      <c r="M116" s="185"/>
      <c r="N116" s="186"/>
      <c r="O116" s="79" t="s">
        <v>3095</v>
      </c>
      <c r="P116" s="188" t="s">
        <v>1070</v>
      </c>
      <c r="Q116" s="189"/>
      <c r="R116" s="189"/>
      <c r="S116" s="189"/>
      <c r="T116" s="189"/>
      <c r="U116" s="189"/>
      <c r="V116" s="189"/>
      <c r="W116" s="189"/>
      <c r="X116" s="189"/>
      <c r="Y116" s="189"/>
      <c r="Z116" s="189"/>
      <c r="AA116" s="189"/>
      <c r="AB116" s="189"/>
      <c r="AC116" s="189"/>
      <c r="AD116" s="190"/>
      <c r="AE116" s="165" t="str">
        <f t="shared" ca="1" si="68"/>
        <v>sny_202310_backup_merge_receiptc_sy</v>
      </c>
      <c r="AF116" s="166"/>
      <c r="AG116" s="166"/>
      <c r="AH116" s="166"/>
      <c r="AI116" s="166"/>
      <c r="AJ116" s="166"/>
      <c r="AK116" s="166"/>
      <c r="AL116" s="187"/>
      <c r="AM116" s="165" t="str">
        <f t="shared" ca="1" si="69"/>
        <v>医科レセプト_傷病名レコードテーブルから組入れ条件の第一条件で絞り込んだ結果を格納するテーブル</v>
      </c>
      <c r="AN116" s="166"/>
      <c r="AO116" s="166"/>
      <c r="AP116" s="166"/>
      <c r="AQ116" s="166"/>
      <c r="AR116" s="166"/>
      <c r="AS116" s="166"/>
      <c r="AT116" s="166"/>
      <c r="AU116" s="166"/>
      <c r="AV116" s="166"/>
      <c r="AW116" s="166"/>
      <c r="AX116" s="166"/>
      <c r="AY116" s="166"/>
      <c r="AZ116" s="166"/>
      <c r="BA116" s="166"/>
      <c r="BB116" s="166"/>
      <c r="BC116" s="166"/>
      <c r="BD116" s="166"/>
      <c r="BE116" s="166"/>
      <c r="BF116" s="166"/>
      <c r="BG116" s="166"/>
      <c r="BH116" s="166"/>
      <c r="BI116" s="166"/>
      <c r="BJ116" s="167"/>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81" t="str">
        <f t="shared" si="67"/>
        <v>01</v>
      </c>
      <c r="C117" s="182"/>
      <c r="D117" s="182"/>
      <c r="E117" s="182"/>
      <c r="F117" s="183"/>
      <c r="G117" s="184" t="s">
        <v>196</v>
      </c>
      <c r="H117" s="185"/>
      <c r="I117" s="185"/>
      <c r="J117" s="185"/>
      <c r="K117" s="185"/>
      <c r="L117" s="185"/>
      <c r="M117" s="185"/>
      <c r="N117" s="186"/>
      <c r="O117" s="79" t="s">
        <v>3096</v>
      </c>
      <c r="P117" s="188" t="s">
        <v>1119</v>
      </c>
      <c r="Q117" s="189"/>
      <c r="R117" s="189"/>
      <c r="S117" s="189"/>
      <c r="T117" s="189"/>
      <c r="U117" s="189"/>
      <c r="V117" s="189"/>
      <c r="W117" s="189"/>
      <c r="X117" s="189"/>
      <c r="Y117" s="189"/>
      <c r="Z117" s="189"/>
      <c r="AA117" s="189"/>
      <c r="AB117" s="189"/>
      <c r="AC117" s="189"/>
      <c r="AD117" s="190"/>
      <c r="AE117" s="165" t="str">
        <f t="shared" ca="1" si="68"/>
        <v>sny_202310_backup_merge_receiptc_si</v>
      </c>
      <c r="AF117" s="166"/>
      <c r="AG117" s="166"/>
      <c r="AH117" s="166"/>
      <c r="AI117" s="166"/>
      <c r="AJ117" s="166"/>
      <c r="AK117" s="166"/>
      <c r="AL117" s="187"/>
      <c r="AM117" s="165" t="str">
        <f t="shared" ca="1" si="69"/>
        <v>医科レセプト_診療行為レコードテーブルから組入れ条件の第一条件で絞り込んだ結果を格納するテーブル</v>
      </c>
      <c r="AN117" s="166"/>
      <c r="AO117" s="166"/>
      <c r="AP117" s="166"/>
      <c r="AQ117" s="166"/>
      <c r="AR117" s="166"/>
      <c r="AS117" s="166"/>
      <c r="AT117" s="166"/>
      <c r="AU117" s="166"/>
      <c r="AV117" s="166"/>
      <c r="AW117" s="166"/>
      <c r="AX117" s="166"/>
      <c r="AY117" s="166"/>
      <c r="AZ117" s="166"/>
      <c r="BA117" s="166"/>
      <c r="BB117" s="166"/>
      <c r="BC117" s="166"/>
      <c r="BD117" s="166"/>
      <c r="BE117" s="166"/>
      <c r="BF117" s="166"/>
      <c r="BG117" s="166"/>
      <c r="BH117" s="166"/>
      <c r="BI117" s="166"/>
      <c r="BJ117" s="167"/>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81" t="str">
        <f t="shared" si="67"/>
        <v>01</v>
      </c>
      <c r="C118" s="182"/>
      <c r="D118" s="182"/>
      <c r="E118" s="182"/>
      <c r="F118" s="183"/>
      <c r="G118" s="184" t="s">
        <v>196</v>
      </c>
      <c r="H118" s="185"/>
      <c r="I118" s="185"/>
      <c r="J118" s="185"/>
      <c r="K118" s="185"/>
      <c r="L118" s="185"/>
      <c r="M118" s="185"/>
      <c r="N118" s="186"/>
      <c r="O118" s="79" t="s">
        <v>3097</v>
      </c>
      <c r="P118" s="188" t="s">
        <v>1147</v>
      </c>
      <c r="Q118" s="189"/>
      <c r="R118" s="189"/>
      <c r="S118" s="189"/>
      <c r="T118" s="189"/>
      <c r="U118" s="189"/>
      <c r="V118" s="189"/>
      <c r="W118" s="189"/>
      <c r="X118" s="189"/>
      <c r="Y118" s="189"/>
      <c r="Z118" s="189"/>
      <c r="AA118" s="189"/>
      <c r="AB118" s="189"/>
      <c r="AC118" s="189"/>
      <c r="AD118" s="190"/>
      <c r="AE118" s="165" t="str">
        <f t="shared" ca="1" si="68"/>
        <v>sny_202310_backup_merge_receiptc_si_day</v>
      </c>
      <c r="AF118" s="166"/>
      <c r="AG118" s="166"/>
      <c r="AH118" s="166"/>
      <c r="AI118" s="166"/>
      <c r="AJ118" s="166"/>
      <c r="AK118" s="166"/>
      <c r="AL118" s="187"/>
      <c r="AM118" s="165" t="str">
        <f t="shared" ca="1" si="69"/>
        <v>医科レセプト_診療行為レコード_算定日情報テーブルから組入れ条件の第一条件で絞り込んだ結果を格納するテーブル</v>
      </c>
      <c r="AN118" s="166"/>
      <c r="AO118" s="166"/>
      <c r="AP118" s="166"/>
      <c r="AQ118" s="166"/>
      <c r="AR118" s="166"/>
      <c r="AS118" s="166"/>
      <c r="AT118" s="166"/>
      <c r="AU118" s="166"/>
      <c r="AV118" s="166"/>
      <c r="AW118" s="166"/>
      <c r="AX118" s="166"/>
      <c r="AY118" s="166"/>
      <c r="AZ118" s="166"/>
      <c r="BA118" s="166"/>
      <c r="BB118" s="166"/>
      <c r="BC118" s="166"/>
      <c r="BD118" s="166"/>
      <c r="BE118" s="166"/>
      <c r="BF118" s="166"/>
      <c r="BG118" s="166"/>
      <c r="BH118" s="166"/>
      <c r="BI118" s="166"/>
      <c r="BJ118" s="167"/>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81" t="str">
        <f t="shared" si="8"/>
        <v>01</v>
      </c>
      <c r="C119" s="182"/>
      <c r="D119" s="182"/>
      <c r="E119" s="182"/>
      <c r="F119" s="183"/>
      <c r="G119" s="184" t="s">
        <v>196</v>
      </c>
      <c r="H119" s="185"/>
      <c r="I119" s="185"/>
      <c r="J119" s="185"/>
      <c r="K119" s="185"/>
      <c r="L119" s="185"/>
      <c r="M119" s="185"/>
      <c r="N119" s="186"/>
      <c r="O119" s="79" t="s">
        <v>3098</v>
      </c>
      <c r="P119" s="188" t="s">
        <v>1153</v>
      </c>
      <c r="Q119" s="189"/>
      <c r="R119" s="189"/>
      <c r="S119" s="189"/>
      <c r="T119" s="189"/>
      <c r="U119" s="189"/>
      <c r="V119" s="189"/>
      <c r="W119" s="189"/>
      <c r="X119" s="189"/>
      <c r="Y119" s="189"/>
      <c r="Z119" s="189"/>
      <c r="AA119" s="189"/>
      <c r="AB119" s="189"/>
      <c r="AC119" s="189"/>
      <c r="AD119" s="190"/>
      <c r="AE119" s="165" t="str">
        <f t="shared" ca="1" si="68"/>
        <v>sny_202310_backup_merge_receiptc_iy</v>
      </c>
      <c r="AF119" s="166"/>
      <c r="AG119" s="166"/>
      <c r="AH119" s="166"/>
      <c r="AI119" s="166"/>
      <c r="AJ119" s="166"/>
      <c r="AK119" s="166"/>
      <c r="AL119" s="187"/>
      <c r="AM119" s="165" t="str">
        <f t="shared" ca="1" si="69"/>
        <v>医科レセプト_医薬品レコードテーブルから組入れ条件の第一条件で絞り込んだ結果を格納するテーブル</v>
      </c>
      <c r="AN119" s="166"/>
      <c r="AO119" s="166"/>
      <c r="AP119" s="166"/>
      <c r="AQ119" s="166"/>
      <c r="AR119" s="166"/>
      <c r="AS119" s="166"/>
      <c r="AT119" s="166"/>
      <c r="AU119" s="166"/>
      <c r="AV119" s="166"/>
      <c r="AW119" s="166"/>
      <c r="AX119" s="166"/>
      <c r="AY119" s="166"/>
      <c r="AZ119" s="166"/>
      <c r="BA119" s="166"/>
      <c r="BB119" s="166"/>
      <c r="BC119" s="166"/>
      <c r="BD119" s="166"/>
      <c r="BE119" s="166"/>
      <c r="BF119" s="166"/>
      <c r="BG119" s="166"/>
      <c r="BH119" s="166"/>
      <c r="BI119" s="166"/>
      <c r="BJ119" s="167"/>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81" t="str">
        <f t="shared" si="8"/>
        <v>01</v>
      </c>
      <c r="C120" s="182"/>
      <c r="D120" s="182"/>
      <c r="E120" s="182"/>
      <c r="F120" s="183"/>
      <c r="G120" s="184" t="s">
        <v>196</v>
      </c>
      <c r="H120" s="185"/>
      <c r="I120" s="185"/>
      <c r="J120" s="185"/>
      <c r="K120" s="185"/>
      <c r="L120" s="185"/>
      <c r="M120" s="185"/>
      <c r="N120" s="186"/>
      <c r="O120" s="79" t="s">
        <v>3099</v>
      </c>
      <c r="P120" s="188" t="s">
        <v>1154</v>
      </c>
      <c r="Q120" s="189"/>
      <c r="R120" s="189"/>
      <c r="S120" s="189"/>
      <c r="T120" s="189"/>
      <c r="U120" s="189"/>
      <c r="V120" s="189"/>
      <c r="W120" s="189"/>
      <c r="X120" s="189"/>
      <c r="Y120" s="189"/>
      <c r="Z120" s="189"/>
      <c r="AA120" s="189"/>
      <c r="AB120" s="189"/>
      <c r="AC120" s="189"/>
      <c r="AD120" s="190"/>
      <c r="AE120" s="165" t="str">
        <f t="shared" ca="1" si="68"/>
        <v>sny_202310_backup_merge_receiptc_iy_day</v>
      </c>
      <c r="AF120" s="166"/>
      <c r="AG120" s="166"/>
      <c r="AH120" s="166"/>
      <c r="AI120" s="166"/>
      <c r="AJ120" s="166"/>
      <c r="AK120" s="166"/>
      <c r="AL120" s="187"/>
      <c r="AM120" s="165" t="str">
        <f t="shared" ca="1" si="69"/>
        <v>医科レセプト_医薬品レコード_算定日情報テーブルから組入れ条件の第一条件で絞り込んだ結果を格納するテーブル</v>
      </c>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7"/>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81" t="str">
        <f t="shared" si="8"/>
        <v>01</v>
      </c>
      <c r="C121" s="182"/>
      <c r="D121" s="182"/>
      <c r="E121" s="182"/>
      <c r="F121" s="183"/>
      <c r="G121" s="184" t="s">
        <v>196</v>
      </c>
      <c r="H121" s="185"/>
      <c r="I121" s="185"/>
      <c r="J121" s="185"/>
      <c r="K121" s="185"/>
      <c r="L121" s="185"/>
      <c r="M121" s="185"/>
      <c r="N121" s="186"/>
      <c r="O121" s="79" t="s">
        <v>3100</v>
      </c>
      <c r="P121" s="188" t="s">
        <v>1155</v>
      </c>
      <c r="Q121" s="189"/>
      <c r="R121" s="189"/>
      <c r="S121" s="189"/>
      <c r="T121" s="189"/>
      <c r="U121" s="189"/>
      <c r="V121" s="189"/>
      <c r="W121" s="189"/>
      <c r="X121" s="189"/>
      <c r="Y121" s="189"/>
      <c r="Z121" s="189"/>
      <c r="AA121" s="189"/>
      <c r="AB121" s="189"/>
      <c r="AC121" s="189"/>
      <c r="AD121" s="190"/>
      <c r="AE121" s="165" t="str">
        <f t="shared" ca="1" si="68"/>
        <v>sny_202310_backup_merge_receiptc_tr</v>
      </c>
      <c r="AF121" s="166"/>
      <c r="AG121" s="166"/>
      <c r="AH121" s="166"/>
      <c r="AI121" s="166"/>
      <c r="AJ121" s="166"/>
      <c r="AK121" s="166"/>
      <c r="AL121" s="187"/>
      <c r="AM121" s="165" t="str">
        <f t="shared" ca="1" si="69"/>
        <v>医科レセプト_臓器提供者レセプト情報レコードテーブルから組入れ条件の第一条件で絞り込んだ結果を格納するテーブル</v>
      </c>
      <c r="AN121" s="166"/>
      <c r="AO121" s="166"/>
      <c r="AP121" s="166"/>
      <c r="AQ121" s="166"/>
      <c r="AR121" s="166"/>
      <c r="AS121" s="166"/>
      <c r="AT121" s="166"/>
      <c r="AU121" s="166"/>
      <c r="AV121" s="166"/>
      <c r="AW121" s="166"/>
      <c r="AX121" s="166"/>
      <c r="AY121" s="166"/>
      <c r="AZ121" s="166"/>
      <c r="BA121" s="166"/>
      <c r="BB121" s="166"/>
      <c r="BC121" s="166"/>
      <c r="BD121" s="166"/>
      <c r="BE121" s="166"/>
      <c r="BF121" s="166"/>
      <c r="BG121" s="166"/>
      <c r="BH121" s="166"/>
      <c r="BI121" s="166"/>
      <c r="BJ121" s="167"/>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81" t="str">
        <f t="shared" si="8"/>
        <v>01</v>
      </c>
      <c r="C122" s="182"/>
      <c r="D122" s="182"/>
      <c r="E122" s="182"/>
      <c r="F122" s="183"/>
      <c r="G122" s="184" t="s">
        <v>196</v>
      </c>
      <c r="H122" s="185"/>
      <c r="I122" s="185"/>
      <c r="J122" s="185"/>
      <c r="K122" s="185"/>
      <c r="L122" s="185"/>
      <c r="M122" s="185"/>
      <c r="N122" s="186"/>
      <c r="O122" s="79" t="s">
        <v>3101</v>
      </c>
      <c r="P122" s="188" t="s">
        <v>1196</v>
      </c>
      <c r="Q122" s="189"/>
      <c r="R122" s="189"/>
      <c r="S122" s="189"/>
      <c r="T122" s="189"/>
      <c r="U122" s="189"/>
      <c r="V122" s="189"/>
      <c r="W122" s="189"/>
      <c r="X122" s="189"/>
      <c r="Y122" s="189"/>
      <c r="Z122" s="189"/>
      <c r="AA122" s="189"/>
      <c r="AB122" s="189"/>
      <c r="AC122" s="189"/>
      <c r="AD122" s="190"/>
      <c r="AE122" s="165" t="str">
        <f t="shared" ref="AE122:AE130" ca="1" si="71">IFERROR(INDIRECT(P122&amp;"!D8"),"")</f>
        <v>sny_202310_backup_merge_receiptd_ir</v>
      </c>
      <c r="AF122" s="166"/>
      <c r="AG122" s="166"/>
      <c r="AH122" s="166"/>
      <c r="AI122" s="166"/>
      <c r="AJ122" s="166"/>
      <c r="AK122" s="166"/>
      <c r="AL122" s="187"/>
      <c r="AM122" s="165" t="str">
        <f t="shared" ref="AM122:AM130" ca="1" si="72">IFERROR(INDIRECT(P122&amp;"!D9"),"")</f>
        <v>DPCレセプト_医療機関情報レコードテーブルから組入れ条件の第一条件で絞り込んだ結果を格納するテーブル</v>
      </c>
      <c r="AN122" s="166"/>
      <c r="AO122" s="166"/>
      <c r="AP122" s="166"/>
      <c r="AQ122" s="166"/>
      <c r="AR122" s="166"/>
      <c r="AS122" s="166"/>
      <c r="AT122" s="166"/>
      <c r="AU122" s="166"/>
      <c r="AV122" s="166"/>
      <c r="AW122" s="166"/>
      <c r="AX122" s="166"/>
      <c r="AY122" s="166"/>
      <c r="AZ122" s="166"/>
      <c r="BA122" s="166"/>
      <c r="BB122" s="166"/>
      <c r="BC122" s="166"/>
      <c r="BD122" s="166"/>
      <c r="BE122" s="166"/>
      <c r="BF122" s="166"/>
      <c r="BG122" s="166"/>
      <c r="BH122" s="166"/>
      <c r="BI122" s="166"/>
      <c r="BJ122" s="167"/>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81" t="str">
        <f t="shared" si="8"/>
        <v>01</v>
      </c>
      <c r="C123" s="182"/>
      <c r="D123" s="182"/>
      <c r="E123" s="182"/>
      <c r="F123" s="183"/>
      <c r="G123" s="184" t="s">
        <v>196</v>
      </c>
      <c r="H123" s="185"/>
      <c r="I123" s="185"/>
      <c r="J123" s="185"/>
      <c r="K123" s="185"/>
      <c r="L123" s="185"/>
      <c r="M123" s="185"/>
      <c r="N123" s="186"/>
      <c r="O123" s="79" t="s">
        <v>3102</v>
      </c>
      <c r="P123" s="188" t="s">
        <v>1201</v>
      </c>
      <c r="Q123" s="189"/>
      <c r="R123" s="189"/>
      <c r="S123" s="189"/>
      <c r="T123" s="189"/>
      <c r="U123" s="189"/>
      <c r="V123" s="189"/>
      <c r="W123" s="189"/>
      <c r="X123" s="189"/>
      <c r="Y123" s="189"/>
      <c r="Z123" s="189"/>
      <c r="AA123" s="189"/>
      <c r="AB123" s="189"/>
      <c r="AC123" s="189"/>
      <c r="AD123" s="190"/>
      <c r="AE123" s="165" t="str">
        <f t="shared" ca="1" si="71"/>
        <v>sny_202310_backup_merge_receiptd_re</v>
      </c>
      <c r="AF123" s="166"/>
      <c r="AG123" s="166"/>
      <c r="AH123" s="166"/>
      <c r="AI123" s="166"/>
      <c r="AJ123" s="166"/>
      <c r="AK123" s="166"/>
      <c r="AL123" s="187"/>
      <c r="AM123" s="165" t="str">
        <f t="shared" ca="1" si="72"/>
        <v>DPCレセプト_レセプト共通レコードテーブルから組入れ条件の第一条件で絞り込んだ結果を格納するテーブル</v>
      </c>
      <c r="AN123" s="166"/>
      <c r="AO123" s="166"/>
      <c r="AP123" s="166"/>
      <c r="AQ123" s="166"/>
      <c r="AR123" s="166"/>
      <c r="AS123" s="166"/>
      <c r="AT123" s="166"/>
      <c r="AU123" s="166"/>
      <c r="AV123" s="166"/>
      <c r="AW123" s="166"/>
      <c r="AX123" s="166"/>
      <c r="AY123" s="166"/>
      <c r="AZ123" s="166"/>
      <c r="BA123" s="166"/>
      <c r="BB123" s="166"/>
      <c r="BC123" s="166"/>
      <c r="BD123" s="166"/>
      <c r="BE123" s="166"/>
      <c r="BF123" s="166"/>
      <c r="BG123" s="166"/>
      <c r="BH123" s="166"/>
      <c r="BI123" s="166"/>
      <c r="BJ123" s="167"/>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81" t="str">
        <f t="shared" si="8"/>
        <v>01</v>
      </c>
      <c r="C124" s="182"/>
      <c r="D124" s="182"/>
      <c r="E124" s="182"/>
      <c r="F124" s="183"/>
      <c r="G124" s="184" t="s">
        <v>196</v>
      </c>
      <c r="H124" s="185"/>
      <c r="I124" s="185"/>
      <c r="J124" s="185"/>
      <c r="K124" s="185"/>
      <c r="L124" s="185"/>
      <c r="M124" s="185"/>
      <c r="N124" s="186"/>
      <c r="O124" s="79" t="s">
        <v>3103</v>
      </c>
      <c r="P124" s="188" t="s">
        <v>1206</v>
      </c>
      <c r="Q124" s="189"/>
      <c r="R124" s="189"/>
      <c r="S124" s="189"/>
      <c r="T124" s="189"/>
      <c r="U124" s="189"/>
      <c r="V124" s="189"/>
      <c r="W124" s="189"/>
      <c r="X124" s="189"/>
      <c r="Y124" s="189"/>
      <c r="Z124" s="189"/>
      <c r="AA124" s="189"/>
      <c r="AB124" s="189"/>
      <c r="AC124" s="189"/>
      <c r="AD124" s="190"/>
      <c r="AE124" s="165" t="str">
        <f t="shared" ca="1" si="71"/>
        <v>sny_202310_backup_merge_receiptd_bu</v>
      </c>
      <c r="AF124" s="166"/>
      <c r="AG124" s="166"/>
      <c r="AH124" s="166"/>
      <c r="AI124" s="166"/>
      <c r="AJ124" s="166"/>
      <c r="AK124" s="166"/>
      <c r="AL124" s="187"/>
      <c r="AM124" s="165" t="str">
        <f t="shared" ca="1" si="72"/>
        <v>DPCレセプト_診断群分類レコードテーブルから組入れ条件の第一条件で絞り込んだ結果を格納するテーブル</v>
      </c>
      <c r="AN124" s="166"/>
      <c r="AO124" s="166"/>
      <c r="AP124" s="166"/>
      <c r="AQ124" s="166"/>
      <c r="AR124" s="166"/>
      <c r="AS124" s="166"/>
      <c r="AT124" s="166"/>
      <c r="AU124" s="166"/>
      <c r="AV124" s="166"/>
      <c r="AW124" s="166"/>
      <c r="AX124" s="166"/>
      <c r="AY124" s="166"/>
      <c r="AZ124" s="166"/>
      <c r="BA124" s="166"/>
      <c r="BB124" s="166"/>
      <c r="BC124" s="166"/>
      <c r="BD124" s="166"/>
      <c r="BE124" s="166"/>
      <c r="BF124" s="166"/>
      <c r="BG124" s="166"/>
      <c r="BH124" s="166"/>
      <c r="BI124" s="166"/>
      <c r="BJ124" s="167"/>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81" t="str">
        <f t="shared" si="8"/>
        <v>01</v>
      </c>
      <c r="C125" s="182"/>
      <c r="D125" s="182"/>
      <c r="E125" s="182"/>
      <c r="F125" s="183"/>
      <c r="G125" s="184" t="s">
        <v>196</v>
      </c>
      <c r="H125" s="185"/>
      <c r="I125" s="185"/>
      <c r="J125" s="185"/>
      <c r="K125" s="185"/>
      <c r="L125" s="185"/>
      <c r="M125" s="185"/>
      <c r="N125" s="186"/>
      <c r="O125" s="79" t="s">
        <v>3104</v>
      </c>
      <c r="P125" s="188" t="s">
        <v>1221</v>
      </c>
      <c r="Q125" s="189"/>
      <c r="R125" s="189"/>
      <c r="S125" s="189"/>
      <c r="T125" s="189"/>
      <c r="U125" s="189"/>
      <c r="V125" s="189"/>
      <c r="W125" s="189"/>
      <c r="X125" s="189"/>
      <c r="Y125" s="189"/>
      <c r="Z125" s="189"/>
      <c r="AA125" s="189"/>
      <c r="AB125" s="189"/>
      <c r="AC125" s="189"/>
      <c r="AD125" s="190"/>
      <c r="AE125" s="165" t="str">
        <f t="shared" ca="1" si="71"/>
        <v>sny_202310_backup_merge_receiptd_sb</v>
      </c>
      <c r="AF125" s="166"/>
      <c r="AG125" s="166"/>
      <c r="AH125" s="166"/>
      <c r="AI125" s="166"/>
      <c r="AJ125" s="166"/>
      <c r="AK125" s="166"/>
      <c r="AL125" s="187"/>
      <c r="AM125" s="165" t="str">
        <f t="shared" ca="1" si="72"/>
        <v>DPCレセプト_傷病レコードテーブルから組入れ条件の第一条件で絞り込んだ結果を格納するテーブル</v>
      </c>
      <c r="AN125" s="166"/>
      <c r="AO125" s="166"/>
      <c r="AP125" s="166"/>
      <c r="AQ125" s="166"/>
      <c r="AR125" s="166"/>
      <c r="AS125" s="166"/>
      <c r="AT125" s="166"/>
      <c r="AU125" s="166"/>
      <c r="AV125" s="166"/>
      <c r="AW125" s="166"/>
      <c r="AX125" s="166"/>
      <c r="AY125" s="166"/>
      <c r="AZ125" s="166"/>
      <c r="BA125" s="166"/>
      <c r="BB125" s="166"/>
      <c r="BC125" s="166"/>
      <c r="BD125" s="166"/>
      <c r="BE125" s="166"/>
      <c r="BF125" s="166"/>
      <c r="BG125" s="166"/>
      <c r="BH125" s="166"/>
      <c r="BI125" s="166"/>
      <c r="BJ125" s="167"/>
      <c r="BK125" s="32" t="str">
        <f t="shared" si="63"/>
        <v>ENT_01_C3-09_バックアップ_DPCレセプト_傷病レコード.sql</v>
      </c>
    </row>
    <row r="126" spans="1:64" ht="37.5" hidden="1" customHeight="1" outlineLevel="1">
      <c r="A126" s="34" t="str">
        <f t="shared" si="70"/>
        <v>バックアップ_DPCレセプト_傷病名レコード</v>
      </c>
      <c r="B126" s="181" t="str">
        <f t="shared" si="8"/>
        <v>01</v>
      </c>
      <c r="C126" s="182"/>
      <c r="D126" s="182"/>
      <c r="E126" s="182"/>
      <c r="F126" s="183"/>
      <c r="G126" s="184" t="s">
        <v>196</v>
      </c>
      <c r="H126" s="185"/>
      <c r="I126" s="185"/>
      <c r="J126" s="185"/>
      <c r="K126" s="185"/>
      <c r="L126" s="185"/>
      <c r="M126" s="185"/>
      <c r="N126" s="186"/>
      <c r="O126" s="79" t="s">
        <v>3105</v>
      </c>
      <c r="P126" s="188" t="s">
        <v>1227</v>
      </c>
      <c r="Q126" s="189"/>
      <c r="R126" s="189"/>
      <c r="S126" s="189"/>
      <c r="T126" s="189"/>
      <c r="U126" s="189"/>
      <c r="V126" s="189"/>
      <c r="W126" s="189"/>
      <c r="X126" s="189"/>
      <c r="Y126" s="189"/>
      <c r="Z126" s="189"/>
      <c r="AA126" s="189"/>
      <c r="AB126" s="189"/>
      <c r="AC126" s="189"/>
      <c r="AD126" s="190"/>
      <c r="AE126" s="165" t="str">
        <f t="shared" ca="1" si="71"/>
        <v>sny_202310_backup_merge_receiptd_sy</v>
      </c>
      <c r="AF126" s="166"/>
      <c r="AG126" s="166"/>
      <c r="AH126" s="166"/>
      <c r="AI126" s="166"/>
      <c r="AJ126" s="166"/>
      <c r="AK126" s="166"/>
      <c r="AL126" s="187"/>
      <c r="AM126" s="165" t="str">
        <f t="shared" ca="1" si="72"/>
        <v>DPCレセプト_傷病名レコードテーブルから組入れ条件の第一条件で絞り込んだ結果を格納するテーブル</v>
      </c>
      <c r="AN126" s="166"/>
      <c r="AO126" s="166"/>
      <c r="AP126" s="166"/>
      <c r="AQ126" s="166"/>
      <c r="AR126" s="166"/>
      <c r="AS126" s="166"/>
      <c r="AT126" s="166"/>
      <c r="AU126" s="166"/>
      <c r="AV126" s="166"/>
      <c r="AW126" s="166"/>
      <c r="AX126" s="166"/>
      <c r="AY126" s="166"/>
      <c r="AZ126" s="166"/>
      <c r="BA126" s="166"/>
      <c r="BB126" s="166"/>
      <c r="BC126" s="166"/>
      <c r="BD126" s="166"/>
      <c r="BE126" s="166"/>
      <c r="BF126" s="166"/>
      <c r="BG126" s="166"/>
      <c r="BH126" s="166"/>
      <c r="BI126" s="166"/>
      <c r="BJ126" s="167"/>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81" t="str">
        <f t="shared" si="8"/>
        <v>01</v>
      </c>
      <c r="C127" s="182"/>
      <c r="D127" s="182"/>
      <c r="E127" s="182"/>
      <c r="F127" s="183"/>
      <c r="G127" s="184" t="s">
        <v>196</v>
      </c>
      <c r="H127" s="185"/>
      <c r="I127" s="185"/>
      <c r="J127" s="185"/>
      <c r="K127" s="185"/>
      <c r="L127" s="185"/>
      <c r="M127" s="185"/>
      <c r="N127" s="186"/>
      <c r="O127" s="79" t="s">
        <v>3106</v>
      </c>
      <c r="P127" s="188" t="s">
        <v>1229</v>
      </c>
      <c r="Q127" s="189"/>
      <c r="R127" s="189"/>
      <c r="S127" s="189"/>
      <c r="T127" s="189"/>
      <c r="U127" s="189"/>
      <c r="V127" s="189"/>
      <c r="W127" s="189"/>
      <c r="X127" s="189"/>
      <c r="Y127" s="189"/>
      <c r="Z127" s="189"/>
      <c r="AA127" s="189"/>
      <c r="AB127" s="189"/>
      <c r="AC127" s="189"/>
      <c r="AD127" s="190"/>
      <c r="AE127" s="165" t="str">
        <f t="shared" ca="1" si="71"/>
        <v>sny_202310_backup_merge_receiptd_si</v>
      </c>
      <c r="AF127" s="166"/>
      <c r="AG127" s="166"/>
      <c r="AH127" s="166"/>
      <c r="AI127" s="166"/>
      <c r="AJ127" s="166"/>
      <c r="AK127" s="166"/>
      <c r="AL127" s="187"/>
      <c r="AM127" s="165" t="str">
        <f t="shared" ca="1" si="72"/>
        <v>DPCレセプト_診療行為レコードテーブルから組入れ条件の第一条件で絞り込んだ結果を格納するテーブル</v>
      </c>
      <c r="AN127" s="166"/>
      <c r="AO127" s="166"/>
      <c r="AP127" s="166"/>
      <c r="AQ127" s="166"/>
      <c r="AR127" s="166"/>
      <c r="AS127" s="166"/>
      <c r="AT127" s="166"/>
      <c r="AU127" s="166"/>
      <c r="AV127" s="166"/>
      <c r="AW127" s="166"/>
      <c r="AX127" s="166"/>
      <c r="AY127" s="166"/>
      <c r="AZ127" s="166"/>
      <c r="BA127" s="166"/>
      <c r="BB127" s="166"/>
      <c r="BC127" s="166"/>
      <c r="BD127" s="166"/>
      <c r="BE127" s="166"/>
      <c r="BF127" s="166"/>
      <c r="BG127" s="166"/>
      <c r="BH127" s="166"/>
      <c r="BI127" s="166"/>
      <c r="BJ127" s="167"/>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81" t="str">
        <f t="shared" si="8"/>
        <v>01</v>
      </c>
      <c r="C128" s="182"/>
      <c r="D128" s="182"/>
      <c r="E128" s="182"/>
      <c r="F128" s="183"/>
      <c r="G128" s="184" t="s">
        <v>196</v>
      </c>
      <c r="H128" s="185"/>
      <c r="I128" s="185"/>
      <c r="J128" s="185"/>
      <c r="K128" s="185"/>
      <c r="L128" s="185"/>
      <c r="M128" s="185"/>
      <c r="N128" s="186"/>
      <c r="O128" s="79" t="s">
        <v>3107</v>
      </c>
      <c r="P128" s="188" t="s">
        <v>1231</v>
      </c>
      <c r="Q128" s="189"/>
      <c r="R128" s="189"/>
      <c r="S128" s="189"/>
      <c r="T128" s="189"/>
      <c r="U128" s="189"/>
      <c r="V128" s="189"/>
      <c r="W128" s="189"/>
      <c r="X128" s="189"/>
      <c r="Y128" s="189"/>
      <c r="Z128" s="189"/>
      <c r="AA128" s="189"/>
      <c r="AB128" s="189"/>
      <c r="AC128" s="189"/>
      <c r="AD128" s="190"/>
      <c r="AE128" s="165" t="str">
        <f t="shared" ca="1" si="71"/>
        <v>sny_202310_backup_merge_receiptd_si_day</v>
      </c>
      <c r="AF128" s="166"/>
      <c r="AG128" s="166"/>
      <c r="AH128" s="166"/>
      <c r="AI128" s="166"/>
      <c r="AJ128" s="166"/>
      <c r="AK128" s="166"/>
      <c r="AL128" s="187"/>
      <c r="AM128" s="165" t="str">
        <f t="shared" ca="1" si="72"/>
        <v>DPCレセプト_診療行為レコード_算定日情報テーブルから組入れ条件の第一条件で絞り込んだ結果を格納するテーブル</v>
      </c>
      <c r="AN128" s="166"/>
      <c r="AO128" s="166"/>
      <c r="AP128" s="166"/>
      <c r="AQ128" s="166"/>
      <c r="AR128" s="166"/>
      <c r="AS128" s="166"/>
      <c r="AT128" s="166"/>
      <c r="AU128" s="166"/>
      <c r="AV128" s="166"/>
      <c r="AW128" s="166"/>
      <c r="AX128" s="166"/>
      <c r="AY128" s="166"/>
      <c r="AZ128" s="166"/>
      <c r="BA128" s="166"/>
      <c r="BB128" s="166"/>
      <c r="BC128" s="166"/>
      <c r="BD128" s="166"/>
      <c r="BE128" s="166"/>
      <c r="BF128" s="166"/>
      <c r="BG128" s="166"/>
      <c r="BH128" s="166"/>
      <c r="BI128" s="166"/>
      <c r="BJ128" s="167"/>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81" t="str">
        <f t="shared" si="8"/>
        <v>01</v>
      </c>
      <c r="C129" s="182"/>
      <c r="D129" s="182"/>
      <c r="E129" s="182"/>
      <c r="F129" s="183"/>
      <c r="G129" s="184" t="s">
        <v>196</v>
      </c>
      <c r="H129" s="185"/>
      <c r="I129" s="185"/>
      <c r="J129" s="185"/>
      <c r="K129" s="185"/>
      <c r="L129" s="185"/>
      <c r="M129" s="185"/>
      <c r="N129" s="186"/>
      <c r="O129" s="79" t="s">
        <v>3108</v>
      </c>
      <c r="P129" s="188" t="s">
        <v>1234</v>
      </c>
      <c r="Q129" s="189"/>
      <c r="R129" s="189"/>
      <c r="S129" s="189"/>
      <c r="T129" s="189"/>
      <c r="U129" s="189"/>
      <c r="V129" s="189"/>
      <c r="W129" s="189"/>
      <c r="X129" s="189"/>
      <c r="Y129" s="189"/>
      <c r="Z129" s="189"/>
      <c r="AA129" s="189"/>
      <c r="AB129" s="189"/>
      <c r="AC129" s="189"/>
      <c r="AD129" s="190"/>
      <c r="AE129" s="165" t="str">
        <f t="shared" ca="1" si="71"/>
        <v>sny_202310_backup_merge_receiptd_iy</v>
      </c>
      <c r="AF129" s="166"/>
      <c r="AG129" s="166"/>
      <c r="AH129" s="166"/>
      <c r="AI129" s="166"/>
      <c r="AJ129" s="166"/>
      <c r="AK129" s="166"/>
      <c r="AL129" s="187"/>
      <c r="AM129" s="165" t="str">
        <f t="shared" ca="1" si="72"/>
        <v>DPCレセプト_医薬品レコードテーブルから組入れ条件の第一条件で絞り込んだ結果を格納するテーブル</v>
      </c>
      <c r="AN129" s="166"/>
      <c r="AO129" s="166"/>
      <c r="AP129" s="166"/>
      <c r="AQ129" s="166"/>
      <c r="AR129" s="166"/>
      <c r="AS129" s="166"/>
      <c r="AT129" s="166"/>
      <c r="AU129" s="166"/>
      <c r="AV129" s="166"/>
      <c r="AW129" s="166"/>
      <c r="AX129" s="166"/>
      <c r="AY129" s="166"/>
      <c r="AZ129" s="166"/>
      <c r="BA129" s="166"/>
      <c r="BB129" s="166"/>
      <c r="BC129" s="166"/>
      <c r="BD129" s="166"/>
      <c r="BE129" s="166"/>
      <c r="BF129" s="166"/>
      <c r="BG129" s="166"/>
      <c r="BH129" s="166"/>
      <c r="BI129" s="166"/>
      <c r="BJ129" s="167"/>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81" t="str">
        <f t="shared" si="8"/>
        <v>01</v>
      </c>
      <c r="C130" s="182"/>
      <c r="D130" s="182"/>
      <c r="E130" s="182"/>
      <c r="F130" s="183"/>
      <c r="G130" s="184" t="s">
        <v>196</v>
      </c>
      <c r="H130" s="185"/>
      <c r="I130" s="185"/>
      <c r="J130" s="185"/>
      <c r="K130" s="185"/>
      <c r="L130" s="185"/>
      <c r="M130" s="185"/>
      <c r="N130" s="186"/>
      <c r="O130" s="79" t="s">
        <v>3109</v>
      </c>
      <c r="P130" s="188" t="s">
        <v>1236</v>
      </c>
      <c r="Q130" s="189"/>
      <c r="R130" s="189"/>
      <c r="S130" s="189"/>
      <c r="T130" s="189"/>
      <c r="U130" s="189"/>
      <c r="V130" s="189"/>
      <c r="W130" s="189"/>
      <c r="X130" s="189"/>
      <c r="Y130" s="189"/>
      <c r="Z130" s="189"/>
      <c r="AA130" s="189"/>
      <c r="AB130" s="189"/>
      <c r="AC130" s="189"/>
      <c r="AD130" s="190"/>
      <c r="AE130" s="165" t="str">
        <f t="shared" ca="1" si="71"/>
        <v>sny_202310_backup_merge_receiptd_iy_day</v>
      </c>
      <c r="AF130" s="166"/>
      <c r="AG130" s="166"/>
      <c r="AH130" s="166"/>
      <c r="AI130" s="166"/>
      <c r="AJ130" s="166"/>
      <c r="AK130" s="166"/>
      <c r="AL130" s="187"/>
      <c r="AM130" s="165" t="str">
        <f t="shared" ca="1" si="72"/>
        <v>DPCレセプト_医薬品レコード_算定日情報テーブルから組入れ条件の第一条件で絞り込んだ結果を格納するテーブル</v>
      </c>
      <c r="AN130" s="166"/>
      <c r="AO130" s="166"/>
      <c r="AP130" s="166"/>
      <c r="AQ130" s="166"/>
      <c r="AR130" s="166"/>
      <c r="AS130" s="166"/>
      <c r="AT130" s="166"/>
      <c r="AU130" s="166"/>
      <c r="AV130" s="166"/>
      <c r="AW130" s="166"/>
      <c r="AX130" s="166"/>
      <c r="AY130" s="166"/>
      <c r="AZ130" s="166"/>
      <c r="BA130" s="166"/>
      <c r="BB130" s="166"/>
      <c r="BC130" s="166"/>
      <c r="BD130" s="166"/>
      <c r="BE130" s="166"/>
      <c r="BF130" s="166"/>
      <c r="BG130" s="166"/>
      <c r="BH130" s="166"/>
      <c r="BI130" s="166"/>
      <c r="BJ130" s="167"/>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81" t="str">
        <f t="shared" si="8"/>
        <v>01</v>
      </c>
      <c r="C131" s="182"/>
      <c r="D131" s="182"/>
      <c r="E131" s="182"/>
      <c r="F131" s="183"/>
      <c r="G131" s="184" t="s">
        <v>196</v>
      </c>
      <c r="H131" s="185"/>
      <c r="I131" s="185"/>
      <c r="J131" s="185"/>
      <c r="K131" s="185"/>
      <c r="L131" s="185"/>
      <c r="M131" s="185"/>
      <c r="N131" s="186"/>
      <c r="O131" s="79" t="s">
        <v>3110</v>
      </c>
      <c r="P131" s="188" t="s">
        <v>1238</v>
      </c>
      <c r="Q131" s="189"/>
      <c r="R131" s="189"/>
      <c r="S131" s="189"/>
      <c r="T131" s="189"/>
      <c r="U131" s="189"/>
      <c r="V131" s="189"/>
      <c r="W131" s="189"/>
      <c r="X131" s="189"/>
      <c r="Y131" s="189"/>
      <c r="Z131" s="189"/>
      <c r="AA131" s="189"/>
      <c r="AB131" s="189"/>
      <c r="AC131" s="189"/>
      <c r="AD131" s="190"/>
      <c r="AE131" s="165" t="str">
        <f t="shared" ca="1" si="68"/>
        <v>sny_202310_backup_merge_receiptd_tr</v>
      </c>
      <c r="AF131" s="166"/>
      <c r="AG131" s="166"/>
      <c r="AH131" s="166"/>
      <c r="AI131" s="166"/>
      <c r="AJ131" s="166"/>
      <c r="AK131" s="166"/>
      <c r="AL131" s="187"/>
      <c r="AM131" s="165" t="str">
        <f t="shared" ca="1" si="69"/>
        <v>DPCレセプト_臓器提供者レセプト情報レコードテーブルから組入れ条件の第一条件で絞り込んだ結果を格納するテーブル</v>
      </c>
      <c r="AN131" s="166"/>
      <c r="AO131" s="166"/>
      <c r="AP131" s="166"/>
      <c r="AQ131" s="166"/>
      <c r="AR131" s="166"/>
      <c r="AS131" s="166"/>
      <c r="AT131" s="166"/>
      <c r="AU131" s="166"/>
      <c r="AV131" s="166"/>
      <c r="AW131" s="166"/>
      <c r="AX131" s="166"/>
      <c r="AY131" s="166"/>
      <c r="AZ131" s="166"/>
      <c r="BA131" s="166"/>
      <c r="BB131" s="166"/>
      <c r="BC131" s="166"/>
      <c r="BD131" s="166"/>
      <c r="BE131" s="166"/>
      <c r="BF131" s="166"/>
      <c r="BG131" s="166"/>
      <c r="BH131" s="166"/>
      <c r="BI131" s="166"/>
      <c r="BJ131" s="167"/>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81" t="str">
        <f t="shared" si="8"/>
        <v>01</v>
      </c>
      <c r="C132" s="182"/>
      <c r="D132" s="182"/>
      <c r="E132" s="182"/>
      <c r="F132" s="183"/>
      <c r="G132" s="184" t="s">
        <v>196</v>
      </c>
      <c r="H132" s="185"/>
      <c r="I132" s="185"/>
      <c r="J132" s="185"/>
      <c r="K132" s="185"/>
      <c r="L132" s="185"/>
      <c r="M132" s="185"/>
      <c r="N132" s="186"/>
      <c r="O132" s="79" t="s">
        <v>3111</v>
      </c>
      <c r="P132" s="188" t="s">
        <v>1240</v>
      </c>
      <c r="Q132" s="189"/>
      <c r="R132" s="189"/>
      <c r="S132" s="189"/>
      <c r="T132" s="189"/>
      <c r="U132" s="189"/>
      <c r="V132" s="189"/>
      <c r="W132" s="189"/>
      <c r="X132" s="189"/>
      <c r="Y132" s="189"/>
      <c r="Z132" s="189"/>
      <c r="AA132" s="189"/>
      <c r="AB132" s="189"/>
      <c r="AC132" s="189"/>
      <c r="AD132" s="190"/>
      <c r="AE132" s="165" t="str">
        <f t="shared" ca="1" si="68"/>
        <v>sny_202310_backup_merge_mml_pi_master</v>
      </c>
      <c r="AF132" s="166"/>
      <c r="AG132" s="166"/>
      <c r="AH132" s="166"/>
      <c r="AI132" s="166"/>
      <c r="AJ132" s="166"/>
      <c r="AK132" s="166"/>
      <c r="AL132" s="187"/>
      <c r="AM132" s="165" t="str">
        <f t="shared" ca="1" si="69"/>
        <v>患者情報モジュール_患者情報テーブルから組入れ条件の第一条件で絞り込んだ結果を格納するテーブル</v>
      </c>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7"/>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81" t="str">
        <f t="shared" si="8"/>
        <v>01</v>
      </c>
      <c r="C133" s="182"/>
      <c r="D133" s="182"/>
      <c r="E133" s="182"/>
      <c r="F133" s="183"/>
      <c r="G133" s="184" t="s">
        <v>196</v>
      </c>
      <c r="H133" s="185"/>
      <c r="I133" s="185"/>
      <c r="J133" s="185"/>
      <c r="K133" s="185"/>
      <c r="L133" s="185"/>
      <c r="M133" s="185"/>
      <c r="N133" s="186"/>
      <c r="O133" s="79" t="s">
        <v>3112</v>
      </c>
      <c r="P133" s="188" t="s">
        <v>1298</v>
      </c>
      <c r="Q133" s="189"/>
      <c r="R133" s="189"/>
      <c r="S133" s="189"/>
      <c r="T133" s="189"/>
      <c r="U133" s="189"/>
      <c r="V133" s="189"/>
      <c r="W133" s="189"/>
      <c r="X133" s="189"/>
      <c r="Y133" s="189"/>
      <c r="Z133" s="189"/>
      <c r="AA133" s="189"/>
      <c r="AB133" s="189"/>
      <c r="AC133" s="189"/>
      <c r="AD133" s="190"/>
      <c r="AE133" s="165" t="str">
        <f t="shared" ca="1" si="68"/>
        <v>sny_202310_backup_merge_mml_rd_register</v>
      </c>
      <c r="AF133" s="166"/>
      <c r="AG133" s="166"/>
      <c r="AH133" s="166"/>
      <c r="AI133" s="166"/>
      <c r="AJ133" s="166"/>
      <c r="AK133" s="166"/>
      <c r="AL133" s="187"/>
      <c r="AM133" s="165" t="str">
        <f t="shared" ca="1" si="69"/>
        <v>診断履歴情報モジュール_診断履歴情報レコードテーブルから組入れ条件の第一条件で絞り込んだ結果を格納するテーブル</v>
      </c>
      <c r="AN133" s="166"/>
      <c r="AO133" s="166"/>
      <c r="AP133" s="166"/>
      <c r="AQ133" s="166"/>
      <c r="AR133" s="166"/>
      <c r="AS133" s="166"/>
      <c r="AT133" s="166"/>
      <c r="AU133" s="166"/>
      <c r="AV133" s="166"/>
      <c r="AW133" s="166"/>
      <c r="AX133" s="166"/>
      <c r="AY133" s="166"/>
      <c r="AZ133" s="166"/>
      <c r="BA133" s="166"/>
      <c r="BB133" s="166"/>
      <c r="BC133" s="166"/>
      <c r="BD133" s="166"/>
      <c r="BE133" s="166"/>
      <c r="BF133" s="166"/>
      <c r="BG133" s="166"/>
      <c r="BH133" s="166"/>
      <c r="BI133" s="166"/>
      <c r="BJ133" s="167"/>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81" t="str">
        <f t="shared" si="8"/>
        <v>01</v>
      </c>
      <c r="C134" s="182"/>
      <c r="D134" s="182"/>
      <c r="E134" s="182"/>
      <c r="F134" s="183"/>
      <c r="G134" s="184" t="s">
        <v>196</v>
      </c>
      <c r="H134" s="185"/>
      <c r="I134" s="185"/>
      <c r="J134" s="185"/>
      <c r="K134" s="185"/>
      <c r="L134" s="185"/>
      <c r="M134" s="185"/>
      <c r="N134" s="186"/>
      <c r="O134" s="79" t="s">
        <v>3113</v>
      </c>
      <c r="P134" s="188" t="s">
        <v>1317</v>
      </c>
      <c r="Q134" s="189"/>
      <c r="R134" s="189"/>
      <c r="S134" s="189"/>
      <c r="T134" s="189"/>
      <c r="U134" s="189"/>
      <c r="V134" s="189"/>
      <c r="W134" s="189"/>
      <c r="X134" s="189"/>
      <c r="Y134" s="189"/>
      <c r="Z134" s="189"/>
      <c r="AA134" s="189"/>
      <c r="AB134" s="189"/>
      <c r="AC134" s="189"/>
      <c r="AD134" s="190"/>
      <c r="AE134" s="165" t="str">
        <f t="shared" ca="1" si="68"/>
        <v>sny_202310_backup_merge_mml_rd_byomei</v>
      </c>
      <c r="AF134" s="166"/>
      <c r="AG134" s="166"/>
      <c r="AH134" s="166"/>
      <c r="AI134" s="166"/>
      <c r="AJ134" s="166"/>
      <c r="AK134" s="166"/>
      <c r="AL134" s="187"/>
      <c r="AM134" s="165" t="str">
        <f t="shared" ca="1" si="69"/>
        <v>診断履歴情報モジュール_診断病名レコードテーブルから組入れ条件の第一条件で絞り込んだ結果を格納するテーブル</v>
      </c>
      <c r="AN134" s="166"/>
      <c r="AO134" s="166"/>
      <c r="AP134" s="166"/>
      <c r="AQ134" s="166"/>
      <c r="AR134" s="166"/>
      <c r="AS134" s="166"/>
      <c r="AT134" s="166"/>
      <c r="AU134" s="166"/>
      <c r="AV134" s="166"/>
      <c r="AW134" s="166"/>
      <c r="AX134" s="166"/>
      <c r="AY134" s="166"/>
      <c r="AZ134" s="166"/>
      <c r="BA134" s="166"/>
      <c r="BB134" s="166"/>
      <c r="BC134" s="166"/>
      <c r="BD134" s="166"/>
      <c r="BE134" s="166"/>
      <c r="BF134" s="166"/>
      <c r="BG134" s="166"/>
      <c r="BH134" s="166"/>
      <c r="BI134" s="166"/>
      <c r="BJ134" s="167"/>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81" t="str">
        <f t="shared" si="8"/>
        <v>01</v>
      </c>
      <c r="C135" s="182"/>
      <c r="D135" s="182"/>
      <c r="E135" s="182"/>
      <c r="F135" s="183"/>
      <c r="G135" s="184" t="s">
        <v>196</v>
      </c>
      <c r="H135" s="185"/>
      <c r="I135" s="185"/>
      <c r="J135" s="185"/>
      <c r="K135" s="185"/>
      <c r="L135" s="185"/>
      <c r="M135" s="185"/>
      <c r="N135" s="186"/>
      <c r="O135" s="79" t="s">
        <v>3114</v>
      </c>
      <c r="P135" s="188" t="s">
        <v>1331</v>
      </c>
      <c r="Q135" s="189"/>
      <c r="R135" s="189"/>
      <c r="S135" s="189"/>
      <c r="T135" s="189"/>
      <c r="U135" s="189"/>
      <c r="V135" s="189"/>
      <c r="W135" s="189"/>
      <c r="X135" s="189"/>
      <c r="Y135" s="189"/>
      <c r="Z135" s="189"/>
      <c r="AA135" s="189"/>
      <c r="AB135" s="189"/>
      <c r="AC135" s="189"/>
      <c r="AD135" s="190"/>
      <c r="AE135" s="165" t="str">
        <f t="shared" ca="1" si="68"/>
        <v>sny_202310_backup_merge_mml_rd_category</v>
      </c>
      <c r="AF135" s="166"/>
      <c r="AG135" s="166"/>
      <c r="AH135" s="166"/>
      <c r="AI135" s="166"/>
      <c r="AJ135" s="166"/>
      <c r="AK135" s="166"/>
      <c r="AL135" s="187"/>
      <c r="AM135" s="165" t="str">
        <f t="shared" ca="1" si="69"/>
        <v>診断履歴情報モジュール_診断分類レコードテーブルから組入れ条件の第一条件で絞り込んだ結果を格納するテーブル</v>
      </c>
      <c r="AN135" s="166"/>
      <c r="AO135" s="166"/>
      <c r="AP135" s="166"/>
      <c r="AQ135" s="166"/>
      <c r="AR135" s="166"/>
      <c r="AS135" s="166"/>
      <c r="AT135" s="166"/>
      <c r="AU135" s="166"/>
      <c r="AV135" s="166"/>
      <c r="AW135" s="166"/>
      <c r="AX135" s="166"/>
      <c r="AY135" s="166"/>
      <c r="AZ135" s="166"/>
      <c r="BA135" s="166"/>
      <c r="BB135" s="166"/>
      <c r="BC135" s="166"/>
      <c r="BD135" s="166"/>
      <c r="BE135" s="166"/>
      <c r="BF135" s="166"/>
      <c r="BG135" s="166"/>
      <c r="BH135" s="166"/>
      <c r="BI135" s="166"/>
      <c r="BJ135" s="167"/>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81" t="str">
        <f t="shared" si="8"/>
        <v>01</v>
      </c>
      <c r="C136" s="182"/>
      <c r="D136" s="182"/>
      <c r="E136" s="182"/>
      <c r="F136" s="183"/>
      <c r="G136" s="184" t="s">
        <v>196</v>
      </c>
      <c r="H136" s="185"/>
      <c r="I136" s="185"/>
      <c r="J136" s="185"/>
      <c r="K136" s="185"/>
      <c r="L136" s="185"/>
      <c r="M136" s="185"/>
      <c r="N136" s="186"/>
      <c r="O136" s="79" t="s">
        <v>3115</v>
      </c>
      <c r="P136" s="188" t="s">
        <v>1342</v>
      </c>
      <c r="Q136" s="189"/>
      <c r="R136" s="189"/>
      <c r="S136" s="189"/>
      <c r="T136" s="189"/>
      <c r="U136" s="189"/>
      <c r="V136" s="189"/>
      <c r="W136" s="189"/>
      <c r="X136" s="189"/>
      <c r="Y136" s="189"/>
      <c r="Z136" s="189"/>
      <c r="AA136" s="189"/>
      <c r="AB136" s="189"/>
      <c r="AC136" s="189"/>
      <c r="AD136" s="190"/>
      <c r="AE136" s="165" t="str">
        <f t="shared" ca="1" si="68"/>
        <v>sny_202310_backup_merge_mml_pc_progress_course</v>
      </c>
      <c r="AF136" s="166"/>
      <c r="AG136" s="166"/>
      <c r="AH136" s="166"/>
      <c r="AI136" s="166"/>
      <c r="AJ136" s="166"/>
      <c r="AK136" s="166"/>
      <c r="AL136" s="187"/>
      <c r="AM136" s="165" t="str">
        <f t="shared" ca="1" si="69"/>
        <v>経過記録情報モジュール_経過記録情報レコードテーブルから組入れ条件の第一条件で絞り込んだ結果を格納するテーブル</v>
      </c>
      <c r="AN136" s="166"/>
      <c r="AO136" s="166"/>
      <c r="AP136" s="166"/>
      <c r="AQ136" s="166"/>
      <c r="AR136" s="166"/>
      <c r="AS136" s="166"/>
      <c r="AT136" s="166"/>
      <c r="AU136" s="166"/>
      <c r="AV136" s="166"/>
      <c r="AW136" s="166"/>
      <c r="AX136" s="166"/>
      <c r="AY136" s="166"/>
      <c r="AZ136" s="166"/>
      <c r="BA136" s="166"/>
      <c r="BB136" s="166"/>
      <c r="BC136" s="166"/>
      <c r="BD136" s="166"/>
      <c r="BE136" s="166"/>
      <c r="BF136" s="166"/>
      <c r="BG136" s="166"/>
      <c r="BH136" s="166"/>
      <c r="BI136" s="166"/>
      <c r="BJ136" s="167"/>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81" t="str">
        <f t="shared" si="8"/>
        <v>01</v>
      </c>
      <c r="C137" s="182"/>
      <c r="D137" s="182"/>
      <c r="E137" s="182"/>
      <c r="F137" s="183"/>
      <c r="G137" s="184" t="s">
        <v>196</v>
      </c>
      <c r="H137" s="185"/>
      <c r="I137" s="185"/>
      <c r="J137" s="185"/>
      <c r="K137" s="185"/>
      <c r="L137" s="185"/>
      <c r="M137" s="185"/>
      <c r="N137" s="186"/>
      <c r="O137" s="79" t="s">
        <v>3116</v>
      </c>
      <c r="P137" s="188" t="s">
        <v>1350</v>
      </c>
      <c r="Q137" s="189"/>
      <c r="R137" s="189"/>
      <c r="S137" s="189"/>
      <c r="T137" s="189"/>
      <c r="U137" s="189"/>
      <c r="V137" s="189"/>
      <c r="W137" s="189"/>
      <c r="X137" s="189"/>
      <c r="Y137" s="189"/>
      <c r="Z137" s="189"/>
      <c r="AA137" s="189"/>
      <c r="AB137" s="189"/>
      <c r="AC137" s="189"/>
      <c r="AD137" s="190"/>
      <c r="AE137" s="165" t="str">
        <f t="shared" ca="1" si="68"/>
        <v>sny_202310_backup_merge_mml_pc_problem</v>
      </c>
      <c r="AF137" s="166"/>
      <c r="AG137" s="166"/>
      <c r="AH137" s="166"/>
      <c r="AI137" s="166"/>
      <c r="AJ137" s="166"/>
      <c r="AK137" s="166"/>
      <c r="AL137" s="187"/>
      <c r="AM137" s="165" t="str">
        <f t="shared" ca="1" si="69"/>
        <v>経過記録情報モジュール_プロブレムレコードテーブルから組入れ条件の第一条件で絞り込んだ結果を格納するテーブル</v>
      </c>
      <c r="AN137" s="166"/>
      <c r="AO137" s="166"/>
      <c r="AP137" s="166"/>
      <c r="AQ137" s="166"/>
      <c r="AR137" s="166"/>
      <c r="AS137" s="166"/>
      <c r="AT137" s="166"/>
      <c r="AU137" s="166"/>
      <c r="AV137" s="166"/>
      <c r="AW137" s="166"/>
      <c r="AX137" s="166"/>
      <c r="AY137" s="166"/>
      <c r="AZ137" s="166"/>
      <c r="BA137" s="166"/>
      <c r="BB137" s="166"/>
      <c r="BC137" s="166"/>
      <c r="BD137" s="166"/>
      <c r="BE137" s="166"/>
      <c r="BF137" s="166"/>
      <c r="BG137" s="166"/>
      <c r="BH137" s="166"/>
      <c r="BI137" s="166"/>
      <c r="BJ137" s="167"/>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81" t="str">
        <f t="shared" si="8"/>
        <v>01</v>
      </c>
      <c r="C138" s="182"/>
      <c r="D138" s="182"/>
      <c r="E138" s="182"/>
      <c r="F138" s="183"/>
      <c r="G138" s="184" t="s">
        <v>196</v>
      </c>
      <c r="H138" s="185"/>
      <c r="I138" s="185"/>
      <c r="J138" s="185"/>
      <c r="K138" s="185"/>
      <c r="L138" s="185"/>
      <c r="M138" s="185"/>
      <c r="N138" s="186"/>
      <c r="O138" s="79" t="s">
        <v>3117</v>
      </c>
      <c r="P138" s="188" t="s">
        <v>1388</v>
      </c>
      <c r="Q138" s="189"/>
      <c r="R138" s="189"/>
      <c r="S138" s="189"/>
      <c r="T138" s="189"/>
      <c r="U138" s="189"/>
      <c r="V138" s="189"/>
      <c r="W138" s="189"/>
      <c r="X138" s="189"/>
      <c r="Y138" s="189"/>
      <c r="Z138" s="189"/>
      <c r="AA138" s="189"/>
      <c r="AB138" s="189"/>
      <c r="AC138" s="189"/>
      <c r="AD138" s="190"/>
      <c r="AE138" s="165" t="str">
        <f t="shared" ca="1" si="68"/>
        <v>sny_202310_backup_merge_mml_pc_physical_exam</v>
      </c>
      <c r="AF138" s="166"/>
      <c r="AG138" s="166"/>
      <c r="AH138" s="166"/>
      <c r="AI138" s="166"/>
      <c r="AJ138" s="166"/>
      <c r="AK138" s="166"/>
      <c r="AL138" s="187"/>
      <c r="AM138" s="165" t="str">
        <f t="shared" ca="1" si="69"/>
        <v>経過記録情報モジュール_身体所見レコードテーブルから組入れ条件の第一条件で絞り込んだ結果を格納するテーブル</v>
      </c>
      <c r="AN138" s="166"/>
      <c r="AO138" s="166"/>
      <c r="AP138" s="166"/>
      <c r="AQ138" s="166"/>
      <c r="AR138" s="166"/>
      <c r="AS138" s="166"/>
      <c r="AT138" s="166"/>
      <c r="AU138" s="166"/>
      <c r="AV138" s="166"/>
      <c r="AW138" s="166"/>
      <c r="AX138" s="166"/>
      <c r="AY138" s="166"/>
      <c r="AZ138" s="166"/>
      <c r="BA138" s="166"/>
      <c r="BB138" s="166"/>
      <c r="BC138" s="166"/>
      <c r="BD138" s="166"/>
      <c r="BE138" s="166"/>
      <c r="BF138" s="166"/>
      <c r="BG138" s="166"/>
      <c r="BH138" s="166"/>
      <c r="BI138" s="166"/>
      <c r="BJ138" s="167"/>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81" t="str">
        <f t="shared" si="8"/>
        <v>01</v>
      </c>
      <c r="C139" s="182"/>
      <c r="D139" s="182"/>
      <c r="E139" s="182"/>
      <c r="F139" s="183"/>
      <c r="G139" s="184" t="s">
        <v>196</v>
      </c>
      <c r="H139" s="185"/>
      <c r="I139" s="185"/>
      <c r="J139" s="185"/>
      <c r="K139" s="185"/>
      <c r="L139" s="185"/>
      <c r="M139" s="185"/>
      <c r="N139" s="186"/>
      <c r="O139" s="79" t="s">
        <v>3118</v>
      </c>
      <c r="P139" s="188" t="s">
        <v>1402</v>
      </c>
      <c r="Q139" s="189"/>
      <c r="R139" s="189"/>
      <c r="S139" s="189"/>
      <c r="T139" s="189"/>
      <c r="U139" s="189"/>
      <c r="V139" s="189"/>
      <c r="W139" s="189"/>
      <c r="X139" s="189"/>
      <c r="Y139" s="189"/>
      <c r="Z139" s="189"/>
      <c r="AA139" s="189"/>
      <c r="AB139" s="189"/>
      <c r="AC139" s="189"/>
      <c r="AD139" s="190"/>
      <c r="AE139" s="165" t="str">
        <f t="shared" ca="1" si="68"/>
        <v>sny_202310_backup_merge_mml_pc_assessment</v>
      </c>
      <c r="AF139" s="166"/>
      <c r="AG139" s="166"/>
      <c r="AH139" s="166"/>
      <c r="AI139" s="166"/>
      <c r="AJ139" s="166"/>
      <c r="AK139" s="166"/>
      <c r="AL139" s="187"/>
      <c r="AM139" s="165" t="str">
        <f t="shared" ca="1" si="69"/>
        <v>経過記録情報モジュール_アセスメントレコードテーブルから組入れ条件の第一条件で絞り込んだ結果を格納するテーブル</v>
      </c>
      <c r="AN139" s="166"/>
      <c r="AO139" s="166"/>
      <c r="AP139" s="166"/>
      <c r="AQ139" s="166"/>
      <c r="AR139" s="166"/>
      <c r="AS139" s="166"/>
      <c r="AT139" s="166"/>
      <c r="AU139" s="166"/>
      <c r="AV139" s="166"/>
      <c r="AW139" s="166"/>
      <c r="AX139" s="166"/>
      <c r="AY139" s="166"/>
      <c r="AZ139" s="166"/>
      <c r="BA139" s="166"/>
      <c r="BB139" s="166"/>
      <c r="BC139" s="166"/>
      <c r="BD139" s="166"/>
      <c r="BE139" s="166"/>
      <c r="BF139" s="166"/>
      <c r="BG139" s="166"/>
      <c r="BH139" s="166"/>
      <c r="BI139" s="166"/>
      <c r="BJ139" s="167"/>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81" t="str">
        <f t="shared" si="8"/>
        <v>01</v>
      </c>
      <c r="C140" s="182"/>
      <c r="D140" s="182"/>
      <c r="E140" s="182"/>
      <c r="F140" s="183"/>
      <c r="G140" s="184" t="s">
        <v>196</v>
      </c>
      <c r="H140" s="185"/>
      <c r="I140" s="185"/>
      <c r="J140" s="185"/>
      <c r="K140" s="185"/>
      <c r="L140" s="185"/>
      <c r="M140" s="185"/>
      <c r="N140" s="186"/>
      <c r="O140" s="79" t="s">
        <v>3119</v>
      </c>
      <c r="P140" s="188" t="s">
        <v>1410</v>
      </c>
      <c r="Q140" s="189"/>
      <c r="R140" s="189"/>
      <c r="S140" s="189"/>
      <c r="T140" s="189"/>
      <c r="U140" s="189"/>
      <c r="V140" s="189"/>
      <c r="W140" s="189"/>
      <c r="X140" s="189"/>
      <c r="Y140" s="189"/>
      <c r="Z140" s="189"/>
      <c r="AA140" s="189"/>
      <c r="AB140" s="189"/>
      <c r="AC140" s="189"/>
      <c r="AD140" s="190"/>
      <c r="AE140" s="165" t="str">
        <f t="shared" ca="1" si="68"/>
        <v>sny_202310_backup_merge_mml_pc_external_reference</v>
      </c>
      <c r="AF140" s="166"/>
      <c r="AG140" s="166"/>
      <c r="AH140" s="166"/>
      <c r="AI140" s="166"/>
      <c r="AJ140" s="166"/>
      <c r="AK140" s="166"/>
      <c r="AL140" s="187"/>
      <c r="AM140" s="165" t="str">
        <f t="shared" ca="1" si="69"/>
        <v>経過記録情報モジュール_外部参照レコードテーブルから組入れ条件の第一条件で絞り込んだ結果を格納するテーブル</v>
      </c>
      <c r="AN140" s="166"/>
      <c r="AO140" s="166"/>
      <c r="AP140" s="166"/>
      <c r="AQ140" s="166"/>
      <c r="AR140" s="166"/>
      <c r="AS140" s="166"/>
      <c r="AT140" s="166"/>
      <c r="AU140" s="166"/>
      <c r="AV140" s="166"/>
      <c r="AW140" s="166"/>
      <c r="AX140" s="166"/>
      <c r="AY140" s="166"/>
      <c r="AZ140" s="166"/>
      <c r="BA140" s="166"/>
      <c r="BB140" s="166"/>
      <c r="BC140" s="166"/>
      <c r="BD140" s="166"/>
      <c r="BE140" s="166"/>
      <c r="BF140" s="166"/>
      <c r="BG140" s="166"/>
      <c r="BH140" s="166"/>
      <c r="BI140" s="166"/>
      <c r="BJ140" s="167"/>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81" t="str">
        <f t="shared" si="8"/>
        <v>01</v>
      </c>
      <c r="C141" s="182"/>
      <c r="D141" s="182"/>
      <c r="E141" s="182"/>
      <c r="F141" s="183"/>
      <c r="G141" s="184" t="s">
        <v>196</v>
      </c>
      <c r="H141" s="185"/>
      <c r="I141" s="185"/>
      <c r="J141" s="185"/>
      <c r="K141" s="185"/>
      <c r="L141" s="185"/>
      <c r="M141" s="185"/>
      <c r="N141" s="186"/>
      <c r="O141" s="79" t="s">
        <v>3120</v>
      </c>
      <c r="P141" s="188" t="s">
        <v>1433</v>
      </c>
      <c r="Q141" s="189"/>
      <c r="R141" s="189"/>
      <c r="S141" s="189"/>
      <c r="T141" s="189"/>
      <c r="U141" s="189"/>
      <c r="V141" s="189"/>
      <c r="W141" s="189"/>
      <c r="X141" s="189"/>
      <c r="Y141" s="189"/>
      <c r="Z141" s="189"/>
      <c r="AA141" s="189"/>
      <c r="AB141" s="189"/>
      <c r="AC141" s="189"/>
      <c r="AD141" s="190"/>
      <c r="AE141" s="165" t="str">
        <f t="shared" ca="1" si="68"/>
        <v>sny_202310_backup_merge_mml_sm_summary</v>
      </c>
      <c r="AF141" s="166"/>
      <c r="AG141" s="166"/>
      <c r="AH141" s="166"/>
      <c r="AI141" s="166"/>
      <c r="AJ141" s="166"/>
      <c r="AK141" s="166"/>
      <c r="AL141" s="187"/>
      <c r="AM141" s="165" t="str">
        <f t="shared" ca="1" si="69"/>
        <v>臨床サマリーモジュール_臨床サマリー情報レコードテーブルから組入れ条件の第一条件で絞り込んだ結果を格納するテーブル</v>
      </c>
      <c r="AN141" s="166"/>
      <c r="AO141" s="166"/>
      <c r="AP141" s="166"/>
      <c r="AQ141" s="166"/>
      <c r="AR141" s="166"/>
      <c r="AS141" s="166"/>
      <c r="AT141" s="166"/>
      <c r="AU141" s="166"/>
      <c r="AV141" s="166"/>
      <c r="AW141" s="166"/>
      <c r="AX141" s="166"/>
      <c r="AY141" s="166"/>
      <c r="AZ141" s="166"/>
      <c r="BA141" s="166"/>
      <c r="BB141" s="166"/>
      <c r="BC141" s="166"/>
      <c r="BD141" s="166"/>
      <c r="BE141" s="166"/>
      <c r="BF141" s="166"/>
      <c r="BG141" s="166"/>
      <c r="BH141" s="166"/>
      <c r="BI141" s="166"/>
      <c r="BJ141" s="167"/>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81" t="str">
        <f t="shared" si="8"/>
        <v>01</v>
      </c>
      <c r="C142" s="182"/>
      <c r="D142" s="182"/>
      <c r="E142" s="182"/>
      <c r="F142" s="183"/>
      <c r="G142" s="184" t="s">
        <v>196</v>
      </c>
      <c r="H142" s="185"/>
      <c r="I142" s="185"/>
      <c r="J142" s="185"/>
      <c r="K142" s="185"/>
      <c r="L142" s="185"/>
      <c r="M142" s="185"/>
      <c r="N142" s="186"/>
      <c r="O142" s="79" t="s">
        <v>3121</v>
      </c>
      <c r="P142" s="188" t="s">
        <v>1475</v>
      </c>
      <c r="Q142" s="189"/>
      <c r="R142" s="189"/>
      <c r="S142" s="189"/>
      <c r="T142" s="189"/>
      <c r="U142" s="189"/>
      <c r="V142" s="189"/>
      <c r="W142" s="189"/>
      <c r="X142" s="189"/>
      <c r="Y142" s="189"/>
      <c r="Z142" s="189"/>
      <c r="AA142" s="189"/>
      <c r="AB142" s="189"/>
      <c r="AC142" s="189"/>
      <c r="AD142" s="190"/>
      <c r="AE142" s="165" t="str">
        <f t="shared" ca="1" si="68"/>
        <v>sny_202310_backup_merge_mml_sm_out_patient</v>
      </c>
      <c r="AF142" s="166"/>
      <c r="AG142" s="166"/>
      <c r="AH142" s="166"/>
      <c r="AI142" s="166"/>
      <c r="AJ142" s="166"/>
      <c r="AK142" s="166"/>
      <c r="AL142" s="187"/>
      <c r="AM142" s="165" t="str">
        <f t="shared" ca="1" si="69"/>
        <v>臨床サマリーモジュール_外来受診レコードテーブルから組入れ条件の第一条件で絞り込んだ結果を格納するテーブル</v>
      </c>
      <c r="AN142" s="166"/>
      <c r="AO142" s="166"/>
      <c r="AP142" s="166"/>
      <c r="AQ142" s="166"/>
      <c r="AR142" s="166"/>
      <c r="AS142" s="166"/>
      <c r="AT142" s="166"/>
      <c r="AU142" s="166"/>
      <c r="AV142" s="166"/>
      <c r="AW142" s="166"/>
      <c r="AX142" s="166"/>
      <c r="AY142" s="166"/>
      <c r="AZ142" s="166"/>
      <c r="BA142" s="166"/>
      <c r="BB142" s="166"/>
      <c r="BC142" s="166"/>
      <c r="BD142" s="166"/>
      <c r="BE142" s="166"/>
      <c r="BF142" s="166"/>
      <c r="BG142" s="166"/>
      <c r="BH142" s="166"/>
      <c r="BI142" s="166"/>
      <c r="BJ142" s="167"/>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81" t="str">
        <f t="shared" si="8"/>
        <v>01</v>
      </c>
      <c r="C143" s="182"/>
      <c r="D143" s="182"/>
      <c r="E143" s="182"/>
      <c r="F143" s="183"/>
      <c r="G143" s="184" t="s">
        <v>196</v>
      </c>
      <c r="H143" s="185"/>
      <c r="I143" s="185"/>
      <c r="J143" s="185"/>
      <c r="K143" s="185"/>
      <c r="L143" s="185"/>
      <c r="M143" s="185"/>
      <c r="N143" s="186"/>
      <c r="O143" s="79" t="s">
        <v>3122</v>
      </c>
      <c r="P143" s="188" t="s">
        <v>1492</v>
      </c>
      <c r="Q143" s="189"/>
      <c r="R143" s="189"/>
      <c r="S143" s="189"/>
      <c r="T143" s="189"/>
      <c r="U143" s="189"/>
      <c r="V143" s="189"/>
      <c r="W143" s="189"/>
      <c r="X143" s="189"/>
      <c r="Y143" s="189"/>
      <c r="Z143" s="189"/>
      <c r="AA143" s="189"/>
      <c r="AB143" s="189"/>
      <c r="AC143" s="189"/>
      <c r="AD143" s="190"/>
      <c r="AE143" s="165" t="str">
        <f t="shared" ca="1" si="68"/>
        <v>sny_202310_backup_merge_mml_sm_in_patient</v>
      </c>
      <c r="AF143" s="166"/>
      <c r="AG143" s="166"/>
      <c r="AH143" s="166"/>
      <c r="AI143" s="166"/>
      <c r="AJ143" s="166"/>
      <c r="AK143" s="166"/>
      <c r="AL143" s="187"/>
      <c r="AM143" s="165" t="str">
        <f t="shared" ca="1" si="69"/>
        <v>臨床サマリーモジュール_入院レコードテーブルから組入れ条件の第一条件で絞り込んだ結果を格納するテーブル</v>
      </c>
      <c r="AN143" s="166"/>
      <c r="AO143" s="166"/>
      <c r="AP143" s="166"/>
      <c r="AQ143" s="166"/>
      <c r="AR143" s="166"/>
      <c r="AS143" s="166"/>
      <c r="AT143" s="166"/>
      <c r="AU143" s="166"/>
      <c r="AV143" s="166"/>
      <c r="AW143" s="166"/>
      <c r="AX143" s="166"/>
      <c r="AY143" s="166"/>
      <c r="AZ143" s="166"/>
      <c r="BA143" s="166"/>
      <c r="BB143" s="166"/>
      <c r="BC143" s="166"/>
      <c r="BD143" s="166"/>
      <c r="BE143" s="166"/>
      <c r="BF143" s="166"/>
      <c r="BG143" s="166"/>
      <c r="BH143" s="166"/>
      <c r="BI143" s="166"/>
      <c r="BJ143" s="167"/>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81" t="str">
        <f t="shared" si="8"/>
        <v>01</v>
      </c>
      <c r="C144" s="182"/>
      <c r="D144" s="182"/>
      <c r="E144" s="182"/>
      <c r="F144" s="183"/>
      <c r="G144" s="184" t="s">
        <v>196</v>
      </c>
      <c r="H144" s="185"/>
      <c r="I144" s="185"/>
      <c r="J144" s="185"/>
      <c r="K144" s="185"/>
      <c r="L144" s="185"/>
      <c r="M144" s="185"/>
      <c r="N144" s="186"/>
      <c r="O144" s="79" t="s">
        <v>3123</v>
      </c>
      <c r="P144" s="188" t="s">
        <v>1518</v>
      </c>
      <c r="Q144" s="189"/>
      <c r="R144" s="189"/>
      <c r="S144" s="189"/>
      <c r="T144" s="189"/>
      <c r="U144" s="189"/>
      <c r="V144" s="189"/>
      <c r="W144" s="189"/>
      <c r="X144" s="189"/>
      <c r="Y144" s="189"/>
      <c r="Z144" s="189"/>
      <c r="AA144" s="189"/>
      <c r="AB144" s="189"/>
      <c r="AC144" s="189"/>
      <c r="AD144" s="190"/>
      <c r="AE144" s="165" t="str">
        <f t="shared" ca="1" si="68"/>
        <v>sny_202310_backup_merge_mml_sm_clinical_course</v>
      </c>
      <c r="AF144" s="166"/>
      <c r="AG144" s="166"/>
      <c r="AH144" s="166"/>
      <c r="AI144" s="166"/>
      <c r="AJ144" s="166"/>
      <c r="AK144" s="166"/>
      <c r="AL144" s="187"/>
      <c r="AM144" s="165" t="str">
        <f t="shared" ca="1" si="69"/>
        <v>臨床サマリーモジュール_経過記録レコードテーブルから組入れ条件の第一条件で絞り込んだ結果を格納するテーブル</v>
      </c>
      <c r="AN144" s="166"/>
      <c r="AO144" s="166"/>
      <c r="AP144" s="166"/>
      <c r="AQ144" s="166"/>
      <c r="AR144" s="166"/>
      <c r="AS144" s="166"/>
      <c r="AT144" s="166"/>
      <c r="AU144" s="166"/>
      <c r="AV144" s="166"/>
      <c r="AW144" s="166"/>
      <c r="AX144" s="166"/>
      <c r="AY144" s="166"/>
      <c r="AZ144" s="166"/>
      <c r="BA144" s="166"/>
      <c r="BB144" s="166"/>
      <c r="BC144" s="166"/>
      <c r="BD144" s="166"/>
      <c r="BE144" s="166"/>
      <c r="BF144" s="166"/>
      <c r="BG144" s="166"/>
      <c r="BH144" s="166"/>
      <c r="BI144" s="166"/>
      <c r="BJ144" s="167"/>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81" t="str">
        <f t="shared" si="8"/>
        <v>01</v>
      </c>
      <c r="C145" s="182"/>
      <c r="D145" s="182"/>
      <c r="E145" s="182"/>
      <c r="F145" s="183"/>
      <c r="G145" s="184" t="s">
        <v>196</v>
      </c>
      <c r="H145" s="185"/>
      <c r="I145" s="185"/>
      <c r="J145" s="185"/>
      <c r="K145" s="185"/>
      <c r="L145" s="185"/>
      <c r="M145" s="185"/>
      <c r="N145" s="186"/>
      <c r="O145" s="79" t="s">
        <v>3124</v>
      </c>
      <c r="P145" s="188" t="s">
        <v>1533</v>
      </c>
      <c r="Q145" s="189"/>
      <c r="R145" s="189"/>
      <c r="S145" s="189"/>
      <c r="T145" s="189"/>
      <c r="U145" s="189"/>
      <c r="V145" s="189"/>
      <c r="W145" s="189"/>
      <c r="X145" s="189"/>
      <c r="Y145" s="189"/>
      <c r="Z145" s="189"/>
      <c r="AA145" s="189"/>
      <c r="AB145" s="189"/>
      <c r="AC145" s="189"/>
      <c r="AD145" s="190"/>
      <c r="AE145" s="165" t="str">
        <f t="shared" ca="1" si="68"/>
        <v>sny_202310_backup_merge_mml_sm_test_results</v>
      </c>
      <c r="AF145" s="166"/>
      <c r="AG145" s="166"/>
      <c r="AH145" s="166"/>
      <c r="AI145" s="166"/>
      <c r="AJ145" s="166"/>
      <c r="AK145" s="166"/>
      <c r="AL145" s="187"/>
      <c r="AM145" s="165" t="str">
        <f t="shared" ca="1" si="69"/>
        <v>臨床サマリーモジュール_検査結果レコードテーブルから組入れ条件の第一条件で絞り込んだ結果を格納するテーブル</v>
      </c>
      <c r="AN145" s="166"/>
      <c r="AO145" s="166"/>
      <c r="AP145" s="166"/>
      <c r="AQ145" s="166"/>
      <c r="AR145" s="166"/>
      <c r="AS145" s="166"/>
      <c r="AT145" s="166"/>
      <c r="AU145" s="166"/>
      <c r="AV145" s="166"/>
      <c r="AW145" s="166"/>
      <c r="AX145" s="166"/>
      <c r="AY145" s="166"/>
      <c r="AZ145" s="166"/>
      <c r="BA145" s="166"/>
      <c r="BB145" s="166"/>
      <c r="BC145" s="166"/>
      <c r="BD145" s="166"/>
      <c r="BE145" s="166"/>
      <c r="BF145" s="166"/>
      <c r="BG145" s="166"/>
      <c r="BH145" s="166"/>
      <c r="BI145" s="166"/>
      <c r="BJ145" s="167"/>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81" t="str">
        <f t="shared" si="8"/>
        <v>01</v>
      </c>
      <c r="C146" s="182"/>
      <c r="D146" s="182"/>
      <c r="E146" s="182"/>
      <c r="F146" s="183"/>
      <c r="G146" s="184" t="s">
        <v>196</v>
      </c>
      <c r="H146" s="185"/>
      <c r="I146" s="185"/>
      <c r="J146" s="185"/>
      <c r="K146" s="185"/>
      <c r="L146" s="185"/>
      <c r="M146" s="185"/>
      <c r="N146" s="186"/>
      <c r="O146" s="79" t="s">
        <v>3125</v>
      </c>
      <c r="P146" s="188" t="s">
        <v>1543</v>
      </c>
      <c r="Q146" s="189"/>
      <c r="R146" s="189"/>
      <c r="S146" s="189"/>
      <c r="T146" s="189"/>
      <c r="U146" s="189"/>
      <c r="V146" s="189"/>
      <c r="W146" s="189"/>
      <c r="X146" s="189"/>
      <c r="Y146" s="189"/>
      <c r="Z146" s="189"/>
      <c r="AA146" s="189"/>
      <c r="AB146" s="189"/>
      <c r="AC146" s="189"/>
      <c r="AD146" s="190"/>
      <c r="AE146" s="165" t="str">
        <f t="shared" ca="1" si="68"/>
        <v>sny_202310_backup_merge_mml_lb_test</v>
      </c>
      <c r="AF146" s="166"/>
      <c r="AG146" s="166"/>
      <c r="AH146" s="166"/>
      <c r="AI146" s="166"/>
      <c r="AJ146" s="166"/>
      <c r="AK146" s="166"/>
      <c r="AL146" s="187"/>
      <c r="AM146" s="165" t="str">
        <f t="shared" ca="1" si="69"/>
        <v>検歴情報モジュール_検歴情報テーブルから組入れ条件の第一条件で絞り込んだ結果を格納するテーブル</v>
      </c>
      <c r="AN146" s="166"/>
      <c r="AO146" s="166"/>
      <c r="AP146" s="166"/>
      <c r="AQ146" s="166"/>
      <c r="AR146" s="166"/>
      <c r="AS146" s="166"/>
      <c r="AT146" s="166"/>
      <c r="AU146" s="166"/>
      <c r="AV146" s="166"/>
      <c r="AW146" s="166"/>
      <c r="AX146" s="166"/>
      <c r="AY146" s="166"/>
      <c r="AZ146" s="166"/>
      <c r="BA146" s="166"/>
      <c r="BB146" s="166"/>
      <c r="BC146" s="166"/>
      <c r="BD146" s="166"/>
      <c r="BE146" s="166"/>
      <c r="BF146" s="166"/>
      <c r="BG146" s="166"/>
      <c r="BH146" s="166"/>
      <c r="BI146" s="166"/>
      <c r="BJ146" s="167"/>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81" t="str">
        <f t="shared" si="8"/>
        <v>01</v>
      </c>
      <c r="C147" s="182"/>
      <c r="D147" s="182"/>
      <c r="E147" s="182"/>
      <c r="F147" s="183"/>
      <c r="G147" s="184" t="s">
        <v>196</v>
      </c>
      <c r="H147" s="185"/>
      <c r="I147" s="185"/>
      <c r="J147" s="185"/>
      <c r="K147" s="185"/>
      <c r="L147" s="185"/>
      <c r="M147" s="185"/>
      <c r="N147" s="186"/>
      <c r="O147" s="79" t="s">
        <v>3126</v>
      </c>
      <c r="P147" s="188" t="s">
        <v>1601</v>
      </c>
      <c r="Q147" s="189"/>
      <c r="R147" s="189"/>
      <c r="S147" s="189"/>
      <c r="T147" s="189"/>
      <c r="U147" s="189"/>
      <c r="V147" s="189"/>
      <c r="W147" s="189"/>
      <c r="X147" s="189"/>
      <c r="Y147" s="189"/>
      <c r="Z147" s="189"/>
      <c r="AA147" s="189"/>
      <c r="AB147" s="189"/>
      <c r="AC147" s="189"/>
      <c r="AD147" s="190"/>
      <c r="AE147" s="165" t="str">
        <f t="shared" ca="1" si="68"/>
        <v>sny_202310_backup_merge_mml_lb_specimen</v>
      </c>
      <c r="AF147" s="166"/>
      <c r="AG147" s="166"/>
      <c r="AH147" s="166"/>
      <c r="AI147" s="166"/>
      <c r="AJ147" s="166"/>
      <c r="AK147" s="166"/>
      <c r="AL147" s="187"/>
      <c r="AM147" s="165" t="str">
        <f t="shared" ca="1" si="69"/>
        <v>検歴情報モジュール_検歴検体材料テーブルから組入れ条件の第一条件で絞り込んだ結果を格納するテーブル</v>
      </c>
      <c r="AN147" s="166"/>
      <c r="AO147" s="166"/>
      <c r="AP147" s="166"/>
      <c r="AQ147" s="166"/>
      <c r="AR147" s="166"/>
      <c r="AS147" s="166"/>
      <c r="AT147" s="166"/>
      <c r="AU147" s="166"/>
      <c r="AV147" s="166"/>
      <c r="AW147" s="166"/>
      <c r="AX147" s="166"/>
      <c r="AY147" s="166"/>
      <c r="AZ147" s="166"/>
      <c r="BA147" s="166"/>
      <c r="BB147" s="166"/>
      <c r="BC147" s="166"/>
      <c r="BD147" s="166"/>
      <c r="BE147" s="166"/>
      <c r="BF147" s="166"/>
      <c r="BG147" s="166"/>
      <c r="BH147" s="166"/>
      <c r="BI147" s="166"/>
      <c r="BJ147" s="167"/>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81" t="str">
        <f t="shared" si="8"/>
        <v>01</v>
      </c>
      <c r="C148" s="182"/>
      <c r="D148" s="182"/>
      <c r="E148" s="182"/>
      <c r="F148" s="183"/>
      <c r="G148" s="184" t="s">
        <v>196</v>
      </c>
      <c r="H148" s="185"/>
      <c r="I148" s="185"/>
      <c r="J148" s="185"/>
      <c r="K148" s="185"/>
      <c r="L148" s="185"/>
      <c r="M148" s="185"/>
      <c r="N148" s="186"/>
      <c r="O148" s="79" t="s">
        <v>3127</v>
      </c>
      <c r="P148" s="188" t="s">
        <v>1620</v>
      </c>
      <c r="Q148" s="189"/>
      <c r="R148" s="189"/>
      <c r="S148" s="189"/>
      <c r="T148" s="189"/>
      <c r="U148" s="189"/>
      <c r="V148" s="189"/>
      <c r="W148" s="189"/>
      <c r="X148" s="189"/>
      <c r="Y148" s="189"/>
      <c r="Z148" s="189"/>
      <c r="AA148" s="189"/>
      <c r="AB148" s="189"/>
      <c r="AC148" s="189"/>
      <c r="AD148" s="190"/>
      <c r="AE148" s="165" t="str">
        <f t="shared" ca="1" si="68"/>
        <v>sny_202310_backup_merge_mml_lb_item</v>
      </c>
      <c r="AF148" s="166"/>
      <c r="AG148" s="166"/>
      <c r="AH148" s="166"/>
      <c r="AI148" s="166"/>
      <c r="AJ148" s="166"/>
      <c r="AK148" s="166"/>
      <c r="AL148" s="187"/>
      <c r="AM148" s="165" t="str">
        <f t="shared" ca="1" si="69"/>
        <v>検歴情報モジュール_検歴項目情報テーブルから組入れ条件の第一条件で絞り込んだ結果を格納するテーブル</v>
      </c>
      <c r="AN148" s="166"/>
      <c r="AO148" s="166"/>
      <c r="AP148" s="166"/>
      <c r="AQ148" s="166"/>
      <c r="AR148" s="166"/>
      <c r="AS148" s="166"/>
      <c r="AT148" s="166"/>
      <c r="AU148" s="166"/>
      <c r="AV148" s="166"/>
      <c r="AW148" s="166"/>
      <c r="AX148" s="166"/>
      <c r="AY148" s="166"/>
      <c r="AZ148" s="166"/>
      <c r="BA148" s="166"/>
      <c r="BB148" s="166"/>
      <c r="BC148" s="166"/>
      <c r="BD148" s="166"/>
      <c r="BE148" s="166"/>
      <c r="BF148" s="166"/>
      <c r="BG148" s="166"/>
      <c r="BH148" s="166"/>
      <c r="BI148" s="166"/>
      <c r="BJ148" s="167"/>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81" t="str">
        <f t="shared" si="8"/>
        <v>01</v>
      </c>
      <c r="C149" s="182"/>
      <c r="D149" s="182"/>
      <c r="E149" s="182"/>
      <c r="F149" s="183"/>
      <c r="G149" s="184" t="s">
        <v>196</v>
      </c>
      <c r="H149" s="185"/>
      <c r="I149" s="185"/>
      <c r="J149" s="185"/>
      <c r="K149" s="185"/>
      <c r="L149" s="185"/>
      <c r="M149" s="185"/>
      <c r="N149" s="186"/>
      <c r="O149" s="79" t="s">
        <v>3128</v>
      </c>
      <c r="P149" s="188" t="s">
        <v>1678</v>
      </c>
      <c r="Q149" s="189"/>
      <c r="R149" s="189"/>
      <c r="S149" s="189"/>
      <c r="T149" s="189"/>
      <c r="U149" s="189"/>
      <c r="V149" s="189"/>
      <c r="W149" s="189"/>
      <c r="X149" s="189"/>
      <c r="Y149" s="189"/>
      <c r="Z149" s="189"/>
      <c r="AA149" s="189"/>
      <c r="AB149" s="189"/>
      <c r="AC149" s="189"/>
      <c r="AD149" s="190"/>
      <c r="AE149" s="165" t="str">
        <f t="shared" ref="AE149:AE151" ca="1" si="76">IFERROR(INDIRECT(P149&amp;"!D8"),"")</f>
        <v>sny_202310_backup_merge_mml_vs_vitalsign</v>
      </c>
      <c r="AF149" s="166"/>
      <c r="AG149" s="166"/>
      <c r="AH149" s="166"/>
      <c r="AI149" s="166"/>
      <c r="AJ149" s="166"/>
      <c r="AK149" s="166"/>
      <c r="AL149" s="187"/>
      <c r="AM149" s="165" t="str">
        <f t="shared" ref="AM149:AM151" ca="1" si="77">IFERROR(INDIRECT(P149&amp;"!D9"),"")</f>
        <v>バイタルサインモジュール_バイタルサインテーブルから組入れ条件の第一条件で絞り込んだ結果を格納するテーブル</v>
      </c>
      <c r="AN149" s="166"/>
      <c r="AO149" s="166"/>
      <c r="AP149" s="166"/>
      <c r="AQ149" s="166"/>
      <c r="AR149" s="166"/>
      <c r="AS149" s="166"/>
      <c r="AT149" s="166"/>
      <c r="AU149" s="166"/>
      <c r="AV149" s="166"/>
      <c r="AW149" s="166"/>
      <c r="AX149" s="166"/>
      <c r="AY149" s="166"/>
      <c r="AZ149" s="166"/>
      <c r="BA149" s="166"/>
      <c r="BB149" s="166"/>
      <c r="BC149" s="166"/>
      <c r="BD149" s="166"/>
      <c r="BE149" s="166"/>
      <c r="BF149" s="166"/>
      <c r="BG149" s="166"/>
      <c r="BH149" s="166"/>
      <c r="BI149" s="166"/>
      <c r="BJ149" s="167"/>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81" t="str">
        <f t="shared" si="8"/>
        <v>01</v>
      </c>
      <c r="C150" s="182"/>
      <c r="D150" s="182"/>
      <c r="E150" s="182"/>
      <c r="F150" s="183"/>
      <c r="G150" s="184" t="s">
        <v>196</v>
      </c>
      <c r="H150" s="185"/>
      <c r="I150" s="185"/>
      <c r="J150" s="185"/>
      <c r="K150" s="185"/>
      <c r="L150" s="185"/>
      <c r="M150" s="185"/>
      <c r="N150" s="186"/>
      <c r="O150" s="79" t="s">
        <v>3129</v>
      </c>
      <c r="P150" s="188" t="s">
        <v>1715</v>
      </c>
      <c r="Q150" s="189"/>
      <c r="R150" s="189"/>
      <c r="S150" s="189"/>
      <c r="T150" s="189"/>
      <c r="U150" s="189"/>
      <c r="V150" s="189"/>
      <c r="W150" s="189"/>
      <c r="X150" s="189"/>
      <c r="Y150" s="189"/>
      <c r="Z150" s="189"/>
      <c r="AA150" s="189"/>
      <c r="AB150" s="189"/>
      <c r="AC150" s="189"/>
      <c r="AD150" s="190"/>
      <c r="AE150" s="165" t="str">
        <f t="shared" ca="1" si="76"/>
        <v>sny_202310_backup_merge_mml_vs_item</v>
      </c>
      <c r="AF150" s="166"/>
      <c r="AG150" s="166"/>
      <c r="AH150" s="166"/>
      <c r="AI150" s="166"/>
      <c r="AJ150" s="166"/>
      <c r="AK150" s="166"/>
      <c r="AL150" s="187"/>
      <c r="AM150" s="165" t="str">
        <f t="shared" ca="1" si="77"/>
        <v>バイタルサインモジュール_記録項目テーブルから組入れ条件の第一条件で絞り込んだ結果を格納するテーブル</v>
      </c>
      <c r="AN150" s="166"/>
      <c r="AO150" s="166"/>
      <c r="AP150" s="166"/>
      <c r="AQ150" s="166"/>
      <c r="AR150" s="166"/>
      <c r="AS150" s="166"/>
      <c r="AT150" s="166"/>
      <c r="AU150" s="166"/>
      <c r="AV150" s="166"/>
      <c r="AW150" s="166"/>
      <c r="AX150" s="166"/>
      <c r="AY150" s="166"/>
      <c r="AZ150" s="166"/>
      <c r="BA150" s="166"/>
      <c r="BB150" s="166"/>
      <c r="BC150" s="166"/>
      <c r="BD150" s="166"/>
      <c r="BE150" s="166"/>
      <c r="BF150" s="166"/>
      <c r="BG150" s="166"/>
      <c r="BH150" s="166"/>
      <c r="BI150" s="166"/>
      <c r="BJ150" s="167"/>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81" t="str">
        <f t="shared" si="8"/>
        <v>01</v>
      </c>
      <c r="C151" s="182"/>
      <c r="D151" s="182"/>
      <c r="E151" s="182"/>
      <c r="F151" s="183"/>
      <c r="G151" s="184" t="s">
        <v>196</v>
      </c>
      <c r="H151" s="185"/>
      <c r="I151" s="185"/>
      <c r="J151" s="185"/>
      <c r="K151" s="185"/>
      <c r="L151" s="185"/>
      <c r="M151" s="185"/>
      <c r="N151" s="186"/>
      <c r="O151" s="79" t="s">
        <v>3130</v>
      </c>
      <c r="P151" s="188" t="s">
        <v>1729</v>
      </c>
      <c r="Q151" s="189"/>
      <c r="R151" s="189"/>
      <c r="S151" s="189"/>
      <c r="T151" s="189"/>
      <c r="U151" s="189"/>
      <c r="V151" s="189"/>
      <c r="W151" s="189"/>
      <c r="X151" s="189"/>
      <c r="Y151" s="189"/>
      <c r="Z151" s="189"/>
      <c r="AA151" s="189"/>
      <c r="AB151" s="189"/>
      <c r="AC151" s="189"/>
      <c r="AD151" s="190"/>
      <c r="AE151" s="165" t="str">
        <f t="shared" ca="1" si="76"/>
        <v>sny_202310_backup_merge_mml_fs_vitalsign</v>
      </c>
      <c r="AF151" s="166"/>
      <c r="AG151" s="166"/>
      <c r="AH151" s="166"/>
      <c r="AI151" s="166"/>
      <c r="AJ151" s="166"/>
      <c r="AK151" s="166"/>
      <c r="AL151" s="187"/>
      <c r="AM151" s="165" t="str">
        <f t="shared" ca="1" si="77"/>
        <v>体温表モジュール_バイタルサインテーブルから組入れ条件の第一条件で絞り込んだ結果を格納するテーブル</v>
      </c>
      <c r="AN151" s="166"/>
      <c r="AO151" s="166"/>
      <c r="AP151" s="166"/>
      <c r="AQ151" s="166"/>
      <c r="AR151" s="166"/>
      <c r="AS151" s="166"/>
      <c r="AT151" s="166"/>
      <c r="AU151" s="166"/>
      <c r="AV151" s="166"/>
      <c r="AW151" s="166"/>
      <c r="AX151" s="166"/>
      <c r="AY151" s="166"/>
      <c r="AZ151" s="166"/>
      <c r="BA151" s="166"/>
      <c r="BB151" s="166"/>
      <c r="BC151" s="166"/>
      <c r="BD151" s="166"/>
      <c r="BE151" s="166"/>
      <c r="BF151" s="166"/>
      <c r="BG151" s="166"/>
      <c r="BH151" s="166"/>
      <c r="BI151" s="166"/>
      <c r="BJ151" s="167"/>
      <c r="BK151" s="32" t="str">
        <f t="shared" si="74"/>
        <v>ENT_01_C4-40_バックアップ_体温表モジュール_バイタルサイン.sql</v>
      </c>
    </row>
    <row r="152" spans="1:64" ht="37.5" hidden="1" customHeight="1" outlineLevel="1">
      <c r="A152" s="34" t="str">
        <f>P152</f>
        <v>バックアップ_体温表モジュール_記録項目</v>
      </c>
      <c r="B152" s="181" t="str">
        <f t="shared" si="8"/>
        <v>01</v>
      </c>
      <c r="C152" s="182"/>
      <c r="D152" s="182"/>
      <c r="E152" s="182"/>
      <c r="F152" s="183"/>
      <c r="G152" s="184" t="s">
        <v>196</v>
      </c>
      <c r="H152" s="185"/>
      <c r="I152" s="185"/>
      <c r="J152" s="185"/>
      <c r="K152" s="185"/>
      <c r="L152" s="185"/>
      <c r="M152" s="185"/>
      <c r="N152" s="186"/>
      <c r="O152" s="79" t="s">
        <v>3131</v>
      </c>
      <c r="P152" s="188" t="s">
        <v>1733</v>
      </c>
      <c r="Q152" s="189"/>
      <c r="R152" s="189"/>
      <c r="S152" s="189"/>
      <c r="T152" s="189"/>
      <c r="U152" s="189"/>
      <c r="V152" s="189"/>
      <c r="W152" s="189"/>
      <c r="X152" s="189"/>
      <c r="Y152" s="189"/>
      <c r="Z152" s="189"/>
      <c r="AA152" s="189"/>
      <c r="AB152" s="189"/>
      <c r="AC152" s="189"/>
      <c r="AD152" s="190"/>
      <c r="AE152" s="165" t="str">
        <f t="shared" ca="1" si="68"/>
        <v>sny_202310_backup_merge_mml_fs_item</v>
      </c>
      <c r="AF152" s="166"/>
      <c r="AG152" s="166"/>
      <c r="AH152" s="166"/>
      <c r="AI152" s="166"/>
      <c r="AJ152" s="166"/>
      <c r="AK152" s="166"/>
      <c r="AL152" s="187"/>
      <c r="AM152" s="165" t="str">
        <f t="shared" ca="1" si="69"/>
        <v>体温表モジュール_記録項目テーブルから組入れ条件の第一条件で絞り込んだ結果を格納するテーブル</v>
      </c>
      <c r="AN152" s="166"/>
      <c r="AO152" s="166"/>
      <c r="AP152" s="166"/>
      <c r="AQ152" s="166"/>
      <c r="AR152" s="166"/>
      <c r="AS152" s="166"/>
      <c r="AT152" s="166"/>
      <c r="AU152" s="166"/>
      <c r="AV152" s="166"/>
      <c r="AW152" s="166"/>
      <c r="AX152" s="166"/>
      <c r="AY152" s="166"/>
      <c r="AZ152" s="166"/>
      <c r="BA152" s="166"/>
      <c r="BB152" s="166"/>
      <c r="BC152" s="166"/>
      <c r="BD152" s="166"/>
      <c r="BE152" s="166"/>
      <c r="BF152" s="166"/>
      <c r="BG152" s="166"/>
      <c r="BH152" s="166"/>
      <c r="BI152" s="166"/>
      <c r="BJ152" s="167"/>
      <c r="BK152" s="32" t="str">
        <f t="shared" si="74"/>
        <v>ENT_01_C4-41_バックアップ_体温表モジュール_記録項目.sql</v>
      </c>
    </row>
    <row r="153" spans="1:64" ht="37.5" customHeight="1" collapsed="1" thickTop="1">
      <c r="A153" s="34" t="str">
        <f t="shared" ref="A153:A249" si="78">P153</f>
        <v>組入れ_対象施設</v>
      </c>
      <c r="B153" s="168" t="str">
        <f t="shared" ref="B153:B159" si="79">TEXT(11,"00")</f>
        <v>11</v>
      </c>
      <c r="C153" s="169"/>
      <c r="D153" s="169"/>
      <c r="E153" s="169"/>
      <c r="F153" s="170"/>
      <c r="G153" s="171" t="s">
        <v>197</v>
      </c>
      <c r="H153" s="172"/>
      <c r="I153" s="172"/>
      <c r="J153" s="172"/>
      <c r="K153" s="172"/>
      <c r="L153" s="172"/>
      <c r="M153" s="172"/>
      <c r="N153" s="173"/>
      <c r="O153" s="79" t="str">
        <f t="shared" ref="O153:O159" si="80">IF(P153&lt;&gt;"","ENT_"&amp;RIGHT(B153,2)&amp;"_"&amp;TEXT(ROW(O153)-ROW(O$153)+1,"00"),"")</f>
        <v>ENT_11_01</v>
      </c>
      <c r="P153" s="188" t="s">
        <v>3813</v>
      </c>
      <c r="Q153" s="189"/>
      <c r="R153" s="189"/>
      <c r="S153" s="189"/>
      <c r="T153" s="189"/>
      <c r="U153" s="189"/>
      <c r="V153" s="189"/>
      <c r="W153" s="189"/>
      <c r="X153" s="189"/>
      <c r="Y153" s="189"/>
      <c r="Z153" s="189"/>
      <c r="AA153" s="189"/>
      <c r="AB153" s="189"/>
      <c r="AC153" s="189"/>
      <c r="AD153" s="190"/>
      <c r="AE153" s="165" t="str">
        <f t="shared" ref="AE153:AE154" ca="1" si="81">IFERROR(INDIRECT(P153&amp;"!D8"),"")</f>
        <v>sny_202310_enroll_shisetsu</v>
      </c>
      <c r="AF153" s="166"/>
      <c r="AG153" s="166"/>
      <c r="AH153" s="166"/>
      <c r="AI153" s="166"/>
      <c r="AJ153" s="166"/>
      <c r="AK153" s="166"/>
      <c r="AL153" s="187"/>
      <c r="AM153" s="165" t="str">
        <f t="shared" ref="AM153:AM154" ca="1" si="82">IFERROR(INDIRECT(P153&amp;"!D9"),"")</f>
        <v>バックアップ_処理対象施設マスタテーブルから組入れ条件で絞り込んだ結果を格納するテーブル</v>
      </c>
      <c r="AN153" s="166"/>
      <c r="AO153" s="166"/>
      <c r="AP153" s="166"/>
      <c r="AQ153" s="166"/>
      <c r="AR153" s="166"/>
      <c r="AS153" s="166"/>
      <c r="AT153" s="166"/>
      <c r="AU153" s="166"/>
      <c r="AV153" s="166"/>
      <c r="AW153" s="166"/>
      <c r="AX153" s="166"/>
      <c r="AY153" s="166"/>
      <c r="AZ153" s="166"/>
      <c r="BA153" s="166"/>
      <c r="BB153" s="166"/>
      <c r="BC153" s="166"/>
      <c r="BD153" s="166"/>
      <c r="BE153" s="166"/>
      <c r="BF153" s="166"/>
      <c r="BG153" s="166"/>
      <c r="BH153" s="166"/>
      <c r="BI153" s="166"/>
      <c r="BJ153" s="167"/>
      <c r="BK153" s="32" t="str">
        <f t="shared" si="43"/>
        <v>ENT_11_01_組入れ_対象施設.sql</v>
      </c>
    </row>
    <row r="154" spans="1:64" ht="37.5" customHeight="1">
      <c r="A154" s="34" t="str">
        <f t="shared" si="78"/>
        <v>組入れ_対象疾患</v>
      </c>
      <c r="B154" s="181" t="str">
        <f t="shared" si="79"/>
        <v>11</v>
      </c>
      <c r="C154" s="182"/>
      <c r="D154" s="182"/>
      <c r="E154" s="182"/>
      <c r="F154" s="183"/>
      <c r="G154" s="184" t="s">
        <v>197</v>
      </c>
      <c r="H154" s="185"/>
      <c r="I154" s="185"/>
      <c r="J154" s="185"/>
      <c r="K154" s="185"/>
      <c r="L154" s="185"/>
      <c r="M154" s="185"/>
      <c r="N154" s="186"/>
      <c r="O154" s="79" t="str">
        <f t="shared" si="80"/>
        <v>ENT_11_02</v>
      </c>
      <c r="P154" s="188" t="s">
        <v>3824</v>
      </c>
      <c r="Q154" s="189"/>
      <c r="R154" s="189"/>
      <c r="S154" s="189"/>
      <c r="T154" s="189"/>
      <c r="U154" s="189"/>
      <c r="V154" s="189"/>
      <c r="W154" s="189"/>
      <c r="X154" s="189"/>
      <c r="Y154" s="189"/>
      <c r="Z154" s="189"/>
      <c r="AA154" s="189"/>
      <c r="AB154" s="189"/>
      <c r="AC154" s="189"/>
      <c r="AD154" s="190"/>
      <c r="AE154" s="165" t="str">
        <f t="shared" ca="1" si="81"/>
        <v>sny_202310_enroll_shikkan</v>
      </c>
      <c r="AF154" s="166"/>
      <c r="AG154" s="166"/>
      <c r="AH154" s="166"/>
      <c r="AI154" s="166"/>
      <c r="AJ154" s="166"/>
      <c r="AK154" s="166"/>
      <c r="AL154" s="187"/>
      <c r="AM154" s="165" t="str">
        <f t="shared" ca="1" si="82"/>
        <v>バックアップ_疾患データ_組み入れ第一条件テーブルから組入れ条件で絞り込んだ結果を格納するテーブル</v>
      </c>
      <c r="AN154" s="166"/>
      <c r="AO154" s="166"/>
      <c r="AP154" s="166"/>
      <c r="AQ154" s="166"/>
      <c r="AR154" s="166"/>
      <c r="AS154" s="166"/>
      <c r="AT154" s="166"/>
      <c r="AU154" s="166"/>
      <c r="AV154" s="166"/>
      <c r="AW154" s="166"/>
      <c r="AX154" s="166"/>
      <c r="AY154" s="166"/>
      <c r="AZ154" s="166"/>
      <c r="BA154" s="166"/>
      <c r="BB154" s="166"/>
      <c r="BC154" s="166"/>
      <c r="BD154" s="166"/>
      <c r="BE154" s="166"/>
      <c r="BF154" s="166"/>
      <c r="BG154" s="166"/>
      <c r="BH154" s="166"/>
      <c r="BI154" s="166"/>
      <c r="BJ154" s="167"/>
      <c r="BK154" s="32" t="str">
        <f t="shared" ref="BK154" si="83">IF(P154&lt;&gt;"",O154&amp;"_"&amp;P154&amp;".sql","")</f>
        <v>ENT_11_02_組入れ_対象疾患.sql</v>
      </c>
    </row>
    <row r="155" spans="1:64" ht="37.5" customHeight="1">
      <c r="A155" s="34" t="str">
        <f t="shared" ref="A155:A156" si="84">P155</f>
        <v>組入れ_対象診療行為</v>
      </c>
      <c r="B155" s="181" t="str">
        <f t="shared" si="79"/>
        <v>11</v>
      </c>
      <c r="C155" s="182"/>
      <c r="D155" s="182"/>
      <c r="E155" s="182"/>
      <c r="F155" s="183"/>
      <c r="G155" s="184" t="s">
        <v>197</v>
      </c>
      <c r="H155" s="185"/>
      <c r="I155" s="185"/>
      <c r="J155" s="185"/>
      <c r="K155" s="185"/>
      <c r="L155" s="185"/>
      <c r="M155" s="185"/>
      <c r="N155" s="186"/>
      <c r="O155" s="79" t="str">
        <f t="shared" si="80"/>
        <v>ENT_11_03</v>
      </c>
      <c r="P155" s="188" t="s">
        <v>3791</v>
      </c>
      <c r="Q155" s="189"/>
      <c r="R155" s="189"/>
      <c r="S155" s="189"/>
      <c r="T155" s="189"/>
      <c r="U155" s="189"/>
      <c r="V155" s="189"/>
      <c r="W155" s="189"/>
      <c r="X155" s="189"/>
      <c r="Y155" s="189"/>
      <c r="Z155" s="189"/>
      <c r="AA155" s="189"/>
      <c r="AB155" s="189"/>
      <c r="AC155" s="189"/>
      <c r="AD155" s="190"/>
      <c r="AE155" s="165" t="str">
        <f t="shared" ref="AE155:AE156" ca="1" si="85">IFERROR(INDIRECT(P155&amp;"!D8"),"")</f>
        <v>sny_202310_enroll_shinryou_koui</v>
      </c>
      <c r="AF155" s="166"/>
      <c r="AG155" s="166"/>
      <c r="AH155" s="166"/>
      <c r="AI155" s="166"/>
      <c r="AJ155" s="166"/>
      <c r="AK155" s="166"/>
      <c r="AL155" s="187"/>
      <c r="AM155" s="165" t="str">
        <f t="shared" ref="AM155:AM156" ca="1" si="86">IFERROR(INDIRECT(P155&amp;"!D9"),"")</f>
        <v>バックアップ_診療行為データテーブルから組入れ条件で絞り込んだ結果を格納するテーブル</v>
      </c>
      <c r="AN155" s="166"/>
      <c r="AO155" s="166"/>
      <c r="AP155" s="166"/>
      <c r="AQ155" s="166"/>
      <c r="AR155" s="166"/>
      <c r="AS155" s="166"/>
      <c r="AT155" s="166"/>
      <c r="AU155" s="166"/>
      <c r="AV155" s="166"/>
      <c r="AW155" s="166"/>
      <c r="AX155" s="166"/>
      <c r="AY155" s="166"/>
      <c r="AZ155" s="166"/>
      <c r="BA155" s="166"/>
      <c r="BB155" s="166"/>
      <c r="BC155" s="166"/>
      <c r="BD155" s="166"/>
      <c r="BE155" s="166"/>
      <c r="BF155" s="166"/>
      <c r="BG155" s="166"/>
      <c r="BH155" s="166"/>
      <c r="BI155" s="166"/>
      <c r="BJ155" s="167"/>
      <c r="BK155" s="32" t="str">
        <f t="shared" ref="BK155:BK156" si="87">IF(P155&lt;&gt;"",O155&amp;"_"&amp;P155&amp;".sql","")</f>
        <v>ENT_11_03_組入れ_対象診療行為.sql</v>
      </c>
    </row>
    <row r="156" spans="1:64" ht="37.5" customHeight="1">
      <c r="A156" s="34" t="str">
        <f t="shared" si="84"/>
        <v>組入れ_検体検査マスタ</v>
      </c>
      <c r="B156" s="181" t="str">
        <f t="shared" si="79"/>
        <v>11</v>
      </c>
      <c r="C156" s="182"/>
      <c r="D156" s="182"/>
      <c r="E156" s="182"/>
      <c r="F156" s="183"/>
      <c r="G156" s="184" t="s">
        <v>197</v>
      </c>
      <c r="H156" s="185"/>
      <c r="I156" s="185"/>
      <c r="J156" s="185"/>
      <c r="K156" s="185"/>
      <c r="L156" s="185"/>
      <c r="M156" s="185"/>
      <c r="N156" s="186"/>
      <c r="O156" s="79" t="str">
        <f t="shared" si="80"/>
        <v>ENT_11_04</v>
      </c>
      <c r="P156" s="188" t="s">
        <v>3830</v>
      </c>
      <c r="Q156" s="189"/>
      <c r="R156" s="189"/>
      <c r="S156" s="189"/>
      <c r="T156" s="189"/>
      <c r="U156" s="189"/>
      <c r="V156" s="189"/>
      <c r="W156" s="189"/>
      <c r="X156" s="189"/>
      <c r="Y156" s="189"/>
      <c r="Z156" s="189"/>
      <c r="AA156" s="189"/>
      <c r="AB156" s="189"/>
      <c r="AC156" s="189"/>
      <c r="AD156" s="190"/>
      <c r="AE156" s="165" t="str">
        <f t="shared" ca="1" si="85"/>
        <v>sny_202310_enroll_mt_kensa</v>
      </c>
      <c r="AF156" s="166"/>
      <c r="AG156" s="166"/>
      <c r="AH156" s="166"/>
      <c r="AI156" s="166"/>
      <c r="AJ156" s="166"/>
      <c r="AK156" s="166"/>
      <c r="AL156" s="187"/>
      <c r="AM156" s="165" t="str">
        <f t="shared" ca="1" si="86"/>
        <v>検査マスタ_組入れ.tsvを登録するテーブル</v>
      </c>
      <c r="AN156" s="166"/>
      <c r="AO156" s="166"/>
      <c r="AP156" s="166"/>
      <c r="AQ156" s="166"/>
      <c r="AR156" s="166"/>
      <c r="AS156" s="166"/>
      <c r="AT156" s="166"/>
      <c r="AU156" s="166"/>
      <c r="AV156" s="166"/>
      <c r="AW156" s="166"/>
      <c r="AX156" s="166"/>
      <c r="AY156" s="166"/>
      <c r="AZ156" s="166"/>
      <c r="BA156" s="166"/>
      <c r="BB156" s="166"/>
      <c r="BC156" s="166"/>
      <c r="BD156" s="166"/>
      <c r="BE156" s="166"/>
      <c r="BF156" s="166"/>
      <c r="BG156" s="166"/>
      <c r="BH156" s="166"/>
      <c r="BI156" s="166"/>
      <c r="BJ156" s="167"/>
      <c r="BK156" s="32" t="str">
        <f t="shared" si="87"/>
        <v>ENT_11_04_組入れ_検体検査マスタ.sql</v>
      </c>
    </row>
    <row r="157" spans="1:64" ht="37.5" customHeight="1">
      <c r="A157" s="34" t="str">
        <f t="shared" ref="A157" si="88">P157</f>
        <v>組入れ_対象検体検査</v>
      </c>
      <c r="B157" s="181" t="str">
        <f t="shared" si="79"/>
        <v>11</v>
      </c>
      <c r="C157" s="182"/>
      <c r="D157" s="182"/>
      <c r="E157" s="182"/>
      <c r="F157" s="183"/>
      <c r="G157" s="184" t="s">
        <v>197</v>
      </c>
      <c r="H157" s="185"/>
      <c r="I157" s="185"/>
      <c r="J157" s="185"/>
      <c r="K157" s="185"/>
      <c r="L157" s="185"/>
      <c r="M157" s="185"/>
      <c r="N157" s="186"/>
      <c r="O157" s="79" t="str">
        <f t="shared" si="80"/>
        <v>ENT_11_05</v>
      </c>
      <c r="P157" s="188" t="s">
        <v>3800</v>
      </c>
      <c r="Q157" s="189"/>
      <c r="R157" s="189"/>
      <c r="S157" s="189"/>
      <c r="T157" s="189"/>
      <c r="U157" s="189"/>
      <c r="V157" s="189"/>
      <c r="W157" s="189"/>
      <c r="X157" s="189"/>
      <c r="Y157" s="189"/>
      <c r="Z157" s="189"/>
      <c r="AA157" s="189"/>
      <c r="AB157" s="189"/>
      <c r="AC157" s="189"/>
      <c r="AD157" s="190"/>
      <c r="AE157" s="165" t="str">
        <f t="shared" ref="AE157" ca="1" si="89">IFERROR(INDIRECT(P157&amp;"!D8"),"")</f>
        <v>sny_202310_enroll_kensa</v>
      </c>
      <c r="AF157" s="166"/>
      <c r="AG157" s="166"/>
      <c r="AH157" s="166"/>
      <c r="AI157" s="166"/>
      <c r="AJ157" s="166"/>
      <c r="AK157" s="166"/>
      <c r="AL157" s="187"/>
      <c r="AM157" s="165" t="str">
        <f t="shared" ref="AM157" ca="1" si="90">IFERROR(INDIRECT(P157&amp;"!D9"),"")</f>
        <v>検査データのテーブルから組入れ条件で絞り込んだ結果を登録するテーブル</v>
      </c>
      <c r="AN157" s="166"/>
      <c r="AO157" s="166"/>
      <c r="AP157" s="166"/>
      <c r="AQ157" s="166"/>
      <c r="AR157" s="166"/>
      <c r="AS157" s="166"/>
      <c r="AT157" s="166"/>
      <c r="AU157" s="166"/>
      <c r="AV157" s="166"/>
      <c r="AW157" s="166"/>
      <c r="AX157" s="166"/>
      <c r="AY157" s="166"/>
      <c r="AZ157" s="166"/>
      <c r="BA157" s="166"/>
      <c r="BB157" s="166"/>
      <c r="BC157" s="166"/>
      <c r="BD157" s="166"/>
      <c r="BE157" s="166"/>
      <c r="BF157" s="166"/>
      <c r="BG157" s="166"/>
      <c r="BH157" s="166"/>
      <c r="BI157" s="166"/>
      <c r="BJ157" s="167"/>
      <c r="BK157" s="32" t="str">
        <f t="shared" ref="BK157" si="91">IF(P157&lt;&gt;"",O157&amp;"_"&amp;P157&amp;".sql","")</f>
        <v>ENT_11_05_組入れ_対象検体検査.sql</v>
      </c>
    </row>
    <row r="158" spans="1:64" ht="37.5" customHeight="1">
      <c r="A158" s="34" t="str">
        <f t="shared" ref="A158" si="92">P158</f>
        <v>組入れ_対象検体検査_対象患者</v>
      </c>
      <c r="B158" s="181" t="str">
        <f t="shared" si="79"/>
        <v>11</v>
      </c>
      <c r="C158" s="182"/>
      <c r="D158" s="182"/>
      <c r="E158" s="182"/>
      <c r="F158" s="183"/>
      <c r="G158" s="184" t="s">
        <v>197</v>
      </c>
      <c r="H158" s="185"/>
      <c r="I158" s="185"/>
      <c r="J158" s="185"/>
      <c r="K158" s="185"/>
      <c r="L158" s="185"/>
      <c r="M158" s="185"/>
      <c r="N158" s="186"/>
      <c r="O158" s="79" t="str">
        <f t="shared" ref="O158" si="93">IF(P158&lt;&gt;"","ENT_"&amp;RIGHT(B158,2)&amp;"_"&amp;TEXT(ROW(O158)-ROW(O$153)+1,"00"),"")</f>
        <v>ENT_11_06</v>
      </c>
      <c r="P158" s="188" t="s">
        <v>4023</v>
      </c>
      <c r="Q158" s="189"/>
      <c r="R158" s="189"/>
      <c r="S158" s="189"/>
      <c r="T158" s="189"/>
      <c r="U158" s="189"/>
      <c r="V158" s="189"/>
      <c r="W158" s="189"/>
      <c r="X158" s="189"/>
      <c r="Y158" s="189"/>
      <c r="Z158" s="189"/>
      <c r="AA158" s="189"/>
      <c r="AB158" s="189"/>
      <c r="AC158" s="189"/>
      <c r="AD158" s="190"/>
      <c r="AE158" s="165" t="str">
        <f t="shared" ref="AE158" ca="1" si="94">IFERROR(INDIRECT(P158&amp;"!D8"),"")</f>
        <v>sny_202310_enroll_kensa_kanja</v>
      </c>
      <c r="AF158" s="166"/>
      <c r="AG158" s="166"/>
      <c r="AH158" s="166"/>
      <c r="AI158" s="166"/>
      <c r="AJ158" s="166"/>
      <c r="AK158" s="166"/>
      <c r="AL158" s="187"/>
      <c r="AM158" s="165" t="str">
        <f t="shared" ref="AM158" ca="1" si="95">IFERROR(INDIRECT(P158&amp;"!D9"),"")</f>
        <v>検査データのテーブルから組入れ条件（対象期間、表示名の種類）で絞り込んだ結果を登録するテーブル</v>
      </c>
      <c r="AN158" s="166"/>
      <c r="AO158" s="166"/>
      <c r="AP158" s="166"/>
      <c r="AQ158" s="166"/>
      <c r="AR158" s="166"/>
      <c r="AS158" s="166"/>
      <c r="AT158" s="166"/>
      <c r="AU158" s="166"/>
      <c r="AV158" s="166"/>
      <c r="AW158" s="166"/>
      <c r="AX158" s="166"/>
      <c r="AY158" s="166"/>
      <c r="AZ158" s="166"/>
      <c r="BA158" s="166"/>
      <c r="BB158" s="166"/>
      <c r="BC158" s="166"/>
      <c r="BD158" s="166"/>
      <c r="BE158" s="166"/>
      <c r="BF158" s="166"/>
      <c r="BG158" s="166"/>
      <c r="BH158" s="166"/>
      <c r="BI158" s="166"/>
      <c r="BJ158" s="167"/>
      <c r="BK158" s="32" t="str">
        <f t="shared" ref="BK158" si="96">IF(P158&lt;&gt;"",O158&amp;"_"&amp;P158&amp;".sql","")</f>
        <v>ENT_11_06_組入れ_対象検体検査_対象患者.sql</v>
      </c>
    </row>
    <row r="159" spans="1:64" ht="37.5" customHeight="1">
      <c r="A159" s="34" t="str">
        <f t="shared" ref="A159" si="97">P159</f>
        <v>組入れ_対象患者</v>
      </c>
      <c r="B159" s="181" t="str">
        <f t="shared" si="79"/>
        <v>11</v>
      </c>
      <c r="C159" s="182"/>
      <c r="D159" s="182"/>
      <c r="E159" s="182"/>
      <c r="F159" s="183"/>
      <c r="G159" s="184" t="s">
        <v>197</v>
      </c>
      <c r="H159" s="185"/>
      <c r="I159" s="185"/>
      <c r="J159" s="185"/>
      <c r="K159" s="185"/>
      <c r="L159" s="185"/>
      <c r="M159" s="185"/>
      <c r="N159" s="186"/>
      <c r="O159" s="79" t="str">
        <f t="shared" si="80"/>
        <v>ENT_11_07</v>
      </c>
      <c r="P159" s="188" t="s">
        <v>3814</v>
      </c>
      <c r="Q159" s="189"/>
      <c r="R159" s="189"/>
      <c r="S159" s="189"/>
      <c r="T159" s="189"/>
      <c r="U159" s="189"/>
      <c r="V159" s="189"/>
      <c r="W159" s="189"/>
      <c r="X159" s="189"/>
      <c r="Y159" s="189"/>
      <c r="Z159" s="189"/>
      <c r="AA159" s="189"/>
      <c r="AB159" s="189"/>
      <c r="AC159" s="189"/>
      <c r="AD159" s="190"/>
      <c r="AE159" s="165" t="str">
        <f t="shared" ref="AE159" ca="1" si="98">IFERROR(INDIRECT(P159&amp;"!D8"),"")</f>
        <v>sny_202310_enroll_kanja</v>
      </c>
      <c r="AF159" s="166"/>
      <c r="AG159" s="166"/>
      <c r="AH159" s="166"/>
      <c r="AI159" s="166"/>
      <c r="AJ159" s="166"/>
      <c r="AK159" s="166"/>
      <c r="AL159" s="187"/>
      <c r="AM159" s="165" t="str">
        <f t="shared" ref="AM159" ca="1" si="99">IFERROR(INDIRECT(P159&amp;"!D9"),"")</f>
        <v>組入れ_対象疾患テーブルから組入れ条件で絞り込んだ結果を格納するテーブル</v>
      </c>
      <c r="AN159" s="166"/>
      <c r="AO159" s="166"/>
      <c r="AP159" s="166"/>
      <c r="AQ159" s="166"/>
      <c r="AR159" s="166"/>
      <c r="AS159" s="166"/>
      <c r="AT159" s="166"/>
      <c r="AU159" s="166"/>
      <c r="AV159" s="166"/>
      <c r="AW159" s="166"/>
      <c r="AX159" s="166"/>
      <c r="AY159" s="166"/>
      <c r="AZ159" s="166"/>
      <c r="BA159" s="166"/>
      <c r="BB159" s="166"/>
      <c r="BC159" s="166"/>
      <c r="BD159" s="166"/>
      <c r="BE159" s="166"/>
      <c r="BF159" s="166"/>
      <c r="BG159" s="166"/>
      <c r="BH159" s="166"/>
      <c r="BI159" s="166"/>
      <c r="BJ159" s="167"/>
      <c r="BK159" s="32" t="str">
        <f t="shared" si="43"/>
        <v>ENT_11_07_組入れ_対象患者.sql</v>
      </c>
    </row>
    <row r="160" spans="1:64" ht="37.5" customHeight="1">
      <c r="A160" s="34" t="str">
        <f t="shared" si="78"/>
        <v>患者ID一覧マスタ</v>
      </c>
      <c r="B160" s="168" t="str">
        <f t="shared" ref="B160:B166" si="100">TEXT(21,"00")</f>
        <v>21</v>
      </c>
      <c r="C160" s="169"/>
      <c r="D160" s="169"/>
      <c r="E160" s="169"/>
      <c r="F160" s="170"/>
      <c r="G160" s="171" t="s">
        <v>305</v>
      </c>
      <c r="H160" s="172"/>
      <c r="I160" s="172"/>
      <c r="J160" s="172"/>
      <c r="K160" s="172"/>
      <c r="L160" s="172"/>
      <c r="M160" s="172"/>
      <c r="N160" s="173"/>
      <c r="O160" s="79" t="str">
        <f t="shared" ref="O160:O166" si="101">IF(P160&lt;&gt;"","ENT_"&amp;RIGHT(B160,2)&amp;"_"&amp;TEXT(ROW(O160)-ROW(O$160)+1,"00"),"")</f>
        <v>ENT_21_01</v>
      </c>
      <c r="P160" s="188" t="s">
        <v>3851</v>
      </c>
      <c r="Q160" s="189"/>
      <c r="R160" s="189"/>
      <c r="S160" s="189"/>
      <c r="T160" s="189"/>
      <c r="U160" s="189"/>
      <c r="V160" s="189"/>
      <c r="W160" s="189"/>
      <c r="X160" s="189"/>
      <c r="Y160" s="189"/>
      <c r="Z160" s="189"/>
      <c r="AA160" s="189"/>
      <c r="AB160" s="189"/>
      <c r="AC160" s="189"/>
      <c r="AD160" s="190"/>
      <c r="AE160" s="165" t="str">
        <f t="shared" ref="AE160:AE166" ca="1" si="102">IFERROR(INDIRECT(P160&amp;"!D8"),"")</f>
        <v>sny_202310_mt_kanja_list</v>
      </c>
      <c r="AF160" s="166"/>
      <c r="AG160" s="166"/>
      <c r="AH160" s="166"/>
      <c r="AI160" s="166"/>
      <c r="AJ160" s="166"/>
      <c r="AK160" s="166"/>
      <c r="AL160" s="187"/>
      <c r="AM160" s="165" t="str">
        <f t="shared" ref="AM160:AM166" ca="1" si="103">IFERROR(INDIRECT(P160&amp;"!D9"),"")</f>
        <v>患者ID一覧マスタ情報を格納するテーブル</v>
      </c>
      <c r="AN160" s="166"/>
      <c r="AO160" s="166"/>
      <c r="AP160" s="166"/>
      <c r="AQ160" s="166"/>
      <c r="AR160" s="166"/>
      <c r="AS160" s="166"/>
      <c r="AT160" s="166"/>
      <c r="AU160" s="166"/>
      <c r="AV160" s="166"/>
      <c r="AW160" s="166"/>
      <c r="AX160" s="166"/>
      <c r="AY160" s="166"/>
      <c r="AZ160" s="166"/>
      <c r="BA160" s="166"/>
      <c r="BB160" s="166"/>
      <c r="BC160" s="166"/>
      <c r="BD160" s="166"/>
      <c r="BE160" s="166"/>
      <c r="BF160" s="166"/>
      <c r="BG160" s="166"/>
      <c r="BH160" s="166"/>
      <c r="BI160" s="166"/>
      <c r="BJ160" s="167"/>
      <c r="BK160" s="32" t="str">
        <f t="shared" si="43"/>
        <v>ENT_21_01_患者ID一覧マスタ.sql</v>
      </c>
    </row>
    <row r="161" spans="1:63" ht="37.5" customHeight="1">
      <c r="A161" s="34" t="str">
        <f t="shared" si="78"/>
        <v>施設マスタ</v>
      </c>
      <c r="B161" s="181" t="str">
        <f t="shared" si="100"/>
        <v>21</v>
      </c>
      <c r="C161" s="182"/>
      <c r="D161" s="182"/>
      <c r="E161" s="182"/>
      <c r="F161" s="183"/>
      <c r="G161" s="184" t="s">
        <v>305</v>
      </c>
      <c r="H161" s="185"/>
      <c r="I161" s="185"/>
      <c r="J161" s="185"/>
      <c r="K161" s="185"/>
      <c r="L161" s="185"/>
      <c r="M161" s="185"/>
      <c r="N161" s="186"/>
      <c r="O161" s="79" t="str">
        <f>IF(P161&lt;&gt;"","ENT_"&amp;RIGHT(B161,2)&amp;"_"&amp;TEXT(ROW(O161)-ROW(O$160)+1,"00"),"")</f>
        <v>ENT_21_02</v>
      </c>
      <c r="P161" s="188" t="s">
        <v>3808</v>
      </c>
      <c r="Q161" s="189"/>
      <c r="R161" s="189"/>
      <c r="S161" s="189"/>
      <c r="T161" s="189"/>
      <c r="U161" s="189"/>
      <c r="V161" s="189"/>
      <c r="W161" s="189"/>
      <c r="X161" s="189"/>
      <c r="Y161" s="189"/>
      <c r="Z161" s="189"/>
      <c r="AA161" s="189"/>
      <c r="AB161" s="189"/>
      <c r="AC161" s="189"/>
      <c r="AD161" s="190"/>
      <c r="AE161" s="165" t="str">
        <f t="shared" ca="1" si="102"/>
        <v>sny_202310_mt_shisetsu</v>
      </c>
      <c r="AF161" s="166"/>
      <c r="AG161" s="166"/>
      <c r="AH161" s="166"/>
      <c r="AI161" s="166"/>
      <c r="AJ161" s="166"/>
      <c r="AK161" s="166"/>
      <c r="AL161" s="187"/>
      <c r="AM161" s="165" t="str">
        <f t="shared" ca="1" si="103"/>
        <v>組入れ_対象施設テーブルに施設マスクIDを付与した結果を格納するテーブル</v>
      </c>
      <c r="AN161" s="166"/>
      <c r="AO161" s="166"/>
      <c r="AP161" s="166"/>
      <c r="AQ161" s="166"/>
      <c r="AR161" s="166"/>
      <c r="AS161" s="166"/>
      <c r="AT161" s="166"/>
      <c r="AU161" s="166"/>
      <c r="AV161" s="166"/>
      <c r="AW161" s="166"/>
      <c r="AX161" s="166"/>
      <c r="AY161" s="166"/>
      <c r="AZ161" s="166"/>
      <c r="BA161" s="166"/>
      <c r="BB161" s="166"/>
      <c r="BC161" s="166"/>
      <c r="BD161" s="166"/>
      <c r="BE161" s="166"/>
      <c r="BF161" s="166"/>
      <c r="BG161" s="166"/>
      <c r="BH161" s="166"/>
      <c r="BI161" s="166"/>
      <c r="BJ161" s="167"/>
      <c r="BK161" s="32" t="str">
        <f t="shared" si="43"/>
        <v>ENT_21_02_施設マスタ.sql</v>
      </c>
    </row>
    <row r="162" spans="1:63" ht="37.5" customHeight="1">
      <c r="A162" s="34" t="str">
        <f t="shared" ref="A162:A163" si="104">P162</f>
        <v>患者マスタ</v>
      </c>
      <c r="B162" s="181" t="str">
        <f t="shared" si="100"/>
        <v>21</v>
      </c>
      <c r="C162" s="182"/>
      <c r="D162" s="182"/>
      <c r="E162" s="182"/>
      <c r="F162" s="183"/>
      <c r="G162" s="184" t="s">
        <v>305</v>
      </c>
      <c r="H162" s="185"/>
      <c r="I162" s="185"/>
      <c r="J162" s="185"/>
      <c r="K162" s="185"/>
      <c r="L162" s="185"/>
      <c r="M162" s="185"/>
      <c r="N162" s="186"/>
      <c r="O162" s="79" t="str">
        <f t="shared" si="101"/>
        <v>ENT_21_03</v>
      </c>
      <c r="P162" s="188" t="s">
        <v>3809</v>
      </c>
      <c r="Q162" s="189"/>
      <c r="R162" s="189"/>
      <c r="S162" s="189"/>
      <c r="T162" s="189"/>
      <c r="U162" s="189"/>
      <c r="V162" s="189"/>
      <c r="W162" s="189"/>
      <c r="X162" s="189"/>
      <c r="Y162" s="189"/>
      <c r="Z162" s="189"/>
      <c r="AA162" s="189"/>
      <c r="AB162" s="189"/>
      <c r="AC162" s="189"/>
      <c r="AD162" s="190"/>
      <c r="AE162" s="165" t="str">
        <f t="shared" ca="1" si="102"/>
        <v>sny_202310_mt_kanja</v>
      </c>
      <c r="AF162" s="166"/>
      <c r="AG162" s="166"/>
      <c r="AH162" s="166"/>
      <c r="AI162" s="166"/>
      <c r="AJ162" s="166"/>
      <c r="AK162" s="166"/>
      <c r="AL162" s="187"/>
      <c r="AM162" s="165" t="str">
        <f t="shared" ca="1" si="103"/>
        <v>患者ID一覧マスタテーブルを施設IDと紐づけIDで集約し、マスクIDを付与した結果を格納するテーブル</v>
      </c>
      <c r="AN162" s="166"/>
      <c r="AO162" s="166"/>
      <c r="AP162" s="166"/>
      <c r="AQ162" s="166"/>
      <c r="AR162" s="166"/>
      <c r="AS162" s="166"/>
      <c r="AT162" s="166"/>
      <c r="AU162" s="166"/>
      <c r="AV162" s="166"/>
      <c r="AW162" s="166"/>
      <c r="AX162" s="166"/>
      <c r="AY162" s="166"/>
      <c r="AZ162" s="166"/>
      <c r="BA162" s="166"/>
      <c r="BB162" s="166"/>
      <c r="BC162" s="166"/>
      <c r="BD162" s="166"/>
      <c r="BE162" s="166"/>
      <c r="BF162" s="166"/>
      <c r="BG162" s="166"/>
      <c r="BH162" s="166"/>
      <c r="BI162" s="166"/>
      <c r="BJ162" s="167"/>
      <c r="BK162" s="32" t="str">
        <f t="shared" ref="BK162:BK163" si="105">IF(P162&lt;&gt;"",O162&amp;"_"&amp;P162&amp;".sql","")</f>
        <v>ENT_21_03_患者マスタ.sql</v>
      </c>
    </row>
    <row r="163" spans="1:63" ht="37.5" customHeight="1">
      <c r="A163" s="34" t="str">
        <f t="shared" si="104"/>
        <v>疾患マスタ</v>
      </c>
      <c r="B163" s="181" t="str">
        <f t="shared" si="100"/>
        <v>21</v>
      </c>
      <c r="C163" s="182"/>
      <c r="D163" s="182"/>
      <c r="E163" s="182"/>
      <c r="F163" s="183"/>
      <c r="G163" s="184" t="s">
        <v>305</v>
      </c>
      <c r="H163" s="185"/>
      <c r="I163" s="185"/>
      <c r="J163" s="185"/>
      <c r="K163" s="185"/>
      <c r="L163" s="185"/>
      <c r="M163" s="185"/>
      <c r="N163" s="186"/>
      <c r="O163" s="79" t="str">
        <f t="shared" si="101"/>
        <v>ENT_21_04</v>
      </c>
      <c r="P163" s="188" t="s">
        <v>3810</v>
      </c>
      <c r="Q163" s="189"/>
      <c r="R163" s="189"/>
      <c r="S163" s="189"/>
      <c r="T163" s="189"/>
      <c r="U163" s="189"/>
      <c r="V163" s="189"/>
      <c r="W163" s="189"/>
      <c r="X163" s="189"/>
      <c r="Y163" s="189"/>
      <c r="Z163" s="189"/>
      <c r="AA163" s="189"/>
      <c r="AB163" s="189"/>
      <c r="AC163" s="189"/>
      <c r="AD163" s="190"/>
      <c r="AE163" s="165" t="str">
        <f t="shared" ca="1" si="102"/>
        <v>sny_202310_mt_shikkan</v>
      </c>
      <c r="AF163" s="166"/>
      <c r="AG163" s="166"/>
      <c r="AH163" s="166"/>
      <c r="AI163" s="166"/>
      <c r="AJ163" s="166"/>
      <c r="AK163" s="166"/>
      <c r="AL163" s="187"/>
      <c r="AM163" s="165" t="str">
        <f t="shared" ca="1" si="103"/>
        <v>疾患マスタ情報を格納するテーブル</v>
      </c>
      <c r="AN163" s="166"/>
      <c r="AO163" s="166"/>
      <c r="AP163" s="166"/>
      <c r="AQ163" s="166"/>
      <c r="AR163" s="166"/>
      <c r="AS163" s="166"/>
      <c r="AT163" s="166"/>
      <c r="AU163" s="166"/>
      <c r="AV163" s="166"/>
      <c r="AW163" s="166"/>
      <c r="AX163" s="166"/>
      <c r="AY163" s="166"/>
      <c r="AZ163" s="166"/>
      <c r="BA163" s="166"/>
      <c r="BB163" s="166"/>
      <c r="BC163" s="166"/>
      <c r="BD163" s="166"/>
      <c r="BE163" s="166"/>
      <c r="BF163" s="166"/>
      <c r="BG163" s="166"/>
      <c r="BH163" s="166"/>
      <c r="BI163" s="166"/>
      <c r="BJ163" s="167"/>
      <c r="BK163" s="32" t="str">
        <f t="shared" si="105"/>
        <v>ENT_21_04_疾患マスタ.sql</v>
      </c>
    </row>
    <row r="164" spans="1:63" ht="37.5" customHeight="1">
      <c r="A164" s="34" t="str">
        <f t="shared" ref="A164" si="106">P164</f>
        <v>薬剤マスタ</v>
      </c>
      <c r="B164" s="181" t="str">
        <f t="shared" si="100"/>
        <v>21</v>
      </c>
      <c r="C164" s="182"/>
      <c r="D164" s="182"/>
      <c r="E164" s="182"/>
      <c r="F164" s="183"/>
      <c r="G164" s="184" t="s">
        <v>305</v>
      </c>
      <c r="H164" s="185"/>
      <c r="I164" s="185"/>
      <c r="J164" s="185"/>
      <c r="K164" s="185"/>
      <c r="L164" s="185"/>
      <c r="M164" s="185"/>
      <c r="N164" s="186"/>
      <c r="O164" s="79" t="str">
        <f t="shared" si="101"/>
        <v>ENT_21_05</v>
      </c>
      <c r="P164" s="188" t="s">
        <v>3811</v>
      </c>
      <c r="Q164" s="189"/>
      <c r="R164" s="189"/>
      <c r="S164" s="189"/>
      <c r="T164" s="189"/>
      <c r="U164" s="189"/>
      <c r="V164" s="189"/>
      <c r="W164" s="189"/>
      <c r="X164" s="189"/>
      <c r="Y164" s="189"/>
      <c r="Z164" s="189"/>
      <c r="AA164" s="189"/>
      <c r="AB164" s="189"/>
      <c r="AC164" s="189"/>
      <c r="AD164" s="190"/>
      <c r="AE164" s="165" t="str">
        <f t="shared" ca="1" si="102"/>
        <v>sny_202310_mt_yakuzai</v>
      </c>
      <c r="AF164" s="166"/>
      <c r="AG164" s="166"/>
      <c r="AH164" s="166"/>
      <c r="AI164" s="166"/>
      <c r="AJ164" s="166"/>
      <c r="AK164" s="166"/>
      <c r="AL164" s="187"/>
      <c r="AM164" s="165" t="str">
        <f t="shared" ca="1" si="103"/>
        <v>薬剤マスタ情報を格納するテーブル</v>
      </c>
      <c r="AN164" s="166"/>
      <c r="AO164" s="166"/>
      <c r="AP164" s="166"/>
      <c r="AQ164" s="166"/>
      <c r="AR164" s="166"/>
      <c r="AS164" s="166"/>
      <c r="AT164" s="166"/>
      <c r="AU164" s="166"/>
      <c r="AV164" s="166"/>
      <c r="AW164" s="166"/>
      <c r="AX164" s="166"/>
      <c r="AY164" s="166"/>
      <c r="AZ164" s="166"/>
      <c r="BA164" s="166"/>
      <c r="BB164" s="166"/>
      <c r="BC164" s="166"/>
      <c r="BD164" s="166"/>
      <c r="BE164" s="166"/>
      <c r="BF164" s="166"/>
      <c r="BG164" s="166"/>
      <c r="BH164" s="166"/>
      <c r="BI164" s="166"/>
      <c r="BJ164" s="167"/>
      <c r="BK164" s="32" t="str">
        <f t="shared" ref="BK164" si="107">IF(P164&lt;&gt;"",O164&amp;"_"&amp;P164&amp;".sql","")</f>
        <v>ENT_21_05_薬剤マスタ.sql</v>
      </c>
    </row>
    <row r="165" spans="1:63" ht="37.5" customHeight="1">
      <c r="A165" s="34" t="str">
        <f t="shared" ref="A165" si="108">P165</f>
        <v>検体検査マスタ</v>
      </c>
      <c r="B165" s="181" t="str">
        <f t="shared" si="100"/>
        <v>21</v>
      </c>
      <c r="C165" s="182"/>
      <c r="D165" s="182"/>
      <c r="E165" s="182"/>
      <c r="F165" s="183"/>
      <c r="G165" s="184" t="s">
        <v>305</v>
      </c>
      <c r="H165" s="185"/>
      <c r="I165" s="185"/>
      <c r="J165" s="185"/>
      <c r="K165" s="185"/>
      <c r="L165" s="185"/>
      <c r="M165" s="185"/>
      <c r="N165" s="186"/>
      <c r="O165" s="79" t="str">
        <f t="shared" ref="O165" si="109">IF(P165&lt;&gt;"","ENT_"&amp;RIGHT(B165,2)&amp;"_"&amp;TEXT(ROW(O165)-ROW(O$160)+1,"00"),"")</f>
        <v>ENT_21_06</v>
      </c>
      <c r="P165" s="188" t="s">
        <v>3812</v>
      </c>
      <c r="Q165" s="189"/>
      <c r="R165" s="189"/>
      <c r="S165" s="189"/>
      <c r="T165" s="189"/>
      <c r="U165" s="189"/>
      <c r="V165" s="189"/>
      <c r="W165" s="189"/>
      <c r="X165" s="189"/>
      <c r="Y165" s="189"/>
      <c r="Z165" s="189"/>
      <c r="AA165" s="189"/>
      <c r="AB165" s="189"/>
      <c r="AC165" s="189"/>
      <c r="AD165" s="190"/>
      <c r="AE165" s="165" t="str">
        <f t="shared" ref="AE165" ca="1" si="110">IFERROR(INDIRECT(P165&amp;"!D8"),"")</f>
        <v>sny_202310_mt_kensa</v>
      </c>
      <c r="AF165" s="166"/>
      <c r="AG165" s="166"/>
      <c r="AH165" s="166"/>
      <c r="AI165" s="166"/>
      <c r="AJ165" s="166"/>
      <c r="AK165" s="166"/>
      <c r="AL165" s="187"/>
      <c r="AM165" s="165" t="str">
        <f t="shared" ref="AM165" ca="1" si="111">IFERROR(INDIRECT(P165&amp;"!D9"),"")</f>
        <v>検体検査マスタ情報を格納するテーブル</v>
      </c>
      <c r="AN165" s="166"/>
      <c r="AO165" s="166"/>
      <c r="AP165" s="166"/>
      <c r="AQ165" s="166"/>
      <c r="AR165" s="166"/>
      <c r="AS165" s="166"/>
      <c r="AT165" s="166"/>
      <c r="AU165" s="166"/>
      <c r="AV165" s="166"/>
      <c r="AW165" s="166"/>
      <c r="AX165" s="166"/>
      <c r="AY165" s="166"/>
      <c r="AZ165" s="166"/>
      <c r="BA165" s="166"/>
      <c r="BB165" s="166"/>
      <c r="BC165" s="166"/>
      <c r="BD165" s="166"/>
      <c r="BE165" s="166"/>
      <c r="BF165" s="166"/>
      <c r="BG165" s="166"/>
      <c r="BH165" s="166"/>
      <c r="BI165" s="166"/>
      <c r="BJ165" s="167"/>
      <c r="BK165" s="32" t="str">
        <f t="shared" ref="BK165" si="112">IF(P165&lt;&gt;"",O165&amp;"_"&amp;P165&amp;".sql","")</f>
        <v>ENT_21_06_検体検査マスタ.sql</v>
      </c>
    </row>
    <row r="166" spans="1:63" ht="37.5" customHeight="1">
      <c r="A166" s="34" t="str">
        <f t="shared" ref="A166" si="113">P166</f>
        <v>診療行為マスタ</v>
      </c>
      <c r="B166" s="243" t="str">
        <f t="shared" si="100"/>
        <v>21</v>
      </c>
      <c r="C166" s="244"/>
      <c r="D166" s="244"/>
      <c r="E166" s="244"/>
      <c r="F166" s="245"/>
      <c r="G166" s="240" t="s">
        <v>305</v>
      </c>
      <c r="H166" s="241"/>
      <c r="I166" s="241"/>
      <c r="J166" s="241"/>
      <c r="K166" s="241"/>
      <c r="L166" s="241"/>
      <c r="M166" s="241"/>
      <c r="N166" s="242"/>
      <c r="O166" s="79" t="str">
        <f t="shared" si="101"/>
        <v>ENT_21_07</v>
      </c>
      <c r="P166" s="188" t="s">
        <v>4085</v>
      </c>
      <c r="Q166" s="189"/>
      <c r="R166" s="189"/>
      <c r="S166" s="189"/>
      <c r="T166" s="189"/>
      <c r="U166" s="189"/>
      <c r="V166" s="189"/>
      <c r="W166" s="189"/>
      <c r="X166" s="189"/>
      <c r="Y166" s="189"/>
      <c r="Z166" s="189"/>
      <c r="AA166" s="189"/>
      <c r="AB166" s="189"/>
      <c r="AC166" s="189"/>
      <c r="AD166" s="190"/>
      <c r="AE166" s="165" t="str">
        <f t="shared" ca="1" si="102"/>
        <v>sny_202310_mt_shinryo_koi</v>
      </c>
      <c r="AF166" s="166"/>
      <c r="AG166" s="166"/>
      <c r="AH166" s="166"/>
      <c r="AI166" s="166"/>
      <c r="AJ166" s="166"/>
      <c r="AK166" s="166"/>
      <c r="AL166" s="187"/>
      <c r="AM166" s="165" t="str">
        <f t="shared" ca="1" si="103"/>
        <v>診療行為マスタ情報を格納するテーブル</v>
      </c>
      <c r="AN166" s="166"/>
      <c r="AO166" s="166"/>
      <c r="AP166" s="166"/>
      <c r="AQ166" s="166"/>
      <c r="AR166" s="166"/>
      <c r="AS166" s="166"/>
      <c r="AT166" s="166"/>
      <c r="AU166" s="166"/>
      <c r="AV166" s="166"/>
      <c r="AW166" s="166"/>
      <c r="AX166" s="166"/>
      <c r="AY166" s="166"/>
      <c r="AZ166" s="166"/>
      <c r="BA166" s="166"/>
      <c r="BB166" s="166"/>
      <c r="BC166" s="166"/>
      <c r="BD166" s="166"/>
      <c r="BE166" s="166"/>
      <c r="BF166" s="166"/>
      <c r="BG166" s="166"/>
      <c r="BH166" s="166"/>
      <c r="BI166" s="166"/>
      <c r="BJ166" s="167"/>
      <c r="BK166" s="32" t="str">
        <f t="shared" ref="BK166" si="114">IF(P166&lt;&gt;"",O166&amp;"_"&amp;P166&amp;".sql","")</f>
        <v>ENT_21_07_診療行為マスタ.sql</v>
      </c>
    </row>
    <row r="167" spans="1:63" ht="37.5" customHeight="1" outlineLevel="1">
      <c r="A167" s="34" t="str">
        <f t="shared" si="78"/>
        <v>ベース_処方データ</v>
      </c>
      <c r="B167" s="168" t="str">
        <f>TEXT(31,"00")</f>
        <v>31</v>
      </c>
      <c r="C167" s="169"/>
      <c r="D167" s="169"/>
      <c r="E167" s="169"/>
      <c r="F167" s="170"/>
      <c r="G167" s="171" t="s">
        <v>308</v>
      </c>
      <c r="H167" s="172"/>
      <c r="I167" s="172"/>
      <c r="J167" s="172"/>
      <c r="K167" s="172"/>
      <c r="L167" s="172"/>
      <c r="M167" s="172"/>
      <c r="N167" s="173"/>
      <c r="O167" s="79" t="s">
        <v>4026</v>
      </c>
      <c r="P167" s="188" t="s">
        <v>3704</v>
      </c>
      <c r="Q167" s="189"/>
      <c r="R167" s="189"/>
      <c r="S167" s="189"/>
      <c r="T167" s="189"/>
      <c r="U167" s="189"/>
      <c r="V167" s="189"/>
      <c r="W167" s="189"/>
      <c r="X167" s="189"/>
      <c r="Y167" s="189"/>
      <c r="Z167" s="189"/>
      <c r="AA167" s="189"/>
      <c r="AB167" s="189"/>
      <c r="AC167" s="189"/>
      <c r="AD167" s="190"/>
      <c r="AE167" s="165" t="str">
        <f t="shared" ref="AE167" ca="1" si="115">IFERROR(INDIRECT(P167&amp;"!D8"),"")</f>
        <v>sny_202310_base_mart_shohou</v>
      </c>
      <c r="AF167" s="166"/>
      <c r="AG167" s="166"/>
      <c r="AH167" s="166"/>
      <c r="AI167" s="166"/>
      <c r="AJ167" s="166"/>
      <c r="AK167" s="166"/>
      <c r="AL167" s="187"/>
      <c r="AM167" s="165" t="str">
        <f t="shared" ref="AM167" ca="1" si="116">IFERROR(INDIRECT(P167&amp;"!D9"),"")</f>
        <v>バックアップ_処方データテーブルから対象患者で絞り込んだ結果を格納するテーブル</v>
      </c>
      <c r="AN167" s="166"/>
      <c r="AO167" s="166"/>
      <c r="AP167" s="166"/>
      <c r="AQ167" s="166"/>
      <c r="AR167" s="166"/>
      <c r="AS167" s="166"/>
      <c r="AT167" s="166"/>
      <c r="AU167" s="166"/>
      <c r="AV167" s="166"/>
      <c r="AW167" s="166"/>
      <c r="AX167" s="166"/>
      <c r="AY167" s="166"/>
      <c r="AZ167" s="166"/>
      <c r="BA167" s="166"/>
      <c r="BB167" s="166"/>
      <c r="BC167" s="166"/>
      <c r="BD167" s="166"/>
      <c r="BE167" s="166"/>
      <c r="BF167" s="166"/>
      <c r="BG167" s="166"/>
      <c r="BH167" s="166"/>
      <c r="BI167" s="166"/>
      <c r="BJ167" s="167"/>
      <c r="BK167" s="32" t="str">
        <f t="shared" si="43"/>
        <v>ENT_31_A1-02_ベース_処方データ.sql</v>
      </c>
    </row>
    <row r="168" spans="1:63" ht="37.5" customHeight="1" outlineLevel="1">
      <c r="A168" s="34" t="str">
        <f t="shared" ref="A168:A205" si="117">P168</f>
        <v>ベース_診療行為データ</v>
      </c>
      <c r="B168" s="181" t="str">
        <f t="shared" ref="B168:B200" si="118">TEXT(31,"00")</f>
        <v>31</v>
      </c>
      <c r="C168" s="182"/>
      <c r="D168" s="182"/>
      <c r="E168" s="182"/>
      <c r="F168" s="183"/>
      <c r="G168" s="184" t="s">
        <v>308</v>
      </c>
      <c r="H168" s="185"/>
      <c r="I168" s="185"/>
      <c r="J168" s="185"/>
      <c r="K168" s="185"/>
      <c r="L168" s="185"/>
      <c r="M168" s="185"/>
      <c r="N168" s="186"/>
      <c r="O168" s="79" t="s">
        <v>4027</v>
      </c>
      <c r="P168" s="188" t="s">
        <v>3705</v>
      </c>
      <c r="Q168" s="189"/>
      <c r="R168" s="189"/>
      <c r="S168" s="189"/>
      <c r="T168" s="189"/>
      <c r="U168" s="189"/>
      <c r="V168" s="189"/>
      <c r="W168" s="189"/>
      <c r="X168" s="189"/>
      <c r="Y168" s="189"/>
      <c r="Z168" s="189"/>
      <c r="AA168" s="189"/>
      <c r="AB168" s="189"/>
      <c r="AC168" s="189"/>
      <c r="AD168" s="190"/>
      <c r="AE168" s="165" t="str">
        <f t="shared" ref="AE168:AE206" ca="1" si="119">IFERROR(INDIRECT(P168&amp;"!D8"),"")</f>
        <v>sny_202310_base_mart_shinryou_koui</v>
      </c>
      <c r="AF168" s="166"/>
      <c r="AG168" s="166"/>
      <c r="AH168" s="166"/>
      <c r="AI168" s="166"/>
      <c r="AJ168" s="166"/>
      <c r="AK168" s="166"/>
      <c r="AL168" s="187"/>
      <c r="AM168" s="165" t="str">
        <f t="shared" ref="AM168:AM206" ca="1" si="120">IFERROR(INDIRECT(P168&amp;"!D9"),"")</f>
        <v>バックアップ_診療行為データテーブルから対象患者で絞り込んだ結果を格納するテーブル</v>
      </c>
      <c r="AN168" s="166"/>
      <c r="AO168" s="166"/>
      <c r="AP168" s="166"/>
      <c r="AQ168" s="166"/>
      <c r="AR168" s="166"/>
      <c r="AS168" s="166"/>
      <c r="AT168" s="166"/>
      <c r="AU168" s="166"/>
      <c r="AV168" s="166"/>
      <c r="AW168" s="166"/>
      <c r="AX168" s="166"/>
      <c r="AY168" s="166"/>
      <c r="AZ168" s="166"/>
      <c r="BA168" s="166"/>
      <c r="BB168" s="166"/>
      <c r="BC168" s="166"/>
      <c r="BD168" s="166"/>
      <c r="BE168" s="166"/>
      <c r="BF168" s="166"/>
      <c r="BG168" s="166"/>
      <c r="BH168" s="166"/>
      <c r="BI168" s="166"/>
      <c r="BJ168" s="167"/>
      <c r="BK168" s="32" t="str">
        <f t="shared" ref="BK168:BK206" si="121">IF(P168&lt;&gt;"",O168&amp;"_"&amp;P168&amp;".sql","")</f>
        <v>ENT_31_A1-03_ベース_診療行為データ.sql</v>
      </c>
    </row>
    <row r="169" spans="1:63" ht="37.5" customHeight="1" outlineLevel="1">
      <c r="A169" s="34" t="str">
        <f t="shared" si="117"/>
        <v>ベース_入院退院データ</v>
      </c>
      <c r="B169" s="181" t="str">
        <f t="shared" si="118"/>
        <v>31</v>
      </c>
      <c r="C169" s="182"/>
      <c r="D169" s="182"/>
      <c r="E169" s="182"/>
      <c r="F169" s="183"/>
      <c r="G169" s="184" t="s">
        <v>308</v>
      </c>
      <c r="H169" s="185"/>
      <c r="I169" s="185"/>
      <c r="J169" s="185"/>
      <c r="K169" s="185"/>
      <c r="L169" s="185"/>
      <c r="M169" s="185"/>
      <c r="N169" s="186"/>
      <c r="O169" s="79" t="s">
        <v>4028</v>
      </c>
      <c r="P169" s="188" t="s">
        <v>3706</v>
      </c>
      <c r="Q169" s="189"/>
      <c r="R169" s="189"/>
      <c r="S169" s="189"/>
      <c r="T169" s="189"/>
      <c r="U169" s="189"/>
      <c r="V169" s="189"/>
      <c r="W169" s="189"/>
      <c r="X169" s="189"/>
      <c r="Y169" s="189"/>
      <c r="Z169" s="189"/>
      <c r="AA169" s="189"/>
      <c r="AB169" s="189"/>
      <c r="AC169" s="189"/>
      <c r="AD169" s="190"/>
      <c r="AE169" s="165" t="str">
        <f t="shared" ca="1" si="119"/>
        <v>sny_202310_base_mart_nyu_tai_in</v>
      </c>
      <c r="AF169" s="166"/>
      <c r="AG169" s="166"/>
      <c r="AH169" s="166"/>
      <c r="AI169" s="166"/>
      <c r="AJ169" s="166"/>
      <c r="AK169" s="166"/>
      <c r="AL169" s="187"/>
      <c r="AM169" s="165" t="str">
        <f t="shared" ca="1" si="120"/>
        <v>バックアップ_入院退院データテーブルから対象患者で絞り込んだ結果を格納するテーブル</v>
      </c>
      <c r="AN169" s="166"/>
      <c r="AO169" s="166"/>
      <c r="AP169" s="166"/>
      <c r="AQ169" s="166"/>
      <c r="AR169" s="166"/>
      <c r="AS169" s="166"/>
      <c r="AT169" s="166"/>
      <c r="AU169" s="166"/>
      <c r="AV169" s="166"/>
      <c r="AW169" s="166"/>
      <c r="AX169" s="166"/>
      <c r="AY169" s="166"/>
      <c r="AZ169" s="166"/>
      <c r="BA169" s="166"/>
      <c r="BB169" s="166"/>
      <c r="BC169" s="166"/>
      <c r="BD169" s="166"/>
      <c r="BE169" s="166"/>
      <c r="BF169" s="166"/>
      <c r="BG169" s="166"/>
      <c r="BH169" s="166"/>
      <c r="BI169" s="166"/>
      <c r="BJ169" s="167"/>
      <c r="BK169" s="32" t="str">
        <f t="shared" si="121"/>
        <v>ENT_31_A1-06_ベース_入院退院データ.sql</v>
      </c>
    </row>
    <row r="170" spans="1:63" ht="37.5" customHeight="1" outlineLevel="1">
      <c r="A170" s="34" t="str">
        <f t="shared" si="117"/>
        <v>ベース_患者基本データ</v>
      </c>
      <c r="B170" s="181" t="str">
        <f t="shared" si="118"/>
        <v>31</v>
      </c>
      <c r="C170" s="182"/>
      <c r="D170" s="182"/>
      <c r="E170" s="182"/>
      <c r="F170" s="183"/>
      <c r="G170" s="184" t="s">
        <v>308</v>
      </c>
      <c r="H170" s="185"/>
      <c r="I170" s="185"/>
      <c r="J170" s="185"/>
      <c r="K170" s="185"/>
      <c r="L170" s="185"/>
      <c r="M170" s="185"/>
      <c r="N170" s="186"/>
      <c r="O170" s="79" t="s">
        <v>4029</v>
      </c>
      <c r="P170" s="188" t="s">
        <v>3707</v>
      </c>
      <c r="Q170" s="189"/>
      <c r="R170" s="189"/>
      <c r="S170" s="189"/>
      <c r="T170" s="189"/>
      <c r="U170" s="189"/>
      <c r="V170" s="189"/>
      <c r="W170" s="189"/>
      <c r="X170" s="189"/>
      <c r="Y170" s="189"/>
      <c r="Z170" s="189"/>
      <c r="AA170" s="189"/>
      <c r="AB170" s="189"/>
      <c r="AC170" s="189"/>
      <c r="AD170" s="190"/>
      <c r="AE170" s="165" t="str">
        <f t="shared" ca="1" si="119"/>
        <v>sny_202310_base_mart_patient_basic</v>
      </c>
      <c r="AF170" s="166"/>
      <c r="AG170" s="166"/>
      <c r="AH170" s="166"/>
      <c r="AI170" s="166"/>
      <c r="AJ170" s="166"/>
      <c r="AK170" s="166"/>
      <c r="AL170" s="187"/>
      <c r="AM170" s="165" t="str">
        <f t="shared" ca="1" si="120"/>
        <v>バックアップ_患者基本データテーブルから対象患者で絞り込んだ結果を格納するテーブル</v>
      </c>
      <c r="AN170" s="166"/>
      <c r="AO170" s="166"/>
      <c r="AP170" s="166"/>
      <c r="AQ170" s="166"/>
      <c r="AR170" s="166"/>
      <c r="AS170" s="166"/>
      <c r="AT170" s="166"/>
      <c r="AU170" s="166"/>
      <c r="AV170" s="166"/>
      <c r="AW170" s="166"/>
      <c r="AX170" s="166"/>
      <c r="AY170" s="166"/>
      <c r="AZ170" s="166"/>
      <c r="BA170" s="166"/>
      <c r="BB170" s="166"/>
      <c r="BC170" s="166"/>
      <c r="BD170" s="166"/>
      <c r="BE170" s="166"/>
      <c r="BF170" s="166"/>
      <c r="BG170" s="166"/>
      <c r="BH170" s="166"/>
      <c r="BI170" s="166"/>
      <c r="BJ170" s="167"/>
      <c r="BK170" s="32" t="str">
        <f t="shared" si="121"/>
        <v>ENT_31_A1-14_ベース_患者基本データ.sql</v>
      </c>
    </row>
    <row r="171" spans="1:63" ht="37.5" customHeight="1" outlineLevel="1">
      <c r="A171" s="34" t="str">
        <f t="shared" si="117"/>
        <v>ベース_MML共通</v>
      </c>
      <c r="B171" s="181" t="str">
        <f t="shared" si="118"/>
        <v>31</v>
      </c>
      <c r="C171" s="182"/>
      <c r="D171" s="182"/>
      <c r="E171" s="182"/>
      <c r="F171" s="183"/>
      <c r="G171" s="184" t="s">
        <v>308</v>
      </c>
      <c r="H171" s="185"/>
      <c r="I171" s="185"/>
      <c r="J171" s="185"/>
      <c r="K171" s="185"/>
      <c r="L171" s="185"/>
      <c r="M171" s="185"/>
      <c r="N171" s="186"/>
      <c r="O171" s="79" t="s">
        <v>4030</v>
      </c>
      <c r="P171" s="188" t="s">
        <v>3708</v>
      </c>
      <c r="Q171" s="189"/>
      <c r="R171" s="189"/>
      <c r="S171" s="189"/>
      <c r="T171" s="189"/>
      <c r="U171" s="189"/>
      <c r="V171" s="189"/>
      <c r="W171" s="189"/>
      <c r="X171" s="189"/>
      <c r="Y171" s="189"/>
      <c r="Z171" s="189"/>
      <c r="AA171" s="189"/>
      <c r="AB171" s="189"/>
      <c r="AC171" s="189"/>
      <c r="AD171" s="190"/>
      <c r="AE171" s="165" t="str">
        <f t="shared" ca="1" si="119"/>
        <v>sny_202310_base_text_mml_common</v>
      </c>
      <c r="AF171" s="166"/>
      <c r="AG171" s="166"/>
      <c r="AH171" s="166"/>
      <c r="AI171" s="166"/>
      <c r="AJ171" s="166"/>
      <c r="AK171" s="166"/>
      <c r="AL171" s="187"/>
      <c r="AM171" s="165" t="str">
        <f t="shared" ca="1" si="120"/>
        <v>バックアップ_MML共通テーブルから対象患者で絞り込んだ結果を格納するテーブル</v>
      </c>
      <c r="AN171" s="166"/>
      <c r="AO171" s="166"/>
      <c r="AP171" s="166"/>
      <c r="AQ171" s="166"/>
      <c r="AR171" s="166"/>
      <c r="AS171" s="166"/>
      <c r="AT171" s="166"/>
      <c r="AU171" s="166"/>
      <c r="AV171" s="166"/>
      <c r="AW171" s="166"/>
      <c r="AX171" s="166"/>
      <c r="AY171" s="166"/>
      <c r="AZ171" s="166"/>
      <c r="BA171" s="166"/>
      <c r="BB171" s="166"/>
      <c r="BC171" s="166"/>
      <c r="BD171" s="166"/>
      <c r="BE171" s="166"/>
      <c r="BF171" s="166"/>
      <c r="BG171" s="166"/>
      <c r="BH171" s="166"/>
      <c r="BI171" s="166"/>
      <c r="BJ171" s="167"/>
      <c r="BK171" s="32" t="str">
        <f t="shared" si="121"/>
        <v>ENT_31_A6-02_ベース_MML共通.sql</v>
      </c>
    </row>
    <row r="172" spans="1:63" ht="37.5" customHeight="1" outlineLevel="1">
      <c r="A172" s="34" t="str">
        <f t="shared" si="117"/>
        <v>ベース_MML_診断履歴情報モジュール_本文</v>
      </c>
      <c r="B172" s="181" t="str">
        <f t="shared" si="118"/>
        <v>31</v>
      </c>
      <c r="C172" s="182"/>
      <c r="D172" s="182"/>
      <c r="E172" s="182"/>
      <c r="F172" s="183"/>
      <c r="G172" s="184" t="s">
        <v>308</v>
      </c>
      <c r="H172" s="185"/>
      <c r="I172" s="185"/>
      <c r="J172" s="185"/>
      <c r="K172" s="185"/>
      <c r="L172" s="185"/>
      <c r="M172" s="185"/>
      <c r="N172" s="186"/>
      <c r="O172" s="79" t="s">
        <v>4031</v>
      </c>
      <c r="P172" s="188" t="s">
        <v>3709</v>
      </c>
      <c r="Q172" s="189"/>
      <c r="R172" s="189"/>
      <c r="S172" s="189"/>
      <c r="T172" s="189"/>
      <c r="U172" s="189"/>
      <c r="V172" s="189"/>
      <c r="W172" s="189"/>
      <c r="X172" s="189"/>
      <c r="Y172" s="189"/>
      <c r="Z172" s="189"/>
      <c r="AA172" s="189"/>
      <c r="AB172" s="189"/>
      <c r="AC172" s="189"/>
      <c r="AD172" s="190"/>
      <c r="AE172" s="165" t="str">
        <f t="shared" ca="1" si="119"/>
        <v>sny_202310_base_text_mml_mmlrd_body</v>
      </c>
      <c r="AF172" s="166"/>
      <c r="AG172" s="166"/>
      <c r="AH172" s="166"/>
      <c r="AI172" s="166"/>
      <c r="AJ172" s="166"/>
      <c r="AK172" s="166"/>
      <c r="AL172" s="187"/>
      <c r="AM172" s="165" t="str">
        <f t="shared" ca="1" si="120"/>
        <v>バックアップ_MML_診断履歴情報モジュール_本文テーブルから対象患者で絞り込んだ結果を格納するテーブル</v>
      </c>
      <c r="AN172" s="166"/>
      <c r="AO172" s="166"/>
      <c r="AP172" s="166"/>
      <c r="AQ172" s="166"/>
      <c r="AR172" s="166"/>
      <c r="AS172" s="166"/>
      <c r="AT172" s="166"/>
      <c r="AU172" s="166"/>
      <c r="AV172" s="166"/>
      <c r="AW172" s="166"/>
      <c r="AX172" s="166"/>
      <c r="AY172" s="166"/>
      <c r="AZ172" s="166"/>
      <c r="BA172" s="166"/>
      <c r="BB172" s="166"/>
      <c r="BC172" s="166"/>
      <c r="BD172" s="166"/>
      <c r="BE172" s="166"/>
      <c r="BF172" s="166"/>
      <c r="BG172" s="166"/>
      <c r="BH172" s="166"/>
      <c r="BI172" s="166"/>
      <c r="BJ172" s="167"/>
      <c r="BK172" s="32" t="str">
        <f t="shared" si="121"/>
        <v>ENT_31_A6-03_ベース_MML_診断履歴情報モジュール_本文.sql</v>
      </c>
    </row>
    <row r="173" spans="1:63" ht="37.5" customHeight="1" outlineLevel="1">
      <c r="A173" s="34" t="str">
        <f t="shared" si="117"/>
        <v>ベース_MML_診断履歴情報モジュール_病名</v>
      </c>
      <c r="B173" s="181" t="str">
        <f t="shared" si="118"/>
        <v>31</v>
      </c>
      <c r="C173" s="182"/>
      <c r="D173" s="182"/>
      <c r="E173" s="182"/>
      <c r="F173" s="183"/>
      <c r="G173" s="184" t="s">
        <v>308</v>
      </c>
      <c r="H173" s="185"/>
      <c r="I173" s="185"/>
      <c r="J173" s="185"/>
      <c r="K173" s="185"/>
      <c r="L173" s="185"/>
      <c r="M173" s="185"/>
      <c r="N173" s="186"/>
      <c r="O173" s="79" t="s">
        <v>4032</v>
      </c>
      <c r="P173" s="188" t="s">
        <v>3710</v>
      </c>
      <c r="Q173" s="189"/>
      <c r="R173" s="189"/>
      <c r="S173" s="189"/>
      <c r="T173" s="189"/>
      <c r="U173" s="189"/>
      <c r="V173" s="189"/>
      <c r="W173" s="189"/>
      <c r="X173" s="189"/>
      <c r="Y173" s="189"/>
      <c r="Z173" s="189"/>
      <c r="AA173" s="189"/>
      <c r="AB173" s="189"/>
      <c r="AC173" s="189"/>
      <c r="AD173" s="190"/>
      <c r="AE173" s="165" t="str">
        <f t="shared" ca="1" si="119"/>
        <v>sny_202310_base_text_mml_mmlrd_byomei</v>
      </c>
      <c r="AF173" s="166"/>
      <c r="AG173" s="166"/>
      <c r="AH173" s="166"/>
      <c r="AI173" s="166"/>
      <c r="AJ173" s="166"/>
      <c r="AK173" s="166"/>
      <c r="AL173" s="187"/>
      <c r="AM173" s="165" t="str">
        <f t="shared" ca="1" si="120"/>
        <v>バックアップ_MML_診断履歴情報モジュール_病名テーブルから対象患者で絞り込んだ結果を格納するテーブル</v>
      </c>
      <c r="AN173" s="166"/>
      <c r="AO173" s="166"/>
      <c r="AP173" s="166"/>
      <c r="AQ173" s="166"/>
      <c r="AR173" s="166"/>
      <c r="AS173" s="166"/>
      <c r="AT173" s="166"/>
      <c r="AU173" s="166"/>
      <c r="AV173" s="166"/>
      <c r="AW173" s="166"/>
      <c r="AX173" s="166"/>
      <c r="AY173" s="166"/>
      <c r="AZ173" s="166"/>
      <c r="BA173" s="166"/>
      <c r="BB173" s="166"/>
      <c r="BC173" s="166"/>
      <c r="BD173" s="166"/>
      <c r="BE173" s="166"/>
      <c r="BF173" s="166"/>
      <c r="BG173" s="166"/>
      <c r="BH173" s="166"/>
      <c r="BI173" s="166"/>
      <c r="BJ173" s="167"/>
      <c r="BK173" s="32" t="str">
        <f t="shared" si="121"/>
        <v>ENT_31_A6-04_ベース_MML_診断履歴情報モジュール_病名.sql</v>
      </c>
    </row>
    <row r="174" spans="1:63" ht="37.5" customHeight="1" outlineLevel="1">
      <c r="A174" s="34" t="str">
        <f t="shared" ref="A174:A179" si="122">P174</f>
        <v>ベース_MML_検歴情報モジュール_本文</v>
      </c>
      <c r="B174" s="181" t="str">
        <f t="shared" si="118"/>
        <v>31</v>
      </c>
      <c r="C174" s="182"/>
      <c r="D174" s="182"/>
      <c r="E174" s="182"/>
      <c r="F174" s="183"/>
      <c r="G174" s="184" t="s">
        <v>308</v>
      </c>
      <c r="H174" s="185"/>
      <c r="I174" s="185"/>
      <c r="J174" s="185"/>
      <c r="K174" s="185"/>
      <c r="L174" s="185"/>
      <c r="M174" s="185"/>
      <c r="N174" s="186"/>
      <c r="O174" s="79" t="s">
        <v>4056</v>
      </c>
      <c r="P174" s="188" t="s">
        <v>3992</v>
      </c>
      <c r="Q174" s="189"/>
      <c r="R174" s="189"/>
      <c r="S174" s="189"/>
      <c r="T174" s="189"/>
      <c r="U174" s="189"/>
      <c r="V174" s="189"/>
      <c r="W174" s="189"/>
      <c r="X174" s="189"/>
      <c r="Y174" s="189"/>
      <c r="Z174" s="189"/>
      <c r="AA174" s="189"/>
      <c r="AB174" s="189"/>
      <c r="AC174" s="189"/>
      <c r="AD174" s="190"/>
      <c r="AE174" s="165" t="str">
        <f t="shared" ref="AE174:AE179" ca="1" si="123">IFERROR(INDIRECT(P174&amp;"!D8"),"")</f>
        <v>sny_202310_base_text_mml_mmllb_body</v>
      </c>
      <c r="AF174" s="166"/>
      <c r="AG174" s="166"/>
      <c r="AH174" s="166"/>
      <c r="AI174" s="166"/>
      <c r="AJ174" s="166"/>
      <c r="AK174" s="166"/>
      <c r="AL174" s="187"/>
      <c r="AM174" s="165" t="str">
        <f t="shared" ref="AM174:AM179" ca="1" si="124">IFERROR(INDIRECT(P174&amp;"!D9"),"")</f>
        <v>ベース_MML_検歴情報モジュール_本文テーブルから組入れ条件の第一条件で絞り込んだ結果を格納するテーブル</v>
      </c>
      <c r="AN174" s="166"/>
      <c r="AO174" s="166"/>
      <c r="AP174" s="166"/>
      <c r="AQ174" s="166"/>
      <c r="AR174" s="166"/>
      <c r="AS174" s="166"/>
      <c r="AT174" s="166"/>
      <c r="AU174" s="166"/>
      <c r="AV174" s="166"/>
      <c r="AW174" s="166"/>
      <c r="AX174" s="166"/>
      <c r="AY174" s="166"/>
      <c r="AZ174" s="166"/>
      <c r="BA174" s="166"/>
      <c r="BB174" s="166"/>
      <c r="BC174" s="166"/>
      <c r="BD174" s="166"/>
      <c r="BE174" s="166"/>
      <c r="BF174" s="166"/>
      <c r="BG174" s="166"/>
      <c r="BH174" s="166"/>
      <c r="BI174" s="166"/>
      <c r="BJ174" s="167"/>
      <c r="BK174" s="32" t="str">
        <f t="shared" ref="BK174:BK179" si="125">IF(P174&lt;&gt;"",O174&amp;"_"&amp;P174&amp;".sql","")</f>
        <v>ENT_31_A6-18_ベース_MML_検歴情報モジュール_本文.sql</v>
      </c>
    </row>
    <row r="175" spans="1:63" ht="37.5" customHeight="1" outlineLevel="1">
      <c r="A175" s="34" t="str">
        <f t="shared" si="122"/>
        <v>ベース_MML_検歴情報モジュール_報告コメント</v>
      </c>
      <c r="B175" s="181" t="str">
        <f t="shared" si="118"/>
        <v>31</v>
      </c>
      <c r="C175" s="182"/>
      <c r="D175" s="182"/>
      <c r="E175" s="182"/>
      <c r="F175" s="183"/>
      <c r="G175" s="184" t="s">
        <v>308</v>
      </c>
      <c r="H175" s="185"/>
      <c r="I175" s="185"/>
      <c r="J175" s="185"/>
      <c r="K175" s="185"/>
      <c r="L175" s="185"/>
      <c r="M175" s="185"/>
      <c r="N175" s="186"/>
      <c r="O175" s="79" t="s">
        <v>4057</v>
      </c>
      <c r="P175" s="188" t="s">
        <v>3993</v>
      </c>
      <c r="Q175" s="189"/>
      <c r="R175" s="189"/>
      <c r="S175" s="189"/>
      <c r="T175" s="189"/>
      <c r="U175" s="189"/>
      <c r="V175" s="189"/>
      <c r="W175" s="189"/>
      <c r="X175" s="189"/>
      <c r="Y175" s="189"/>
      <c r="Z175" s="189"/>
      <c r="AA175" s="189"/>
      <c r="AB175" s="189"/>
      <c r="AC175" s="189"/>
      <c r="AD175" s="190"/>
      <c r="AE175" s="165" t="str">
        <f t="shared" ca="1" si="123"/>
        <v>sny_202310_base_text_mml_mmllb_memo</v>
      </c>
      <c r="AF175" s="166"/>
      <c r="AG175" s="166"/>
      <c r="AH175" s="166"/>
      <c r="AI175" s="166"/>
      <c r="AJ175" s="166"/>
      <c r="AK175" s="166"/>
      <c r="AL175" s="187"/>
      <c r="AM175" s="165" t="str">
        <f t="shared" ca="1" si="124"/>
        <v>ベース_MML_検歴情報モジュール_報告コメントテーブルから組入れ条件の第一条件で絞り込んだ結果を格納するテーブル</v>
      </c>
      <c r="AN175" s="166"/>
      <c r="AO175" s="166"/>
      <c r="AP175" s="166"/>
      <c r="AQ175" s="166"/>
      <c r="AR175" s="166"/>
      <c r="AS175" s="166"/>
      <c r="AT175" s="166"/>
      <c r="AU175" s="166"/>
      <c r="AV175" s="166"/>
      <c r="AW175" s="166"/>
      <c r="AX175" s="166"/>
      <c r="AY175" s="166"/>
      <c r="AZ175" s="166"/>
      <c r="BA175" s="166"/>
      <c r="BB175" s="166"/>
      <c r="BC175" s="166"/>
      <c r="BD175" s="166"/>
      <c r="BE175" s="166"/>
      <c r="BF175" s="166"/>
      <c r="BG175" s="166"/>
      <c r="BH175" s="166"/>
      <c r="BI175" s="166"/>
      <c r="BJ175" s="167"/>
      <c r="BK175" s="32" t="str">
        <f t="shared" si="125"/>
        <v>ENT_31_A6-19_ベース_MML_検歴情報モジュール_報告コメント.sql</v>
      </c>
    </row>
    <row r="176" spans="1:63" ht="37.5" customHeight="1" outlineLevel="1">
      <c r="A176" s="34" t="str">
        <f t="shared" si="122"/>
        <v>ベース_MML_検歴情報モジュール_検体検査結果情報</v>
      </c>
      <c r="B176" s="181" t="str">
        <f t="shared" si="118"/>
        <v>31</v>
      </c>
      <c r="C176" s="182"/>
      <c r="D176" s="182"/>
      <c r="E176" s="182"/>
      <c r="F176" s="183"/>
      <c r="G176" s="184" t="s">
        <v>308</v>
      </c>
      <c r="H176" s="185"/>
      <c r="I176" s="185"/>
      <c r="J176" s="185"/>
      <c r="K176" s="185"/>
      <c r="L176" s="185"/>
      <c r="M176" s="185"/>
      <c r="N176" s="186"/>
      <c r="O176" s="79" t="s">
        <v>4058</v>
      </c>
      <c r="P176" s="188" t="s">
        <v>3994</v>
      </c>
      <c r="Q176" s="189"/>
      <c r="R176" s="189"/>
      <c r="S176" s="189"/>
      <c r="T176" s="189"/>
      <c r="U176" s="189"/>
      <c r="V176" s="189"/>
      <c r="W176" s="189"/>
      <c r="X176" s="189"/>
      <c r="Y176" s="189"/>
      <c r="Z176" s="189"/>
      <c r="AA176" s="189"/>
      <c r="AB176" s="189"/>
      <c r="AC176" s="189"/>
      <c r="AD176" s="190"/>
      <c r="AE176" s="165" t="str">
        <f t="shared" ca="1" si="123"/>
        <v>sny_202310_base_text_mml_mmllb_labo_test</v>
      </c>
      <c r="AF176" s="166"/>
      <c r="AG176" s="166"/>
      <c r="AH176" s="166"/>
      <c r="AI176" s="166"/>
      <c r="AJ176" s="166"/>
      <c r="AK176" s="166"/>
      <c r="AL176" s="187"/>
      <c r="AM176" s="165" t="str">
        <f t="shared" ca="1" si="124"/>
        <v>ベース_MML_検歴情報モジュール_検体検査結果情報テーブルから組入れ条件の第一条件で絞り込んだ結果を格納するテーブル</v>
      </c>
      <c r="AN176" s="166"/>
      <c r="AO176" s="166"/>
      <c r="AP176" s="166"/>
      <c r="AQ176" s="166"/>
      <c r="AR176" s="166"/>
      <c r="AS176" s="166"/>
      <c r="AT176" s="166"/>
      <c r="AU176" s="166"/>
      <c r="AV176" s="166"/>
      <c r="AW176" s="166"/>
      <c r="AX176" s="166"/>
      <c r="AY176" s="166"/>
      <c r="AZ176" s="166"/>
      <c r="BA176" s="166"/>
      <c r="BB176" s="166"/>
      <c r="BC176" s="166"/>
      <c r="BD176" s="166"/>
      <c r="BE176" s="166"/>
      <c r="BF176" s="166"/>
      <c r="BG176" s="166"/>
      <c r="BH176" s="166"/>
      <c r="BI176" s="166"/>
      <c r="BJ176" s="167"/>
      <c r="BK176" s="32" t="str">
        <f t="shared" si="125"/>
        <v>ENT_31_A6-20_ベース_MML_検歴情報モジュール_検体検査結果情報.sql</v>
      </c>
    </row>
    <row r="177" spans="1:63" ht="37.5" customHeight="1" outlineLevel="1">
      <c r="A177" s="34" t="str">
        <f t="shared" si="122"/>
        <v>ベース_MML_検歴情報モジュール_検体コメント</v>
      </c>
      <c r="B177" s="181" t="str">
        <f t="shared" si="118"/>
        <v>31</v>
      </c>
      <c r="C177" s="182"/>
      <c r="D177" s="182"/>
      <c r="E177" s="182"/>
      <c r="F177" s="183"/>
      <c r="G177" s="184" t="s">
        <v>308</v>
      </c>
      <c r="H177" s="185"/>
      <c r="I177" s="185"/>
      <c r="J177" s="185"/>
      <c r="K177" s="185"/>
      <c r="L177" s="185"/>
      <c r="M177" s="185"/>
      <c r="N177" s="186"/>
      <c r="O177" s="79" t="s">
        <v>4059</v>
      </c>
      <c r="P177" s="188" t="s">
        <v>3995</v>
      </c>
      <c r="Q177" s="189"/>
      <c r="R177" s="189"/>
      <c r="S177" s="189"/>
      <c r="T177" s="189"/>
      <c r="U177" s="189"/>
      <c r="V177" s="189"/>
      <c r="W177" s="189"/>
      <c r="X177" s="189"/>
      <c r="Y177" s="189"/>
      <c r="Z177" s="189"/>
      <c r="AA177" s="189"/>
      <c r="AB177" s="189"/>
      <c r="AC177" s="189"/>
      <c r="AD177" s="190"/>
      <c r="AE177" s="165" t="str">
        <f t="shared" ca="1" si="123"/>
        <v>sny_202310_base_text_mml_mmllb_spc_memo</v>
      </c>
      <c r="AF177" s="166"/>
      <c r="AG177" s="166"/>
      <c r="AH177" s="166"/>
      <c r="AI177" s="166"/>
      <c r="AJ177" s="166"/>
      <c r="AK177" s="166"/>
      <c r="AL177" s="187"/>
      <c r="AM177" s="165" t="str">
        <f t="shared" ca="1" si="124"/>
        <v>ベース_MML_検歴情報モジュール_検体コメントテーブルから組入れ条件の第一条件で絞り込んだ結果を格納するテーブル</v>
      </c>
      <c r="AN177" s="166"/>
      <c r="AO177" s="166"/>
      <c r="AP177" s="166"/>
      <c r="AQ177" s="166"/>
      <c r="AR177" s="166"/>
      <c r="AS177" s="166"/>
      <c r="AT177" s="166"/>
      <c r="AU177" s="166"/>
      <c r="AV177" s="166"/>
      <c r="AW177" s="166"/>
      <c r="AX177" s="166"/>
      <c r="AY177" s="166"/>
      <c r="AZ177" s="166"/>
      <c r="BA177" s="166"/>
      <c r="BB177" s="166"/>
      <c r="BC177" s="166"/>
      <c r="BD177" s="166"/>
      <c r="BE177" s="166"/>
      <c r="BF177" s="166"/>
      <c r="BG177" s="166"/>
      <c r="BH177" s="166"/>
      <c r="BI177" s="166"/>
      <c r="BJ177" s="167"/>
      <c r="BK177" s="32" t="str">
        <f t="shared" si="125"/>
        <v>ENT_31_A6-21_ベース_MML_検歴情報モジュール_検体コメント.sql</v>
      </c>
    </row>
    <row r="178" spans="1:63" ht="37.5" customHeight="1" outlineLevel="1">
      <c r="A178" s="34" t="str">
        <f t="shared" si="122"/>
        <v>ベース_MML_検歴情報モジュール_検査項目</v>
      </c>
      <c r="B178" s="181" t="str">
        <f t="shared" si="118"/>
        <v>31</v>
      </c>
      <c r="C178" s="182"/>
      <c r="D178" s="182"/>
      <c r="E178" s="182"/>
      <c r="F178" s="183"/>
      <c r="G178" s="184" t="s">
        <v>308</v>
      </c>
      <c r="H178" s="185"/>
      <c r="I178" s="185"/>
      <c r="J178" s="185"/>
      <c r="K178" s="185"/>
      <c r="L178" s="185"/>
      <c r="M178" s="185"/>
      <c r="N178" s="186"/>
      <c r="O178" s="79" t="s">
        <v>4060</v>
      </c>
      <c r="P178" s="188" t="s">
        <v>3996</v>
      </c>
      <c r="Q178" s="189"/>
      <c r="R178" s="189"/>
      <c r="S178" s="189"/>
      <c r="T178" s="189"/>
      <c r="U178" s="189"/>
      <c r="V178" s="189"/>
      <c r="W178" s="189"/>
      <c r="X178" s="189"/>
      <c r="Y178" s="189"/>
      <c r="Z178" s="189"/>
      <c r="AA178" s="189"/>
      <c r="AB178" s="189"/>
      <c r="AC178" s="189"/>
      <c r="AD178" s="190"/>
      <c r="AE178" s="165" t="str">
        <f t="shared" ca="1" si="123"/>
        <v>sny_202310_base_text_mml_mmllb_item</v>
      </c>
      <c r="AF178" s="166"/>
      <c r="AG178" s="166"/>
      <c r="AH178" s="166"/>
      <c r="AI178" s="166"/>
      <c r="AJ178" s="166"/>
      <c r="AK178" s="166"/>
      <c r="AL178" s="187"/>
      <c r="AM178" s="165" t="str">
        <f t="shared" ca="1" si="124"/>
        <v>ベース_MML_検歴情報モジュール_検査項目テーブルから組入れ条件の第一条件で絞り込んだ結果を格納するテーブル</v>
      </c>
      <c r="AN178" s="166"/>
      <c r="AO178" s="166"/>
      <c r="AP178" s="166"/>
      <c r="AQ178" s="166"/>
      <c r="AR178" s="166"/>
      <c r="AS178" s="166"/>
      <c r="AT178" s="166"/>
      <c r="AU178" s="166"/>
      <c r="AV178" s="166"/>
      <c r="AW178" s="166"/>
      <c r="AX178" s="166"/>
      <c r="AY178" s="166"/>
      <c r="AZ178" s="166"/>
      <c r="BA178" s="166"/>
      <c r="BB178" s="166"/>
      <c r="BC178" s="166"/>
      <c r="BD178" s="166"/>
      <c r="BE178" s="166"/>
      <c r="BF178" s="166"/>
      <c r="BG178" s="166"/>
      <c r="BH178" s="166"/>
      <c r="BI178" s="166"/>
      <c r="BJ178" s="167"/>
      <c r="BK178" s="32" t="str">
        <f t="shared" si="125"/>
        <v>ENT_31_A6-22_ベース_MML_検歴情報モジュール_検査項目.sql</v>
      </c>
    </row>
    <row r="179" spans="1:63" ht="37.5" customHeight="1" outlineLevel="1">
      <c r="A179" s="34" t="str">
        <f t="shared" si="122"/>
        <v>ベース_MML_検歴情報モジュール_検査項目コメント</v>
      </c>
      <c r="B179" s="181" t="str">
        <f t="shared" ref="B179" si="126">TEXT(31,"00")</f>
        <v>31</v>
      </c>
      <c r="C179" s="182"/>
      <c r="D179" s="182"/>
      <c r="E179" s="182"/>
      <c r="F179" s="183"/>
      <c r="G179" s="184" t="s">
        <v>308</v>
      </c>
      <c r="H179" s="185"/>
      <c r="I179" s="185"/>
      <c r="J179" s="185"/>
      <c r="K179" s="185"/>
      <c r="L179" s="185"/>
      <c r="M179" s="185"/>
      <c r="N179" s="186"/>
      <c r="O179" s="79" t="s">
        <v>4061</v>
      </c>
      <c r="P179" s="188" t="s">
        <v>3997</v>
      </c>
      <c r="Q179" s="189"/>
      <c r="R179" s="189"/>
      <c r="S179" s="189"/>
      <c r="T179" s="189"/>
      <c r="U179" s="189"/>
      <c r="V179" s="189"/>
      <c r="W179" s="189"/>
      <c r="X179" s="189"/>
      <c r="Y179" s="189"/>
      <c r="Z179" s="189"/>
      <c r="AA179" s="189"/>
      <c r="AB179" s="189"/>
      <c r="AC179" s="189"/>
      <c r="AD179" s="190"/>
      <c r="AE179" s="165" t="str">
        <f t="shared" ca="1" si="123"/>
        <v>sny_202310_base_text_mml_mmllb_item_memo</v>
      </c>
      <c r="AF179" s="166"/>
      <c r="AG179" s="166"/>
      <c r="AH179" s="166"/>
      <c r="AI179" s="166"/>
      <c r="AJ179" s="166"/>
      <c r="AK179" s="166"/>
      <c r="AL179" s="187"/>
      <c r="AM179" s="165" t="str">
        <f t="shared" ca="1" si="124"/>
        <v>ベース_MML_検歴情報モジュール_検査項目コメントテーブルから組入れ条件の第一条件で絞り込んだ結果を格納するテーブル</v>
      </c>
      <c r="AN179" s="166"/>
      <c r="AO179" s="166"/>
      <c r="AP179" s="166"/>
      <c r="AQ179" s="166"/>
      <c r="AR179" s="166"/>
      <c r="AS179" s="166"/>
      <c r="AT179" s="166"/>
      <c r="AU179" s="166"/>
      <c r="AV179" s="166"/>
      <c r="AW179" s="166"/>
      <c r="AX179" s="166"/>
      <c r="AY179" s="166"/>
      <c r="AZ179" s="166"/>
      <c r="BA179" s="166"/>
      <c r="BB179" s="166"/>
      <c r="BC179" s="166"/>
      <c r="BD179" s="166"/>
      <c r="BE179" s="166"/>
      <c r="BF179" s="166"/>
      <c r="BG179" s="166"/>
      <c r="BH179" s="166"/>
      <c r="BI179" s="166"/>
      <c r="BJ179" s="167"/>
      <c r="BK179" s="32" t="str">
        <f t="shared" si="125"/>
        <v>ENT_31_A6-23_ベース_MML_検歴情報モジュール_検査項目コメント.sql</v>
      </c>
    </row>
    <row r="180" spans="1:63" ht="37.5" customHeight="1" outlineLevel="1">
      <c r="A180" s="34" t="str">
        <f t="shared" si="117"/>
        <v>ベース_MML_処方箋モジュール_本文</v>
      </c>
      <c r="B180" s="181" t="str">
        <f t="shared" si="118"/>
        <v>31</v>
      </c>
      <c r="C180" s="182"/>
      <c r="D180" s="182"/>
      <c r="E180" s="182"/>
      <c r="F180" s="183"/>
      <c r="G180" s="184" t="s">
        <v>308</v>
      </c>
      <c r="H180" s="185"/>
      <c r="I180" s="185"/>
      <c r="J180" s="185"/>
      <c r="K180" s="185"/>
      <c r="L180" s="185"/>
      <c r="M180" s="185"/>
      <c r="N180" s="186"/>
      <c r="O180" s="79" t="s">
        <v>4033</v>
      </c>
      <c r="P180" s="188" t="s">
        <v>3711</v>
      </c>
      <c r="Q180" s="189"/>
      <c r="R180" s="189"/>
      <c r="S180" s="189"/>
      <c r="T180" s="189"/>
      <c r="U180" s="189"/>
      <c r="V180" s="189"/>
      <c r="W180" s="189"/>
      <c r="X180" s="189"/>
      <c r="Y180" s="189"/>
      <c r="Z180" s="189"/>
      <c r="AA180" s="189"/>
      <c r="AB180" s="189"/>
      <c r="AC180" s="189"/>
      <c r="AD180" s="190"/>
      <c r="AE180" s="165" t="str">
        <f t="shared" ca="1" si="119"/>
        <v>sny_202310_base_text_mml_mmlps_body</v>
      </c>
      <c r="AF180" s="166"/>
      <c r="AG180" s="166"/>
      <c r="AH180" s="166"/>
      <c r="AI180" s="166"/>
      <c r="AJ180" s="166"/>
      <c r="AK180" s="166"/>
      <c r="AL180" s="187"/>
      <c r="AM180" s="165" t="str">
        <f t="shared" ca="1" si="120"/>
        <v>バックアップ_MML_処方箋モジュール_本文テーブルから対象患者で絞り込んだ結果を格納するテーブル</v>
      </c>
      <c r="AN180" s="166"/>
      <c r="AO180" s="166"/>
      <c r="AP180" s="166"/>
      <c r="AQ180" s="166"/>
      <c r="AR180" s="166"/>
      <c r="AS180" s="166"/>
      <c r="AT180" s="166"/>
      <c r="AU180" s="166"/>
      <c r="AV180" s="166"/>
      <c r="AW180" s="166"/>
      <c r="AX180" s="166"/>
      <c r="AY180" s="166"/>
      <c r="AZ180" s="166"/>
      <c r="BA180" s="166"/>
      <c r="BB180" s="166"/>
      <c r="BC180" s="166"/>
      <c r="BD180" s="166"/>
      <c r="BE180" s="166"/>
      <c r="BF180" s="166"/>
      <c r="BG180" s="166"/>
      <c r="BH180" s="166"/>
      <c r="BI180" s="166"/>
      <c r="BJ180" s="167"/>
      <c r="BK180" s="32" t="str">
        <f t="shared" si="121"/>
        <v>ENT_31_A6-24_ベース_MML_処方箋モジュール_本文.sql</v>
      </c>
    </row>
    <row r="181" spans="1:63" ht="37.5" customHeight="1" outlineLevel="1">
      <c r="A181" s="34" t="str">
        <f t="shared" si="117"/>
        <v>ベース_MML_処方箋モジュール_投薬</v>
      </c>
      <c r="B181" s="181" t="str">
        <f t="shared" si="118"/>
        <v>31</v>
      </c>
      <c r="C181" s="182"/>
      <c r="D181" s="182"/>
      <c r="E181" s="182"/>
      <c r="F181" s="183"/>
      <c r="G181" s="184" t="s">
        <v>308</v>
      </c>
      <c r="H181" s="185"/>
      <c r="I181" s="185"/>
      <c r="J181" s="185"/>
      <c r="K181" s="185"/>
      <c r="L181" s="185"/>
      <c r="M181" s="185"/>
      <c r="N181" s="186"/>
      <c r="O181" s="79" t="s">
        <v>4034</v>
      </c>
      <c r="P181" s="188" t="s">
        <v>3712</v>
      </c>
      <c r="Q181" s="189"/>
      <c r="R181" s="189"/>
      <c r="S181" s="189"/>
      <c r="T181" s="189"/>
      <c r="U181" s="189"/>
      <c r="V181" s="189"/>
      <c r="W181" s="189"/>
      <c r="X181" s="189"/>
      <c r="Y181" s="189"/>
      <c r="Z181" s="189"/>
      <c r="AA181" s="189"/>
      <c r="AB181" s="189"/>
      <c r="AC181" s="189"/>
      <c r="AD181" s="190"/>
      <c r="AE181" s="165" t="str">
        <f t="shared" ca="1" si="119"/>
        <v>sny_202310_base_text_mml_mmlps_medication</v>
      </c>
      <c r="AF181" s="166"/>
      <c r="AG181" s="166"/>
      <c r="AH181" s="166"/>
      <c r="AI181" s="166"/>
      <c r="AJ181" s="166"/>
      <c r="AK181" s="166"/>
      <c r="AL181" s="187"/>
      <c r="AM181" s="165" t="str">
        <f t="shared" ca="1" si="120"/>
        <v>バックアップ_MML_処方箋モジュール_投薬テーブルから対象患者で絞り込んだ結果を格納するテーブル</v>
      </c>
      <c r="AN181" s="166"/>
      <c r="AO181" s="166"/>
      <c r="AP181" s="166"/>
      <c r="AQ181" s="166"/>
      <c r="AR181" s="166"/>
      <c r="AS181" s="166"/>
      <c r="AT181" s="166"/>
      <c r="AU181" s="166"/>
      <c r="AV181" s="166"/>
      <c r="AW181" s="166"/>
      <c r="AX181" s="166"/>
      <c r="AY181" s="166"/>
      <c r="AZ181" s="166"/>
      <c r="BA181" s="166"/>
      <c r="BB181" s="166"/>
      <c r="BC181" s="166"/>
      <c r="BD181" s="166"/>
      <c r="BE181" s="166"/>
      <c r="BF181" s="166"/>
      <c r="BG181" s="166"/>
      <c r="BH181" s="166"/>
      <c r="BI181" s="166"/>
      <c r="BJ181" s="167"/>
      <c r="BK181" s="32" t="str">
        <f t="shared" si="121"/>
        <v>ENT_31_A6-25_ベース_MML_処方箋モジュール_投薬.sql</v>
      </c>
    </row>
    <row r="182" spans="1:63" ht="37.5" customHeight="1" outlineLevel="1">
      <c r="A182" s="34" t="str">
        <f t="shared" si="117"/>
        <v>ベース_MML_処方箋モジュール_薬剤</v>
      </c>
      <c r="B182" s="181" t="str">
        <f t="shared" si="118"/>
        <v>31</v>
      </c>
      <c r="C182" s="182"/>
      <c r="D182" s="182"/>
      <c r="E182" s="182"/>
      <c r="F182" s="183"/>
      <c r="G182" s="184" t="s">
        <v>308</v>
      </c>
      <c r="H182" s="185"/>
      <c r="I182" s="185"/>
      <c r="J182" s="185"/>
      <c r="K182" s="185"/>
      <c r="L182" s="185"/>
      <c r="M182" s="185"/>
      <c r="N182" s="186"/>
      <c r="O182" s="79" t="s">
        <v>4035</v>
      </c>
      <c r="P182" s="188" t="s">
        <v>3713</v>
      </c>
      <c r="Q182" s="189"/>
      <c r="R182" s="189"/>
      <c r="S182" s="189"/>
      <c r="T182" s="189"/>
      <c r="U182" s="189"/>
      <c r="V182" s="189"/>
      <c r="W182" s="189"/>
      <c r="X182" s="189"/>
      <c r="Y182" s="189"/>
      <c r="Z182" s="189"/>
      <c r="AA182" s="189"/>
      <c r="AB182" s="189"/>
      <c r="AC182" s="189"/>
      <c r="AD182" s="190"/>
      <c r="AE182" s="165" t="str">
        <f t="shared" ca="1" si="119"/>
        <v>sny_202310_base_text_mml_mmlps_medicine</v>
      </c>
      <c r="AF182" s="166"/>
      <c r="AG182" s="166"/>
      <c r="AH182" s="166"/>
      <c r="AI182" s="166"/>
      <c r="AJ182" s="166"/>
      <c r="AK182" s="166"/>
      <c r="AL182" s="187"/>
      <c r="AM182" s="165" t="str">
        <f t="shared" ca="1" si="120"/>
        <v>バックアップ_MML_処方箋モジュール_薬剤テーブルから対象患者で絞り込んだ結果を格納するテーブル</v>
      </c>
      <c r="AN182" s="166"/>
      <c r="AO182" s="166"/>
      <c r="AP182" s="166"/>
      <c r="AQ182" s="166"/>
      <c r="AR182" s="166"/>
      <c r="AS182" s="166"/>
      <c r="AT182" s="166"/>
      <c r="AU182" s="166"/>
      <c r="AV182" s="166"/>
      <c r="AW182" s="166"/>
      <c r="AX182" s="166"/>
      <c r="AY182" s="166"/>
      <c r="AZ182" s="166"/>
      <c r="BA182" s="166"/>
      <c r="BB182" s="166"/>
      <c r="BC182" s="166"/>
      <c r="BD182" s="166"/>
      <c r="BE182" s="166"/>
      <c r="BF182" s="166"/>
      <c r="BG182" s="166"/>
      <c r="BH182" s="166"/>
      <c r="BI182" s="166"/>
      <c r="BJ182" s="167"/>
      <c r="BK182" s="32" t="str">
        <f t="shared" si="121"/>
        <v>ENT_31_A6-26_ベース_MML_処方箋モジュール_薬剤.sql</v>
      </c>
    </row>
    <row r="183" spans="1:63" ht="37.5" customHeight="1" outlineLevel="1">
      <c r="A183" s="34" t="str">
        <f t="shared" si="117"/>
        <v>ベース_DPC調査データ_入院EF統合ファイル</v>
      </c>
      <c r="B183" s="181" t="str">
        <f t="shared" si="118"/>
        <v>31</v>
      </c>
      <c r="C183" s="182"/>
      <c r="D183" s="182"/>
      <c r="E183" s="182"/>
      <c r="F183" s="183"/>
      <c r="G183" s="184" t="s">
        <v>308</v>
      </c>
      <c r="H183" s="185"/>
      <c r="I183" s="185"/>
      <c r="J183" s="185"/>
      <c r="K183" s="185"/>
      <c r="L183" s="185"/>
      <c r="M183" s="185"/>
      <c r="N183" s="186"/>
      <c r="O183" s="79" t="s">
        <v>4036</v>
      </c>
      <c r="P183" s="188" t="s">
        <v>309</v>
      </c>
      <c r="Q183" s="189"/>
      <c r="R183" s="189"/>
      <c r="S183" s="189"/>
      <c r="T183" s="189"/>
      <c r="U183" s="189"/>
      <c r="V183" s="189"/>
      <c r="W183" s="189"/>
      <c r="X183" s="189"/>
      <c r="Y183" s="189"/>
      <c r="Z183" s="189"/>
      <c r="AA183" s="189"/>
      <c r="AB183" s="189"/>
      <c r="AC183" s="189"/>
      <c r="AD183" s="190"/>
      <c r="AE183" s="165" t="str">
        <f t="shared" ca="1" si="119"/>
        <v>sny_202310_base_merge_dpc_efn</v>
      </c>
      <c r="AF183" s="166"/>
      <c r="AG183" s="166"/>
      <c r="AH183" s="166"/>
      <c r="AI183" s="166"/>
      <c r="AJ183" s="166"/>
      <c r="AK183" s="166"/>
      <c r="AL183" s="187"/>
      <c r="AM183" s="165" t="str">
        <f t="shared" ca="1" si="120"/>
        <v>バックアップ_DPC調査データ_入院EF統合ファイルテーブルから対象患者で絞り込んだ結果を格納するテーブル</v>
      </c>
      <c r="AN183" s="166"/>
      <c r="AO183" s="166"/>
      <c r="AP183" s="166"/>
      <c r="AQ183" s="166"/>
      <c r="AR183" s="166"/>
      <c r="AS183" s="166"/>
      <c r="AT183" s="166"/>
      <c r="AU183" s="166"/>
      <c r="AV183" s="166"/>
      <c r="AW183" s="166"/>
      <c r="AX183" s="166"/>
      <c r="AY183" s="166"/>
      <c r="AZ183" s="166"/>
      <c r="BA183" s="166"/>
      <c r="BB183" s="166"/>
      <c r="BC183" s="166"/>
      <c r="BD183" s="166"/>
      <c r="BE183" s="166"/>
      <c r="BF183" s="166"/>
      <c r="BG183" s="166"/>
      <c r="BH183" s="166"/>
      <c r="BI183" s="166"/>
      <c r="BJ183" s="167"/>
      <c r="BK183" s="32" t="str">
        <f t="shared" si="121"/>
        <v>ENT_31_C1-02_ベース_DPC調査データ_入院EF統合ファイル.sql</v>
      </c>
    </row>
    <row r="184" spans="1:63" ht="37.5" customHeight="1" outlineLevel="1">
      <c r="A184" s="34" t="str">
        <f t="shared" si="117"/>
        <v>ベース_DPC調査データ_外来EF統合ファイル</v>
      </c>
      <c r="B184" s="181" t="str">
        <f t="shared" si="118"/>
        <v>31</v>
      </c>
      <c r="C184" s="182"/>
      <c r="D184" s="182"/>
      <c r="E184" s="182"/>
      <c r="F184" s="183"/>
      <c r="G184" s="184" t="s">
        <v>308</v>
      </c>
      <c r="H184" s="185"/>
      <c r="I184" s="185"/>
      <c r="J184" s="185"/>
      <c r="K184" s="185"/>
      <c r="L184" s="185"/>
      <c r="M184" s="185"/>
      <c r="N184" s="186"/>
      <c r="O184" s="79" t="s">
        <v>4037</v>
      </c>
      <c r="P184" s="188" t="s">
        <v>3714</v>
      </c>
      <c r="Q184" s="189"/>
      <c r="R184" s="189"/>
      <c r="S184" s="189"/>
      <c r="T184" s="189"/>
      <c r="U184" s="189"/>
      <c r="V184" s="189"/>
      <c r="W184" s="189"/>
      <c r="X184" s="189"/>
      <c r="Y184" s="189"/>
      <c r="Z184" s="189"/>
      <c r="AA184" s="189"/>
      <c r="AB184" s="189"/>
      <c r="AC184" s="189"/>
      <c r="AD184" s="190"/>
      <c r="AE184" s="165" t="str">
        <f t="shared" ca="1" si="119"/>
        <v>sny_202310_base_merge_dpc_efg</v>
      </c>
      <c r="AF184" s="166"/>
      <c r="AG184" s="166"/>
      <c r="AH184" s="166"/>
      <c r="AI184" s="166"/>
      <c r="AJ184" s="166"/>
      <c r="AK184" s="166"/>
      <c r="AL184" s="187"/>
      <c r="AM184" s="165" t="str">
        <f t="shared" ca="1" si="120"/>
        <v>バックアップ_DPC調査データ_外来EF統合ファイルテーブルから対象患者で絞り込んだ結果を格納するテーブル</v>
      </c>
      <c r="AN184" s="166"/>
      <c r="AO184" s="166"/>
      <c r="AP184" s="166"/>
      <c r="AQ184" s="166"/>
      <c r="AR184" s="166"/>
      <c r="AS184" s="166"/>
      <c r="AT184" s="166"/>
      <c r="AU184" s="166"/>
      <c r="AV184" s="166"/>
      <c r="AW184" s="166"/>
      <c r="AX184" s="166"/>
      <c r="AY184" s="166"/>
      <c r="AZ184" s="166"/>
      <c r="BA184" s="166"/>
      <c r="BB184" s="166"/>
      <c r="BC184" s="166"/>
      <c r="BD184" s="166"/>
      <c r="BE184" s="166"/>
      <c r="BF184" s="166"/>
      <c r="BG184" s="166"/>
      <c r="BH184" s="166"/>
      <c r="BI184" s="166"/>
      <c r="BJ184" s="167"/>
      <c r="BK184" s="32" t="str">
        <f t="shared" si="121"/>
        <v>ENT_31_C1-03_ベース_DPC調査データ_外来EF統合ファイル.sql</v>
      </c>
    </row>
    <row r="185" spans="1:63" ht="37.5" customHeight="1" outlineLevel="1">
      <c r="A185" s="34" t="str">
        <f t="shared" si="117"/>
        <v>ベース_DPC調査データ_様式1</v>
      </c>
      <c r="B185" s="181" t="str">
        <f t="shared" si="118"/>
        <v>31</v>
      </c>
      <c r="C185" s="182"/>
      <c r="D185" s="182"/>
      <c r="E185" s="182"/>
      <c r="F185" s="183"/>
      <c r="G185" s="184" t="s">
        <v>308</v>
      </c>
      <c r="H185" s="185"/>
      <c r="I185" s="185"/>
      <c r="J185" s="185"/>
      <c r="K185" s="185"/>
      <c r="L185" s="185"/>
      <c r="M185" s="185"/>
      <c r="N185" s="186"/>
      <c r="O185" s="79" t="s">
        <v>4038</v>
      </c>
      <c r="P185" s="188" t="s">
        <v>3715</v>
      </c>
      <c r="Q185" s="189"/>
      <c r="R185" s="189"/>
      <c r="S185" s="189"/>
      <c r="T185" s="189"/>
      <c r="U185" s="189"/>
      <c r="V185" s="189"/>
      <c r="W185" s="189"/>
      <c r="X185" s="189"/>
      <c r="Y185" s="189"/>
      <c r="Z185" s="189"/>
      <c r="AA185" s="189"/>
      <c r="AB185" s="189"/>
      <c r="AC185" s="189"/>
      <c r="AD185" s="190"/>
      <c r="AE185" s="165" t="str">
        <f t="shared" ca="1" si="119"/>
        <v>sny_202310_base_merge_dpc_ff1</v>
      </c>
      <c r="AF185" s="166"/>
      <c r="AG185" s="166"/>
      <c r="AH185" s="166"/>
      <c r="AI185" s="166"/>
      <c r="AJ185" s="166"/>
      <c r="AK185" s="166"/>
      <c r="AL185" s="187"/>
      <c r="AM185" s="165" t="str">
        <f t="shared" ca="1" si="120"/>
        <v>バックアップ_DPC調査データ_様式1テーブルから対象患者で絞り込んだ結果を格納するテーブル</v>
      </c>
      <c r="AN185" s="166"/>
      <c r="AO185" s="166"/>
      <c r="AP185" s="166"/>
      <c r="AQ185" s="166"/>
      <c r="AR185" s="166"/>
      <c r="AS185" s="166"/>
      <c r="AT185" s="166"/>
      <c r="AU185" s="166"/>
      <c r="AV185" s="166"/>
      <c r="AW185" s="166"/>
      <c r="AX185" s="166"/>
      <c r="AY185" s="166"/>
      <c r="AZ185" s="166"/>
      <c r="BA185" s="166"/>
      <c r="BB185" s="166"/>
      <c r="BC185" s="166"/>
      <c r="BD185" s="166"/>
      <c r="BE185" s="166"/>
      <c r="BF185" s="166"/>
      <c r="BG185" s="166"/>
      <c r="BH185" s="166"/>
      <c r="BI185" s="166"/>
      <c r="BJ185" s="167"/>
      <c r="BK185" s="32" t="str">
        <f t="shared" si="121"/>
        <v>ENT_31_C1-05_ベース_DPC調査データ_様式1.sql</v>
      </c>
    </row>
    <row r="186" spans="1:63" ht="37.5" customHeight="1" outlineLevel="1">
      <c r="A186" s="34" t="str">
        <f t="shared" si="117"/>
        <v>ベース_DPC調査データ_様式1_診断情報_併存症</v>
      </c>
      <c r="B186" s="181" t="str">
        <f t="shared" si="118"/>
        <v>31</v>
      </c>
      <c r="C186" s="182"/>
      <c r="D186" s="182"/>
      <c r="E186" s="182"/>
      <c r="F186" s="183"/>
      <c r="G186" s="184" t="s">
        <v>308</v>
      </c>
      <c r="H186" s="185"/>
      <c r="I186" s="185"/>
      <c r="J186" s="185"/>
      <c r="K186" s="185"/>
      <c r="L186" s="185"/>
      <c r="M186" s="185"/>
      <c r="N186" s="186"/>
      <c r="O186" s="79" t="s">
        <v>4039</v>
      </c>
      <c r="P186" s="188" t="s">
        <v>3716</v>
      </c>
      <c r="Q186" s="189"/>
      <c r="R186" s="189"/>
      <c r="S186" s="189"/>
      <c r="T186" s="189"/>
      <c r="U186" s="189"/>
      <c r="V186" s="189"/>
      <c r="W186" s="189"/>
      <c r="X186" s="189"/>
      <c r="Y186" s="189"/>
      <c r="Z186" s="189"/>
      <c r="AA186" s="189"/>
      <c r="AB186" s="189"/>
      <c r="AC186" s="189"/>
      <c r="AD186" s="190"/>
      <c r="AE186" s="165" t="str">
        <f t="shared" ca="1" si="119"/>
        <v>sny_202310_base_merge_dpc_ff1_a006040</v>
      </c>
      <c r="AF186" s="166"/>
      <c r="AG186" s="166"/>
      <c r="AH186" s="166"/>
      <c r="AI186" s="166"/>
      <c r="AJ186" s="166"/>
      <c r="AK186" s="166"/>
      <c r="AL186" s="187"/>
      <c r="AM186" s="165" t="str">
        <f t="shared" ca="1" si="120"/>
        <v>バックアップ_DPC調査データ_様式1_診断情報_併存症テーブルから対象患者で絞り込んだ結果を格納するテーブル</v>
      </c>
      <c r="AN186" s="166"/>
      <c r="AO186" s="166"/>
      <c r="AP186" s="166"/>
      <c r="AQ186" s="166"/>
      <c r="AR186" s="166"/>
      <c r="AS186" s="166"/>
      <c r="AT186" s="166"/>
      <c r="AU186" s="166"/>
      <c r="AV186" s="166"/>
      <c r="AW186" s="166"/>
      <c r="AX186" s="166"/>
      <c r="AY186" s="166"/>
      <c r="AZ186" s="166"/>
      <c r="BA186" s="166"/>
      <c r="BB186" s="166"/>
      <c r="BC186" s="166"/>
      <c r="BD186" s="166"/>
      <c r="BE186" s="166"/>
      <c r="BF186" s="166"/>
      <c r="BG186" s="166"/>
      <c r="BH186" s="166"/>
      <c r="BI186" s="166"/>
      <c r="BJ186" s="167"/>
      <c r="BK186" s="32" t="str">
        <f t="shared" si="121"/>
        <v>ENT_31_C1-07_ベース_DPC調査データ_様式1_診断情報_併存症.sql</v>
      </c>
    </row>
    <row r="187" spans="1:63" ht="37.5" customHeight="1" outlineLevel="1">
      <c r="A187" s="34" t="str">
        <f t="shared" si="117"/>
        <v>ベース_DPC調査データ_様式1_診断情報_続発症</v>
      </c>
      <c r="B187" s="181" t="str">
        <f t="shared" si="118"/>
        <v>31</v>
      </c>
      <c r="C187" s="182"/>
      <c r="D187" s="182"/>
      <c r="E187" s="182"/>
      <c r="F187" s="183"/>
      <c r="G187" s="184" t="s">
        <v>308</v>
      </c>
      <c r="H187" s="185"/>
      <c r="I187" s="185"/>
      <c r="J187" s="185"/>
      <c r="K187" s="185"/>
      <c r="L187" s="185"/>
      <c r="M187" s="185"/>
      <c r="N187" s="186"/>
      <c r="O187" s="79" t="s">
        <v>4040</v>
      </c>
      <c r="P187" s="188" t="s">
        <v>3717</v>
      </c>
      <c r="Q187" s="189"/>
      <c r="R187" s="189"/>
      <c r="S187" s="189"/>
      <c r="T187" s="189"/>
      <c r="U187" s="189"/>
      <c r="V187" s="189"/>
      <c r="W187" s="189"/>
      <c r="X187" s="189"/>
      <c r="Y187" s="189"/>
      <c r="Z187" s="189"/>
      <c r="AA187" s="189"/>
      <c r="AB187" s="189"/>
      <c r="AC187" s="189"/>
      <c r="AD187" s="190"/>
      <c r="AE187" s="165" t="str">
        <f t="shared" ca="1" si="119"/>
        <v>sny_202310_base_merge_dpc_ff1_a006050</v>
      </c>
      <c r="AF187" s="166"/>
      <c r="AG187" s="166"/>
      <c r="AH187" s="166"/>
      <c r="AI187" s="166"/>
      <c r="AJ187" s="166"/>
      <c r="AK187" s="166"/>
      <c r="AL187" s="187"/>
      <c r="AM187" s="165" t="str">
        <f t="shared" ca="1" si="120"/>
        <v>バックアップ_DPC調査データ_様式1_診断情報_続発症テーブルから対象患者で絞り込んだ結果を格納するテーブル</v>
      </c>
      <c r="AN187" s="166"/>
      <c r="AO187" s="166"/>
      <c r="AP187" s="166"/>
      <c r="AQ187" s="166"/>
      <c r="AR187" s="166"/>
      <c r="AS187" s="166"/>
      <c r="AT187" s="166"/>
      <c r="AU187" s="166"/>
      <c r="AV187" s="166"/>
      <c r="AW187" s="166"/>
      <c r="AX187" s="166"/>
      <c r="AY187" s="166"/>
      <c r="AZ187" s="166"/>
      <c r="BA187" s="166"/>
      <c r="BB187" s="166"/>
      <c r="BC187" s="166"/>
      <c r="BD187" s="166"/>
      <c r="BE187" s="166"/>
      <c r="BF187" s="166"/>
      <c r="BG187" s="166"/>
      <c r="BH187" s="166"/>
      <c r="BI187" s="166"/>
      <c r="BJ187" s="167"/>
      <c r="BK187" s="32" t="str">
        <f t="shared" si="121"/>
        <v>ENT_31_C1-08_ベース_DPC調査データ_様式1_診断情報_続発症.sql</v>
      </c>
    </row>
    <row r="188" spans="1:63" ht="37.5" customHeight="1" outlineLevel="1">
      <c r="A188" s="34" t="str">
        <f t="shared" si="117"/>
        <v>ベース_診断履歴情報モジュール_診断履歴情報レコード</v>
      </c>
      <c r="B188" s="181" t="str">
        <f t="shared" si="118"/>
        <v>31</v>
      </c>
      <c r="C188" s="182"/>
      <c r="D188" s="182"/>
      <c r="E188" s="182"/>
      <c r="F188" s="183"/>
      <c r="G188" s="184" t="s">
        <v>308</v>
      </c>
      <c r="H188" s="185"/>
      <c r="I188" s="185"/>
      <c r="J188" s="185"/>
      <c r="K188" s="185"/>
      <c r="L188" s="185"/>
      <c r="M188" s="185"/>
      <c r="N188" s="186"/>
      <c r="O188" s="79" t="s">
        <v>4041</v>
      </c>
      <c r="P188" s="188" t="s">
        <v>3718</v>
      </c>
      <c r="Q188" s="189"/>
      <c r="R188" s="189"/>
      <c r="S188" s="189"/>
      <c r="T188" s="189"/>
      <c r="U188" s="189"/>
      <c r="V188" s="189"/>
      <c r="W188" s="189"/>
      <c r="X188" s="189"/>
      <c r="Y188" s="189"/>
      <c r="Z188" s="189"/>
      <c r="AA188" s="189"/>
      <c r="AB188" s="189"/>
      <c r="AC188" s="189"/>
      <c r="AD188" s="190"/>
      <c r="AE188" s="165" t="str">
        <f t="shared" ca="1" si="119"/>
        <v>sny_202310_base_merge_mml_rd_register</v>
      </c>
      <c r="AF188" s="166"/>
      <c r="AG188" s="166"/>
      <c r="AH188" s="166"/>
      <c r="AI188" s="166"/>
      <c r="AJ188" s="166"/>
      <c r="AK188" s="166"/>
      <c r="AL188" s="187"/>
      <c r="AM188" s="165" t="str">
        <f t="shared" ca="1" si="120"/>
        <v>バックアップ_診断履歴情報モジュール_診断履歴情報レコードテーブルから対象患者で絞り込んだ結果を格納するテーブル</v>
      </c>
      <c r="AN188" s="166"/>
      <c r="AO188" s="166"/>
      <c r="AP188" s="166"/>
      <c r="AQ188" s="166"/>
      <c r="AR188" s="166"/>
      <c r="AS188" s="166"/>
      <c r="AT188" s="166"/>
      <c r="AU188" s="166"/>
      <c r="AV188" s="166"/>
      <c r="AW188" s="166"/>
      <c r="AX188" s="166"/>
      <c r="AY188" s="166"/>
      <c r="AZ188" s="166"/>
      <c r="BA188" s="166"/>
      <c r="BB188" s="166"/>
      <c r="BC188" s="166"/>
      <c r="BD188" s="166"/>
      <c r="BE188" s="166"/>
      <c r="BF188" s="166"/>
      <c r="BG188" s="166"/>
      <c r="BH188" s="166"/>
      <c r="BI188" s="166"/>
      <c r="BJ188" s="167"/>
      <c r="BK188" s="32" t="str">
        <f t="shared" si="121"/>
        <v>ENT_31_C4-03_ベース_診断履歴情報モジュール_診断履歴情報レコード.sql</v>
      </c>
    </row>
    <row r="189" spans="1:63" ht="37.5" customHeight="1" outlineLevel="1">
      <c r="A189" s="34" t="str">
        <f t="shared" si="117"/>
        <v>ベース_診断履歴情報モジュール_診断病名レコード</v>
      </c>
      <c r="B189" s="181" t="str">
        <f t="shared" si="118"/>
        <v>31</v>
      </c>
      <c r="C189" s="182"/>
      <c r="D189" s="182"/>
      <c r="E189" s="182"/>
      <c r="F189" s="183"/>
      <c r="G189" s="184" t="s">
        <v>308</v>
      </c>
      <c r="H189" s="185"/>
      <c r="I189" s="185"/>
      <c r="J189" s="185"/>
      <c r="K189" s="185"/>
      <c r="L189" s="185"/>
      <c r="M189" s="185"/>
      <c r="N189" s="186"/>
      <c r="O189" s="79" t="s">
        <v>4042</v>
      </c>
      <c r="P189" s="188" t="s">
        <v>3719</v>
      </c>
      <c r="Q189" s="189"/>
      <c r="R189" s="189"/>
      <c r="S189" s="189"/>
      <c r="T189" s="189"/>
      <c r="U189" s="189"/>
      <c r="V189" s="189"/>
      <c r="W189" s="189"/>
      <c r="X189" s="189"/>
      <c r="Y189" s="189"/>
      <c r="Z189" s="189"/>
      <c r="AA189" s="189"/>
      <c r="AB189" s="189"/>
      <c r="AC189" s="189"/>
      <c r="AD189" s="190"/>
      <c r="AE189" s="165" t="str">
        <f t="shared" ca="1" si="119"/>
        <v>sny_202310_base_merge_mml_rd_byomei</v>
      </c>
      <c r="AF189" s="166"/>
      <c r="AG189" s="166"/>
      <c r="AH189" s="166"/>
      <c r="AI189" s="166"/>
      <c r="AJ189" s="166"/>
      <c r="AK189" s="166"/>
      <c r="AL189" s="187"/>
      <c r="AM189" s="165" t="str">
        <f t="shared" ca="1" si="120"/>
        <v>バックアップ_診断履歴情報モジュール_診断病名レコードテーブルから対象患者で絞り込んだ結果を格納するテーブル</v>
      </c>
      <c r="AN189" s="166"/>
      <c r="AO189" s="166"/>
      <c r="AP189" s="166"/>
      <c r="AQ189" s="166"/>
      <c r="AR189" s="166"/>
      <c r="AS189" s="166"/>
      <c r="AT189" s="166"/>
      <c r="AU189" s="166"/>
      <c r="AV189" s="166"/>
      <c r="AW189" s="166"/>
      <c r="AX189" s="166"/>
      <c r="AY189" s="166"/>
      <c r="AZ189" s="166"/>
      <c r="BA189" s="166"/>
      <c r="BB189" s="166"/>
      <c r="BC189" s="166"/>
      <c r="BD189" s="166"/>
      <c r="BE189" s="166"/>
      <c r="BF189" s="166"/>
      <c r="BG189" s="166"/>
      <c r="BH189" s="166"/>
      <c r="BI189" s="166"/>
      <c r="BJ189" s="167"/>
      <c r="BK189" s="32" t="str">
        <f t="shared" si="121"/>
        <v>ENT_31_C4-04_ベース_診断履歴情報モジュール_診断病名レコード.sql</v>
      </c>
    </row>
    <row r="190" spans="1:63" ht="37.5" customHeight="1" outlineLevel="1">
      <c r="A190" s="34" t="str">
        <f t="shared" si="117"/>
        <v>ベース_経過記録情報モジュール_経過記録情報レコード</v>
      </c>
      <c r="B190" s="181" t="str">
        <f t="shared" si="118"/>
        <v>31</v>
      </c>
      <c r="C190" s="182"/>
      <c r="D190" s="182"/>
      <c r="E190" s="182"/>
      <c r="F190" s="183"/>
      <c r="G190" s="184" t="s">
        <v>308</v>
      </c>
      <c r="H190" s="185"/>
      <c r="I190" s="185"/>
      <c r="J190" s="185"/>
      <c r="K190" s="185"/>
      <c r="L190" s="185"/>
      <c r="M190" s="185"/>
      <c r="N190" s="186"/>
      <c r="O190" s="79" t="s">
        <v>4043</v>
      </c>
      <c r="P190" s="188" t="s">
        <v>3720</v>
      </c>
      <c r="Q190" s="189"/>
      <c r="R190" s="189"/>
      <c r="S190" s="189"/>
      <c r="T190" s="189"/>
      <c r="U190" s="189"/>
      <c r="V190" s="189"/>
      <c r="W190" s="189"/>
      <c r="X190" s="189"/>
      <c r="Y190" s="189"/>
      <c r="Z190" s="189"/>
      <c r="AA190" s="189"/>
      <c r="AB190" s="189"/>
      <c r="AC190" s="189"/>
      <c r="AD190" s="190"/>
      <c r="AE190" s="165" t="str">
        <f t="shared" ca="1" si="119"/>
        <v>sny_202310_base_merge_mml_pc_progress_course</v>
      </c>
      <c r="AF190" s="166"/>
      <c r="AG190" s="166"/>
      <c r="AH190" s="166"/>
      <c r="AI190" s="166"/>
      <c r="AJ190" s="166"/>
      <c r="AK190" s="166"/>
      <c r="AL190" s="187"/>
      <c r="AM190" s="165" t="str">
        <f t="shared" ca="1" si="120"/>
        <v>バックアップ_経過記録情報モジュール_経過記録情報レコードテーブルから対象患者で絞り込んだ結果を格納するテーブル</v>
      </c>
      <c r="AN190" s="166"/>
      <c r="AO190" s="166"/>
      <c r="AP190" s="166"/>
      <c r="AQ190" s="166"/>
      <c r="AR190" s="166"/>
      <c r="AS190" s="166"/>
      <c r="AT190" s="166"/>
      <c r="AU190" s="166"/>
      <c r="AV190" s="166"/>
      <c r="AW190" s="166"/>
      <c r="AX190" s="166"/>
      <c r="AY190" s="166"/>
      <c r="AZ190" s="166"/>
      <c r="BA190" s="166"/>
      <c r="BB190" s="166"/>
      <c r="BC190" s="166"/>
      <c r="BD190" s="166"/>
      <c r="BE190" s="166"/>
      <c r="BF190" s="166"/>
      <c r="BG190" s="166"/>
      <c r="BH190" s="166"/>
      <c r="BI190" s="166"/>
      <c r="BJ190" s="167"/>
      <c r="BK190" s="32" t="str">
        <f t="shared" si="121"/>
        <v>ENT_31_C4-06_ベース_経過記録情報モジュール_経過記録情報レコード.sql</v>
      </c>
    </row>
    <row r="191" spans="1:63" ht="37.5" customHeight="1" outlineLevel="1">
      <c r="A191" s="34" t="str">
        <f t="shared" si="117"/>
        <v>ベース_経過記録情報モジュール_プロブレムレコード</v>
      </c>
      <c r="B191" s="181" t="str">
        <f t="shared" si="118"/>
        <v>31</v>
      </c>
      <c r="C191" s="182"/>
      <c r="D191" s="182"/>
      <c r="E191" s="182"/>
      <c r="F191" s="183"/>
      <c r="G191" s="184" t="s">
        <v>308</v>
      </c>
      <c r="H191" s="185"/>
      <c r="I191" s="185"/>
      <c r="J191" s="185"/>
      <c r="K191" s="185"/>
      <c r="L191" s="185"/>
      <c r="M191" s="185"/>
      <c r="N191" s="186"/>
      <c r="O191" s="79" t="s">
        <v>4044</v>
      </c>
      <c r="P191" s="188" t="s">
        <v>3721</v>
      </c>
      <c r="Q191" s="189"/>
      <c r="R191" s="189"/>
      <c r="S191" s="189"/>
      <c r="T191" s="189"/>
      <c r="U191" s="189"/>
      <c r="V191" s="189"/>
      <c r="W191" s="189"/>
      <c r="X191" s="189"/>
      <c r="Y191" s="189"/>
      <c r="Z191" s="189"/>
      <c r="AA191" s="189"/>
      <c r="AB191" s="189"/>
      <c r="AC191" s="189"/>
      <c r="AD191" s="190"/>
      <c r="AE191" s="165" t="str">
        <f t="shared" ca="1" si="119"/>
        <v>sny_202310_base_merge_mml_pc_problem</v>
      </c>
      <c r="AF191" s="166"/>
      <c r="AG191" s="166"/>
      <c r="AH191" s="166"/>
      <c r="AI191" s="166"/>
      <c r="AJ191" s="166"/>
      <c r="AK191" s="166"/>
      <c r="AL191" s="187"/>
      <c r="AM191" s="165" t="str">
        <f t="shared" ca="1" si="120"/>
        <v>バックアップ_経過記録情報モジュール_プロブレムレコードテーブルから対象患者で絞り込んだ結果を格納するテーブル</v>
      </c>
      <c r="AN191" s="166"/>
      <c r="AO191" s="166"/>
      <c r="AP191" s="166"/>
      <c r="AQ191" s="166"/>
      <c r="AR191" s="166"/>
      <c r="AS191" s="166"/>
      <c r="AT191" s="166"/>
      <c r="AU191" s="166"/>
      <c r="AV191" s="166"/>
      <c r="AW191" s="166"/>
      <c r="AX191" s="166"/>
      <c r="AY191" s="166"/>
      <c r="AZ191" s="166"/>
      <c r="BA191" s="166"/>
      <c r="BB191" s="166"/>
      <c r="BC191" s="166"/>
      <c r="BD191" s="166"/>
      <c r="BE191" s="166"/>
      <c r="BF191" s="166"/>
      <c r="BG191" s="166"/>
      <c r="BH191" s="166"/>
      <c r="BI191" s="166"/>
      <c r="BJ191" s="167"/>
      <c r="BK191" s="32" t="str">
        <f t="shared" si="121"/>
        <v>ENT_31_C4-07_ベース_経過記録情報モジュール_プロブレムレコード.sql</v>
      </c>
    </row>
    <row r="192" spans="1:63" ht="37.5" customHeight="1" outlineLevel="1">
      <c r="A192" s="34" t="str">
        <f t="shared" si="117"/>
        <v>ベース_経過記録情報モジュール_身体所見レコード</v>
      </c>
      <c r="B192" s="181" t="str">
        <f t="shared" si="118"/>
        <v>31</v>
      </c>
      <c r="C192" s="182"/>
      <c r="D192" s="182"/>
      <c r="E192" s="182"/>
      <c r="F192" s="183"/>
      <c r="G192" s="184" t="s">
        <v>308</v>
      </c>
      <c r="H192" s="185"/>
      <c r="I192" s="185"/>
      <c r="J192" s="185"/>
      <c r="K192" s="185"/>
      <c r="L192" s="185"/>
      <c r="M192" s="185"/>
      <c r="N192" s="186"/>
      <c r="O192" s="79" t="s">
        <v>4045</v>
      </c>
      <c r="P192" s="188" t="s">
        <v>3722</v>
      </c>
      <c r="Q192" s="189"/>
      <c r="R192" s="189"/>
      <c r="S192" s="189"/>
      <c r="T192" s="189"/>
      <c r="U192" s="189"/>
      <c r="V192" s="189"/>
      <c r="W192" s="189"/>
      <c r="X192" s="189"/>
      <c r="Y192" s="189"/>
      <c r="Z192" s="189"/>
      <c r="AA192" s="189"/>
      <c r="AB192" s="189"/>
      <c r="AC192" s="189"/>
      <c r="AD192" s="190"/>
      <c r="AE192" s="165" t="str">
        <f t="shared" ca="1" si="119"/>
        <v>sny_202310_base_merge_mml_pc_physical_exam</v>
      </c>
      <c r="AF192" s="166"/>
      <c r="AG192" s="166"/>
      <c r="AH192" s="166"/>
      <c r="AI192" s="166"/>
      <c r="AJ192" s="166"/>
      <c r="AK192" s="166"/>
      <c r="AL192" s="187"/>
      <c r="AM192" s="165" t="str">
        <f t="shared" ca="1" si="120"/>
        <v>バックアップ_経過記録情報モジュール_身体所見レコードテーブルから対象患者で絞り込んだ結果を格納するテーブル</v>
      </c>
      <c r="AN192" s="166"/>
      <c r="AO192" s="166"/>
      <c r="AP192" s="166"/>
      <c r="AQ192" s="166"/>
      <c r="AR192" s="166"/>
      <c r="AS192" s="166"/>
      <c r="AT192" s="166"/>
      <c r="AU192" s="166"/>
      <c r="AV192" s="166"/>
      <c r="AW192" s="166"/>
      <c r="AX192" s="166"/>
      <c r="AY192" s="166"/>
      <c r="AZ192" s="166"/>
      <c r="BA192" s="166"/>
      <c r="BB192" s="166"/>
      <c r="BC192" s="166"/>
      <c r="BD192" s="166"/>
      <c r="BE192" s="166"/>
      <c r="BF192" s="166"/>
      <c r="BG192" s="166"/>
      <c r="BH192" s="166"/>
      <c r="BI192" s="166"/>
      <c r="BJ192" s="167"/>
      <c r="BK192" s="32" t="str">
        <f t="shared" si="121"/>
        <v>ENT_31_C4-08_ベース_経過記録情報モジュール_身体所見レコード.sql</v>
      </c>
    </row>
    <row r="193" spans="1:63" ht="37.5" customHeight="1" outlineLevel="1">
      <c r="A193" s="34" t="str">
        <f t="shared" si="117"/>
        <v>ベース_経過記録情報モジュール_アセスメントレコード</v>
      </c>
      <c r="B193" s="181" t="str">
        <f t="shared" si="118"/>
        <v>31</v>
      </c>
      <c r="C193" s="182"/>
      <c r="D193" s="182"/>
      <c r="E193" s="182"/>
      <c r="F193" s="183"/>
      <c r="G193" s="184" t="s">
        <v>308</v>
      </c>
      <c r="H193" s="185"/>
      <c r="I193" s="185"/>
      <c r="J193" s="185"/>
      <c r="K193" s="185"/>
      <c r="L193" s="185"/>
      <c r="M193" s="185"/>
      <c r="N193" s="186"/>
      <c r="O193" s="79" t="s">
        <v>4046</v>
      </c>
      <c r="P193" s="188" t="s">
        <v>3723</v>
      </c>
      <c r="Q193" s="189"/>
      <c r="R193" s="189"/>
      <c r="S193" s="189"/>
      <c r="T193" s="189"/>
      <c r="U193" s="189"/>
      <c r="V193" s="189"/>
      <c r="W193" s="189"/>
      <c r="X193" s="189"/>
      <c r="Y193" s="189"/>
      <c r="Z193" s="189"/>
      <c r="AA193" s="189"/>
      <c r="AB193" s="189"/>
      <c r="AC193" s="189"/>
      <c r="AD193" s="190"/>
      <c r="AE193" s="165" t="str">
        <f t="shared" ca="1" si="119"/>
        <v>sny_202310_base_merge_mml_pc_assessment</v>
      </c>
      <c r="AF193" s="166"/>
      <c r="AG193" s="166"/>
      <c r="AH193" s="166"/>
      <c r="AI193" s="166"/>
      <c r="AJ193" s="166"/>
      <c r="AK193" s="166"/>
      <c r="AL193" s="187"/>
      <c r="AM193" s="165" t="str">
        <f t="shared" ca="1" si="120"/>
        <v>バックアップ_経過記録情報モジュール_アセスメントレコードテーブルから対象患者で絞り込んだ結果を格納するテーブル</v>
      </c>
      <c r="AN193" s="166"/>
      <c r="AO193" s="166"/>
      <c r="AP193" s="166"/>
      <c r="AQ193" s="166"/>
      <c r="AR193" s="166"/>
      <c r="AS193" s="166"/>
      <c r="AT193" s="166"/>
      <c r="AU193" s="166"/>
      <c r="AV193" s="166"/>
      <c r="AW193" s="166"/>
      <c r="AX193" s="166"/>
      <c r="AY193" s="166"/>
      <c r="AZ193" s="166"/>
      <c r="BA193" s="166"/>
      <c r="BB193" s="166"/>
      <c r="BC193" s="166"/>
      <c r="BD193" s="166"/>
      <c r="BE193" s="166"/>
      <c r="BF193" s="166"/>
      <c r="BG193" s="166"/>
      <c r="BH193" s="166"/>
      <c r="BI193" s="166"/>
      <c r="BJ193" s="167"/>
      <c r="BK193" s="32" t="str">
        <f t="shared" si="121"/>
        <v>ENT_31_C4-15_ベース_経過記録情報モジュール_アセスメントレコード.sql</v>
      </c>
    </row>
    <row r="194" spans="1:63" ht="37.5" customHeight="1" outlineLevel="1">
      <c r="A194" s="34" t="str">
        <f t="shared" si="117"/>
        <v>ベース_経過記録情報モジュール_外部参照レコード</v>
      </c>
      <c r="B194" s="181" t="str">
        <f t="shared" si="118"/>
        <v>31</v>
      </c>
      <c r="C194" s="182"/>
      <c r="D194" s="182"/>
      <c r="E194" s="182"/>
      <c r="F194" s="183"/>
      <c r="G194" s="184" t="s">
        <v>308</v>
      </c>
      <c r="H194" s="185"/>
      <c r="I194" s="185"/>
      <c r="J194" s="185"/>
      <c r="K194" s="185"/>
      <c r="L194" s="185"/>
      <c r="M194" s="185"/>
      <c r="N194" s="186"/>
      <c r="O194" s="79" t="s">
        <v>4047</v>
      </c>
      <c r="P194" s="188" t="s">
        <v>3724</v>
      </c>
      <c r="Q194" s="189"/>
      <c r="R194" s="189"/>
      <c r="S194" s="189"/>
      <c r="T194" s="189"/>
      <c r="U194" s="189"/>
      <c r="V194" s="189"/>
      <c r="W194" s="189"/>
      <c r="X194" s="189"/>
      <c r="Y194" s="189"/>
      <c r="Z194" s="189"/>
      <c r="AA194" s="189"/>
      <c r="AB194" s="189"/>
      <c r="AC194" s="189"/>
      <c r="AD194" s="190"/>
      <c r="AE194" s="165" t="str">
        <f t="shared" ca="1" si="119"/>
        <v>sny_202310_base_merge_mml_pc_external_reference</v>
      </c>
      <c r="AF194" s="166"/>
      <c r="AG194" s="166"/>
      <c r="AH194" s="166"/>
      <c r="AI194" s="166"/>
      <c r="AJ194" s="166"/>
      <c r="AK194" s="166"/>
      <c r="AL194" s="187"/>
      <c r="AM194" s="165" t="str">
        <f t="shared" ca="1" si="120"/>
        <v>バックアップ_経過記録情報モジュール_外部参照レコードテーブルから対象患者で絞り込んだ結果を格納するテーブル</v>
      </c>
      <c r="AN194" s="166"/>
      <c r="AO194" s="166"/>
      <c r="AP194" s="166"/>
      <c r="AQ194" s="166"/>
      <c r="AR194" s="166"/>
      <c r="AS194" s="166"/>
      <c r="AT194" s="166"/>
      <c r="AU194" s="166"/>
      <c r="AV194" s="166"/>
      <c r="AW194" s="166"/>
      <c r="AX194" s="166"/>
      <c r="AY194" s="166"/>
      <c r="AZ194" s="166"/>
      <c r="BA194" s="166"/>
      <c r="BB194" s="166"/>
      <c r="BC194" s="166"/>
      <c r="BD194" s="166"/>
      <c r="BE194" s="166"/>
      <c r="BF194" s="166"/>
      <c r="BG194" s="166"/>
      <c r="BH194" s="166"/>
      <c r="BI194" s="166"/>
      <c r="BJ194" s="167"/>
      <c r="BK194" s="32" t="str">
        <f t="shared" si="121"/>
        <v>ENT_31_C4-22_ベース_経過記録情報モジュール_外部参照レコード.sql</v>
      </c>
    </row>
    <row r="195" spans="1:63" ht="37.5" customHeight="1" outlineLevel="1">
      <c r="A195" s="34" t="str">
        <f t="shared" si="117"/>
        <v>ベース_臨床サマリーモジュール_臨床サマリー情報レコード</v>
      </c>
      <c r="B195" s="181" t="str">
        <f t="shared" si="118"/>
        <v>31</v>
      </c>
      <c r="C195" s="182"/>
      <c r="D195" s="182"/>
      <c r="E195" s="182"/>
      <c r="F195" s="183"/>
      <c r="G195" s="184" t="s">
        <v>308</v>
      </c>
      <c r="H195" s="185"/>
      <c r="I195" s="185"/>
      <c r="J195" s="185"/>
      <c r="K195" s="185"/>
      <c r="L195" s="185"/>
      <c r="M195" s="185"/>
      <c r="N195" s="186"/>
      <c r="O195" s="79" t="s">
        <v>4048</v>
      </c>
      <c r="P195" s="188" t="s">
        <v>3725</v>
      </c>
      <c r="Q195" s="189"/>
      <c r="R195" s="189"/>
      <c r="S195" s="189"/>
      <c r="T195" s="189"/>
      <c r="U195" s="189"/>
      <c r="V195" s="189"/>
      <c r="W195" s="189"/>
      <c r="X195" s="189"/>
      <c r="Y195" s="189"/>
      <c r="Z195" s="189"/>
      <c r="AA195" s="189"/>
      <c r="AB195" s="189"/>
      <c r="AC195" s="189"/>
      <c r="AD195" s="190"/>
      <c r="AE195" s="165" t="str">
        <f t="shared" ca="1" si="119"/>
        <v>sny_202310_base_merge_mml_sm_summary</v>
      </c>
      <c r="AF195" s="166"/>
      <c r="AG195" s="166"/>
      <c r="AH195" s="166"/>
      <c r="AI195" s="166"/>
      <c r="AJ195" s="166"/>
      <c r="AK195" s="166"/>
      <c r="AL195" s="187"/>
      <c r="AM195" s="165" t="str">
        <f t="shared" ca="1" si="120"/>
        <v>バックアップ_臨床サマリーモジュール_臨床サマリー情報レコードテーブルから対象患者で絞り込んだ結果を格納するテーブル</v>
      </c>
      <c r="AN195" s="166"/>
      <c r="AO195" s="166"/>
      <c r="AP195" s="166"/>
      <c r="AQ195" s="166"/>
      <c r="AR195" s="166"/>
      <c r="AS195" s="166"/>
      <c r="AT195" s="166"/>
      <c r="AU195" s="166"/>
      <c r="AV195" s="166"/>
      <c r="AW195" s="166"/>
      <c r="AX195" s="166"/>
      <c r="AY195" s="166"/>
      <c r="AZ195" s="166"/>
      <c r="BA195" s="166"/>
      <c r="BB195" s="166"/>
      <c r="BC195" s="166"/>
      <c r="BD195" s="166"/>
      <c r="BE195" s="166"/>
      <c r="BF195" s="166"/>
      <c r="BG195" s="166"/>
      <c r="BH195" s="166"/>
      <c r="BI195" s="166"/>
      <c r="BJ195" s="167"/>
      <c r="BK195" s="32" t="str">
        <f t="shared" si="121"/>
        <v>ENT_31_C4-23_ベース_臨床サマリーモジュール_臨床サマリー情報レコード.sql</v>
      </c>
    </row>
    <row r="196" spans="1:63" ht="37.5" customHeight="1" outlineLevel="1">
      <c r="A196" s="34" t="str">
        <f t="shared" si="117"/>
        <v>ベース_臨床サマリーモジュール_外来受診レコード</v>
      </c>
      <c r="B196" s="181" t="str">
        <f t="shared" si="118"/>
        <v>31</v>
      </c>
      <c r="C196" s="182"/>
      <c r="D196" s="182"/>
      <c r="E196" s="182"/>
      <c r="F196" s="183"/>
      <c r="G196" s="184" t="s">
        <v>308</v>
      </c>
      <c r="H196" s="185"/>
      <c r="I196" s="185"/>
      <c r="J196" s="185"/>
      <c r="K196" s="185"/>
      <c r="L196" s="185"/>
      <c r="M196" s="185"/>
      <c r="N196" s="186"/>
      <c r="O196" s="79" t="s">
        <v>4049</v>
      </c>
      <c r="P196" s="188" t="s">
        <v>3726</v>
      </c>
      <c r="Q196" s="189"/>
      <c r="R196" s="189"/>
      <c r="S196" s="189"/>
      <c r="T196" s="189"/>
      <c r="U196" s="189"/>
      <c r="V196" s="189"/>
      <c r="W196" s="189"/>
      <c r="X196" s="189"/>
      <c r="Y196" s="189"/>
      <c r="Z196" s="189"/>
      <c r="AA196" s="189"/>
      <c r="AB196" s="189"/>
      <c r="AC196" s="189"/>
      <c r="AD196" s="190"/>
      <c r="AE196" s="165" t="str">
        <f t="shared" ca="1" si="119"/>
        <v>sny_202310_base_merge_mml_sm_out_patient</v>
      </c>
      <c r="AF196" s="166"/>
      <c r="AG196" s="166"/>
      <c r="AH196" s="166"/>
      <c r="AI196" s="166"/>
      <c r="AJ196" s="166"/>
      <c r="AK196" s="166"/>
      <c r="AL196" s="187"/>
      <c r="AM196" s="165" t="str">
        <f t="shared" ca="1" si="120"/>
        <v>バックアップ_臨床サマリーモジュール_外来受診レコードテーブルから対象患者で絞り込んだ結果を格納するテーブル</v>
      </c>
      <c r="AN196" s="166"/>
      <c r="AO196" s="166"/>
      <c r="AP196" s="166"/>
      <c r="AQ196" s="166"/>
      <c r="AR196" s="166"/>
      <c r="AS196" s="166"/>
      <c r="AT196" s="166"/>
      <c r="AU196" s="166"/>
      <c r="AV196" s="166"/>
      <c r="AW196" s="166"/>
      <c r="AX196" s="166"/>
      <c r="AY196" s="166"/>
      <c r="AZ196" s="166"/>
      <c r="BA196" s="166"/>
      <c r="BB196" s="166"/>
      <c r="BC196" s="166"/>
      <c r="BD196" s="166"/>
      <c r="BE196" s="166"/>
      <c r="BF196" s="166"/>
      <c r="BG196" s="166"/>
      <c r="BH196" s="166"/>
      <c r="BI196" s="166"/>
      <c r="BJ196" s="167"/>
      <c r="BK196" s="32" t="str">
        <f t="shared" si="121"/>
        <v>ENT_31_C4-24_ベース_臨床サマリーモジュール_外来受診レコード.sql</v>
      </c>
    </row>
    <row r="197" spans="1:63" ht="37.5" customHeight="1" outlineLevel="1">
      <c r="A197" s="34" t="str">
        <f t="shared" si="117"/>
        <v>ベース_臨床サマリーモジュール_入院レコード</v>
      </c>
      <c r="B197" s="181" t="str">
        <f t="shared" si="118"/>
        <v>31</v>
      </c>
      <c r="C197" s="182"/>
      <c r="D197" s="182"/>
      <c r="E197" s="182"/>
      <c r="F197" s="183"/>
      <c r="G197" s="184" t="s">
        <v>308</v>
      </c>
      <c r="H197" s="185"/>
      <c r="I197" s="185"/>
      <c r="J197" s="185"/>
      <c r="K197" s="185"/>
      <c r="L197" s="185"/>
      <c r="M197" s="185"/>
      <c r="N197" s="186"/>
      <c r="O197" s="79" t="s">
        <v>4050</v>
      </c>
      <c r="P197" s="188" t="s">
        <v>3727</v>
      </c>
      <c r="Q197" s="189"/>
      <c r="R197" s="189"/>
      <c r="S197" s="189"/>
      <c r="T197" s="189"/>
      <c r="U197" s="189"/>
      <c r="V197" s="189"/>
      <c r="W197" s="189"/>
      <c r="X197" s="189"/>
      <c r="Y197" s="189"/>
      <c r="Z197" s="189"/>
      <c r="AA197" s="189"/>
      <c r="AB197" s="189"/>
      <c r="AC197" s="189"/>
      <c r="AD197" s="190"/>
      <c r="AE197" s="165" t="str">
        <f t="shared" ca="1" si="119"/>
        <v>sny_202310_base_merge_mml_sm_in_patient</v>
      </c>
      <c r="AF197" s="166"/>
      <c r="AG197" s="166"/>
      <c r="AH197" s="166"/>
      <c r="AI197" s="166"/>
      <c r="AJ197" s="166"/>
      <c r="AK197" s="166"/>
      <c r="AL197" s="187"/>
      <c r="AM197" s="165" t="str">
        <f t="shared" ca="1" si="120"/>
        <v>バックアップ_臨床サマリーモジュール_入院レコードテーブルから対象患者で絞り込んだ結果を格納するテーブル</v>
      </c>
      <c r="AN197" s="166"/>
      <c r="AO197" s="166"/>
      <c r="AP197" s="166"/>
      <c r="AQ197" s="166"/>
      <c r="AR197" s="166"/>
      <c r="AS197" s="166"/>
      <c r="AT197" s="166"/>
      <c r="AU197" s="166"/>
      <c r="AV197" s="166"/>
      <c r="AW197" s="166"/>
      <c r="AX197" s="166"/>
      <c r="AY197" s="166"/>
      <c r="AZ197" s="166"/>
      <c r="BA197" s="166"/>
      <c r="BB197" s="166"/>
      <c r="BC197" s="166"/>
      <c r="BD197" s="166"/>
      <c r="BE197" s="166"/>
      <c r="BF197" s="166"/>
      <c r="BG197" s="166"/>
      <c r="BH197" s="166"/>
      <c r="BI197" s="166"/>
      <c r="BJ197" s="167"/>
      <c r="BK197" s="32" t="str">
        <f t="shared" si="121"/>
        <v>ENT_31_C4-25_ベース_臨床サマリーモジュール_入院レコード.sql</v>
      </c>
    </row>
    <row r="198" spans="1:63" ht="37.5" customHeight="1" outlineLevel="1">
      <c r="A198" s="34" t="str">
        <f t="shared" si="117"/>
        <v>ベース_臨床サマリーモジュール_経過記録レコード</v>
      </c>
      <c r="B198" s="181" t="str">
        <f t="shared" si="118"/>
        <v>31</v>
      </c>
      <c r="C198" s="182"/>
      <c r="D198" s="182"/>
      <c r="E198" s="182"/>
      <c r="F198" s="183"/>
      <c r="G198" s="184" t="s">
        <v>308</v>
      </c>
      <c r="H198" s="185"/>
      <c r="I198" s="185"/>
      <c r="J198" s="185"/>
      <c r="K198" s="185"/>
      <c r="L198" s="185"/>
      <c r="M198" s="185"/>
      <c r="N198" s="186"/>
      <c r="O198" s="79" t="s">
        <v>4051</v>
      </c>
      <c r="P198" s="188" t="s">
        <v>3728</v>
      </c>
      <c r="Q198" s="189"/>
      <c r="R198" s="189"/>
      <c r="S198" s="189"/>
      <c r="T198" s="189"/>
      <c r="U198" s="189"/>
      <c r="V198" s="189"/>
      <c r="W198" s="189"/>
      <c r="X198" s="189"/>
      <c r="Y198" s="189"/>
      <c r="Z198" s="189"/>
      <c r="AA198" s="189"/>
      <c r="AB198" s="189"/>
      <c r="AC198" s="189"/>
      <c r="AD198" s="190"/>
      <c r="AE198" s="165" t="str">
        <f t="shared" ca="1" si="119"/>
        <v>sny_202310_base_merge_mml_sm_clinical_course</v>
      </c>
      <c r="AF198" s="166"/>
      <c r="AG198" s="166"/>
      <c r="AH198" s="166"/>
      <c r="AI198" s="166"/>
      <c r="AJ198" s="166"/>
      <c r="AK198" s="166"/>
      <c r="AL198" s="187"/>
      <c r="AM198" s="165" t="str">
        <f t="shared" ca="1" si="120"/>
        <v>バックアップ_臨床サマリーモジュール_経過記録レコードテーブルから対象患者で絞り込んだ結果を格納するテーブル</v>
      </c>
      <c r="AN198" s="166"/>
      <c r="AO198" s="166"/>
      <c r="AP198" s="166"/>
      <c r="AQ198" s="166"/>
      <c r="AR198" s="166"/>
      <c r="AS198" s="166"/>
      <c r="AT198" s="166"/>
      <c r="AU198" s="166"/>
      <c r="AV198" s="166"/>
      <c r="AW198" s="166"/>
      <c r="AX198" s="166"/>
      <c r="AY198" s="166"/>
      <c r="AZ198" s="166"/>
      <c r="BA198" s="166"/>
      <c r="BB198" s="166"/>
      <c r="BC198" s="166"/>
      <c r="BD198" s="166"/>
      <c r="BE198" s="166"/>
      <c r="BF198" s="166"/>
      <c r="BG198" s="166"/>
      <c r="BH198" s="166"/>
      <c r="BI198" s="166"/>
      <c r="BJ198" s="167"/>
      <c r="BK198" s="32" t="str">
        <f t="shared" si="121"/>
        <v>ENT_31_C4-29_ベース_臨床サマリーモジュール_経過記録レコード.sql</v>
      </c>
    </row>
    <row r="199" spans="1:63" ht="37.5" customHeight="1" outlineLevel="1">
      <c r="A199" s="34" t="str">
        <f t="shared" si="117"/>
        <v>ベース_臨床サマリーモジュール_検査結果レコード</v>
      </c>
      <c r="B199" s="181" t="str">
        <f t="shared" si="118"/>
        <v>31</v>
      </c>
      <c r="C199" s="182"/>
      <c r="D199" s="182"/>
      <c r="E199" s="182"/>
      <c r="F199" s="183"/>
      <c r="G199" s="184" t="s">
        <v>308</v>
      </c>
      <c r="H199" s="185"/>
      <c r="I199" s="185"/>
      <c r="J199" s="185"/>
      <c r="K199" s="185"/>
      <c r="L199" s="185"/>
      <c r="M199" s="185"/>
      <c r="N199" s="186"/>
      <c r="O199" s="79" t="s">
        <v>4052</v>
      </c>
      <c r="P199" s="188" t="s">
        <v>3729</v>
      </c>
      <c r="Q199" s="189"/>
      <c r="R199" s="189"/>
      <c r="S199" s="189"/>
      <c r="T199" s="189"/>
      <c r="U199" s="189"/>
      <c r="V199" s="189"/>
      <c r="W199" s="189"/>
      <c r="X199" s="189"/>
      <c r="Y199" s="189"/>
      <c r="Z199" s="189"/>
      <c r="AA199" s="189"/>
      <c r="AB199" s="189"/>
      <c r="AC199" s="189"/>
      <c r="AD199" s="190"/>
      <c r="AE199" s="165" t="str">
        <f t="shared" ca="1" si="119"/>
        <v>sny_202310_base_merge_mml_sm_test_results</v>
      </c>
      <c r="AF199" s="166"/>
      <c r="AG199" s="166"/>
      <c r="AH199" s="166"/>
      <c r="AI199" s="166"/>
      <c r="AJ199" s="166"/>
      <c r="AK199" s="166"/>
      <c r="AL199" s="187"/>
      <c r="AM199" s="165" t="str">
        <f t="shared" ca="1" si="120"/>
        <v>バックアップ_臨床サマリーモジュール_検査結果レコードテーブルから対象患者で絞り込んだ結果を格納するテーブル</v>
      </c>
      <c r="AN199" s="166"/>
      <c r="AO199" s="166"/>
      <c r="AP199" s="166"/>
      <c r="AQ199" s="166"/>
      <c r="AR199" s="166"/>
      <c r="AS199" s="166"/>
      <c r="AT199" s="166"/>
      <c r="AU199" s="166"/>
      <c r="AV199" s="166"/>
      <c r="AW199" s="166"/>
      <c r="AX199" s="166"/>
      <c r="AY199" s="166"/>
      <c r="AZ199" s="166"/>
      <c r="BA199" s="166"/>
      <c r="BB199" s="166"/>
      <c r="BC199" s="166"/>
      <c r="BD199" s="166"/>
      <c r="BE199" s="166"/>
      <c r="BF199" s="166"/>
      <c r="BG199" s="166"/>
      <c r="BH199" s="166"/>
      <c r="BI199" s="166"/>
      <c r="BJ199" s="167"/>
      <c r="BK199" s="32" t="str">
        <f t="shared" si="121"/>
        <v>ENT_31_C4-30_ベース_臨床サマリーモジュール_検査結果レコード.sql</v>
      </c>
    </row>
    <row r="200" spans="1:63" ht="37.5" customHeight="1" outlineLevel="1">
      <c r="A200" s="34" t="str">
        <f t="shared" si="117"/>
        <v>ベース_検歴情報モジュール_検歴情報</v>
      </c>
      <c r="B200" s="181" t="str">
        <f t="shared" si="118"/>
        <v>31</v>
      </c>
      <c r="C200" s="182"/>
      <c r="D200" s="182"/>
      <c r="E200" s="182"/>
      <c r="F200" s="183"/>
      <c r="G200" s="184" t="s">
        <v>308</v>
      </c>
      <c r="H200" s="185"/>
      <c r="I200" s="185"/>
      <c r="J200" s="185"/>
      <c r="K200" s="185"/>
      <c r="L200" s="185"/>
      <c r="M200" s="185"/>
      <c r="N200" s="186"/>
      <c r="O200" s="79" t="s">
        <v>4053</v>
      </c>
      <c r="P200" s="188" t="s">
        <v>3730</v>
      </c>
      <c r="Q200" s="189"/>
      <c r="R200" s="189"/>
      <c r="S200" s="189"/>
      <c r="T200" s="189"/>
      <c r="U200" s="189"/>
      <c r="V200" s="189"/>
      <c r="W200" s="189"/>
      <c r="X200" s="189"/>
      <c r="Y200" s="189"/>
      <c r="Z200" s="189"/>
      <c r="AA200" s="189"/>
      <c r="AB200" s="189"/>
      <c r="AC200" s="189"/>
      <c r="AD200" s="190"/>
      <c r="AE200" s="165" t="str">
        <f t="shared" ca="1" si="119"/>
        <v>sny_202310_base_merge_mml_lb_test</v>
      </c>
      <c r="AF200" s="166"/>
      <c r="AG200" s="166"/>
      <c r="AH200" s="166"/>
      <c r="AI200" s="166"/>
      <c r="AJ200" s="166"/>
      <c r="AK200" s="166"/>
      <c r="AL200" s="187"/>
      <c r="AM200" s="165" t="str">
        <f t="shared" ca="1" si="120"/>
        <v>バックアップ_検歴情報モジュール_検歴情報テーブルから対象患者で絞り込んだ結果を格納するテーブル</v>
      </c>
      <c r="AN200" s="166"/>
      <c r="AO200" s="166"/>
      <c r="AP200" s="166"/>
      <c r="AQ200" s="166"/>
      <c r="AR200" s="166"/>
      <c r="AS200" s="166"/>
      <c r="AT200" s="166"/>
      <c r="AU200" s="166"/>
      <c r="AV200" s="166"/>
      <c r="AW200" s="166"/>
      <c r="AX200" s="166"/>
      <c r="AY200" s="166"/>
      <c r="AZ200" s="166"/>
      <c r="BA200" s="166"/>
      <c r="BB200" s="166"/>
      <c r="BC200" s="166"/>
      <c r="BD200" s="166"/>
      <c r="BE200" s="166"/>
      <c r="BF200" s="166"/>
      <c r="BG200" s="166"/>
      <c r="BH200" s="166"/>
      <c r="BI200" s="166"/>
      <c r="BJ200" s="167"/>
      <c r="BK200" s="32" t="str">
        <f t="shared" si="121"/>
        <v>ENT_31_C4-31_ベース_検歴情報モジュール_検歴情報.sql</v>
      </c>
    </row>
    <row r="201" spans="1:63" ht="37.5" customHeight="1" outlineLevel="1">
      <c r="A201" s="34" t="str">
        <f t="shared" si="117"/>
        <v>ベース_検歴情報モジュール_検歴検体材料</v>
      </c>
      <c r="B201" s="181" t="str">
        <f>TEXT(31,"00")</f>
        <v>31</v>
      </c>
      <c r="C201" s="182"/>
      <c r="D201" s="182"/>
      <c r="E201" s="182"/>
      <c r="F201" s="183"/>
      <c r="G201" s="184" t="s">
        <v>308</v>
      </c>
      <c r="H201" s="185"/>
      <c r="I201" s="185"/>
      <c r="J201" s="185"/>
      <c r="K201" s="185"/>
      <c r="L201" s="185"/>
      <c r="M201" s="185"/>
      <c r="N201" s="186"/>
      <c r="O201" s="79" t="s">
        <v>4054</v>
      </c>
      <c r="P201" s="188" t="s">
        <v>3731</v>
      </c>
      <c r="Q201" s="189"/>
      <c r="R201" s="189"/>
      <c r="S201" s="189"/>
      <c r="T201" s="189"/>
      <c r="U201" s="189"/>
      <c r="V201" s="189"/>
      <c r="W201" s="189"/>
      <c r="X201" s="189"/>
      <c r="Y201" s="189"/>
      <c r="Z201" s="189"/>
      <c r="AA201" s="189"/>
      <c r="AB201" s="189"/>
      <c r="AC201" s="189"/>
      <c r="AD201" s="190"/>
      <c r="AE201" s="165" t="str">
        <f t="shared" ca="1" si="119"/>
        <v>sny_202310_base_merge_mml_lb_specimen</v>
      </c>
      <c r="AF201" s="166"/>
      <c r="AG201" s="166"/>
      <c r="AH201" s="166"/>
      <c r="AI201" s="166"/>
      <c r="AJ201" s="166"/>
      <c r="AK201" s="166"/>
      <c r="AL201" s="187"/>
      <c r="AM201" s="165" t="str">
        <f t="shared" ca="1" si="120"/>
        <v>バックアップ_検歴情報モジュール_検歴検体材料テーブルから対象患者で絞り込んだ結果を格納するテーブル</v>
      </c>
      <c r="AN201" s="166"/>
      <c r="AO201" s="166"/>
      <c r="AP201" s="166"/>
      <c r="AQ201" s="166"/>
      <c r="AR201" s="166"/>
      <c r="AS201" s="166"/>
      <c r="AT201" s="166"/>
      <c r="AU201" s="166"/>
      <c r="AV201" s="166"/>
      <c r="AW201" s="166"/>
      <c r="AX201" s="166"/>
      <c r="AY201" s="166"/>
      <c r="AZ201" s="166"/>
      <c r="BA201" s="166"/>
      <c r="BB201" s="166"/>
      <c r="BC201" s="166"/>
      <c r="BD201" s="166"/>
      <c r="BE201" s="166"/>
      <c r="BF201" s="166"/>
      <c r="BG201" s="166"/>
      <c r="BH201" s="166"/>
      <c r="BI201" s="166"/>
      <c r="BJ201" s="167"/>
      <c r="BK201" s="32" t="str">
        <f t="shared" si="121"/>
        <v>ENT_31_C4-33_ベース_検歴情報モジュール_検歴検体材料.sql</v>
      </c>
    </row>
    <row r="202" spans="1:63" ht="37.5" customHeight="1" outlineLevel="1">
      <c r="A202" s="34" t="str">
        <f t="shared" si="117"/>
        <v>ベース_検歴情報モジュール_検歴項目情報</v>
      </c>
      <c r="B202" s="181" t="str">
        <f t="shared" ref="B202:B205" si="127">TEXT(31,"00")</f>
        <v>31</v>
      </c>
      <c r="C202" s="182"/>
      <c r="D202" s="182"/>
      <c r="E202" s="182"/>
      <c r="F202" s="183"/>
      <c r="G202" s="184" t="s">
        <v>308</v>
      </c>
      <c r="H202" s="185"/>
      <c r="I202" s="185"/>
      <c r="J202" s="185"/>
      <c r="K202" s="185"/>
      <c r="L202" s="185"/>
      <c r="M202" s="185"/>
      <c r="N202" s="186"/>
      <c r="O202" s="79" t="s">
        <v>4055</v>
      </c>
      <c r="P202" s="188" t="s">
        <v>3690</v>
      </c>
      <c r="Q202" s="189"/>
      <c r="R202" s="189"/>
      <c r="S202" s="189"/>
      <c r="T202" s="189"/>
      <c r="U202" s="189"/>
      <c r="V202" s="189"/>
      <c r="W202" s="189"/>
      <c r="X202" s="189"/>
      <c r="Y202" s="189"/>
      <c r="Z202" s="189"/>
      <c r="AA202" s="189"/>
      <c r="AB202" s="189"/>
      <c r="AC202" s="189"/>
      <c r="AD202" s="190"/>
      <c r="AE202" s="165" t="str">
        <f t="shared" ca="1" si="119"/>
        <v>sny_202310_base_merge_mml_lb_item</v>
      </c>
      <c r="AF202" s="166"/>
      <c r="AG202" s="166"/>
      <c r="AH202" s="166"/>
      <c r="AI202" s="166"/>
      <c r="AJ202" s="166"/>
      <c r="AK202" s="166"/>
      <c r="AL202" s="187"/>
      <c r="AM202" s="165" t="str">
        <f t="shared" ca="1" si="120"/>
        <v>バックアップ_検歴情報モジュール_検歴項目情報テーブルから対象患者で絞り込んだ結果を格納するテーブル</v>
      </c>
      <c r="AN202" s="166"/>
      <c r="AO202" s="166"/>
      <c r="AP202" s="166"/>
      <c r="AQ202" s="166"/>
      <c r="AR202" s="166"/>
      <c r="AS202" s="166"/>
      <c r="AT202" s="166"/>
      <c r="AU202" s="166"/>
      <c r="AV202" s="166"/>
      <c r="AW202" s="166"/>
      <c r="AX202" s="166"/>
      <c r="AY202" s="166"/>
      <c r="AZ202" s="166"/>
      <c r="BA202" s="166"/>
      <c r="BB202" s="166"/>
      <c r="BC202" s="166"/>
      <c r="BD202" s="166"/>
      <c r="BE202" s="166"/>
      <c r="BF202" s="166"/>
      <c r="BG202" s="166"/>
      <c r="BH202" s="166"/>
      <c r="BI202" s="166"/>
      <c r="BJ202" s="167"/>
      <c r="BK202" s="32" t="str">
        <f t="shared" si="121"/>
        <v>ENT_31_C4-35_ベース_検歴情報モジュール_検歴項目情報.sql</v>
      </c>
    </row>
    <row r="203" spans="1:63" ht="37.5" customHeight="1" outlineLevel="1">
      <c r="A203" s="34" t="str">
        <f t="shared" si="117"/>
        <v>ベース_バイタルサインモジュール_バイタルサイン</v>
      </c>
      <c r="B203" s="181" t="str">
        <f t="shared" si="127"/>
        <v>31</v>
      </c>
      <c r="C203" s="182"/>
      <c r="D203" s="182"/>
      <c r="E203" s="182"/>
      <c r="F203" s="183"/>
      <c r="G203" s="184" t="s">
        <v>308</v>
      </c>
      <c r="H203" s="185"/>
      <c r="I203" s="185"/>
      <c r="J203" s="185"/>
      <c r="K203" s="185"/>
      <c r="L203" s="185"/>
      <c r="M203" s="185"/>
      <c r="N203" s="186"/>
      <c r="O203" s="79" t="s">
        <v>4099</v>
      </c>
      <c r="P203" s="188" t="s">
        <v>4114</v>
      </c>
      <c r="Q203" s="189"/>
      <c r="R203" s="189"/>
      <c r="S203" s="189"/>
      <c r="T203" s="189"/>
      <c r="U203" s="189"/>
      <c r="V203" s="189"/>
      <c r="W203" s="189"/>
      <c r="X203" s="189"/>
      <c r="Y203" s="189"/>
      <c r="Z203" s="189"/>
      <c r="AA203" s="189"/>
      <c r="AB203" s="189"/>
      <c r="AC203" s="189"/>
      <c r="AD203" s="190"/>
      <c r="AE203" s="165" t="str">
        <f t="shared" ca="1" si="119"/>
        <v>sny_202310_base_merge_mml_vs_vitalsign</v>
      </c>
      <c r="AF203" s="166"/>
      <c r="AG203" s="166"/>
      <c r="AH203" s="166"/>
      <c r="AI203" s="166"/>
      <c r="AJ203" s="166"/>
      <c r="AK203" s="166"/>
      <c r="AL203" s="187"/>
      <c r="AM203" s="165" t="str">
        <f t="shared" ca="1" si="120"/>
        <v>ベース_バイタルサインモジュール_バイタルサインテーブルから組入れ条件の第一条件で絞り込んだ結果を格納するテーブル</v>
      </c>
      <c r="AN203" s="166"/>
      <c r="AO203" s="166"/>
      <c r="AP203" s="166"/>
      <c r="AQ203" s="166"/>
      <c r="AR203" s="166"/>
      <c r="AS203" s="166"/>
      <c r="AT203" s="166"/>
      <c r="AU203" s="166"/>
      <c r="AV203" s="166"/>
      <c r="AW203" s="166"/>
      <c r="AX203" s="166"/>
      <c r="AY203" s="166"/>
      <c r="AZ203" s="166"/>
      <c r="BA203" s="166"/>
      <c r="BB203" s="166"/>
      <c r="BC203" s="166"/>
      <c r="BD203" s="166"/>
      <c r="BE203" s="166"/>
      <c r="BF203" s="166"/>
      <c r="BG203" s="166"/>
      <c r="BH203" s="166"/>
      <c r="BI203" s="166"/>
      <c r="BJ203" s="167"/>
      <c r="BK203" s="32" t="str">
        <f t="shared" si="121"/>
        <v>ENT_31_C4-37_ベース_バイタルサインモジュール_バイタルサイン.sql</v>
      </c>
    </row>
    <row r="204" spans="1:63" ht="37.5" customHeight="1" outlineLevel="1">
      <c r="A204" s="34" t="str">
        <f t="shared" si="117"/>
        <v>ベース_バイタルサインモジュール_記録項目</v>
      </c>
      <c r="B204" s="181" t="str">
        <f t="shared" si="127"/>
        <v>31</v>
      </c>
      <c r="C204" s="182"/>
      <c r="D204" s="182"/>
      <c r="E204" s="182"/>
      <c r="F204" s="183"/>
      <c r="G204" s="184" t="s">
        <v>308</v>
      </c>
      <c r="H204" s="185"/>
      <c r="I204" s="185"/>
      <c r="J204" s="185"/>
      <c r="K204" s="185"/>
      <c r="L204" s="185"/>
      <c r="M204" s="185"/>
      <c r="N204" s="186"/>
      <c r="O204" s="79" t="s">
        <v>4100</v>
      </c>
      <c r="P204" s="188" t="s">
        <v>4103</v>
      </c>
      <c r="Q204" s="189"/>
      <c r="R204" s="189"/>
      <c r="S204" s="189"/>
      <c r="T204" s="189"/>
      <c r="U204" s="189"/>
      <c r="V204" s="189"/>
      <c r="W204" s="189"/>
      <c r="X204" s="189"/>
      <c r="Y204" s="189"/>
      <c r="Z204" s="189"/>
      <c r="AA204" s="189"/>
      <c r="AB204" s="189"/>
      <c r="AC204" s="189"/>
      <c r="AD204" s="190"/>
      <c r="AE204" s="165" t="str">
        <f t="shared" ca="1" si="119"/>
        <v>sny_202310_base_merge_mml_vs_item</v>
      </c>
      <c r="AF204" s="166"/>
      <c r="AG204" s="166"/>
      <c r="AH204" s="166"/>
      <c r="AI204" s="166"/>
      <c r="AJ204" s="166"/>
      <c r="AK204" s="166"/>
      <c r="AL204" s="187"/>
      <c r="AM204" s="165" t="str">
        <f t="shared" ca="1" si="120"/>
        <v>ベース_バイタルサインモジュール_記録項目テーブルから組入れ条件の第一条件で絞り込んだ結果を格納するテーブル</v>
      </c>
      <c r="AN204" s="166"/>
      <c r="AO204" s="166"/>
      <c r="AP204" s="166"/>
      <c r="AQ204" s="166"/>
      <c r="AR204" s="166"/>
      <c r="AS204" s="166"/>
      <c r="AT204" s="166"/>
      <c r="AU204" s="166"/>
      <c r="AV204" s="166"/>
      <c r="AW204" s="166"/>
      <c r="AX204" s="166"/>
      <c r="AY204" s="166"/>
      <c r="AZ204" s="166"/>
      <c r="BA204" s="166"/>
      <c r="BB204" s="166"/>
      <c r="BC204" s="166"/>
      <c r="BD204" s="166"/>
      <c r="BE204" s="166"/>
      <c r="BF204" s="166"/>
      <c r="BG204" s="166"/>
      <c r="BH204" s="166"/>
      <c r="BI204" s="166"/>
      <c r="BJ204" s="167"/>
      <c r="BK204" s="32" t="str">
        <f t="shared" si="121"/>
        <v>ENT_31_C4-38_ベース_バイタルサインモジュール_記録項目.sql</v>
      </c>
    </row>
    <row r="205" spans="1:63" ht="37.5" customHeight="1" outlineLevel="1">
      <c r="A205" s="34" t="str">
        <f t="shared" si="117"/>
        <v>ベース_体温表モジュール_バイタルサイン</v>
      </c>
      <c r="B205" s="181" t="str">
        <f t="shared" si="127"/>
        <v>31</v>
      </c>
      <c r="C205" s="182"/>
      <c r="D205" s="182"/>
      <c r="E205" s="182"/>
      <c r="F205" s="183"/>
      <c r="G205" s="184" t="s">
        <v>308</v>
      </c>
      <c r="H205" s="185"/>
      <c r="I205" s="185"/>
      <c r="J205" s="185"/>
      <c r="K205" s="185"/>
      <c r="L205" s="185"/>
      <c r="M205" s="185"/>
      <c r="N205" s="186"/>
      <c r="O205" s="79" t="s">
        <v>4101</v>
      </c>
      <c r="P205" s="188" t="s">
        <v>4104</v>
      </c>
      <c r="Q205" s="189"/>
      <c r="R205" s="189"/>
      <c r="S205" s="189"/>
      <c r="T205" s="189"/>
      <c r="U205" s="189"/>
      <c r="V205" s="189"/>
      <c r="W205" s="189"/>
      <c r="X205" s="189"/>
      <c r="Y205" s="189"/>
      <c r="Z205" s="189"/>
      <c r="AA205" s="189"/>
      <c r="AB205" s="189"/>
      <c r="AC205" s="189"/>
      <c r="AD205" s="190"/>
      <c r="AE205" s="165" t="str">
        <f t="shared" ca="1" si="119"/>
        <v>sny_202310_base_merge_mml_fs_vitalsign</v>
      </c>
      <c r="AF205" s="166"/>
      <c r="AG205" s="166"/>
      <c r="AH205" s="166"/>
      <c r="AI205" s="166"/>
      <c r="AJ205" s="166"/>
      <c r="AK205" s="166"/>
      <c r="AL205" s="187"/>
      <c r="AM205" s="165" t="str">
        <f t="shared" ca="1" si="120"/>
        <v>ベース_体温表モジュール_バイタルサインテーブルから組入れ条件の第一条件で絞り込んだ結果を格納するテーブル</v>
      </c>
      <c r="AN205" s="166"/>
      <c r="AO205" s="166"/>
      <c r="AP205" s="166"/>
      <c r="AQ205" s="166"/>
      <c r="AR205" s="166"/>
      <c r="AS205" s="166"/>
      <c r="AT205" s="166"/>
      <c r="AU205" s="166"/>
      <c r="AV205" s="166"/>
      <c r="AW205" s="166"/>
      <c r="AX205" s="166"/>
      <c r="AY205" s="166"/>
      <c r="AZ205" s="166"/>
      <c r="BA205" s="166"/>
      <c r="BB205" s="166"/>
      <c r="BC205" s="166"/>
      <c r="BD205" s="166"/>
      <c r="BE205" s="166"/>
      <c r="BF205" s="166"/>
      <c r="BG205" s="166"/>
      <c r="BH205" s="166"/>
      <c r="BI205" s="166"/>
      <c r="BJ205" s="167"/>
      <c r="BK205" s="32" t="str">
        <f t="shared" si="121"/>
        <v>ENT_31_C4-40_ベース_体温表モジュール_バイタルサイン.sql</v>
      </c>
    </row>
    <row r="206" spans="1:63" ht="37.5" customHeight="1" outlineLevel="1">
      <c r="A206" s="34" t="str">
        <f>P206</f>
        <v>ベース_体温表モジュール_記録項目</v>
      </c>
      <c r="B206" s="181" t="str">
        <f>TEXT(31,"00")</f>
        <v>31</v>
      </c>
      <c r="C206" s="182"/>
      <c r="D206" s="182"/>
      <c r="E206" s="182"/>
      <c r="F206" s="183"/>
      <c r="G206" s="184" t="s">
        <v>308</v>
      </c>
      <c r="H206" s="185"/>
      <c r="I206" s="185"/>
      <c r="J206" s="185"/>
      <c r="K206" s="185"/>
      <c r="L206" s="185"/>
      <c r="M206" s="185"/>
      <c r="N206" s="186"/>
      <c r="O206" s="79" t="s">
        <v>4102</v>
      </c>
      <c r="P206" s="188" t="s">
        <v>4105</v>
      </c>
      <c r="Q206" s="189"/>
      <c r="R206" s="189"/>
      <c r="S206" s="189"/>
      <c r="T206" s="189"/>
      <c r="U206" s="189"/>
      <c r="V206" s="189"/>
      <c r="W206" s="189"/>
      <c r="X206" s="189"/>
      <c r="Y206" s="189"/>
      <c r="Z206" s="189"/>
      <c r="AA206" s="189"/>
      <c r="AB206" s="189"/>
      <c r="AC206" s="189"/>
      <c r="AD206" s="190"/>
      <c r="AE206" s="165" t="str">
        <f t="shared" ca="1" si="119"/>
        <v>sny_202310_base_merge_mml_fs_item</v>
      </c>
      <c r="AF206" s="166"/>
      <c r="AG206" s="166"/>
      <c r="AH206" s="166"/>
      <c r="AI206" s="166"/>
      <c r="AJ206" s="166"/>
      <c r="AK206" s="166"/>
      <c r="AL206" s="187"/>
      <c r="AM206" s="165" t="str">
        <f t="shared" ca="1" si="120"/>
        <v>ベース_体温表モジュール_記録項目テーブルから組入れ条件の第一条件で絞り込んだ結果を格納するテーブル</v>
      </c>
      <c r="AN206" s="166"/>
      <c r="AO206" s="166"/>
      <c r="AP206" s="166"/>
      <c r="AQ206" s="166"/>
      <c r="AR206" s="166"/>
      <c r="AS206" s="166"/>
      <c r="AT206" s="166"/>
      <c r="AU206" s="166"/>
      <c r="AV206" s="166"/>
      <c r="AW206" s="166"/>
      <c r="AX206" s="166"/>
      <c r="AY206" s="166"/>
      <c r="AZ206" s="166"/>
      <c r="BA206" s="166"/>
      <c r="BB206" s="166"/>
      <c r="BC206" s="166"/>
      <c r="BD206" s="166"/>
      <c r="BE206" s="166"/>
      <c r="BF206" s="166"/>
      <c r="BG206" s="166"/>
      <c r="BH206" s="166"/>
      <c r="BI206" s="166"/>
      <c r="BJ206" s="167"/>
      <c r="BK206" s="32" t="str">
        <f t="shared" si="121"/>
        <v>ENT_31_C4-41_ベース_体温表モジュール_記録項目.sql</v>
      </c>
    </row>
    <row r="207" spans="1:63" ht="37.5" customHeight="1">
      <c r="A207" s="34" t="str">
        <f t="shared" si="78"/>
        <v>ワーク_患者基本データ</v>
      </c>
      <c r="B207" s="168" t="str">
        <f t="shared" ref="B207:B217" si="128">TEXT(41,"00")</f>
        <v>41</v>
      </c>
      <c r="C207" s="169"/>
      <c r="D207" s="169"/>
      <c r="E207" s="169"/>
      <c r="F207" s="170"/>
      <c r="G207" s="171" t="s">
        <v>559</v>
      </c>
      <c r="H207" s="172"/>
      <c r="I207" s="172"/>
      <c r="J207" s="172"/>
      <c r="K207" s="172"/>
      <c r="L207" s="172"/>
      <c r="M207" s="172"/>
      <c r="N207" s="173"/>
      <c r="O207" s="79" t="str">
        <f t="shared" ref="O207:O217" si="129">IF(P207&lt;&gt;"","ENT_"&amp;RIGHT(B207,2)&amp;"_"&amp;TEXT(ROW(O207)-ROW(O$207)+1,"00"),"")</f>
        <v>ENT_41_01</v>
      </c>
      <c r="P207" s="174" t="s">
        <v>4175</v>
      </c>
      <c r="Q207" s="175"/>
      <c r="R207" s="175"/>
      <c r="S207" s="175"/>
      <c r="T207" s="175"/>
      <c r="U207" s="175"/>
      <c r="V207" s="175"/>
      <c r="W207" s="175"/>
      <c r="X207" s="175"/>
      <c r="Y207" s="175"/>
      <c r="Z207" s="175"/>
      <c r="AA207" s="175"/>
      <c r="AB207" s="175"/>
      <c r="AC207" s="175"/>
      <c r="AD207" s="176"/>
      <c r="AE207" s="177" t="str">
        <f t="shared" ref="AE207:AE249" ca="1" si="130">IFERROR(INDIRECT(P207&amp;"!D8"),"")</f>
        <v>sny_202310_work_patient_basic</v>
      </c>
      <c r="AF207" s="178"/>
      <c r="AG207" s="178"/>
      <c r="AH207" s="178"/>
      <c r="AI207" s="178"/>
      <c r="AJ207" s="178"/>
      <c r="AK207" s="178"/>
      <c r="AL207" s="179"/>
      <c r="AM207" s="177" t="str">
        <f t="shared" ref="AM207:AM249" ca="1" si="131">IFERROR(INDIRECT(P207&amp;"!D9"),"")</f>
        <v>レセプト、MMLの患者基本データを格納するテーブル</v>
      </c>
      <c r="AN207" s="178"/>
      <c r="AO207" s="178"/>
      <c r="AP207" s="178"/>
      <c r="AQ207" s="178"/>
      <c r="AR207" s="178"/>
      <c r="AS207" s="178"/>
      <c r="AT207" s="178"/>
      <c r="AU207" s="178"/>
      <c r="AV207" s="178"/>
      <c r="AW207" s="178"/>
      <c r="AX207" s="178"/>
      <c r="AY207" s="178"/>
      <c r="AZ207" s="178"/>
      <c r="BA207" s="178"/>
      <c r="BB207" s="178"/>
      <c r="BC207" s="178"/>
      <c r="BD207" s="178"/>
      <c r="BE207" s="178"/>
      <c r="BF207" s="178"/>
      <c r="BG207" s="178"/>
      <c r="BH207" s="178"/>
      <c r="BI207" s="178"/>
      <c r="BJ207" s="180"/>
      <c r="BK207" s="32" t="str">
        <f t="shared" si="43"/>
        <v>ENT_41_01_ワーク_患者基本データ.sql</v>
      </c>
    </row>
    <row r="208" spans="1:63" ht="37.5" customHeight="1">
      <c r="A208" s="34" t="str">
        <f t="shared" ref="A208" si="132">P208</f>
        <v>ワーク_疾患データ</v>
      </c>
      <c r="B208" s="181" t="str">
        <f t="shared" si="128"/>
        <v>41</v>
      </c>
      <c r="C208" s="182"/>
      <c r="D208" s="182"/>
      <c r="E208" s="182"/>
      <c r="F208" s="182"/>
      <c r="G208" s="184" t="s">
        <v>559</v>
      </c>
      <c r="H208" s="185"/>
      <c r="I208" s="185"/>
      <c r="J208" s="185"/>
      <c r="K208" s="185"/>
      <c r="L208" s="185"/>
      <c r="M208" s="185"/>
      <c r="N208" s="185"/>
      <c r="O208" s="111" t="str">
        <f t="shared" si="129"/>
        <v>ENT_41_02</v>
      </c>
      <c r="P208" s="174" t="s">
        <v>561</v>
      </c>
      <c r="Q208" s="175"/>
      <c r="R208" s="175"/>
      <c r="S208" s="175"/>
      <c r="T208" s="175"/>
      <c r="U208" s="175"/>
      <c r="V208" s="175"/>
      <c r="W208" s="175"/>
      <c r="X208" s="175"/>
      <c r="Y208" s="175"/>
      <c r="Z208" s="175"/>
      <c r="AA208" s="175"/>
      <c r="AB208" s="175"/>
      <c r="AC208" s="175"/>
      <c r="AD208" s="176"/>
      <c r="AE208" s="177" t="str">
        <f t="shared" ref="AE208" ca="1" si="133">IFERROR(INDIRECT(P208&amp;"!D8"),"")</f>
        <v>sny_202310_work_shikkan</v>
      </c>
      <c r="AF208" s="178"/>
      <c r="AG208" s="178"/>
      <c r="AH208" s="178"/>
      <c r="AI208" s="178"/>
      <c r="AJ208" s="178"/>
      <c r="AK208" s="178"/>
      <c r="AL208" s="179"/>
      <c r="AM208" s="177" t="str">
        <f t="shared" ref="AM208" ca="1" si="134">IFERROR(INDIRECT(P208&amp;"!D9"),"")</f>
        <v>MMLの疾患データを格納するテーブル</v>
      </c>
      <c r="AN208" s="178"/>
      <c r="AO208" s="178"/>
      <c r="AP208" s="178"/>
      <c r="AQ208" s="178"/>
      <c r="AR208" s="178"/>
      <c r="AS208" s="178"/>
      <c r="AT208" s="178"/>
      <c r="AU208" s="178"/>
      <c r="AV208" s="178"/>
      <c r="AW208" s="178"/>
      <c r="AX208" s="178"/>
      <c r="AY208" s="178"/>
      <c r="AZ208" s="178"/>
      <c r="BA208" s="178"/>
      <c r="BB208" s="178"/>
      <c r="BC208" s="178"/>
      <c r="BD208" s="178"/>
      <c r="BE208" s="178"/>
      <c r="BF208" s="178"/>
      <c r="BG208" s="178"/>
      <c r="BH208" s="178"/>
      <c r="BI208" s="178"/>
      <c r="BJ208" s="180"/>
      <c r="BK208" s="32" t="str">
        <f t="shared" ref="BK208" si="135">IF(P208&lt;&gt;"",O208&amp;"_"&amp;P208&amp;".sql","")</f>
        <v>ENT_41_02_ワーク_疾患データ.sql</v>
      </c>
    </row>
    <row r="209" spans="1:63" ht="37.5" customHeight="1">
      <c r="A209" s="34" t="str">
        <f t="shared" ref="A209" si="136">P209</f>
        <v>ワーク_入院退院_DPC</v>
      </c>
      <c r="B209" s="181" t="str">
        <f t="shared" si="128"/>
        <v>41</v>
      </c>
      <c r="C209" s="182"/>
      <c r="D209" s="182"/>
      <c r="E209" s="182"/>
      <c r="F209" s="182"/>
      <c r="G209" s="184" t="s">
        <v>559</v>
      </c>
      <c r="H209" s="185"/>
      <c r="I209" s="185"/>
      <c r="J209" s="185"/>
      <c r="K209" s="185"/>
      <c r="L209" s="185"/>
      <c r="M209" s="185"/>
      <c r="N209" s="185"/>
      <c r="O209" s="111" t="str">
        <f t="shared" si="129"/>
        <v>ENT_41_03</v>
      </c>
      <c r="P209" s="174" t="s">
        <v>4183</v>
      </c>
      <c r="Q209" s="175"/>
      <c r="R209" s="175"/>
      <c r="S209" s="175"/>
      <c r="T209" s="175"/>
      <c r="U209" s="175"/>
      <c r="V209" s="175"/>
      <c r="W209" s="175"/>
      <c r="X209" s="175"/>
      <c r="Y209" s="175"/>
      <c r="Z209" s="175"/>
      <c r="AA209" s="175"/>
      <c r="AB209" s="175"/>
      <c r="AC209" s="175"/>
      <c r="AD209" s="176"/>
      <c r="AE209" s="177" t="str">
        <f t="shared" ref="AE209" ca="1" si="137">IFERROR(INDIRECT(P209&amp;"!D8"),"")</f>
        <v>sny_202310_work_nyu_tai_in_dpc</v>
      </c>
      <c r="AF209" s="178"/>
      <c r="AG209" s="178"/>
      <c r="AH209" s="178"/>
      <c r="AI209" s="178"/>
      <c r="AJ209" s="178"/>
      <c r="AK209" s="178"/>
      <c r="AL209" s="179"/>
      <c r="AM209" s="177" t="str">
        <f t="shared" ref="AM209" ca="1" si="138">IFERROR(INDIRECT(P209&amp;"!D9"),"")</f>
        <v>DPCの入退院データを格納するテーブル</v>
      </c>
      <c r="AN209" s="178"/>
      <c r="AO209" s="178"/>
      <c r="AP209" s="178"/>
      <c r="AQ209" s="178"/>
      <c r="AR209" s="178"/>
      <c r="AS209" s="178"/>
      <c r="AT209" s="178"/>
      <c r="AU209" s="178"/>
      <c r="AV209" s="178"/>
      <c r="AW209" s="178"/>
      <c r="AX209" s="178"/>
      <c r="AY209" s="178"/>
      <c r="AZ209" s="178"/>
      <c r="BA209" s="178"/>
      <c r="BB209" s="178"/>
      <c r="BC209" s="178"/>
      <c r="BD209" s="178"/>
      <c r="BE209" s="178"/>
      <c r="BF209" s="178"/>
      <c r="BG209" s="178"/>
      <c r="BH209" s="178"/>
      <c r="BI209" s="178"/>
      <c r="BJ209" s="180"/>
      <c r="BK209" s="32" t="str">
        <f t="shared" ref="BK209" si="139">IF(P209&lt;&gt;"",O209&amp;"_"&amp;P209&amp;".sql","")</f>
        <v>ENT_41_03_ワーク_入院退院_DPC.sql</v>
      </c>
    </row>
    <row r="210" spans="1:63" ht="37.5" customHeight="1">
      <c r="A210" s="34" t="str">
        <f t="shared" ref="A210" si="140">P210</f>
        <v>ワーク_入院退院_MML</v>
      </c>
      <c r="B210" s="181" t="str">
        <f t="shared" si="128"/>
        <v>41</v>
      </c>
      <c r="C210" s="182"/>
      <c r="D210" s="182"/>
      <c r="E210" s="182"/>
      <c r="F210" s="182"/>
      <c r="G210" s="184" t="s">
        <v>559</v>
      </c>
      <c r="H210" s="185"/>
      <c r="I210" s="185"/>
      <c r="J210" s="185"/>
      <c r="K210" s="185"/>
      <c r="L210" s="185"/>
      <c r="M210" s="185"/>
      <c r="N210" s="185"/>
      <c r="O210" s="111" t="str">
        <f t="shared" si="129"/>
        <v>ENT_41_04</v>
      </c>
      <c r="P210" s="174" t="s">
        <v>4187</v>
      </c>
      <c r="Q210" s="175"/>
      <c r="R210" s="175"/>
      <c r="S210" s="175"/>
      <c r="T210" s="175"/>
      <c r="U210" s="175"/>
      <c r="V210" s="175"/>
      <c r="W210" s="175"/>
      <c r="X210" s="175"/>
      <c r="Y210" s="175"/>
      <c r="Z210" s="175"/>
      <c r="AA210" s="175"/>
      <c r="AB210" s="175"/>
      <c r="AC210" s="175"/>
      <c r="AD210" s="176"/>
      <c r="AE210" s="177" t="str">
        <f t="shared" ref="AE210" ca="1" si="141">IFERROR(INDIRECT(P210&amp;"!D8"),"")</f>
        <v>sny_202310_work_nyu_tai_in_mml</v>
      </c>
      <c r="AF210" s="178"/>
      <c r="AG210" s="178"/>
      <c r="AH210" s="178"/>
      <c r="AI210" s="178"/>
      <c r="AJ210" s="178"/>
      <c r="AK210" s="178"/>
      <c r="AL210" s="179"/>
      <c r="AM210" s="177" t="str">
        <f t="shared" ref="AM210" ca="1" si="142">IFERROR(INDIRECT(P210&amp;"!D9"),"")</f>
        <v>MMLの入退院データを格納するテーブル</v>
      </c>
      <c r="AN210" s="178"/>
      <c r="AO210" s="178"/>
      <c r="AP210" s="178"/>
      <c r="AQ210" s="178"/>
      <c r="AR210" s="178"/>
      <c r="AS210" s="178"/>
      <c r="AT210" s="178"/>
      <c r="AU210" s="178"/>
      <c r="AV210" s="178"/>
      <c r="AW210" s="178"/>
      <c r="AX210" s="178"/>
      <c r="AY210" s="178"/>
      <c r="AZ210" s="178"/>
      <c r="BA210" s="178"/>
      <c r="BB210" s="178"/>
      <c r="BC210" s="178"/>
      <c r="BD210" s="178"/>
      <c r="BE210" s="178"/>
      <c r="BF210" s="178"/>
      <c r="BG210" s="178"/>
      <c r="BH210" s="178"/>
      <c r="BI210" s="178"/>
      <c r="BJ210" s="180"/>
      <c r="BK210" s="32" t="str">
        <f t="shared" ref="BK210" si="143">IF(P210&lt;&gt;"",O210&amp;"_"&amp;P210&amp;".sql","")</f>
        <v>ENT_41_04_ワーク_入院退院_MML.sql</v>
      </c>
    </row>
    <row r="211" spans="1:63" ht="37.5" customHeight="1">
      <c r="A211" s="34" t="str">
        <f t="shared" ref="A211" si="144">P211</f>
        <v>ワーク_入院退院</v>
      </c>
      <c r="B211" s="181" t="str">
        <f t="shared" si="128"/>
        <v>41</v>
      </c>
      <c r="C211" s="182"/>
      <c r="D211" s="182"/>
      <c r="E211" s="182"/>
      <c r="F211" s="182"/>
      <c r="G211" s="184" t="s">
        <v>559</v>
      </c>
      <c r="H211" s="185"/>
      <c r="I211" s="185"/>
      <c r="J211" s="185"/>
      <c r="K211" s="185"/>
      <c r="L211" s="185"/>
      <c r="M211" s="185"/>
      <c r="N211" s="185"/>
      <c r="O211" s="111" t="str">
        <f>IF(P211&lt;&gt;"","ENT_"&amp;RIGHT(B211,2)&amp;"_"&amp;TEXT(ROW(O211)-ROW(O$207)+1,"00"),"")</f>
        <v>ENT_41_05</v>
      </c>
      <c r="P211" s="174" t="s">
        <v>4189</v>
      </c>
      <c r="Q211" s="175"/>
      <c r="R211" s="175"/>
      <c r="S211" s="175"/>
      <c r="T211" s="175"/>
      <c r="U211" s="175"/>
      <c r="V211" s="175"/>
      <c r="W211" s="175"/>
      <c r="X211" s="175"/>
      <c r="Y211" s="175"/>
      <c r="Z211" s="175"/>
      <c r="AA211" s="175"/>
      <c r="AB211" s="175"/>
      <c r="AC211" s="175"/>
      <c r="AD211" s="176"/>
      <c r="AE211" s="177" t="str">
        <f t="shared" ref="AE211" ca="1" si="145">IFERROR(INDIRECT(P211&amp;"!D8"),"")</f>
        <v>sny_202310_work_nyu_tai_in</v>
      </c>
      <c r="AF211" s="178"/>
      <c r="AG211" s="178"/>
      <c r="AH211" s="178"/>
      <c r="AI211" s="178"/>
      <c r="AJ211" s="178"/>
      <c r="AK211" s="178"/>
      <c r="AL211" s="179"/>
      <c r="AM211" s="177" t="str">
        <f t="shared" ref="AM211" ca="1" si="146">IFERROR(INDIRECT(P211&amp;"!D9"),"")</f>
        <v>入退院データを格納するテーブル</v>
      </c>
      <c r="AN211" s="178"/>
      <c r="AO211" s="178"/>
      <c r="AP211" s="178"/>
      <c r="AQ211" s="178"/>
      <c r="AR211" s="178"/>
      <c r="AS211" s="178"/>
      <c r="AT211" s="178"/>
      <c r="AU211" s="178"/>
      <c r="AV211" s="178"/>
      <c r="AW211" s="178"/>
      <c r="AX211" s="178"/>
      <c r="AY211" s="178"/>
      <c r="AZ211" s="178"/>
      <c r="BA211" s="178"/>
      <c r="BB211" s="178"/>
      <c r="BC211" s="178"/>
      <c r="BD211" s="178"/>
      <c r="BE211" s="178"/>
      <c r="BF211" s="178"/>
      <c r="BG211" s="178"/>
      <c r="BH211" s="178"/>
      <c r="BI211" s="178"/>
      <c r="BJ211" s="180"/>
      <c r="BK211" s="32" t="str">
        <f t="shared" ref="BK211" si="147">IF(P211&lt;&gt;"",O211&amp;"_"&amp;P211&amp;".sql","")</f>
        <v>ENT_41_05_ワーク_入院退院.sql</v>
      </c>
    </row>
    <row r="212" spans="1:63" ht="37.5" customHeight="1">
      <c r="A212" s="34" t="str">
        <f t="shared" ref="A212" si="148">P212</f>
        <v>ワーク_外来_DPC</v>
      </c>
      <c r="B212" s="181" t="str">
        <f t="shared" si="128"/>
        <v>41</v>
      </c>
      <c r="C212" s="182"/>
      <c r="D212" s="182"/>
      <c r="E212" s="182"/>
      <c r="F212" s="182"/>
      <c r="G212" s="184" t="s">
        <v>559</v>
      </c>
      <c r="H212" s="185"/>
      <c r="I212" s="185"/>
      <c r="J212" s="185"/>
      <c r="K212" s="185"/>
      <c r="L212" s="185"/>
      <c r="M212" s="185"/>
      <c r="N212" s="185"/>
      <c r="O212" s="111" t="str">
        <f t="shared" si="129"/>
        <v>ENT_41_06</v>
      </c>
      <c r="P212" s="174" t="s">
        <v>4191</v>
      </c>
      <c r="Q212" s="175"/>
      <c r="R212" s="175"/>
      <c r="S212" s="175"/>
      <c r="T212" s="175"/>
      <c r="U212" s="175"/>
      <c r="V212" s="175"/>
      <c r="W212" s="175"/>
      <c r="X212" s="175"/>
      <c r="Y212" s="175"/>
      <c r="Z212" s="175"/>
      <c r="AA212" s="175"/>
      <c r="AB212" s="175"/>
      <c r="AC212" s="175"/>
      <c r="AD212" s="176"/>
      <c r="AE212" s="177" t="str">
        <f t="shared" ref="AE212" ca="1" si="149">IFERROR(INDIRECT(P212&amp;"!D8"),"")</f>
        <v>sny_202310_work_gairai_dpc</v>
      </c>
      <c r="AF212" s="178"/>
      <c r="AG212" s="178"/>
      <c r="AH212" s="178"/>
      <c r="AI212" s="178"/>
      <c r="AJ212" s="178"/>
      <c r="AK212" s="178"/>
      <c r="AL212" s="179"/>
      <c r="AM212" s="177" t="str">
        <f t="shared" ref="AM212" ca="1" si="150">IFERROR(INDIRECT(P212&amp;"!D9"),"")</f>
        <v>DPCの外来データを格納するテーブル</v>
      </c>
      <c r="AN212" s="178"/>
      <c r="AO212" s="178"/>
      <c r="AP212" s="178"/>
      <c r="AQ212" s="178"/>
      <c r="AR212" s="178"/>
      <c r="AS212" s="178"/>
      <c r="AT212" s="178"/>
      <c r="AU212" s="178"/>
      <c r="AV212" s="178"/>
      <c r="AW212" s="178"/>
      <c r="AX212" s="178"/>
      <c r="AY212" s="178"/>
      <c r="AZ212" s="178"/>
      <c r="BA212" s="178"/>
      <c r="BB212" s="178"/>
      <c r="BC212" s="178"/>
      <c r="BD212" s="178"/>
      <c r="BE212" s="178"/>
      <c r="BF212" s="178"/>
      <c r="BG212" s="178"/>
      <c r="BH212" s="178"/>
      <c r="BI212" s="178"/>
      <c r="BJ212" s="180"/>
      <c r="BK212" s="32" t="str">
        <f t="shared" ref="BK212" si="151">IF(P212&lt;&gt;"",O212&amp;"_"&amp;P212&amp;".sql","")</f>
        <v>ENT_41_06_ワーク_外来_DPC.sql</v>
      </c>
    </row>
    <row r="213" spans="1:63" ht="37.5" customHeight="1">
      <c r="A213" s="34" t="str">
        <f t="shared" ref="A213" si="152">P213</f>
        <v>ワーク_外来_MML</v>
      </c>
      <c r="B213" s="181" t="str">
        <f t="shared" si="128"/>
        <v>41</v>
      </c>
      <c r="C213" s="182"/>
      <c r="D213" s="182"/>
      <c r="E213" s="182"/>
      <c r="F213" s="182"/>
      <c r="G213" s="184" t="s">
        <v>559</v>
      </c>
      <c r="H213" s="185"/>
      <c r="I213" s="185"/>
      <c r="J213" s="185"/>
      <c r="K213" s="185"/>
      <c r="L213" s="185"/>
      <c r="M213" s="185"/>
      <c r="N213" s="185"/>
      <c r="O213" s="111" t="str">
        <f t="shared" si="129"/>
        <v>ENT_41_07</v>
      </c>
      <c r="P213" s="174" t="s">
        <v>4194</v>
      </c>
      <c r="Q213" s="175"/>
      <c r="R213" s="175"/>
      <c r="S213" s="175"/>
      <c r="T213" s="175"/>
      <c r="U213" s="175"/>
      <c r="V213" s="175"/>
      <c r="W213" s="175"/>
      <c r="X213" s="175"/>
      <c r="Y213" s="175"/>
      <c r="Z213" s="175"/>
      <c r="AA213" s="175"/>
      <c r="AB213" s="175"/>
      <c r="AC213" s="175"/>
      <c r="AD213" s="176"/>
      <c r="AE213" s="177" t="str">
        <f t="shared" ref="AE213" ca="1" si="153">IFERROR(INDIRECT(P213&amp;"!D8"),"")</f>
        <v>sny_202310_work_gairai_mml</v>
      </c>
      <c r="AF213" s="178"/>
      <c r="AG213" s="178"/>
      <c r="AH213" s="178"/>
      <c r="AI213" s="178"/>
      <c r="AJ213" s="178"/>
      <c r="AK213" s="178"/>
      <c r="AL213" s="179"/>
      <c r="AM213" s="177" t="str">
        <f t="shared" ref="AM213" ca="1" si="154">IFERROR(INDIRECT(P213&amp;"!D9"),"")</f>
        <v>MMLの外来データを格納するテーブル</v>
      </c>
      <c r="AN213" s="178"/>
      <c r="AO213" s="178"/>
      <c r="AP213" s="178"/>
      <c r="AQ213" s="178"/>
      <c r="AR213" s="178"/>
      <c r="AS213" s="178"/>
      <c r="AT213" s="178"/>
      <c r="AU213" s="178"/>
      <c r="AV213" s="178"/>
      <c r="AW213" s="178"/>
      <c r="AX213" s="178"/>
      <c r="AY213" s="178"/>
      <c r="AZ213" s="178"/>
      <c r="BA213" s="178"/>
      <c r="BB213" s="178"/>
      <c r="BC213" s="178"/>
      <c r="BD213" s="178"/>
      <c r="BE213" s="178"/>
      <c r="BF213" s="178"/>
      <c r="BG213" s="178"/>
      <c r="BH213" s="178"/>
      <c r="BI213" s="178"/>
      <c r="BJ213" s="180"/>
      <c r="BK213" s="32" t="str">
        <f t="shared" ref="BK213" si="155">IF(P213&lt;&gt;"",O213&amp;"_"&amp;P213&amp;".sql","")</f>
        <v>ENT_41_07_ワーク_外来_MML.sql</v>
      </c>
    </row>
    <row r="214" spans="1:63" ht="37.5" customHeight="1">
      <c r="A214" s="34" t="str">
        <f t="shared" ref="A214" si="156">P214</f>
        <v>ワーク_外来</v>
      </c>
      <c r="B214" s="181" t="str">
        <f t="shared" si="128"/>
        <v>41</v>
      </c>
      <c r="C214" s="182"/>
      <c r="D214" s="182"/>
      <c r="E214" s="182"/>
      <c r="F214" s="182"/>
      <c r="G214" s="184" t="s">
        <v>559</v>
      </c>
      <c r="H214" s="185"/>
      <c r="I214" s="185"/>
      <c r="J214" s="185"/>
      <c r="K214" s="185"/>
      <c r="L214" s="185"/>
      <c r="M214" s="185"/>
      <c r="N214" s="185"/>
      <c r="O214" s="111" t="str">
        <f t="shared" si="129"/>
        <v>ENT_41_08</v>
      </c>
      <c r="P214" s="174" t="s">
        <v>4195</v>
      </c>
      <c r="Q214" s="175"/>
      <c r="R214" s="175"/>
      <c r="S214" s="175"/>
      <c r="T214" s="175"/>
      <c r="U214" s="175"/>
      <c r="V214" s="175"/>
      <c r="W214" s="175"/>
      <c r="X214" s="175"/>
      <c r="Y214" s="175"/>
      <c r="Z214" s="175"/>
      <c r="AA214" s="175"/>
      <c r="AB214" s="175"/>
      <c r="AC214" s="175"/>
      <c r="AD214" s="176"/>
      <c r="AE214" s="177" t="str">
        <f t="shared" ref="AE214" ca="1" si="157">IFERROR(INDIRECT(P214&amp;"!D8"),"")</f>
        <v>sny_202310_work_gairai</v>
      </c>
      <c r="AF214" s="178"/>
      <c r="AG214" s="178"/>
      <c r="AH214" s="178"/>
      <c r="AI214" s="178"/>
      <c r="AJ214" s="178"/>
      <c r="AK214" s="178"/>
      <c r="AL214" s="179"/>
      <c r="AM214" s="177" t="str">
        <f t="shared" ref="AM214" ca="1" si="158">IFERROR(INDIRECT(P214&amp;"!D9"),"")</f>
        <v>外来データを格納するテーブル</v>
      </c>
      <c r="AN214" s="178"/>
      <c r="AO214" s="178"/>
      <c r="AP214" s="178"/>
      <c r="AQ214" s="178"/>
      <c r="AR214" s="178"/>
      <c r="AS214" s="178"/>
      <c r="AT214" s="178"/>
      <c r="AU214" s="178"/>
      <c r="AV214" s="178"/>
      <c r="AW214" s="178"/>
      <c r="AX214" s="178"/>
      <c r="AY214" s="178"/>
      <c r="AZ214" s="178"/>
      <c r="BA214" s="178"/>
      <c r="BB214" s="178"/>
      <c r="BC214" s="178"/>
      <c r="BD214" s="178"/>
      <c r="BE214" s="178"/>
      <c r="BF214" s="178"/>
      <c r="BG214" s="178"/>
      <c r="BH214" s="178"/>
      <c r="BI214" s="178"/>
      <c r="BJ214" s="180"/>
      <c r="BK214" s="32" t="str">
        <f t="shared" ref="BK214" si="159">IF(P214&lt;&gt;"",O214&amp;"_"&amp;P214&amp;".sql","")</f>
        <v>ENT_41_08_ワーク_外来.sql</v>
      </c>
    </row>
    <row r="215" spans="1:63" ht="37.5" customHeight="1">
      <c r="A215" s="34" t="str">
        <f t="shared" ref="A215" si="160">P215</f>
        <v>ワーク_処方データ</v>
      </c>
      <c r="B215" s="181" t="str">
        <f t="shared" si="128"/>
        <v>41</v>
      </c>
      <c r="C215" s="182"/>
      <c r="D215" s="182"/>
      <c r="E215" s="182"/>
      <c r="F215" s="182"/>
      <c r="G215" s="184" t="s">
        <v>559</v>
      </c>
      <c r="H215" s="185"/>
      <c r="I215" s="185"/>
      <c r="J215" s="185"/>
      <c r="K215" s="185"/>
      <c r="L215" s="185"/>
      <c r="M215" s="185"/>
      <c r="N215" s="185"/>
      <c r="O215" s="111" t="str">
        <f t="shared" si="129"/>
        <v>ENT_41_09</v>
      </c>
      <c r="P215" s="174" t="s">
        <v>4198</v>
      </c>
      <c r="Q215" s="175"/>
      <c r="R215" s="175"/>
      <c r="S215" s="175"/>
      <c r="T215" s="175"/>
      <c r="U215" s="175"/>
      <c r="V215" s="175"/>
      <c r="W215" s="175"/>
      <c r="X215" s="175"/>
      <c r="Y215" s="175"/>
      <c r="Z215" s="175"/>
      <c r="AA215" s="175"/>
      <c r="AB215" s="175"/>
      <c r="AC215" s="175"/>
      <c r="AD215" s="176"/>
      <c r="AE215" s="177" t="str">
        <f t="shared" ref="AE215" ca="1" si="161">IFERROR(INDIRECT(P215&amp;"!D8"),"")</f>
        <v>sny_202310_work_shohou</v>
      </c>
      <c r="AF215" s="178"/>
      <c r="AG215" s="178"/>
      <c r="AH215" s="178"/>
      <c r="AI215" s="178"/>
      <c r="AJ215" s="178"/>
      <c r="AK215" s="178"/>
      <c r="AL215" s="179"/>
      <c r="AM215" s="177" t="str">
        <f t="shared" ref="AM215" ca="1" si="162">IFERROR(INDIRECT(P215&amp;"!D9"),"")</f>
        <v>処方データを格納するテーブル</v>
      </c>
      <c r="AN215" s="178"/>
      <c r="AO215" s="178"/>
      <c r="AP215" s="178"/>
      <c r="AQ215" s="178"/>
      <c r="AR215" s="178"/>
      <c r="AS215" s="178"/>
      <c r="AT215" s="178"/>
      <c r="AU215" s="178"/>
      <c r="AV215" s="178"/>
      <c r="AW215" s="178"/>
      <c r="AX215" s="178"/>
      <c r="AY215" s="178"/>
      <c r="AZ215" s="178"/>
      <c r="BA215" s="178"/>
      <c r="BB215" s="178"/>
      <c r="BC215" s="178"/>
      <c r="BD215" s="178"/>
      <c r="BE215" s="178"/>
      <c r="BF215" s="178"/>
      <c r="BG215" s="178"/>
      <c r="BH215" s="178"/>
      <c r="BI215" s="178"/>
      <c r="BJ215" s="180"/>
      <c r="BK215" s="32" t="str">
        <f t="shared" ref="BK215" si="163">IF(P215&lt;&gt;"",O215&amp;"_"&amp;P215&amp;".sql","")</f>
        <v>ENT_41_09_ワーク_処方データ.sql</v>
      </c>
    </row>
    <row r="216" spans="1:63" ht="37.5" customHeight="1">
      <c r="A216" s="34" t="str">
        <f t="shared" ref="A216" si="164">P216</f>
        <v>ワーク_診療行為データ</v>
      </c>
      <c r="B216" s="181" t="str">
        <f t="shared" si="128"/>
        <v>41</v>
      </c>
      <c r="C216" s="182"/>
      <c r="D216" s="182"/>
      <c r="E216" s="182"/>
      <c r="F216" s="182"/>
      <c r="G216" s="184" t="s">
        <v>559</v>
      </c>
      <c r="H216" s="185"/>
      <c r="I216" s="185"/>
      <c r="J216" s="185"/>
      <c r="K216" s="185"/>
      <c r="L216" s="185"/>
      <c r="M216" s="185"/>
      <c r="N216" s="185"/>
      <c r="O216" s="111" t="str">
        <f t="shared" si="129"/>
        <v>ENT_41_10</v>
      </c>
      <c r="P216" s="174" t="s">
        <v>4204</v>
      </c>
      <c r="Q216" s="175"/>
      <c r="R216" s="175"/>
      <c r="S216" s="175"/>
      <c r="T216" s="175"/>
      <c r="U216" s="175"/>
      <c r="V216" s="175"/>
      <c r="W216" s="175"/>
      <c r="X216" s="175"/>
      <c r="Y216" s="175"/>
      <c r="Z216" s="175"/>
      <c r="AA216" s="175"/>
      <c r="AB216" s="175"/>
      <c r="AC216" s="175"/>
      <c r="AD216" s="176"/>
      <c r="AE216" s="177" t="str">
        <f t="shared" ref="AE216" ca="1" si="165">IFERROR(INDIRECT(P216&amp;"!D8"),"")</f>
        <v>sny_202310_work_shinryou_koui</v>
      </c>
      <c r="AF216" s="178"/>
      <c r="AG216" s="178"/>
      <c r="AH216" s="178"/>
      <c r="AI216" s="178"/>
      <c r="AJ216" s="178"/>
      <c r="AK216" s="178"/>
      <c r="AL216" s="179"/>
      <c r="AM216" s="177" t="str">
        <f t="shared" ref="AM216" ca="1" si="166">IFERROR(INDIRECT(P216&amp;"!D9"),"")</f>
        <v>診療行為データを格納するテーブル</v>
      </c>
      <c r="AN216" s="178"/>
      <c r="AO216" s="178"/>
      <c r="AP216" s="178"/>
      <c r="AQ216" s="178"/>
      <c r="AR216" s="178"/>
      <c r="AS216" s="178"/>
      <c r="AT216" s="178"/>
      <c r="AU216" s="178"/>
      <c r="AV216" s="178"/>
      <c r="AW216" s="178"/>
      <c r="AX216" s="178"/>
      <c r="AY216" s="178"/>
      <c r="AZ216" s="178"/>
      <c r="BA216" s="178"/>
      <c r="BB216" s="178"/>
      <c r="BC216" s="178"/>
      <c r="BD216" s="178"/>
      <c r="BE216" s="178"/>
      <c r="BF216" s="178"/>
      <c r="BG216" s="178"/>
      <c r="BH216" s="178"/>
      <c r="BI216" s="178"/>
      <c r="BJ216" s="180"/>
      <c r="BK216" s="32" t="str">
        <f t="shared" ref="BK216" si="167">IF(P216&lt;&gt;"",O216&amp;"_"&amp;P216&amp;".sql","")</f>
        <v>ENT_41_10_ワーク_診療行為データ.sql</v>
      </c>
    </row>
    <row r="217" spans="1:63" ht="37.5" customHeight="1">
      <c r="A217" s="34" t="str">
        <f t="shared" ref="A217" si="168">P217</f>
        <v>ワーク_検体検査データ_スキーマ2</v>
      </c>
      <c r="B217" s="181" t="str">
        <f t="shared" si="128"/>
        <v>41</v>
      </c>
      <c r="C217" s="182"/>
      <c r="D217" s="182"/>
      <c r="E217" s="182"/>
      <c r="F217" s="182"/>
      <c r="G217" s="184" t="s">
        <v>559</v>
      </c>
      <c r="H217" s="185"/>
      <c r="I217" s="185"/>
      <c r="J217" s="185"/>
      <c r="K217" s="185"/>
      <c r="L217" s="185"/>
      <c r="M217" s="185"/>
      <c r="N217" s="185"/>
      <c r="O217" s="111" t="str">
        <f t="shared" si="129"/>
        <v>ENT_41_11</v>
      </c>
      <c r="P217" s="174" t="s">
        <v>4207</v>
      </c>
      <c r="Q217" s="175"/>
      <c r="R217" s="175"/>
      <c r="S217" s="175"/>
      <c r="T217" s="175"/>
      <c r="U217" s="175"/>
      <c r="V217" s="175"/>
      <c r="W217" s="175"/>
      <c r="X217" s="175"/>
      <c r="Y217" s="175"/>
      <c r="Z217" s="175"/>
      <c r="AA217" s="175"/>
      <c r="AB217" s="175"/>
      <c r="AC217" s="175"/>
      <c r="AD217" s="176"/>
      <c r="AE217" s="177" t="str">
        <f t="shared" ref="AE217" ca="1" si="169">IFERROR(INDIRECT(P217&amp;"!D8"),"")</f>
        <v>sny_202310_work_kensa_scm2</v>
      </c>
      <c r="AF217" s="178"/>
      <c r="AG217" s="178"/>
      <c r="AH217" s="178"/>
      <c r="AI217" s="178"/>
      <c r="AJ217" s="178"/>
      <c r="AK217" s="178"/>
      <c r="AL217" s="179"/>
      <c r="AM217" s="177" t="str">
        <f t="shared" ref="AM217" ca="1" si="170">IFERROR(INDIRECT(P217&amp;"!D9"),"")</f>
        <v>MML（スキーマ2）の検体検査データを格納するテーブル</v>
      </c>
      <c r="AN217" s="178"/>
      <c r="AO217" s="178"/>
      <c r="AP217" s="178"/>
      <c r="AQ217" s="178"/>
      <c r="AR217" s="178"/>
      <c r="AS217" s="178"/>
      <c r="AT217" s="178"/>
      <c r="AU217" s="178"/>
      <c r="AV217" s="178"/>
      <c r="AW217" s="178"/>
      <c r="AX217" s="178"/>
      <c r="AY217" s="178"/>
      <c r="AZ217" s="178"/>
      <c r="BA217" s="178"/>
      <c r="BB217" s="178"/>
      <c r="BC217" s="178"/>
      <c r="BD217" s="178"/>
      <c r="BE217" s="178"/>
      <c r="BF217" s="178"/>
      <c r="BG217" s="178"/>
      <c r="BH217" s="178"/>
      <c r="BI217" s="178"/>
      <c r="BJ217" s="180"/>
      <c r="BK217" s="32" t="str">
        <f t="shared" ref="BK217" si="171">IF(P217&lt;&gt;"",O217&amp;"_"&amp;P217&amp;".sql","")</f>
        <v>ENT_41_11_ワーク_検体検査データ_スキーマ2.sql</v>
      </c>
    </row>
    <row r="218" spans="1:63" ht="37.5" customHeight="1">
      <c r="A218" s="34" t="str">
        <f t="shared" ref="A218:A219" si="172">P218</f>
        <v>ワーク_検体検査データ_スキーマ4</v>
      </c>
      <c r="B218" s="181" t="str">
        <f t="shared" ref="B218:B223" si="173">TEXT(41,"00")</f>
        <v>41</v>
      </c>
      <c r="C218" s="182"/>
      <c r="D218" s="182"/>
      <c r="E218" s="182"/>
      <c r="F218" s="182"/>
      <c r="G218" s="184" t="s">
        <v>559</v>
      </c>
      <c r="H218" s="185"/>
      <c r="I218" s="185"/>
      <c r="J218" s="185"/>
      <c r="K218" s="185"/>
      <c r="L218" s="185"/>
      <c r="M218" s="185"/>
      <c r="N218" s="185"/>
      <c r="O218" s="111" t="str">
        <f t="shared" ref="O218:O219" si="174">IF(P218&lt;&gt;"","ENT_"&amp;RIGHT(B218,2)&amp;"_"&amp;TEXT(ROW(O218)-ROW(O$207)+1,"00"),"")</f>
        <v>ENT_41_12</v>
      </c>
      <c r="P218" s="174" t="s">
        <v>4208</v>
      </c>
      <c r="Q218" s="175"/>
      <c r="R218" s="175"/>
      <c r="S218" s="175"/>
      <c r="T218" s="175"/>
      <c r="U218" s="175"/>
      <c r="V218" s="175"/>
      <c r="W218" s="175"/>
      <c r="X218" s="175"/>
      <c r="Y218" s="175"/>
      <c r="Z218" s="175"/>
      <c r="AA218" s="175"/>
      <c r="AB218" s="175"/>
      <c r="AC218" s="175"/>
      <c r="AD218" s="176"/>
      <c r="AE218" s="177" t="str">
        <f t="shared" ref="AE218:AE219" ca="1" si="175">IFERROR(INDIRECT(P218&amp;"!D8"),"")</f>
        <v>sny_202310_work_kensa_scm4</v>
      </c>
      <c r="AF218" s="178"/>
      <c r="AG218" s="178"/>
      <c r="AH218" s="178"/>
      <c r="AI218" s="178"/>
      <c r="AJ218" s="178"/>
      <c r="AK218" s="178"/>
      <c r="AL218" s="179"/>
      <c r="AM218" s="177" t="str">
        <f t="shared" ref="AM218:AM219" ca="1" si="176">IFERROR(INDIRECT(P218&amp;"!D9"),"")</f>
        <v>MML（スキーマ4）の検体検査データを格納するテーブル</v>
      </c>
      <c r="AN218" s="178"/>
      <c r="AO218" s="178"/>
      <c r="AP218" s="178"/>
      <c r="AQ218" s="178"/>
      <c r="AR218" s="178"/>
      <c r="AS218" s="178"/>
      <c r="AT218" s="178"/>
      <c r="AU218" s="178"/>
      <c r="AV218" s="178"/>
      <c r="AW218" s="178"/>
      <c r="AX218" s="178"/>
      <c r="AY218" s="178"/>
      <c r="AZ218" s="178"/>
      <c r="BA218" s="178"/>
      <c r="BB218" s="178"/>
      <c r="BC218" s="178"/>
      <c r="BD218" s="178"/>
      <c r="BE218" s="178"/>
      <c r="BF218" s="178"/>
      <c r="BG218" s="178"/>
      <c r="BH218" s="178"/>
      <c r="BI218" s="178"/>
      <c r="BJ218" s="180"/>
      <c r="BK218" s="32" t="str">
        <f t="shared" ref="BK218:BK219" si="177">IF(P218&lt;&gt;"",O218&amp;"_"&amp;P218&amp;".sql","")</f>
        <v>ENT_41_12_ワーク_検体検査データ_スキーマ4.sql</v>
      </c>
    </row>
    <row r="219" spans="1:63" ht="37.5" customHeight="1">
      <c r="A219" s="34" t="str">
        <f t="shared" si="172"/>
        <v>ワーク_検体検査データ</v>
      </c>
      <c r="B219" s="181" t="str">
        <f t="shared" si="173"/>
        <v>41</v>
      </c>
      <c r="C219" s="182"/>
      <c r="D219" s="182"/>
      <c r="E219" s="182"/>
      <c r="F219" s="182"/>
      <c r="G219" s="184" t="s">
        <v>559</v>
      </c>
      <c r="H219" s="185"/>
      <c r="I219" s="185"/>
      <c r="J219" s="185"/>
      <c r="K219" s="185"/>
      <c r="L219" s="185"/>
      <c r="M219" s="185"/>
      <c r="N219" s="185"/>
      <c r="O219" s="111" t="str">
        <f t="shared" si="174"/>
        <v>ENT_41_13</v>
      </c>
      <c r="P219" s="174" t="s">
        <v>4209</v>
      </c>
      <c r="Q219" s="175"/>
      <c r="R219" s="175"/>
      <c r="S219" s="175"/>
      <c r="T219" s="175"/>
      <c r="U219" s="175"/>
      <c r="V219" s="175"/>
      <c r="W219" s="175"/>
      <c r="X219" s="175"/>
      <c r="Y219" s="175"/>
      <c r="Z219" s="175"/>
      <c r="AA219" s="175"/>
      <c r="AB219" s="175"/>
      <c r="AC219" s="175"/>
      <c r="AD219" s="176"/>
      <c r="AE219" s="177" t="str">
        <f t="shared" ca="1" si="175"/>
        <v>sny_202310_work_kensa</v>
      </c>
      <c r="AF219" s="178"/>
      <c r="AG219" s="178"/>
      <c r="AH219" s="178"/>
      <c r="AI219" s="178"/>
      <c r="AJ219" s="178"/>
      <c r="AK219" s="178"/>
      <c r="AL219" s="179"/>
      <c r="AM219" s="177" t="str">
        <f t="shared" ca="1" si="176"/>
        <v>MMLの検体検査データを格納するテーブル</v>
      </c>
      <c r="AN219" s="178"/>
      <c r="AO219" s="178"/>
      <c r="AP219" s="178"/>
      <c r="AQ219" s="178"/>
      <c r="AR219" s="178"/>
      <c r="AS219" s="178"/>
      <c r="AT219" s="178"/>
      <c r="AU219" s="178"/>
      <c r="AV219" s="178"/>
      <c r="AW219" s="178"/>
      <c r="AX219" s="178"/>
      <c r="AY219" s="178"/>
      <c r="AZ219" s="178"/>
      <c r="BA219" s="178"/>
      <c r="BB219" s="178"/>
      <c r="BC219" s="178"/>
      <c r="BD219" s="178"/>
      <c r="BE219" s="178"/>
      <c r="BF219" s="178"/>
      <c r="BG219" s="178"/>
      <c r="BH219" s="178"/>
      <c r="BI219" s="178"/>
      <c r="BJ219" s="180"/>
      <c r="BK219" s="32" t="str">
        <f t="shared" si="177"/>
        <v>ENT_41_13_ワーク_検体検査データ.sql</v>
      </c>
    </row>
    <row r="220" spans="1:63" ht="37.5" customHeight="1">
      <c r="A220" s="34" t="str">
        <f t="shared" ref="A220" si="178">P220</f>
        <v>ワーク_身長体重データ_DPC</v>
      </c>
      <c r="B220" s="181" t="str">
        <f t="shared" si="173"/>
        <v>41</v>
      </c>
      <c r="C220" s="182"/>
      <c r="D220" s="182"/>
      <c r="E220" s="182"/>
      <c r="F220" s="182"/>
      <c r="G220" s="184" t="s">
        <v>559</v>
      </c>
      <c r="H220" s="185"/>
      <c r="I220" s="185"/>
      <c r="J220" s="185"/>
      <c r="K220" s="185"/>
      <c r="L220" s="185"/>
      <c r="M220" s="185"/>
      <c r="N220" s="185"/>
      <c r="O220" s="111" t="str">
        <f t="shared" ref="O220" si="179">IF(P220&lt;&gt;"","ENT_"&amp;RIGHT(B220,2)&amp;"_"&amp;TEXT(ROW(O220)-ROW(O$207)+1,"00"),"")</f>
        <v>ENT_41_14</v>
      </c>
      <c r="P220" s="174" t="s">
        <v>4217</v>
      </c>
      <c r="Q220" s="175"/>
      <c r="R220" s="175"/>
      <c r="S220" s="175"/>
      <c r="T220" s="175"/>
      <c r="U220" s="175"/>
      <c r="V220" s="175"/>
      <c r="W220" s="175"/>
      <c r="X220" s="175"/>
      <c r="Y220" s="175"/>
      <c r="Z220" s="175"/>
      <c r="AA220" s="175"/>
      <c r="AB220" s="175"/>
      <c r="AC220" s="175"/>
      <c r="AD220" s="176"/>
      <c r="AE220" s="177" t="str">
        <f t="shared" ref="AE220" ca="1" si="180">IFERROR(INDIRECT(P220&amp;"!D8"),"")</f>
        <v>sny_202310_work_height_weight_dpc</v>
      </c>
      <c r="AF220" s="178"/>
      <c r="AG220" s="178"/>
      <c r="AH220" s="178"/>
      <c r="AI220" s="178"/>
      <c r="AJ220" s="178"/>
      <c r="AK220" s="178"/>
      <c r="AL220" s="179"/>
      <c r="AM220" s="177" t="str">
        <f t="shared" ref="AM220" ca="1" si="181">IFERROR(INDIRECT(P220&amp;"!D9"),"")</f>
        <v>DPCの身長体重データを格納するテーブル</v>
      </c>
      <c r="AN220" s="178"/>
      <c r="AO220" s="178"/>
      <c r="AP220" s="178"/>
      <c r="AQ220" s="178"/>
      <c r="AR220" s="178"/>
      <c r="AS220" s="178"/>
      <c r="AT220" s="178"/>
      <c r="AU220" s="178"/>
      <c r="AV220" s="178"/>
      <c r="AW220" s="178"/>
      <c r="AX220" s="178"/>
      <c r="AY220" s="178"/>
      <c r="AZ220" s="178"/>
      <c r="BA220" s="178"/>
      <c r="BB220" s="178"/>
      <c r="BC220" s="178"/>
      <c r="BD220" s="178"/>
      <c r="BE220" s="178"/>
      <c r="BF220" s="178"/>
      <c r="BG220" s="178"/>
      <c r="BH220" s="178"/>
      <c r="BI220" s="178"/>
      <c r="BJ220" s="180"/>
      <c r="BK220" s="32" t="str">
        <f t="shared" ref="BK220" si="182">IF(P220&lt;&gt;"",O220&amp;"_"&amp;P220&amp;".sql","")</f>
        <v>ENT_41_14_ワーク_身長体重データ_DPC.sql</v>
      </c>
    </row>
    <row r="221" spans="1:63" ht="37.5" customHeight="1">
      <c r="A221" s="34" t="str">
        <f t="shared" ref="A221" si="183">P221</f>
        <v>ワーク_身長体重データ_MML</v>
      </c>
      <c r="B221" s="181" t="str">
        <f t="shared" si="173"/>
        <v>41</v>
      </c>
      <c r="C221" s="182"/>
      <c r="D221" s="182"/>
      <c r="E221" s="182"/>
      <c r="F221" s="182"/>
      <c r="G221" s="184" t="s">
        <v>559</v>
      </c>
      <c r="H221" s="185"/>
      <c r="I221" s="185"/>
      <c r="J221" s="185"/>
      <c r="K221" s="185"/>
      <c r="L221" s="185"/>
      <c r="M221" s="185"/>
      <c r="N221" s="185"/>
      <c r="O221" s="111" t="str">
        <f t="shared" ref="O221" si="184">IF(P221&lt;&gt;"","ENT_"&amp;RIGHT(B221,2)&amp;"_"&amp;TEXT(ROW(O221)-ROW(O$207)+1,"00"),"")</f>
        <v>ENT_41_15</v>
      </c>
      <c r="P221" s="174" t="s">
        <v>4218</v>
      </c>
      <c r="Q221" s="175"/>
      <c r="R221" s="175"/>
      <c r="S221" s="175"/>
      <c r="T221" s="175"/>
      <c r="U221" s="175"/>
      <c r="V221" s="175"/>
      <c r="W221" s="175"/>
      <c r="X221" s="175"/>
      <c r="Y221" s="175"/>
      <c r="Z221" s="175"/>
      <c r="AA221" s="175"/>
      <c r="AB221" s="175"/>
      <c r="AC221" s="175"/>
      <c r="AD221" s="176"/>
      <c r="AE221" s="177" t="str">
        <f t="shared" ref="AE221" ca="1" si="185">IFERROR(INDIRECT(P221&amp;"!D8"),"")</f>
        <v>sny_202310_work_height_weight_mml</v>
      </c>
      <c r="AF221" s="178"/>
      <c r="AG221" s="178"/>
      <c r="AH221" s="178"/>
      <c r="AI221" s="178"/>
      <c r="AJ221" s="178"/>
      <c r="AK221" s="178"/>
      <c r="AL221" s="179"/>
      <c r="AM221" s="177" t="str">
        <f t="shared" ref="AM221" ca="1" si="186">IFERROR(INDIRECT(P221&amp;"!D9"),"")</f>
        <v>MMLの身長体重データを格納するテーブル</v>
      </c>
      <c r="AN221" s="178"/>
      <c r="AO221" s="178"/>
      <c r="AP221" s="178"/>
      <c r="AQ221" s="178"/>
      <c r="AR221" s="178"/>
      <c r="AS221" s="178"/>
      <c r="AT221" s="178"/>
      <c r="AU221" s="178"/>
      <c r="AV221" s="178"/>
      <c r="AW221" s="178"/>
      <c r="AX221" s="178"/>
      <c r="AY221" s="178"/>
      <c r="AZ221" s="178"/>
      <c r="BA221" s="178"/>
      <c r="BB221" s="178"/>
      <c r="BC221" s="178"/>
      <c r="BD221" s="178"/>
      <c r="BE221" s="178"/>
      <c r="BF221" s="178"/>
      <c r="BG221" s="178"/>
      <c r="BH221" s="178"/>
      <c r="BI221" s="178"/>
      <c r="BJ221" s="180"/>
      <c r="BK221" s="32" t="str">
        <f t="shared" ref="BK221" si="187">IF(P221&lt;&gt;"",O221&amp;"_"&amp;P221&amp;".sql","")</f>
        <v>ENT_41_15_ワーク_身長体重データ_MML.sql</v>
      </c>
    </row>
    <row r="222" spans="1:63" ht="37.5" customHeight="1">
      <c r="A222" s="34" t="str">
        <f t="shared" ref="A222" si="188">P222</f>
        <v>ワーク_身長体重データ</v>
      </c>
      <c r="B222" s="181" t="str">
        <f>TEXT(41,"00")</f>
        <v>41</v>
      </c>
      <c r="C222" s="182"/>
      <c r="D222" s="182"/>
      <c r="E222" s="182"/>
      <c r="F222" s="182"/>
      <c r="G222" s="184" t="s">
        <v>559</v>
      </c>
      <c r="H222" s="185"/>
      <c r="I222" s="185"/>
      <c r="J222" s="185"/>
      <c r="K222" s="185"/>
      <c r="L222" s="185"/>
      <c r="M222" s="185"/>
      <c r="N222" s="185"/>
      <c r="O222" s="111" t="str">
        <f t="shared" ref="O222" si="189">IF(P222&lt;&gt;"","ENT_"&amp;RIGHT(B222,2)&amp;"_"&amp;TEXT(ROW(O222)-ROW(O$207)+1,"00"),"")</f>
        <v>ENT_41_16</v>
      </c>
      <c r="P222" s="174" t="s">
        <v>4219</v>
      </c>
      <c r="Q222" s="175"/>
      <c r="R222" s="175"/>
      <c r="S222" s="175"/>
      <c r="T222" s="175"/>
      <c r="U222" s="175"/>
      <c r="V222" s="175"/>
      <c r="W222" s="175"/>
      <c r="X222" s="175"/>
      <c r="Y222" s="175"/>
      <c r="Z222" s="175"/>
      <c r="AA222" s="175"/>
      <c r="AB222" s="175"/>
      <c r="AC222" s="175"/>
      <c r="AD222" s="176"/>
      <c r="AE222" s="177" t="str">
        <f t="shared" ref="AE222" ca="1" si="190">IFERROR(INDIRECT(P222&amp;"!D8"),"")</f>
        <v>sny_202310_work_height_weight</v>
      </c>
      <c r="AF222" s="178"/>
      <c r="AG222" s="178"/>
      <c r="AH222" s="178"/>
      <c r="AI222" s="178"/>
      <c r="AJ222" s="178"/>
      <c r="AK222" s="178"/>
      <c r="AL222" s="179"/>
      <c r="AM222" s="177" t="str">
        <f t="shared" ref="AM222" ca="1" si="191">IFERROR(INDIRECT(P222&amp;"!D9"),"")</f>
        <v>DPC、MMLの身長体重データを格納するテーブル</v>
      </c>
      <c r="AN222" s="178"/>
      <c r="AO222" s="178"/>
      <c r="AP222" s="178"/>
      <c r="AQ222" s="178"/>
      <c r="AR222" s="178"/>
      <c r="AS222" s="178"/>
      <c r="AT222" s="178"/>
      <c r="AU222" s="178"/>
      <c r="AV222" s="178"/>
      <c r="AW222" s="178"/>
      <c r="AX222" s="178"/>
      <c r="AY222" s="178"/>
      <c r="AZ222" s="178"/>
      <c r="BA222" s="178"/>
      <c r="BB222" s="178"/>
      <c r="BC222" s="178"/>
      <c r="BD222" s="178"/>
      <c r="BE222" s="178"/>
      <c r="BF222" s="178"/>
      <c r="BG222" s="178"/>
      <c r="BH222" s="178"/>
      <c r="BI222" s="178"/>
      <c r="BJ222" s="180"/>
      <c r="BK222" s="32" t="str">
        <f t="shared" ref="BK222" si="192">IF(P222&lt;&gt;"",O222&amp;"_"&amp;P222&amp;".sql","")</f>
        <v>ENT_41_16_ワーク_身長体重データ.sql</v>
      </c>
    </row>
    <row r="223" spans="1:63" ht="37.5" customHeight="1">
      <c r="A223" s="34" t="str">
        <f t="shared" ref="A223" si="193">P223</f>
        <v>ワーク_テキスト情報_一時</v>
      </c>
      <c r="B223" s="181" t="str">
        <f t="shared" si="173"/>
        <v>41</v>
      </c>
      <c r="C223" s="182"/>
      <c r="D223" s="182"/>
      <c r="E223" s="182"/>
      <c r="F223" s="182"/>
      <c r="G223" s="184" t="s">
        <v>559</v>
      </c>
      <c r="H223" s="185"/>
      <c r="I223" s="185"/>
      <c r="J223" s="185"/>
      <c r="K223" s="185"/>
      <c r="L223" s="185"/>
      <c r="M223" s="185"/>
      <c r="N223" s="185"/>
      <c r="O223" s="111" t="str">
        <f t="shared" ref="O223" si="194">IF(P223&lt;&gt;"","ENT_"&amp;RIGHT(B223,2)&amp;"_"&amp;TEXT(ROW(O223)-ROW(O$207)+1,"00"),"")</f>
        <v>ENT_41_17</v>
      </c>
      <c r="P223" s="174" t="s">
        <v>4220</v>
      </c>
      <c r="Q223" s="175"/>
      <c r="R223" s="175"/>
      <c r="S223" s="175"/>
      <c r="T223" s="175"/>
      <c r="U223" s="175"/>
      <c r="V223" s="175"/>
      <c r="W223" s="175"/>
      <c r="X223" s="175"/>
      <c r="Y223" s="175"/>
      <c r="Z223" s="175"/>
      <c r="AA223" s="175"/>
      <c r="AB223" s="175"/>
      <c r="AC223" s="175"/>
      <c r="AD223" s="176"/>
      <c r="AE223" s="177" t="str">
        <f t="shared" ref="AE223" ca="1" si="195">IFERROR(INDIRECT(P223&amp;"!D8"),"")</f>
        <v>sny_202310_work_text_temp</v>
      </c>
      <c r="AF223" s="178"/>
      <c r="AG223" s="178"/>
      <c r="AH223" s="178"/>
      <c r="AI223" s="178"/>
      <c r="AJ223" s="178"/>
      <c r="AK223" s="178"/>
      <c r="AL223" s="179"/>
      <c r="AM223" s="177" t="str">
        <f t="shared" ref="AM223" ca="1" si="196">IFERROR(INDIRECT(P223&amp;"!D9"),"")</f>
        <v>MMLのテキストデータを格納するテーブル</v>
      </c>
      <c r="AN223" s="178"/>
      <c r="AO223" s="178"/>
      <c r="AP223" s="178"/>
      <c r="AQ223" s="178"/>
      <c r="AR223" s="178"/>
      <c r="AS223" s="178"/>
      <c r="AT223" s="178"/>
      <c r="AU223" s="178"/>
      <c r="AV223" s="178"/>
      <c r="AW223" s="178"/>
      <c r="AX223" s="178"/>
      <c r="AY223" s="178"/>
      <c r="AZ223" s="178"/>
      <c r="BA223" s="178"/>
      <c r="BB223" s="178"/>
      <c r="BC223" s="178"/>
      <c r="BD223" s="178"/>
      <c r="BE223" s="178"/>
      <c r="BF223" s="178"/>
      <c r="BG223" s="178"/>
      <c r="BH223" s="178"/>
      <c r="BI223" s="178"/>
      <c r="BJ223" s="180"/>
      <c r="BK223" s="32" t="str">
        <f t="shared" ref="BK223" si="197">IF(P223&lt;&gt;"",O223&amp;"_"&amp;P223&amp;".sql","")</f>
        <v>ENT_41_17_ワーク_テキスト情報_一時.sql</v>
      </c>
    </row>
    <row r="224" spans="1:63" ht="37.5" customHeight="1">
      <c r="A224" s="34" t="str">
        <f t="shared" ref="A224" si="198">P224</f>
        <v>ワーク_テキスト情報</v>
      </c>
      <c r="B224" s="181" t="str">
        <f>TEXT(41,"00")</f>
        <v>41</v>
      </c>
      <c r="C224" s="182"/>
      <c r="D224" s="182"/>
      <c r="E224" s="182"/>
      <c r="F224" s="183"/>
      <c r="G224" s="184" t="s">
        <v>4098</v>
      </c>
      <c r="H224" s="185"/>
      <c r="I224" s="185"/>
      <c r="J224" s="185"/>
      <c r="K224" s="185"/>
      <c r="L224" s="185"/>
      <c r="M224" s="185"/>
      <c r="N224" s="186"/>
      <c r="O224" s="79" t="str">
        <f>IF(P224&lt;&gt;"","ENT_"&amp;RIGHT(B224,2)&amp;"_"&amp;TEXT(ROW(O224)-ROW(O$207)+1,"00"),"")</f>
        <v>ENT_41_18</v>
      </c>
      <c r="P224" s="174" t="s">
        <v>4221</v>
      </c>
      <c r="Q224" s="175"/>
      <c r="R224" s="175"/>
      <c r="S224" s="175"/>
      <c r="T224" s="175"/>
      <c r="U224" s="175"/>
      <c r="V224" s="175"/>
      <c r="W224" s="175"/>
      <c r="X224" s="175"/>
      <c r="Y224" s="175"/>
      <c r="Z224" s="175"/>
      <c r="AA224" s="175"/>
      <c r="AB224" s="175"/>
      <c r="AC224" s="175"/>
      <c r="AD224" s="176"/>
      <c r="AE224" s="177" t="str">
        <f t="shared" ref="AE224" ca="1" si="199">IFERROR(INDIRECT(P224&amp;"!D8"),"")</f>
        <v>sny_202310_work_text</v>
      </c>
      <c r="AF224" s="178"/>
      <c r="AG224" s="178"/>
      <c r="AH224" s="178"/>
      <c r="AI224" s="178"/>
      <c r="AJ224" s="178"/>
      <c r="AK224" s="178"/>
      <c r="AL224" s="179"/>
      <c r="AM224" s="177" t="str">
        <f t="shared" ref="AM224" ca="1" si="200">IFERROR(INDIRECT(P224&amp;"!D9"),"")</f>
        <v>MMLのテキストデータを格納するテーブル</v>
      </c>
      <c r="AN224" s="178"/>
      <c r="AO224" s="178"/>
      <c r="AP224" s="178"/>
      <c r="AQ224" s="178"/>
      <c r="AR224" s="178"/>
      <c r="AS224" s="178"/>
      <c r="AT224" s="178"/>
      <c r="AU224" s="178"/>
      <c r="AV224" s="178"/>
      <c r="AW224" s="178"/>
      <c r="AX224" s="178"/>
      <c r="AY224" s="178"/>
      <c r="AZ224" s="178"/>
      <c r="BA224" s="178"/>
      <c r="BB224" s="178"/>
      <c r="BC224" s="178"/>
      <c r="BD224" s="178"/>
      <c r="BE224" s="178"/>
      <c r="BF224" s="178"/>
      <c r="BG224" s="178"/>
      <c r="BH224" s="178"/>
      <c r="BI224" s="178"/>
      <c r="BJ224" s="180"/>
      <c r="BK224" s="32" t="str">
        <f t="shared" ref="BK224" si="201">IF(P224&lt;&gt;"",O224&amp;"_"&amp;P224&amp;".sql","")</f>
        <v>ENT_41_18_ワーク_テキスト情報.sql</v>
      </c>
    </row>
    <row r="225" spans="1:63" ht="37.5" customHeight="1">
      <c r="A225" s="34" t="str">
        <f t="shared" ref="A225" si="202">P225</f>
        <v>ワーク_観察期間</v>
      </c>
      <c r="B225" s="181" t="str">
        <f>TEXT(41,"00")</f>
        <v>41</v>
      </c>
      <c r="C225" s="182"/>
      <c r="D225" s="182"/>
      <c r="E225" s="182"/>
      <c r="F225" s="183"/>
      <c r="G225" s="184" t="s">
        <v>4098</v>
      </c>
      <c r="H225" s="185"/>
      <c r="I225" s="185"/>
      <c r="J225" s="185"/>
      <c r="K225" s="185"/>
      <c r="L225" s="185"/>
      <c r="M225" s="185"/>
      <c r="N225" s="186"/>
      <c r="O225" s="79" t="str">
        <f>IF(P225&lt;&gt;"","ENT_"&amp;RIGHT(B225,2)&amp;"_"&amp;TEXT(ROW(O225)-ROW(O$207)+1,"00"),"")</f>
        <v>ENT_41_19</v>
      </c>
      <c r="P225" s="174" t="s">
        <v>4288</v>
      </c>
      <c r="Q225" s="175"/>
      <c r="R225" s="175"/>
      <c r="S225" s="175"/>
      <c r="T225" s="175"/>
      <c r="U225" s="175"/>
      <c r="V225" s="175"/>
      <c r="W225" s="175"/>
      <c r="X225" s="175"/>
      <c r="Y225" s="175"/>
      <c r="Z225" s="175"/>
      <c r="AA225" s="175"/>
      <c r="AB225" s="175"/>
      <c r="AC225" s="175"/>
      <c r="AD225" s="176"/>
      <c r="AE225" s="177" t="str">
        <f t="shared" ref="AE225" ca="1" si="203">IFERROR(INDIRECT(P225&amp;"!D8"),"")</f>
        <v>sny_202310_work_kansatsu_term</v>
      </c>
      <c r="AF225" s="178"/>
      <c r="AG225" s="178"/>
      <c r="AH225" s="178"/>
      <c r="AI225" s="178"/>
      <c r="AJ225" s="178"/>
      <c r="AK225" s="178"/>
      <c r="AL225" s="179"/>
      <c r="AM225" s="177" t="str">
        <f t="shared" ref="AM225" ca="1" si="204">IFERROR(INDIRECT(P225&amp;"!D9"),"")</f>
        <v>観察期間データを格納するテーブル</v>
      </c>
      <c r="AN225" s="178"/>
      <c r="AO225" s="178"/>
      <c r="AP225" s="178"/>
      <c r="AQ225" s="178"/>
      <c r="AR225" s="178"/>
      <c r="AS225" s="178"/>
      <c r="AT225" s="178"/>
      <c r="AU225" s="178"/>
      <c r="AV225" s="178"/>
      <c r="AW225" s="178"/>
      <c r="AX225" s="178"/>
      <c r="AY225" s="178"/>
      <c r="AZ225" s="178"/>
      <c r="BA225" s="178"/>
      <c r="BB225" s="178"/>
      <c r="BC225" s="178"/>
      <c r="BD225" s="178"/>
      <c r="BE225" s="178"/>
      <c r="BF225" s="178"/>
      <c r="BG225" s="178"/>
      <c r="BH225" s="178"/>
      <c r="BI225" s="178"/>
      <c r="BJ225" s="180"/>
      <c r="BK225" s="32" t="str">
        <f t="shared" ref="BK225" si="205">IF(P225&lt;&gt;"",O225&amp;"_"&amp;P225&amp;".sql","")</f>
        <v>ENT_41_19_ワーク_観察期間.sql</v>
      </c>
    </row>
    <row r="226" spans="1:63" ht="37.5" customHeight="1">
      <c r="A226" s="34" t="str">
        <f t="shared" si="78"/>
        <v>セレクト_患者基本データ</v>
      </c>
      <c r="B226" s="168" t="str">
        <f>TEXT(51,"00")</f>
        <v>51</v>
      </c>
      <c r="C226" s="169"/>
      <c r="D226" s="169"/>
      <c r="E226" s="169"/>
      <c r="F226" s="170"/>
      <c r="G226" s="171" t="s">
        <v>560</v>
      </c>
      <c r="H226" s="172"/>
      <c r="I226" s="172"/>
      <c r="J226" s="172"/>
      <c r="K226" s="172"/>
      <c r="L226" s="172"/>
      <c r="M226" s="172"/>
      <c r="N226" s="173"/>
      <c r="O226" s="79" t="str">
        <f>IF(P226&lt;&gt;"","ENT_"&amp;RIGHT(B226,2)&amp;"_"&amp;TEXT(ROW(O226)-ROW(O$226)+1,"00"),"")</f>
        <v>ENT_51_01</v>
      </c>
      <c r="P226" s="174" t="s">
        <v>4307</v>
      </c>
      <c r="Q226" s="175"/>
      <c r="R226" s="175"/>
      <c r="S226" s="175"/>
      <c r="T226" s="175"/>
      <c r="U226" s="175"/>
      <c r="V226" s="175"/>
      <c r="W226" s="175"/>
      <c r="X226" s="175"/>
      <c r="Y226" s="175"/>
      <c r="Z226" s="175"/>
      <c r="AA226" s="175"/>
      <c r="AB226" s="175"/>
      <c r="AC226" s="175"/>
      <c r="AD226" s="176"/>
      <c r="AE226" s="177" t="str">
        <f t="shared" ca="1" si="130"/>
        <v>sny_202310_select_patient_basic</v>
      </c>
      <c r="AF226" s="178"/>
      <c r="AG226" s="178"/>
      <c r="AH226" s="178"/>
      <c r="AI226" s="178"/>
      <c r="AJ226" s="178"/>
      <c r="AK226" s="178"/>
      <c r="AL226" s="179"/>
      <c r="AM226" s="177">
        <f t="shared" ca="1" si="131"/>
        <v>0</v>
      </c>
      <c r="AN226" s="178"/>
      <c r="AO226" s="178"/>
      <c r="AP226" s="178"/>
      <c r="AQ226" s="178"/>
      <c r="AR226" s="178"/>
      <c r="AS226" s="178"/>
      <c r="AT226" s="178"/>
      <c r="AU226" s="178"/>
      <c r="AV226" s="178"/>
      <c r="AW226" s="178"/>
      <c r="AX226" s="178"/>
      <c r="AY226" s="178"/>
      <c r="AZ226" s="178"/>
      <c r="BA226" s="178"/>
      <c r="BB226" s="178"/>
      <c r="BC226" s="178"/>
      <c r="BD226" s="178"/>
      <c r="BE226" s="178"/>
      <c r="BF226" s="178"/>
      <c r="BG226" s="178"/>
      <c r="BH226" s="178"/>
      <c r="BI226" s="178"/>
      <c r="BJ226" s="180"/>
      <c r="BK226" s="32" t="str">
        <f t="shared" si="43"/>
        <v>ENT_51_01_セレクト_患者基本データ.sql</v>
      </c>
    </row>
    <row r="227" spans="1:63" ht="37.5" customHeight="1">
      <c r="A227" s="34" t="str">
        <f t="shared" ref="A227" si="206">P227</f>
        <v>セレクト_併発疾患データ</v>
      </c>
      <c r="B227" s="181" t="str">
        <f>TEXT(51,"00")</f>
        <v>51</v>
      </c>
      <c r="C227" s="182"/>
      <c r="D227" s="182"/>
      <c r="E227" s="182"/>
      <c r="F227" s="183"/>
      <c r="G227" s="184" t="s">
        <v>560</v>
      </c>
      <c r="H227" s="185"/>
      <c r="I227" s="185"/>
      <c r="J227" s="185"/>
      <c r="K227" s="185"/>
      <c r="L227" s="185"/>
      <c r="M227" s="185"/>
      <c r="N227" s="186"/>
      <c r="O227" s="79" t="str">
        <f>IF(P227&lt;&gt;"","ENT_"&amp;RIGHT(B227,2)&amp;"_"&amp;TEXT(ROW(O227)-ROW(O$226)+1,"00"),"")</f>
        <v>ENT_51_02</v>
      </c>
      <c r="P227" s="188" t="s">
        <v>4308</v>
      </c>
      <c r="Q227" s="189"/>
      <c r="R227" s="189"/>
      <c r="S227" s="189"/>
      <c r="T227" s="189"/>
      <c r="U227" s="189"/>
      <c r="V227" s="189"/>
      <c r="W227" s="189"/>
      <c r="X227" s="189"/>
      <c r="Y227" s="189"/>
      <c r="Z227" s="189"/>
      <c r="AA227" s="189"/>
      <c r="AB227" s="189"/>
      <c r="AC227" s="189"/>
      <c r="AD227" s="190"/>
      <c r="AE227" s="165" t="str">
        <f t="shared" ref="AE227" ca="1" si="207">IFERROR(INDIRECT(P227&amp;"!D8"),"")</f>
        <v>sny_202310_select_shikkan</v>
      </c>
      <c r="AF227" s="166"/>
      <c r="AG227" s="166"/>
      <c r="AH227" s="166"/>
      <c r="AI227" s="166"/>
      <c r="AJ227" s="166"/>
      <c r="AK227" s="166"/>
      <c r="AL227" s="187"/>
      <c r="AM227" s="165">
        <f t="shared" ref="AM227" ca="1" si="208">IFERROR(INDIRECT(P227&amp;"!D9"),"")</f>
        <v>0</v>
      </c>
      <c r="AN227" s="166"/>
      <c r="AO227" s="166"/>
      <c r="AP227" s="166"/>
      <c r="AQ227" s="166"/>
      <c r="AR227" s="166"/>
      <c r="AS227" s="166"/>
      <c r="AT227" s="166"/>
      <c r="AU227" s="166"/>
      <c r="AV227" s="166"/>
      <c r="AW227" s="166"/>
      <c r="AX227" s="166"/>
      <c r="AY227" s="166"/>
      <c r="AZ227" s="166"/>
      <c r="BA227" s="166"/>
      <c r="BB227" s="166"/>
      <c r="BC227" s="166"/>
      <c r="BD227" s="166"/>
      <c r="BE227" s="166"/>
      <c r="BF227" s="166"/>
      <c r="BG227" s="166"/>
      <c r="BH227" s="166"/>
      <c r="BI227" s="166"/>
      <c r="BJ227" s="167"/>
      <c r="BK227" s="32" t="str">
        <f t="shared" si="43"/>
        <v>ENT_51_02_セレクト_併発疾患データ.sql</v>
      </c>
    </row>
    <row r="228" spans="1:63" ht="37.5" customHeight="1">
      <c r="A228" s="34" t="str">
        <f t="shared" ref="A228:A233" si="209">P228</f>
        <v>セレクト_入院外来データ</v>
      </c>
      <c r="B228" s="181" t="str">
        <f t="shared" ref="B228:B233" si="210">TEXT(51,"00")</f>
        <v>51</v>
      </c>
      <c r="C228" s="182"/>
      <c r="D228" s="182"/>
      <c r="E228" s="182"/>
      <c r="F228" s="183"/>
      <c r="G228" s="184" t="s">
        <v>560</v>
      </c>
      <c r="H228" s="185"/>
      <c r="I228" s="185"/>
      <c r="J228" s="185"/>
      <c r="K228" s="185"/>
      <c r="L228" s="185"/>
      <c r="M228" s="185"/>
      <c r="N228" s="186"/>
      <c r="O228" s="79" t="str">
        <f t="shared" ref="O228:O233" si="211">IF(P228&lt;&gt;"","ENT_"&amp;RIGHT(B228,2)&amp;"_"&amp;TEXT(ROW(O228)-ROW(O$226)+1,"00"),"")</f>
        <v>ENT_51_03</v>
      </c>
      <c r="P228" s="188" t="s">
        <v>4309</v>
      </c>
      <c r="Q228" s="189"/>
      <c r="R228" s="189"/>
      <c r="S228" s="189"/>
      <c r="T228" s="189"/>
      <c r="U228" s="189"/>
      <c r="V228" s="189"/>
      <c r="W228" s="189"/>
      <c r="X228" s="189"/>
      <c r="Y228" s="189"/>
      <c r="Z228" s="189"/>
      <c r="AA228" s="189"/>
      <c r="AB228" s="189"/>
      <c r="AC228" s="189"/>
      <c r="AD228" s="190"/>
      <c r="AE228" s="165" t="str">
        <f t="shared" ref="AE228:AE233" ca="1" si="212">IFERROR(INDIRECT(P228&amp;"!D8"),"")</f>
        <v>sny_202310_select_nyuin_gairai</v>
      </c>
      <c r="AF228" s="166"/>
      <c r="AG228" s="166"/>
      <c r="AH228" s="166"/>
      <c r="AI228" s="166"/>
      <c r="AJ228" s="166"/>
      <c r="AK228" s="166"/>
      <c r="AL228" s="187"/>
      <c r="AM228" s="165">
        <f t="shared" ref="AM228:AM233" ca="1" si="213">IFERROR(INDIRECT(P228&amp;"!D9"),"")</f>
        <v>0</v>
      </c>
      <c r="AN228" s="166"/>
      <c r="AO228" s="166"/>
      <c r="AP228" s="166"/>
      <c r="AQ228" s="166"/>
      <c r="AR228" s="166"/>
      <c r="AS228" s="166"/>
      <c r="AT228" s="166"/>
      <c r="AU228" s="166"/>
      <c r="AV228" s="166"/>
      <c r="AW228" s="166"/>
      <c r="AX228" s="166"/>
      <c r="AY228" s="166"/>
      <c r="AZ228" s="166"/>
      <c r="BA228" s="166"/>
      <c r="BB228" s="166"/>
      <c r="BC228" s="166"/>
      <c r="BD228" s="166"/>
      <c r="BE228" s="166"/>
      <c r="BF228" s="166"/>
      <c r="BG228" s="166"/>
      <c r="BH228" s="166"/>
      <c r="BI228" s="166"/>
      <c r="BJ228" s="167"/>
      <c r="BK228" s="32" t="str">
        <f t="shared" ref="BK228:BK233" si="214">IF(P228&lt;&gt;"",O228&amp;"_"&amp;P228&amp;".sql","")</f>
        <v>ENT_51_03_セレクト_入院外来データ.sql</v>
      </c>
    </row>
    <row r="229" spans="1:63" ht="37.5" customHeight="1">
      <c r="A229" s="34" t="str">
        <f t="shared" si="209"/>
        <v>セレクト_薬剤データ</v>
      </c>
      <c r="B229" s="181" t="str">
        <f t="shared" si="210"/>
        <v>51</v>
      </c>
      <c r="C229" s="182"/>
      <c r="D229" s="182"/>
      <c r="E229" s="182"/>
      <c r="F229" s="183"/>
      <c r="G229" s="184" t="s">
        <v>560</v>
      </c>
      <c r="H229" s="185"/>
      <c r="I229" s="185"/>
      <c r="J229" s="185"/>
      <c r="K229" s="185"/>
      <c r="L229" s="185"/>
      <c r="M229" s="185"/>
      <c r="N229" s="186"/>
      <c r="O229" s="79" t="str">
        <f t="shared" si="211"/>
        <v>ENT_51_04</v>
      </c>
      <c r="P229" s="188" t="s">
        <v>4310</v>
      </c>
      <c r="Q229" s="189"/>
      <c r="R229" s="189"/>
      <c r="S229" s="189"/>
      <c r="T229" s="189"/>
      <c r="U229" s="189"/>
      <c r="V229" s="189"/>
      <c r="W229" s="189"/>
      <c r="X229" s="189"/>
      <c r="Y229" s="189"/>
      <c r="Z229" s="189"/>
      <c r="AA229" s="189"/>
      <c r="AB229" s="189"/>
      <c r="AC229" s="189"/>
      <c r="AD229" s="190"/>
      <c r="AE229" s="165" t="str">
        <f t="shared" ca="1" si="212"/>
        <v>sny_202310_select_yakuzai</v>
      </c>
      <c r="AF229" s="166"/>
      <c r="AG229" s="166"/>
      <c r="AH229" s="166"/>
      <c r="AI229" s="166"/>
      <c r="AJ229" s="166"/>
      <c r="AK229" s="166"/>
      <c r="AL229" s="187"/>
      <c r="AM229" s="165">
        <f t="shared" ca="1" si="213"/>
        <v>0</v>
      </c>
      <c r="AN229" s="166"/>
      <c r="AO229" s="166"/>
      <c r="AP229" s="166"/>
      <c r="AQ229" s="166"/>
      <c r="AR229" s="166"/>
      <c r="AS229" s="166"/>
      <c r="AT229" s="166"/>
      <c r="AU229" s="166"/>
      <c r="AV229" s="166"/>
      <c r="AW229" s="166"/>
      <c r="AX229" s="166"/>
      <c r="AY229" s="166"/>
      <c r="AZ229" s="166"/>
      <c r="BA229" s="166"/>
      <c r="BB229" s="166"/>
      <c r="BC229" s="166"/>
      <c r="BD229" s="166"/>
      <c r="BE229" s="166"/>
      <c r="BF229" s="166"/>
      <c r="BG229" s="166"/>
      <c r="BH229" s="166"/>
      <c r="BI229" s="166"/>
      <c r="BJ229" s="167"/>
      <c r="BK229" s="32" t="str">
        <f t="shared" si="214"/>
        <v>ENT_51_04_セレクト_薬剤データ.sql</v>
      </c>
    </row>
    <row r="230" spans="1:63" ht="37.5" customHeight="1">
      <c r="A230" s="34" t="str">
        <f t="shared" si="209"/>
        <v>セレクト_検査データ</v>
      </c>
      <c r="B230" s="181" t="str">
        <f t="shared" si="210"/>
        <v>51</v>
      </c>
      <c r="C230" s="182"/>
      <c r="D230" s="182"/>
      <c r="E230" s="182"/>
      <c r="F230" s="183"/>
      <c r="G230" s="184" t="s">
        <v>560</v>
      </c>
      <c r="H230" s="185"/>
      <c r="I230" s="185"/>
      <c r="J230" s="185"/>
      <c r="K230" s="185"/>
      <c r="L230" s="185"/>
      <c r="M230" s="185"/>
      <c r="N230" s="186"/>
      <c r="O230" s="79" t="str">
        <f t="shared" si="211"/>
        <v>ENT_51_05</v>
      </c>
      <c r="P230" s="188" t="s">
        <v>4311</v>
      </c>
      <c r="Q230" s="189"/>
      <c r="R230" s="189"/>
      <c r="S230" s="189"/>
      <c r="T230" s="189"/>
      <c r="U230" s="189"/>
      <c r="V230" s="189"/>
      <c r="W230" s="189"/>
      <c r="X230" s="189"/>
      <c r="Y230" s="189"/>
      <c r="Z230" s="189"/>
      <c r="AA230" s="189"/>
      <c r="AB230" s="189"/>
      <c r="AC230" s="189"/>
      <c r="AD230" s="190"/>
      <c r="AE230" s="165" t="str">
        <f t="shared" ca="1" si="212"/>
        <v>sny_202310_select_kensa</v>
      </c>
      <c r="AF230" s="166"/>
      <c r="AG230" s="166"/>
      <c r="AH230" s="166"/>
      <c r="AI230" s="166"/>
      <c r="AJ230" s="166"/>
      <c r="AK230" s="166"/>
      <c r="AL230" s="187"/>
      <c r="AM230" s="165">
        <f t="shared" ca="1" si="213"/>
        <v>0</v>
      </c>
      <c r="AN230" s="166"/>
      <c r="AO230" s="166"/>
      <c r="AP230" s="166"/>
      <c r="AQ230" s="166"/>
      <c r="AR230" s="166"/>
      <c r="AS230" s="166"/>
      <c r="AT230" s="166"/>
      <c r="AU230" s="166"/>
      <c r="AV230" s="166"/>
      <c r="AW230" s="166"/>
      <c r="AX230" s="166"/>
      <c r="AY230" s="166"/>
      <c r="AZ230" s="166"/>
      <c r="BA230" s="166"/>
      <c r="BB230" s="166"/>
      <c r="BC230" s="166"/>
      <c r="BD230" s="166"/>
      <c r="BE230" s="166"/>
      <c r="BF230" s="166"/>
      <c r="BG230" s="166"/>
      <c r="BH230" s="166"/>
      <c r="BI230" s="166"/>
      <c r="BJ230" s="167"/>
      <c r="BK230" s="32" t="str">
        <f t="shared" si="214"/>
        <v>ENT_51_05_セレクト_検査データ.sql</v>
      </c>
    </row>
    <row r="231" spans="1:63" ht="37.5" customHeight="1">
      <c r="A231" s="34" t="str">
        <f t="shared" si="209"/>
        <v>セレクト_検査データ_統計量抽出用</v>
      </c>
      <c r="B231" s="181" t="str">
        <f t="shared" si="210"/>
        <v>51</v>
      </c>
      <c r="C231" s="182"/>
      <c r="D231" s="182"/>
      <c r="E231" s="182"/>
      <c r="F231" s="183"/>
      <c r="G231" s="184" t="s">
        <v>560</v>
      </c>
      <c r="H231" s="185"/>
      <c r="I231" s="185"/>
      <c r="J231" s="185"/>
      <c r="K231" s="185"/>
      <c r="L231" s="185"/>
      <c r="M231" s="185"/>
      <c r="N231" s="186"/>
      <c r="O231" s="79" t="str">
        <f t="shared" si="211"/>
        <v>ENT_51_06</v>
      </c>
      <c r="P231" s="188" t="s">
        <v>4312</v>
      </c>
      <c r="Q231" s="189"/>
      <c r="R231" s="189"/>
      <c r="S231" s="189"/>
      <c r="T231" s="189"/>
      <c r="U231" s="189"/>
      <c r="V231" s="189"/>
      <c r="W231" s="189"/>
      <c r="X231" s="189"/>
      <c r="Y231" s="189"/>
      <c r="Z231" s="189"/>
      <c r="AA231" s="189"/>
      <c r="AB231" s="189"/>
      <c r="AC231" s="189"/>
      <c r="AD231" s="190"/>
      <c r="AE231" s="165" t="str">
        <f t="shared" ca="1" si="212"/>
        <v>sny_202310_select_kensa_discribe</v>
      </c>
      <c r="AF231" s="166"/>
      <c r="AG231" s="166"/>
      <c r="AH231" s="166"/>
      <c r="AI231" s="166"/>
      <c r="AJ231" s="166"/>
      <c r="AK231" s="166"/>
      <c r="AL231" s="187"/>
      <c r="AM231" s="165">
        <f t="shared" ca="1" si="213"/>
        <v>0</v>
      </c>
      <c r="AN231" s="166"/>
      <c r="AO231" s="166"/>
      <c r="AP231" s="166"/>
      <c r="AQ231" s="166"/>
      <c r="AR231" s="166"/>
      <c r="AS231" s="166"/>
      <c r="AT231" s="166"/>
      <c r="AU231" s="166"/>
      <c r="AV231" s="166"/>
      <c r="AW231" s="166"/>
      <c r="AX231" s="166"/>
      <c r="AY231" s="166"/>
      <c r="AZ231" s="166"/>
      <c r="BA231" s="166"/>
      <c r="BB231" s="166"/>
      <c r="BC231" s="166"/>
      <c r="BD231" s="166"/>
      <c r="BE231" s="166"/>
      <c r="BF231" s="166"/>
      <c r="BG231" s="166"/>
      <c r="BH231" s="166"/>
      <c r="BI231" s="166"/>
      <c r="BJ231" s="167"/>
      <c r="BK231" s="32" t="str">
        <f t="shared" si="214"/>
        <v>ENT_51_06_セレクト_検査データ_統計量抽出用.sql</v>
      </c>
    </row>
    <row r="232" spans="1:63" ht="37.5" customHeight="1">
      <c r="A232" s="34" t="str">
        <f t="shared" ref="A232" si="215">P232</f>
        <v>セレクト_診療行為データ</v>
      </c>
      <c r="B232" s="181" t="str">
        <f t="shared" si="210"/>
        <v>51</v>
      </c>
      <c r="C232" s="182"/>
      <c r="D232" s="182"/>
      <c r="E232" s="182"/>
      <c r="F232" s="183"/>
      <c r="G232" s="184" t="s">
        <v>560</v>
      </c>
      <c r="H232" s="185"/>
      <c r="I232" s="185"/>
      <c r="J232" s="185"/>
      <c r="K232" s="185"/>
      <c r="L232" s="185"/>
      <c r="M232" s="185"/>
      <c r="N232" s="186"/>
      <c r="O232" s="79" t="str">
        <f t="shared" ref="O232" si="216">IF(P232&lt;&gt;"","ENT_"&amp;RIGHT(B232,2)&amp;"_"&amp;TEXT(ROW(O232)-ROW(O$226)+1,"00"),"")</f>
        <v>ENT_51_07</v>
      </c>
      <c r="P232" s="188" t="s">
        <v>4313</v>
      </c>
      <c r="Q232" s="189"/>
      <c r="R232" s="189"/>
      <c r="S232" s="189"/>
      <c r="T232" s="189"/>
      <c r="U232" s="189"/>
      <c r="V232" s="189"/>
      <c r="W232" s="189"/>
      <c r="X232" s="189"/>
      <c r="Y232" s="189"/>
      <c r="Z232" s="189"/>
      <c r="AA232" s="189"/>
      <c r="AB232" s="189"/>
      <c r="AC232" s="189"/>
      <c r="AD232" s="190"/>
      <c r="AE232" s="165" t="str">
        <f t="shared" ref="AE232" ca="1" si="217">IFERROR(INDIRECT(P232&amp;"!D8"),"")</f>
        <v>sny_202310_select_shinryou_koui</v>
      </c>
      <c r="AF232" s="166"/>
      <c r="AG232" s="166"/>
      <c r="AH232" s="166"/>
      <c r="AI232" s="166"/>
      <c r="AJ232" s="166"/>
      <c r="AK232" s="166"/>
      <c r="AL232" s="187"/>
      <c r="AM232" s="165">
        <f t="shared" ref="AM232" ca="1" si="218">IFERROR(INDIRECT(P232&amp;"!D9"),"")</f>
        <v>0</v>
      </c>
      <c r="AN232" s="166"/>
      <c r="AO232" s="166"/>
      <c r="AP232" s="166"/>
      <c r="AQ232" s="166"/>
      <c r="AR232" s="166"/>
      <c r="AS232" s="166"/>
      <c r="AT232" s="166"/>
      <c r="AU232" s="166"/>
      <c r="AV232" s="166"/>
      <c r="AW232" s="166"/>
      <c r="AX232" s="166"/>
      <c r="AY232" s="166"/>
      <c r="AZ232" s="166"/>
      <c r="BA232" s="166"/>
      <c r="BB232" s="166"/>
      <c r="BC232" s="166"/>
      <c r="BD232" s="166"/>
      <c r="BE232" s="166"/>
      <c r="BF232" s="166"/>
      <c r="BG232" s="166"/>
      <c r="BH232" s="166"/>
      <c r="BI232" s="166"/>
      <c r="BJ232" s="167"/>
      <c r="BK232" s="32" t="str">
        <f t="shared" ref="BK232" si="219">IF(P232&lt;&gt;"",O232&amp;"_"&amp;P232&amp;".sql","")</f>
        <v>ENT_51_07_セレクト_診療行為データ.sql</v>
      </c>
    </row>
    <row r="233" spans="1:63" ht="37.5" customHeight="1">
      <c r="A233" s="34" t="str">
        <f t="shared" si="209"/>
        <v>セレクト_入院外来サマリ</v>
      </c>
      <c r="B233" s="243" t="str">
        <f t="shared" si="210"/>
        <v>51</v>
      </c>
      <c r="C233" s="244"/>
      <c r="D233" s="244"/>
      <c r="E233" s="244"/>
      <c r="F233" s="245"/>
      <c r="G233" s="240" t="s">
        <v>560</v>
      </c>
      <c r="H233" s="241"/>
      <c r="I233" s="241"/>
      <c r="J233" s="241"/>
      <c r="K233" s="241"/>
      <c r="L233" s="241"/>
      <c r="M233" s="241"/>
      <c r="N233" s="242"/>
      <c r="O233" s="79" t="str">
        <f t="shared" si="211"/>
        <v>ENT_51_08</v>
      </c>
      <c r="P233" s="188" t="s">
        <v>4430</v>
      </c>
      <c r="Q233" s="189"/>
      <c r="R233" s="189"/>
      <c r="S233" s="189"/>
      <c r="T233" s="189"/>
      <c r="U233" s="189"/>
      <c r="V233" s="189"/>
      <c r="W233" s="189"/>
      <c r="X233" s="189"/>
      <c r="Y233" s="189"/>
      <c r="Z233" s="189"/>
      <c r="AA233" s="189"/>
      <c r="AB233" s="189"/>
      <c r="AC233" s="189"/>
      <c r="AD233" s="190"/>
      <c r="AE233" s="165" t="str">
        <f t="shared" ca="1" si="212"/>
        <v>sny_202310_select_nyuin_gairai_summary</v>
      </c>
      <c r="AF233" s="166"/>
      <c r="AG233" s="166"/>
      <c r="AH233" s="166"/>
      <c r="AI233" s="166"/>
      <c r="AJ233" s="166"/>
      <c r="AK233" s="166"/>
      <c r="AL233" s="187"/>
      <c r="AM233" s="165">
        <f t="shared" ca="1" si="213"/>
        <v>0</v>
      </c>
      <c r="AN233" s="166"/>
      <c r="AO233" s="166"/>
      <c r="AP233" s="166"/>
      <c r="AQ233" s="166"/>
      <c r="AR233" s="166"/>
      <c r="AS233" s="166"/>
      <c r="AT233" s="166"/>
      <c r="AU233" s="166"/>
      <c r="AV233" s="166"/>
      <c r="AW233" s="166"/>
      <c r="AX233" s="166"/>
      <c r="AY233" s="166"/>
      <c r="AZ233" s="166"/>
      <c r="BA233" s="166"/>
      <c r="BB233" s="166"/>
      <c r="BC233" s="166"/>
      <c r="BD233" s="166"/>
      <c r="BE233" s="166"/>
      <c r="BF233" s="166"/>
      <c r="BG233" s="166"/>
      <c r="BH233" s="166"/>
      <c r="BI233" s="166"/>
      <c r="BJ233" s="167"/>
      <c r="BK233" s="32" t="str">
        <f t="shared" si="214"/>
        <v>ENT_51_08_セレクト_入院外来サマリ.sql</v>
      </c>
    </row>
    <row r="234" spans="1:63" ht="37.5" customHeight="1">
      <c r="A234" s="34" t="str">
        <f t="shared" ref="A234:A244" si="220">P234</f>
        <v>ステップ1報告_患者区分</v>
      </c>
      <c r="B234" s="181" t="str">
        <f>TEXT(52,"00")</f>
        <v>52</v>
      </c>
      <c r="C234" s="182"/>
      <c r="D234" s="182"/>
      <c r="E234" s="182"/>
      <c r="F234" s="183"/>
      <c r="G234" s="184" t="s">
        <v>4412</v>
      </c>
      <c r="H234" s="185"/>
      <c r="I234" s="185"/>
      <c r="J234" s="185"/>
      <c r="K234" s="185"/>
      <c r="L234" s="185"/>
      <c r="M234" s="185"/>
      <c r="N234" s="186"/>
      <c r="O234" s="79" t="str">
        <f>IF(P234&lt;&gt;"","ENT_"&amp;RIGHT(B234,2)&amp;"_"&amp;TEXT(ROW(O234)-ROW(O$234)+1,"00"),"")</f>
        <v>ENT_52_01</v>
      </c>
      <c r="P234" s="188" t="s">
        <v>4415</v>
      </c>
      <c r="Q234" s="189"/>
      <c r="R234" s="189"/>
      <c r="S234" s="189"/>
      <c r="T234" s="189"/>
      <c r="U234" s="189"/>
      <c r="V234" s="189"/>
      <c r="W234" s="189"/>
      <c r="X234" s="189"/>
      <c r="Y234" s="189"/>
      <c r="Z234" s="189"/>
      <c r="AA234" s="189"/>
      <c r="AB234" s="189"/>
      <c r="AC234" s="189"/>
      <c r="AD234" s="190"/>
      <c r="AE234" s="165" t="str">
        <f t="shared" ref="AE234:AE244" ca="1" si="221">IFERROR(INDIRECT(P234&amp;"!D8"),"")</f>
        <v>sny_202310_report1_kanja_kubun</v>
      </c>
      <c r="AF234" s="166"/>
      <c r="AG234" s="166"/>
      <c r="AH234" s="166"/>
      <c r="AI234" s="166"/>
      <c r="AJ234" s="166"/>
      <c r="AK234" s="166"/>
      <c r="AL234" s="187"/>
      <c r="AM234" s="165">
        <f t="shared" ref="AM234:AM244" ca="1" si="222">IFERROR(INDIRECT(P234&amp;"!D9"),"")</f>
        <v>0</v>
      </c>
      <c r="AN234" s="166"/>
      <c r="AO234" s="166"/>
      <c r="AP234" s="166"/>
      <c r="AQ234" s="166"/>
      <c r="AR234" s="166"/>
      <c r="AS234" s="166"/>
      <c r="AT234" s="166"/>
      <c r="AU234" s="166"/>
      <c r="AV234" s="166"/>
      <c r="AW234" s="166"/>
      <c r="AX234" s="166"/>
      <c r="AY234" s="166"/>
      <c r="AZ234" s="166"/>
      <c r="BA234" s="166"/>
      <c r="BB234" s="166"/>
      <c r="BC234" s="166"/>
      <c r="BD234" s="166"/>
      <c r="BE234" s="166"/>
      <c r="BF234" s="166"/>
      <c r="BG234" s="166"/>
      <c r="BH234" s="166"/>
      <c r="BI234" s="166"/>
      <c r="BJ234" s="167"/>
      <c r="BK234" s="32" t="str">
        <f t="shared" ref="BK234:BK244" si="223">IF(P234&lt;&gt;"",O234&amp;"_"&amp;P234&amp;".sql","")</f>
        <v>ENT_52_01_ステップ1報告_患者区分.sql</v>
      </c>
    </row>
    <row r="235" spans="1:63" ht="37.5" customHeight="1">
      <c r="A235" s="34" t="str">
        <f t="shared" ref="A235" si="224">P235</f>
        <v>ステップ1報告_疾患データ</v>
      </c>
      <c r="B235" s="181" t="str">
        <f>TEXT(52,"00")</f>
        <v>52</v>
      </c>
      <c r="C235" s="182"/>
      <c r="D235" s="182"/>
      <c r="E235" s="182"/>
      <c r="F235" s="183"/>
      <c r="G235" s="184" t="s">
        <v>4412</v>
      </c>
      <c r="H235" s="185"/>
      <c r="I235" s="185"/>
      <c r="J235" s="185"/>
      <c r="K235" s="185"/>
      <c r="L235" s="185"/>
      <c r="M235" s="185"/>
      <c r="N235" s="186"/>
      <c r="O235" s="79" t="str">
        <f>IF(P235&lt;&gt;"","ENT_"&amp;RIGHT(B235,2)&amp;"_"&amp;TEXT(ROW(O235)-ROW(O$234)+1,"00"),"")</f>
        <v>ENT_52_02</v>
      </c>
      <c r="P235" s="188" t="s">
        <v>4564</v>
      </c>
      <c r="Q235" s="189"/>
      <c r="R235" s="189"/>
      <c r="S235" s="189"/>
      <c r="T235" s="189"/>
      <c r="U235" s="189"/>
      <c r="V235" s="189"/>
      <c r="W235" s="189"/>
      <c r="X235" s="189"/>
      <c r="Y235" s="189"/>
      <c r="Z235" s="189"/>
      <c r="AA235" s="189"/>
      <c r="AB235" s="189"/>
      <c r="AC235" s="189"/>
      <c r="AD235" s="190"/>
      <c r="AE235" s="165" t="str">
        <f t="shared" ref="AE235" ca="1" si="225">IFERROR(INDIRECT(P235&amp;"!D8"),"")</f>
        <v>sny_202310_report1_shikkan</v>
      </c>
      <c r="AF235" s="166"/>
      <c r="AG235" s="166"/>
      <c r="AH235" s="166"/>
      <c r="AI235" s="166"/>
      <c r="AJ235" s="166"/>
      <c r="AK235" s="166"/>
      <c r="AL235" s="187"/>
      <c r="AM235" s="165" t="str">
        <f t="shared" ref="AM235" ca="1" si="226">IFERROR(INDIRECT(P235&amp;"!D9"),"")</f>
        <v>MMLの疾患データを格納するテーブル</v>
      </c>
      <c r="AN235" s="166"/>
      <c r="AO235" s="166"/>
      <c r="AP235" s="166"/>
      <c r="AQ235" s="166"/>
      <c r="AR235" s="166"/>
      <c r="AS235" s="166"/>
      <c r="AT235" s="166"/>
      <c r="AU235" s="166"/>
      <c r="AV235" s="166"/>
      <c r="AW235" s="166"/>
      <c r="AX235" s="166"/>
      <c r="AY235" s="166"/>
      <c r="AZ235" s="166"/>
      <c r="BA235" s="166"/>
      <c r="BB235" s="166"/>
      <c r="BC235" s="166"/>
      <c r="BD235" s="166"/>
      <c r="BE235" s="166"/>
      <c r="BF235" s="166"/>
      <c r="BG235" s="166"/>
      <c r="BH235" s="166"/>
      <c r="BI235" s="166"/>
      <c r="BJ235" s="167"/>
      <c r="BK235" s="32" t="str">
        <f t="shared" ref="BK235" si="227">IF(P235&lt;&gt;"",O235&amp;"_"&amp;P235&amp;".sql","")</f>
        <v>ENT_52_02_ステップ1報告_疾患データ.sql</v>
      </c>
    </row>
    <row r="236" spans="1:63" ht="37.5" customHeight="1">
      <c r="A236" s="34" t="str">
        <f t="shared" ref="A236" si="228">P236</f>
        <v>ステップ1報告_染色体情報</v>
      </c>
      <c r="B236" s="181" t="str">
        <f>TEXT(52,"00")</f>
        <v>52</v>
      </c>
      <c r="C236" s="182"/>
      <c r="D236" s="182"/>
      <c r="E236" s="182"/>
      <c r="F236" s="183"/>
      <c r="G236" s="184" t="s">
        <v>4412</v>
      </c>
      <c r="H236" s="185"/>
      <c r="I236" s="185"/>
      <c r="J236" s="185"/>
      <c r="K236" s="185"/>
      <c r="L236" s="185"/>
      <c r="M236" s="185"/>
      <c r="N236" s="186"/>
      <c r="O236" s="79" t="str">
        <f>IF(P236&lt;&gt;"","ENT_"&amp;RIGHT(B236,2)&amp;"_"&amp;TEXT(ROW(O236)-ROW(O$234)+1,"00"),"")</f>
        <v>ENT_52_03</v>
      </c>
      <c r="P236" s="188" t="s">
        <v>4584</v>
      </c>
      <c r="Q236" s="189"/>
      <c r="R236" s="189"/>
      <c r="S236" s="189"/>
      <c r="T236" s="189"/>
      <c r="U236" s="189"/>
      <c r="V236" s="189"/>
      <c r="W236" s="189"/>
      <c r="X236" s="189"/>
      <c r="Y236" s="189"/>
      <c r="Z236" s="189"/>
      <c r="AA236" s="189"/>
      <c r="AB236" s="189"/>
      <c r="AC236" s="189"/>
      <c r="AD236" s="190"/>
      <c r="AE236" s="165" t="str">
        <f t="shared" ref="AE236" ca="1" si="229">IFERROR(INDIRECT(P236&amp;"!D8"),"")</f>
        <v>sny_202310_report1_chromosome</v>
      </c>
      <c r="AF236" s="166"/>
      <c r="AG236" s="166"/>
      <c r="AH236" s="166"/>
      <c r="AI236" s="166"/>
      <c r="AJ236" s="166"/>
      <c r="AK236" s="166"/>
      <c r="AL236" s="187"/>
      <c r="AM236" s="165">
        <f t="shared" ref="AM236" ca="1" si="230">IFERROR(INDIRECT(P236&amp;"!D9"),"")</f>
        <v>0</v>
      </c>
      <c r="AN236" s="166"/>
      <c r="AO236" s="166"/>
      <c r="AP236" s="166"/>
      <c r="AQ236" s="166"/>
      <c r="AR236" s="166"/>
      <c r="AS236" s="166"/>
      <c r="AT236" s="166"/>
      <c r="AU236" s="166"/>
      <c r="AV236" s="166"/>
      <c r="AW236" s="166"/>
      <c r="AX236" s="166"/>
      <c r="AY236" s="166"/>
      <c r="AZ236" s="166"/>
      <c r="BA236" s="166"/>
      <c r="BB236" s="166"/>
      <c r="BC236" s="166"/>
      <c r="BD236" s="166"/>
      <c r="BE236" s="166"/>
      <c r="BF236" s="166"/>
      <c r="BG236" s="166"/>
      <c r="BH236" s="166"/>
      <c r="BI236" s="166"/>
      <c r="BJ236" s="167"/>
      <c r="BK236" s="32" t="str">
        <f t="shared" ref="BK236" si="231">IF(P236&lt;&gt;"",O236&amp;"_"&amp;P236&amp;".sql","")</f>
        <v>ENT_52_03_ステップ1報告_染色体情報.sql</v>
      </c>
    </row>
    <row r="237" spans="1:63" ht="37.5" customHeight="1">
      <c r="A237" s="34" t="str">
        <f t="shared" si="220"/>
        <v>匿名化_患者情報</v>
      </c>
      <c r="B237" s="168" t="str">
        <f>TEXT(61,"00")</f>
        <v>61</v>
      </c>
      <c r="C237" s="169"/>
      <c r="D237" s="169"/>
      <c r="E237" s="169"/>
      <c r="F237" s="170"/>
      <c r="G237" s="171" t="s">
        <v>4434</v>
      </c>
      <c r="H237" s="172"/>
      <c r="I237" s="172"/>
      <c r="J237" s="172"/>
      <c r="K237" s="172"/>
      <c r="L237" s="172"/>
      <c r="M237" s="172"/>
      <c r="N237" s="173"/>
      <c r="O237" s="79" t="str">
        <f>IF(P237&lt;&gt;"","ENT_"&amp;RIGHT(B237,2)&amp;"_"&amp;TEXT(ROW(O237)-ROW(O$237)+1,"00"),"")</f>
        <v>ENT_61_01</v>
      </c>
      <c r="P237" s="174" t="s">
        <v>4435</v>
      </c>
      <c r="Q237" s="175"/>
      <c r="R237" s="175"/>
      <c r="S237" s="175"/>
      <c r="T237" s="175"/>
      <c r="U237" s="175"/>
      <c r="V237" s="175"/>
      <c r="W237" s="175"/>
      <c r="X237" s="175"/>
      <c r="Y237" s="175"/>
      <c r="Z237" s="175"/>
      <c r="AA237" s="175"/>
      <c r="AB237" s="175"/>
      <c r="AC237" s="175"/>
      <c r="AD237" s="176"/>
      <c r="AE237" s="177" t="str">
        <f t="shared" ca="1" si="221"/>
        <v>sny_202310_annony_patient_basic</v>
      </c>
      <c r="AF237" s="178"/>
      <c r="AG237" s="178"/>
      <c r="AH237" s="178"/>
      <c r="AI237" s="178"/>
      <c r="AJ237" s="178"/>
      <c r="AK237" s="178"/>
      <c r="AL237" s="179"/>
      <c r="AM237" s="177">
        <f t="shared" ca="1" si="222"/>
        <v>0</v>
      </c>
      <c r="AN237" s="178"/>
      <c r="AO237" s="178"/>
      <c r="AP237" s="178"/>
      <c r="AQ237" s="178"/>
      <c r="AR237" s="178"/>
      <c r="AS237" s="178"/>
      <c r="AT237" s="178"/>
      <c r="AU237" s="178"/>
      <c r="AV237" s="178"/>
      <c r="AW237" s="178"/>
      <c r="AX237" s="178"/>
      <c r="AY237" s="178"/>
      <c r="AZ237" s="178"/>
      <c r="BA237" s="178"/>
      <c r="BB237" s="178"/>
      <c r="BC237" s="178"/>
      <c r="BD237" s="178"/>
      <c r="BE237" s="178"/>
      <c r="BF237" s="178"/>
      <c r="BG237" s="178"/>
      <c r="BH237" s="178"/>
      <c r="BI237" s="178"/>
      <c r="BJ237" s="180"/>
      <c r="BK237" s="32" t="str">
        <f t="shared" si="223"/>
        <v>ENT_61_01_匿名化_患者情報.sql</v>
      </c>
    </row>
    <row r="238" spans="1:63" ht="37.5" customHeight="1">
      <c r="A238" s="34" t="str">
        <f t="shared" si="220"/>
        <v>匿名化_併発疾患情報</v>
      </c>
      <c r="B238" s="181" t="str">
        <f t="shared" ref="B238:B248" si="232">TEXT(61,"00")</f>
        <v>61</v>
      </c>
      <c r="C238" s="182"/>
      <c r="D238" s="182"/>
      <c r="E238" s="182"/>
      <c r="F238" s="183"/>
      <c r="G238" s="184" t="s">
        <v>4434</v>
      </c>
      <c r="H238" s="185"/>
      <c r="I238" s="185"/>
      <c r="J238" s="185"/>
      <c r="K238" s="185"/>
      <c r="L238" s="185"/>
      <c r="M238" s="185"/>
      <c r="N238" s="186"/>
      <c r="O238" s="79" t="str">
        <f t="shared" ref="O238:O244" si="233">IF(P238&lt;&gt;"","ENT_"&amp;RIGHT(B238,2)&amp;"_"&amp;TEXT(ROW(O238)-ROW(O$237)+1,"00"),"")</f>
        <v>ENT_61_02</v>
      </c>
      <c r="P238" s="174" t="s">
        <v>4436</v>
      </c>
      <c r="Q238" s="175"/>
      <c r="R238" s="175"/>
      <c r="S238" s="175"/>
      <c r="T238" s="175"/>
      <c r="U238" s="175"/>
      <c r="V238" s="175"/>
      <c r="W238" s="175"/>
      <c r="X238" s="175"/>
      <c r="Y238" s="175"/>
      <c r="Z238" s="175"/>
      <c r="AA238" s="175"/>
      <c r="AB238" s="175"/>
      <c r="AC238" s="175"/>
      <c r="AD238" s="176"/>
      <c r="AE238" s="165" t="str">
        <f t="shared" ca="1" si="221"/>
        <v>sny_202310_annony_shikkan</v>
      </c>
      <c r="AF238" s="166"/>
      <c r="AG238" s="166"/>
      <c r="AH238" s="166"/>
      <c r="AI238" s="166"/>
      <c r="AJ238" s="166"/>
      <c r="AK238" s="166"/>
      <c r="AL238" s="187"/>
      <c r="AM238" s="165">
        <f t="shared" ca="1" si="222"/>
        <v>0</v>
      </c>
      <c r="AN238" s="166"/>
      <c r="AO238" s="166"/>
      <c r="AP238" s="166"/>
      <c r="AQ238" s="166"/>
      <c r="AR238" s="166"/>
      <c r="AS238" s="166"/>
      <c r="AT238" s="166"/>
      <c r="AU238" s="166"/>
      <c r="AV238" s="166"/>
      <c r="AW238" s="166"/>
      <c r="AX238" s="166"/>
      <c r="AY238" s="166"/>
      <c r="AZ238" s="166"/>
      <c r="BA238" s="166"/>
      <c r="BB238" s="166"/>
      <c r="BC238" s="166"/>
      <c r="BD238" s="166"/>
      <c r="BE238" s="166"/>
      <c r="BF238" s="166"/>
      <c r="BG238" s="166"/>
      <c r="BH238" s="166"/>
      <c r="BI238" s="166"/>
      <c r="BJ238" s="167"/>
      <c r="BK238" s="32" t="str">
        <f t="shared" si="223"/>
        <v>ENT_61_02_匿名化_併発疾患情報.sql</v>
      </c>
    </row>
    <row r="239" spans="1:63" ht="37.5" customHeight="1">
      <c r="A239" s="34" t="str">
        <f>P239</f>
        <v>匿名化_染色体情報</v>
      </c>
      <c r="B239" s="181" t="str">
        <f t="shared" si="232"/>
        <v>61</v>
      </c>
      <c r="C239" s="182"/>
      <c r="D239" s="182"/>
      <c r="E239" s="182"/>
      <c r="F239" s="183"/>
      <c r="G239" s="184" t="s">
        <v>4434</v>
      </c>
      <c r="H239" s="185"/>
      <c r="I239" s="185"/>
      <c r="J239" s="185"/>
      <c r="K239" s="185"/>
      <c r="L239" s="185"/>
      <c r="M239" s="185"/>
      <c r="N239" s="186"/>
      <c r="O239" s="79" t="str">
        <f>IF(P239&lt;&gt;"","ENT_"&amp;RIGHT(B239,2)&amp;"_"&amp;TEXT(ROW(O239)-ROW(O$237)+1,"00"),"")</f>
        <v>ENT_61_03</v>
      </c>
      <c r="P239" s="174" t="s">
        <v>4438</v>
      </c>
      <c r="Q239" s="175"/>
      <c r="R239" s="175"/>
      <c r="S239" s="175"/>
      <c r="T239" s="175"/>
      <c r="U239" s="175"/>
      <c r="V239" s="175"/>
      <c r="W239" s="175"/>
      <c r="X239" s="175"/>
      <c r="Y239" s="175"/>
      <c r="Z239" s="175"/>
      <c r="AA239" s="175"/>
      <c r="AB239" s="175"/>
      <c r="AC239" s="175"/>
      <c r="AD239" s="176"/>
      <c r="AE239" s="165" t="str">
        <f ca="1">IFERROR(INDIRECT(P239&amp;"!D8"),"")</f>
        <v>sny_202310_annony_chromosome</v>
      </c>
      <c r="AF239" s="166"/>
      <c r="AG239" s="166"/>
      <c r="AH239" s="166"/>
      <c r="AI239" s="166"/>
      <c r="AJ239" s="166"/>
      <c r="AK239" s="166"/>
      <c r="AL239" s="187"/>
      <c r="AM239" s="165">
        <f ca="1">IFERROR(INDIRECT(P239&amp;"!D9"),"")</f>
        <v>0</v>
      </c>
      <c r="AN239" s="166"/>
      <c r="AO239" s="166"/>
      <c r="AP239" s="166"/>
      <c r="AQ239" s="166"/>
      <c r="AR239" s="166"/>
      <c r="AS239" s="166"/>
      <c r="AT239" s="166"/>
      <c r="AU239" s="166"/>
      <c r="AV239" s="166"/>
      <c r="AW239" s="166"/>
      <c r="AX239" s="166"/>
      <c r="AY239" s="166"/>
      <c r="AZ239" s="166"/>
      <c r="BA239" s="166"/>
      <c r="BB239" s="166"/>
      <c r="BC239" s="166"/>
      <c r="BD239" s="166"/>
      <c r="BE239" s="166"/>
      <c r="BF239" s="166"/>
      <c r="BG239" s="166"/>
      <c r="BH239" s="166"/>
      <c r="BI239" s="166"/>
      <c r="BJ239" s="167"/>
      <c r="BK239" s="32" t="str">
        <f>IF(P239&lt;&gt;"",O239&amp;"_"&amp;P239&amp;".sql","")</f>
        <v>ENT_61_03_匿名化_染色体情報.sql</v>
      </c>
    </row>
    <row r="240" spans="1:63" ht="37.5" customHeight="1">
      <c r="A240" s="34" t="str">
        <f t="shared" ref="A240" si="234">P240</f>
        <v>匿名化_検査値情報</v>
      </c>
      <c r="B240" s="181" t="str">
        <f t="shared" si="232"/>
        <v>61</v>
      </c>
      <c r="C240" s="182"/>
      <c r="D240" s="182"/>
      <c r="E240" s="182"/>
      <c r="F240" s="183"/>
      <c r="G240" s="184" t="s">
        <v>4434</v>
      </c>
      <c r="H240" s="185"/>
      <c r="I240" s="185"/>
      <c r="J240" s="185"/>
      <c r="K240" s="185"/>
      <c r="L240" s="185"/>
      <c r="M240" s="185"/>
      <c r="N240" s="186"/>
      <c r="O240" s="79" t="str">
        <f t="shared" ref="O240" si="235">IF(P240&lt;&gt;"","ENT_"&amp;RIGHT(B240,2)&amp;"_"&amp;TEXT(ROW(O240)-ROW(O$237)+1,"00"),"")</f>
        <v>ENT_61_04</v>
      </c>
      <c r="P240" s="174" t="s">
        <v>4444</v>
      </c>
      <c r="Q240" s="175"/>
      <c r="R240" s="175"/>
      <c r="S240" s="175"/>
      <c r="T240" s="175"/>
      <c r="U240" s="175"/>
      <c r="V240" s="175"/>
      <c r="W240" s="175"/>
      <c r="X240" s="175"/>
      <c r="Y240" s="175"/>
      <c r="Z240" s="175"/>
      <c r="AA240" s="175"/>
      <c r="AB240" s="175"/>
      <c r="AC240" s="175"/>
      <c r="AD240" s="176"/>
      <c r="AE240" s="165" t="str">
        <f t="shared" ref="AE240" ca="1" si="236">IFERROR(INDIRECT(P240&amp;"!D8"),"")</f>
        <v>sny_202310_annony_kensa</v>
      </c>
      <c r="AF240" s="166"/>
      <c r="AG240" s="166"/>
      <c r="AH240" s="166"/>
      <c r="AI240" s="166"/>
      <c r="AJ240" s="166"/>
      <c r="AK240" s="166"/>
      <c r="AL240" s="187"/>
      <c r="AM240" s="165">
        <f t="shared" ref="AM240" ca="1" si="237">IFERROR(INDIRECT(P240&amp;"!D9"),"")</f>
        <v>0</v>
      </c>
      <c r="AN240" s="166"/>
      <c r="AO240" s="166"/>
      <c r="AP240" s="166"/>
      <c r="AQ240" s="166"/>
      <c r="AR240" s="166"/>
      <c r="AS240" s="166"/>
      <c r="AT240" s="166"/>
      <c r="AU240" s="166"/>
      <c r="AV240" s="166"/>
      <c r="AW240" s="166"/>
      <c r="AX240" s="166"/>
      <c r="AY240" s="166"/>
      <c r="AZ240" s="166"/>
      <c r="BA240" s="166"/>
      <c r="BB240" s="166"/>
      <c r="BC240" s="166"/>
      <c r="BD240" s="166"/>
      <c r="BE240" s="166"/>
      <c r="BF240" s="166"/>
      <c r="BG240" s="166"/>
      <c r="BH240" s="166"/>
      <c r="BI240" s="166"/>
      <c r="BJ240" s="167"/>
      <c r="BK240" s="32" t="str">
        <f t="shared" ref="BK240" si="238">IF(P240&lt;&gt;"",O240&amp;"_"&amp;P240&amp;".sql","")</f>
        <v>ENT_61_04_匿名化_検査値情報.sql</v>
      </c>
    </row>
    <row r="241" spans="1:63" ht="37.5" customHeight="1">
      <c r="A241" s="34" t="str">
        <f t="shared" ref="A241" si="239">P241</f>
        <v>匿名化_診療行為情報</v>
      </c>
      <c r="B241" s="181" t="str">
        <f t="shared" si="232"/>
        <v>61</v>
      </c>
      <c r="C241" s="182"/>
      <c r="D241" s="182"/>
      <c r="E241" s="182"/>
      <c r="F241" s="183"/>
      <c r="G241" s="184" t="s">
        <v>4434</v>
      </c>
      <c r="H241" s="185"/>
      <c r="I241" s="185"/>
      <c r="J241" s="185"/>
      <c r="K241" s="185"/>
      <c r="L241" s="185"/>
      <c r="M241" s="185"/>
      <c r="N241" s="186"/>
      <c r="O241" s="79" t="str">
        <f t="shared" ref="O241" si="240">IF(P241&lt;&gt;"","ENT_"&amp;RIGHT(B241,2)&amp;"_"&amp;TEXT(ROW(O241)-ROW(O$237)+1,"00"),"")</f>
        <v>ENT_61_05</v>
      </c>
      <c r="P241" s="174" t="s">
        <v>4445</v>
      </c>
      <c r="Q241" s="175"/>
      <c r="R241" s="175"/>
      <c r="S241" s="175"/>
      <c r="T241" s="175"/>
      <c r="U241" s="175"/>
      <c r="V241" s="175"/>
      <c r="W241" s="175"/>
      <c r="X241" s="175"/>
      <c r="Y241" s="175"/>
      <c r="Z241" s="175"/>
      <c r="AA241" s="175"/>
      <c r="AB241" s="175"/>
      <c r="AC241" s="175"/>
      <c r="AD241" s="176"/>
      <c r="AE241" s="165" t="str">
        <f t="shared" ref="AE241" ca="1" si="241">IFERROR(INDIRECT(P241&amp;"!D8"),"")</f>
        <v>sny_202310_annony_shinryou_koui</v>
      </c>
      <c r="AF241" s="166"/>
      <c r="AG241" s="166"/>
      <c r="AH241" s="166"/>
      <c r="AI241" s="166"/>
      <c r="AJ241" s="166"/>
      <c r="AK241" s="166"/>
      <c r="AL241" s="187"/>
      <c r="AM241" s="165">
        <f t="shared" ref="AM241" ca="1" si="242">IFERROR(INDIRECT(P241&amp;"!D9"),"")</f>
        <v>0</v>
      </c>
      <c r="AN241" s="166"/>
      <c r="AO241" s="166"/>
      <c r="AP241" s="166"/>
      <c r="AQ241" s="166"/>
      <c r="AR241" s="166"/>
      <c r="AS241" s="166"/>
      <c r="AT241" s="166"/>
      <c r="AU241" s="166"/>
      <c r="AV241" s="166"/>
      <c r="AW241" s="166"/>
      <c r="AX241" s="166"/>
      <c r="AY241" s="166"/>
      <c r="AZ241" s="166"/>
      <c r="BA241" s="166"/>
      <c r="BB241" s="166"/>
      <c r="BC241" s="166"/>
      <c r="BD241" s="166"/>
      <c r="BE241" s="166"/>
      <c r="BF241" s="166"/>
      <c r="BG241" s="166"/>
      <c r="BH241" s="166"/>
      <c r="BI241" s="166"/>
      <c r="BJ241" s="167"/>
      <c r="BK241" s="32" t="str">
        <f t="shared" ref="BK241" si="243">IF(P241&lt;&gt;"",O241&amp;"_"&amp;P241&amp;".sql","")</f>
        <v>ENT_61_05_匿名化_診療行為情報.sql</v>
      </c>
    </row>
    <row r="242" spans="1:63" ht="37.5" customHeight="1">
      <c r="A242" s="34" t="str">
        <f t="shared" ref="A242" si="244">P242</f>
        <v>匿名化_薬剤情報</v>
      </c>
      <c r="B242" s="181" t="str">
        <f t="shared" si="232"/>
        <v>61</v>
      </c>
      <c r="C242" s="182"/>
      <c r="D242" s="182"/>
      <c r="E242" s="182"/>
      <c r="F242" s="183"/>
      <c r="G242" s="184" t="s">
        <v>4434</v>
      </c>
      <c r="H242" s="185"/>
      <c r="I242" s="185"/>
      <c r="J242" s="185"/>
      <c r="K242" s="185"/>
      <c r="L242" s="185"/>
      <c r="M242" s="185"/>
      <c r="N242" s="186"/>
      <c r="O242" s="79" t="str">
        <f>IF(P242&lt;&gt;"","ENT_"&amp;RIGHT(B242,2)&amp;"_"&amp;TEXT(ROW(O242)-ROW(O$237)+1,"00"),"")</f>
        <v>ENT_61_06</v>
      </c>
      <c r="P242" s="174" t="s">
        <v>4639</v>
      </c>
      <c r="Q242" s="175"/>
      <c r="R242" s="175"/>
      <c r="S242" s="175"/>
      <c r="T242" s="175"/>
      <c r="U242" s="175"/>
      <c r="V242" s="175"/>
      <c r="W242" s="175"/>
      <c r="X242" s="175"/>
      <c r="Y242" s="175"/>
      <c r="Z242" s="175"/>
      <c r="AA242" s="175"/>
      <c r="AB242" s="175"/>
      <c r="AC242" s="175"/>
      <c r="AD242" s="176"/>
      <c r="AE242" s="165" t="str">
        <f t="shared" ref="AE242" ca="1" si="245">IFERROR(INDIRECT(P242&amp;"!D8"),"")</f>
        <v>sny_202310_annony_yakuzai</v>
      </c>
      <c r="AF242" s="166"/>
      <c r="AG242" s="166"/>
      <c r="AH242" s="166"/>
      <c r="AI242" s="166"/>
      <c r="AJ242" s="166"/>
      <c r="AK242" s="166"/>
      <c r="AL242" s="187"/>
      <c r="AM242" s="165">
        <f t="shared" ref="AM242" ca="1" si="246">IFERROR(INDIRECT(P242&amp;"!D9"),"")</f>
        <v>0</v>
      </c>
      <c r="AN242" s="166"/>
      <c r="AO242" s="166"/>
      <c r="AP242" s="166"/>
      <c r="AQ242" s="166"/>
      <c r="AR242" s="166"/>
      <c r="AS242" s="166"/>
      <c r="AT242" s="166"/>
      <c r="AU242" s="166"/>
      <c r="AV242" s="166"/>
      <c r="AW242" s="166"/>
      <c r="AX242" s="166"/>
      <c r="AY242" s="166"/>
      <c r="AZ242" s="166"/>
      <c r="BA242" s="166"/>
      <c r="BB242" s="166"/>
      <c r="BC242" s="166"/>
      <c r="BD242" s="166"/>
      <c r="BE242" s="166"/>
      <c r="BF242" s="166"/>
      <c r="BG242" s="166"/>
      <c r="BH242" s="166"/>
      <c r="BI242" s="166"/>
      <c r="BJ242" s="167"/>
      <c r="BK242" s="32" t="str">
        <f t="shared" ref="BK242" si="247">IF(P242&lt;&gt;"",O242&amp;"_"&amp;P242&amp;".sql","")</f>
        <v>ENT_61_06_匿名化_薬剤情報.sql</v>
      </c>
    </row>
    <row r="243" spans="1:63" ht="37.5" customHeight="1">
      <c r="A243" s="34" t="str">
        <f t="shared" ref="A243" si="248">P243</f>
        <v>匿名化_日付情報</v>
      </c>
      <c r="B243" s="181" t="str">
        <f t="shared" si="232"/>
        <v>61</v>
      </c>
      <c r="C243" s="182"/>
      <c r="D243" s="182"/>
      <c r="E243" s="182"/>
      <c r="F243" s="183"/>
      <c r="G243" s="184" t="s">
        <v>4434</v>
      </c>
      <c r="H243" s="185"/>
      <c r="I243" s="185"/>
      <c r="J243" s="185"/>
      <c r="K243" s="185"/>
      <c r="L243" s="185"/>
      <c r="M243" s="185"/>
      <c r="N243" s="186"/>
      <c r="O243" s="79" t="str">
        <f>IF(P243&lt;&gt;"","ENT_"&amp;RIGHT(B243,2)&amp;"_"&amp;TEXT(ROW(O243)-ROW(O$237)+1,"00"),"")</f>
        <v>ENT_61_07</v>
      </c>
      <c r="P243" s="174" t="s">
        <v>4437</v>
      </c>
      <c r="Q243" s="175"/>
      <c r="R243" s="175"/>
      <c r="S243" s="175"/>
      <c r="T243" s="175"/>
      <c r="U243" s="175"/>
      <c r="V243" s="175"/>
      <c r="W243" s="175"/>
      <c r="X243" s="175"/>
      <c r="Y243" s="175"/>
      <c r="Z243" s="175"/>
      <c r="AA243" s="175"/>
      <c r="AB243" s="175"/>
      <c r="AC243" s="175"/>
      <c r="AD243" s="176"/>
      <c r="AE243" s="165" t="str">
        <f t="shared" ref="AE243" ca="1" si="249">IFERROR(INDIRECT(P243&amp;"!D8"),"")</f>
        <v>sny_202310_annony_date_info</v>
      </c>
      <c r="AF243" s="166"/>
      <c r="AG243" s="166"/>
      <c r="AH243" s="166"/>
      <c r="AI243" s="166"/>
      <c r="AJ243" s="166"/>
      <c r="AK243" s="166"/>
      <c r="AL243" s="187"/>
      <c r="AM243" s="165">
        <f t="shared" ref="AM243" ca="1" si="250">IFERROR(INDIRECT(P243&amp;"!D9"),"")</f>
        <v>0</v>
      </c>
      <c r="AN243" s="166"/>
      <c r="AO243" s="166"/>
      <c r="AP243" s="166"/>
      <c r="AQ243" s="166"/>
      <c r="AR243" s="166"/>
      <c r="AS243" s="166"/>
      <c r="AT243" s="166"/>
      <c r="AU243" s="166"/>
      <c r="AV243" s="166"/>
      <c r="AW243" s="166"/>
      <c r="AX243" s="166"/>
      <c r="AY243" s="166"/>
      <c r="AZ243" s="166"/>
      <c r="BA243" s="166"/>
      <c r="BB243" s="166"/>
      <c r="BC243" s="166"/>
      <c r="BD243" s="166"/>
      <c r="BE243" s="166"/>
      <c r="BF243" s="166"/>
      <c r="BG243" s="166"/>
      <c r="BH243" s="166"/>
      <c r="BI243" s="166"/>
      <c r="BJ243" s="167"/>
      <c r="BK243" s="32" t="str">
        <f t="shared" ref="BK243" si="251">IF(P243&lt;&gt;"",O243&amp;"_"&amp;P243&amp;".sql","")</f>
        <v>ENT_61_07_匿名化_日付情報.sql</v>
      </c>
    </row>
    <row r="244" spans="1:63" ht="37.5" customHeight="1">
      <c r="A244" s="34" t="str">
        <f t="shared" si="220"/>
        <v>匿名化_匿名加工前データ</v>
      </c>
      <c r="B244" s="181" t="str">
        <f t="shared" si="232"/>
        <v>61</v>
      </c>
      <c r="C244" s="182"/>
      <c r="D244" s="182"/>
      <c r="E244" s="182"/>
      <c r="F244" s="183"/>
      <c r="G244" s="184" t="s">
        <v>4434</v>
      </c>
      <c r="H244" s="185"/>
      <c r="I244" s="185"/>
      <c r="J244" s="185"/>
      <c r="K244" s="185"/>
      <c r="L244" s="185"/>
      <c r="M244" s="185"/>
      <c r="N244" s="186"/>
      <c r="O244" s="79" t="str">
        <f t="shared" si="233"/>
        <v>ENT_61_08</v>
      </c>
      <c r="P244" s="174" t="s">
        <v>4439</v>
      </c>
      <c r="Q244" s="175"/>
      <c r="R244" s="175"/>
      <c r="S244" s="175"/>
      <c r="T244" s="175"/>
      <c r="U244" s="175"/>
      <c r="V244" s="175"/>
      <c r="W244" s="175"/>
      <c r="X244" s="175"/>
      <c r="Y244" s="175"/>
      <c r="Z244" s="175"/>
      <c r="AA244" s="175"/>
      <c r="AB244" s="175"/>
      <c r="AC244" s="175"/>
      <c r="AD244" s="176"/>
      <c r="AE244" s="165" t="str">
        <f t="shared" ca="1" si="221"/>
        <v>sny_202310_annony_bef</v>
      </c>
      <c r="AF244" s="166"/>
      <c r="AG244" s="166"/>
      <c r="AH244" s="166"/>
      <c r="AI244" s="166"/>
      <c r="AJ244" s="166"/>
      <c r="AK244" s="166"/>
      <c r="AL244" s="187"/>
      <c r="AM244" s="165">
        <f t="shared" ca="1" si="222"/>
        <v>0</v>
      </c>
      <c r="AN244" s="166"/>
      <c r="AO244" s="166"/>
      <c r="AP244" s="166"/>
      <c r="AQ244" s="166"/>
      <c r="AR244" s="166"/>
      <c r="AS244" s="166"/>
      <c r="AT244" s="166"/>
      <c r="AU244" s="166"/>
      <c r="AV244" s="166"/>
      <c r="AW244" s="166"/>
      <c r="AX244" s="166"/>
      <c r="AY244" s="166"/>
      <c r="AZ244" s="166"/>
      <c r="BA244" s="166"/>
      <c r="BB244" s="166"/>
      <c r="BC244" s="166"/>
      <c r="BD244" s="166"/>
      <c r="BE244" s="166"/>
      <c r="BF244" s="166"/>
      <c r="BG244" s="166"/>
      <c r="BH244" s="166"/>
      <c r="BI244" s="166"/>
      <c r="BJ244" s="167"/>
      <c r="BK244" s="32" t="str">
        <f t="shared" si="223"/>
        <v>ENT_61_08_匿名化_匿名加工前データ.sql</v>
      </c>
    </row>
    <row r="245" spans="1:63" ht="37.5" customHeight="1">
      <c r="A245" s="34" t="str">
        <f t="shared" ref="A245:A247" si="252">P245</f>
        <v>匿名化_未加工データ</v>
      </c>
      <c r="B245" s="181" t="str">
        <f t="shared" si="232"/>
        <v>61</v>
      </c>
      <c r="C245" s="182"/>
      <c r="D245" s="182"/>
      <c r="E245" s="182"/>
      <c r="F245" s="183"/>
      <c r="G245" s="184" t="s">
        <v>4434</v>
      </c>
      <c r="H245" s="185"/>
      <c r="I245" s="185"/>
      <c r="J245" s="185"/>
      <c r="K245" s="185"/>
      <c r="L245" s="185"/>
      <c r="M245" s="185"/>
      <c r="N245" s="186"/>
      <c r="O245" s="79" t="str">
        <f t="shared" ref="O245:O247" si="253">IF(P245&lt;&gt;"","ENT_"&amp;RIGHT(B245,2)&amp;"_"&amp;TEXT(ROW(O245)-ROW(O$237)+1,"00"),"")</f>
        <v>ENT_61_09</v>
      </c>
      <c r="P245" s="174" t="s">
        <v>4640</v>
      </c>
      <c r="Q245" s="175"/>
      <c r="R245" s="175"/>
      <c r="S245" s="175"/>
      <c r="T245" s="175"/>
      <c r="U245" s="175"/>
      <c r="V245" s="175"/>
      <c r="W245" s="175"/>
      <c r="X245" s="175"/>
      <c r="Y245" s="175"/>
      <c r="Z245" s="175"/>
      <c r="AA245" s="175"/>
      <c r="AB245" s="175"/>
      <c r="AC245" s="175"/>
      <c r="AD245" s="176"/>
      <c r="AE245" s="165" t="str">
        <f t="shared" ref="AE245:AE247" ca="1" si="254">IFERROR(INDIRECT(P245&amp;"!D8"),"")</f>
        <v>sny_202310_annony_non_annony</v>
      </c>
      <c r="AF245" s="166"/>
      <c r="AG245" s="166"/>
      <c r="AH245" s="166"/>
      <c r="AI245" s="166"/>
      <c r="AJ245" s="166"/>
      <c r="AK245" s="166"/>
      <c r="AL245" s="187"/>
      <c r="AM245" s="165">
        <f t="shared" ref="AM245:AM247" ca="1" si="255">IFERROR(INDIRECT(P245&amp;"!D9"),"")</f>
        <v>0</v>
      </c>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7"/>
      <c r="BK245" s="32" t="str">
        <f t="shared" ref="BK245:BK247" si="256">IF(P245&lt;&gt;"",O245&amp;"_"&amp;P245&amp;".sql","")</f>
        <v>ENT_61_09_匿名化_未加工データ.sql</v>
      </c>
    </row>
    <row r="246" spans="1:63" ht="37.5" customHeight="1">
      <c r="A246" s="34" t="str">
        <f t="shared" si="252"/>
        <v>匿名化_併発疾患情報2</v>
      </c>
      <c r="B246" s="181" t="str">
        <f t="shared" si="232"/>
        <v>61</v>
      </c>
      <c r="C246" s="182"/>
      <c r="D246" s="182"/>
      <c r="E246" s="182"/>
      <c r="F246" s="183"/>
      <c r="G246" s="184" t="s">
        <v>4434</v>
      </c>
      <c r="H246" s="185"/>
      <c r="I246" s="185"/>
      <c r="J246" s="185"/>
      <c r="K246" s="185"/>
      <c r="L246" s="185"/>
      <c r="M246" s="185"/>
      <c r="N246" s="186"/>
      <c r="O246" s="79" t="str">
        <f t="shared" si="253"/>
        <v>ENT_61_10</v>
      </c>
      <c r="P246" s="174" t="s">
        <v>4664</v>
      </c>
      <c r="Q246" s="175"/>
      <c r="R246" s="175"/>
      <c r="S246" s="175"/>
      <c r="T246" s="175"/>
      <c r="U246" s="175"/>
      <c r="V246" s="175"/>
      <c r="W246" s="175"/>
      <c r="X246" s="175"/>
      <c r="Y246" s="175"/>
      <c r="Z246" s="175"/>
      <c r="AA246" s="175"/>
      <c r="AB246" s="175"/>
      <c r="AC246" s="175"/>
      <c r="AD246" s="176"/>
      <c r="AE246" s="165" t="str">
        <f t="shared" ca="1" si="254"/>
        <v>sny_202310_annony_shikkan2</v>
      </c>
      <c r="AF246" s="166"/>
      <c r="AG246" s="166"/>
      <c r="AH246" s="166"/>
      <c r="AI246" s="166"/>
      <c r="AJ246" s="166"/>
      <c r="AK246" s="166"/>
      <c r="AL246" s="187"/>
      <c r="AM246" s="165">
        <f t="shared" ca="1" si="255"/>
        <v>0</v>
      </c>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7"/>
      <c r="BK246" s="32" t="str">
        <f t="shared" si="256"/>
        <v>ENT_61_10_匿名化_併発疾患情報2.sql</v>
      </c>
    </row>
    <row r="247" spans="1:63" ht="37.5" customHeight="1">
      <c r="A247" s="34" t="str">
        <f t="shared" si="252"/>
        <v>匿名化_匿名加工前データ2</v>
      </c>
      <c r="B247" s="181" t="str">
        <f t="shared" si="232"/>
        <v>61</v>
      </c>
      <c r="C247" s="182"/>
      <c r="D247" s="182"/>
      <c r="E247" s="182"/>
      <c r="F247" s="183"/>
      <c r="G247" s="184" t="s">
        <v>4434</v>
      </c>
      <c r="H247" s="185"/>
      <c r="I247" s="185"/>
      <c r="J247" s="185"/>
      <c r="K247" s="185"/>
      <c r="L247" s="185"/>
      <c r="M247" s="185"/>
      <c r="N247" s="186"/>
      <c r="O247" s="79" t="str">
        <f t="shared" si="253"/>
        <v>ENT_61_11</v>
      </c>
      <c r="P247" s="174" t="s">
        <v>4665</v>
      </c>
      <c r="Q247" s="175"/>
      <c r="R247" s="175"/>
      <c r="S247" s="175"/>
      <c r="T247" s="175"/>
      <c r="U247" s="175"/>
      <c r="V247" s="175"/>
      <c r="W247" s="175"/>
      <c r="X247" s="175"/>
      <c r="Y247" s="175"/>
      <c r="Z247" s="175"/>
      <c r="AA247" s="175"/>
      <c r="AB247" s="175"/>
      <c r="AC247" s="175"/>
      <c r="AD247" s="176"/>
      <c r="AE247" s="165" t="str">
        <f t="shared" ca="1" si="254"/>
        <v>sny_202310_annony_bef2</v>
      </c>
      <c r="AF247" s="166"/>
      <c r="AG247" s="166"/>
      <c r="AH247" s="166"/>
      <c r="AI247" s="166"/>
      <c r="AJ247" s="166"/>
      <c r="AK247" s="166"/>
      <c r="AL247" s="187"/>
      <c r="AM247" s="165">
        <f t="shared" ca="1" si="255"/>
        <v>0</v>
      </c>
      <c r="AN247" s="166"/>
      <c r="AO247" s="166"/>
      <c r="AP247" s="166"/>
      <c r="AQ247" s="166"/>
      <c r="AR247" s="166"/>
      <c r="AS247" s="166"/>
      <c r="AT247" s="166"/>
      <c r="AU247" s="166"/>
      <c r="AV247" s="166"/>
      <c r="AW247" s="166"/>
      <c r="AX247" s="166"/>
      <c r="AY247" s="166"/>
      <c r="AZ247" s="166"/>
      <c r="BA247" s="166"/>
      <c r="BB247" s="166"/>
      <c r="BC247" s="166"/>
      <c r="BD247" s="166"/>
      <c r="BE247" s="166"/>
      <c r="BF247" s="166"/>
      <c r="BG247" s="166"/>
      <c r="BH247" s="166"/>
      <c r="BI247" s="166"/>
      <c r="BJ247" s="167"/>
      <c r="BK247" s="32" t="str">
        <f t="shared" si="256"/>
        <v>ENT_61_11_匿名化_匿名加工前データ2.sql</v>
      </c>
    </row>
    <row r="248" spans="1:63" ht="37.5" customHeight="1">
      <c r="A248" s="34" t="str">
        <f t="shared" ref="A248" si="257">P248</f>
        <v>匿名化_未加工データ2</v>
      </c>
      <c r="B248" s="181" t="str">
        <f t="shared" si="232"/>
        <v>61</v>
      </c>
      <c r="C248" s="182"/>
      <c r="D248" s="182"/>
      <c r="E248" s="182"/>
      <c r="F248" s="183"/>
      <c r="G248" s="184" t="s">
        <v>4434</v>
      </c>
      <c r="H248" s="185"/>
      <c r="I248" s="185"/>
      <c r="J248" s="185"/>
      <c r="K248" s="185"/>
      <c r="L248" s="185"/>
      <c r="M248" s="185"/>
      <c r="N248" s="186"/>
      <c r="O248" s="79" t="str">
        <f t="shared" ref="O248" si="258">IF(P248&lt;&gt;"","ENT_"&amp;RIGHT(B248,2)&amp;"_"&amp;TEXT(ROW(O248)-ROW(O$237)+1,"00"),"")</f>
        <v>ENT_61_12</v>
      </c>
      <c r="P248" s="174" t="s">
        <v>4666</v>
      </c>
      <c r="Q248" s="175"/>
      <c r="R248" s="175"/>
      <c r="S248" s="175"/>
      <c r="T248" s="175"/>
      <c r="U248" s="175"/>
      <c r="V248" s="175"/>
      <c r="W248" s="175"/>
      <c r="X248" s="175"/>
      <c r="Y248" s="175"/>
      <c r="Z248" s="175"/>
      <c r="AA248" s="175"/>
      <c r="AB248" s="175"/>
      <c r="AC248" s="175"/>
      <c r="AD248" s="176"/>
      <c r="AE248" s="165" t="str">
        <f t="shared" ref="AE248" ca="1" si="259">IFERROR(INDIRECT(P248&amp;"!D8"),"")</f>
        <v>sny_202310_annony_non_annony2</v>
      </c>
      <c r="AF248" s="166"/>
      <c r="AG248" s="166"/>
      <c r="AH248" s="166"/>
      <c r="AI248" s="166"/>
      <c r="AJ248" s="166"/>
      <c r="AK248" s="166"/>
      <c r="AL248" s="187"/>
      <c r="AM248" s="165">
        <f t="shared" ref="AM248" ca="1" si="260">IFERROR(INDIRECT(P248&amp;"!D9"),"")</f>
        <v>0</v>
      </c>
      <c r="AN248" s="166"/>
      <c r="AO248" s="166"/>
      <c r="AP248" s="166"/>
      <c r="AQ248" s="166"/>
      <c r="AR248" s="166"/>
      <c r="AS248" s="166"/>
      <c r="AT248" s="166"/>
      <c r="AU248" s="166"/>
      <c r="AV248" s="166"/>
      <c r="AW248" s="166"/>
      <c r="AX248" s="166"/>
      <c r="AY248" s="166"/>
      <c r="AZ248" s="166"/>
      <c r="BA248" s="166"/>
      <c r="BB248" s="166"/>
      <c r="BC248" s="166"/>
      <c r="BD248" s="166"/>
      <c r="BE248" s="166"/>
      <c r="BF248" s="166"/>
      <c r="BG248" s="166"/>
      <c r="BH248" s="166"/>
      <c r="BI248" s="166"/>
      <c r="BJ248" s="167"/>
      <c r="BK248" s="32" t="str">
        <f t="shared" ref="BK248" si="261">IF(P248&lt;&gt;"",O248&amp;"_"&amp;P248&amp;".sql","")</f>
        <v>ENT_61_12_匿名化_未加工データ2.sql</v>
      </c>
    </row>
    <row r="249" spans="1:63" ht="37.5" customHeight="1" thickBot="1">
      <c r="A249" s="34">
        <f t="shared" si="78"/>
        <v>0</v>
      </c>
      <c r="B249" s="227" t="str">
        <f>TEXT(51,"00")</f>
        <v>51</v>
      </c>
      <c r="C249" s="228"/>
      <c r="D249" s="228"/>
      <c r="E249" s="228"/>
      <c r="F249" s="229"/>
      <c r="G249" s="230" t="s">
        <v>560</v>
      </c>
      <c r="H249" s="231"/>
      <c r="I249" s="231"/>
      <c r="J249" s="231"/>
      <c r="K249" s="231"/>
      <c r="L249" s="231"/>
      <c r="M249" s="231"/>
      <c r="N249" s="232"/>
      <c r="O249" s="80" t="str">
        <f>IF(P249&lt;&gt;"","ENT_"&amp;RIGHT(B249,2)&amp;"_"&amp;TEXT(ROW(O249)-ROW(O$226)+1,"00"),"")</f>
        <v/>
      </c>
      <c r="P249" s="233"/>
      <c r="Q249" s="234"/>
      <c r="R249" s="234"/>
      <c r="S249" s="234"/>
      <c r="T249" s="234"/>
      <c r="U249" s="234"/>
      <c r="V249" s="234"/>
      <c r="W249" s="234"/>
      <c r="X249" s="234"/>
      <c r="Y249" s="234"/>
      <c r="Z249" s="234"/>
      <c r="AA249" s="234"/>
      <c r="AB249" s="234"/>
      <c r="AC249" s="234"/>
      <c r="AD249" s="235"/>
      <c r="AE249" s="236" t="str">
        <f t="shared" ca="1" si="130"/>
        <v/>
      </c>
      <c r="AF249" s="237"/>
      <c r="AG249" s="237"/>
      <c r="AH249" s="237"/>
      <c r="AI249" s="237"/>
      <c r="AJ249" s="237"/>
      <c r="AK249" s="237"/>
      <c r="AL249" s="238"/>
      <c r="AM249" s="236" t="str">
        <f t="shared" ca="1" si="131"/>
        <v/>
      </c>
      <c r="AN249" s="237"/>
      <c r="AO249" s="237"/>
      <c r="AP249" s="237"/>
      <c r="AQ249" s="237"/>
      <c r="AR249" s="237"/>
      <c r="AS249" s="237"/>
      <c r="AT249" s="237"/>
      <c r="AU249" s="237"/>
      <c r="AV249" s="237"/>
      <c r="AW249" s="237"/>
      <c r="AX249" s="237"/>
      <c r="AY249" s="237"/>
      <c r="AZ249" s="237"/>
      <c r="BA249" s="237"/>
      <c r="BB249" s="237"/>
      <c r="BC249" s="237"/>
      <c r="BD249" s="237"/>
      <c r="BE249" s="237"/>
      <c r="BF249" s="237"/>
      <c r="BG249" s="237"/>
      <c r="BH249" s="237"/>
      <c r="BI249" s="237"/>
      <c r="BJ249" s="239"/>
      <c r="BK249" s="32" t="str">
        <f t="shared" si="43"/>
        <v/>
      </c>
    </row>
    <row r="253" spans="1:63" ht="13.5" customHeight="1"/>
    <row r="254" spans="1:63" ht="13.5" customHeight="1"/>
    <row r="255" spans="1:63" ht="13.5" customHeight="1"/>
    <row r="256" spans="1:63" ht="13.5" customHeight="1"/>
    <row r="257" ht="13.5" customHeight="1"/>
    <row r="258" ht="13.5" customHeight="1"/>
    <row r="259" ht="13.5" customHeight="1"/>
    <row r="260" ht="13.5" customHeight="1"/>
  </sheetData>
  <mergeCells count="1237">
    <mergeCell ref="B246:F246"/>
    <mergeCell ref="G246:N246"/>
    <mergeCell ref="P246:AD246"/>
    <mergeCell ref="AE246:AL246"/>
    <mergeCell ref="AM246:BJ246"/>
    <mergeCell ref="B247:F247"/>
    <mergeCell ref="G247:N247"/>
    <mergeCell ref="P247:AD247"/>
    <mergeCell ref="AE247:AL247"/>
    <mergeCell ref="AM247:BJ247"/>
    <mergeCell ref="B248:F248"/>
    <mergeCell ref="G248:N248"/>
    <mergeCell ref="P248:AD248"/>
    <mergeCell ref="AE248:AL248"/>
    <mergeCell ref="AM248:BJ248"/>
    <mergeCell ref="B228:F228"/>
    <mergeCell ref="G228:N228"/>
    <mergeCell ref="P228:AD228"/>
    <mergeCell ref="AE228:AL228"/>
    <mergeCell ref="AM228:BJ228"/>
    <mergeCell ref="B229:F229"/>
    <mergeCell ref="G229:N229"/>
    <mergeCell ref="P229:AD229"/>
    <mergeCell ref="AE229:AL229"/>
    <mergeCell ref="B243:F243"/>
    <mergeCell ref="G243:N243"/>
    <mergeCell ref="P243:AD243"/>
    <mergeCell ref="AE243:AL243"/>
    <mergeCell ref="AM243:BJ243"/>
    <mergeCell ref="G230:N230"/>
    <mergeCell ref="P230:AD230"/>
    <mergeCell ref="AE230:AL230"/>
    <mergeCell ref="B225:F225"/>
    <mergeCell ref="G225:N225"/>
    <mergeCell ref="P225:AD225"/>
    <mergeCell ref="AE225:AL225"/>
    <mergeCell ref="AM225:BJ225"/>
    <mergeCell ref="B242:F242"/>
    <mergeCell ref="G242:N242"/>
    <mergeCell ref="P242:AD242"/>
    <mergeCell ref="AE242:AL242"/>
    <mergeCell ref="AM242:BJ242"/>
    <mergeCell ref="B234:F234"/>
    <mergeCell ref="G234:N234"/>
    <mergeCell ref="P234:AD234"/>
    <mergeCell ref="AE234:AL234"/>
    <mergeCell ref="AM234:BJ234"/>
    <mergeCell ref="B233:F233"/>
    <mergeCell ref="G233:N233"/>
    <mergeCell ref="P233:AD233"/>
    <mergeCell ref="AE233:AL233"/>
    <mergeCell ref="AM233:BJ233"/>
    <mergeCell ref="B235:F235"/>
    <mergeCell ref="G235:N235"/>
    <mergeCell ref="P235:AD235"/>
    <mergeCell ref="AE235:AL235"/>
    <mergeCell ref="B239:F239"/>
    <mergeCell ref="G239:N239"/>
    <mergeCell ref="B236:F236"/>
    <mergeCell ref="G236:N236"/>
    <mergeCell ref="P236:AD236"/>
    <mergeCell ref="AE236:AL236"/>
    <mergeCell ref="AM229:BJ229"/>
    <mergeCell ref="B230:F230"/>
    <mergeCell ref="B221:F221"/>
    <mergeCell ref="G221:N221"/>
    <mergeCell ref="P221:AD221"/>
    <mergeCell ref="AE221:AL221"/>
    <mergeCell ref="AM221:BJ221"/>
    <mergeCell ref="B222:F222"/>
    <mergeCell ref="G222:N222"/>
    <mergeCell ref="P222:AD222"/>
    <mergeCell ref="AE222:AL222"/>
    <mergeCell ref="AM222:BJ222"/>
    <mergeCell ref="B223:F223"/>
    <mergeCell ref="G223:N223"/>
    <mergeCell ref="P223:AD223"/>
    <mergeCell ref="AE223:AL223"/>
    <mergeCell ref="AM223:BJ223"/>
    <mergeCell ref="B217:F217"/>
    <mergeCell ref="G217:N217"/>
    <mergeCell ref="P217:AD217"/>
    <mergeCell ref="AE217:AL217"/>
    <mergeCell ref="AM217:BJ217"/>
    <mergeCell ref="B218:F218"/>
    <mergeCell ref="G218:N218"/>
    <mergeCell ref="P218:AD218"/>
    <mergeCell ref="AE218:AL218"/>
    <mergeCell ref="AM218:BJ218"/>
    <mergeCell ref="B219:F219"/>
    <mergeCell ref="G219:N219"/>
    <mergeCell ref="P219:AD219"/>
    <mergeCell ref="AE219:AL219"/>
    <mergeCell ref="AM219:BJ219"/>
    <mergeCell ref="B220:F220"/>
    <mergeCell ref="G220:N220"/>
    <mergeCell ref="P220:AD220"/>
    <mergeCell ref="AE220:AL220"/>
    <mergeCell ref="AM220:BJ220"/>
    <mergeCell ref="B213:F213"/>
    <mergeCell ref="G213:N213"/>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AM193:BJ193"/>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B212:F212"/>
    <mergeCell ref="G212:N212"/>
    <mergeCell ref="P212:AD212"/>
    <mergeCell ref="AE212:AL212"/>
    <mergeCell ref="AM212:BJ212"/>
    <mergeCell ref="AM206:BJ206"/>
    <mergeCell ref="B209:F209"/>
    <mergeCell ref="G209:N209"/>
    <mergeCell ref="B202:F202"/>
    <mergeCell ref="G202:N202"/>
    <mergeCell ref="P202:AD202"/>
    <mergeCell ref="AE202:AL202"/>
    <mergeCell ref="AM202:BJ202"/>
    <mergeCell ref="AM205:BJ205"/>
    <mergeCell ref="B206:F206"/>
    <mergeCell ref="G206:N206"/>
    <mergeCell ref="P206:AD206"/>
    <mergeCell ref="AE206:AL206"/>
    <mergeCell ref="G192:N192"/>
    <mergeCell ref="AE165:AL165"/>
    <mergeCell ref="AM165:BJ165"/>
    <mergeCell ref="B197:F197"/>
    <mergeCell ref="G197:N197"/>
    <mergeCell ref="P197:AD197"/>
    <mergeCell ref="AE197:AL197"/>
    <mergeCell ref="AM197:BJ197"/>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P199:AD199"/>
    <mergeCell ref="AE199:AL199"/>
    <mergeCell ref="AM199:BJ199"/>
    <mergeCell ref="B200:F200"/>
    <mergeCell ref="G200:N200"/>
    <mergeCell ref="P200:AD200"/>
    <mergeCell ref="AE200:AL200"/>
    <mergeCell ref="AM200:BJ200"/>
    <mergeCell ref="B193:F193"/>
    <mergeCell ref="G193:N193"/>
    <mergeCell ref="P193:AD193"/>
    <mergeCell ref="AE193:AL193"/>
    <mergeCell ref="AM188:BJ188"/>
    <mergeCell ref="B194:F194"/>
    <mergeCell ref="G194:N194"/>
    <mergeCell ref="P194:AD194"/>
    <mergeCell ref="AE194:AL194"/>
    <mergeCell ref="AM194:BJ194"/>
    <mergeCell ref="B195:F195"/>
    <mergeCell ref="G195:N195"/>
    <mergeCell ref="P195:AD195"/>
    <mergeCell ref="AE195:AL195"/>
    <mergeCell ref="AM195:BJ195"/>
    <mergeCell ref="B196:F196"/>
    <mergeCell ref="G196:N196"/>
    <mergeCell ref="P196:AD196"/>
    <mergeCell ref="AE196:AL196"/>
    <mergeCell ref="AM196:BJ196"/>
    <mergeCell ref="B189:F189"/>
    <mergeCell ref="G189:N189"/>
    <mergeCell ref="P189:AD189"/>
    <mergeCell ref="AE189:AL189"/>
    <mergeCell ref="AM189:BJ189"/>
    <mergeCell ref="B190:F190"/>
    <mergeCell ref="G190:N190"/>
    <mergeCell ref="P190:AD190"/>
    <mergeCell ref="AE190:AL190"/>
    <mergeCell ref="AM190:BJ190"/>
    <mergeCell ref="B191:F191"/>
    <mergeCell ref="G191:N191"/>
    <mergeCell ref="P191:AD191"/>
    <mergeCell ref="AE191:AL191"/>
    <mergeCell ref="AM191:BJ191"/>
    <mergeCell ref="B192:F192"/>
    <mergeCell ref="P182:AD182"/>
    <mergeCell ref="AE182:AL182"/>
    <mergeCell ref="AM182:BJ182"/>
    <mergeCell ref="B183:F183"/>
    <mergeCell ref="G183:N183"/>
    <mergeCell ref="P183:AD183"/>
    <mergeCell ref="AE183:AL183"/>
    <mergeCell ref="AM183:BJ183"/>
    <mergeCell ref="B184:F184"/>
    <mergeCell ref="G184:N184"/>
    <mergeCell ref="P184:AD184"/>
    <mergeCell ref="AE184:AL184"/>
    <mergeCell ref="AM184:BJ184"/>
    <mergeCell ref="P192:AD192"/>
    <mergeCell ref="AE192:AL192"/>
    <mergeCell ref="AM192:BJ192"/>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B188:F188"/>
    <mergeCell ref="G188:N188"/>
    <mergeCell ref="P188:AD188"/>
    <mergeCell ref="AE188:AL188"/>
    <mergeCell ref="AM169:BJ169"/>
    <mergeCell ref="B167:F167"/>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3:AL173"/>
    <mergeCell ref="AM173:BJ173"/>
    <mergeCell ref="AE168:AL168"/>
    <mergeCell ref="AM168:BJ168"/>
    <mergeCell ref="AE169:AL169"/>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82:N82"/>
    <mergeCell ref="G83:N83"/>
    <mergeCell ref="G84:N84"/>
    <mergeCell ref="G85:N85"/>
    <mergeCell ref="B6:F6"/>
    <mergeCell ref="G6:N6"/>
    <mergeCell ref="P6:AD6"/>
    <mergeCell ref="AE6:AL6"/>
    <mergeCell ref="AM6:BJ6"/>
    <mergeCell ref="B7:F7"/>
    <mergeCell ref="G7:N7"/>
    <mergeCell ref="P7:AD7"/>
    <mergeCell ref="AE7:AL7"/>
    <mergeCell ref="AM7:BJ7"/>
    <mergeCell ref="G59:N59"/>
    <mergeCell ref="G60:N60"/>
    <mergeCell ref="G61:N61"/>
    <mergeCell ref="G62:N62"/>
    <mergeCell ref="G63:N63"/>
    <mergeCell ref="G64:N64"/>
    <mergeCell ref="G65:N65"/>
    <mergeCell ref="G46:N46"/>
    <mergeCell ref="G47:N47"/>
    <mergeCell ref="G48:N48"/>
    <mergeCell ref="G49:N49"/>
    <mergeCell ref="G50:N50"/>
    <mergeCell ref="G51:N51"/>
    <mergeCell ref="G52:N52"/>
    <mergeCell ref="G53:N53"/>
    <mergeCell ref="G54:N54"/>
    <mergeCell ref="G55:N55"/>
    <mergeCell ref="G56:N56"/>
    <mergeCell ref="G57:N57"/>
    <mergeCell ref="G58:N58"/>
    <mergeCell ref="B50:F50"/>
    <mergeCell ref="B51:F51"/>
    <mergeCell ref="G73:N73"/>
    <mergeCell ref="G74:N74"/>
    <mergeCell ref="G77:N77"/>
    <mergeCell ref="G86:N86"/>
    <mergeCell ref="G78:N78"/>
    <mergeCell ref="G66:N66"/>
    <mergeCell ref="G67:N67"/>
    <mergeCell ref="G68:N68"/>
    <mergeCell ref="G69:N69"/>
    <mergeCell ref="G70:N70"/>
    <mergeCell ref="G71:N71"/>
    <mergeCell ref="G72:N72"/>
    <mergeCell ref="G79:N79"/>
    <mergeCell ref="G80:N80"/>
    <mergeCell ref="G81:N81"/>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130:N130"/>
    <mergeCell ref="G131:N131"/>
    <mergeCell ref="G132:N132"/>
    <mergeCell ref="G133:N133"/>
    <mergeCell ref="G134:N134"/>
    <mergeCell ref="G135:N135"/>
    <mergeCell ref="G136:N136"/>
    <mergeCell ref="G137:N137"/>
    <mergeCell ref="G129:N129"/>
    <mergeCell ref="B130:F130"/>
    <mergeCell ref="B131:F131"/>
    <mergeCell ref="B129:F129"/>
    <mergeCell ref="B132:F132"/>
    <mergeCell ref="B133:F133"/>
    <mergeCell ref="B134:F134"/>
    <mergeCell ref="B135:F135"/>
    <mergeCell ref="B136:F136"/>
    <mergeCell ref="B137:F137"/>
    <mergeCell ref="B103:F103"/>
    <mergeCell ref="B104:F104"/>
    <mergeCell ref="B105:F105"/>
    <mergeCell ref="G121:N121"/>
    <mergeCell ref="G100:N100"/>
    <mergeCell ref="G101:N101"/>
    <mergeCell ref="G104:N104"/>
    <mergeCell ref="G105:N105"/>
    <mergeCell ref="B121:F121"/>
    <mergeCell ref="G119:N119"/>
    <mergeCell ref="B120:F120"/>
    <mergeCell ref="G120:N120"/>
    <mergeCell ref="B117:F117"/>
    <mergeCell ref="G117:N117"/>
    <mergeCell ref="B113:F113"/>
    <mergeCell ref="G113:N113"/>
    <mergeCell ref="B106:F106"/>
    <mergeCell ref="G106:N106"/>
    <mergeCell ref="G116:N116"/>
    <mergeCell ref="B85:F85"/>
    <mergeCell ref="B86:F86"/>
    <mergeCell ref="B78:F78"/>
    <mergeCell ref="B75:F75"/>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87:F87"/>
    <mergeCell ref="B88:F88"/>
    <mergeCell ref="B89:F89"/>
    <mergeCell ref="B47:F47"/>
    <mergeCell ref="B48:F48"/>
    <mergeCell ref="B49:F49"/>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53:F53"/>
    <mergeCell ref="B54:F54"/>
    <mergeCell ref="B55:F55"/>
    <mergeCell ref="B56:F56"/>
    <mergeCell ref="B45:F45"/>
    <mergeCell ref="B46:F46"/>
    <mergeCell ref="AM53:BJ53"/>
    <mergeCell ref="P56:AD56"/>
    <mergeCell ref="AE56:AL56"/>
    <mergeCell ref="P109:AD109"/>
    <mergeCell ref="P110:AD110"/>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P146:AD146"/>
    <mergeCell ref="AE146:AL146"/>
    <mergeCell ref="AM146:BJ146"/>
    <mergeCell ref="P119:AD119"/>
    <mergeCell ref="AE119:AL119"/>
    <mergeCell ref="AM119:BJ119"/>
    <mergeCell ref="AE140:AL140"/>
    <mergeCell ref="G127:N127"/>
    <mergeCell ref="AE123:AL123"/>
    <mergeCell ref="G122:N122"/>
    <mergeCell ref="B28:F28"/>
    <mergeCell ref="B34:F34"/>
    <mergeCell ref="B35:F35"/>
    <mergeCell ref="B36:F36"/>
    <mergeCell ref="B37:F37"/>
    <mergeCell ref="B29:F29"/>
    <mergeCell ref="B30:F30"/>
    <mergeCell ref="B31:F31"/>
    <mergeCell ref="B32:F32"/>
    <mergeCell ref="B33:F33"/>
    <mergeCell ref="B59:F59"/>
    <mergeCell ref="B60:F60"/>
    <mergeCell ref="B61:F61"/>
    <mergeCell ref="B62:F62"/>
    <mergeCell ref="B63:F63"/>
    <mergeCell ref="B64:F64"/>
    <mergeCell ref="B65:F65"/>
    <mergeCell ref="B66:F66"/>
    <mergeCell ref="AE53:AL53"/>
    <mergeCell ref="AE125:AL125"/>
    <mergeCell ref="B57:F57"/>
    <mergeCell ref="B58:F58"/>
    <mergeCell ref="B38:F38"/>
    <mergeCell ref="B39:F39"/>
    <mergeCell ref="B40:F40"/>
    <mergeCell ref="B41:F41"/>
    <mergeCell ref="B42:F42"/>
    <mergeCell ref="B43:F43"/>
    <mergeCell ref="B44:F44"/>
    <mergeCell ref="B141:F141"/>
    <mergeCell ref="B142:F142"/>
    <mergeCell ref="B143:F143"/>
    <mergeCell ref="B144:F144"/>
    <mergeCell ref="B145:F145"/>
    <mergeCell ref="G138:N138"/>
    <mergeCell ref="G139:N139"/>
    <mergeCell ref="G140:N140"/>
    <mergeCell ref="G141:N141"/>
    <mergeCell ref="AE120:AL120"/>
    <mergeCell ref="AM120:BJ120"/>
    <mergeCell ref="P124:AD124"/>
    <mergeCell ref="AE124:AL124"/>
    <mergeCell ref="AM124:BJ124"/>
    <mergeCell ref="B138:F138"/>
    <mergeCell ref="B139:F139"/>
    <mergeCell ref="B140:F140"/>
    <mergeCell ref="P141:AD141"/>
    <mergeCell ref="AE141:AL141"/>
    <mergeCell ref="AM141:BJ141"/>
    <mergeCell ref="P142:AD142"/>
    <mergeCell ref="AE142:AL142"/>
    <mergeCell ref="AM142:BJ142"/>
    <mergeCell ref="P139:AD139"/>
    <mergeCell ref="AE139:AL139"/>
    <mergeCell ref="AM139:BJ139"/>
    <mergeCell ref="P140:AD140"/>
    <mergeCell ref="P126:AD126"/>
    <mergeCell ref="AE126:AL126"/>
    <mergeCell ref="AM126:BJ126"/>
    <mergeCell ref="P127:AD127"/>
    <mergeCell ref="B127:F127"/>
    <mergeCell ref="B159:F159"/>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P116:AD116"/>
    <mergeCell ref="AE116:AL116"/>
    <mergeCell ref="AM116:BJ116"/>
    <mergeCell ref="B128:F128"/>
    <mergeCell ref="G128:N128"/>
    <mergeCell ref="B119:F119"/>
    <mergeCell ref="B153:F153"/>
    <mergeCell ref="G153:N153"/>
    <mergeCell ref="P153:AD153"/>
    <mergeCell ref="B156:F156"/>
    <mergeCell ref="G156:N156"/>
    <mergeCell ref="B157:F157"/>
    <mergeCell ref="G157:N157"/>
    <mergeCell ref="G159:N159"/>
    <mergeCell ref="G123:N123"/>
    <mergeCell ref="G124:N124"/>
    <mergeCell ref="G125:N125"/>
    <mergeCell ref="P160:AD160"/>
    <mergeCell ref="B179:F179"/>
    <mergeCell ref="G179:N179"/>
    <mergeCell ref="G167:N167"/>
    <mergeCell ref="P167:AD167"/>
    <mergeCell ref="B162:F162"/>
    <mergeCell ref="G162:N162"/>
    <mergeCell ref="P162:AD162"/>
    <mergeCell ref="G166:N166"/>
    <mergeCell ref="P166:AD166"/>
    <mergeCell ref="B170:F170"/>
    <mergeCell ref="G170:N170"/>
    <mergeCell ref="P170:AD170"/>
    <mergeCell ref="B173:F173"/>
    <mergeCell ref="G173:N173"/>
    <mergeCell ref="P173:AD173"/>
    <mergeCell ref="G161:N161"/>
    <mergeCell ref="B169:F169"/>
    <mergeCell ref="G169:N169"/>
    <mergeCell ref="P169:AD169"/>
    <mergeCell ref="P161:AD161"/>
    <mergeCell ref="B165:F165"/>
    <mergeCell ref="G165:N165"/>
    <mergeCell ref="P165:AD165"/>
    <mergeCell ref="B168:F168"/>
    <mergeCell ref="G168:N168"/>
    <mergeCell ref="P168:AD168"/>
    <mergeCell ref="P177:AD177"/>
    <mergeCell ref="B166:F166"/>
    <mergeCell ref="B161:F161"/>
    <mergeCell ref="B174:F174"/>
    <mergeCell ref="G174:N174"/>
    <mergeCell ref="B249:F249"/>
    <mergeCell ref="G249:N249"/>
    <mergeCell ref="P249:AD249"/>
    <mergeCell ref="AE249:AL249"/>
    <mergeCell ref="AM249:BJ249"/>
    <mergeCell ref="AE179:AL179"/>
    <mergeCell ref="AM207:BJ207"/>
    <mergeCell ref="B227:F227"/>
    <mergeCell ref="G227:N227"/>
    <mergeCell ref="P227:AD227"/>
    <mergeCell ref="AE227:AL227"/>
    <mergeCell ref="AM227:BJ227"/>
    <mergeCell ref="B226:F226"/>
    <mergeCell ref="G226:N226"/>
    <mergeCell ref="P226:AD226"/>
    <mergeCell ref="AE226:AL226"/>
    <mergeCell ref="B207:F207"/>
    <mergeCell ref="G207:N207"/>
    <mergeCell ref="P207:AD207"/>
    <mergeCell ref="AE207:AL207"/>
    <mergeCell ref="AM226:BJ226"/>
    <mergeCell ref="P179:AD179"/>
    <mergeCell ref="B182:F182"/>
    <mergeCell ref="B180:F180"/>
    <mergeCell ref="G180:N180"/>
    <mergeCell ref="P180:AD180"/>
    <mergeCell ref="B185:F185"/>
    <mergeCell ref="G185:N185"/>
    <mergeCell ref="P185:AD185"/>
    <mergeCell ref="AE180:AL180"/>
    <mergeCell ref="AM180:BJ180"/>
    <mergeCell ref="B181:F181"/>
    <mergeCell ref="AS2:AX2"/>
    <mergeCell ref="AY2:BD2"/>
    <mergeCell ref="BE2:BJ2"/>
    <mergeCell ref="AY1:BD1"/>
    <mergeCell ref="AM179:BJ179"/>
    <mergeCell ref="AM167:BJ167"/>
    <mergeCell ref="AM160:BJ160"/>
    <mergeCell ref="AM107:BJ107"/>
    <mergeCell ref="AM4:BJ5"/>
    <mergeCell ref="AM153:BJ153"/>
    <mergeCell ref="AM112:BJ112"/>
    <mergeCell ref="AM149:BJ149"/>
    <mergeCell ref="AM150:BJ150"/>
    <mergeCell ref="AM9:BJ9"/>
    <mergeCell ref="AM161:BJ161"/>
    <mergeCell ref="AM106:BJ106"/>
    <mergeCell ref="AM70:BJ70"/>
    <mergeCell ref="AM128:BJ128"/>
    <mergeCell ref="AM22:BJ22"/>
    <mergeCell ref="AM12:BJ12"/>
    <mergeCell ref="AM34:BJ34"/>
    <mergeCell ref="AM127:BJ127"/>
    <mergeCell ref="AM132:BJ132"/>
    <mergeCell ref="AM56:BJ56"/>
    <mergeCell ref="AM123:BJ123"/>
    <mergeCell ref="AM104:BJ104"/>
    <mergeCell ref="AM162:BJ162"/>
    <mergeCell ref="AM166:BJ166"/>
    <mergeCell ref="AM102:BJ102"/>
    <mergeCell ref="AS1:AX1"/>
    <mergeCell ref="BE1:BJ1"/>
    <mergeCell ref="AM108:BJ108"/>
    <mergeCell ref="AE27:AL27"/>
    <mergeCell ref="AM27:BJ27"/>
    <mergeCell ref="P25:AD25"/>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B27:F27"/>
    <mergeCell ref="B52:F52"/>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AM13:BJ13"/>
    <mergeCell ref="P15:AD15"/>
    <mergeCell ref="AE15:AL15"/>
    <mergeCell ref="AM15:BJ15"/>
    <mergeCell ref="AM23:BJ23"/>
    <mergeCell ref="P26:AD26"/>
    <mergeCell ref="AE26:AL26"/>
    <mergeCell ref="AM26:BJ26"/>
    <mergeCell ref="P27:AD27"/>
    <mergeCell ref="AE25:AL25"/>
    <mergeCell ref="AM25:BJ25"/>
    <mergeCell ref="P23:AD23"/>
    <mergeCell ref="AE23:AL23"/>
    <mergeCell ref="P129:AD129"/>
    <mergeCell ref="AE129:AL129"/>
    <mergeCell ref="AM129:BJ129"/>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AE49:AL49"/>
    <mergeCell ref="AM49:BJ49"/>
    <mergeCell ref="P28:AD28"/>
    <mergeCell ref="AE28:AL28"/>
    <mergeCell ref="AM28:BJ28"/>
    <mergeCell ref="P29:AD29"/>
    <mergeCell ref="AE111:AL111"/>
    <mergeCell ref="AM111:BJ111"/>
    <mergeCell ref="AE133:AL133"/>
    <mergeCell ref="AM133:BJ133"/>
    <mergeCell ref="P137:AD137"/>
    <mergeCell ref="AE137:AL137"/>
    <mergeCell ref="AM137:BJ137"/>
    <mergeCell ref="P138:AD138"/>
    <mergeCell ref="AE138:AL138"/>
    <mergeCell ref="AM138:BJ138"/>
    <mergeCell ref="P135:AD135"/>
    <mergeCell ref="AE135:AL135"/>
    <mergeCell ref="AM135:BJ135"/>
    <mergeCell ref="P136:AD136"/>
    <mergeCell ref="AE136:AL136"/>
    <mergeCell ref="AM136:BJ136"/>
    <mergeCell ref="P121:AD121"/>
    <mergeCell ref="AE121:AL121"/>
    <mergeCell ref="AM121:BJ121"/>
    <mergeCell ref="P131:AD131"/>
    <mergeCell ref="AE131:AL131"/>
    <mergeCell ref="AM131:BJ131"/>
    <mergeCell ref="P122:AD122"/>
    <mergeCell ref="AE122:AL122"/>
    <mergeCell ref="AM122:BJ122"/>
    <mergeCell ref="P123:AD123"/>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P10:AD10"/>
    <mergeCell ref="AE10:AL10"/>
    <mergeCell ref="AM10:BJ10"/>
    <mergeCell ref="AE29:AL29"/>
    <mergeCell ref="AM29:BJ29"/>
    <mergeCell ref="P30:AD30"/>
    <mergeCell ref="AE30:AL30"/>
    <mergeCell ref="AM30:BJ30"/>
    <mergeCell ref="P35:AD35"/>
    <mergeCell ref="AE35:AL35"/>
    <mergeCell ref="AM35:BJ35"/>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M51:BJ51"/>
    <mergeCell ref="P57:AD57"/>
    <mergeCell ref="AE57:AL57"/>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58:AD58"/>
    <mergeCell ref="AE58:AL58"/>
    <mergeCell ref="AM58:BJ58"/>
    <mergeCell ref="P50:AD50"/>
    <mergeCell ref="AE50:AL50"/>
    <mergeCell ref="AM50:BJ50"/>
    <mergeCell ref="P51:AD51"/>
    <mergeCell ref="AE51:AL51"/>
    <mergeCell ref="P62:AD62"/>
    <mergeCell ref="AE62:AL62"/>
    <mergeCell ref="AM62:BJ62"/>
    <mergeCell ref="P63:AD63"/>
    <mergeCell ref="AE63:AL63"/>
    <mergeCell ref="AM63:BJ63"/>
    <mergeCell ref="AM57:BJ57"/>
    <mergeCell ref="P55:AD55"/>
    <mergeCell ref="AE55:AL55"/>
    <mergeCell ref="AM55:BJ55"/>
    <mergeCell ref="P52:AD52"/>
    <mergeCell ref="AE52:AL52"/>
    <mergeCell ref="AM52:BJ52"/>
    <mergeCell ref="P53:AD53"/>
    <mergeCell ref="P54:AD54"/>
    <mergeCell ref="AE54:AL54"/>
    <mergeCell ref="AM54:BJ54"/>
    <mergeCell ref="P61:AD61"/>
    <mergeCell ref="AE61:AL61"/>
    <mergeCell ref="AM61:BJ61"/>
    <mergeCell ref="P49:AD49"/>
    <mergeCell ref="AE72:AL72"/>
    <mergeCell ref="AM72:BJ72"/>
    <mergeCell ref="P69:AD69"/>
    <mergeCell ref="AE69:AL69"/>
    <mergeCell ref="AM69:BJ69"/>
    <mergeCell ref="P70:AD70"/>
    <mergeCell ref="AE70:AL70"/>
    <mergeCell ref="P120:AD120"/>
    <mergeCell ref="P88:AD88"/>
    <mergeCell ref="AE88:AL88"/>
    <mergeCell ref="AM88:BJ88"/>
    <mergeCell ref="P89:AD89"/>
    <mergeCell ref="AE89:AL89"/>
    <mergeCell ref="AM89:BJ89"/>
    <mergeCell ref="P95:AD95"/>
    <mergeCell ref="AE95:AL95"/>
    <mergeCell ref="AM95:BJ95"/>
    <mergeCell ref="P91:AD91"/>
    <mergeCell ref="AE91:AL91"/>
    <mergeCell ref="P113:AD113"/>
    <mergeCell ref="AE113:AL113"/>
    <mergeCell ref="AM113:BJ113"/>
    <mergeCell ref="P114:AD114"/>
    <mergeCell ref="AE114:AL114"/>
    <mergeCell ref="AM114:BJ114"/>
    <mergeCell ref="P90:AD90"/>
    <mergeCell ref="AE90:AL90"/>
    <mergeCell ref="AE79:AL79"/>
    <mergeCell ref="AE101:AL101"/>
    <mergeCell ref="AM101:BJ101"/>
    <mergeCell ref="P98:AD98"/>
    <mergeCell ref="AE98:AL98"/>
    <mergeCell ref="P64:AD64"/>
    <mergeCell ref="AE64:AL64"/>
    <mergeCell ref="AM64:BJ64"/>
    <mergeCell ref="P65:AD65"/>
    <mergeCell ref="AE65:AL65"/>
    <mergeCell ref="AM65:BJ65"/>
    <mergeCell ref="P66:AD66"/>
    <mergeCell ref="AE66:AL66"/>
    <mergeCell ref="AM66:BJ66"/>
    <mergeCell ref="P67:AD67"/>
    <mergeCell ref="AE67:AL67"/>
    <mergeCell ref="AM67:BJ67"/>
    <mergeCell ref="AM130:BJ130"/>
    <mergeCell ref="P125:AD125"/>
    <mergeCell ref="AE127:AL127"/>
    <mergeCell ref="P130:AD130"/>
    <mergeCell ref="AE130:AL130"/>
    <mergeCell ref="AM103:BJ103"/>
    <mergeCell ref="AM90:BJ90"/>
    <mergeCell ref="P99:AD99"/>
    <mergeCell ref="AE99:AL99"/>
    <mergeCell ref="AM99:BJ99"/>
    <mergeCell ref="P84:AD84"/>
    <mergeCell ref="AE84:AL84"/>
    <mergeCell ref="AM84:BJ84"/>
    <mergeCell ref="AE68:AL68"/>
    <mergeCell ref="AM68:BJ68"/>
    <mergeCell ref="P79:AD79"/>
    <mergeCell ref="AE96:AL96"/>
    <mergeCell ref="AM96:BJ96"/>
    <mergeCell ref="P97:AD97"/>
    <mergeCell ref="P71:AD71"/>
    <mergeCell ref="P68:AD68"/>
    <mergeCell ref="P73:AD73"/>
    <mergeCell ref="AE73:AL73"/>
    <mergeCell ref="AM73:BJ73"/>
    <mergeCell ref="P74:AD74"/>
    <mergeCell ref="P77:AD77"/>
    <mergeCell ref="AE77:AL77"/>
    <mergeCell ref="AM77:BJ77"/>
    <mergeCell ref="P78:AD78"/>
    <mergeCell ref="AE78:AL78"/>
    <mergeCell ref="AM78:BJ78"/>
    <mergeCell ref="AE108:AL108"/>
    <mergeCell ref="P85:AD85"/>
    <mergeCell ref="AE85:AL85"/>
    <mergeCell ref="AM85:BJ85"/>
    <mergeCell ref="P86:AD86"/>
    <mergeCell ref="AE86:AL86"/>
    <mergeCell ref="AM86:BJ86"/>
    <mergeCell ref="P87:AD87"/>
    <mergeCell ref="AE87:AL87"/>
    <mergeCell ref="AM87:BJ87"/>
    <mergeCell ref="AE74:AL74"/>
    <mergeCell ref="AM74:BJ74"/>
    <mergeCell ref="AM91:BJ91"/>
    <mergeCell ref="P92:AD92"/>
    <mergeCell ref="AE92:AL92"/>
    <mergeCell ref="AM92:BJ92"/>
    <mergeCell ref="AM94:BJ94"/>
    <mergeCell ref="AM79:BJ79"/>
    <mergeCell ref="AE71:AL71"/>
    <mergeCell ref="AM71:BJ71"/>
    <mergeCell ref="P72:AD72"/>
    <mergeCell ref="AM98:BJ98"/>
    <mergeCell ref="P102:AD102"/>
    <mergeCell ref="AM156:BJ156"/>
    <mergeCell ref="P157:AD157"/>
    <mergeCell ref="AE157:AL157"/>
    <mergeCell ref="AM157:BJ157"/>
    <mergeCell ref="P103:AD103"/>
    <mergeCell ref="AE102:AL102"/>
    <mergeCell ref="P134:AD134"/>
    <mergeCell ref="AE134:AL134"/>
    <mergeCell ref="AM134:BJ134"/>
    <mergeCell ref="AE132:AL132"/>
    <mergeCell ref="AE143:AL143"/>
    <mergeCell ref="AM143:BJ143"/>
    <mergeCell ref="P144:AD144"/>
    <mergeCell ref="AE144:AL144"/>
    <mergeCell ref="AM144:BJ144"/>
    <mergeCell ref="AM140:BJ140"/>
    <mergeCell ref="AM125:BJ125"/>
    <mergeCell ref="P133:AD133"/>
    <mergeCell ref="P132:AD132"/>
    <mergeCell ref="AE103:AL103"/>
    <mergeCell ref="AE153:AL153"/>
    <mergeCell ref="AE145:AL145"/>
    <mergeCell ref="P128:AD128"/>
    <mergeCell ref="AE128:AL128"/>
    <mergeCell ref="G75:N75"/>
    <mergeCell ref="P75:AD75"/>
    <mergeCell ref="AE75:AL75"/>
    <mergeCell ref="AM75:BJ75"/>
    <mergeCell ref="B76:F76"/>
    <mergeCell ref="G76:N76"/>
    <mergeCell ref="P76:AD76"/>
    <mergeCell ref="AE76:AL76"/>
    <mergeCell ref="AM76:BJ76"/>
    <mergeCell ref="P81:AD81"/>
    <mergeCell ref="AE81:AL81"/>
    <mergeCell ref="AM81:BJ81"/>
    <mergeCell ref="P82:AD82"/>
    <mergeCell ref="AE82:AL82"/>
    <mergeCell ref="AM82:BJ82"/>
    <mergeCell ref="P83:AD83"/>
    <mergeCell ref="AE83:AL83"/>
    <mergeCell ref="AM83:BJ83"/>
    <mergeCell ref="P80:AD80"/>
    <mergeCell ref="AE80:AL80"/>
    <mergeCell ref="AM80:BJ80"/>
    <mergeCell ref="G154:N154"/>
    <mergeCell ref="P154:AD154"/>
    <mergeCell ref="AE154:AL154"/>
    <mergeCell ref="AM154:BJ154"/>
    <mergeCell ref="B155:F155"/>
    <mergeCell ref="P93:AD93"/>
    <mergeCell ref="AE93:AL93"/>
    <mergeCell ref="AM93:BJ93"/>
    <mergeCell ref="P94:AD94"/>
    <mergeCell ref="AE94:AL94"/>
    <mergeCell ref="P156:AD156"/>
    <mergeCell ref="AE156:AL156"/>
    <mergeCell ref="B154:F154"/>
    <mergeCell ref="G126:N126"/>
    <mergeCell ref="B122:F122"/>
    <mergeCell ref="B123:F123"/>
    <mergeCell ref="B124:F124"/>
    <mergeCell ref="B125:F125"/>
    <mergeCell ref="B126:F126"/>
    <mergeCell ref="B114:F114"/>
    <mergeCell ref="G114:N114"/>
    <mergeCell ref="AM145:BJ145"/>
    <mergeCell ref="P143:AD143"/>
    <mergeCell ref="P104:AD104"/>
    <mergeCell ref="AE104:AL104"/>
    <mergeCell ref="P96:AD96"/>
    <mergeCell ref="AE97:AL97"/>
    <mergeCell ref="AM97:BJ97"/>
    <mergeCell ref="P100:AD100"/>
    <mergeCell ref="AE100:AL100"/>
    <mergeCell ref="AM100:BJ100"/>
    <mergeCell ref="P101:AD101"/>
    <mergeCell ref="P174:AD174"/>
    <mergeCell ref="AE174:AL174"/>
    <mergeCell ref="AM174:BJ174"/>
    <mergeCell ref="AE155:AL155"/>
    <mergeCell ref="AM155:BJ155"/>
    <mergeCell ref="B163:F163"/>
    <mergeCell ref="G163:N163"/>
    <mergeCell ref="P163:AD163"/>
    <mergeCell ref="AE163:AL163"/>
    <mergeCell ref="AM163:BJ163"/>
    <mergeCell ref="B164:F164"/>
    <mergeCell ref="G164:N164"/>
    <mergeCell ref="P164:AD164"/>
    <mergeCell ref="B160:F160"/>
    <mergeCell ref="G160:N160"/>
    <mergeCell ref="AE162:AL162"/>
    <mergeCell ref="AE167:AL167"/>
    <mergeCell ref="AE161:AL161"/>
    <mergeCell ref="AE166:AL166"/>
    <mergeCell ref="G158:N158"/>
    <mergeCell ref="AE164:AL164"/>
    <mergeCell ref="AM164:BJ164"/>
    <mergeCell ref="AE160:AL160"/>
    <mergeCell ref="G155:N155"/>
    <mergeCell ref="P155:AD155"/>
    <mergeCell ref="B158:F158"/>
    <mergeCell ref="P159:AD159"/>
    <mergeCell ref="P158:AD158"/>
    <mergeCell ref="AE158:AL158"/>
    <mergeCell ref="AM158:BJ158"/>
    <mergeCell ref="AE159:AL159"/>
    <mergeCell ref="AM159:BJ159"/>
    <mergeCell ref="AE177:AL177"/>
    <mergeCell ref="AM177:BJ177"/>
    <mergeCell ref="B178:F178"/>
    <mergeCell ref="G178:N178"/>
    <mergeCell ref="P178:AD178"/>
    <mergeCell ref="AE178:AL178"/>
    <mergeCell ref="AM178:BJ178"/>
    <mergeCell ref="B175:F175"/>
    <mergeCell ref="G175:N175"/>
    <mergeCell ref="P175:AD175"/>
    <mergeCell ref="AE175:AL175"/>
    <mergeCell ref="AM175:BJ175"/>
    <mergeCell ref="B176:F176"/>
    <mergeCell ref="G176:N176"/>
    <mergeCell ref="P176:AD176"/>
    <mergeCell ref="AE176:AL176"/>
    <mergeCell ref="AM176:BJ176"/>
    <mergeCell ref="B177:F177"/>
    <mergeCell ref="G177:N177"/>
    <mergeCell ref="G181:N181"/>
    <mergeCell ref="P181:AD181"/>
    <mergeCell ref="AE181:AL181"/>
    <mergeCell ref="AM181:BJ181"/>
    <mergeCell ref="G182:N182"/>
    <mergeCell ref="AM231:BJ231"/>
    <mergeCell ref="B232:F232"/>
    <mergeCell ref="G232:N232"/>
    <mergeCell ref="B208:F208"/>
    <mergeCell ref="G208:N208"/>
    <mergeCell ref="P208:AD208"/>
    <mergeCell ref="AE208:AL208"/>
    <mergeCell ref="AM208:BJ208"/>
    <mergeCell ref="B224:F224"/>
    <mergeCell ref="G224:N224"/>
    <mergeCell ref="P224:AD224"/>
    <mergeCell ref="AE224:AL224"/>
    <mergeCell ref="AM224:BJ224"/>
    <mergeCell ref="B203:F203"/>
    <mergeCell ref="G203:N203"/>
    <mergeCell ref="P203:AD203"/>
    <mergeCell ref="AE203:AL203"/>
    <mergeCell ref="AM203:BJ203"/>
    <mergeCell ref="B204:F204"/>
    <mergeCell ref="G204:N204"/>
    <mergeCell ref="P204:AD204"/>
    <mergeCell ref="AE204:AL204"/>
    <mergeCell ref="AM204:BJ204"/>
    <mergeCell ref="B205:F205"/>
    <mergeCell ref="G205:N205"/>
    <mergeCell ref="P205:AD205"/>
    <mergeCell ref="AE205:AL205"/>
    <mergeCell ref="B245:F245"/>
    <mergeCell ref="G245:N245"/>
    <mergeCell ref="P245:AD245"/>
    <mergeCell ref="AE245:AL245"/>
    <mergeCell ref="AM245:BJ245"/>
    <mergeCell ref="AM235:BJ235"/>
    <mergeCell ref="B240:F240"/>
    <mergeCell ref="G240:N240"/>
    <mergeCell ref="P240:AD240"/>
    <mergeCell ref="AE240:AL240"/>
    <mergeCell ref="AM240:BJ240"/>
    <mergeCell ref="B241:F241"/>
    <mergeCell ref="G241:N241"/>
    <mergeCell ref="P241:AD241"/>
    <mergeCell ref="AE241:AL241"/>
    <mergeCell ref="AM241:BJ241"/>
    <mergeCell ref="B244:F244"/>
    <mergeCell ref="G244:N244"/>
    <mergeCell ref="P244:AD244"/>
    <mergeCell ref="AE244:AL244"/>
    <mergeCell ref="AM244:BJ244"/>
    <mergeCell ref="B237:F237"/>
    <mergeCell ref="G237:N237"/>
    <mergeCell ref="P237:AD237"/>
    <mergeCell ref="AE237:AL237"/>
    <mergeCell ref="AM237:BJ237"/>
    <mergeCell ref="B238:F238"/>
    <mergeCell ref="G238:N238"/>
    <mergeCell ref="P238:AD238"/>
    <mergeCell ref="AE238:AL238"/>
    <mergeCell ref="AM238:BJ238"/>
    <mergeCell ref="AM230:BJ230"/>
    <mergeCell ref="B231:F231"/>
    <mergeCell ref="G231:N231"/>
    <mergeCell ref="P231:AD231"/>
    <mergeCell ref="AE231:AL231"/>
    <mergeCell ref="P239:AD239"/>
    <mergeCell ref="AE239:AL239"/>
    <mergeCell ref="AM239:BJ239"/>
    <mergeCell ref="P232:AD232"/>
    <mergeCell ref="AE232:AL232"/>
    <mergeCell ref="AM232:BJ232"/>
    <mergeCell ref="AM236:BJ236"/>
  </mergeCells>
  <phoneticPr fontId="8"/>
  <conditionalFormatting sqref="B110:F112 B108:N109 G7:N7 G110:N152 G9:N19 G80:N106 G21:N72 B169:N173 B181:N201 B228:N231 B241:N242 B245:N245">
    <cfRule type="expression" dxfId="114" priority="228">
      <formula>B6=B7</formula>
    </cfRule>
  </conditionalFormatting>
  <conditionalFormatting sqref="O2:AD2">
    <cfRule type="expression" dxfId="113" priority="222">
      <formula>$O$2=""</formula>
    </cfRule>
  </conditionalFormatting>
  <conditionalFormatting sqref="B167:N167">
    <cfRule type="expression" dxfId="112" priority="183">
      <formula>#REF!=B167</formula>
    </cfRule>
  </conditionalFormatting>
  <conditionalFormatting sqref="G207:N207">
    <cfRule type="expression" dxfId="111" priority="188">
      <formula>#REF!=G207</formula>
    </cfRule>
  </conditionalFormatting>
  <conditionalFormatting sqref="G160:N160">
    <cfRule type="expression" dxfId="110" priority="230">
      <formula>#REF!=G160</formula>
    </cfRule>
  </conditionalFormatting>
  <conditionalFormatting sqref="B160:F160">
    <cfRule type="expression" dxfId="109" priority="185">
      <formula>#REF!=B160</formula>
    </cfRule>
  </conditionalFormatting>
  <conditionalFormatting sqref="B226:N226">
    <cfRule type="expression" dxfId="108" priority="177">
      <formula>B207=B226</formula>
    </cfRule>
  </conditionalFormatting>
  <conditionalFormatting sqref="B207:F207">
    <cfRule type="expression" dxfId="107" priority="178">
      <formula>#REF!=B207</formula>
    </cfRule>
  </conditionalFormatting>
  <conditionalFormatting sqref="B119:F152 B10:F19 B81:F106 B22:F72 B233:N233 B244:N244">
    <cfRule type="expression" dxfId="106" priority="231">
      <formula>B8=B10</formula>
    </cfRule>
  </conditionalFormatting>
  <conditionalFormatting sqref="B227:F227">
    <cfRule type="expression" dxfId="105" priority="173">
      <formula>B226=B227</formula>
    </cfRule>
  </conditionalFormatting>
  <conditionalFormatting sqref="G227:N227">
    <cfRule type="expression" dxfId="104" priority="174">
      <formula>G226=G227</formula>
    </cfRule>
  </conditionalFormatting>
  <conditionalFormatting sqref="G161:N161">
    <cfRule type="expression" dxfId="103" priority="171">
      <formula>G160=G161</formula>
    </cfRule>
  </conditionalFormatting>
  <conditionalFormatting sqref="B161:F161">
    <cfRule type="expression" dxfId="102" priority="170">
      <formula>B160=B161</formula>
    </cfRule>
  </conditionalFormatting>
  <conditionalFormatting sqref="G159:N159">
    <cfRule type="expression" dxfId="101" priority="156">
      <formula>G153=G159</formula>
    </cfRule>
  </conditionalFormatting>
  <conditionalFormatting sqref="B159:F159">
    <cfRule type="expression" dxfId="100" priority="155">
      <formula>B153=B159</formula>
    </cfRule>
  </conditionalFormatting>
  <conditionalFormatting sqref="B153:N153">
    <cfRule type="expression" dxfId="99" priority="232">
      <formula>#REF!=B153</formula>
    </cfRule>
  </conditionalFormatting>
  <conditionalFormatting sqref="B113:F113">
    <cfRule type="expression" dxfId="98" priority="148">
      <formula>B111=B113</formula>
    </cfRule>
  </conditionalFormatting>
  <conditionalFormatting sqref="B114:F118">
    <cfRule type="expression" dxfId="97" priority="147">
      <formula>B112=B114</formula>
    </cfRule>
  </conditionalFormatting>
  <conditionalFormatting sqref="B7:F7">
    <cfRule type="expression" dxfId="96" priority="112">
      <formula>B106=B7</formula>
    </cfRule>
  </conditionalFormatting>
  <conditionalFormatting sqref="G162:N162">
    <cfRule type="expression" dxfId="95" priority="110">
      <formula>G161=G162</formula>
    </cfRule>
  </conditionalFormatting>
  <conditionalFormatting sqref="B162:F162">
    <cfRule type="expression" dxfId="94" priority="109">
      <formula>B161=B162</formula>
    </cfRule>
  </conditionalFormatting>
  <conditionalFormatting sqref="G166:N166">
    <cfRule type="expression" dxfId="93" priority="108">
      <formula>G162=G166</formula>
    </cfRule>
  </conditionalFormatting>
  <conditionalFormatting sqref="B166:F166">
    <cfRule type="expression" dxfId="92" priority="107">
      <formula>B162=B166</formula>
    </cfRule>
  </conditionalFormatting>
  <conditionalFormatting sqref="G168:N168">
    <cfRule type="expression" dxfId="91" priority="105">
      <formula>G167=G168</formula>
    </cfRule>
  </conditionalFormatting>
  <conditionalFormatting sqref="B168:F168">
    <cfRule type="expression" dxfId="90" priority="104">
      <formula>B167=B168</formula>
    </cfRule>
  </conditionalFormatting>
  <conditionalFormatting sqref="B6:N6">
    <cfRule type="expression" dxfId="89" priority="101">
      <formula>B3=B6</formula>
    </cfRule>
  </conditionalFormatting>
  <conditionalFormatting sqref="G107:N107">
    <cfRule type="expression" dxfId="88" priority="100">
      <formula>G7=G107</formula>
    </cfRule>
  </conditionalFormatting>
  <conditionalFormatting sqref="B107:F107">
    <cfRule type="expression" dxfId="87" priority="97">
      <formula>B7=B107</formula>
    </cfRule>
  </conditionalFormatting>
  <conditionalFormatting sqref="B20:F21">
    <cfRule type="expression" dxfId="86" priority="235">
      <formula>B18=B20</formula>
    </cfRule>
  </conditionalFormatting>
  <conditionalFormatting sqref="G20:N20">
    <cfRule type="expression" dxfId="85" priority="239">
      <formula>G19=G20</formula>
    </cfRule>
  </conditionalFormatting>
  <conditionalFormatting sqref="B8:F9">
    <cfRule type="expression" dxfId="84" priority="240">
      <formula>B151=B8</formula>
    </cfRule>
  </conditionalFormatting>
  <conditionalFormatting sqref="G8:N8">
    <cfRule type="expression" dxfId="83" priority="241">
      <formula>G152=G8</formula>
    </cfRule>
  </conditionalFormatting>
  <conditionalFormatting sqref="G163:N163">
    <cfRule type="expression" dxfId="82" priority="96">
      <formula>G162=G163</formula>
    </cfRule>
  </conditionalFormatting>
  <conditionalFormatting sqref="B163:F163">
    <cfRule type="expression" dxfId="81" priority="95">
      <formula>B162=B163</formula>
    </cfRule>
  </conditionalFormatting>
  <conditionalFormatting sqref="G164:N164">
    <cfRule type="expression" dxfId="80" priority="94">
      <formula>G163=G164</formula>
    </cfRule>
  </conditionalFormatting>
  <conditionalFormatting sqref="B164:F164">
    <cfRule type="expression" dxfId="79" priority="93">
      <formula>B163=B164</formula>
    </cfRule>
  </conditionalFormatting>
  <conditionalFormatting sqref="G154:N154">
    <cfRule type="expression" dxfId="78" priority="90">
      <formula>G153=G154</formula>
    </cfRule>
  </conditionalFormatting>
  <conditionalFormatting sqref="B154:F154">
    <cfRule type="expression" dxfId="77" priority="89">
      <formula>B153=B154</formula>
    </cfRule>
  </conditionalFormatting>
  <conditionalFormatting sqref="G155:N155">
    <cfRule type="expression" dxfId="76" priority="88">
      <formula>G154=G155</formula>
    </cfRule>
  </conditionalFormatting>
  <conditionalFormatting sqref="B155:F155">
    <cfRule type="expression" dxfId="75" priority="87">
      <formula>B154=B155</formula>
    </cfRule>
  </conditionalFormatting>
  <conditionalFormatting sqref="G156:N156">
    <cfRule type="expression" dxfId="74" priority="86">
      <formula>G155=G156</formula>
    </cfRule>
  </conditionalFormatting>
  <conditionalFormatting sqref="B156:F156">
    <cfRule type="expression" dxfId="73" priority="85">
      <formula>B155=B156</formula>
    </cfRule>
  </conditionalFormatting>
  <conditionalFormatting sqref="G157:N157">
    <cfRule type="expression" dxfId="72" priority="84">
      <formula>G156=G157</formula>
    </cfRule>
  </conditionalFormatting>
  <conditionalFormatting sqref="B157:F157">
    <cfRule type="expression" dxfId="71" priority="83">
      <formula>B156=B157</formula>
    </cfRule>
  </conditionalFormatting>
  <conditionalFormatting sqref="G79:N79 B180:N180">
    <cfRule type="expression" dxfId="70" priority="243">
      <formula>B72=B79</formula>
    </cfRule>
  </conditionalFormatting>
  <conditionalFormatting sqref="B79:F80">
    <cfRule type="expression" dxfId="69" priority="246">
      <formula>B71=B79</formula>
    </cfRule>
  </conditionalFormatting>
  <conditionalFormatting sqref="G73:N78">
    <cfRule type="expression" dxfId="68" priority="79">
      <formula>G72=G73</formula>
    </cfRule>
  </conditionalFormatting>
  <conditionalFormatting sqref="B73:F78">
    <cfRule type="expression" dxfId="67" priority="80">
      <formula>B71=B73</formula>
    </cfRule>
  </conditionalFormatting>
  <conditionalFormatting sqref="G158:N158">
    <cfRule type="expression" dxfId="66" priority="75">
      <formula>G157=G158</formula>
    </cfRule>
  </conditionalFormatting>
  <conditionalFormatting sqref="B158:F158">
    <cfRule type="expression" dxfId="65" priority="74">
      <formula>B157=B158</formula>
    </cfRule>
  </conditionalFormatting>
  <conditionalFormatting sqref="B179:N179">
    <cfRule type="expression" dxfId="64" priority="247">
      <formula>B201=B179</formula>
    </cfRule>
  </conditionalFormatting>
  <conditionalFormatting sqref="B174:N178">
    <cfRule type="expression" dxfId="63" priority="249">
      <formula>B195=B174</formula>
    </cfRule>
  </conditionalFormatting>
  <conditionalFormatting sqref="G165:N165">
    <cfRule type="expression" dxfId="62" priority="73">
      <formula>G164=G165</formula>
    </cfRule>
  </conditionalFormatting>
  <conditionalFormatting sqref="B165:F165">
    <cfRule type="expression" dxfId="61" priority="72">
      <formula>B164=B165</formula>
    </cfRule>
  </conditionalFormatting>
  <conditionalFormatting sqref="B224:N224">
    <cfRule type="expression" dxfId="60" priority="61">
      <formula>B208=B224</formula>
    </cfRule>
  </conditionalFormatting>
  <conditionalFormatting sqref="B208:F208">
    <cfRule type="expression" dxfId="59" priority="64">
      <formula>B207=B208</formula>
    </cfRule>
  </conditionalFormatting>
  <conditionalFormatting sqref="G208:N208">
    <cfRule type="expression" dxfId="58" priority="65">
      <formula>G207=G208</formula>
    </cfRule>
  </conditionalFormatting>
  <conditionalFormatting sqref="B202:N205">
    <cfRule type="expression" dxfId="57" priority="57">
      <formula>B201=B202</formula>
    </cfRule>
  </conditionalFormatting>
  <conditionalFormatting sqref="B206:N206">
    <cfRule type="expression" dxfId="56" priority="56">
      <formula>B205=B206</formula>
    </cfRule>
  </conditionalFormatting>
  <conditionalFormatting sqref="B209:F209">
    <cfRule type="expression" dxfId="55" priority="54">
      <formula>B208=B209</formula>
    </cfRule>
  </conditionalFormatting>
  <conditionalFormatting sqref="G209:N209">
    <cfRule type="expression" dxfId="54" priority="55">
      <formula>G208=G209</formula>
    </cfRule>
  </conditionalFormatting>
  <conditionalFormatting sqref="B210:F210">
    <cfRule type="expression" dxfId="53" priority="52">
      <formula>B209=B210</formula>
    </cfRule>
  </conditionalFormatting>
  <conditionalFormatting sqref="G210:N210">
    <cfRule type="expression" dxfId="52" priority="53">
      <formula>G209=G210</formula>
    </cfRule>
  </conditionalFormatting>
  <conditionalFormatting sqref="B211:F211">
    <cfRule type="expression" dxfId="51" priority="50">
      <formula>B210=B211</formula>
    </cfRule>
  </conditionalFormatting>
  <conditionalFormatting sqref="G211:N211">
    <cfRule type="expression" dxfId="50" priority="51">
      <formula>G210=G211</formula>
    </cfRule>
  </conditionalFormatting>
  <conditionalFormatting sqref="B212:F212">
    <cfRule type="expression" dxfId="49" priority="48">
      <formula>B211=B212</formula>
    </cfRule>
  </conditionalFormatting>
  <conditionalFormatting sqref="G212:N212">
    <cfRule type="expression" dxfId="48" priority="49">
      <formula>G211=G212</formula>
    </cfRule>
  </conditionalFormatting>
  <conditionalFormatting sqref="B213:F213">
    <cfRule type="expression" dxfId="47" priority="46">
      <formula>B212=B213</formula>
    </cfRule>
  </conditionalFormatting>
  <conditionalFormatting sqref="G213:N213">
    <cfRule type="expression" dxfId="46" priority="47">
      <formula>G212=G213</formula>
    </cfRule>
  </conditionalFormatting>
  <conditionalFormatting sqref="B214:F214">
    <cfRule type="expression" dxfId="45" priority="44">
      <formula>B213=B214</formula>
    </cfRule>
  </conditionalFormatting>
  <conditionalFormatting sqref="G214:N214">
    <cfRule type="expression" dxfId="44" priority="45">
      <formula>G213=G214</formula>
    </cfRule>
  </conditionalFormatting>
  <conditionalFormatting sqref="B215:F215">
    <cfRule type="expression" dxfId="43" priority="42">
      <formula>B214=B215</formula>
    </cfRule>
  </conditionalFormatting>
  <conditionalFormatting sqref="G215:N215">
    <cfRule type="expression" dxfId="42" priority="43">
      <formula>G214=G215</formula>
    </cfRule>
  </conditionalFormatting>
  <conditionalFormatting sqref="B216:F216">
    <cfRule type="expression" dxfId="41" priority="40">
      <formula>B215=B216</formula>
    </cfRule>
  </conditionalFormatting>
  <conditionalFormatting sqref="G216:N216">
    <cfRule type="expression" dxfId="40" priority="41">
      <formula>G215=G216</formula>
    </cfRule>
  </conditionalFormatting>
  <conditionalFormatting sqref="B217:F217">
    <cfRule type="expression" dxfId="39" priority="38">
      <formula>B216=B217</formula>
    </cfRule>
  </conditionalFormatting>
  <conditionalFormatting sqref="G217:N217">
    <cfRule type="expression" dxfId="38" priority="39">
      <formula>G216=G217</formula>
    </cfRule>
  </conditionalFormatting>
  <conditionalFormatting sqref="B218:F219">
    <cfRule type="expression" dxfId="37" priority="36">
      <formula>B217=B218</formula>
    </cfRule>
  </conditionalFormatting>
  <conditionalFormatting sqref="G218:N219">
    <cfRule type="expression" dxfId="36" priority="37">
      <formula>G217=G218</formula>
    </cfRule>
  </conditionalFormatting>
  <conditionalFormatting sqref="B220:F220">
    <cfRule type="expression" dxfId="35" priority="34">
      <formula>B219=B220</formula>
    </cfRule>
  </conditionalFormatting>
  <conditionalFormatting sqref="G220:N220">
    <cfRule type="expression" dxfId="34" priority="35">
      <formula>G219=G220</formula>
    </cfRule>
  </conditionalFormatting>
  <conditionalFormatting sqref="B221:F221">
    <cfRule type="expression" dxfId="33" priority="32">
      <formula>B220=B221</formula>
    </cfRule>
  </conditionalFormatting>
  <conditionalFormatting sqref="G221:N221">
    <cfRule type="expression" dxfId="32" priority="33">
      <formula>G220=G221</formula>
    </cfRule>
  </conditionalFormatting>
  <conditionalFormatting sqref="B222:F222">
    <cfRule type="expression" dxfId="31" priority="30">
      <formula>B221=B222</formula>
    </cfRule>
  </conditionalFormatting>
  <conditionalFormatting sqref="G222:N222">
    <cfRule type="expression" dxfId="30" priority="31">
      <formula>G221=G222</formula>
    </cfRule>
  </conditionalFormatting>
  <conditionalFormatting sqref="B223:F223">
    <cfRule type="expression" dxfId="29" priority="28">
      <formula>B222=B223</formula>
    </cfRule>
  </conditionalFormatting>
  <conditionalFormatting sqref="G223:N223">
    <cfRule type="expression" dxfId="28" priority="29">
      <formula>G222=G223</formula>
    </cfRule>
  </conditionalFormatting>
  <conditionalFormatting sqref="B225:N225">
    <cfRule type="expression" dxfId="27" priority="27">
      <formula>B209=B225</formula>
    </cfRule>
  </conditionalFormatting>
  <conditionalFormatting sqref="B249:N249">
    <cfRule type="expression" dxfId="26" priority="250">
      <formula>B226=B249</formula>
    </cfRule>
  </conditionalFormatting>
  <conditionalFormatting sqref="B234:N234">
    <cfRule type="expression" dxfId="25" priority="23">
      <formula>B233=B234</formula>
    </cfRule>
  </conditionalFormatting>
  <conditionalFormatting sqref="B232:N232">
    <cfRule type="expression" dxfId="24" priority="22">
      <formula>B231=B232</formula>
    </cfRule>
  </conditionalFormatting>
  <conditionalFormatting sqref="B237:N237">
    <cfRule type="expression" dxfId="23" priority="19">
      <formula>B216=B237</formula>
    </cfRule>
  </conditionalFormatting>
  <conditionalFormatting sqref="B238:N238">
    <cfRule type="expression" dxfId="22" priority="13">
      <formula>B237=B238</formula>
    </cfRule>
  </conditionalFormatting>
  <conditionalFormatting sqref="B239:N240">
    <cfRule type="expression" dxfId="21" priority="9">
      <formula>B238=B239</formula>
    </cfRule>
  </conditionalFormatting>
  <conditionalFormatting sqref="B235:N235">
    <cfRule type="expression" dxfId="20" priority="8">
      <formula>B234=B235</formula>
    </cfRule>
  </conditionalFormatting>
  <conditionalFormatting sqref="B236:N236">
    <cfRule type="expression" dxfId="19" priority="7">
      <formula>B235=B236</formula>
    </cfRule>
  </conditionalFormatting>
  <conditionalFormatting sqref="B243:N243">
    <cfRule type="expression" dxfId="18" priority="4">
      <formula>B242=B243</formula>
    </cfRule>
  </conditionalFormatting>
  <conditionalFormatting sqref="B246:N246">
    <cfRule type="expression" dxfId="17" priority="3">
      <formula>B245=B246</formula>
    </cfRule>
  </conditionalFormatting>
  <conditionalFormatting sqref="B248:N248">
    <cfRule type="expression" dxfId="16" priority="1">
      <formula>B247=B248</formula>
    </cfRule>
  </conditionalFormatting>
  <conditionalFormatting sqref="B247:N247">
    <cfRule type="expression" dxfId="15" priority="2">
      <formula>B245=B247</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60:AD160" location="患者ID一覧マスタ!A1" display="患者ID一覧マスタ"/>
    <hyperlink ref="P207:AD207" location="ワーク_患者基本データ!A1" display="ワーク_患者基本データ"/>
    <hyperlink ref="P161:AD161" location="施設マスタ!A1" display="施設マスタ"/>
    <hyperlink ref="P159:AD159"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62:AD162" location="患者マスタ!A1" display="患者マスタ"/>
    <hyperlink ref="P166:AD166" location="診療行為マスタ!A1" display="診療行為マスタ"/>
    <hyperlink ref="P168:AD168"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163:AD163" location="疾患マスタ!A1" display="疾患マスタ"/>
    <hyperlink ref="P164:AD164" location="薬剤マスタ!A1" display="薬剤マスタ"/>
    <hyperlink ref="P154:AD154" location="組入れ_対象疾患!A1" display="組入れ_対象疾患"/>
    <hyperlink ref="P155:AD155" location="組入れ_対象診療行為!A1" display="組入れ_対象診療行為"/>
    <hyperlink ref="P156:AD156" location="組入れ_検体検査マスタ!A1" display="組入れ_検体検査マスタ"/>
    <hyperlink ref="P157:AD157" location="組入れ_対象検体検査!A1" display="組入れ_対象検体検査"/>
    <hyperlink ref="P153:AD153" location="組入れ_対象施設!A1" display="組入れ_対象施設"/>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202:AD202" location="ベース_検歴情報モジュール_検歴項目情報!A1" display="ベース_検歴情報モジュール_検歴項目情報"/>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58:AD158" location="組入れ_対象検体検査_対象患者!A1" display="組入れ_対象検体検査_対象患者"/>
    <hyperlink ref="P167:AD167" location="ベース_処方データ!A1" display="ベース_処方データ"/>
    <hyperlink ref="P165:AD165" location="検体検査マスタ!A1" display="検体検査マスタ"/>
    <hyperlink ref="P208:AD208" location="ワーク_疾患データ!A1" display="ワーク_疾患データ"/>
    <hyperlink ref="P203:AD203" location="ベース_バイタルサインモジュール_バイタルサイン!A1" display="ベース_バイタルサインモジュール_バイタルサイン"/>
    <hyperlink ref="P204:AD204" location="ベース_バイタルサインモジュール_記録項目!A1" display="ベース_バイタルサインモジュール_記録項目"/>
    <hyperlink ref="P205:AD205" location="ベース_体温表モジュール_バイタルサイン!A1" display="ベース_体温表モジュール_バイタルサイン"/>
    <hyperlink ref="P206:AD206" location="ベース_体温表モジュール_記録項目!A1" display="ベース_体温表モジュール_記録項目"/>
    <hyperlink ref="P209:AD209" location="ワーク_入院退院_DPC!A1" display="ワーク_入院退院_DPC"/>
    <hyperlink ref="P210:AD210" location="ワーク_入院退院_MML!A1" display="ワーク_入院退院_MML"/>
    <hyperlink ref="P211:AD211" location="ワーク_入院退院!A1" display="ワーク_入院退院"/>
    <hyperlink ref="P212:AD212" location="ワーク_外来_DPC!A1" display="ワーク_外来_DPC"/>
    <hyperlink ref="P213:AD213" location="ワーク_外来_MML!A1" display="ワーク_外来_MML"/>
    <hyperlink ref="P214:AD214" location="ワーク_外来!A1" display="ワーク_外来"/>
    <hyperlink ref="P215:AD215" location="ワーク_処方データ!A1" display="ワーク_処方データ"/>
    <hyperlink ref="P216:AD216" location="ワーク_診療行為データ!A1" display="ワーク_診療行為データ"/>
    <hyperlink ref="P217:AD217" location="ワーク_検体検査データ_スキーマ2!A1" display="ワーク_検体検査データ_スキーマ2"/>
    <hyperlink ref="P218:AD218" location="ワーク_検体検査データ_スキーマ4!A1" display="ワーク_検体検査データ_スキーマ4"/>
    <hyperlink ref="P219:AD219" location="ワーク_検体検査データ!A1" display="ワーク_検体検査データ"/>
    <hyperlink ref="P223:AD223" location="ワーク_テキスト情報_一時!A1" display="ワーク_テキスト情報_一時"/>
    <hyperlink ref="P224:AD224" location="ワーク_テキスト情報!A1" display="ワーク_テキスト情報"/>
    <hyperlink ref="P220:AD220" location="ワーク_身長体重データ_DPC!A1" display="ワーク_身長体重データ_DPC"/>
    <hyperlink ref="P221:AD221" location="ワーク_身長体重データ_MML!A1" display="ワーク_身長体重データ_MML"/>
    <hyperlink ref="P222:AD222" location="ワーク_身長体重データ!A1" display="ワーク_身長体重データ"/>
    <hyperlink ref="P225:AD225" location="ワーク_観察期間!A1" display="ワーク_観察期間"/>
    <hyperlink ref="P226:AD226" location="セレクト_患者基本データ!A1" display="セレクト_患者基本データ"/>
    <hyperlink ref="P227:AD227" location="セレクト_併発疾患データ!A1" display="セレクト_併発疾患データ"/>
    <hyperlink ref="P228:AD228" location="セレクト_入院外来データ!A1" display="セレクト_入院外来データ"/>
    <hyperlink ref="P229:AD229" location="セレクト_薬剤データ!A1" display="セレクト_薬剤データ"/>
    <hyperlink ref="P230:AD230" location="セレクト_検査データ!A1" display="セレクト_検査データ"/>
    <hyperlink ref="P231:AD231" location="セレクト_検査データ_統計量抽出用!A1" display="セレクト_検査データ_統計量抽出用"/>
    <hyperlink ref="P234:AD234" location="ステップ1報告_患者区分!A1" display="ステップ1報告_患者区分"/>
    <hyperlink ref="P232:AD232" location="セレクト_診療行為データ!A1" display="セレクト_診療行為データ"/>
    <hyperlink ref="P237:AD237" location="匿名化_患者情報!A1" display="匿名化_患者情報"/>
    <hyperlink ref="P238:AD238" location="匿名化_併発疾患情報!A1" display="匿名化_併発疾患情報"/>
    <hyperlink ref="P239:AD239" location="匿名化_染色体情報!A1" display="匿名化_染色体情報"/>
    <hyperlink ref="P244:AD244" location="匿名化_匿名加工前データ!A1" display="匿名化_匿名加工前データ"/>
    <hyperlink ref="P242:AD242" location="匿名化_日付情報!A1" display="匿名化_日付情報"/>
    <hyperlink ref="P240:AD240" location="匿名化_検査値情報!A1" display="匿名化_検査値情報"/>
    <hyperlink ref="P241:AD241" location="匿名化_診療行為情報!A1" display="匿名化_診療行為情報"/>
    <hyperlink ref="P233:AD233" location="セレクト_入院外来サマリ!A1" display="セレクト_入院外来サマリ"/>
    <hyperlink ref="P235:AD235" location="ステップ1報告_疾患データ!A1" display="ステップ1報告_疾患データ"/>
    <hyperlink ref="P236:AD236" location="ステップ1報告_染色体情報!A1" display="ステップ1報告_染色体情報"/>
    <hyperlink ref="P245:AD245" location="匿名化_未加工データ!A1" display="匿名化_未加工データ"/>
    <hyperlink ref="P243:AD243" location="匿名化_日付情報!A1" display="匿名化_日付情報"/>
    <hyperlink ref="P246:AD246" location="匿名化_併発疾患情報2!A1" display="匿名化_併発疾患情報2"/>
    <hyperlink ref="P247:AD247" location="匿名化_匿名加工前データ!A1" display="匿名化_匿名加工前データ"/>
    <hyperlink ref="P248:AD248" location="匿名化_未加工データ!A1" display="匿名化_未加工データ"/>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49:F249" numberStoredAsText="1"/>
    <ignoredError sqref="B234 O234" formula="1"/>
  </ignoredErrors>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ENT_01_01</v>
      </c>
      <c r="E6" s="273"/>
      <c r="F6" s="273"/>
      <c r="G6" s="273"/>
      <c r="H6" s="273"/>
      <c r="I6" s="273"/>
      <c r="J6" s="274"/>
    </row>
    <row r="7" spans="1:45">
      <c r="B7" s="262" t="s">
        <v>115</v>
      </c>
      <c r="C7" s="263"/>
      <c r="D7" s="264" t="s">
        <v>3787</v>
      </c>
      <c r="E7" s="265"/>
      <c r="F7" s="265"/>
      <c r="G7" s="265"/>
      <c r="H7" s="265"/>
      <c r="I7" s="265"/>
      <c r="J7" s="266"/>
    </row>
    <row r="8" spans="1:45">
      <c r="B8" s="262" t="s">
        <v>116</v>
      </c>
      <c r="C8" s="263"/>
      <c r="D8" s="264" t="str">
        <f>エンティティ一覧!AE2&amp;"_"&amp;D5&amp;"_shikkan_first_criteria"</f>
        <v>sny_202310_backup_shikkan_first_criteria</v>
      </c>
      <c r="E8" s="265"/>
      <c r="F8" s="265"/>
      <c r="G8" s="265"/>
      <c r="H8" s="265"/>
      <c r="I8" s="265"/>
      <c r="J8" s="266"/>
    </row>
    <row r="9" spans="1:45" ht="19.5" customHeight="1" thickBot="1">
      <c r="B9" s="267" t="s">
        <v>117</v>
      </c>
      <c r="C9" s="268"/>
      <c r="D9" s="269" t="s">
        <v>3788</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milscm_2023_009.sny_202310_backup_shikkan_first_criteria;</v>
      </c>
      <c r="O10" s="76"/>
      <c r="P10" s="76"/>
      <c r="Q10" s="76"/>
      <c r="R10" s="76"/>
      <c r="S10" s="76"/>
      <c r="T10" s="76"/>
      <c r="AJ10" s="76" t="str">
        <f>"ALTER TABLE ONLY "&amp;エンティティ一覧!$O$2&amp;"."&amp;D$8</f>
        <v>ALTER TABLE ONLY milscm_2023_009.sny_202310_backup_shikkan_first_criteria</v>
      </c>
      <c r="AS10" s="76" t="str">
        <f>"ALTER TABLE "&amp;エンティティ一覧!$O$2&amp;"."&amp;D$8&amp;" OWNER TO pgmisgrp1;"</f>
        <v>ALTER TABLE milscm_2023_009.sny_202310_backup_shikkan_first_criteria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milscm_2023_009.sny_202310_backup_shikkan_first_criteria</v>
      </c>
      <c r="O11" s="76"/>
      <c r="P11" s="76"/>
      <c r="Q11" s="76"/>
      <c r="R11" s="76"/>
      <c r="S11" s="76"/>
      <c r="T11" s="76"/>
      <c r="AJ11" s="76" t="str">
        <f>"ADD CONSTRAINT "&amp;D$8&amp;"_pkey PRIMARY KEY"</f>
        <v>ADD CONSTRAINT sny_202310_backup_shikkan_first_criteria_pkey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865</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1245</v>
      </c>
      <c r="D14" s="6" t="s">
        <v>1246</v>
      </c>
      <c r="E14" s="8" t="s">
        <v>127</v>
      </c>
      <c r="F14" s="7" t="s">
        <v>865</v>
      </c>
      <c r="G14" s="7" t="str">
        <f t="shared" ref="G14:G15" si="3">IF(F14="フラグ","boolean",IF(F14="文字列","text",IF(F14="整数","integer",IF(F14="実数","numeric",""))))</f>
        <v>text</v>
      </c>
      <c r="H14" s="26"/>
      <c r="I14" s="10" t="s">
        <v>127</v>
      </c>
      <c r="J14" s="11"/>
      <c r="M14" s="4"/>
      <c r="N14" s="76"/>
      <c r="O14" s="76"/>
      <c r="P14" s="76" t="str">
        <f t="shared" ref="P14:P16" si="4">IF(B14&lt;&gt;1,","&amp;D14,D14)</f>
        <v>,master_id</v>
      </c>
      <c r="Q14" s="76" t="str">
        <f t="shared" si="0"/>
        <v>TEXT</v>
      </c>
      <c r="R14" s="76" t="str">
        <f t="shared" si="1"/>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1321</v>
      </c>
      <c r="D15" s="13" t="s">
        <v>1322</v>
      </c>
      <c r="E15" s="7" t="s">
        <v>127</v>
      </c>
      <c r="F15" s="7" t="s">
        <v>865</v>
      </c>
      <c r="G15" s="7" t="str">
        <f t="shared" si="3"/>
        <v>text</v>
      </c>
      <c r="H15" s="58"/>
      <c r="I15" s="23" t="s">
        <v>127</v>
      </c>
      <c r="J15" s="24"/>
      <c r="M15" s="4"/>
      <c r="N15" s="76"/>
      <c r="O15" s="76"/>
      <c r="P15" s="76" t="str">
        <f t="shared" si="4"/>
        <v>,byomei</v>
      </c>
      <c r="Q15" s="76" t="str">
        <f t="shared" si="0"/>
        <v>TEXT</v>
      </c>
      <c r="R15" s="76" t="str">
        <f t="shared" si="1"/>
        <v/>
      </c>
      <c r="S15" s="76" t="str">
        <f t="shared" ref="S15:S16" si="5">IF(I15="○","NOT NULL","")</f>
        <v>NOT NULL</v>
      </c>
      <c r="T15" s="76" t="str">
        <f t="shared" ref="T15:T16" si="6">"--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milscm_2023_009.sny_202310_backup_shikkan_first_criteria.byomei IS '病名';</v>
      </c>
    </row>
    <row r="16" spans="1:45" s="25" customFormat="1" ht="19.5" thickBot="1">
      <c r="A16" s="4"/>
      <c r="B16" s="27">
        <f>ROW()-12</f>
        <v>4</v>
      </c>
      <c r="C16" s="57" t="s">
        <v>1323</v>
      </c>
      <c r="D16" s="57" t="s">
        <v>1324</v>
      </c>
      <c r="E16" s="56" t="s">
        <v>127</v>
      </c>
      <c r="F16" s="56" t="s">
        <v>865</v>
      </c>
      <c r="G16" s="56" t="s">
        <v>57</v>
      </c>
      <c r="H16" s="59"/>
      <c r="I16" s="60" t="s">
        <v>127</v>
      </c>
      <c r="J16" s="64"/>
      <c r="N16" s="76"/>
      <c r="O16" s="76"/>
      <c r="P16" s="76" t="str">
        <f t="shared" si="4"/>
        <v>,byomei_code</v>
      </c>
      <c r="Q16" s="76" t="str">
        <f t="shared" si="0"/>
        <v>TEXT</v>
      </c>
      <c r="R16" s="76" t="str">
        <f t="shared" si="1"/>
        <v/>
      </c>
      <c r="S16" s="76" t="str">
        <f t="shared" si="5"/>
        <v>NOT NULL</v>
      </c>
      <c r="T16" s="76" t="str">
        <f t="shared" si="6"/>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milscm_2023_009.sny_202310_backup_shikkan_first_criteria.byomei_code IS '病名コード値';</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ENT_01_02</v>
      </c>
      <c r="E6" s="273"/>
      <c r="F6" s="273"/>
      <c r="G6" s="273"/>
      <c r="H6" s="273"/>
      <c r="I6" s="273"/>
      <c r="J6" s="274"/>
    </row>
    <row r="7" spans="1:45">
      <c r="B7" s="262" t="s">
        <v>115</v>
      </c>
      <c r="C7" s="263"/>
      <c r="D7" s="264" t="s">
        <v>3675</v>
      </c>
      <c r="E7" s="265"/>
      <c r="F7" s="265"/>
      <c r="G7" s="265"/>
      <c r="H7" s="265"/>
      <c r="I7" s="265"/>
      <c r="J7" s="266"/>
    </row>
    <row r="8" spans="1:45">
      <c r="B8" s="262" t="s">
        <v>116</v>
      </c>
      <c r="C8" s="263"/>
      <c r="D8" s="264" t="str">
        <f>エンティティ一覧!AE2&amp;"_"&amp;D5&amp;"_kanja_first_criteria"</f>
        <v>sny_202310_backup_kanja_first_criteria</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milscm_2023_009.sny_202310_backup_kanja_first_criteria;</v>
      </c>
      <c r="O10" s="76"/>
      <c r="P10" s="76"/>
      <c r="Q10" s="76"/>
      <c r="R10" s="76"/>
      <c r="S10" s="76"/>
      <c r="T10" s="76"/>
      <c r="AJ10" s="76" t="str">
        <f>"ALTER TABLE ONLY "&amp;エンティティ一覧!$O$2&amp;"."&amp;D$8</f>
        <v>ALTER TABLE ONLY milscm_2023_009.sny_202310_backup_kanja_first_criteria</v>
      </c>
      <c r="AS10" s="76" t="str">
        <f>"ALTER TABLE "&amp;エンティティ一覧!$O$2&amp;"."&amp;D$8&amp;" OWNER TO pgmisgrp1;"</f>
        <v>ALTER TABLE milscm_2023_009.sny_202310_backup_kanja_first_criteria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milscm_2023_009.sny_202310_backup_kanja_first_criteria</v>
      </c>
      <c r="O11" s="76"/>
      <c r="P11" s="76"/>
      <c r="Q11" s="76"/>
      <c r="R11" s="76"/>
      <c r="S11" s="76"/>
      <c r="T11" s="76"/>
      <c r="AJ11" s="76" t="str">
        <f>"ADD CONSTRAINT "&amp;D$8&amp;"_pkey PRIMARY KEY"</f>
        <v>ADD CONSTRAINT sny_202310_backup_kanja_first_criteria_pkey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1843</v>
      </c>
      <c r="D13" s="6" t="s">
        <v>128</v>
      </c>
      <c r="E13" s="8" t="s">
        <v>127</v>
      </c>
      <c r="F13" s="8" t="s">
        <v>1828</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2787</v>
      </c>
      <c r="D14" s="6" t="s">
        <v>2403</v>
      </c>
      <c r="E14" s="8"/>
      <c r="F14" s="7" t="s">
        <v>1821</v>
      </c>
      <c r="G14" s="7" t="str">
        <f t="shared" ref="G14" si="3">IF(F14="フラグ","boolean",IF(F14="文字列","text",IF(F14="整数","integer",IF(F14="実数","numeric",""))))</f>
        <v>text</v>
      </c>
      <c r="H14" s="26"/>
      <c r="I14" s="10" t="s">
        <v>127</v>
      </c>
      <c r="J14" s="11" t="s">
        <v>2793</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1844</v>
      </c>
      <c r="D15" s="6" t="s">
        <v>1845</v>
      </c>
      <c r="E15" s="8" t="s">
        <v>127</v>
      </c>
      <c r="F15" s="7" t="s">
        <v>1828</v>
      </c>
      <c r="G15" s="7" t="str">
        <f t="shared" ref="G15:G17" si="8">IF(F15="フラグ","boolean",IF(F15="文字列","text",IF(F15="整数","integer",IF(F15="実数","numeric",""))))</f>
        <v>text</v>
      </c>
      <c r="H15" s="26"/>
      <c r="I15" s="10" t="s">
        <v>127</v>
      </c>
      <c r="J15" s="11" t="s">
        <v>1846</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1820</v>
      </c>
      <c r="D16" s="6" t="s">
        <v>208</v>
      </c>
      <c r="E16" s="8" t="s">
        <v>127</v>
      </c>
      <c r="F16" s="7" t="s">
        <v>1821</v>
      </c>
      <c r="G16" s="7" t="str">
        <f t="shared" si="8"/>
        <v>text</v>
      </c>
      <c r="H16" s="26"/>
      <c r="I16" s="10" t="s">
        <v>127</v>
      </c>
      <c r="J16" s="11" t="s">
        <v>1824</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milscm_2023_009.sny_202310_backup_kanja_first_criteria.data_type IS 'データ種別';</v>
      </c>
    </row>
    <row r="17" spans="1:52" s="25" customFormat="1" ht="19.5" thickBot="1">
      <c r="A17" s="4"/>
      <c r="B17" s="27">
        <f>ROW()-12</f>
        <v>5</v>
      </c>
      <c r="C17" s="57" t="s">
        <v>1822</v>
      </c>
      <c r="D17" s="57" t="s">
        <v>1823</v>
      </c>
      <c r="E17" s="56" t="s">
        <v>127</v>
      </c>
      <c r="F17" s="56" t="s">
        <v>1737</v>
      </c>
      <c r="G17" s="56" t="str">
        <f t="shared" si="8"/>
        <v>text</v>
      </c>
      <c r="H17" s="59"/>
      <c r="I17" s="60" t="s">
        <v>127</v>
      </c>
      <c r="J17" s="64"/>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ENT_01_A1-02</v>
      </c>
      <c r="E6" s="273"/>
      <c r="F6" s="273"/>
      <c r="G6" s="273"/>
      <c r="H6" s="273"/>
      <c r="I6" s="273"/>
      <c r="J6" s="274"/>
    </row>
    <row r="7" spans="1:45">
      <c r="B7" s="262" t="s">
        <v>115</v>
      </c>
      <c r="C7" s="263"/>
      <c r="D7" s="264" t="s">
        <v>1735</v>
      </c>
      <c r="E7" s="265"/>
      <c r="F7" s="265"/>
      <c r="G7" s="265"/>
      <c r="H7" s="265"/>
      <c r="I7" s="265"/>
      <c r="J7" s="266"/>
    </row>
    <row r="8" spans="1:45">
      <c r="B8" s="262" t="s">
        <v>116</v>
      </c>
      <c r="C8" s="263"/>
      <c r="D8" s="264" t="str">
        <f>エンティティ一覧!AE2&amp;"_"&amp;D5&amp;"_mart_shohou"</f>
        <v>sny_202310_backup_mart_shohou</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処方データテーブルから組入れ条件の第一条件で絞り込んだ結果を格納するテーブル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milscm_2023_009.sny_202310_backup_mart_shohou;</v>
      </c>
      <c r="O10" s="76"/>
      <c r="P10" s="76"/>
      <c r="Q10" s="76"/>
      <c r="R10" s="76"/>
      <c r="S10" s="76"/>
      <c r="T10" s="76"/>
      <c r="AJ10" s="76" t="str">
        <f>"ALTER TABLE ONLY "&amp;エンティティ一覧!$O$2&amp;"."&amp;D$8</f>
        <v>ALTER TABLE ONLY milscm_2023_009.sny_202310_backup_mart_shohou</v>
      </c>
      <c r="AS10" s="76" t="str">
        <f>"ALTER TABLE "&amp;エンティティ一覧!$O$2&amp;"."&amp;D$8&amp;" OWNER TO pgmisgrp1;"</f>
        <v>ALTER TABLE milscm_2023_009.sny_202310_backup_mart_shohou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milscm_2023_009.sny_202310_backup_mart_shohou</v>
      </c>
      <c r="O11" s="76"/>
      <c r="P11" s="76"/>
      <c r="Q11" s="76"/>
      <c r="R11" s="76"/>
      <c r="S11" s="76"/>
      <c r="T11" s="76"/>
      <c r="AJ11" s="76" t="str">
        <f>"ADD CONSTRAINT "&amp;D$8&amp;"_pkey PRIMARY KEY"</f>
        <v>ADD CONSTRAINT sny_202310_backup_mart_shohou_pkey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milscm_2023_009.sny_202310_backup_mart_shohou IS 'バックアップ_処方データ';</v>
      </c>
    </row>
    <row r="13" spans="1:45" s="25" customFormat="1">
      <c r="A13" s="4"/>
      <c r="B13" s="21">
        <f>ROW()-12</f>
        <v>1</v>
      </c>
      <c r="C13" s="6" t="s">
        <v>1736</v>
      </c>
      <c r="D13" s="6" t="s">
        <v>210</v>
      </c>
      <c r="E13" s="8" t="s">
        <v>127</v>
      </c>
      <c r="F13" s="8" t="s">
        <v>1737</v>
      </c>
      <c r="G13" s="7" t="str">
        <f>IF(F13="フラグ","boolean",IF(F13="文字列","text",IF(F13="整数","integer",IF(F13="実数","numeric",""))))</f>
        <v>text</v>
      </c>
      <c r="H13" s="9"/>
      <c r="I13" s="10" t="s">
        <v>127</v>
      </c>
      <c r="J13" s="11" t="s">
        <v>1756</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1737</v>
      </c>
      <c r="G14" s="7" t="str">
        <f t="shared" ref="G14:G32" si="3">IF(F14="フラグ","boolean",IF(F14="文字列","text",IF(F14="整数","integer",IF(F14="実数","numeric",""))))</f>
        <v>text</v>
      </c>
      <c r="H14" s="26"/>
      <c r="I14" s="10" t="s">
        <v>127</v>
      </c>
      <c r="J14" s="11" t="s">
        <v>1756</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milscm_2023_009.sny_202310_backup_mart_shohou.facility_id IS '施設ID';</v>
      </c>
    </row>
    <row r="15" spans="1:45" s="25" customFormat="1">
      <c r="A15" s="4"/>
      <c r="B15" s="21">
        <f t="shared" si="2"/>
        <v>3</v>
      </c>
      <c r="C15" s="13" t="s">
        <v>1738</v>
      </c>
      <c r="D15" s="13" t="s">
        <v>206</v>
      </c>
      <c r="E15" s="7" t="s">
        <v>127</v>
      </c>
      <c r="F15" s="7" t="s">
        <v>1737</v>
      </c>
      <c r="G15" s="7" t="str">
        <f t="shared" si="3"/>
        <v>text</v>
      </c>
      <c r="H15" s="58"/>
      <c r="I15" s="23" t="s">
        <v>127</v>
      </c>
      <c r="J15" s="24" t="s">
        <v>1756</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milscm_2023_009.sny_202310_backup_mart_shohou.shinryo_ym IS '診療年月';</v>
      </c>
    </row>
    <row r="16" spans="1:45" s="25" customFormat="1">
      <c r="A16" s="4"/>
      <c r="B16" s="21">
        <f t="shared" si="2"/>
        <v>4</v>
      </c>
      <c r="C16" s="13" t="s">
        <v>1739</v>
      </c>
      <c r="D16" s="13" t="s">
        <v>214</v>
      </c>
      <c r="E16" s="7" t="s">
        <v>127</v>
      </c>
      <c r="F16" s="7" t="s">
        <v>1737</v>
      </c>
      <c r="G16" s="7" t="str">
        <f t="shared" si="3"/>
        <v>text</v>
      </c>
      <c r="H16" s="58"/>
      <c r="I16" s="23" t="s">
        <v>127</v>
      </c>
      <c r="J16" s="24" t="s">
        <v>1756</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1740</v>
      </c>
      <c r="D17" s="13" t="s">
        <v>216</v>
      </c>
      <c r="E17" s="7" t="s">
        <v>127</v>
      </c>
      <c r="F17" s="7" t="s">
        <v>1737</v>
      </c>
      <c r="G17" s="7" t="str">
        <f t="shared" si="3"/>
        <v>text</v>
      </c>
      <c r="H17" s="58"/>
      <c r="I17" s="23" t="s">
        <v>127</v>
      </c>
      <c r="J17" s="24" t="s">
        <v>1756</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milscm_2023_009.sny_202310_backup_mart_shohou.junjo_no IS '順序番号';</v>
      </c>
    </row>
    <row r="18" spans="1:45" s="25" customFormat="1" ht="37.5">
      <c r="A18" s="4"/>
      <c r="B18" s="21">
        <f t="shared" si="2"/>
        <v>6</v>
      </c>
      <c r="C18" s="13" t="s">
        <v>1741</v>
      </c>
      <c r="D18" s="13" t="s">
        <v>153</v>
      </c>
      <c r="E18" s="7" t="s">
        <v>127</v>
      </c>
      <c r="F18" s="7" t="s">
        <v>1737</v>
      </c>
      <c r="G18" s="7" t="str">
        <f t="shared" si="3"/>
        <v>text</v>
      </c>
      <c r="H18" s="58"/>
      <c r="I18" s="23" t="s">
        <v>127</v>
      </c>
      <c r="J18" s="24" t="s">
        <v>1757</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milscm_2023_009.sny_202310_backup_mart_shohou.koi_meisai_no IS '行為明細番号';</v>
      </c>
    </row>
    <row r="19" spans="1:45" s="25" customFormat="1" ht="37.5">
      <c r="A19" s="4"/>
      <c r="B19" s="21">
        <f t="shared" si="2"/>
        <v>7</v>
      </c>
      <c r="C19" s="13" t="s">
        <v>145</v>
      </c>
      <c r="D19" s="13" t="s">
        <v>154</v>
      </c>
      <c r="E19" s="7"/>
      <c r="F19" s="7" t="s">
        <v>1737</v>
      </c>
      <c r="G19" s="7" t="str">
        <f t="shared" si="3"/>
        <v>text</v>
      </c>
      <c r="H19" s="58"/>
      <c r="I19" s="23"/>
      <c r="J19" s="24" t="s">
        <v>1758</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1742</v>
      </c>
      <c r="D20" s="13" t="s">
        <v>220</v>
      </c>
      <c r="E20" s="7"/>
      <c r="F20" s="7" t="s">
        <v>1737</v>
      </c>
      <c r="G20" s="7" t="str">
        <f t="shared" si="3"/>
        <v>text</v>
      </c>
      <c r="H20" s="58"/>
      <c r="I20" s="23"/>
      <c r="J20" s="24" t="s">
        <v>1756</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1743</v>
      </c>
      <c r="D21" s="13" t="s">
        <v>129</v>
      </c>
      <c r="E21" s="7"/>
      <c r="F21" s="7" t="s">
        <v>1744</v>
      </c>
      <c r="G21" s="7" t="str">
        <f t="shared" si="3"/>
        <v>numeric</v>
      </c>
      <c r="H21" s="58"/>
      <c r="I21" s="23"/>
      <c r="J21" s="24" t="s">
        <v>1756</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milscm_2023_009.sny_202310_backup_mart_shohou.shiyoryo IS '使用量';</v>
      </c>
    </row>
    <row r="22" spans="1:45" s="25" customFormat="1">
      <c r="A22" s="4"/>
      <c r="B22" s="21">
        <f t="shared" si="2"/>
        <v>10</v>
      </c>
      <c r="C22" s="13" t="s">
        <v>1745</v>
      </c>
      <c r="D22" s="13" t="s">
        <v>276</v>
      </c>
      <c r="E22" s="7"/>
      <c r="F22" s="7" t="s">
        <v>1737</v>
      </c>
      <c r="G22" s="7" t="str">
        <f t="shared" si="3"/>
        <v>text</v>
      </c>
      <c r="H22" s="58"/>
      <c r="I22" s="23"/>
      <c r="J22" s="24" t="s">
        <v>1756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milscm_2023_009.sny_202310_backup_mart_shohou.unit IS '基準単位';</v>
      </c>
    </row>
    <row r="23" spans="1:45" s="25" customFormat="1">
      <c r="A23" s="4"/>
      <c r="B23" s="21">
        <f t="shared" si="2"/>
        <v>11</v>
      </c>
      <c r="C23" s="13" t="s">
        <v>1746</v>
      </c>
      <c r="D23" s="13" t="s">
        <v>130</v>
      </c>
      <c r="E23" s="7"/>
      <c r="F23" s="7" t="s">
        <v>1744</v>
      </c>
      <c r="G23" s="7" t="str">
        <f t="shared" si="3"/>
        <v>numeric</v>
      </c>
      <c r="H23" s="58"/>
      <c r="I23" s="23"/>
      <c r="J23" s="24" t="s">
        <v>1756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milscm_2023_009.sny_202310_backup_mart_shohou.meisai_tensu IS '明細点数・金額';</v>
      </c>
    </row>
    <row r="24" spans="1:45" s="25" customFormat="1" ht="37.5">
      <c r="A24" s="4"/>
      <c r="B24" s="21">
        <f t="shared" si="2"/>
        <v>12</v>
      </c>
      <c r="C24" s="13" t="s">
        <v>1747</v>
      </c>
      <c r="D24" s="13" t="s">
        <v>131</v>
      </c>
      <c r="E24" s="7"/>
      <c r="F24" s="7" t="s">
        <v>1737</v>
      </c>
      <c r="G24" s="7" t="str">
        <f t="shared" si="3"/>
        <v>text</v>
      </c>
      <c r="H24" s="58"/>
      <c r="I24" s="23"/>
      <c r="J24" s="24" t="s">
        <v>1759</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milscm_2023_009.sny_202310_backup_mart_shohou.ten_kubun IS '円・点区分';</v>
      </c>
    </row>
    <row r="25" spans="1:45" s="25" customFormat="1">
      <c r="A25" s="4"/>
      <c r="B25" s="21">
        <f t="shared" si="2"/>
        <v>13</v>
      </c>
      <c r="C25" s="13" t="s">
        <v>1748</v>
      </c>
      <c r="D25" s="13" t="s">
        <v>132</v>
      </c>
      <c r="E25" s="7"/>
      <c r="F25" s="7" t="s">
        <v>1737</v>
      </c>
      <c r="G25" s="7" t="str">
        <f t="shared" si="3"/>
        <v>text</v>
      </c>
      <c r="H25" s="58"/>
      <c r="I25" s="23"/>
      <c r="J25" s="24" t="s">
        <v>1756</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1749</v>
      </c>
      <c r="D26" s="13" t="s">
        <v>133</v>
      </c>
      <c r="E26" s="7"/>
      <c r="F26" s="7" t="s">
        <v>1744</v>
      </c>
      <c r="G26" s="7" t="str">
        <f t="shared" si="3"/>
        <v>numeric</v>
      </c>
      <c r="H26" s="58"/>
      <c r="I26" s="23"/>
      <c r="J26" s="24" t="s">
        <v>1756</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milscm_2023_009.sny_202310_backup_mart_shohou.koi_times IS '行為回数';</v>
      </c>
    </row>
    <row r="27" spans="1:45" s="25" customFormat="1">
      <c r="A27" s="4"/>
      <c r="B27" s="21">
        <f t="shared" si="2"/>
        <v>15</v>
      </c>
      <c r="C27" s="13" t="s">
        <v>1750</v>
      </c>
      <c r="D27" s="13" t="s">
        <v>233</v>
      </c>
      <c r="E27" s="7"/>
      <c r="F27" s="7" t="s">
        <v>1737</v>
      </c>
      <c r="G27" s="7" t="str">
        <f t="shared" si="3"/>
        <v>text</v>
      </c>
      <c r="H27" s="58"/>
      <c r="I27" s="23"/>
      <c r="J27" s="24" t="s">
        <v>1756</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1751</v>
      </c>
      <c r="D28" s="13" t="s">
        <v>155</v>
      </c>
      <c r="E28" s="7" t="s">
        <v>127</v>
      </c>
      <c r="F28" s="7" t="s">
        <v>1737</v>
      </c>
      <c r="G28" s="7" t="str">
        <f t="shared" si="3"/>
        <v>text</v>
      </c>
      <c r="H28" s="58"/>
      <c r="I28" s="23" t="s">
        <v>127</v>
      </c>
      <c r="J28" s="24" t="s">
        <v>1756</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1752</v>
      </c>
      <c r="D29" s="13" t="s">
        <v>235</v>
      </c>
      <c r="E29" s="7"/>
      <c r="F29" s="7" t="s">
        <v>1737</v>
      </c>
      <c r="G29" s="7" t="str">
        <f t="shared" si="3"/>
        <v>text</v>
      </c>
      <c r="H29" s="58"/>
      <c r="I29" s="23"/>
      <c r="J29" s="24" t="s">
        <v>1756</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1737</v>
      </c>
      <c r="G30" s="7" t="str">
        <f t="shared" si="3"/>
        <v>text</v>
      </c>
      <c r="H30" s="58"/>
      <c r="I30" s="23"/>
      <c r="J30" s="24" t="s">
        <v>1756</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milscm_2023_009.sny_202310_backup_mart_shohou.department_kubun IS '診療科区分';</v>
      </c>
    </row>
    <row r="31" spans="1:45" s="25" customFormat="1" ht="37.5">
      <c r="A31" s="4"/>
      <c r="B31" s="21">
        <f t="shared" si="2"/>
        <v>19</v>
      </c>
      <c r="C31" s="13" t="s">
        <v>1753</v>
      </c>
      <c r="D31" s="13" t="s">
        <v>243</v>
      </c>
      <c r="E31" s="7"/>
      <c r="F31" s="7" t="s">
        <v>1737</v>
      </c>
      <c r="G31" s="7" t="str">
        <f t="shared" si="3"/>
        <v>text</v>
      </c>
      <c r="H31" s="58"/>
      <c r="I31" s="23"/>
      <c r="J31" s="24" t="s">
        <v>1760</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milscm_2023_009.sny_202310_backup_mart_shohou.nyugai_kubun IS '入外区分';</v>
      </c>
    </row>
    <row r="32" spans="1:45" s="25" customFormat="1" ht="19.5" thickBot="1">
      <c r="A32" s="4"/>
      <c r="B32" s="27">
        <f>ROW()-12</f>
        <v>20</v>
      </c>
      <c r="C32" s="57" t="s">
        <v>1754</v>
      </c>
      <c r="D32" s="57" t="s">
        <v>1755</v>
      </c>
      <c r="E32" s="56" t="s">
        <v>127</v>
      </c>
      <c r="F32" s="56" t="s">
        <v>204</v>
      </c>
      <c r="G32" s="56" t="str">
        <f t="shared" si="3"/>
        <v>integer</v>
      </c>
      <c r="H32" s="59"/>
      <c r="I32" s="60"/>
      <c r="J32" s="64" t="s">
        <v>1761</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ENT_01_A1-03</v>
      </c>
      <c r="E6" s="273"/>
      <c r="F6" s="273"/>
      <c r="G6" s="273"/>
      <c r="H6" s="273"/>
      <c r="I6" s="273"/>
      <c r="J6" s="274"/>
    </row>
    <row r="7" spans="1:45">
      <c r="B7" s="262" t="s">
        <v>115</v>
      </c>
      <c r="C7" s="263"/>
      <c r="D7" s="264" t="s">
        <v>1762</v>
      </c>
      <c r="E7" s="265"/>
      <c r="F7" s="265"/>
      <c r="G7" s="265"/>
      <c r="H7" s="265"/>
      <c r="I7" s="265"/>
      <c r="J7" s="266"/>
    </row>
    <row r="8" spans="1:45">
      <c r="B8" s="262" t="s">
        <v>116</v>
      </c>
      <c r="C8" s="263"/>
      <c r="D8" s="264" t="str">
        <f>エンティティ一覧!AE2&amp;"_"&amp;D5&amp;"_mart_shinryou_koui"</f>
        <v>sny_202310_backup_mart_shinryou_koui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診療行為データテーブルから組入れ条件の第一条件で絞り込んだ結果を格納するテーブル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milscm_2023_009.sny_202310_backup_mart_shinryou_koui;</v>
      </c>
      <c r="O10" s="76"/>
      <c r="P10" s="76"/>
      <c r="Q10" s="76"/>
      <c r="R10" s="76"/>
      <c r="S10" s="76"/>
      <c r="T10" s="76"/>
      <c r="AJ10" s="76" t="str">
        <f>"ALTER TABLE ONLY "&amp;エンティティ一覧!$O$2&amp;"."&amp;D$8</f>
        <v>ALTER TABLE ONLY milscm_2023_009.sny_202310_backup_mart_shinryou_koui</v>
      </c>
      <c r="AS10" s="76" t="str">
        <f>"ALTER TABLE "&amp;エンティティ一覧!$O$2&amp;"."&amp;D$8&amp;" OWNER TO pgmisgrp1;"</f>
        <v>ALTER TABLE milscm_2023_009.sny_202310_backup_mart_shinryou_koui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milscm_2023_009.sny_202310_backup_mart_shinryou_koui</v>
      </c>
      <c r="O11" s="76"/>
      <c r="P11" s="76"/>
      <c r="Q11" s="76"/>
      <c r="R11" s="76"/>
      <c r="S11" s="76"/>
      <c r="T11" s="76"/>
      <c r="AJ11" s="76" t="str">
        <f>"ADD CONSTRAINT "&amp;D$8&amp;"_pkey PRIMARY KEY"</f>
        <v>ADD CONSTRAINT sny_202310_backup_mart_shinryou_koui_pkey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1736</v>
      </c>
      <c r="D13" s="6" t="s">
        <v>210</v>
      </c>
      <c r="E13" s="8" t="s">
        <v>127</v>
      </c>
      <c r="F13" s="8" t="s">
        <v>1737</v>
      </c>
      <c r="G13" s="7" t="str">
        <f>IF(F13="フラグ","boolean",IF(F13="文字列","text",IF(F13="整数","integer",IF(F13="実数","numeric",""))))</f>
        <v>text</v>
      </c>
      <c r="H13" s="9"/>
      <c r="I13" s="10" t="s">
        <v>127</v>
      </c>
      <c r="J13" s="11" t="s">
        <v>1756</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1737</v>
      </c>
      <c r="G14" s="7" t="str">
        <f t="shared" ref="G14:G36" si="3">IF(F14="フラグ","boolean",IF(F14="文字列","text",IF(F14="整数","integer",IF(F14="実数","numeric",""))))</f>
        <v>text</v>
      </c>
      <c r="H14" s="26"/>
      <c r="I14" s="10" t="s">
        <v>127</v>
      </c>
      <c r="J14" s="11" t="s">
        <v>1756</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1738</v>
      </c>
      <c r="D15" s="13" t="s">
        <v>206</v>
      </c>
      <c r="E15" s="7" t="s">
        <v>127</v>
      </c>
      <c r="F15" s="7" t="s">
        <v>1737</v>
      </c>
      <c r="G15" s="7" t="str">
        <f t="shared" si="3"/>
        <v>text</v>
      </c>
      <c r="H15" s="58"/>
      <c r="I15" s="23" t="s">
        <v>127</v>
      </c>
      <c r="J15" s="24" t="s">
        <v>1756</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1739</v>
      </c>
      <c r="D16" s="13" t="s">
        <v>214</v>
      </c>
      <c r="E16" s="7" t="s">
        <v>127</v>
      </c>
      <c r="F16" s="7" t="s">
        <v>1737</v>
      </c>
      <c r="G16" s="7" t="str">
        <f t="shared" si="3"/>
        <v>text</v>
      </c>
      <c r="H16" s="58"/>
      <c r="I16" s="23" t="s">
        <v>127</v>
      </c>
      <c r="J16" s="24" t="s">
        <v>1756</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1740</v>
      </c>
      <c r="D17" s="13" t="s">
        <v>216</v>
      </c>
      <c r="E17" s="7" t="s">
        <v>127</v>
      </c>
      <c r="F17" s="7" t="s">
        <v>1737</v>
      </c>
      <c r="G17" s="7" t="str">
        <f t="shared" si="3"/>
        <v>text</v>
      </c>
      <c r="H17" s="58"/>
      <c r="I17" s="23" t="s">
        <v>127</v>
      </c>
      <c r="J17" s="24" t="s">
        <v>1756</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milscm_2023_009.sny_202310_backup_mart_shinryou_koui.junjo_no IS '順序番号';</v>
      </c>
    </row>
    <row r="18" spans="1:45" s="25" customFormat="1" ht="37.5">
      <c r="A18" s="4"/>
      <c r="B18" s="21">
        <f t="shared" si="2"/>
        <v>6</v>
      </c>
      <c r="C18" s="13" t="s">
        <v>1741</v>
      </c>
      <c r="D18" s="13" t="s">
        <v>153</v>
      </c>
      <c r="E18" s="7" t="s">
        <v>127</v>
      </c>
      <c r="F18" s="7" t="s">
        <v>1737</v>
      </c>
      <c r="G18" s="7" t="str">
        <f t="shared" si="3"/>
        <v>text</v>
      </c>
      <c r="H18" s="58"/>
      <c r="I18" s="23" t="s">
        <v>127</v>
      </c>
      <c r="J18" s="24" t="s">
        <v>1757</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milscm_2023_009.sny_202310_backup_mart_shinryou_koui.koi_meisai_no IS '行為明細番号';</v>
      </c>
    </row>
    <row r="19" spans="1:45" s="25" customFormat="1" ht="37.5">
      <c r="A19" s="4"/>
      <c r="B19" s="21">
        <f t="shared" si="2"/>
        <v>7</v>
      </c>
      <c r="C19" s="13" t="s">
        <v>145</v>
      </c>
      <c r="D19" s="13" t="s">
        <v>154</v>
      </c>
      <c r="E19" s="7"/>
      <c r="F19" s="7" t="s">
        <v>1737</v>
      </c>
      <c r="G19" s="7" t="str">
        <f t="shared" si="3"/>
        <v>text</v>
      </c>
      <c r="H19" s="58"/>
      <c r="I19" s="23"/>
      <c r="J19" s="24" t="s">
        <v>1767</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1742</v>
      </c>
      <c r="D20" s="13" t="s">
        <v>220</v>
      </c>
      <c r="E20" s="7"/>
      <c r="F20" s="7" t="s">
        <v>1737</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milscm_2023_009.sny_202310_backup_mart_shinryou_koui.kaishaku_no IS '解釈番号';</v>
      </c>
    </row>
    <row r="21" spans="1:45" s="25" customFormat="1" ht="37.5">
      <c r="A21" s="4"/>
      <c r="B21" s="21">
        <f t="shared" si="2"/>
        <v>9</v>
      </c>
      <c r="C21" s="13" t="s">
        <v>1743</v>
      </c>
      <c r="D21" s="13" t="s">
        <v>129</v>
      </c>
      <c r="E21" s="7"/>
      <c r="F21" s="7" t="s">
        <v>1744</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1745</v>
      </c>
      <c r="D22" s="13" t="s">
        <v>276</v>
      </c>
      <c r="E22" s="7"/>
      <c r="F22" s="7" t="s">
        <v>1737</v>
      </c>
      <c r="G22" s="7" t="str">
        <f t="shared" si="3"/>
        <v>text</v>
      </c>
      <c r="H22" s="58"/>
      <c r="I22" s="23"/>
      <c r="J22" s="24" t="s">
        <v>1768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1746</v>
      </c>
      <c r="D23" s="13" t="s">
        <v>130</v>
      </c>
      <c r="E23" s="7"/>
      <c r="F23" s="7" t="s">
        <v>1744</v>
      </c>
      <c r="G23" s="7" t="str">
        <f t="shared" si="3"/>
        <v>numeric</v>
      </c>
      <c r="H23" s="58"/>
      <c r="I23" s="23"/>
      <c r="J23" s="24" t="s">
        <v>1768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milscm_2023_009.sny_202310_backup_mart_shinryou_koui.meisai_tensu IS '明細点数・金額';</v>
      </c>
    </row>
    <row r="24" spans="1:45" s="25" customFormat="1" ht="37.5">
      <c r="A24" s="4"/>
      <c r="B24" s="21">
        <f t="shared" si="2"/>
        <v>12</v>
      </c>
      <c r="C24" s="13" t="s">
        <v>1747</v>
      </c>
      <c r="D24" s="13" t="s">
        <v>131</v>
      </c>
      <c r="E24" s="7"/>
      <c r="F24" s="7" t="s">
        <v>1737</v>
      </c>
      <c r="G24" s="7" t="str">
        <f t="shared" si="3"/>
        <v>text</v>
      </c>
      <c r="H24" s="58"/>
      <c r="I24" s="23"/>
      <c r="J24" s="24" t="s">
        <v>1759</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1763</v>
      </c>
      <c r="D25" s="13" t="s">
        <v>280</v>
      </c>
      <c r="E25" s="7"/>
      <c r="F25" s="7" t="s">
        <v>1744</v>
      </c>
      <c r="G25" s="7" t="str">
        <f t="shared" si="3"/>
        <v>numeric</v>
      </c>
      <c r="H25" s="58"/>
      <c r="I25" s="23"/>
      <c r="J25" s="24" t="s">
        <v>1768</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milscm_2023_009.sny_202310_backup_mart_shinryou_koui.dekidaka_tensu IS '出来高実績点数';</v>
      </c>
    </row>
    <row r="26" spans="1:45" s="25" customFormat="1" ht="56.25">
      <c r="A26" s="4"/>
      <c r="B26" s="21">
        <f t="shared" si="2"/>
        <v>14</v>
      </c>
      <c r="C26" s="13" t="s">
        <v>1748</v>
      </c>
      <c r="D26" s="13" t="s">
        <v>132</v>
      </c>
      <c r="E26" s="7"/>
      <c r="F26" s="7" t="s">
        <v>1737</v>
      </c>
      <c r="G26" s="7" t="str">
        <f t="shared" si="3"/>
        <v>text</v>
      </c>
      <c r="H26" s="58"/>
      <c r="I26" s="23"/>
      <c r="J26" s="24" t="s">
        <v>1769</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milscm_2023_009.sny_202310_backup_mart_shinryou_koui.koi_meisai_kubun IS '行為明細区分情報';</v>
      </c>
    </row>
    <row r="27" spans="1:45" s="25" customFormat="1" ht="37.5">
      <c r="A27" s="4"/>
      <c r="B27" s="21">
        <f t="shared" si="2"/>
        <v>15</v>
      </c>
      <c r="C27" s="13" t="s">
        <v>1764</v>
      </c>
      <c r="D27" s="13" t="s">
        <v>224</v>
      </c>
      <c r="E27" s="7"/>
      <c r="F27" s="7" t="s">
        <v>1744</v>
      </c>
      <c r="G27" s="7" t="str">
        <f t="shared" si="3"/>
        <v>numeric</v>
      </c>
      <c r="H27" s="58"/>
      <c r="I27" s="23"/>
      <c r="J27" s="24" t="s">
        <v>1770</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1765</v>
      </c>
      <c r="D28" s="13" t="s">
        <v>227</v>
      </c>
      <c r="E28" s="7"/>
      <c r="F28" s="7" t="s">
        <v>1744</v>
      </c>
      <c r="G28" s="7" t="str">
        <f t="shared" si="3"/>
        <v>numeric</v>
      </c>
      <c r="H28" s="58"/>
      <c r="I28" s="23"/>
      <c r="J28" s="24" t="s">
        <v>1768</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1766</v>
      </c>
      <c r="D29" s="13" t="s">
        <v>229</v>
      </c>
      <c r="E29" s="7"/>
      <c r="F29" s="7" t="s">
        <v>1744</v>
      </c>
      <c r="G29" s="7" t="str">
        <f t="shared" si="3"/>
        <v>numeric</v>
      </c>
      <c r="H29" s="58"/>
      <c r="I29" s="23"/>
      <c r="J29" s="24" t="s">
        <v>1768</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1749</v>
      </c>
      <c r="D30" s="13" t="s">
        <v>133</v>
      </c>
      <c r="E30" s="7"/>
      <c r="F30" s="7" t="s">
        <v>1744</v>
      </c>
      <c r="G30" s="7" t="str">
        <f t="shared" si="3"/>
        <v>numeric</v>
      </c>
      <c r="H30" s="58"/>
      <c r="I30" s="23"/>
      <c r="J30" s="24" t="s">
        <v>1768</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1750</v>
      </c>
      <c r="D31" s="13" t="s">
        <v>233</v>
      </c>
      <c r="E31" s="7"/>
      <c r="F31" s="7" t="s">
        <v>1737</v>
      </c>
      <c r="G31" s="7" t="str">
        <f t="shared" ref="G31:G34" si="7">IF(F31="フラグ","boolean",IF(F31="文字列","text",IF(F31="整数","integer",IF(F31="実数","numeric",""))))</f>
        <v>text</v>
      </c>
      <c r="H31" s="58"/>
      <c r="I31" s="23"/>
      <c r="J31" s="24" t="s">
        <v>1768</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1751</v>
      </c>
      <c r="D32" s="13" t="s">
        <v>155</v>
      </c>
      <c r="E32" s="7" t="s">
        <v>127</v>
      </c>
      <c r="F32" s="7" t="s">
        <v>1737</v>
      </c>
      <c r="G32" s="7" t="str">
        <f t="shared" si="7"/>
        <v>text</v>
      </c>
      <c r="H32" s="58"/>
      <c r="I32" s="23" t="s">
        <v>127</v>
      </c>
      <c r="J32" s="24" t="s">
        <v>1768</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1752</v>
      </c>
      <c r="D33" s="13" t="s">
        <v>235</v>
      </c>
      <c r="E33" s="7"/>
      <c r="F33" s="7" t="s">
        <v>1737</v>
      </c>
      <c r="G33" s="7" t="str">
        <f t="shared" si="7"/>
        <v>text</v>
      </c>
      <c r="H33" s="58"/>
      <c r="I33" s="23"/>
      <c r="J33" s="24" t="s">
        <v>1768</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1737</v>
      </c>
      <c r="G34" s="7" t="str">
        <f t="shared" si="7"/>
        <v>text</v>
      </c>
      <c r="H34" s="58"/>
      <c r="I34" s="23"/>
      <c r="J34" s="24" t="s">
        <v>1768</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milscm_2023_009.sny_202310_backup_mart_shinryou_koui.department_kubun IS '診療科区分';</v>
      </c>
    </row>
    <row r="35" spans="1:52" s="25" customFormat="1" ht="37.5">
      <c r="A35" s="4"/>
      <c r="B35" s="21">
        <f t="shared" si="2"/>
        <v>23</v>
      </c>
      <c r="C35" s="13" t="s">
        <v>1753</v>
      </c>
      <c r="D35" s="13" t="s">
        <v>243</v>
      </c>
      <c r="E35" s="7"/>
      <c r="F35" s="7" t="s">
        <v>1737</v>
      </c>
      <c r="G35" s="7" t="str">
        <f t="shared" si="3"/>
        <v>text</v>
      </c>
      <c r="H35" s="58"/>
      <c r="I35" s="23"/>
      <c r="J35" s="24" t="s">
        <v>1760</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milscm_2023_009.sny_202310_backup_mart_shinryou_koui.nyugai_kubun IS '入外区分';</v>
      </c>
    </row>
    <row r="36" spans="1:52" s="25" customFormat="1" ht="19.5" thickBot="1">
      <c r="A36" s="4"/>
      <c r="B36" s="27">
        <f>ROW()-12</f>
        <v>24</v>
      </c>
      <c r="C36" s="57" t="s">
        <v>1754</v>
      </c>
      <c r="D36" s="57" t="s">
        <v>1755</v>
      </c>
      <c r="E36" s="56" t="s">
        <v>127</v>
      </c>
      <c r="F36" s="56" t="s">
        <v>204</v>
      </c>
      <c r="G36" s="56" t="str">
        <f t="shared" si="3"/>
        <v>integer</v>
      </c>
      <c r="H36" s="59"/>
      <c r="I36" s="60"/>
      <c r="J36" s="64" t="s">
        <v>1761</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ENT_01_A1-04</v>
      </c>
      <c r="E6" s="273"/>
      <c r="F6" s="273"/>
      <c r="G6" s="273"/>
      <c r="H6" s="273"/>
      <c r="I6" s="273"/>
      <c r="J6" s="274"/>
    </row>
    <row r="7" spans="1:45">
      <c r="B7" s="262" t="s">
        <v>115</v>
      </c>
      <c r="C7" s="263"/>
      <c r="D7" s="264" t="s">
        <v>1771</v>
      </c>
      <c r="E7" s="265"/>
      <c r="F7" s="265"/>
      <c r="G7" s="265"/>
      <c r="H7" s="265"/>
      <c r="I7" s="265"/>
      <c r="J7" s="266"/>
    </row>
    <row r="8" spans="1:45">
      <c r="B8" s="262" t="s">
        <v>116</v>
      </c>
      <c r="C8" s="263"/>
      <c r="D8" s="264" t="str">
        <f>エンティティ一覧!AE2&amp;"_"&amp;D5&amp;"_mart_shikkan"</f>
        <v>sny_202310_backup_mart_shikkan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疾患データテーブルから組入れ条件の第一条件で絞り込んだ結果を格納するテーブル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milscm_2023_009.sny_202310_backup_mart_shikkan;</v>
      </c>
      <c r="O10" s="76"/>
      <c r="P10" s="76"/>
      <c r="Q10" s="76"/>
      <c r="R10" s="76"/>
      <c r="S10" s="76"/>
      <c r="T10" s="76"/>
      <c r="AJ10" s="76" t="str">
        <f>"ALTER TABLE ONLY "&amp;エンティティ一覧!$O$2&amp;"."&amp;D$8</f>
        <v>ALTER TABLE ONLY milscm_2023_009.sny_202310_backup_mart_shikkan</v>
      </c>
      <c r="AS10" s="76" t="str">
        <f>"ALTER TABLE "&amp;エンティティ一覧!$O$2&amp;"."&amp;D$8&amp;" OWNER TO pgmisgrp1;"</f>
        <v>ALTER TABLE milscm_2023_009.sny_202310_backup_mart_shikkan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milscm_2023_009.sny_202310_backup_mart_shikkan</v>
      </c>
      <c r="O11" s="76"/>
      <c r="P11" s="76"/>
      <c r="Q11" s="76"/>
      <c r="R11" s="76"/>
      <c r="S11" s="76"/>
      <c r="T11" s="76"/>
      <c r="AJ11" s="76" t="str">
        <f>"ADD CONSTRAINT "&amp;D$8&amp;"_pkey PRIMARY KEY"</f>
        <v>ADD CONSTRAINT sny_202310_backup_mart_shikkan_pkey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 IS 'バックアップ_疾患データ';</v>
      </c>
    </row>
    <row r="13" spans="1:45" s="25" customFormat="1">
      <c r="A13" s="4"/>
      <c r="B13" s="21">
        <f>ROW()-12</f>
        <v>1</v>
      </c>
      <c r="C13" s="6" t="s">
        <v>1772</v>
      </c>
      <c r="D13" s="6" t="s">
        <v>200</v>
      </c>
      <c r="E13" s="8"/>
      <c r="F13" s="8" t="s">
        <v>1737</v>
      </c>
      <c r="G13" s="7" t="str">
        <f>IF(F13="フラグ","boolean",IF(F13="文字列","text",IF(F13="整数","integer",IF(F13="実数","numeric",""))))</f>
        <v>text</v>
      </c>
      <c r="H13" s="9"/>
      <c r="I13" s="10" t="s">
        <v>127</v>
      </c>
      <c r="J13" s="11" t="s">
        <v>1784</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1737</v>
      </c>
      <c r="G14" s="7" t="str">
        <f t="shared" ref="G14:G59" si="3">IF(F14="フラグ","boolean",IF(F14="文字列","text",IF(F14="整数","integer",IF(F14="実数","numeric",""))))</f>
        <v>text</v>
      </c>
      <c r="H14" s="26"/>
      <c r="I14" s="10" t="s">
        <v>127</v>
      </c>
      <c r="J14" s="11" t="s">
        <v>1785</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milscm_2023_009.sny_202310_backup_mart_shikkan.facility_id IS '施設ID';</v>
      </c>
    </row>
    <row r="15" spans="1:45" s="25" customFormat="1">
      <c r="A15" s="4"/>
      <c r="B15" s="21">
        <f t="shared" si="2"/>
        <v>3</v>
      </c>
      <c r="C15" s="13" t="s">
        <v>1773</v>
      </c>
      <c r="D15" s="13" t="s">
        <v>905</v>
      </c>
      <c r="E15" s="7" t="s">
        <v>127</v>
      </c>
      <c r="F15" s="7" t="s">
        <v>1737</v>
      </c>
      <c r="G15" s="7" t="str">
        <f t="shared" si="3"/>
        <v>text</v>
      </c>
      <c r="H15" s="58"/>
      <c r="I15" s="23" t="s">
        <v>127</v>
      </c>
      <c r="J15" s="24" t="s">
        <v>1786</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milscm_2023_009.sny_202310_backup_mart_shikkan.seikyu_ym IS '請求年月';</v>
      </c>
    </row>
    <row r="16" spans="1:45" s="25" customFormat="1">
      <c r="A16" s="4"/>
      <c r="B16" s="21">
        <f t="shared" si="2"/>
        <v>4</v>
      </c>
      <c r="C16" s="13" t="s">
        <v>1738</v>
      </c>
      <c r="D16" s="13" t="s">
        <v>206</v>
      </c>
      <c r="E16" s="7" t="s">
        <v>127</v>
      </c>
      <c r="F16" s="7" t="s">
        <v>1737</v>
      </c>
      <c r="G16" s="7" t="str">
        <f t="shared" si="3"/>
        <v>text</v>
      </c>
      <c r="H16" s="58"/>
      <c r="I16" s="23" t="s">
        <v>127</v>
      </c>
      <c r="J16" s="24" t="s">
        <v>1787</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1737</v>
      </c>
      <c r="G17" s="7" t="str">
        <f t="shared" ref="G17:G40" si="7">IF(F17="フラグ","boolean",IF(F17="文字列","text",IF(F17="整数","integer",IF(F17="実数","numeric",""))))</f>
        <v>text</v>
      </c>
      <c r="H17" s="58" t="s">
        <v>932</v>
      </c>
      <c r="I17" s="23" t="s">
        <v>127</v>
      </c>
      <c r="J17" s="24" t="s">
        <v>1788</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906</v>
      </c>
      <c r="D18" s="13" t="s">
        <v>907</v>
      </c>
      <c r="E18" s="7" t="s">
        <v>127</v>
      </c>
      <c r="F18" s="7" t="s">
        <v>1737</v>
      </c>
      <c r="G18" s="7" t="str">
        <f t="shared" si="7"/>
        <v>text</v>
      </c>
      <c r="H18" s="58"/>
      <c r="I18" s="23" t="s">
        <v>127</v>
      </c>
      <c r="J18" s="24" t="s">
        <v>1057</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milscm_2023_009.sny_202310_backup_mart_shikkan.shinsa_kikan IS '審査支払機関';</v>
      </c>
    </row>
    <row r="19" spans="1:45" s="25" customFormat="1" ht="56.25">
      <c r="A19" s="4"/>
      <c r="B19" s="21">
        <f t="shared" si="2"/>
        <v>7</v>
      </c>
      <c r="C19" s="13" t="s">
        <v>1774</v>
      </c>
      <c r="D19" s="13" t="s">
        <v>1775</v>
      </c>
      <c r="E19" s="7" t="s">
        <v>127</v>
      </c>
      <c r="F19" s="7" t="s">
        <v>1737</v>
      </c>
      <c r="G19" s="7" t="str">
        <f t="shared" si="7"/>
        <v>text</v>
      </c>
      <c r="H19" s="58"/>
      <c r="I19" s="23" t="s">
        <v>127</v>
      </c>
      <c r="J19" s="24" t="s">
        <v>1789</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1776</v>
      </c>
      <c r="D20" s="13" t="s">
        <v>911</v>
      </c>
      <c r="E20" s="7" t="s">
        <v>127</v>
      </c>
      <c r="F20" s="7" t="s">
        <v>204</v>
      </c>
      <c r="G20" s="7" t="str">
        <f t="shared" si="7"/>
        <v>integer</v>
      </c>
      <c r="H20" s="58"/>
      <c r="I20" s="23" t="s">
        <v>127</v>
      </c>
      <c r="J20" s="24" t="s">
        <v>1790</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1777</v>
      </c>
      <c r="D21" s="13" t="s">
        <v>913</v>
      </c>
      <c r="E21" s="7" t="s">
        <v>127</v>
      </c>
      <c r="F21" s="7" t="s">
        <v>204</v>
      </c>
      <c r="G21" s="7" t="str">
        <f t="shared" si="7"/>
        <v>integer</v>
      </c>
      <c r="H21" s="58"/>
      <c r="I21" s="23" t="s">
        <v>127</v>
      </c>
      <c r="J21" s="24" t="s">
        <v>1791</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milscm_2023_009.sny_202310_backup_mart_shikkan.gyo_no IS '行番号';</v>
      </c>
    </row>
    <row r="22" spans="1:45" s="25" customFormat="1">
      <c r="A22" s="4"/>
      <c r="B22" s="21">
        <f t="shared" si="2"/>
        <v>10</v>
      </c>
      <c r="C22" s="13" t="s">
        <v>1778</v>
      </c>
      <c r="D22" s="13" t="s">
        <v>915</v>
      </c>
      <c r="E22" s="7" t="s">
        <v>127</v>
      </c>
      <c r="F22" s="7" t="s">
        <v>1737</v>
      </c>
      <c r="G22" s="7" t="str">
        <f t="shared" si="7"/>
        <v>text</v>
      </c>
      <c r="H22" s="58"/>
      <c r="I22" s="23" t="s">
        <v>127</v>
      </c>
      <c r="J22" s="24" t="s">
        <v>1792</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milscm_2023_009.sny_202310_backup_mart_shikkan.karute_no IS 'カルテ番号等';</v>
      </c>
    </row>
    <row r="23" spans="1:45" s="25" customFormat="1">
      <c r="A23" s="4"/>
      <c r="B23" s="21">
        <f t="shared" si="2"/>
        <v>11</v>
      </c>
      <c r="C23" s="13" t="s">
        <v>1779</v>
      </c>
      <c r="D23" s="13" t="s">
        <v>1199</v>
      </c>
      <c r="E23" s="7"/>
      <c r="F23" s="7" t="s">
        <v>1737</v>
      </c>
      <c r="G23" s="7" t="str">
        <f t="shared" si="7"/>
        <v>text</v>
      </c>
      <c r="H23" s="58"/>
      <c r="I23" s="23"/>
      <c r="J23" s="24" t="s">
        <v>1793</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665</v>
      </c>
      <c r="D24" s="13" t="s">
        <v>872</v>
      </c>
      <c r="E24" s="7"/>
      <c r="F24" s="7" t="s">
        <v>1737</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1072</v>
      </c>
      <c r="D25" s="13" t="s">
        <v>1073</v>
      </c>
      <c r="E25" s="7"/>
      <c r="F25" s="7" t="s">
        <v>1737</v>
      </c>
      <c r="G25" s="7" t="str">
        <f t="shared" si="7"/>
        <v>text</v>
      </c>
      <c r="H25" s="58"/>
      <c r="I25" s="23"/>
      <c r="J25" s="24" t="s">
        <v>1794</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1074</v>
      </c>
      <c r="D26" s="13" t="s">
        <v>1075</v>
      </c>
      <c r="E26" s="7"/>
      <c r="F26" s="7" t="s">
        <v>1737</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667</v>
      </c>
      <c r="D27" s="13" t="s">
        <v>873</v>
      </c>
      <c r="E27" s="7"/>
      <c r="F27" s="7" t="s">
        <v>1737</v>
      </c>
      <c r="G27" s="7" t="str">
        <f t="shared" si="7"/>
        <v>text</v>
      </c>
      <c r="H27" s="58"/>
      <c r="I27" s="23"/>
      <c r="J27" s="24" t="s">
        <v>1795</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669</v>
      </c>
      <c r="D28" s="13" t="s">
        <v>874</v>
      </c>
      <c r="E28" s="7"/>
      <c r="F28" s="7" t="s">
        <v>1737</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671</v>
      </c>
      <c r="D29" s="13" t="s">
        <v>875</v>
      </c>
      <c r="E29" s="7"/>
      <c r="F29" s="7" t="s">
        <v>1737</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673</v>
      </c>
      <c r="D30" s="13" t="s">
        <v>876</v>
      </c>
      <c r="E30" s="7"/>
      <c r="F30" s="7" t="s">
        <v>1737</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1076</v>
      </c>
      <c r="D31" s="13" t="s">
        <v>1077</v>
      </c>
      <c r="E31" s="7"/>
      <c r="F31" s="7" t="s">
        <v>1737</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1078</v>
      </c>
      <c r="D32" s="13" t="s">
        <v>1079</v>
      </c>
      <c r="E32" s="7"/>
      <c r="F32" s="7" t="s">
        <v>1737</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1080</v>
      </c>
      <c r="D33" s="13" t="s">
        <v>1081</v>
      </c>
      <c r="E33" s="7"/>
      <c r="F33" s="7" t="s">
        <v>1737</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1082</v>
      </c>
      <c r="D34" s="13" t="s">
        <v>1083</v>
      </c>
      <c r="E34" s="7"/>
      <c r="F34" s="7" t="s">
        <v>1737</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1084</v>
      </c>
      <c r="D35" s="13" t="s">
        <v>1085</v>
      </c>
      <c r="E35" s="7"/>
      <c r="F35" s="7" t="s">
        <v>1737</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1086</v>
      </c>
      <c r="D36" s="13" t="s">
        <v>1087</v>
      </c>
      <c r="E36" s="7"/>
      <c r="F36" s="7" t="s">
        <v>1737</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1088</v>
      </c>
      <c r="D37" s="13" t="s">
        <v>1089</v>
      </c>
      <c r="E37" s="7"/>
      <c r="F37" s="7" t="s">
        <v>1737</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1090</v>
      </c>
      <c r="D38" s="13" t="s">
        <v>1091</v>
      </c>
      <c r="E38" s="7"/>
      <c r="F38" s="7" t="s">
        <v>1737</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1092</v>
      </c>
      <c r="D39" s="13" t="s">
        <v>1093</v>
      </c>
      <c r="E39" s="7"/>
      <c r="F39" s="7" t="s">
        <v>1737</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1094</v>
      </c>
      <c r="D40" s="13" t="s">
        <v>1095</v>
      </c>
      <c r="E40" s="7"/>
      <c r="F40" s="7" t="s">
        <v>1737</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1096</v>
      </c>
      <c r="D41" s="13" t="s">
        <v>1097</v>
      </c>
      <c r="E41" s="7"/>
      <c r="F41" s="7" t="s">
        <v>1737</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1098</v>
      </c>
      <c r="D42" s="13" t="s">
        <v>1099</v>
      </c>
      <c r="E42" s="7"/>
      <c r="F42" s="7" t="s">
        <v>1737</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1100</v>
      </c>
      <c r="D43" s="13" t="s">
        <v>1101</v>
      </c>
      <c r="E43" s="7"/>
      <c r="F43" s="7" t="s">
        <v>1737</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1102</v>
      </c>
      <c r="D44" s="13" t="s">
        <v>1103</v>
      </c>
      <c r="E44" s="7"/>
      <c r="F44" s="7" t="s">
        <v>1737</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1104</v>
      </c>
      <c r="D45" s="13" t="s">
        <v>1105</v>
      </c>
      <c r="E45" s="7"/>
      <c r="F45" s="7" t="s">
        <v>1737</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1106</v>
      </c>
      <c r="D46" s="13" t="s">
        <v>1107</v>
      </c>
      <c r="E46" s="7"/>
      <c r="F46" s="7" t="s">
        <v>1737</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1108</v>
      </c>
      <c r="D47" s="13" t="s">
        <v>1109</v>
      </c>
      <c r="E47" s="7"/>
      <c r="F47" s="7" t="s">
        <v>1737</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1110</v>
      </c>
      <c r="D48" s="13" t="s">
        <v>1111</v>
      </c>
      <c r="E48" s="7"/>
      <c r="F48" s="7" t="s">
        <v>1737</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663</v>
      </c>
      <c r="D49" s="13" t="s">
        <v>871</v>
      </c>
      <c r="E49" s="7"/>
      <c r="F49" s="7" t="s">
        <v>1737</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1223</v>
      </c>
      <c r="D50" s="13" t="s">
        <v>1224</v>
      </c>
      <c r="E50" s="7"/>
      <c r="F50" s="7" t="s">
        <v>1737</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1210</v>
      </c>
      <c r="D51" s="13" t="s">
        <v>1211</v>
      </c>
      <c r="E51" s="7"/>
      <c r="F51" s="7" t="s">
        <v>1780</v>
      </c>
      <c r="G51" s="7" t="str">
        <f t="shared" si="3"/>
        <v>text</v>
      </c>
      <c r="H51" s="58"/>
      <c r="I51" s="23"/>
      <c r="J51" s="24" t="s">
        <v>1794</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1212</v>
      </c>
      <c r="D52" s="13" t="s">
        <v>1213</v>
      </c>
      <c r="E52" s="7"/>
      <c r="F52" s="7" t="s">
        <v>1780</v>
      </c>
      <c r="G52" s="7" t="str">
        <f t="shared" si="3"/>
        <v>text</v>
      </c>
      <c r="H52" s="58"/>
      <c r="I52" s="23"/>
      <c r="J52" s="24" t="s">
        <v>1794</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1214</v>
      </c>
      <c r="D53" s="13" t="s">
        <v>1215</v>
      </c>
      <c r="E53" s="7"/>
      <c r="F53" s="7" t="s">
        <v>1780</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1216</v>
      </c>
      <c r="D54" s="13" t="s">
        <v>1217</v>
      </c>
      <c r="E54" s="7"/>
      <c r="F54" s="7" t="s">
        <v>1737</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milscm_2023_009.sny_202310_backup_mart_shikkan.death_cause IS '死因';</v>
      </c>
    </row>
    <row r="55" spans="1:52" s="25" customFormat="1">
      <c r="A55" s="4"/>
      <c r="B55" s="21">
        <f t="shared" si="2"/>
        <v>43</v>
      </c>
      <c r="C55" s="13" t="s">
        <v>1781</v>
      </c>
      <c r="D55" s="13" t="s">
        <v>941</v>
      </c>
      <c r="E55" s="7"/>
      <c r="F55" s="7" t="s">
        <v>1737</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milscm_2023_009.sny_202310_backup_mart_shikkan.receipt_type IS 'レセプト種別';</v>
      </c>
    </row>
    <row r="56" spans="1:52" s="25" customFormat="1" ht="56.25">
      <c r="A56" s="4"/>
      <c r="B56" s="21">
        <f t="shared" si="2"/>
        <v>44</v>
      </c>
      <c r="C56" s="13" t="s">
        <v>1753</v>
      </c>
      <c r="D56" s="13" t="s">
        <v>243</v>
      </c>
      <c r="E56" s="7"/>
      <c r="F56" s="7" t="s">
        <v>1737</v>
      </c>
      <c r="G56" s="7" t="str">
        <f t="shared" si="3"/>
        <v>text</v>
      </c>
      <c r="H56" s="58"/>
      <c r="I56" s="23"/>
      <c r="J56" s="24" t="s">
        <v>1796</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milscm_2023_009.sny_202310_backup_mart_shikkan.nyugai_kubun IS '入外区分';</v>
      </c>
    </row>
    <row r="57" spans="1:52" s="25" customFormat="1" ht="75">
      <c r="A57" s="4"/>
      <c r="B57" s="21">
        <f t="shared" si="2"/>
        <v>45</v>
      </c>
      <c r="C57" s="13" t="s">
        <v>1782</v>
      </c>
      <c r="D57" s="13" t="s">
        <v>1783</v>
      </c>
      <c r="E57" s="7"/>
      <c r="F57" s="7" t="s">
        <v>1737</v>
      </c>
      <c r="G57" s="7" t="str">
        <f t="shared" si="3"/>
        <v>text</v>
      </c>
      <c r="H57" s="58"/>
      <c r="I57" s="23"/>
      <c r="J57" s="24" t="s">
        <v>1797</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1112</v>
      </c>
      <c r="D58" s="13" t="s">
        <v>1113</v>
      </c>
      <c r="E58" s="7"/>
      <c r="F58" s="7" t="s">
        <v>1737</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milscm_2023_009.sny_202310_backup_mart_shikkan.hosoku_comment IS '補足コメント';</v>
      </c>
    </row>
    <row r="59" spans="1:52" s="25" customFormat="1" ht="19.5" thickBot="1">
      <c r="A59" s="4"/>
      <c r="B59" s="27">
        <f>ROW()-12</f>
        <v>47</v>
      </c>
      <c r="C59" s="57" t="s">
        <v>1754</v>
      </c>
      <c r="D59" s="57" t="s">
        <v>1755</v>
      </c>
      <c r="E59" s="56"/>
      <c r="F59" s="56" t="s">
        <v>204</v>
      </c>
      <c r="G59" s="56" t="str">
        <f t="shared" si="3"/>
        <v>integer</v>
      </c>
      <c r="H59" s="59"/>
      <c r="I59" s="60"/>
      <c r="J59" s="64" t="s">
        <v>1761</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01</v>
      </c>
      <c r="E4" s="249"/>
      <c r="F4" s="249"/>
      <c r="G4" s="249"/>
      <c r="H4" s="249"/>
      <c r="I4" s="249"/>
      <c r="J4" s="250"/>
    </row>
    <row r="5" spans="1:52">
      <c r="B5" s="262" t="s">
        <v>3702</v>
      </c>
      <c r="C5" s="263"/>
      <c r="D5" s="272" t="str">
        <f>VLOOKUP(D7,エンティティ一覧!A1:'エンティティ一覧'!AM10204,7,FALSE)</f>
        <v>backup</v>
      </c>
      <c r="E5" s="273"/>
      <c r="F5" s="273"/>
      <c r="G5" s="273"/>
      <c r="H5" s="273"/>
      <c r="I5" s="273"/>
      <c r="J5" s="274"/>
    </row>
    <row r="6" spans="1:52">
      <c r="B6" s="262" t="s">
        <v>3703</v>
      </c>
      <c r="C6" s="263"/>
      <c r="D6" s="272" t="str">
        <f>VLOOKUP(D7,エンティティ一覧!A1:'エンティティ一覧'!AM10204,15,FALSE)</f>
        <v>ENT_01_A1-05</v>
      </c>
      <c r="E6" s="273"/>
      <c r="F6" s="273"/>
      <c r="G6" s="273"/>
      <c r="H6" s="273"/>
      <c r="I6" s="273"/>
      <c r="J6" s="274"/>
    </row>
    <row r="7" spans="1:52">
      <c r="B7" s="262" t="s">
        <v>115</v>
      </c>
      <c r="C7" s="263"/>
      <c r="D7" s="264" t="s">
        <v>1798</v>
      </c>
      <c r="E7" s="265"/>
      <c r="F7" s="265"/>
      <c r="G7" s="265"/>
      <c r="H7" s="265"/>
      <c r="I7" s="265"/>
      <c r="J7" s="266"/>
    </row>
    <row r="8" spans="1:52">
      <c r="B8" s="262" t="s">
        <v>116</v>
      </c>
      <c r="C8" s="263"/>
      <c r="D8" s="264" t="str">
        <f>エンティティ一覧!AE2&amp;"_"&amp;D5&amp;"_mart_shikkan_department"</f>
        <v>sny_202310_backup_mart_shikkan_department</v>
      </c>
      <c r="E8" s="265"/>
      <c r="F8" s="265"/>
      <c r="G8" s="265"/>
      <c r="H8" s="265"/>
      <c r="I8" s="265"/>
      <c r="J8" s="266"/>
    </row>
    <row r="9" spans="1:52" ht="19.5" customHeight="1" thickBot="1">
      <c r="B9" s="267" t="s">
        <v>117</v>
      </c>
      <c r="C9" s="268"/>
      <c r="D9" s="269" t="str">
        <f>SUBSTITUTE(D7,"バックアップ_","")&amp;"テーブルから組入れ条件の第一条件で絞り込んだ結果を格納するテーブル"</f>
        <v>疾患診療科データテーブルから組入れ条件の第一条件で絞り込んだ結果を格納するテーブル</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milscm_2023_009.sny_202310_backup_mart_shikkan_department;</v>
      </c>
      <c r="O10" s="76"/>
      <c r="P10" s="76"/>
      <c r="Q10" s="76"/>
      <c r="R10" s="76"/>
      <c r="S10" s="76"/>
      <c r="T10" s="76"/>
      <c r="AJ10" s="76" t="str">
        <f>"ALTER TABLE ONLY "&amp;エンティティ一覧!$O$2&amp;"."&amp;D$8</f>
        <v>ALTER TABLE ONLY milscm_2023_009.sny_202310_backup_mart_shikkan_department</v>
      </c>
      <c r="AS10" s="76" t="str">
        <f>"ALTER TABLE "&amp;エンティティ一覧!$O$2&amp;"."&amp;D$8&amp;" OWNER TO pgmisgrp1;"</f>
        <v>ALTER TABLE milscm_2023_009.sny_202310_backup_mart_shikkan_department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milscm_2023_009.sny_202310_backup_mart_shikkan_department</v>
      </c>
      <c r="O11" s="76"/>
      <c r="P11" s="76"/>
      <c r="Q11" s="76"/>
      <c r="R11" s="76"/>
      <c r="S11" s="76"/>
      <c r="T11" s="76"/>
      <c r="AJ11" s="76" t="str">
        <f>"ADD CONSTRAINT "&amp;D$8&amp;"_pkey PRIMARY KEY"</f>
        <v>ADD CONSTRAINT sny_202310_backup_mart_shikkan_department_pkey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milscm_2023_009.sny_202310_backup_mart_shikkan_department IS 'バックアップ_疾患診療科データ';</v>
      </c>
    </row>
    <row r="13" spans="1:52" s="25" customFormat="1">
      <c r="A13" s="4"/>
      <c r="B13" s="21">
        <f>ROW()-12</f>
        <v>1</v>
      </c>
      <c r="C13" s="6" t="s">
        <v>1799</v>
      </c>
      <c r="D13" s="6" t="s">
        <v>1800</v>
      </c>
      <c r="E13" s="8" t="s">
        <v>127</v>
      </c>
      <c r="F13" s="8" t="s">
        <v>204</v>
      </c>
      <c r="G13" s="7" t="str">
        <f>IF(F13="フラグ","boolean",IF(F13="文字列","text",IF(F13="整数","integer",IF(F13="実数","numeric",""))))</f>
        <v>integer</v>
      </c>
      <c r="H13" s="9"/>
      <c r="I13" s="10" t="s">
        <v>127</v>
      </c>
      <c r="J13" s="11" t="s">
        <v>1803</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1801</v>
      </c>
      <c r="D14" s="6" t="s">
        <v>1682</v>
      </c>
      <c r="E14" s="8"/>
      <c r="F14" s="7" t="s">
        <v>1737</v>
      </c>
      <c r="G14" s="7" t="str">
        <f t="shared" ref="G14:G15" si="3">IF(F14="フラグ","boolean",IF(F14="文字列","text",IF(F14="整数","integer",IF(F14="実数","numeric",""))))</f>
        <v>text</v>
      </c>
      <c r="H14" s="26"/>
      <c r="I14" s="10"/>
      <c r="J14" s="11" t="s">
        <v>1804</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milscm_2023_009.sny_202310_backup_mart_shikkan_department.department_name IS '診療科名';</v>
      </c>
    </row>
    <row r="15" spans="1:52" s="25" customFormat="1" ht="57" thickBot="1">
      <c r="A15" s="4"/>
      <c r="B15" s="27">
        <f>ROW()-12</f>
        <v>3</v>
      </c>
      <c r="C15" s="57" t="s">
        <v>1802</v>
      </c>
      <c r="D15" s="57" t="s">
        <v>135</v>
      </c>
      <c r="E15" s="56" t="s">
        <v>127</v>
      </c>
      <c r="F15" s="56" t="s">
        <v>1737</v>
      </c>
      <c r="G15" s="56" t="str">
        <f t="shared" si="3"/>
        <v>text</v>
      </c>
      <c r="H15" s="59"/>
      <c r="I15" s="60"/>
      <c r="J15" s="64" t="s">
        <v>1805</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milscm_2023_009.sny_202310_backup_mart_shikkan_department.department_kubun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ENT_01_A1-06</v>
      </c>
      <c r="E6" s="273"/>
      <c r="F6" s="273"/>
      <c r="G6" s="273"/>
      <c r="H6" s="273"/>
      <c r="I6" s="273"/>
      <c r="J6" s="274"/>
    </row>
    <row r="7" spans="1:45">
      <c r="B7" s="262" t="s">
        <v>115</v>
      </c>
      <c r="C7" s="263"/>
      <c r="D7" s="264" t="s">
        <v>1806</v>
      </c>
      <c r="E7" s="265"/>
      <c r="F7" s="265"/>
      <c r="G7" s="265"/>
      <c r="H7" s="265"/>
      <c r="I7" s="265"/>
      <c r="J7" s="266"/>
    </row>
    <row r="8" spans="1:45">
      <c r="B8" s="262" t="s">
        <v>116</v>
      </c>
      <c r="C8" s="263"/>
      <c r="D8" s="264" t="str">
        <f>エンティティ一覧!AE2&amp;"_"&amp;D5&amp;"_mart_nyu_tai_in"</f>
        <v>sny_202310_backup_mart_nyu_tai_in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入院退院データテーブルから組入れ条件の第一条件で絞り込んだ結果を格納するテーブル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milscm_2023_009.sny_202310_backup_mart_nyu_tai_in;</v>
      </c>
      <c r="O10" s="76"/>
      <c r="P10" s="76"/>
      <c r="Q10" s="76"/>
      <c r="R10" s="76"/>
      <c r="S10" s="76"/>
      <c r="T10" s="76"/>
      <c r="AJ10" s="76" t="str">
        <f>"ALTER TABLE ONLY "&amp;エンティティ一覧!$O$2&amp;"."&amp;D$8</f>
        <v>ALTER TABLE ONLY milscm_2023_009.sny_202310_backup_mart_nyu_tai_in</v>
      </c>
      <c r="AS10" s="76" t="str">
        <f>"ALTER TABLE "&amp;エンティティ一覧!$O$2&amp;"."&amp;D$8&amp;" OWNER TO pgmisgrp1;"</f>
        <v>ALTER TABLE milscm_2023_009.sny_202310_backup_mart_nyu_tai_in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milscm_2023_009.sny_202310_backup_mart_nyu_tai_in</v>
      </c>
      <c r="O11" s="76"/>
      <c r="P11" s="76"/>
      <c r="Q11" s="76"/>
      <c r="R11" s="76"/>
      <c r="S11" s="76"/>
      <c r="T11" s="76"/>
      <c r="AJ11" s="76" t="str">
        <f>"ADD CONSTRAINT "&amp;D$8&amp;"_pkey PRIMARY KEY"</f>
        <v>ADD CONSTRAINT sny_202310_backup_mart_nyu_tai_in_pkey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1736</v>
      </c>
      <c r="D13" s="6" t="s">
        <v>210</v>
      </c>
      <c r="E13" s="8" t="s">
        <v>127</v>
      </c>
      <c r="F13" s="8" t="s">
        <v>1737</v>
      </c>
      <c r="G13" s="7" t="str">
        <f>IF(F13="フラグ","boolean",IF(F13="文字列","text",IF(F13="整数","integer",IF(F13="実数","numeric",""))))</f>
        <v>text</v>
      </c>
      <c r="H13" s="9"/>
      <c r="I13" s="10" t="s">
        <v>127</v>
      </c>
      <c r="J13" s="11" t="s">
        <v>1815</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737</v>
      </c>
      <c r="G14" s="7" t="str">
        <f t="shared" ref="G14:G17" si="3">IF(F14="フラグ","boolean",IF(F14="文字列","text",IF(F14="整数","integer",IF(F14="実数","numeric",""))))</f>
        <v>text</v>
      </c>
      <c r="H14" s="26"/>
      <c r="I14" s="10" t="s">
        <v>127</v>
      </c>
      <c r="J14" s="11" t="s">
        <v>1815</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milscm_2023_009.sny_202310_backup_mart_nyu_tai_in.facility_id IS '施設ID';</v>
      </c>
    </row>
    <row r="15" spans="1:45" s="25" customFormat="1">
      <c r="A15" s="4"/>
      <c r="B15" s="21">
        <f t="shared" si="2"/>
        <v>3</v>
      </c>
      <c r="C15" s="6" t="s">
        <v>1807</v>
      </c>
      <c r="D15" s="6" t="s">
        <v>1808</v>
      </c>
      <c r="E15" s="8"/>
      <c r="F15" s="7" t="s">
        <v>1737</v>
      </c>
      <c r="G15" s="7" t="str">
        <f t="shared" si="3"/>
        <v>text</v>
      </c>
      <c r="H15" s="26"/>
      <c r="I15" s="10" t="s">
        <v>127</v>
      </c>
      <c r="J15" s="11" t="s">
        <v>1816</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1809</v>
      </c>
      <c r="D16" s="6" t="s">
        <v>1810</v>
      </c>
      <c r="E16" s="8"/>
      <c r="F16" s="7" t="s">
        <v>1737</v>
      </c>
      <c r="G16" s="7" t="str">
        <f t="shared" si="3"/>
        <v>text</v>
      </c>
      <c r="H16" s="26"/>
      <c r="I16" s="10" t="s">
        <v>127</v>
      </c>
      <c r="J16" s="11" t="s">
        <v>1817</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1811</v>
      </c>
      <c r="D17" s="6" t="s">
        <v>156</v>
      </c>
      <c r="E17" s="8" t="s">
        <v>127</v>
      </c>
      <c r="F17" s="7" t="s">
        <v>1737</v>
      </c>
      <c r="G17" s="7" t="str">
        <f t="shared" si="3"/>
        <v>text</v>
      </c>
      <c r="H17" s="26"/>
      <c r="I17" s="10" t="s">
        <v>127</v>
      </c>
      <c r="J17" s="11" t="s">
        <v>1815</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1812</v>
      </c>
      <c r="D18" s="6" t="s">
        <v>212</v>
      </c>
      <c r="E18" s="8" t="s">
        <v>127</v>
      </c>
      <c r="F18" s="7" t="s">
        <v>1737</v>
      </c>
      <c r="G18" s="7" t="str">
        <f t="shared" ref="G18:G19" si="10">IF(F18="フラグ","boolean",IF(F18="文字列","text",IF(F18="整数","integer",IF(F18="実数","numeric",""))))</f>
        <v>text</v>
      </c>
      <c r="H18" s="26"/>
      <c r="I18" s="10" t="s">
        <v>127</v>
      </c>
      <c r="J18" s="11" t="s">
        <v>1815</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milscm_2023_009.sny_202310_backup_mart_nyu_tai_in.taiin_ymd IS '退院年月日';</v>
      </c>
    </row>
    <row r="19" spans="1:52" s="25" customFormat="1" ht="38.25" thickBot="1">
      <c r="A19" s="4"/>
      <c r="B19" s="27">
        <f>ROW()-12</f>
        <v>7</v>
      </c>
      <c r="C19" s="57" t="s">
        <v>1813</v>
      </c>
      <c r="D19" s="57" t="s">
        <v>1814</v>
      </c>
      <c r="E19" s="56"/>
      <c r="F19" s="56" t="s">
        <v>1737</v>
      </c>
      <c r="G19" s="56" t="str">
        <f t="shared" si="10"/>
        <v>text</v>
      </c>
      <c r="H19" s="59"/>
      <c r="I19" s="60" t="s">
        <v>127</v>
      </c>
      <c r="J19" s="64" t="s">
        <v>1818</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01</v>
      </c>
      <c r="E4" s="249"/>
      <c r="F4" s="249"/>
      <c r="G4" s="249"/>
      <c r="H4" s="249"/>
      <c r="I4" s="249"/>
      <c r="J4" s="250"/>
    </row>
    <row r="5" spans="1:52">
      <c r="B5" s="262" t="s">
        <v>3702</v>
      </c>
      <c r="C5" s="263"/>
      <c r="D5" s="272" t="str">
        <f>VLOOKUP(D7,エンティティ一覧!A1:'エンティティ一覧'!AM10204,7,FALSE)</f>
        <v>backup</v>
      </c>
      <c r="E5" s="273"/>
      <c r="F5" s="273"/>
      <c r="G5" s="273"/>
      <c r="H5" s="273"/>
      <c r="I5" s="273"/>
      <c r="J5" s="274"/>
    </row>
    <row r="6" spans="1:52">
      <c r="B6" s="262" t="s">
        <v>3703</v>
      </c>
      <c r="C6" s="263"/>
      <c r="D6" s="272" t="str">
        <f>VLOOKUP(D7,エンティティ一覧!A1:'エンティティ一覧'!AM10204,15,FALSE)</f>
        <v>ENT_01_A1-07</v>
      </c>
      <c r="E6" s="273"/>
      <c r="F6" s="273"/>
      <c r="G6" s="273"/>
      <c r="H6" s="273"/>
      <c r="I6" s="273"/>
      <c r="J6" s="274"/>
    </row>
    <row r="7" spans="1:52">
      <c r="B7" s="262" t="s">
        <v>115</v>
      </c>
      <c r="C7" s="263"/>
      <c r="D7" s="264" t="s">
        <v>1819</v>
      </c>
      <c r="E7" s="265"/>
      <c r="F7" s="265"/>
      <c r="G7" s="265"/>
      <c r="H7" s="265"/>
      <c r="I7" s="265"/>
      <c r="J7" s="266"/>
    </row>
    <row r="8" spans="1:52">
      <c r="B8" s="262" t="s">
        <v>116</v>
      </c>
      <c r="C8" s="263"/>
      <c r="D8" s="264" t="str">
        <f>エンティティ一覧!AE2&amp;"_"&amp;D5&amp;"_mart_2riyo_patient_id"</f>
        <v>sny_202310_backup_mart_2riyo_patient_id</v>
      </c>
      <c r="E8" s="265"/>
      <c r="F8" s="265"/>
      <c r="G8" s="265"/>
      <c r="H8" s="265"/>
      <c r="I8" s="265"/>
      <c r="J8" s="266"/>
    </row>
    <row r="9" spans="1:52" ht="19.5" customHeight="1" thickBot="1">
      <c r="B9" s="267" t="s">
        <v>117</v>
      </c>
      <c r="C9" s="268"/>
      <c r="D9" s="269"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milscm_2023_009.sny_202310_backup_mart_2riyo_patient_id;</v>
      </c>
      <c r="O10" s="76"/>
      <c r="P10" s="76"/>
      <c r="Q10" s="76"/>
      <c r="R10" s="76"/>
      <c r="S10" s="76"/>
      <c r="T10" s="76"/>
      <c r="AJ10" s="76" t="str">
        <f>"ALTER TABLE ONLY "&amp;エンティティ一覧!$O$2&amp;"."&amp;D$8</f>
        <v>ALTER TABLE ONLY milscm_2023_009.sny_202310_backup_mart_2riyo_patient_id</v>
      </c>
      <c r="AS10" s="76" t="str">
        <f>"ALTER TABLE "&amp;エンティティ一覧!$O$2&amp;"."&amp;D$8&amp;" OWNER TO pgmisgrp1;"</f>
        <v>ALTER TABLE milscm_2023_009.sny_202310_backup_mart_2riyo_patient_id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milscm_2023_009.sny_202310_backup_mart_2riyo_patient_id</v>
      </c>
      <c r="O11" s="76"/>
      <c r="P11" s="76"/>
      <c r="Q11" s="76"/>
      <c r="R11" s="76"/>
      <c r="S11" s="76"/>
      <c r="T11" s="76"/>
      <c r="AJ11" s="76" t="str">
        <f>"ADD CONSTRAINT "&amp;D$8&amp;"_pkey PRIMARY KEY"</f>
        <v>ADD CONSTRAINT sny_202310_backup_mart_2riyo_patient_id_pkey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1820</v>
      </c>
      <c r="D14" s="6" t="s">
        <v>208</v>
      </c>
      <c r="E14" s="8" t="s">
        <v>127</v>
      </c>
      <c r="F14" s="7" t="s">
        <v>1821</v>
      </c>
      <c r="G14" s="7" t="str">
        <f t="shared" ref="G14:G15" si="3">IF(F14="フラグ","boolean",IF(F14="文字列","text",IF(F14="整数","integer",IF(F14="実数","numeric",""))))</f>
        <v>text</v>
      </c>
      <c r="H14" s="26"/>
      <c r="I14" s="10" t="s">
        <v>127</v>
      </c>
      <c r="J14" s="11" t="s">
        <v>1824</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milscm_2023_009.sny_202310_backup_mart_2riyo_patient_id.data_type IS 'データ種別';</v>
      </c>
    </row>
    <row r="15" spans="1:52" s="25" customFormat="1" ht="19.5" thickBot="1">
      <c r="A15" s="4"/>
      <c r="B15" s="27">
        <f>ROW()-12</f>
        <v>3</v>
      </c>
      <c r="C15" s="57" t="s">
        <v>1822</v>
      </c>
      <c r="D15" s="57" t="s">
        <v>1823</v>
      </c>
      <c r="E15" s="56" t="s">
        <v>127</v>
      </c>
      <c r="F15" s="56" t="s">
        <v>1737</v>
      </c>
      <c r="G15" s="56" t="str">
        <f t="shared" si="3"/>
        <v>text</v>
      </c>
      <c r="H15" s="59"/>
      <c r="I15" s="60" t="s">
        <v>127</v>
      </c>
      <c r="J15" s="64"/>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ENT_01_A1-08</v>
      </c>
      <c r="E6" s="273"/>
      <c r="F6" s="273"/>
      <c r="G6" s="273"/>
      <c r="H6" s="273"/>
      <c r="I6" s="273"/>
      <c r="J6" s="274"/>
    </row>
    <row r="7" spans="1:45">
      <c r="B7" s="262" t="s">
        <v>115</v>
      </c>
      <c r="C7" s="263"/>
      <c r="D7" s="264" t="s">
        <v>1825</v>
      </c>
      <c r="E7" s="265"/>
      <c r="F7" s="265"/>
      <c r="G7" s="265"/>
      <c r="H7" s="265"/>
      <c r="I7" s="265"/>
      <c r="J7" s="266"/>
    </row>
    <row r="8" spans="1:45">
      <c r="B8" s="262" t="s">
        <v>116</v>
      </c>
      <c r="C8" s="263"/>
      <c r="D8" s="264" t="str">
        <f>エンティティ一覧!AE2&amp;"_"&amp;D5&amp;"_mart_2riyo_patient_id_dpc"</f>
        <v>sny_202310_backup_mart_2riyo_patient_id_dpc</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milscm_2023_009.sny_202310_backup_mart_2riyo_patient_id_dpc;</v>
      </c>
      <c r="O10" s="76"/>
      <c r="P10" s="76"/>
      <c r="Q10" s="76"/>
      <c r="R10" s="76"/>
      <c r="S10" s="76"/>
      <c r="T10" s="76"/>
      <c r="AJ10" s="76" t="str">
        <f>"ALTER TABLE ONLY "&amp;エンティティ一覧!$O$2&amp;"."&amp;D$8</f>
        <v>ALTER TABLE ONLY milscm_2023_009.sny_202310_backup_mart_2riyo_patient_id_dpc</v>
      </c>
      <c r="AS10" s="76" t="str">
        <f>"ALTER TABLE "&amp;エンティティ一覧!$O$2&amp;"."&amp;D$8&amp;" OWNER TO pgmisgrp1;"</f>
        <v>ALTER TABLE milscm_2023_009.sny_202310_backup_mart_2riyo_patient_id_dpc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milscm_2023_009.sny_202310_backup_mart_2riyo_patient_id_dpc</v>
      </c>
      <c r="O11" s="76"/>
      <c r="P11" s="76"/>
      <c r="Q11" s="76"/>
      <c r="R11" s="76"/>
      <c r="S11" s="76"/>
      <c r="T11" s="76"/>
      <c r="AJ11" s="76" t="str">
        <f>"ADD CONSTRAINT "&amp;D$8&amp;"_pkey PRIMARY KEY"</f>
        <v>ADD CONSTRAINT sny_202310_backup_mart_2riyo_patient_id_dpc_pkey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1822</v>
      </c>
      <c r="D15" s="6" t="s">
        <v>1823</v>
      </c>
      <c r="E15" s="8" t="s">
        <v>127</v>
      </c>
      <c r="F15" s="7" t="s">
        <v>1737</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1826</v>
      </c>
      <c r="D16" s="6" t="s">
        <v>1827</v>
      </c>
      <c r="E16" s="8"/>
      <c r="F16" s="7" t="s">
        <v>1828</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1829</v>
      </c>
      <c r="D17" s="6" t="s">
        <v>1830</v>
      </c>
      <c r="E17" s="8"/>
      <c r="F17" s="7" t="s">
        <v>1821</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milscm_2023_009.sny_202310_backup_mart_2riyo_patient_id_dpc.shinryo_ym_max IS '診療年月_最大';</v>
      </c>
    </row>
    <row r="18" spans="1:52" s="25" customFormat="1" ht="56.25">
      <c r="A18" s="4"/>
      <c r="B18" s="21">
        <f t="shared" si="2"/>
        <v>6</v>
      </c>
      <c r="C18" s="6" t="s">
        <v>1831</v>
      </c>
      <c r="D18" s="6" t="s">
        <v>945</v>
      </c>
      <c r="E18" s="8" t="s">
        <v>127</v>
      </c>
      <c r="F18" s="7" t="s">
        <v>1737</v>
      </c>
      <c r="G18" s="7" t="str">
        <f t="shared" si="3"/>
        <v>text</v>
      </c>
      <c r="H18" s="26"/>
      <c r="I18" s="10" t="s">
        <v>127</v>
      </c>
      <c r="J18" s="11" t="s">
        <v>1833</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milscm_2023_009.sny_202310_backup_mart_2riyo_patient_id_dpc.sex_kubun IS '男女区分';</v>
      </c>
    </row>
    <row r="19" spans="1:52" s="25" customFormat="1" ht="94.5" thickBot="1">
      <c r="A19" s="4"/>
      <c r="B19" s="27">
        <f>ROW()-12</f>
        <v>7</v>
      </c>
      <c r="C19" s="57" t="s">
        <v>1832</v>
      </c>
      <c r="D19" s="57" t="s">
        <v>322</v>
      </c>
      <c r="E19" s="56" t="s">
        <v>127</v>
      </c>
      <c r="F19" s="56" t="s">
        <v>1737</v>
      </c>
      <c r="G19" s="56" t="str">
        <f t="shared" si="3"/>
        <v>text</v>
      </c>
      <c r="H19" s="59"/>
      <c r="I19" s="60" t="s">
        <v>127</v>
      </c>
      <c r="J19" s="64" t="s">
        <v>1834</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ENT_01_A1-09</v>
      </c>
      <c r="E6" s="273"/>
      <c r="F6" s="273"/>
      <c r="G6" s="273"/>
      <c r="H6" s="273"/>
      <c r="I6" s="273"/>
      <c r="J6" s="274"/>
    </row>
    <row r="7" spans="1:45">
      <c r="B7" s="262" t="s">
        <v>115</v>
      </c>
      <c r="C7" s="263"/>
      <c r="D7" s="264" t="s">
        <v>1835</v>
      </c>
      <c r="E7" s="265"/>
      <c r="F7" s="265"/>
      <c r="G7" s="265"/>
      <c r="H7" s="265"/>
      <c r="I7" s="265"/>
      <c r="J7" s="266"/>
    </row>
    <row r="8" spans="1:45">
      <c r="B8" s="262" t="s">
        <v>116</v>
      </c>
      <c r="C8" s="263"/>
      <c r="D8" s="264" t="str">
        <f>エンティティ一覧!AE2&amp;"_"&amp;D5&amp;"_mart_2riyo_patient_id_rcp"</f>
        <v>sny_202310_backup_mart_2riyo_patient_id_rcp</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milscm_2023_009.sny_202310_backup_mart_2riyo_patient_id_rcp;</v>
      </c>
      <c r="O10" s="76"/>
      <c r="P10" s="76"/>
      <c r="Q10" s="76"/>
      <c r="R10" s="76"/>
      <c r="S10" s="76"/>
      <c r="T10" s="76"/>
      <c r="AJ10" s="76" t="str">
        <f>"ALTER TABLE ONLY "&amp;エンティティ一覧!$O$2&amp;"."&amp;D$8</f>
        <v>ALTER TABLE ONLY milscm_2023_009.sny_202310_backup_mart_2riyo_patient_id_rcp</v>
      </c>
      <c r="AS10" s="76" t="str">
        <f>"ALTER TABLE "&amp;エンティティ一覧!$O$2&amp;"."&amp;D$8&amp;" OWNER TO pgmisgrp1;"</f>
        <v>ALTER TABLE milscm_2023_009.sny_202310_backup_mart_2riyo_patient_id_rcp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milscm_2023_009.sny_202310_backup_mart_2riyo_patient_id_rcp</v>
      </c>
      <c r="O11" s="76"/>
      <c r="P11" s="76"/>
      <c r="Q11" s="76"/>
      <c r="R11" s="76"/>
      <c r="S11" s="76"/>
      <c r="T11" s="76"/>
      <c r="AJ11" s="76" t="str">
        <f>"ADD CONSTRAINT "&amp;D$8&amp;"_pkey PRIMARY KEY"</f>
        <v>ADD CONSTRAINT sny_202310_backup_mart_2riyo_patient_id_rcp_pkey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1822</v>
      </c>
      <c r="D15" s="6" t="s">
        <v>1823</v>
      </c>
      <c r="E15" s="8" t="s">
        <v>127</v>
      </c>
      <c r="F15" s="7" t="s">
        <v>1737</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1826</v>
      </c>
      <c r="D16" s="6" t="s">
        <v>1827</v>
      </c>
      <c r="E16" s="8"/>
      <c r="F16" s="7" t="s">
        <v>1828</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1829</v>
      </c>
      <c r="D17" s="6" t="s">
        <v>1830</v>
      </c>
      <c r="E17" s="8"/>
      <c r="F17" s="7" t="s">
        <v>1821</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1831</v>
      </c>
      <c r="D18" s="6" t="s">
        <v>945</v>
      </c>
      <c r="E18" s="8" t="s">
        <v>127</v>
      </c>
      <c r="F18" s="7" t="s">
        <v>1737</v>
      </c>
      <c r="G18" s="7" t="str">
        <f t="shared" si="3"/>
        <v>text</v>
      </c>
      <c r="H18" s="26"/>
      <c r="I18" s="10" t="s">
        <v>127</v>
      </c>
      <c r="J18" s="11" t="s">
        <v>1836</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milscm_2023_009.sny_202310_backup_mart_2riyo_patient_id_rcp.sex_kubun IS '男女区分';</v>
      </c>
    </row>
    <row r="19" spans="1:52" s="25" customFormat="1" ht="57" thickBot="1">
      <c r="A19" s="4"/>
      <c r="B19" s="27">
        <f>ROW()-12</f>
        <v>7</v>
      </c>
      <c r="C19" s="57" t="s">
        <v>1832</v>
      </c>
      <c r="D19" s="57" t="s">
        <v>322</v>
      </c>
      <c r="E19" s="56" t="s">
        <v>127</v>
      </c>
      <c r="F19" s="56" t="s">
        <v>1737</v>
      </c>
      <c r="G19" s="56" t="str">
        <f t="shared" si="3"/>
        <v>text</v>
      </c>
      <c r="H19" s="59"/>
      <c r="I19" s="60" t="s">
        <v>127</v>
      </c>
      <c r="J19" s="64" t="s">
        <v>1837</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ENT_01_A1-10</v>
      </c>
      <c r="E6" s="273"/>
      <c r="F6" s="273"/>
      <c r="G6" s="273"/>
      <c r="H6" s="273"/>
      <c r="I6" s="273"/>
      <c r="J6" s="274"/>
    </row>
    <row r="7" spans="1:45">
      <c r="B7" s="262" t="s">
        <v>115</v>
      </c>
      <c r="C7" s="263"/>
      <c r="D7" s="264" t="s">
        <v>1838</v>
      </c>
      <c r="E7" s="265"/>
      <c r="F7" s="265"/>
      <c r="G7" s="265"/>
      <c r="H7" s="265"/>
      <c r="I7" s="265"/>
      <c r="J7" s="266"/>
    </row>
    <row r="8" spans="1:45">
      <c r="B8" s="262" t="s">
        <v>116</v>
      </c>
      <c r="C8" s="263"/>
      <c r="D8" s="264" t="str">
        <f>エンティティ一覧!AE2&amp;"_"&amp;D5&amp;"_mart_2riyo_patient_id_mml"</f>
        <v>sny_202310_backup_mart_2riyo_patient_id_mml</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milscm_2023_009.sny_202310_backup_mart_2riyo_patient_id_mml;</v>
      </c>
      <c r="O10" s="76"/>
      <c r="P10" s="76"/>
      <c r="Q10" s="76"/>
      <c r="R10" s="76"/>
      <c r="S10" s="76"/>
      <c r="T10" s="76"/>
      <c r="AJ10" s="76" t="str">
        <f>"ALTER TABLE ONLY "&amp;エンティティ一覧!$O$2&amp;"."&amp;D$8</f>
        <v>ALTER TABLE ONLY milscm_2023_009.sny_202310_backup_mart_2riyo_patient_id_mml</v>
      </c>
      <c r="AS10" s="76" t="str">
        <f>"ALTER TABLE "&amp;エンティティ一覧!$O$2&amp;"."&amp;D$8&amp;" OWNER TO pgmisgrp1;"</f>
        <v>ALTER TABLE milscm_2023_009.sny_202310_backup_mart_2riyo_patient_id_mml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milscm_2023_009.sny_202310_backup_mart_2riyo_patient_id_mml</v>
      </c>
      <c r="O11" s="76"/>
      <c r="P11" s="76"/>
      <c r="Q11" s="76"/>
      <c r="R11" s="76"/>
      <c r="S11" s="76"/>
      <c r="T11" s="76"/>
      <c r="AJ11" s="76" t="str">
        <f>"ADD CONSTRAINT "&amp;D$8&amp;"_pkey PRIMARY KEY"</f>
        <v>ADD CONSTRAINT sny_202310_backup_mart_2riyo_patient_id_mml_pkey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1822</v>
      </c>
      <c r="D15" s="6" t="s">
        <v>1823</v>
      </c>
      <c r="E15" s="8" t="s">
        <v>127</v>
      </c>
      <c r="F15" s="7" t="s">
        <v>1737</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milscm_2023_009.sny_202310_backup_mart_2riyo_patient_id_mml.patient_id IS '患者ID';</v>
      </c>
    </row>
    <row r="16" spans="1:45" s="25" customFormat="1">
      <c r="A16" s="4"/>
      <c r="B16" s="21">
        <f t="shared" si="2"/>
        <v>4</v>
      </c>
      <c r="C16" s="6" t="s">
        <v>1831</v>
      </c>
      <c r="D16" s="6" t="s">
        <v>945</v>
      </c>
      <c r="E16" s="8" t="s">
        <v>127</v>
      </c>
      <c r="F16" s="7" t="s">
        <v>1737</v>
      </c>
      <c r="G16" s="7" t="str">
        <f t="shared" si="3"/>
        <v>text</v>
      </c>
      <c r="H16" s="26"/>
      <c r="I16" s="10" t="s">
        <v>127</v>
      </c>
      <c r="J16" s="11" t="s">
        <v>1839</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milscm_2023_009.sny_202310_backup_mart_2riyo_patient_id_mml.sex_kubun IS '男女区分';</v>
      </c>
    </row>
    <row r="17" spans="1:52" s="25" customFormat="1" ht="56.25">
      <c r="A17" s="4"/>
      <c r="B17" s="21">
        <f t="shared" si="2"/>
        <v>5</v>
      </c>
      <c r="C17" s="6" t="s">
        <v>1832</v>
      </c>
      <c r="D17" s="6" t="s">
        <v>322</v>
      </c>
      <c r="E17" s="8" t="s">
        <v>127</v>
      </c>
      <c r="F17" s="7" t="s">
        <v>1737</v>
      </c>
      <c r="G17" s="7" t="str">
        <f t="shared" si="3"/>
        <v>text</v>
      </c>
      <c r="H17" s="26"/>
      <c r="I17" s="10" t="s">
        <v>127</v>
      </c>
      <c r="J17" s="11" t="s">
        <v>1837</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milscm_2023_009.sny_202310_backup_mart_2riyo_patient_id_mml.birthday IS '生年月日';</v>
      </c>
    </row>
    <row r="18" spans="1:52" s="25" customFormat="1" ht="56.25">
      <c r="A18" s="4"/>
      <c r="B18" s="21">
        <f t="shared" si="2"/>
        <v>6</v>
      </c>
      <c r="C18" s="6" t="s">
        <v>1278</v>
      </c>
      <c r="D18" s="6" t="s">
        <v>1279</v>
      </c>
      <c r="E18" s="8" t="s">
        <v>127</v>
      </c>
      <c r="F18" s="7" t="s">
        <v>317</v>
      </c>
      <c r="G18" s="7" t="str">
        <f t="shared" si="3"/>
        <v>text</v>
      </c>
      <c r="H18" s="26"/>
      <c r="I18" s="10" t="s">
        <v>127</v>
      </c>
      <c r="J18" s="11" t="s">
        <v>1840</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milscm_2023_009.sny_202310_backup_mart_2riyo_patient_id_mml.death_flag IS '死亡フラグ';</v>
      </c>
    </row>
    <row r="19" spans="1:52" s="25" customFormat="1" ht="57" thickBot="1">
      <c r="A19" s="4"/>
      <c r="B19" s="27">
        <f>ROW()-12</f>
        <v>7</v>
      </c>
      <c r="C19" s="57" t="s">
        <v>1280</v>
      </c>
      <c r="D19" s="57" t="s">
        <v>1281</v>
      </c>
      <c r="E19" s="56" t="s">
        <v>127</v>
      </c>
      <c r="F19" s="56" t="s">
        <v>317</v>
      </c>
      <c r="G19" s="56" t="str">
        <f t="shared" si="3"/>
        <v>text</v>
      </c>
      <c r="H19" s="59"/>
      <c r="I19" s="60" t="s">
        <v>127</v>
      </c>
      <c r="J19" s="64" t="s">
        <v>1841</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milscm_2023_009.sny_202310_backup_mart_2riyo_patient_id_mml.death_date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ENT_01_A1-11</v>
      </c>
      <c r="E6" s="273"/>
      <c r="F6" s="273"/>
      <c r="G6" s="273"/>
      <c r="H6" s="273"/>
      <c r="I6" s="273"/>
      <c r="J6" s="274"/>
    </row>
    <row r="7" spans="1:45">
      <c r="B7" s="262" t="s">
        <v>115</v>
      </c>
      <c r="C7" s="263"/>
      <c r="D7" s="264" t="s">
        <v>1842</v>
      </c>
      <c r="E7" s="265"/>
      <c r="F7" s="265"/>
      <c r="G7" s="265"/>
      <c r="H7" s="265"/>
      <c r="I7" s="265"/>
      <c r="J7" s="266"/>
    </row>
    <row r="8" spans="1:45">
      <c r="B8" s="262" t="s">
        <v>116</v>
      </c>
      <c r="C8" s="263"/>
      <c r="D8" s="264" t="str">
        <f>エンティティ一覧!AE2&amp;"_"&amp;D5&amp;"_mart_2riyo_patient_himoduke"</f>
        <v>sny_202310_backup_mart_2riyo_patient_himoduke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milscm_2023_009.sny_202310_backup_mart_2riyo_patient_himoduke;</v>
      </c>
      <c r="O10" s="76"/>
      <c r="P10" s="76"/>
      <c r="Q10" s="76"/>
      <c r="R10" s="76"/>
      <c r="S10" s="76"/>
      <c r="T10" s="76"/>
      <c r="AJ10" s="76" t="str">
        <f>"ALTER TABLE ONLY "&amp;エンティティ一覧!$O$2&amp;"."&amp;D$8</f>
        <v>ALTER TABLE ONLY milscm_2023_009.sny_202310_backup_mart_2riyo_patient_himoduke</v>
      </c>
      <c r="AS10" s="76" t="str">
        <f>"ALTER TABLE "&amp;エンティティ一覧!$O$2&amp;"."&amp;D$8&amp;" OWNER TO pgmisgrp1;"</f>
        <v>ALTER TABLE milscm_2023_009.sny_202310_backup_mart_2riyo_patient_himoduke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milscm_2023_009.sny_202310_backup_mart_2riyo_patient_himoduke</v>
      </c>
      <c r="O11" s="76"/>
      <c r="P11" s="76"/>
      <c r="Q11" s="76"/>
      <c r="R11" s="76"/>
      <c r="S11" s="76"/>
      <c r="T11" s="76"/>
      <c r="AJ11" s="76" t="str">
        <f>"ADD CONSTRAINT "&amp;D$8&amp;"_pkey PRIMARY KEY"</f>
        <v>ADD CONSTRAINT sny_202310_backup_mart_2riyo_patient_himoduke_pkey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1843</v>
      </c>
      <c r="D13" s="6" t="s">
        <v>128</v>
      </c>
      <c r="E13" s="8" t="s">
        <v>127</v>
      </c>
      <c r="F13" s="8" t="s">
        <v>1828</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1844</v>
      </c>
      <c r="D14" s="6" t="s">
        <v>1845</v>
      </c>
      <c r="E14" s="8" t="s">
        <v>127</v>
      </c>
      <c r="F14" s="7" t="s">
        <v>1828</v>
      </c>
      <c r="G14" s="7" t="str">
        <f t="shared" ref="G14:G16" si="3">IF(F14="フラグ","boolean",IF(F14="文字列","text",IF(F14="整数","integer",IF(F14="実数","numeric",""))))</f>
        <v>text</v>
      </c>
      <c r="H14" s="26"/>
      <c r="I14" s="10" t="s">
        <v>127</v>
      </c>
      <c r="J14" s="11" t="s">
        <v>1846</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1820</v>
      </c>
      <c r="D15" s="6" t="s">
        <v>208</v>
      </c>
      <c r="E15" s="8" t="s">
        <v>127</v>
      </c>
      <c r="F15" s="7" t="s">
        <v>1821</v>
      </c>
      <c r="G15" s="7" t="str">
        <f t="shared" si="3"/>
        <v>text</v>
      </c>
      <c r="H15" s="26"/>
      <c r="I15" s="10" t="s">
        <v>127</v>
      </c>
      <c r="J15" s="11" t="s">
        <v>1824</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milscm_2023_009.sny_202310_backup_mart_2riyo_patient_himoduke.data_type IS 'データ種別';</v>
      </c>
    </row>
    <row r="16" spans="1:45" s="25" customFormat="1" ht="19.5" thickBot="1">
      <c r="A16" s="4"/>
      <c r="B16" s="27">
        <f>ROW()-12</f>
        <v>4</v>
      </c>
      <c r="C16" s="57" t="s">
        <v>1822</v>
      </c>
      <c r="D16" s="57" t="s">
        <v>1823</v>
      </c>
      <c r="E16" s="56" t="s">
        <v>127</v>
      </c>
      <c r="F16" s="56" t="s">
        <v>1737</v>
      </c>
      <c r="G16" s="56" t="str">
        <f t="shared" si="3"/>
        <v>text</v>
      </c>
      <c r="H16" s="59"/>
      <c r="I16" s="60" t="s">
        <v>127</v>
      </c>
      <c r="J16" s="64"/>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ENT_01_A1-13</v>
      </c>
      <c r="E6" s="273"/>
      <c r="F6" s="273"/>
      <c r="G6" s="273"/>
      <c r="H6" s="273"/>
      <c r="I6" s="273"/>
      <c r="J6" s="274"/>
    </row>
    <row r="7" spans="1:45">
      <c r="B7" s="262" t="s">
        <v>115</v>
      </c>
      <c r="C7" s="263"/>
      <c r="D7" s="264" t="s">
        <v>1848</v>
      </c>
      <c r="E7" s="265"/>
      <c r="F7" s="265"/>
      <c r="G7" s="265"/>
      <c r="H7" s="265"/>
      <c r="I7" s="265"/>
      <c r="J7" s="266"/>
    </row>
    <row r="8" spans="1:45">
      <c r="B8" s="262" t="s">
        <v>116</v>
      </c>
      <c r="C8" s="263"/>
      <c r="D8" s="264" t="str">
        <f>エンティティ一覧!AE2&amp;"_"&amp;D5&amp;"_mart_error_patient"</f>
        <v>sny_202310_backup_mart_error_patient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エラー患者データテーブルから組入れ条件の第一条件で絞り込んだ結果を格納するテーブル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milscm_2023_009.sny_202310_backup_mart_error_patient;</v>
      </c>
      <c r="O10" s="76"/>
      <c r="P10" s="76"/>
      <c r="Q10" s="76"/>
      <c r="R10" s="76"/>
      <c r="S10" s="76"/>
      <c r="T10" s="76"/>
      <c r="AJ10" s="76" t="str">
        <f>"ALTER TABLE ONLY "&amp;エンティティ一覧!$O$2&amp;"."&amp;D$8</f>
        <v>ALTER TABLE ONLY milscm_2023_009.sny_202310_backup_mart_error_patient</v>
      </c>
      <c r="AS10" s="76" t="str">
        <f>"ALTER TABLE "&amp;エンティティ一覧!$O$2&amp;"."&amp;D$8&amp;" OWNER TO pgmisgrp1;"</f>
        <v>ALTER TABLE milscm_2023_009.sny_202310_backup_mart_error_patient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milscm_2023_009.sny_202310_backup_mart_error_patient</v>
      </c>
      <c r="O11" s="76"/>
      <c r="P11" s="76"/>
      <c r="Q11" s="76"/>
      <c r="R11" s="76"/>
      <c r="S11" s="76"/>
      <c r="T11" s="76"/>
      <c r="AJ11" s="76" t="str">
        <f>"ADD CONSTRAINT "&amp;D$8&amp;"_pkey PRIMARY KEY"</f>
        <v>ADD CONSTRAINT sny_202310_backup_mart_error_patient_pkey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1843</v>
      </c>
      <c r="D13" s="6" t="s">
        <v>128</v>
      </c>
      <c r="E13" s="8" t="s">
        <v>127</v>
      </c>
      <c r="F13" s="8" t="s">
        <v>1828</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1844</v>
      </c>
      <c r="D14" s="6" t="s">
        <v>1845</v>
      </c>
      <c r="E14" s="8" t="s">
        <v>127</v>
      </c>
      <c r="F14" s="7" t="s">
        <v>1828</v>
      </c>
      <c r="G14" s="7" t="str">
        <f t="shared" ref="G14:G16" si="3">IF(F14="フラグ","boolean",IF(F14="文字列","text",IF(F14="整数","integer",IF(F14="実数","numeric",""))))</f>
        <v>text</v>
      </c>
      <c r="H14" s="26"/>
      <c r="I14" s="10" t="s">
        <v>127</v>
      </c>
      <c r="J14" s="11" t="s">
        <v>1846</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1820</v>
      </c>
      <c r="D15" s="6" t="s">
        <v>208</v>
      </c>
      <c r="E15" s="8" t="s">
        <v>127</v>
      </c>
      <c r="F15" s="7" t="s">
        <v>1821</v>
      </c>
      <c r="G15" s="7" t="str">
        <f t="shared" si="3"/>
        <v>text</v>
      </c>
      <c r="H15" s="26"/>
      <c r="I15" s="10" t="s">
        <v>127</v>
      </c>
      <c r="J15" s="11" t="s">
        <v>1824</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milscm_2023_009.sny_202310_backup_mart_error_patient.data_type IS 'データ種別';</v>
      </c>
    </row>
    <row r="16" spans="1:45" s="25" customFormat="1" ht="19.5" thickBot="1">
      <c r="A16" s="4"/>
      <c r="B16" s="27">
        <f>ROW()-12</f>
        <v>4</v>
      </c>
      <c r="C16" s="57" t="s">
        <v>1822</v>
      </c>
      <c r="D16" s="57" t="s">
        <v>1823</v>
      </c>
      <c r="E16" s="56" t="s">
        <v>127</v>
      </c>
      <c r="F16" s="56" t="s">
        <v>1737</v>
      </c>
      <c r="G16" s="56" t="str">
        <f t="shared" si="3"/>
        <v>text</v>
      </c>
      <c r="H16" s="59"/>
      <c r="I16" s="60" t="s">
        <v>127</v>
      </c>
      <c r="J16" s="64"/>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ENT_01_A1-14</v>
      </c>
      <c r="E6" s="273"/>
      <c r="F6" s="273"/>
      <c r="G6" s="273"/>
      <c r="H6" s="273"/>
      <c r="I6" s="273"/>
      <c r="J6" s="274"/>
    </row>
    <row r="7" spans="1:45">
      <c r="B7" s="262" t="s">
        <v>115</v>
      </c>
      <c r="C7" s="263"/>
      <c r="D7" s="264" t="s">
        <v>1849</v>
      </c>
      <c r="E7" s="265"/>
      <c r="F7" s="265"/>
      <c r="G7" s="265"/>
      <c r="H7" s="265"/>
      <c r="I7" s="265"/>
      <c r="J7" s="266"/>
    </row>
    <row r="8" spans="1:45">
      <c r="B8" s="262" t="s">
        <v>116</v>
      </c>
      <c r="C8" s="263"/>
      <c r="D8" s="264" t="str">
        <f>エンティティ一覧!AE2&amp;"_"&amp;D5&amp;"_mart_patient_basic"</f>
        <v>sny_202310_backup_mart_patient_basic</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患者基本データテーブルから組入れ条件の第一条件で絞り込んだ結果を格納するテーブル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milscm_2023_009.sny_202310_backup_mart_patient_basic;</v>
      </c>
      <c r="O10" s="76"/>
      <c r="P10" s="76"/>
      <c r="Q10" s="76"/>
      <c r="R10" s="76"/>
      <c r="S10" s="76"/>
      <c r="T10" s="76"/>
      <c r="AJ10" s="76" t="str">
        <f>"ALTER TABLE ONLY "&amp;エンティティ一覧!$O$2&amp;"."&amp;D$8</f>
        <v>ALTER TABLE ONLY milscm_2023_009.sny_202310_backup_mart_patient_basic</v>
      </c>
      <c r="AS10" s="76" t="str">
        <f>"ALTER TABLE "&amp;エンティティ一覧!$O$2&amp;"."&amp;D$8&amp;" OWNER TO pgmisgrp1;"</f>
        <v>ALTER TABLE milscm_2023_009.sny_202310_backup_mart_patient_basic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milscm_2023_009.sny_202310_backup_mart_patient_basic</v>
      </c>
      <c r="O11" s="76"/>
      <c r="P11" s="76"/>
      <c r="Q11" s="76"/>
      <c r="R11" s="76"/>
      <c r="S11" s="76"/>
      <c r="T11" s="76"/>
      <c r="AJ11" s="76" t="str">
        <f>"ADD CONSTRAINT "&amp;D$8&amp;"_pkey PRIMARY KEY"</f>
        <v>ADD CONSTRAINT sny_202310_backup_mart_patient_basic_pkey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1843</v>
      </c>
      <c r="D13" s="6" t="s">
        <v>128</v>
      </c>
      <c r="E13" s="8" t="s">
        <v>127</v>
      </c>
      <c r="F13" s="8" t="s">
        <v>1828</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1844</v>
      </c>
      <c r="D14" s="6" t="s">
        <v>1845</v>
      </c>
      <c r="E14" s="8" t="s">
        <v>127</v>
      </c>
      <c r="F14" s="7" t="s">
        <v>1828</v>
      </c>
      <c r="G14" s="7" t="str">
        <f t="shared" ref="G14:G21" si="3">IF(F14="フラグ","boolean",IF(F14="文字列","text",IF(F14="整数","integer",IF(F14="実数","numeric",""))))</f>
        <v>text</v>
      </c>
      <c r="H14" s="26"/>
      <c r="I14" s="10" t="s">
        <v>127</v>
      </c>
      <c r="J14" s="11" t="s">
        <v>1846</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1820</v>
      </c>
      <c r="D15" s="6" t="s">
        <v>208</v>
      </c>
      <c r="E15" s="8" t="s">
        <v>127</v>
      </c>
      <c r="F15" s="7" t="s">
        <v>1821</v>
      </c>
      <c r="G15" s="7" t="str">
        <f t="shared" ref="G15:G19" si="7">IF(F15="フラグ","boolean",IF(F15="文字列","text",IF(F15="整数","integer",IF(F15="実数","numeric",""))))</f>
        <v>text</v>
      </c>
      <c r="H15" s="26"/>
      <c r="I15" s="10" t="s">
        <v>127</v>
      </c>
      <c r="J15" s="11" t="s">
        <v>1824</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1826</v>
      </c>
      <c r="D16" s="6" t="s">
        <v>1827</v>
      </c>
      <c r="E16" s="8"/>
      <c r="F16" s="7" t="s">
        <v>1828</v>
      </c>
      <c r="G16" s="7" t="str">
        <f t="shared" si="7"/>
        <v>text</v>
      </c>
      <c r="H16" s="26"/>
      <c r="I16" s="10"/>
      <c r="J16" s="11" t="s">
        <v>1850</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1829</v>
      </c>
      <c r="D17" s="6" t="s">
        <v>1830</v>
      </c>
      <c r="E17" s="8"/>
      <c r="F17" s="7" t="s">
        <v>1821</v>
      </c>
      <c r="G17" s="7" t="str">
        <f t="shared" si="7"/>
        <v>text</v>
      </c>
      <c r="H17" s="26"/>
      <c r="I17" s="10"/>
      <c r="J17" s="11" t="s">
        <v>1850</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milscm_2023_009.sny_202310_backup_mart_patient_basic.shinryo_ym_max IS '診療年月_最大';</v>
      </c>
    </row>
    <row r="18" spans="1:52" s="25" customFormat="1">
      <c r="A18" s="4"/>
      <c r="B18" s="21">
        <f t="shared" si="2"/>
        <v>6</v>
      </c>
      <c r="C18" s="6" t="s">
        <v>1831</v>
      </c>
      <c r="D18" s="6" t="s">
        <v>945</v>
      </c>
      <c r="E18" s="8"/>
      <c r="F18" s="7" t="s">
        <v>1737</v>
      </c>
      <c r="G18" s="7" t="str">
        <f t="shared" si="7"/>
        <v>text</v>
      </c>
      <c r="H18" s="26"/>
      <c r="I18" s="10" t="s">
        <v>127</v>
      </c>
      <c r="J18" s="11" t="s">
        <v>1851</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milscm_2023_009.sny_202310_backup_mart_patient_basic.sex_kubun IS '男女区分';</v>
      </c>
    </row>
    <row r="19" spans="1:52" s="25" customFormat="1" ht="56.25">
      <c r="A19" s="4"/>
      <c r="B19" s="21">
        <f t="shared" si="2"/>
        <v>7</v>
      </c>
      <c r="C19" s="6" t="s">
        <v>1832</v>
      </c>
      <c r="D19" s="6" t="s">
        <v>322</v>
      </c>
      <c r="E19" s="8"/>
      <c r="F19" s="7" t="s">
        <v>1737</v>
      </c>
      <c r="G19" s="7" t="str">
        <f t="shared" si="7"/>
        <v>text</v>
      </c>
      <c r="H19" s="26"/>
      <c r="I19" s="10" t="s">
        <v>127</v>
      </c>
      <c r="J19" s="11" t="s">
        <v>1852</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milscm_2023_009.sny_202310_backup_mart_patient_basic.birthday IS '生年月日';</v>
      </c>
    </row>
    <row r="20" spans="1:52" s="25" customFormat="1" ht="75">
      <c r="A20" s="4"/>
      <c r="B20" s="21">
        <f t="shared" si="2"/>
        <v>8</v>
      </c>
      <c r="C20" s="6" t="s">
        <v>1278</v>
      </c>
      <c r="D20" s="6" t="s">
        <v>1279</v>
      </c>
      <c r="E20" s="8"/>
      <c r="F20" s="7" t="s">
        <v>317</v>
      </c>
      <c r="G20" s="7" t="str">
        <f t="shared" si="3"/>
        <v>text</v>
      </c>
      <c r="H20" s="26"/>
      <c r="I20" s="10"/>
      <c r="J20" s="11" t="s">
        <v>1853</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milscm_2023_009.sny_202310_backup_mart_patient_basic.death_flag IS '死亡フラグ';</v>
      </c>
    </row>
    <row r="21" spans="1:52" s="25" customFormat="1" ht="75.75" thickBot="1">
      <c r="A21" s="4"/>
      <c r="B21" s="27">
        <f>ROW()-12</f>
        <v>9</v>
      </c>
      <c r="C21" s="57" t="s">
        <v>1280</v>
      </c>
      <c r="D21" s="57" t="s">
        <v>1281</v>
      </c>
      <c r="E21" s="56"/>
      <c r="F21" s="56" t="s">
        <v>317</v>
      </c>
      <c r="G21" s="56" t="str">
        <f t="shared" si="3"/>
        <v>text</v>
      </c>
      <c r="H21" s="59"/>
      <c r="I21" s="60"/>
      <c r="J21" s="64" t="s">
        <v>1854</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ENT_01_A3-02</v>
      </c>
      <c r="E6" s="273"/>
      <c r="F6" s="273"/>
      <c r="G6" s="273"/>
      <c r="H6" s="273"/>
      <c r="I6" s="273"/>
      <c r="J6" s="274"/>
    </row>
    <row r="7" spans="1:45">
      <c r="B7" s="262" t="s">
        <v>115</v>
      </c>
      <c r="C7" s="263"/>
      <c r="D7" s="264" t="s">
        <v>1855</v>
      </c>
      <c r="E7" s="265"/>
      <c r="F7" s="265"/>
      <c r="G7" s="265"/>
      <c r="H7" s="265"/>
      <c r="I7" s="265"/>
      <c r="J7" s="266"/>
    </row>
    <row r="8" spans="1:45">
      <c r="B8" s="262" t="s">
        <v>116</v>
      </c>
      <c r="C8" s="263"/>
      <c r="D8" s="264" t="str">
        <f>エンティティ一覧!AE2&amp;"_"&amp;D5&amp;"_mt_shisetsu_zokusei"</f>
        <v>sny_202310_backup_mt_shisetsu_zokusei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milscm_2023_009.sny_202310_backup_mt_shisetsu_zokusei;</v>
      </c>
      <c r="O10" s="76"/>
      <c r="P10" s="76"/>
      <c r="Q10" s="76"/>
      <c r="R10" s="76"/>
      <c r="S10" s="76"/>
      <c r="T10" s="76"/>
      <c r="AJ10" s="76" t="str">
        <f>"ALTER TABLE ONLY "&amp;エンティティ一覧!$O$2&amp;"."&amp;D$8</f>
        <v>ALTER TABLE ONLY milscm_2023_009.sny_202310_backup_mt_shisetsu_zokusei</v>
      </c>
      <c r="AS10" s="76" t="str">
        <f>"ALTER TABLE "&amp;エンティティ一覧!$O$2&amp;"."&amp;D$8&amp;" OWNER TO pgmisgrp1;"</f>
        <v>ALTER TABLE milscm_2023_009.sny_202310_backup_mt_shisetsu_zokusei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milscm_2023_009.sny_202310_backup_mt_shisetsu_zokusei</v>
      </c>
      <c r="O11" s="76"/>
      <c r="P11" s="76"/>
      <c r="Q11" s="76"/>
      <c r="R11" s="76"/>
      <c r="S11" s="76"/>
      <c r="T11" s="76"/>
      <c r="AJ11" s="76" t="str">
        <f>"ADD CONSTRAINT "&amp;D$8&amp;"_pkey PRIMARY KEY"</f>
        <v>ADD CONSTRAINT sny_202310_backup_mt_shisetsu_zokusei_pkey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1882</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milscm_2023_009.sny_202310_backup_mt_shisetsu_zokusei.facility_id IS '施設ID';</v>
      </c>
    </row>
    <row r="14" spans="1:45" s="25" customFormat="1">
      <c r="A14" s="4"/>
      <c r="B14" s="21">
        <f t="shared" ref="B14:B25" si="2">ROW()-12</f>
        <v>2</v>
      </c>
      <c r="C14" s="6" t="s">
        <v>1856</v>
      </c>
      <c r="D14" s="6" t="s">
        <v>1857</v>
      </c>
      <c r="E14" s="8"/>
      <c r="F14" s="7" t="s">
        <v>204</v>
      </c>
      <c r="G14" s="7" t="str">
        <f t="shared" ref="G14:G26" si="3">IF(F14="フラグ","boolean",IF(F14="文字列","text",IF(F14="整数","integer",IF(F14="実数","numeric",""))))</f>
        <v>integer</v>
      </c>
      <c r="H14" s="26">
        <v>0</v>
      </c>
      <c r="I14" s="10" t="s">
        <v>127</v>
      </c>
      <c r="J14" s="11" t="s">
        <v>1883</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milscm_2023_009.sny_202310_backup_mt_shisetsu_zokusei.ippan_bed IS '一般病床';</v>
      </c>
    </row>
    <row r="15" spans="1:45" s="25" customFormat="1">
      <c r="A15" s="4"/>
      <c r="B15" s="21">
        <f t="shared" si="2"/>
        <v>3</v>
      </c>
      <c r="C15" s="6" t="s">
        <v>1858</v>
      </c>
      <c r="D15" s="6" t="s">
        <v>1859</v>
      </c>
      <c r="E15" s="8"/>
      <c r="F15" s="7" t="s">
        <v>204</v>
      </c>
      <c r="G15" s="7" t="str">
        <f t="shared" si="3"/>
        <v>integer</v>
      </c>
      <c r="H15" s="26">
        <v>0</v>
      </c>
      <c r="I15" s="10" t="s">
        <v>127</v>
      </c>
      <c r="J15" s="11" t="s">
        <v>1883</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milscm_2023_009.sny_202310_backup_mt_shisetsu_zokusei.seishin_bed IS '精神病床';</v>
      </c>
    </row>
    <row r="16" spans="1:45" s="25" customFormat="1">
      <c r="A16" s="4"/>
      <c r="B16" s="21">
        <f t="shared" si="2"/>
        <v>4</v>
      </c>
      <c r="C16" s="6" t="s">
        <v>1860</v>
      </c>
      <c r="D16" s="6" t="s">
        <v>1861</v>
      </c>
      <c r="E16" s="8"/>
      <c r="F16" s="7" t="s">
        <v>204</v>
      </c>
      <c r="G16" s="7" t="str">
        <f t="shared" si="3"/>
        <v>integer</v>
      </c>
      <c r="H16" s="26">
        <v>0</v>
      </c>
      <c r="I16" s="10" t="s">
        <v>127</v>
      </c>
      <c r="J16" s="11" t="s">
        <v>1883</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milscm_2023_009.sny_202310_backup_mt_shisetsu_zokusei.kansen_bed IS '感染症病床';</v>
      </c>
    </row>
    <row r="17" spans="1:52" s="25" customFormat="1">
      <c r="A17" s="4"/>
      <c r="B17" s="21">
        <f t="shared" si="2"/>
        <v>5</v>
      </c>
      <c r="C17" s="6" t="s">
        <v>1862</v>
      </c>
      <c r="D17" s="6" t="s">
        <v>1863</v>
      </c>
      <c r="E17" s="8"/>
      <c r="F17" s="7" t="s">
        <v>204</v>
      </c>
      <c r="G17" s="7" t="str">
        <f t="shared" si="3"/>
        <v>integer</v>
      </c>
      <c r="H17" s="26">
        <v>0</v>
      </c>
      <c r="I17" s="10" t="s">
        <v>127</v>
      </c>
      <c r="J17" s="11" t="s">
        <v>1883</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milscm_2023_009.sny_202310_backup_mt_shisetsu_zokusei.kekkaku_bed IS '結核病床';</v>
      </c>
    </row>
    <row r="18" spans="1:52" s="25" customFormat="1">
      <c r="A18" s="4"/>
      <c r="B18" s="21">
        <f t="shared" si="2"/>
        <v>6</v>
      </c>
      <c r="C18" s="6" t="s">
        <v>1864</v>
      </c>
      <c r="D18" s="6" t="s">
        <v>1865</v>
      </c>
      <c r="E18" s="8"/>
      <c r="F18" s="7" t="s">
        <v>204</v>
      </c>
      <c r="G18" s="7" t="str">
        <f t="shared" si="3"/>
        <v>integer</v>
      </c>
      <c r="H18" s="26">
        <v>0</v>
      </c>
      <c r="I18" s="10" t="s">
        <v>127</v>
      </c>
      <c r="J18" s="11" t="s">
        <v>1883</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milscm_2023_009.sny_202310_backup_mt_shisetsu_zokusei.ryouyou_bed IS '療養病床';</v>
      </c>
    </row>
    <row r="19" spans="1:52" s="25" customFormat="1" ht="37.5">
      <c r="A19" s="4"/>
      <c r="B19" s="21">
        <f t="shared" si="2"/>
        <v>7</v>
      </c>
      <c r="C19" s="6" t="s">
        <v>1866</v>
      </c>
      <c r="D19" s="6" t="s">
        <v>1867</v>
      </c>
      <c r="E19" s="8"/>
      <c r="F19" s="7" t="s">
        <v>737</v>
      </c>
      <c r="G19" s="7" t="str">
        <f t="shared" si="3"/>
        <v>text</v>
      </c>
      <c r="H19" s="26">
        <v>0</v>
      </c>
      <c r="I19" s="10" t="s">
        <v>127</v>
      </c>
      <c r="J19" s="11" t="s">
        <v>1884</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milscm_2023_009.sny_202310_backup_mt_shisetsu_zokusei.univ_hp_f IS '大学病院F';</v>
      </c>
    </row>
    <row r="20" spans="1:52" s="25" customFormat="1" ht="56.25">
      <c r="A20" s="4"/>
      <c r="B20" s="21">
        <f t="shared" si="2"/>
        <v>8</v>
      </c>
      <c r="C20" s="6" t="s">
        <v>1868</v>
      </c>
      <c r="D20" s="6" t="s">
        <v>1869</v>
      </c>
      <c r="E20" s="8"/>
      <c r="F20" s="7" t="s">
        <v>737</v>
      </c>
      <c r="G20" s="7" t="str">
        <f t="shared" ref="G20:G24" si="7">IF(F20="フラグ","boolean",IF(F20="文字列","text",IF(F20="整数","integer",IF(F20="実数","numeric",""))))</f>
        <v>text</v>
      </c>
      <c r="H20" s="26">
        <v>0</v>
      </c>
      <c r="I20" s="10" t="s">
        <v>127</v>
      </c>
      <c r="J20" s="11" t="s">
        <v>1885</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milscm_2023_009.sny_202310_backup_mt_shisetsu_zokusei.tokutei_hp_f IS '特定機能病院F';</v>
      </c>
    </row>
    <row r="21" spans="1:52" s="25" customFormat="1" ht="112.5">
      <c r="A21" s="4"/>
      <c r="B21" s="21">
        <f t="shared" si="2"/>
        <v>9</v>
      </c>
      <c r="C21" s="6" t="s">
        <v>1870</v>
      </c>
      <c r="D21" s="6" t="s">
        <v>1871</v>
      </c>
      <c r="E21" s="8"/>
      <c r="F21" s="7" t="s">
        <v>204</v>
      </c>
      <c r="G21" s="7" t="str">
        <f t="shared" si="7"/>
        <v>integer</v>
      </c>
      <c r="H21" s="26">
        <v>0</v>
      </c>
      <c r="I21" s="10" t="s">
        <v>127</v>
      </c>
      <c r="J21" s="11" t="s">
        <v>1886</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milscm_2023_009.sny_202310_backup_mt_shisetsu_zokusei.cancer_hp_f IS 'がん拠点病院F';</v>
      </c>
    </row>
    <row r="22" spans="1:52" s="25" customFormat="1" ht="37.5">
      <c r="A22" s="4"/>
      <c r="B22" s="21">
        <f t="shared" si="2"/>
        <v>10</v>
      </c>
      <c r="C22" s="6" t="s">
        <v>1872</v>
      </c>
      <c r="D22" s="6" t="s">
        <v>1873</v>
      </c>
      <c r="E22" s="8"/>
      <c r="F22" s="7" t="s">
        <v>737</v>
      </c>
      <c r="G22" s="7" t="str">
        <f t="shared" si="7"/>
        <v>text</v>
      </c>
      <c r="H22" s="26">
        <v>0</v>
      </c>
      <c r="I22" s="10" t="s">
        <v>127</v>
      </c>
      <c r="J22" s="11" t="s">
        <v>1887</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milscm_2023_009.sny_202310_backup_mt_shisetsu_zokusei.high_acute_care_hp_f IS '高度急性期病院F';</v>
      </c>
    </row>
    <row r="23" spans="1:52" s="25" customFormat="1" ht="37.5">
      <c r="A23" s="4"/>
      <c r="B23" s="21">
        <f t="shared" si="2"/>
        <v>11</v>
      </c>
      <c r="C23" s="6" t="s">
        <v>1874</v>
      </c>
      <c r="D23" s="6" t="s">
        <v>1875</v>
      </c>
      <c r="E23" s="8"/>
      <c r="F23" s="7" t="s">
        <v>737</v>
      </c>
      <c r="G23" s="7" t="str">
        <f t="shared" si="7"/>
        <v>text</v>
      </c>
      <c r="H23" s="26">
        <v>0</v>
      </c>
      <c r="I23" s="10" t="s">
        <v>127</v>
      </c>
      <c r="J23" s="11" t="s">
        <v>1888</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1876</v>
      </c>
      <c r="D24" s="6" t="s">
        <v>1877</v>
      </c>
      <c r="E24" s="8"/>
      <c r="F24" s="7" t="s">
        <v>737</v>
      </c>
      <c r="G24" s="7" t="str">
        <f t="shared" si="7"/>
        <v>text</v>
      </c>
      <c r="H24" s="26">
        <v>0</v>
      </c>
      <c r="I24" s="10" t="s">
        <v>127</v>
      </c>
      <c r="J24" s="11" t="s">
        <v>1889</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milscm_2023_009.sny_202310_backup_mt_shisetsu_zokusei.mil_exit_f IS '千年カルテ離脱施設フラグ';</v>
      </c>
    </row>
    <row r="25" spans="1:52" s="25" customFormat="1" ht="56.25">
      <c r="A25" s="4"/>
      <c r="B25" s="21">
        <f t="shared" si="2"/>
        <v>13</v>
      </c>
      <c r="C25" s="6" t="s">
        <v>1878</v>
      </c>
      <c r="D25" s="6" t="s">
        <v>1879</v>
      </c>
      <c r="E25" s="8" t="s">
        <v>127</v>
      </c>
      <c r="F25" s="7" t="s">
        <v>737</v>
      </c>
      <c r="G25" s="7" t="str">
        <f t="shared" si="3"/>
        <v>text</v>
      </c>
      <c r="H25" s="26">
        <v>999999</v>
      </c>
      <c r="I25" s="10" t="s">
        <v>127</v>
      </c>
      <c r="J25" s="11" t="s">
        <v>1890</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milscm_2023_009.sny_202310_backup_mt_shisetsu_zokusei.torikomi_kijun_ym IS '取込基準年月';</v>
      </c>
    </row>
    <row r="26" spans="1:52" s="25" customFormat="1" ht="19.5" thickBot="1">
      <c r="A26" s="4"/>
      <c r="B26" s="27">
        <f>ROW()-12</f>
        <v>14</v>
      </c>
      <c r="C26" s="57" t="s">
        <v>1880</v>
      </c>
      <c r="D26" s="57" t="s">
        <v>1881</v>
      </c>
      <c r="E26" s="56"/>
      <c r="F26" s="56" t="s">
        <v>737</v>
      </c>
      <c r="G26" s="56" t="str">
        <f t="shared" si="3"/>
        <v>text</v>
      </c>
      <c r="H26" s="59">
        <v>99999999</v>
      </c>
      <c r="I26" s="60" t="s">
        <v>127</v>
      </c>
      <c r="J26" s="64" t="s">
        <v>1794</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ENT_01_A3-03</v>
      </c>
      <c r="E6" s="273"/>
      <c r="F6" s="273"/>
      <c r="G6" s="273"/>
      <c r="H6" s="273"/>
      <c r="I6" s="273"/>
      <c r="J6" s="274"/>
    </row>
    <row r="7" spans="1:45">
      <c r="B7" s="262" t="s">
        <v>115</v>
      </c>
      <c r="C7" s="263"/>
      <c r="D7" s="264" t="s">
        <v>1891</v>
      </c>
      <c r="E7" s="265"/>
      <c r="F7" s="265"/>
      <c r="G7" s="265"/>
      <c r="H7" s="265"/>
      <c r="I7" s="265"/>
      <c r="J7" s="266"/>
    </row>
    <row r="8" spans="1:45">
      <c r="B8" s="262" t="s">
        <v>116</v>
      </c>
      <c r="C8" s="263"/>
      <c r="D8" s="264" t="str">
        <f>エンティティ一覧!AE2&amp;"_"&amp;D5&amp;"_mt_iryouken2"</f>
        <v>sny_202310_backup_mt_iryouken2</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milscm_2023_009.sny_202310_backup_mt_iryouken2;</v>
      </c>
      <c r="O10" s="76"/>
      <c r="P10" s="76"/>
      <c r="Q10" s="76"/>
      <c r="R10" s="76"/>
      <c r="S10" s="76"/>
      <c r="T10" s="76"/>
      <c r="AJ10" s="76" t="str">
        <f>"ALTER TABLE ONLY "&amp;エンティティ一覧!$O$2&amp;"."&amp;D$8</f>
        <v>ALTER TABLE ONLY milscm_2023_009.sny_202310_backup_mt_iryouken2</v>
      </c>
      <c r="AS10" s="76" t="str">
        <f>"ALTER TABLE "&amp;エンティティ一覧!$O$2&amp;"."&amp;D$8&amp;" OWNER TO pgmisgrp1;"</f>
        <v>ALTER TABLE milscm_2023_009.sny_202310_backup_mt_iryouken2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milscm_2023_009.sny_202310_backup_mt_iryouken2</v>
      </c>
      <c r="O11" s="76"/>
      <c r="P11" s="76"/>
      <c r="Q11" s="76"/>
      <c r="R11" s="76"/>
      <c r="S11" s="76"/>
      <c r="T11" s="76"/>
      <c r="AJ11" s="76" t="str">
        <f>"ADD CONSTRAINT "&amp;D$8&amp;"_pkey PRIMARY KEY"</f>
        <v>ADD CONSTRAINT sny_202310_backup_mt_iryouken2_pkey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milscm_2023_009.sny_202310_backup_mt_iryouken2 IS 'バックアップ_二次医療圏マスタ取込用';</v>
      </c>
    </row>
    <row r="13" spans="1:45" s="25" customFormat="1" ht="37.5">
      <c r="A13" s="4"/>
      <c r="B13" s="21">
        <f>ROW()-12</f>
        <v>1</v>
      </c>
      <c r="C13" s="6" t="s">
        <v>1892</v>
      </c>
      <c r="D13" s="6" t="s">
        <v>1893</v>
      </c>
      <c r="E13" s="8"/>
      <c r="F13" s="8" t="s">
        <v>737</v>
      </c>
      <c r="G13" s="7" t="str">
        <f>IF(F13="フラグ","boolean",IF(F13="文字列","text",IF(F13="整数","integer",IF(F13="実数","numeric",""))))</f>
        <v>text</v>
      </c>
      <c r="H13" s="9"/>
      <c r="I13" s="10" t="s">
        <v>127</v>
      </c>
      <c r="J13" s="11" t="s">
        <v>1909</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milscm_2023_009.sny_202310_backup_mt_iryouken2.iryouken2_cd IS '二次医療圏コード';</v>
      </c>
    </row>
    <row r="14" spans="1:45" s="25" customFormat="1" ht="37.5">
      <c r="A14" s="4"/>
      <c r="B14" s="21">
        <f t="shared" ref="B14:B21" si="2">ROW()-12</f>
        <v>2</v>
      </c>
      <c r="C14" s="6" t="s">
        <v>1894</v>
      </c>
      <c r="D14" s="6" t="s">
        <v>1895</v>
      </c>
      <c r="E14" s="8"/>
      <c r="F14" s="7" t="s">
        <v>737</v>
      </c>
      <c r="G14" s="7" t="str">
        <f t="shared" ref="G14:G22" si="3">IF(F14="フラグ","boolean",IF(F14="文字列","text",IF(F14="整数","integer",IF(F14="実数","numeric",""))))</f>
        <v>text</v>
      </c>
      <c r="H14" s="26"/>
      <c r="I14" s="10"/>
      <c r="J14" s="11" t="s">
        <v>1909</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milscm_2023_009.sny_202310_backup_mt_iryouken2.iryouken2 IS '二次医療圏';</v>
      </c>
    </row>
    <row r="15" spans="1:45" s="25" customFormat="1" ht="37.5">
      <c r="A15" s="4"/>
      <c r="B15" s="21">
        <f t="shared" si="2"/>
        <v>3</v>
      </c>
      <c r="C15" s="6" t="s">
        <v>1896</v>
      </c>
      <c r="D15" s="6" t="s">
        <v>1897</v>
      </c>
      <c r="E15" s="8"/>
      <c r="F15" s="7" t="s">
        <v>737</v>
      </c>
      <c r="G15" s="7" t="str">
        <f t="shared" si="3"/>
        <v>text</v>
      </c>
      <c r="H15" s="26"/>
      <c r="I15" s="10" t="s">
        <v>127</v>
      </c>
      <c r="J15" s="11" t="s">
        <v>1909</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milscm_2023_009.sny_202310_backup_mt_iryouken2.prefecture_cd IS '都道府県コード';</v>
      </c>
    </row>
    <row r="16" spans="1:45" s="25" customFormat="1" ht="37.5">
      <c r="A16" s="4"/>
      <c r="B16" s="21">
        <f t="shared" si="2"/>
        <v>4</v>
      </c>
      <c r="C16" s="6" t="s">
        <v>1898</v>
      </c>
      <c r="D16" s="6" t="s">
        <v>917</v>
      </c>
      <c r="E16" s="8"/>
      <c r="F16" s="7" t="s">
        <v>737</v>
      </c>
      <c r="G16" s="7" t="str">
        <f t="shared" si="3"/>
        <v>text</v>
      </c>
      <c r="H16" s="26"/>
      <c r="I16" s="10" t="s">
        <v>127</v>
      </c>
      <c r="J16" s="11" t="s">
        <v>1909</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milscm_2023_009.sny_202310_backup_mt_iryouken2.prefecture IS '都道府県名';</v>
      </c>
    </row>
    <row r="17" spans="1:52" s="25" customFormat="1" ht="37.5">
      <c r="A17" s="4"/>
      <c r="B17" s="21">
        <f t="shared" si="2"/>
        <v>5</v>
      </c>
      <c r="C17" s="6" t="s">
        <v>1899</v>
      </c>
      <c r="D17" s="6" t="s">
        <v>1900</v>
      </c>
      <c r="E17" s="8" t="s">
        <v>127</v>
      </c>
      <c r="F17" s="7" t="s">
        <v>737</v>
      </c>
      <c r="G17" s="7" t="str">
        <f t="shared" si="3"/>
        <v>text</v>
      </c>
      <c r="H17" s="26"/>
      <c r="I17" s="10" t="s">
        <v>127</v>
      </c>
      <c r="J17" s="11" t="s">
        <v>1909</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milscm_2023_009.sny_202310_backup_mt_iryouken2.city_code IS '市区町村コード';</v>
      </c>
    </row>
    <row r="18" spans="1:52" s="25" customFormat="1" ht="37.5">
      <c r="A18" s="4"/>
      <c r="B18" s="21">
        <f t="shared" si="2"/>
        <v>6</v>
      </c>
      <c r="C18" s="6" t="s">
        <v>1901</v>
      </c>
      <c r="D18" s="6" t="s">
        <v>1902</v>
      </c>
      <c r="E18" s="8"/>
      <c r="F18" s="7" t="s">
        <v>737</v>
      </c>
      <c r="G18" s="7" t="str">
        <f t="shared" si="3"/>
        <v>text</v>
      </c>
      <c r="H18" s="26"/>
      <c r="I18" s="10" t="s">
        <v>127</v>
      </c>
      <c r="J18" s="11" t="s">
        <v>1909</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milscm_2023_009.sny_202310_backup_mt_iryouken2.city IS '市区町村';</v>
      </c>
    </row>
    <row r="19" spans="1:52" s="25" customFormat="1" ht="37.5">
      <c r="A19" s="4"/>
      <c r="B19" s="21">
        <f t="shared" si="2"/>
        <v>7</v>
      </c>
      <c r="C19" s="6" t="s">
        <v>1903</v>
      </c>
      <c r="D19" s="6" t="s">
        <v>1904</v>
      </c>
      <c r="E19" s="8"/>
      <c r="F19" s="7" t="s">
        <v>737</v>
      </c>
      <c r="G19" s="7" t="str">
        <f t="shared" si="3"/>
        <v>text</v>
      </c>
      <c r="H19" s="26">
        <v>0</v>
      </c>
      <c r="I19" s="10" t="s">
        <v>127</v>
      </c>
      <c r="J19" s="11" t="s">
        <v>1909</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milscm_2023_009.sny_202310_backup_mt_iryouken2.del_f IS '削除フラグ';</v>
      </c>
    </row>
    <row r="20" spans="1:52" s="25" customFormat="1" ht="56.25">
      <c r="A20" s="4"/>
      <c r="B20" s="21">
        <f t="shared" si="2"/>
        <v>8</v>
      </c>
      <c r="C20" s="6" t="s">
        <v>1880</v>
      </c>
      <c r="D20" s="6" t="s">
        <v>1881</v>
      </c>
      <c r="E20" s="8" t="s">
        <v>127</v>
      </c>
      <c r="F20" s="7" t="s">
        <v>737</v>
      </c>
      <c r="G20" s="7" t="str">
        <f t="shared" si="3"/>
        <v>text</v>
      </c>
      <c r="H20" s="26">
        <v>99999999</v>
      </c>
      <c r="I20" s="10" t="s">
        <v>127</v>
      </c>
      <c r="J20" s="11" t="s">
        <v>1910</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milscm_2023_009.sny_202310_backup_mt_iryouken2.update_ymd IS 'データ登録年月日';</v>
      </c>
    </row>
    <row r="21" spans="1:52" s="25" customFormat="1" ht="56.25">
      <c r="A21" s="4"/>
      <c r="B21" s="21">
        <f t="shared" si="2"/>
        <v>9</v>
      </c>
      <c r="C21" s="6" t="s">
        <v>1905</v>
      </c>
      <c r="D21" s="6" t="s">
        <v>1906</v>
      </c>
      <c r="E21" s="8"/>
      <c r="F21" s="7" t="s">
        <v>737</v>
      </c>
      <c r="G21" s="7" t="str">
        <f t="shared" si="3"/>
        <v>text</v>
      </c>
      <c r="H21" s="26">
        <v>99999999</v>
      </c>
      <c r="I21" s="10" t="s">
        <v>127</v>
      </c>
      <c r="J21" s="11" t="s">
        <v>1910</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milscm_2023_009.sny_202310_backup_mt_iryouken2.henkou_ymd IS '変更年月日';</v>
      </c>
    </row>
    <row r="22" spans="1:52" s="25" customFormat="1" ht="57" thickBot="1">
      <c r="A22" s="4"/>
      <c r="B22" s="27">
        <f>ROW()-12</f>
        <v>10</v>
      </c>
      <c r="C22" s="57" t="s">
        <v>1907</v>
      </c>
      <c r="D22" s="57" t="s">
        <v>1908</v>
      </c>
      <c r="E22" s="56"/>
      <c r="F22" s="56" t="s">
        <v>737</v>
      </c>
      <c r="G22" s="56" t="str">
        <f t="shared" si="3"/>
        <v>text</v>
      </c>
      <c r="H22" s="59">
        <v>99999999</v>
      </c>
      <c r="I22" s="60" t="s">
        <v>127</v>
      </c>
      <c r="J22" s="64" t="s">
        <v>1910</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ENT_01_A3-04</v>
      </c>
      <c r="E6" s="273"/>
      <c r="F6" s="273"/>
      <c r="G6" s="273"/>
      <c r="H6" s="273"/>
      <c r="I6" s="273"/>
      <c r="J6" s="274"/>
    </row>
    <row r="7" spans="1:45">
      <c r="B7" s="262" t="s">
        <v>115</v>
      </c>
      <c r="C7" s="263"/>
      <c r="D7" s="264" t="s">
        <v>1911</v>
      </c>
      <c r="E7" s="265"/>
      <c r="F7" s="265"/>
      <c r="G7" s="265"/>
      <c r="H7" s="265"/>
      <c r="I7" s="265"/>
      <c r="J7" s="266"/>
    </row>
    <row r="8" spans="1:45">
      <c r="B8" s="262" t="s">
        <v>116</v>
      </c>
      <c r="C8" s="263"/>
      <c r="D8" s="264" t="str">
        <f>エンティティ一覧!AE2&amp;"_"&amp;D5&amp;"_mt_old_new_iyakuhin"</f>
        <v>sny_202310_backup_mt_old_new_iyakuhin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milscm_2023_009.sny_202310_backup_mt_old_new_iyakuhin;</v>
      </c>
      <c r="O10" s="76"/>
      <c r="P10" s="76"/>
      <c r="Q10" s="76"/>
      <c r="R10" s="76"/>
      <c r="S10" s="76"/>
      <c r="T10" s="76"/>
      <c r="AJ10" s="76" t="str">
        <f>"ALTER TABLE ONLY "&amp;エンティティ一覧!$O$2&amp;"."&amp;D$8</f>
        <v>ALTER TABLE ONLY milscm_2023_009.sny_202310_backup_mt_old_new_iyakuhin</v>
      </c>
      <c r="AS10" s="76" t="str">
        <f>"ALTER TABLE "&amp;エンティティ一覧!$O$2&amp;"."&amp;D$8&amp;" OWNER TO pgmisgrp1;"</f>
        <v>ALTER TABLE milscm_2023_009.sny_202310_backup_mt_old_new_iyakuhin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milscm_2023_009.sny_202310_backup_mt_old_new_iyakuhin</v>
      </c>
      <c r="O11" s="76"/>
      <c r="P11" s="76"/>
      <c r="Q11" s="76"/>
      <c r="R11" s="76"/>
      <c r="S11" s="76"/>
      <c r="T11" s="76"/>
      <c r="AJ11" s="76" t="str">
        <f>"ADD CONSTRAINT "&amp;D$8&amp;"_pkey PRIMARY KEY"</f>
        <v>ADD CONSTRAINT sny_202310_backup_mt_old_new_iyakuhin_pkey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milscm_2023_009.sny_202310_backup_mt_old_new_iyakuhin IS 'バックアップ_新旧医薬品コードマスタ取込用';</v>
      </c>
    </row>
    <row r="13" spans="1:45" s="25" customFormat="1" ht="37.5">
      <c r="A13" s="4"/>
      <c r="B13" s="21">
        <f>ROW()-12</f>
        <v>1</v>
      </c>
      <c r="C13" s="6" t="s">
        <v>1913</v>
      </c>
      <c r="D13" s="6" t="s">
        <v>1914</v>
      </c>
      <c r="E13" s="8" t="s">
        <v>127</v>
      </c>
      <c r="F13" s="8" t="s">
        <v>737</v>
      </c>
      <c r="G13" s="7" t="str">
        <f>IF(F13="フラグ","boolean",IF(F13="文字列","text",IF(F13="整数","integer",IF(F13="実数","numeric",""))))</f>
        <v>text</v>
      </c>
      <c r="H13" s="9" t="s">
        <v>1920</v>
      </c>
      <c r="I13" s="10" t="s">
        <v>127</v>
      </c>
      <c r="J13" s="11" t="s">
        <v>1921</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milscm_2023_009.sny_202310_backup_mt_old_new_iyakuhin.siko_ymd IS '施行年月日';</v>
      </c>
    </row>
    <row r="14" spans="1:45" s="25" customFormat="1" ht="37.5">
      <c r="A14" s="4"/>
      <c r="B14" s="21">
        <f t="shared" ref="B14:B15" si="2">ROW()-12</f>
        <v>2</v>
      </c>
      <c r="C14" s="6" t="s">
        <v>1915</v>
      </c>
      <c r="D14" s="6" t="s">
        <v>1916</v>
      </c>
      <c r="E14" s="8" t="s">
        <v>127</v>
      </c>
      <c r="F14" s="7" t="s">
        <v>737</v>
      </c>
      <c r="G14" s="7" t="str">
        <f t="shared" ref="G14:G16" si="3">IF(F14="フラグ","boolean",IF(F14="文字列","text",IF(F14="整数","integer",IF(F14="実数","numeric",""))))</f>
        <v>text</v>
      </c>
      <c r="H14" s="26"/>
      <c r="I14" s="10" t="s">
        <v>127</v>
      </c>
      <c r="J14" s="11" t="s">
        <v>1922</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milscm_2023_009.sny_202310_backup_mt_old_new_iyakuhin.old_iyakuhin_cd IS '旧医薬品コード';</v>
      </c>
    </row>
    <row r="15" spans="1:45" s="25" customFormat="1" ht="37.5">
      <c r="A15" s="4"/>
      <c r="B15" s="21">
        <f t="shared" si="2"/>
        <v>3</v>
      </c>
      <c r="C15" s="6" t="s">
        <v>1917</v>
      </c>
      <c r="D15" s="6" t="s">
        <v>1918</v>
      </c>
      <c r="E15" s="8" t="s">
        <v>127</v>
      </c>
      <c r="F15" s="7" t="s">
        <v>737</v>
      </c>
      <c r="G15" s="7" t="str">
        <f t="shared" si="3"/>
        <v>text</v>
      </c>
      <c r="H15" s="26"/>
      <c r="I15" s="10" t="s">
        <v>127</v>
      </c>
      <c r="J15" s="11" t="s">
        <v>1923</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milscm_2023_009.sny_202310_backup_mt_old_new_iyakuhin.new_iyakuhin_cd IS '新医薬品コード';</v>
      </c>
    </row>
    <row r="16" spans="1:45" s="25" customFormat="1" ht="38.25" thickBot="1">
      <c r="A16" s="4"/>
      <c r="B16" s="27">
        <f>ROW()-12</f>
        <v>4</v>
      </c>
      <c r="C16" s="57" t="s">
        <v>1919</v>
      </c>
      <c r="D16" s="57" t="s">
        <v>1881</v>
      </c>
      <c r="E16" s="56"/>
      <c r="F16" s="56" t="s">
        <v>737</v>
      </c>
      <c r="G16" s="56" t="str">
        <f t="shared" si="3"/>
        <v>text</v>
      </c>
      <c r="H16" s="59">
        <v>99999999</v>
      </c>
      <c r="I16" s="60" t="s">
        <v>127</v>
      </c>
      <c r="J16" s="64" t="s">
        <v>1924</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ENT_01_A3-05</v>
      </c>
      <c r="E6" s="273"/>
      <c r="F6" s="273"/>
      <c r="G6" s="273"/>
      <c r="H6" s="273"/>
      <c r="I6" s="273"/>
      <c r="J6" s="274"/>
    </row>
    <row r="7" spans="1:45">
      <c r="B7" s="262" t="s">
        <v>115</v>
      </c>
      <c r="C7" s="263"/>
      <c r="D7" s="264" t="s">
        <v>1925</v>
      </c>
      <c r="E7" s="265"/>
      <c r="F7" s="265"/>
      <c r="G7" s="265"/>
      <c r="H7" s="265"/>
      <c r="I7" s="265"/>
      <c r="J7" s="266"/>
    </row>
    <row r="8" spans="1:45">
      <c r="B8" s="262" t="s">
        <v>116</v>
      </c>
      <c r="C8" s="263"/>
      <c r="D8" s="264" t="str">
        <f>エンティティ一覧!AE2&amp;"_"&amp;D5&amp;"_mt_dpc6_icd"</f>
        <v>sny_202310_backup_mt_dpc6_icd</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milscm_2023_009.sny_202310_backup_mt_dpc6_icd;</v>
      </c>
      <c r="O10" s="76"/>
      <c r="P10" s="76"/>
      <c r="Q10" s="76"/>
      <c r="R10" s="76"/>
      <c r="S10" s="76"/>
      <c r="T10" s="76"/>
      <c r="AJ10" s="76" t="str">
        <f>"ALTER TABLE ONLY "&amp;エンティティ一覧!$O$2&amp;"."&amp;D$8</f>
        <v>ALTER TABLE ONLY milscm_2023_009.sny_202310_backup_mt_dpc6_icd</v>
      </c>
      <c r="AS10" s="76" t="str">
        <f>"ALTER TABLE "&amp;エンティティ一覧!$O$2&amp;"."&amp;D$8&amp;" OWNER TO pgmisgrp1;"</f>
        <v>ALTER TABLE milscm_2023_009.sny_202310_backup_mt_dpc6_icd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milscm_2023_009.sny_202310_backup_mt_dpc6_icd</v>
      </c>
      <c r="O11" s="76"/>
      <c r="P11" s="76"/>
      <c r="Q11" s="76"/>
      <c r="R11" s="76"/>
      <c r="S11" s="76"/>
      <c r="T11" s="76"/>
      <c r="AJ11" s="76" t="str">
        <f>"ADD CONSTRAINT "&amp;D$8&amp;"_pkey PRIMARY KEY"</f>
        <v>ADD CONSTRAINT sny_202310_backup_mt_dpc6_icd_pkey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milscm_2023_009.sny_202310_backup_mt_dpc6_icd IS 'バックアップ_DPC6ICD10対応表マスタ取込用';</v>
      </c>
    </row>
    <row r="13" spans="1:45" s="25" customFormat="1" ht="56.25">
      <c r="A13" s="4"/>
      <c r="B13" s="21">
        <f>ROW()-12</f>
        <v>1</v>
      </c>
      <c r="C13" s="6" t="s">
        <v>1913</v>
      </c>
      <c r="D13" s="6" t="s">
        <v>1914</v>
      </c>
      <c r="E13" s="8" t="s">
        <v>127</v>
      </c>
      <c r="F13" s="8" t="s">
        <v>737</v>
      </c>
      <c r="G13" s="7" t="str">
        <f>IF(F13="フラグ","boolean",IF(F13="文字列","text",IF(F13="整数","integer",IF(F13="実数","numeric",""))))</f>
        <v>text</v>
      </c>
      <c r="H13" s="9">
        <v>99999999</v>
      </c>
      <c r="I13" s="10" t="s">
        <v>127</v>
      </c>
      <c r="J13" s="11" t="s">
        <v>1939</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milscm_2023_009.sny_202310_backup_mt_dpc6_icd.siko_ymd IS '施行年月日';</v>
      </c>
    </row>
    <row r="14" spans="1:45" s="25" customFormat="1" ht="150">
      <c r="A14" s="4"/>
      <c r="B14" s="21">
        <f t="shared" ref="B14:B20" si="2">ROW()-12</f>
        <v>2</v>
      </c>
      <c r="C14" s="6" t="s">
        <v>1926</v>
      </c>
      <c r="D14" s="6" t="s">
        <v>1927</v>
      </c>
      <c r="E14" s="8" t="s">
        <v>127</v>
      </c>
      <c r="F14" s="7" t="s">
        <v>1737</v>
      </c>
      <c r="G14" s="7" t="str">
        <f t="shared" ref="G14:G21" si="3">IF(F14="フラグ","boolean",IF(F14="文字列","text",IF(F14="整数","integer",IF(F14="実数","numeric",""))))</f>
        <v>text</v>
      </c>
      <c r="H14" s="26"/>
      <c r="I14" s="10" t="s">
        <v>127</v>
      </c>
      <c r="J14" s="11" t="s">
        <v>1940</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milscm_2023_009.sny_202310_backup_mt_dpc6_icd.henkou_kubun IS '変更区分';</v>
      </c>
    </row>
    <row r="15" spans="1:45" s="25" customFormat="1" ht="37.5">
      <c r="A15" s="4"/>
      <c r="B15" s="21">
        <f t="shared" si="2"/>
        <v>3</v>
      </c>
      <c r="C15" s="6" t="s">
        <v>1928</v>
      </c>
      <c r="D15" s="6" t="s">
        <v>1929</v>
      </c>
      <c r="E15" s="8"/>
      <c r="F15" s="7" t="s">
        <v>737</v>
      </c>
      <c r="G15" s="7" t="str">
        <f t="shared" si="3"/>
        <v>text</v>
      </c>
      <c r="H15" s="26"/>
      <c r="I15" s="10" t="s">
        <v>127</v>
      </c>
      <c r="J15" s="11" t="s">
        <v>1941</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milscm_2023_009.sny_202310_backup_mt_dpc6_icd.dpc2_cd IS 'DPCコード2桁';</v>
      </c>
    </row>
    <row r="16" spans="1:45" s="25" customFormat="1" ht="37.5">
      <c r="A16" s="4"/>
      <c r="B16" s="21">
        <f t="shared" si="2"/>
        <v>4</v>
      </c>
      <c r="C16" s="6" t="s">
        <v>1930</v>
      </c>
      <c r="D16" s="6" t="s">
        <v>1931</v>
      </c>
      <c r="E16" s="8"/>
      <c r="F16" s="7" t="s">
        <v>737</v>
      </c>
      <c r="G16" s="7" t="str">
        <f t="shared" si="3"/>
        <v>text</v>
      </c>
      <c r="H16" s="26"/>
      <c r="I16" s="10" t="s">
        <v>127</v>
      </c>
      <c r="J16" s="11" t="s">
        <v>1941</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milscm_2023_009.sny_202310_backup_mt_dpc6_icd.dpc6_cd IS 'DPCコード6桁';</v>
      </c>
    </row>
    <row r="17" spans="1:52" s="25" customFormat="1" ht="37.5">
      <c r="A17" s="4"/>
      <c r="B17" s="21">
        <f t="shared" si="2"/>
        <v>5</v>
      </c>
      <c r="C17" s="6" t="s">
        <v>663</v>
      </c>
      <c r="D17" s="6" t="s">
        <v>1932</v>
      </c>
      <c r="E17" s="8" t="s">
        <v>127</v>
      </c>
      <c r="F17" s="7" t="s">
        <v>737</v>
      </c>
      <c r="G17" s="7" t="str">
        <f t="shared" si="3"/>
        <v>text</v>
      </c>
      <c r="H17" s="26"/>
      <c r="I17" s="10" t="s">
        <v>127</v>
      </c>
      <c r="J17" s="11" t="s">
        <v>1941</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milscm_2023_009.sny_202310_backup_mt_dpc6_icd.icd10_cd IS 'ICD10コード';</v>
      </c>
    </row>
    <row r="18" spans="1:52" s="25" customFormat="1" ht="37.5">
      <c r="A18" s="4"/>
      <c r="B18" s="21">
        <f t="shared" si="2"/>
        <v>6</v>
      </c>
      <c r="C18" s="6" t="s">
        <v>1933</v>
      </c>
      <c r="D18" s="6" t="s">
        <v>1934</v>
      </c>
      <c r="E18" s="8"/>
      <c r="F18" s="7" t="s">
        <v>737</v>
      </c>
      <c r="G18" s="7" t="str">
        <f t="shared" si="3"/>
        <v>text</v>
      </c>
      <c r="H18" s="26"/>
      <c r="I18" s="10" t="s">
        <v>127</v>
      </c>
      <c r="J18" s="11" t="s">
        <v>1941</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milscm_2023_009.sny_202310_backup_mt_dpc6_icd.icd10_name IS 'ICD名';</v>
      </c>
    </row>
    <row r="19" spans="1:52" s="25" customFormat="1" ht="56.25">
      <c r="A19" s="4"/>
      <c r="B19" s="21">
        <f t="shared" si="2"/>
        <v>7</v>
      </c>
      <c r="C19" s="6" t="s">
        <v>1935</v>
      </c>
      <c r="D19" s="6" t="s">
        <v>1936</v>
      </c>
      <c r="E19" s="8"/>
      <c r="F19" s="7" t="s">
        <v>737</v>
      </c>
      <c r="G19" s="7" t="str">
        <f t="shared" si="3"/>
        <v>text</v>
      </c>
      <c r="H19" s="26" t="s">
        <v>1942</v>
      </c>
      <c r="I19" s="10" t="s">
        <v>127</v>
      </c>
      <c r="J19" s="11" t="s">
        <v>1939</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milscm_2023_009.sny_202310_backup_mt_dpc6_icd.start_ymd IS '有効期間_開始年月日';</v>
      </c>
    </row>
    <row r="20" spans="1:52" s="25" customFormat="1" ht="56.25">
      <c r="A20" s="4"/>
      <c r="B20" s="21">
        <f t="shared" si="2"/>
        <v>8</v>
      </c>
      <c r="C20" s="6" t="s">
        <v>1937</v>
      </c>
      <c r="D20" s="6" t="s">
        <v>1938</v>
      </c>
      <c r="E20" s="8"/>
      <c r="F20" s="7" t="s">
        <v>737</v>
      </c>
      <c r="G20" s="7" t="str">
        <f t="shared" si="3"/>
        <v>text</v>
      </c>
      <c r="H20" s="26">
        <v>99999999</v>
      </c>
      <c r="I20" s="10" t="s">
        <v>127</v>
      </c>
      <c r="J20" s="11" t="s">
        <v>1939</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milscm_2023_009.sny_202310_backup_mt_dpc6_icd.end_ymd IS '有効期間_終了年月日';</v>
      </c>
    </row>
    <row r="21" spans="1:52" s="25" customFormat="1" ht="57" thickBot="1">
      <c r="A21" s="4"/>
      <c r="B21" s="27">
        <f>ROW()-12</f>
        <v>9</v>
      </c>
      <c r="C21" s="57" t="s">
        <v>1919</v>
      </c>
      <c r="D21" s="57" t="s">
        <v>1881</v>
      </c>
      <c r="E21" s="56"/>
      <c r="F21" s="56" t="s">
        <v>737</v>
      </c>
      <c r="G21" s="56" t="str">
        <f t="shared" si="3"/>
        <v>text</v>
      </c>
      <c r="H21" s="59">
        <v>99999999</v>
      </c>
      <c r="I21" s="60" t="s">
        <v>127</v>
      </c>
      <c r="J21" s="64" t="s">
        <v>1939</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ENT_01_A3-06</v>
      </c>
      <c r="E6" s="273"/>
      <c r="F6" s="273"/>
      <c r="G6" s="273"/>
      <c r="H6" s="273"/>
      <c r="I6" s="273"/>
      <c r="J6" s="274"/>
    </row>
    <row r="7" spans="1:45">
      <c r="B7" s="262" t="s">
        <v>115</v>
      </c>
      <c r="C7" s="263"/>
      <c r="D7" s="264" t="s">
        <v>1943</v>
      </c>
      <c r="E7" s="265"/>
      <c r="F7" s="265"/>
      <c r="G7" s="265"/>
      <c r="H7" s="265"/>
      <c r="I7" s="265"/>
      <c r="J7" s="266"/>
    </row>
    <row r="8" spans="1:45">
      <c r="B8" s="262" t="s">
        <v>116</v>
      </c>
      <c r="C8" s="263"/>
      <c r="D8" s="264" t="str">
        <f>エンティティ一覧!AE2&amp;"_"&amp;D5&amp;"_mt_syusyokugo"</f>
        <v>sny_202310_backup_mt_syusyokugo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milscm_2023_009.sny_202310_backup_mt_syusyokugo;</v>
      </c>
      <c r="O10" s="76"/>
      <c r="P10" s="76"/>
      <c r="Q10" s="76"/>
      <c r="R10" s="76"/>
      <c r="S10" s="76"/>
      <c r="T10" s="76"/>
      <c r="AJ10" s="76" t="str">
        <f>"ALTER TABLE ONLY "&amp;エンティティ一覧!$O$2&amp;"."&amp;D$8</f>
        <v>ALTER TABLE ONLY milscm_2023_009.sny_202310_backup_mt_syusyokugo</v>
      </c>
      <c r="AS10" s="76" t="str">
        <f>"ALTER TABLE "&amp;エンティティ一覧!$O$2&amp;"."&amp;D$8&amp;" OWNER TO pgmisgrp1;"</f>
        <v>ALTER TABLE milscm_2023_009.sny_202310_backup_mt_syusyokugo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milscm_2023_009.sny_202310_backup_mt_syusyokugo</v>
      </c>
      <c r="O11" s="76"/>
      <c r="P11" s="76"/>
      <c r="Q11" s="76"/>
      <c r="R11" s="76"/>
      <c r="S11" s="76"/>
      <c r="T11" s="76"/>
      <c r="AJ11" s="76" t="str">
        <f>"ADD CONSTRAINT "&amp;D$8&amp;"_pkey PRIMARY KEY"</f>
        <v>ADD CONSTRAINT sny_202310_backup_mt_syusyokugo_pkey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milscm_2023_009.sny_202310_backup_mt_syusyokugo IS 'バックアップ_修飾語マスタ取込用';</v>
      </c>
    </row>
    <row r="13" spans="1:45" s="25" customFormat="1" ht="75">
      <c r="A13" s="4"/>
      <c r="B13" s="21">
        <f>ROW()-12</f>
        <v>1</v>
      </c>
      <c r="C13" s="6" t="s">
        <v>1926</v>
      </c>
      <c r="D13" s="6" t="s">
        <v>1927</v>
      </c>
      <c r="E13" s="8" t="s">
        <v>127</v>
      </c>
      <c r="F13" s="8" t="s">
        <v>1737</v>
      </c>
      <c r="G13" s="7" t="str">
        <f>IF(F13="フラグ","boolean",IF(F13="文字列","text",IF(F13="整数","integer",IF(F13="実数","numeric",""))))</f>
        <v>text</v>
      </c>
      <c r="H13" s="9"/>
      <c r="I13" s="10" t="s">
        <v>127</v>
      </c>
      <c r="J13" s="11" t="s">
        <v>1977</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1944</v>
      </c>
      <c r="D14" s="6" t="s">
        <v>1945</v>
      </c>
      <c r="E14" s="8"/>
      <c r="F14" s="7" t="s">
        <v>737</v>
      </c>
      <c r="G14" s="7" t="str">
        <f t="shared" ref="G14:G25" si="3">IF(F14="フラグ","boolean",IF(F14="文字列","text",IF(F14="整数","integer",IF(F14="実数","numeric",""))))</f>
        <v>text</v>
      </c>
      <c r="H14" s="26"/>
      <c r="I14" s="10"/>
      <c r="J14" s="11" t="s">
        <v>1978</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1946</v>
      </c>
      <c r="D15" s="6" t="s">
        <v>1947</v>
      </c>
      <c r="E15" s="8" t="s">
        <v>127</v>
      </c>
      <c r="F15" s="7" t="s">
        <v>737</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1948</v>
      </c>
      <c r="D16" s="6" t="s">
        <v>923</v>
      </c>
      <c r="E16" s="8"/>
      <c r="F16" s="7" t="s">
        <v>737</v>
      </c>
      <c r="G16" s="7" t="str">
        <f t="shared" si="3"/>
        <v>text</v>
      </c>
      <c r="H16" s="26"/>
      <c r="I16" s="10"/>
      <c r="J16" s="11" t="s">
        <v>1979</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milscm_2023_009.sny_202310_backup_mt_syusyokugo.reserve1 IS '予備1';</v>
      </c>
    </row>
    <row r="17" spans="1:45" s="25" customFormat="1">
      <c r="A17" s="4"/>
      <c r="B17" s="21">
        <f t="shared" si="2"/>
        <v>5</v>
      </c>
      <c r="C17" s="6" t="s">
        <v>1949</v>
      </c>
      <c r="D17" s="6" t="s">
        <v>974</v>
      </c>
      <c r="E17" s="8"/>
      <c r="F17" s="7" t="s">
        <v>737</v>
      </c>
      <c r="G17" s="7" t="str">
        <f t="shared" si="3"/>
        <v>text</v>
      </c>
      <c r="H17" s="26"/>
      <c r="I17" s="10"/>
      <c r="J17" s="11" t="s">
        <v>1979</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milscm_2023_009.sny_202310_backup_mt_syusyokugo.reserve2 IS '予備2';</v>
      </c>
    </row>
    <row r="18" spans="1:45" s="25" customFormat="1">
      <c r="A18" s="4"/>
      <c r="B18" s="21">
        <f t="shared" si="2"/>
        <v>6</v>
      </c>
      <c r="C18" s="6" t="s">
        <v>1950</v>
      </c>
      <c r="D18" s="6" t="s">
        <v>1951</v>
      </c>
      <c r="E18" s="8"/>
      <c r="F18" s="7" t="s">
        <v>1952</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1953</v>
      </c>
      <c r="D19" s="6" t="s">
        <v>1954</v>
      </c>
      <c r="E19" s="8"/>
      <c r="F19" s="7" t="s">
        <v>737</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1955</v>
      </c>
      <c r="D20" s="6" t="s">
        <v>976</v>
      </c>
      <c r="E20" s="8"/>
      <c r="F20" s="7" t="s">
        <v>737</v>
      </c>
      <c r="G20" s="7" t="str">
        <f t="shared" si="3"/>
        <v>text</v>
      </c>
      <c r="H20" s="26"/>
      <c r="I20" s="10"/>
      <c r="J20" s="11" t="s">
        <v>1979</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milscm_2023_009.sny_202310_backup_mt_syusyokugo.reserve3 IS '予備3';</v>
      </c>
    </row>
    <row r="21" spans="1:45" s="25" customFormat="1" ht="31.5">
      <c r="A21" s="4"/>
      <c r="B21" s="21">
        <f t="shared" si="2"/>
        <v>9</v>
      </c>
      <c r="C21" s="6" t="s">
        <v>1956</v>
      </c>
      <c r="D21" s="6" t="s">
        <v>1957</v>
      </c>
      <c r="E21" s="8"/>
      <c r="F21" s="7" t="s">
        <v>1952</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1958</v>
      </c>
      <c r="D22" s="6" t="s">
        <v>1959</v>
      </c>
      <c r="E22" s="8"/>
      <c r="F22" s="7" t="s">
        <v>737</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1960</v>
      </c>
      <c r="D23" s="6" t="s">
        <v>1183</v>
      </c>
      <c r="E23" s="8"/>
      <c r="F23" s="7" t="s">
        <v>737</v>
      </c>
      <c r="G23" s="7" t="str">
        <f t="shared" si="3"/>
        <v>text</v>
      </c>
      <c r="H23" s="26"/>
      <c r="I23" s="10"/>
      <c r="J23" s="11" t="s">
        <v>1979</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milscm_2023_009.sny_202310_backup_mt_syusyokugo.reserve4 IS '予備4';</v>
      </c>
    </row>
    <row r="24" spans="1:45" s="25" customFormat="1">
      <c r="A24" s="4"/>
      <c r="B24" s="21">
        <f t="shared" si="2"/>
        <v>12</v>
      </c>
      <c r="C24" s="6" t="s">
        <v>1961</v>
      </c>
      <c r="D24" s="6" t="s">
        <v>1962</v>
      </c>
      <c r="E24" s="8"/>
      <c r="F24" s="7" t="s">
        <v>737</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milscm_2023_009.sny_202310_backup_mt_syusyokugo.syusyokugo_name_henkou IS '修飾語名称（変更情報）';</v>
      </c>
    </row>
    <row r="25" spans="1:45" s="25" customFormat="1" ht="31.5">
      <c r="A25" s="4"/>
      <c r="B25" s="21">
        <f t="shared" si="2"/>
        <v>13</v>
      </c>
      <c r="C25" s="6" t="s">
        <v>1963</v>
      </c>
      <c r="D25" s="6" t="s">
        <v>1964</v>
      </c>
      <c r="E25" s="8"/>
      <c r="F25" s="7" t="s">
        <v>737</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1965</v>
      </c>
      <c r="D26" s="6" t="s">
        <v>1966</v>
      </c>
      <c r="E26" s="8"/>
      <c r="F26" s="7" t="s">
        <v>737</v>
      </c>
      <c r="G26" s="7" t="str">
        <f t="shared" ref="G26:G32" si="10">IF(F26="フラグ","boolean",IF(F26="文字列","text",IF(F26="整数","integer",IF(F26="実数","numeric",""))))</f>
        <v>text</v>
      </c>
      <c r="H26" s="26"/>
      <c r="I26" s="10"/>
      <c r="J26" s="11" t="s">
        <v>1794</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1967</v>
      </c>
      <c r="D27" s="6" t="s">
        <v>1968</v>
      </c>
      <c r="E27" s="8"/>
      <c r="F27" s="7" t="s">
        <v>737</v>
      </c>
      <c r="G27" s="7" t="str">
        <f t="shared" si="10"/>
        <v>text</v>
      </c>
      <c r="H27" s="26"/>
      <c r="I27" s="10"/>
      <c r="J27" s="11" t="s">
        <v>1794</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1907</v>
      </c>
      <c r="D28" s="6" t="s">
        <v>1969</v>
      </c>
      <c r="E28" s="8"/>
      <c r="F28" s="7" t="s">
        <v>737</v>
      </c>
      <c r="G28" s="7" t="str">
        <f t="shared" si="10"/>
        <v>text</v>
      </c>
      <c r="H28" s="26"/>
      <c r="I28" s="10"/>
      <c r="J28" s="11" t="s">
        <v>1794</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1970</v>
      </c>
      <c r="D29" s="6" t="s">
        <v>1971</v>
      </c>
      <c r="E29" s="8"/>
      <c r="F29" s="7" t="s">
        <v>1952</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1972</v>
      </c>
      <c r="D30" s="6" t="s">
        <v>1973</v>
      </c>
      <c r="E30" s="8"/>
      <c r="F30" s="7" t="s">
        <v>737</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1974</v>
      </c>
      <c r="D31" s="6" t="s">
        <v>1975</v>
      </c>
      <c r="E31" s="8"/>
      <c r="F31" s="7" t="s">
        <v>737</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milscm_2023_009.sny_202310_backup_mt_syusyokugo.syusyokugo_kubun IS '修飾語区分';</v>
      </c>
    </row>
    <row r="32" spans="1:45" s="25" customFormat="1" ht="19.5" thickBot="1">
      <c r="A32" s="4"/>
      <c r="B32" s="27">
        <f>ROW()-12</f>
        <v>20</v>
      </c>
      <c r="C32" s="57" t="s">
        <v>1976</v>
      </c>
      <c r="D32" s="57" t="s">
        <v>1881</v>
      </c>
      <c r="E32" s="56" t="s">
        <v>127</v>
      </c>
      <c r="F32" s="56" t="s">
        <v>737</v>
      </c>
      <c r="G32" s="56" t="str">
        <f t="shared" si="10"/>
        <v>text</v>
      </c>
      <c r="H32" s="59"/>
      <c r="I32" s="60" t="s">
        <v>127</v>
      </c>
      <c r="J32" s="64" t="s">
        <v>1794</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milscm_2023_009.sny_202310_backup_mt_syusyokugo.update_ymd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ENT_01_A3-07</v>
      </c>
      <c r="E6" s="273"/>
      <c r="F6" s="273"/>
      <c r="G6" s="273"/>
      <c r="H6" s="273"/>
      <c r="I6" s="273"/>
      <c r="J6" s="274"/>
    </row>
    <row r="7" spans="1:45">
      <c r="B7" s="262" t="s">
        <v>115</v>
      </c>
      <c r="C7" s="263"/>
      <c r="D7" s="264" t="s">
        <v>1980</v>
      </c>
      <c r="E7" s="265"/>
      <c r="F7" s="265"/>
      <c r="G7" s="265"/>
      <c r="H7" s="265"/>
      <c r="I7" s="265"/>
      <c r="J7" s="266"/>
    </row>
    <row r="8" spans="1:45">
      <c r="B8" s="262" t="s">
        <v>116</v>
      </c>
      <c r="C8" s="263"/>
      <c r="D8" s="264" t="str">
        <f>エンティティ一覧!AE2&amp;"_"&amp;D5&amp;"_mt_comment"</f>
        <v>sny_202310_backup_mt_comment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milscm_2023_009.sny_202310_backup_mt_comment;</v>
      </c>
      <c r="O10" s="76"/>
      <c r="P10" s="76"/>
      <c r="Q10" s="76"/>
      <c r="R10" s="76"/>
      <c r="S10" s="76"/>
      <c r="T10" s="76"/>
      <c r="AJ10" s="76" t="str">
        <f>"ALTER TABLE ONLY "&amp;エンティティ一覧!$O$2&amp;"."&amp;D$8</f>
        <v>ALTER TABLE ONLY milscm_2023_009.sny_202310_backup_mt_comment</v>
      </c>
      <c r="AS10" s="76" t="str">
        <f>"ALTER TABLE "&amp;エンティティ一覧!$O$2&amp;"."&amp;D$8&amp;" OWNER TO pgmisgrp1;"</f>
        <v>ALTER TABLE milscm_2023_009.sny_202310_backup_mt_comment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milscm_2023_009.sny_202310_backup_mt_comment</v>
      </c>
      <c r="O11" s="76"/>
      <c r="P11" s="76"/>
      <c r="Q11" s="76"/>
      <c r="R11" s="76"/>
      <c r="S11" s="76"/>
      <c r="T11" s="76"/>
      <c r="AJ11" s="76" t="str">
        <f>"ADD CONSTRAINT "&amp;D$8&amp;"_pkey PRIMARY KEY"</f>
        <v>ADD CONSTRAINT sny_202310_backup_mt_comment_pkey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milscm_2023_009.sny_202310_backup_mt_comment IS 'バックアップ_コメントマスタ取込用';</v>
      </c>
    </row>
    <row r="13" spans="1:45" s="25" customFormat="1" ht="75">
      <c r="A13" s="4"/>
      <c r="B13" s="21">
        <f>ROW()-12</f>
        <v>1</v>
      </c>
      <c r="C13" s="6" t="s">
        <v>1926</v>
      </c>
      <c r="D13" s="6" t="s">
        <v>1927</v>
      </c>
      <c r="E13" s="8" t="s">
        <v>127</v>
      </c>
      <c r="F13" s="8" t="s">
        <v>1737</v>
      </c>
      <c r="G13" s="7" t="str">
        <f>IF(F13="フラグ","boolean",IF(F13="文字列","text",IF(F13="整数","integer",IF(F13="実数","numeric",""))))</f>
        <v>text</v>
      </c>
      <c r="H13" s="9"/>
      <c r="I13" s="10" t="s">
        <v>127</v>
      </c>
      <c r="J13" s="11" t="s">
        <v>1977</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1944</v>
      </c>
      <c r="D14" s="6" t="s">
        <v>1945</v>
      </c>
      <c r="E14" s="8"/>
      <c r="F14" s="7" t="s">
        <v>737</v>
      </c>
      <c r="G14" s="7" t="str">
        <f t="shared" ref="G14:G23" si="3">IF(F14="フラグ","boolean",IF(F14="文字列","text",IF(F14="整数","integer",IF(F14="実数","numeric",""))))</f>
        <v>text</v>
      </c>
      <c r="H14" s="26"/>
      <c r="I14" s="10" t="s">
        <v>127</v>
      </c>
      <c r="J14" s="11" t="s">
        <v>2024</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1981</v>
      </c>
      <c r="D15" s="6" t="s">
        <v>1982</v>
      </c>
      <c r="E15" s="8" t="s">
        <v>127</v>
      </c>
      <c r="F15" s="7" t="s">
        <v>737</v>
      </c>
      <c r="G15" s="7" t="str">
        <f t="shared" si="3"/>
        <v>text</v>
      </c>
      <c r="H15" s="26"/>
      <c r="I15" s="10" t="s">
        <v>127</v>
      </c>
      <c r="J15" s="11" t="s">
        <v>2025</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1983</v>
      </c>
      <c r="D16" s="6" t="s">
        <v>1984</v>
      </c>
      <c r="E16" s="8" t="s">
        <v>127</v>
      </c>
      <c r="F16" s="7" t="s">
        <v>737</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1985</v>
      </c>
      <c r="D17" s="6" t="s">
        <v>1986</v>
      </c>
      <c r="E17" s="8" t="s">
        <v>127</v>
      </c>
      <c r="F17" s="7" t="s">
        <v>1987</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milscm_2023_009.sny_202310_backup_mt_comment.comment_cd_seq IS 'コメントコード一連番号';</v>
      </c>
    </row>
    <row r="18" spans="1:45" s="25" customFormat="1" ht="31.5">
      <c r="A18" s="4"/>
      <c r="B18" s="21">
        <f t="shared" si="2"/>
        <v>6</v>
      </c>
      <c r="C18" s="6" t="s">
        <v>1988</v>
      </c>
      <c r="D18" s="6" t="s">
        <v>1989</v>
      </c>
      <c r="E18" s="8"/>
      <c r="F18" s="7" t="s">
        <v>1990</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milscm_2023_009.sny_202310_backup_mt_comment.comment_sentence_kanji_ketasu IS 'コメント文漢字有効桁数';</v>
      </c>
    </row>
    <row r="19" spans="1:45" s="25" customFormat="1" ht="31.5">
      <c r="A19" s="4"/>
      <c r="B19" s="21">
        <f t="shared" si="2"/>
        <v>7</v>
      </c>
      <c r="C19" s="6" t="s">
        <v>1991</v>
      </c>
      <c r="D19" s="6" t="s">
        <v>1992</v>
      </c>
      <c r="E19" s="8"/>
      <c r="F19" s="7" t="s">
        <v>1987</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milscm_2023_009.sny_202310_backup_mt_comment.comment_sentence_kanji_name IS 'コメント文漢字名称';</v>
      </c>
    </row>
    <row r="20" spans="1:45" s="25" customFormat="1" ht="31.5">
      <c r="A20" s="4"/>
      <c r="B20" s="21">
        <f t="shared" si="2"/>
        <v>8</v>
      </c>
      <c r="C20" s="6" t="s">
        <v>1993</v>
      </c>
      <c r="D20" s="6" t="s">
        <v>1994</v>
      </c>
      <c r="E20" s="8"/>
      <c r="F20" s="7" t="s">
        <v>1990</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milscm_2023_009.sny_202310_backup_mt_comment.comment_sentence_kana_ketasu IS 'コメント文カナ有効桁数';</v>
      </c>
    </row>
    <row r="21" spans="1:45" s="25" customFormat="1" ht="31.5">
      <c r="A21" s="4"/>
      <c r="B21" s="21">
        <f t="shared" si="2"/>
        <v>9</v>
      </c>
      <c r="C21" s="6" t="s">
        <v>1995</v>
      </c>
      <c r="D21" s="6" t="s">
        <v>1996</v>
      </c>
      <c r="E21" s="8"/>
      <c r="F21" s="7" t="s">
        <v>737</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milscm_2023_009.sny_202310_backup_mt_comment.comment_sentence_kana_name IS 'コメント文カナ名称';</v>
      </c>
    </row>
    <row r="22" spans="1:45" s="25" customFormat="1" ht="31.5">
      <c r="A22" s="4"/>
      <c r="B22" s="21">
        <f t="shared" si="2"/>
        <v>10</v>
      </c>
      <c r="C22" s="6" t="s">
        <v>1997</v>
      </c>
      <c r="D22" s="6" t="s">
        <v>1998</v>
      </c>
      <c r="E22" s="8"/>
      <c r="F22" s="7" t="s">
        <v>1990</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milscm_2023_009.sny_202310_backup_mt_comment.recept_hensyu_info1_column_position IS 'レセプト編集情報1カラム位置';</v>
      </c>
    </row>
    <row r="23" spans="1:45" s="25" customFormat="1" ht="31.5">
      <c r="A23" s="4"/>
      <c r="B23" s="21">
        <f t="shared" si="2"/>
        <v>11</v>
      </c>
      <c r="C23" s="6" t="s">
        <v>1999</v>
      </c>
      <c r="D23" s="6" t="s">
        <v>2000</v>
      </c>
      <c r="E23" s="8"/>
      <c r="F23" s="7" t="s">
        <v>1990</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milscm_2023_009.sny_202310_backup_mt_comment.recept_hensyu_info1_ketasu IS 'レセプト編集情報1桁数';</v>
      </c>
    </row>
    <row r="24" spans="1:45" s="25" customFormat="1" ht="31.5">
      <c r="A24" s="4"/>
      <c r="B24" s="21">
        <f t="shared" ref="B24:B42" si="9">ROW()-12</f>
        <v>12</v>
      </c>
      <c r="C24" s="6" t="s">
        <v>2001</v>
      </c>
      <c r="D24" s="6" t="s">
        <v>2002</v>
      </c>
      <c r="E24" s="8"/>
      <c r="F24" s="7" t="s">
        <v>1990</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milscm_2023_009.sny_202310_backup_mt_comment.recept_hensyu_info2_column_position IS 'レセプト編集情報2カラム位置';</v>
      </c>
    </row>
    <row r="25" spans="1:45" s="25" customFormat="1" ht="31.5">
      <c r="A25" s="4"/>
      <c r="B25" s="21">
        <f t="shared" si="9"/>
        <v>13</v>
      </c>
      <c r="C25" s="6" t="s">
        <v>2003</v>
      </c>
      <c r="D25" s="6" t="s">
        <v>2004</v>
      </c>
      <c r="E25" s="8"/>
      <c r="F25" s="7" t="s">
        <v>1990</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milscm_2023_009.sny_202310_backup_mt_comment.recept_hensyu_info2_ketasu IS 'レセプト編集情報2桁数';</v>
      </c>
    </row>
    <row r="26" spans="1:45" s="25" customFormat="1" ht="31.5">
      <c r="A26" s="4"/>
      <c r="B26" s="21">
        <f t="shared" si="9"/>
        <v>14</v>
      </c>
      <c r="C26" s="6" t="s">
        <v>2005</v>
      </c>
      <c r="D26" s="6" t="s">
        <v>2006</v>
      </c>
      <c r="E26" s="8"/>
      <c r="F26" s="7" t="s">
        <v>1990</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milscm_2023_009.sny_202310_backup_mt_comment.recept_hensyu_info3_column_position IS 'レセプト編集情報3カラム位置';</v>
      </c>
    </row>
    <row r="27" spans="1:45" s="25" customFormat="1" ht="31.5">
      <c r="A27" s="4"/>
      <c r="B27" s="21">
        <f t="shared" si="9"/>
        <v>15</v>
      </c>
      <c r="C27" s="6" t="s">
        <v>2007</v>
      </c>
      <c r="D27" s="6" t="s">
        <v>2008</v>
      </c>
      <c r="E27" s="8"/>
      <c r="F27" s="7" t="s">
        <v>1990</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milscm_2023_009.sny_202310_backup_mt_comment.recept_hensyu_info3_ketasu IS 'レセプト編集情報3桁数';</v>
      </c>
    </row>
    <row r="28" spans="1:45" s="25" customFormat="1" ht="31.5">
      <c r="A28" s="4"/>
      <c r="B28" s="21">
        <f t="shared" si="9"/>
        <v>16</v>
      </c>
      <c r="C28" s="6" t="s">
        <v>2009</v>
      </c>
      <c r="D28" s="6" t="s">
        <v>2010</v>
      </c>
      <c r="E28" s="8"/>
      <c r="F28" s="7" t="s">
        <v>1990</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milscm_2023_009.sny_202310_backup_mt_comment.recept_hensyu_info4_column_position IS 'レセプト編集情報4カラム位置';</v>
      </c>
    </row>
    <row r="29" spans="1:45" s="25" customFormat="1" ht="31.5">
      <c r="A29" s="4"/>
      <c r="B29" s="21">
        <f t="shared" si="9"/>
        <v>17</v>
      </c>
      <c r="C29" s="6" t="s">
        <v>2011</v>
      </c>
      <c r="D29" s="6" t="s">
        <v>2012</v>
      </c>
      <c r="E29" s="8"/>
      <c r="F29" s="7" t="s">
        <v>1990</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1948</v>
      </c>
      <c r="D30" s="6" t="s">
        <v>923</v>
      </c>
      <c r="E30" s="8"/>
      <c r="F30" s="7" t="s">
        <v>737</v>
      </c>
      <c r="G30" s="7" t="str">
        <f t="shared" si="10"/>
        <v>text</v>
      </c>
      <c r="H30" s="26"/>
      <c r="I30" s="10"/>
      <c r="J30" s="11" t="s">
        <v>1979</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milscm_2023_009.sny_202310_backup_mt_comment.reserve1 IS '予備1';</v>
      </c>
    </row>
    <row r="31" spans="1:45" s="25" customFormat="1">
      <c r="A31" s="4"/>
      <c r="B31" s="21">
        <f t="shared" si="9"/>
        <v>19</v>
      </c>
      <c r="C31" s="6" t="s">
        <v>1949</v>
      </c>
      <c r="D31" s="6" t="s">
        <v>974</v>
      </c>
      <c r="E31" s="8"/>
      <c r="F31" s="7" t="s">
        <v>1987</v>
      </c>
      <c r="G31" s="7" t="str">
        <f t="shared" si="10"/>
        <v>text</v>
      </c>
      <c r="H31" s="26"/>
      <c r="I31" s="10"/>
      <c r="J31" s="11" t="s">
        <v>1979</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milscm_2023_009.sny_202310_backup_mt_comment.reserve2 IS '予備2';</v>
      </c>
    </row>
    <row r="32" spans="1:45" s="25" customFormat="1" ht="31.5">
      <c r="A32" s="4"/>
      <c r="B32" s="21">
        <f t="shared" si="9"/>
        <v>20</v>
      </c>
      <c r="C32" s="6" t="s">
        <v>2013</v>
      </c>
      <c r="D32" s="6" t="s">
        <v>2014</v>
      </c>
      <c r="E32" s="8"/>
      <c r="F32" s="7" t="s">
        <v>1990</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1967</v>
      </c>
      <c r="D33" s="6" t="s">
        <v>1968</v>
      </c>
      <c r="E33" s="8"/>
      <c r="F33" s="7" t="s">
        <v>737</v>
      </c>
      <c r="G33" s="7" t="str">
        <f t="shared" si="10"/>
        <v>text</v>
      </c>
      <c r="H33" s="26"/>
      <c r="I33" s="10"/>
      <c r="J33" s="11" t="s">
        <v>1794</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1907</v>
      </c>
      <c r="D34" s="6" t="s">
        <v>1969</v>
      </c>
      <c r="E34" s="8"/>
      <c r="F34" s="7" t="s">
        <v>737</v>
      </c>
      <c r="G34" s="7" t="str">
        <f t="shared" si="10"/>
        <v>text</v>
      </c>
      <c r="H34" s="26"/>
      <c r="I34" s="10"/>
      <c r="J34" s="11" t="s">
        <v>1794</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milscm_2023_009.sny_202310_backup_mt_comment.haishi_ymd IS '廃止年月日';</v>
      </c>
    </row>
    <row r="35" spans="1:52" s="25" customFormat="1" ht="56.25">
      <c r="A35" s="4"/>
      <c r="B35" s="21">
        <f t="shared" si="9"/>
        <v>23</v>
      </c>
      <c r="C35" s="6" t="s">
        <v>2015</v>
      </c>
      <c r="D35" s="6" t="s">
        <v>2016</v>
      </c>
      <c r="E35" s="8"/>
      <c r="F35" s="7" t="s">
        <v>1987</v>
      </c>
      <c r="G35" s="7" t="str">
        <f t="shared" si="10"/>
        <v>text</v>
      </c>
      <c r="H35" s="26"/>
      <c r="I35" s="10"/>
      <c r="J35" s="11" t="s">
        <v>2026</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2017</v>
      </c>
      <c r="D36" s="6" t="s">
        <v>2018</v>
      </c>
      <c r="E36" s="8"/>
      <c r="F36" s="7" t="s">
        <v>1987</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1955</v>
      </c>
      <c r="D37" s="6" t="s">
        <v>976</v>
      </c>
      <c r="E37" s="8"/>
      <c r="F37" s="7" t="s">
        <v>1987</v>
      </c>
      <c r="G37" s="7" t="str">
        <f t="shared" si="10"/>
        <v>text</v>
      </c>
      <c r="H37" s="26"/>
      <c r="I37" s="10"/>
      <c r="J37" s="11" t="s">
        <v>1979</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milscm_2023_009.sny_202310_backup_mt_comment.reserve3 IS '予備3';</v>
      </c>
    </row>
    <row r="38" spans="1:52" s="25" customFormat="1">
      <c r="A38" s="4"/>
      <c r="B38" s="21">
        <f t="shared" si="9"/>
        <v>26</v>
      </c>
      <c r="C38" s="6" t="s">
        <v>1960</v>
      </c>
      <c r="D38" s="6" t="s">
        <v>1183</v>
      </c>
      <c r="E38" s="8"/>
      <c r="F38" s="7" t="s">
        <v>737</v>
      </c>
      <c r="G38" s="7" t="str">
        <f t="shared" si="10"/>
        <v>text</v>
      </c>
      <c r="H38" s="26"/>
      <c r="I38" s="10"/>
      <c r="J38" s="11" t="s">
        <v>1979</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milscm_2023_009.sny_202310_backup_mt_comment.reserve4 IS '予備4';</v>
      </c>
    </row>
    <row r="39" spans="1:52" s="25" customFormat="1">
      <c r="A39" s="4"/>
      <c r="B39" s="21">
        <f t="shared" si="9"/>
        <v>27</v>
      </c>
      <c r="C39" s="6" t="s">
        <v>2019</v>
      </c>
      <c r="D39" s="6" t="s">
        <v>1188</v>
      </c>
      <c r="E39" s="8"/>
      <c r="F39" s="7" t="s">
        <v>737</v>
      </c>
      <c r="G39" s="7" t="str">
        <f t="shared" si="10"/>
        <v>text</v>
      </c>
      <c r="H39" s="26"/>
      <c r="I39" s="10"/>
      <c r="J39" s="11" t="s">
        <v>1979</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milscm_2023_009.sny_202310_backup_mt_comment.reserve5 IS '予備5';</v>
      </c>
    </row>
    <row r="40" spans="1:52" s="25" customFormat="1">
      <c r="A40" s="4"/>
      <c r="B40" s="21">
        <f t="shared" si="9"/>
        <v>28</v>
      </c>
      <c r="C40" s="6" t="s">
        <v>2020</v>
      </c>
      <c r="D40" s="6" t="s">
        <v>1190</v>
      </c>
      <c r="E40" s="8"/>
      <c r="F40" s="7" t="s">
        <v>737</v>
      </c>
      <c r="G40" s="7" t="str">
        <f t="shared" si="10"/>
        <v>text</v>
      </c>
      <c r="H40" s="26"/>
      <c r="I40" s="10"/>
      <c r="J40" s="11" t="s">
        <v>1979</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milscm_2023_009.sny_202310_backup_mt_comment.reserve6 IS '予備6';</v>
      </c>
    </row>
    <row r="41" spans="1:52" s="25" customFormat="1">
      <c r="A41" s="4"/>
      <c r="B41" s="21">
        <f t="shared" si="9"/>
        <v>29</v>
      </c>
      <c r="C41" s="6" t="s">
        <v>2021</v>
      </c>
      <c r="D41" s="6" t="s">
        <v>1192</v>
      </c>
      <c r="E41" s="8"/>
      <c r="F41" s="7" t="s">
        <v>1987</v>
      </c>
      <c r="G41" s="7" t="str">
        <f t="shared" ref="G41" si="14">IF(F41="フラグ","boolean",IF(F41="文字列","text",IF(F41="整数","integer",IF(F41="実数","numeric",""))))</f>
        <v>text</v>
      </c>
      <c r="H41" s="26"/>
      <c r="I41" s="10"/>
      <c r="J41" s="11" t="s">
        <v>1979</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milscm_2023_009.sny_202310_backup_mt_comment.reserve7 IS '予備7';</v>
      </c>
    </row>
    <row r="42" spans="1:52" s="25" customFormat="1">
      <c r="A42" s="4"/>
      <c r="B42" s="21">
        <f t="shared" si="9"/>
        <v>30</v>
      </c>
      <c r="C42" s="6" t="s">
        <v>2022</v>
      </c>
      <c r="D42" s="6" t="s">
        <v>2023</v>
      </c>
      <c r="E42" s="8"/>
      <c r="F42" s="7" t="s">
        <v>737</v>
      </c>
      <c r="G42" s="7" t="str">
        <f t="shared" si="10"/>
        <v>text</v>
      </c>
      <c r="H42" s="26"/>
      <c r="I42" s="10"/>
      <c r="J42" s="11" t="s">
        <v>1979</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milscm_2023_009.sny_202310_backup_mt_comment.reserve8 IS '予備8';</v>
      </c>
    </row>
    <row r="43" spans="1:52" s="25" customFormat="1" ht="19.5" thickBot="1">
      <c r="A43" s="4"/>
      <c r="B43" s="27">
        <f>ROW()-12</f>
        <v>31</v>
      </c>
      <c r="C43" s="57" t="s">
        <v>1976</v>
      </c>
      <c r="D43" s="57" t="s">
        <v>1881</v>
      </c>
      <c r="E43" s="56" t="s">
        <v>127</v>
      </c>
      <c r="F43" s="56" t="s">
        <v>737</v>
      </c>
      <c r="G43" s="56" t="str">
        <f t="shared" si="10"/>
        <v>text</v>
      </c>
      <c r="H43" s="59"/>
      <c r="I43" s="60" t="s">
        <v>127</v>
      </c>
      <c r="J43" s="64" t="s">
        <v>1794</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milscm_2023_009.sny_202310_backup_mt_comment.update_ymd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ENT_01_A3-08</v>
      </c>
      <c r="E6" s="273"/>
      <c r="F6" s="273"/>
      <c r="G6" s="273"/>
      <c r="H6" s="273"/>
      <c r="I6" s="273"/>
      <c r="J6" s="274"/>
    </row>
    <row r="7" spans="1:45">
      <c r="B7" s="262" t="s">
        <v>115</v>
      </c>
      <c r="C7" s="263"/>
      <c r="D7" s="264" t="s">
        <v>2027</v>
      </c>
      <c r="E7" s="265"/>
      <c r="F7" s="265"/>
      <c r="G7" s="265"/>
      <c r="H7" s="265"/>
      <c r="I7" s="265"/>
      <c r="J7" s="266"/>
    </row>
    <row r="8" spans="1:45">
      <c r="B8" s="262" t="s">
        <v>116</v>
      </c>
      <c r="C8" s="263"/>
      <c r="D8" s="264" t="str">
        <f>エンティティ一覧!AE2&amp;"_"&amp;D5&amp;"_mt_seibunryo"</f>
        <v>sny_202310_backup_mt_seibunryo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milscm_2023_009.sny_202310_backup_mt_seibunryo;</v>
      </c>
      <c r="O10" s="76"/>
      <c r="P10" s="76"/>
      <c r="Q10" s="76"/>
      <c r="R10" s="76"/>
      <c r="S10" s="76"/>
      <c r="T10" s="76"/>
      <c r="AJ10" s="76" t="str">
        <f>"ALTER TABLE ONLY "&amp;エンティティ一覧!$O$2&amp;"."&amp;D$8</f>
        <v>ALTER TABLE ONLY milscm_2023_009.sny_202310_backup_mt_seibunryo</v>
      </c>
      <c r="AS10" s="76" t="str">
        <f>"ALTER TABLE "&amp;エンティティ一覧!$O$2&amp;"."&amp;D$8&amp;" OWNER TO pgmisgrp1;"</f>
        <v>ALTER TABLE milscm_2023_009.sny_202310_backup_mt_seibunryo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milscm_2023_009.sny_202310_backup_mt_seibunryo</v>
      </c>
      <c r="O11" s="76"/>
      <c r="P11" s="76"/>
      <c r="Q11" s="76"/>
      <c r="R11" s="76"/>
      <c r="S11" s="76"/>
      <c r="T11" s="76"/>
      <c r="AJ11" s="76" t="str">
        <f>"ADD CONSTRAINT "&amp;D$8&amp;"_pkey PRIMARY KEY"</f>
        <v>ADD CONSTRAINT sny_202310_backup_mt_seibunryo_pkey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2028</v>
      </c>
      <c r="D13" s="6" t="s">
        <v>2029</v>
      </c>
      <c r="E13" s="8" t="s">
        <v>127</v>
      </c>
      <c r="F13" s="8" t="s">
        <v>1737</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milscm_2023_009.sny_202310_backup_mt_seibunryo.yj_code IS 'ＹＪコード';</v>
      </c>
    </row>
    <row r="14" spans="1:45" s="25" customFormat="1" ht="37.5">
      <c r="A14" s="4"/>
      <c r="B14" s="21">
        <f t="shared" ref="B14:B22" si="2">ROW()-12</f>
        <v>2</v>
      </c>
      <c r="C14" s="6" t="s">
        <v>2030</v>
      </c>
      <c r="D14" s="6" t="s">
        <v>2031</v>
      </c>
      <c r="E14" s="8"/>
      <c r="F14" s="7" t="s">
        <v>1737</v>
      </c>
      <c r="G14" s="7" t="str">
        <f t="shared" ref="G14:G23" si="3">IF(F14="フラグ","boolean",IF(F14="文字列","text",IF(F14="整数","integer",IF(F14="実数","numeric",""))))</f>
        <v>text</v>
      </c>
      <c r="H14" s="26"/>
      <c r="I14" s="10" t="s">
        <v>127</v>
      </c>
      <c r="J14" s="11" t="s">
        <v>2049</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2032</v>
      </c>
      <c r="D15" s="6" t="s">
        <v>2033</v>
      </c>
      <c r="E15" s="8"/>
      <c r="F15" s="7" t="s">
        <v>1737</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2034</v>
      </c>
      <c r="D16" s="6" t="s">
        <v>2035</v>
      </c>
      <c r="E16" s="8" t="s">
        <v>127</v>
      </c>
      <c r="F16" s="7" t="s">
        <v>1737</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2036</v>
      </c>
      <c r="D17" s="6" t="s">
        <v>2037</v>
      </c>
      <c r="E17" s="8"/>
      <c r="F17" s="7" t="s">
        <v>1744</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milscm_2023_009.sny_202310_backup_mt_seibunryo.seibunryo IS '成分量';</v>
      </c>
    </row>
    <row r="18" spans="1:52" s="25" customFormat="1">
      <c r="A18" s="4"/>
      <c r="B18" s="21">
        <f t="shared" si="2"/>
        <v>6</v>
      </c>
      <c r="C18" s="6" t="s">
        <v>2038</v>
      </c>
      <c r="D18" s="6" t="s">
        <v>2039</v>
      </c>
      <c r="E18" s="8"/>
      <c r="F18" s="7" t="s">
        <v>1737</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2040</v>
      </c>
      <c r="D19" s="6" t="s">
        <v>2041</v>
      </c>
      <c r="E19" s="8"/>
      <c r="F19" s="7" t="s">
        <v>1744</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milscm_2023_009.sny_202310_backup_mt_seibunryo.kokuji_kikakuryo IS '告示規格量';</v>
      </c>
    </row>
    <row r="20" spans="1:52" s="25" customFormat="1" ht="31.9" customHeight="1">
      <c r="A20" s="4"/>
      <c r="B20" s="21">
        <f t="shared" si="2"/>
        <v>8</v>
      </c>
      <c r="C20" s="6" t="s">
        <v>2042</v>
      </c>
      <c r="D20" s="6" t="s">
        <v>2043</v>
      </c>
      <c r="E20" s="8"/>
      <c r="F20" s="7" t="s">
        <v>1737</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2044</v>
      </c>
      <c r="D21" s="6" t="s">
        <v>2045</v>
      </c>
      <c r="E21" s="8"/>
      <c r="F21" s="7" t="s">
        <v>1737</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milscm_2023_009.sny_202310_backup_mt_seibunryo.bikou IS '備考';</v>
      </c>
    </row>
    <row r="22" spans="1:52" s="25" customFormat="1" ht="56.25">
      <c r="A22" s="4"/>
      <c r="B22" s="21">
        <f t="shared" si="2"/>
        <v>10</v>
      </c>
      <c r="C22" s="6" t="s">
        <v>2046</v>
      </c>
      <c r="D22" s="6" t="s">
        <v>2047</v>
      </c>
      <c r="E22" s="8" t="s">
        <v>127</v>
      </c>
      <c r="F22" s="7" t="s">
        <v>1737</v>
      </c>
      <c r="G22" s="7" t="str">
        <f t="shared" si="3"/>
        <v>text</v>
      </c>
      <c r="H22" s="26"/>
      <c r="I22" s="10" t="s">
        <v>127</v>
      </c>
      <c r="J22" s="11" t="s">
        <v>2050</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milscm_2023_009.sny_202310_backup_mt_seibunryo.koshin_kubun IS '更新区分';</v>
      </c>
    </row>
    <row r="23" spans="1:52" s="25" customFormat="1" ht="19.5" thickBot="1">
      <c r="A23" s="4"/>
      <c r="B23" s="27">
        <f>ROW()-12</f>
        <v>11</v>
      </c>
      <c r="C23" s="57" t="s">
        <v>2048</v>
      </c>
      <c r="D23" s="57" t="s">
        <v>1881</v>
      </c>
      <c r="E23" s="56" t="s">
        <v>127</v>
      </c>
      <c r="F23" s="56" t="s">
        <v>1737</v>
      </c>
      <c r="G23" s="56" t="str">
        <f t="shared" si="3"/>
        <v>text</v>
      </c>
      <c r="H23" s="59"/>
      <c r="I23" s="60" t="s">
        <v>127</v>
      </c>
      <c r="J23" s="64" t="s">
        <v>2051</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ENT_01_A3-09</v>
      </c>
      <c r="E6" s="273"/>
      <c r="F6" s="273"/>
      <c r="G6" s="273"/>
      <c r="H6" s="273"/>
      <c r="I6" s="273"/>
      <c r="J6" s="274"/>
    </row>
    <row r="7" spans="1:45">
      <c r="B7" s="262" t="s">
        <v>115</v>
      </c>
      <c r="C7" s="263"/>
      <c r="D7" s="264" t="s">
        <v>2052</v>
      </c>
      <c r="E7" s="265"/>
      <c r="F7" s="265"/>
      <c r="G7" s="265"/>
      <c r="H7" s="265"/>
      <c r="I7" s="265"/>
      <c r="J7" s="266"/>
    </row>
    <row r="8" spans="1:45">
      <c r="B8" s="262" t="s">
        <v>116</v>
      </c>
      <c r="C8" s="263"/>
      <c r="D8" s="264" t="str">
        <f>エンティティ一覧!AE2&amp;"_"&amp;D5&amp;"_mt_seibun_name"</f>
        <v>sny_202310_backup_mt_seibun_name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milscm_2023_009.sny_202310_backup_mt_seibun_name;</v>
      </c>
      <c r="O10" s="76"/>
      <c r="P10" s="76"/>
      <c r="Q10" s="76"/>
      <c r="R10" s="76"/>
      <c r="S10" s="76"/>
      <c r="T10" s="76"/>
      <c r="AJ10" s="76" t="str">
        <f>"ALTER TABLE ONLY "&amp;エンティティ一覧!$O$2&amp;"."&amp;D$8</f>
        <v>ALTER TABLE ONLY milscm_2023_009.sny_202310_backup_mt_seibun_name</v>
      </c>
      <c r="AS10" s="76" t="str">
        <f>"ALTER TABLE "&amp;エンティティ一覧!$O$2&amp;"."&amp;D$8&amp;" OWNER TO pgmisgrp1;"</f>
        <v>ALTER TABLE milscm_2023_009.sny_202310_backup_mt_seibun_name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milscm_2023_009.sny_202310_backup_mt_seibun_name</v>
      </c>
      <c r="O11" s="76"/>
      <c r="P11" s="76"/>
      <c r="Q11" s="76"/>
      <c r="R11" s="76"/>
      <c r="S11" s="76"/>
      <c r="T11" s="76"/>
      <c r="AJ11" s="76" t="str">
        <f>"ADD CONSTRAINT "&amp;D$8&amp;"_pkey PRIMARY KEY"</f>
        <v>ADD CONSTRAINT sny_202310_backup_mt_seibun_name_pkey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2053</v>
      </c>
      <c r="D13" s="6" t="s">
        <v>2054</v>
      </c>
      <c r="E13" s="8"/>
      <c r="F13" s="8" t="s">
        <v>1737</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2055</v>
      </c>
      <c r="D14" s="6" t="s">
        <v>2056</v>
      </c>
      <c r="E14" s="8"/>
      <c r="F14" s="7" t="s">
        <v>1737</v>
      </c>
      <c r="G14" s="7" t="str">
        <f t="shared" ref="G14:G22" si="3">IF(F14="フラグ","boolean",IF(F14="文字列","text",IF(F14="整数","integer",IF(F14="実数","numeric",""))))</f>
        <v>text</v>
      </c>
      <c r="H14" s="26"/>
      <c r="I14" s="10"/>
      <c r="J14" s="11" t="s">
        <v>2067</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2057</v>
      </c>
      <c r="D15" s="6" t="s">
        <v>2058</v>
      </c>
      <c r="E15" s="8" t="s">
        <v>127</v>
      </c>
      <c r="F15" s="7" t="s">
        <v>1737</v>
      </c>
      <c r="G15" s="7" t="str">
        <f t="shared" si="3"/>
        <v>text</v>
      </c>
      <c r="H15" s="26"/>
      <c r="I15" s="10" t="s">
        <v>127</v>
      </c>
      <c r="J15" s="11" t="s">
        <v>2068</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2034</v>
      </c>
      <c r="D16" s="6" t="s">
        <v>2035</v>
      </c>
      <c r="E16" s="8" t="s">
        <v>127</v>
      </c>
      <c r="F16" s="7" t="s">
        <v>1737</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2059</v>
      </c>
      <c r="D17" s="6" t="s">
        <v>2060</v>
      </c>
      <c r="E17" s="8"/>
      <c r="F17" s="7" t="s">
        <v>1737</v>
      </c>
      <c r="G17" s="7" t="str">
        <f t="shared" si="3"/>
        <v>text</v>
      </c>
      <c r="H17" s="26"/>
      <c r="I17" s="10" t="s">
        <v>127</v>
      </c>
      <c r="J17" s="11" t="s">
        <v>2059</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milscm_2023_009.sny_202310_backup_mt_seibun_name.seibun_name IS '成分名';</v>
      </c>
    </row>
    <row r="18" spans="1:52" s="25" customFormat="1" ht="37.5">
      <c r="A18" s="4"/>
      <c r="B18" s="21">
        <f t="shared" si="2"/>
        <v>6</v>
      </c>
      <c r="C18" s="6" t="s">
        <v>2061</v>
      </c>
      <c r="D18" s="6" t="s">
        <v>2062</v>
      </c>
      <c r="E18" s="8"/>
      <c r="F18" s="7" t="s">
        <v>1737</v>
      </c>
      <c r="G18" s="7" t="str">
        <f t="shared" si="3"/>
        <v>text</v>
      </c>
      <c r="H18" s="26"/>
      <c r="I18" s="10"/>
      <c r="J18" s="11" t="s">
        <v>2069</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milscm_2023_009.sny_202310_backup_mt_seibun_name.tanmi_f IS '単味フラグ';</v>
      </c>
    </row>
    <row r="19" spans="1:52" s="25" customFormat="1" ht="37.5">
      <c r="A19" s="4"/>
      <c r="B19" s="21">
        <f t="shared" si="2"/>
        <v>7</v>
      </c>
      <c r="C19" s="6" t="s">
        <v>2063</v>
      </c>
      <c r="D19" s="6" t="s">
        <v>2064</v>
      </c>
      <c r="E19" s="8"/>
      <c r="F19" s="7" t="s">
        <v>1737</v>
      </c>
      <c r="G19" s="7" t="str">
        <f t="shared" si="3"/>
        <v>text</v>
      </c>
      <c r="H19" s="26"/>
      <c r="I19" s="10"/>
      <c r="J19" s="11" t="s">
        <v>2070</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milscm_2023_009.sny_202310_backup_mt_seibun_name.haigo_f IS '配合フラグ';</v>
      </c>
    </row>
    <row r="20" spans="1:52" s="25" customFormat="1" ht="31.9" customHeight="1">
      <c r="A20" s="4"/>
      <c r="B20" s="21">
        <f t="shared" si="2"/>
        <v>8</v>
      </c>
      <c r="C20" s="6" t="s">
        <v>2065</v>
      </c>
      <c r="D20" s="6" t="s">
        <v>2066</v>
      </c>
      <c r="E20" s="8"/>
      <c r="F20" s="7" t="s">
        <v>1737</v>
      </c>
      <c r="G20" s="7" t="str">
        <f t="shared" si="3"/>
        <v>text</v>
      </c>
      <c r="H20" s="26"/>
      <c r="I20" s="10"/>
      <c r="J20" s="11" t="s">
        <v>2071</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milscm_2023_009.sny_202310_backup_mt_seibun_name.time_stamp IS 'タイムスタンプ';</v>
      </c>
    </row>
    <row r="21" spans="1:52" s="25" customFormat="1" ht="56.25">
      <c r="A21" s="4"/>
      <c r="B21" s="21">
        <f t="shared" si="2"/>
        <v>9</v>
      </c>
      <c r="C21" s="6" t="s">
        <v>2046</v>
      </c>
      <c r="D21" s="6" t="s">
        <v>2047</v>
      </c>
      <c r="E21" s="8" t="s">
        <v>127</v>
      </c>
      <c r="F21" s="7" t="s">
        <v>1737</v>
      </c>
      <c r="G21" s="7" t="str">
        <f t="shared" si="3"/>
        <v>text</v>
      </c>
      <c r="H21" s="26"/>
      <c r="I21" s="10" t="s">
        <v>127</v>
      </c>
      <c r="J21" s="11" t="s">
        <v>2050</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milscm_2023_009.sny_202310_backup_mt_seibun_name.koshin_kubun IS '更新区分';</v>
      </c>
    </row>
    <row r="22" spans="1:52" s="25" customFormat="1" ht="19.5" thickBot="1">
      <c r="A22" s="4"/>
      <c r="B22" s="27">
        <f>ROW()-12</f>
        <v>10</v>
      </c>
      <c r="C22" s="57" t="s">
        <v>2048</v>
      </c>
      <c r="D22" s="57" t="s">
        <v>1881</v>
      </c>
      <c r="E22" s="56" t="s">
        <v>127</v>
      </c>
      <c r="F22" s="56" t="s">
        <v>1737</v>
      </c>
      <c r="G22" s="56" t="str">
        <f t="shared" si="3"/>
        <v>text</v>
      </c>
      <c r="H22" s="59"/>
      <c r="I22" s="60" t="s">
        <v>127</v>
      </c>
      <c r="J22" s="64" t="s">
        <v>2072</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ENT_01_A3-10</v>
      </c>
      <c r="E6" s="273"/>
      <c r="F6" s="273"/>
      <c r="G6" s="273"/>
      <c r="H6" s="273"/>
      <c r="I6" s="273"/>
      <c r="J6" s="274"/>
    </row>
    <row r="7" spans="1:45">
      <c r="B7" s="262" t="s">
        <v>115</v>
      </c>
      <c r="C7" s="263"/>
      <c r="D7" s="264" t="s">
        <v>2073</v>
      </c>
      <c r="E7" s="265"/>
      <c r="F7" s="265"/>
      <c r="G7" s="265"/>
      <c r="H7" s="265"/>
      <c r="I7" s="265"/>
      <c r="J7" s="266"/>
    </row>
    <row r="8" spans="1:45">
      <c r="B8" s="262" t="s">
        <v>116</v>
      </c>
      <c r="C8" s="263"/>
      <c r="D8" s="264" t="str">
        <f>エンティティ一覧!AE2&amp;"_"&amp;D5&amp;"_mt_unit"</f>
        <v>sny_202310_backup_mt_unit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単位マスタ取込用テーブルから組入れ条件の第一条件で絞り込んだ結果を格納するテーブル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milscm_2023_009.sny_202310_backup_mt_unit;</v>
      </c>
      <c r="O10" s="76"/>
      <c r="P10" s="76"/>
      <c r="Q10" s="76"/>
      <c r="R10" s="76"/>
      <c r="S10" s="76"/>
      <c r="T10" s="76"/>
      <c r="AJ10" s="76" t="str">
        <f>"ALTER TABLE ONLY "&amp;エンティティ一覧!$O$2&amp;"."&amp;D$8</f>
        <v>ALTER TABLE ONLY milscm_2023_009.sny_202310_backup_mt_unit</v>
      </c>
      <c r="AS10" s="76" t="str">
        <f>"ALTER TABLE "&amp;エンティティ一覧!$O$2&amp;"."&amp;D$8&amp;" OWNER TO pgmisgrp1;"</f>
        <v>ALTER TABLE milscm_2023_009.sny_202310_backup_mt_unit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milscm_2023_009.sny_202310_backup_mt_unit</v>
      </c>
      <c r="O11" s="76"/>
      <c r="P11" s="76"/>
      <c r="Q11" s="76"/>
      <c r="R11" s="76"/>
      <c r="S11" s="76"/>
      <c r="T11" s="76"/>
      <c r="AJ11" s="76" t="str">
        <f>"ADD CONSTRAINT "&amp;D$8&amp;"_pkey PRIMARY KEY"</f>
        <v>ADD CONSTRAINT sny_202310_backup_mt_unit_pkey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milscm_2023_009.sny_202310_backup_mt_unit IS 'バックアップ_単位マスタ取込用';</v>
      </c>
    </row>
    <row r="13" spans="1:45" s="25" customFormat="1">
      <c r="A13" s="4"/>
      <c r="B13" s="21">
        <f>ROW()-12</f>
        <v>1</v>
      </c>
      <c r="C13" s="6" t="s">
        <v>1652</v>
      </c>
      <c r="D13" s="6" t="s">
        <v>1653</v>
      </c>
      <c r="E13" s="8" t="s">
        <v>127</v>
      </c>
      <c r="F13" s="8" t="s">
        <v>1737</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2074</v>
      </c>
      <c r="D14" s="6" t="s">
        <v>2075</v>
      </c>
      <c r="E14" s="8"/>
      <c r="F14" s="7" t="s">
        <v>1737</v>
      </c>
      <c r="G14" s="7" t="str">
        <f t="shared" ref="G14:G17" si="3">IF(F14="フラグ","boolean",IF(F14="文字列","text",IF(F14="整数","integer",IF(F14="実数","numeric",""))))</f>
        <v>text</v>
      </c>
      <c r="H14" s="26"/>
      <c r="I14" s="10"/>
      <c r="J14" s="11" t="s">
        <v>2078</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milscm_2023_009.sny_202310_backup_mt_unit.unit_name IS '単位名称';</v>
      </c>
    </row>
    <row r="15" spans="1:45" s="25" customFormat="1">
      <c r="A15" s="4"/>
      <c r="B15" s="21">
        <f t="shared" si="2"/>
        <v>3</v>
      </c>
      <c r="C15" s="6" t="s">
        <v>2076</v>
      </c>
      <c r="D15" s="6" t="s">
        <v>2077</v>
      </c>
      <c r="E15" s="8"/>
      <c r="F15" s="7" t="s">
        <v>1737</v>
      </c>
      <c r="G15" s="7" t="str">
        <f t="shared" si="3"/>
        <v>text</v>
      </c>
      <c r="H15" s="26"/>
      <c r="I15" s="10"/>
      <c r="J15" s="11" t="s">
        <v>2079</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milscm_2023_009.sny_202310_backup_mt_unit.unit_kansan_keisu IS '単位換算係数';</v>
      </c>
    </row>
    <row r="16" spans="1:45" s="25" customFormat="1" ht="56.25">
      <c r="A16" s="4"/>
      <c r="B16" s="21">
        <f t="shared" si="2"/>
        <v>4</v>
      </c>
      <c r="C16" s="6" t="s">
        <v>2046</v>
      </c>
      <c r="D16" s="6" t="s">
        <v>2047</v>
      </c>
      <c r="E16" s="8" t="s">
        <v>127</v>
      </c>
      <c r="F16" s="7" t="s">
        <v>1737</v>
      </c>
      <c r="G16" s="7" t="str">
        <f t="shared" si="3"/>
        <v>text</v>
      </c>
      <c r="H16" s="26"/>
      <c r="I16" s="10" t="s">
        <v>127</v>
      </c>
      <c r="J16" s="11" t="s">
        <v>2050</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milscm_2023_009.sny_202310_backup_mt_unit.koshin_kubun IS '更新区分';</v>
      </c>
    </row>
    <row r="17" spans="1:52" s="25" customFormat="1" ht="19.5" thickBot="1">
      <c r="A17" s="4"/>
      <c r="B17" s="27">
        <f>ROW()-12</f>
        <v>5</v>
      </c>
      <c r="C17" s="57" t="s">
        <v>2048</v>
      </c>
      <c r="D17" s="57" t="s">
        <v>1881</v>
      </c>
      <c r="E17" s="56" t="s">
        <v>127</v>
      </c>
      <c r="F17" s="56" t="s">
        <v>1737</v>
      </c>
      <c r="G17" s="56" t="str">
        <f t="shared" si="3"/>
        <v>text</v>
      </c>
      <c r="H17" s="59"/>
      <c r="I17" s="60" t="s">
        <v>127</v>
      </c>
      <c r="J17" s="64" t="s">
        <v>2072</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milscm_2023_009.sny_202310_backup_mt_unit.update_ymd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ENT_01_A3-11</v>
      </c>
      <c r="E6" s="273"/>
      <c r="F6" s="273"/>
      <c r="G6" s="273"/>
      <c r="H6" s="273"/>
      <c r="I6" s="273"/>
      <c r="J6" s="274"/>
    </row>
    <row r="7" spans="1:45">
      <c r="B7" s="262" t="s">
        <v>115</v>
      </c>
      <c r="C7" s="263"/>
      <c r="D7" s="264" t="s">
        <v>2080</v>
      </c>
      <c r="E7" s="265"/>
      <c r="F7" s="265"/>
      <c r="G7" s="265"/>
      <c r="H7" s="265"/>
      <c r="I7" s="265"/>
      <c r="J7" s="266"/>
    </row>
    <row r="8" spans="1:45">
      <c r="B8" s="262" t="s">
        <v>116</v>
      </c>
      <c r="C8" s="263"/>
      <c r="D8" s="264" t="str">
        <f>エンティティ一覧!AE2&amp;"_"&amp;D5&amp;"_mt_tekiyou_recept_combi_link"</f>
        <v>sny_202310_backup_mt_tekiyou_recept_combi_link</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milscm_2023_009.sny_202310_backup_mt_tekiyou_recept_combi_link;</v>
      </c>
      <c r="O10" s="76"/>
      <c r="P10" s="76"/>
      <c r="Q10" s="76"/>
      <c r="R10" s="76"/>
      <c r="S10" s="76"/>
      <c r="T10" s="76"/>
      <c r="AJ10" s="76" t="str">
        <f>"ALTER TABLE ONLY "&amp;エンティティ一覧!$O$2&amp;"."&amp;D$8</f>
        <v>ALTER TABLE ONLY milscm_2023_009.sny_202310_backup_mt_tekiyou_recept_combi_link</v>
      </c>
      <c r="AS10" s="76" t="str">
        <f>"ALTER TABLE "&amp;エンティティ一覧!$O$2&amp;"."&amp;D$8&amp;" OWNER TO pgmisgrp1;"</f>
        <v>ALTER TABLE milscm_2023_009.sny_202310_backup_mt_tekiyou_recept_combi_link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milscm_2023_009.sny_202310_backup_mt_tekiyou_recept_combi_link</v>
      </c>
      <c r="O11" s="76"/>
      <c r="P11" s="76"/>
      <c r="Q11" s="76"/>
      <c r="R11" s="76"/>
      <c r="S11" s="76"/>
      <c r="T11" s="76"/>
      <c r="AJ11" s="76" t="str">
        <f>"ADD CONSTRAINT "&amp;D$8&amp;"_pkey PRIMARY KEY"</f>
        <v>ADD CONSTRAINT sny_202310_backup_mt_tekiyou_recept_combi_link_pkey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1.5">
      <c r="A13" s="4"/>
      <c r="B13" s="21">
        <f>ROW()-12</f>
        <v>1</v>
      </c>
      <c r="C13" s="6" t="s">
        <v>2081</v>
      </c>
      <c r="D13" s="6" t="s">
        <v>2082</v>
      </c>
      <c r="E13" s="8" t="s">
        <v>127</v>
      </c>
      <c r="F13" s="8" t="s">
        <v>1737</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2083</v>
      </c>
      <c r="D14" s="6" t="s">
        <v>2084</v>
      </c>
      <c r="E14" s="8" t="s">
        <v>127</v>
      </c>
      <c r="F14" s="7" t="s">
        <v>1737</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milscm_2023_009.sny_202310_backup_mt_tekiyou_recept_combi_link.tekiyou_byoumei_code IS '適用病名コード';</v>
      </c>
    </row>
    <row r="15" spans="1:45" s="25" customFormat="1" ht="37.5">
      <c r="A15" s="4"/>
      <c r="B15" s="21">
        <f t="shared" si="2"/>
        <v>3</v>
      </c>
      <c r="C15" s="6" t="s">
        <v>2085</v>
      </c>
      <c r="D15" s="6" t="s">
        <v>2086</v>
      </c>
      <c r="E15" s="8" t="s">
        <v>127</v>
      </c>
      <c r="F15" s="7" t="s">
        <v>1737</v>
      </c>
      <c r="G15" s="7" t="str">
        <f t="shared" si="3"/>
        <v>text</v>
      </c>
      <c r="H15" s="26"/>
      <c r="I15" s="10" t="s">
        <v>127</v>
      </c>
      <c r="J15" s="11" t="s">
        <v>2096</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2087</v>
      </c>
      <c r="D16" s="6" t="s">
        <v>2088</v>
      </c>
      <c r="E16" s="8"/>
      <c r="F16" s="7" t="s">
        <v>1737</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milscm_2023_009.sny_202310_backup_mt_tekiyou_recept_combi_link.shikkan_name IS '疾患名';</v>
      </c>
    </row>
    <row r="17" spans="1:52" s="25" customFormat="1" ht="37.5">
      <c r="A17" s="4"/>
      <c r="B17" s="21">
        <f t="shared" si="2"/>
        <v>5</v>
      </c>
      <c r="C17" s="6" t="s">
        <v>1907</v>
      </c>
      <c r="D17" s="6" t="s">
        <v>1969</v>
      </c>
      <c r="E17" s="8"/>
      <c r="F17" s="7" t="s">
        <v>1737</v>
      </c>
      <c r="G17" s="7" t="str">
        <f t="shared" si="7"/>
        <v>text</v>
      </c>
      <c r="H17" s="26"/>
      <c r="I17" s="10"/>
      <c r="J17" s="11" t="s">
        <v>2097</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milscm_2023_009.sny_202310_backup_mt_tekiyou_recept_combi_link.haishi_ymd IS '廃止年月日';</v>
      </c>
    </row>
    <row r="18" spans="1:52" s="25" customFormat="1" ht="37.5">
      <c r="A18" s="4"/>
      <c r="B18" s="21">
        <f t="shared" si="2"/>
        <v>6</v>
      </c>
      <c r="C18" s="6" t="s">
        <v>2089</v>
      </c>
      <c r="D18" s="6" t="s">
        <v>2090</v>
      </c>
      <c r="E18" s="8"/>
      <c r="F18" s="7" t="s">
        <v>1737</v>
      </c>
      <c r="G18" s="7" t="str">
        <f t="shared" si="7"/>
        <v>text</v>
      </c>
      <c r="H18" s="26"/>
      <c r="I18" s="10"/>
      <c r="J18" s="11" t="s">
        <v>2098</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2091</v>
      </c>
      <c r="D19" s="6" t="s">
        <v>871</v>
      </c>
      <c r="E19" s="8"/>
      <c r="F19" s="7" t="s">
        <v>1737</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2092</v>
      </c>
      <c r="D20" s="6" t="s">
        <v>2093</v>
      </c>
      <c r="E20" s="8"/>
      <c r="F20" s="7" t="s">
        <v>1737</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2094</v>
      </c>
      <c r="D21" s="6" t="s">
        <v>2095</v>
      </c>
      <c r="E21" s="8"/>
      <c r="F21" s="7" t="s">
        <v>1737</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milscm_2023_009.sny_202310_backup_mt_tekiyou_recept_combi_link.kankeisei_code IS '関係性レベルコード';</v>
      </c>
    </row>
    <row r="22" spans="1:52" s="25" customFormat="1" ht="56.25">
      <c r="A22" s="4"/>
      <c r="B22" s="21">
        <f t="shared" si="2"/>
        <v>10</v>
      </c>
      <c r="C22" s="6" t="s">
        <v>2046</v>
      </c>
      <c r="D22" s="6" t="s">
        <v>2047</v>
      </c>
      <c r="E22" s="8" t="s">
        <v>127</v>
      </c>
      <c r="F22" s="7" t="s">
        <v>1737</v>
      </c>
      <c r="G22" s="7" t="str">
        <f t="shared" si="3"/>
        <v>text</v>
      </c>
      <c r="H22" s="26"/>
      <c r="I22" s="10" t="s">
        <v>127</v>
      </c>
      <c r="J22" s="11" t="s">
        <v>2050</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milscm_2023_009.sny_202310_backup_mt_tekiyou_recept_combi_link.koshin_kubun IS '更新区分';</v>
      </c>
    </row>
    <row r="23" spans="1:52" s="25" customFormat="1" ht="19.5" thickBot="1">
      <c r="A23" s="4"/>
      <c r="B23" s="27">
        <f>ROW()-12</f>
        <v>11</v>
      </c>
      <c r="C23" s="57" t="s">
        <v>2048</v>
      </c>
      <c r="D23" s="57" t="s">
        <v>1881</v>
      </c>
      <c r="E23" s="56" t="s">
        <v>127</v>
      </c>
      <c r="F23" s="56" t="s">
        <v>1737</v>
      </c>
      <c r="G23" s="56" t="str">
        <f t="shared" si="3"/>
        <v>text</v>
      </c>
      <c r="H23" s="59"/>
      <c r="I23" s="60" t="s">
        <v>127</v>
      </c>
      <c r="J23" s="64" t="s">
        <v>2072</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ENT_01_A3-12</v>
      </c>
      <c r="E6" s="273"/>
      <c r="F6" s="273"/>
      <c r="G6" s="273"/>
      <c r="H6" s="273"/>
      <c r="I6" s="273"/>
      <c r="J6" s="274"/>
    </row>
    <row r="7" spans="1:45">
      <c r="B7" s="262" t="s">
        <v>115</v>
      </c>
      <c r="C7" s="263"/>
      <c r="D7" s="264" t="s">
        <v>2099</v>
      </c>
      <c r="E7" s="265"/>
      <c r="F7" s="265"/>
      <c r="G7" s="265"/>
      <c r="H7" s="265"/>
      <c r="I7" s="265"/>
      <c r="J7" s="266"/>
    </row>
    <row r="8" spans="1:45">
      <c r="B8" s="262" t="s">
        <v>116</v>
      </c>
      <c r="C8" s="263"/>
      <c r="D8" s="264" t="str">
        <f>エンティティ一覧!AE2&amp;"_"&amp;D5&amp;"_mt_tekiyou_recept_combi_link_oyako"</f>
        <v>sny_202310_backup_mt_tekiyou_recept_combi_link_oyako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milscm_2023_009.sny_202310_backup_mt_tekiyou_recept_combi_link_oyako;</v>
      </c>
      <c r="O10" s="76"/>
      <c r="P10" s="76"/>
      <c r="Q10" s="76"/>
      <c r="R10" s="76"/>
      <c r="S10" s="76"/>
      <c r="T10" s="76"/>
      <c r="AJ10" s="76" t="str">
        <f>"ALTER TABLE ONLY "&amp;エンティティ一覧!$O$2&amp;"."&amp;D$8</f>
        <v>ALTER TABLE ONLY milscm_2023_009.sny_202310_backup_mt_tekiyou_recept_combi_link_oyako</v>
      </c>
      <c r="AS10" s="76" t="str">
        <f>"ALTER TABLE "&amp;エンティティ一覧!$O$2&amp;"."&amp;D$8&amp;" OWNER TO pgmisgrp1;"</f>
        <v>ALTER TABLE milscm_2023_009.sny_202310_backup_mt_tekiyou_recept_combi_link_oyako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milscm_2023_009.sny_202310_backup_mt_tekiyou_recept_combi_link_oyako</v>
      </c>
      <c r="O11" s="76"/>
      <c r="P11" s="76"/>
      <c r="Q11" s="76"/>
      <c r="R11" s="76"/>
      <c r="S11" s="76"/>
      <c r="T11" s="76"/>
      <c r="AJ11" s="76" t="str">
        <f>"ADD CONSTRAINT "&amp;D$8&amp;"_pkey PRIMARY KEY"</f>
        <v>ADD CONSTRAINT sny_202310_backup_mt_tekiyou_recept_combi_link_oyako_pkey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1.5">
      <c r="A13" s="4"/>
      <c r="B13" s="21">
        <f>ROW()-12</f>
        <v>1</v>
      </c>
      <c r="C13" s="6" t="s">
        <v>2081</v>
      </c>
      <c r="D13" s="6" t="s">
        <v>2082</v>
      </c>
      <c r="E13" s="8" t="s">
        <v>127</v>
      </c>
      <c r="F13" s="8" t="s">
        <v>1737</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2028</v>
      </c>
      <c r="D14" s="6" t="s">
        <v>2029</v>
      </c>
      <c r="E14" s="8" t="s">
        <v>127</v>
      </c>
      <c r="F14" s="7" t="s">
        <v>1737</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milscm_2023_009.sny_202310_backup_mt_tekiyou_recept_combi_link_oyako.yj_code IS 'ＹＪコード';</v>
      </c>
    </row>
    <row r="15" spans="1:45" s="25" customFormat="1" ht="56.25">
      <c r="A15" s="4"/>
      <c r="B15" s="21">
        <f t="shared" si="2"/>
        <v>3</v>
      </c>
      <c r="C15" s="6" t="s">
        <v>2046</v>
      </c>
      <c r="D15" s="6" t="s">
        <v>2047</v>
      </c>
      <c r="E15" s="8" t="s">
        <v>127</v>
      </c>
      <c r="F15" s="7" t="s">
        <v>1737</v>
      </c>
      <c r="G15" s="7" t="str">
        <f t="shared" si="3"/>
        <v>text</v>
      </c>
      <c r="H15" s="26"/>
      <c r="I15" s="10" t="s">
        <v>127</v>
      </c>
      <c r="J15" s="11" t="s">
        <v>2050</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milscm_2023_009.sny_202310_backup_mt_tekiyou_recept_combi_link_oyako.koshin_kubun IS '更新区分';</v>
      </c>
    </row>
    <row r="16" spans="1:45" s="25" customFormat="1" ht="19.5" thickBot="1">
      <c r="A16" s="4"/>
      <c r="B16" s="27">
        <f>ROW()-12</f>
        <v>4</v>
      </c>
      <c r="C16" s="57" t="s">
        <v>2048</v>
      </c>
      <c r="D16" s="57" t="s">
        <v>1881</v>
      </c>
      <c r="E16" s="56" t="s">
        <v>127</v>
      </c>
      <c r="F16" s="56" t="s">
        <v>1737</v>
      </c>
      <c r="G16" s="56" t="str">
        <f t="shared" si="3"/>
        <v>text</v>
      </c>
      <c r="H16" s="59"/>
      <c r="I16" s="60" t="s">
        <v>127</v>
      </c>
      <c r="J16" s="64" t="s">
        <v>2072</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milscm_2023_009.sny_202310_backup_mt_tekiyou_recept_combi_link_oyako.update_ymd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ENT_01_A3-13</v>
      </c>
      <c r="E6" s="273"/>
      <c r="F6" s="273"/>
      <c r="G6" s="273"/>
      <c r="H6" s="273"/>
      <c r="I6" s="273"/>
      <c r="J6" s="274"/>
    </row>
    <row r="7" spans="1:45">
      <c r="B7" s="262" t="s">
        <v>115</v>
      </c>
      <c r="C7" s="263"/>
      <c r="D7" s="264" t="s">
        <v>2100</v>
      </c>
      <c r="E7" s="265"/>
      <c r="F7" s="265"/>
      <c r="G7" s="265"/>
      <c r="H7" s="265"/>
      <c r="I7" s="265"/>
      <c r="J7" s="266"/>
    </row>
    <row r="8" spans="1:45">
      <c r="B8" s="262" t="s">
        <v>116</v>
      </c>
      <c r="C8" s="263"/>
      <c r="D8" s="264" t="str">
        <f>エンティティ一覧!AE2&amp;"_"&amp;D5&amp;"_mt_tekiyou_byoumei"</f>
        <v>sny_202310_backup_mt_tekiyou_byoumei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milscm_2023_009.sny_202310_backup_mt_tekiyou_byoumei;</v>
      </c>
      <c r="O10" s="76"/>
      <c r="P10" s="76"/>
      <c r="Q10" s="76"/>
      <c r="R10" s="76"/>
      <c r="S10" s="76"/>
      <c r="T10" s="76"/>
      <c r="AJ10" s="76" t="str">
        <f>"ALTER TABLE ONLY "&amp;エンティティ一覧!$O$2&amp;"."&amp;D$8</f>
        <v>ALTER TABLE ONLY milscm_2023_009.sny_202310_backup_mt_tekiyou_byoumei</v>
      </c>
      <c r="AS10" s="76" t="str">
        <f>"ALTER TABLE "&amp;エンティティ一覧!$O$2&amp;"."&amp;D$8&amp;" OWNER TO pgmisgrp1;"</f>
        <v>ALTER TABLE milscm_2023_009.sny_202310_backup_mt_tekiyou_byoumei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milscm_2023_009.sny_202310_backup_mt_tekiyou_byoumei</v>
      </c>
      <c r="O11" s="76"/>
      <c r="P11" s="76"/>
      <c r="Q11" s="76"/>
      <c r="R11" s="76"/>
      <c r="S11" s="76"/>
      <c r="T11" s="76"/>
      <c r="AJ11" s="76" t="str">
        <f>"ADD CONSTRAINT "&amp;D$8&amp;"_pkey PRIMARY KEY"</f>
        <v>ADD CONSTRAINT sny_202310_backup_mt_tekiyou_byoumei_pkey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2101</v>
      </c>
      <c r="D13" s="6" t="s">
        <v>2102</v>
      </c>
      <c r="E13" s="8"/>
      <c r="F13" s="8" t="s">
        <v>1737</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2103</v>
      </c>
      <c r="D14" s="6" t="s">
        <v>2104</v>
      </c>
      <c r="E14" s="8"/>
      <c r="F14" s="7" t="s">
        <v>1737</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2105</v>
      </c>
      <c r="D15" s="6" t="s">
        <v>2106</v>
      </c>
      <c r="E15" s="8"/>
      <c r="F15" s="7" t="s">
        <v>1737</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2083</v>
      </c>
      <c r="D16" s="6" t="s">
        <v>2084</v>
      </c>
      <c r="E16" s="8" t="s">
        <v>127</v>
      </c>
      <c r="F16" s="7" t="s">
        <v>1737</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2107</v>
      </c>
      <c r="D17" s="6" t="s">
        <v>2108</v>
      </c>
      <c r="E17" s="8"/>
      <c r="F17" s="7" t="s">
        <v>1737</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milscm_2023_009.sny_202310_backup_mt_tekiyou_byoumei.tekiyou_byoumei_name IS '適用病名';</v>
      </c>
    </row>
    <row r="18" spans="1:52" s="25" customFormat="1" ht="56.25">
      <c r="A18" s="4"/>
      <c r="B18" s="21">
        <f t="shared" si="2"/>
        <v>6</v>
      </c>
      <c r="C18" s="6" t="s">
        <v>2046</v>
      </c>
      <c r="D18" s="6" t="s">
        <v>2047</v>
      </c>
      <c r="E18" s="8" t="s">
        <v>127</v>
      </c>
      <c r="F18" s="7" t="s">
        <v>1737</v>
      </c>
      <c r="G18" s="7" t="str">
        <f t="shared" si="3"/>
        <v>text</v>
      </c>
      <c r="H18" s="26"/>
      <c r="I18" s="10" t="s">
        <v>127</v>
      </c>
      <c r="J18" s="11" t="s">
        <v>2050</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milscm_2023_009.sny_202310_backup_mt_tekiyou_byoumei.koshin_kubun IS '更新区分';</v>
      </c>
    </row>
    <row r="19" spans="1:52" s="25" customFormat="1" ht="19.5" thickBot="1">
      <c r="A19" s="4"/>
      <c r="B19" s="27">
        <f>ROW()-12</f>
        <v>7</v>
      </c>
      <c r="C19" s="57" t="s">
        <v>1976</v>
      </c>
      <c r="D19" s="57" t="s">
        <v>1881</v>
      </c>
      <c r="E19" s="56" t="s">
        <v>127</v>
      </c>
      <c r="F19" s="56" t="s">
        <v>1737</v>
      </c>
      <c r="G19" s="56" t="str">
        <f t="shared" si="3"/>
        <v>text</v>
      </c>
      <c r="H19" s="59"/>
      <c r="I19" s="60" t="s">
        <v>127</v>
      </c>
      <c r="J19" s="64" t="s">
        <v>2072</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ENT_01_A3-14</v>
      </c>
      <c r="E6" s="273"/>
      <c r="F6" s="273"/>
      <c r="G6" s="273"/>
      <c r="H6" s="273"/>
      <c r="I6" s="273"/>
      <c r="J6" s="274"/>
    </row>
    <row r="7" spans="1:45">
      <c r="B7" s="262" t="s">
        <v>115</v>
      </c>
      <c r="C7" s="263"/>
      <c r="D7" s="264" t="s">
        <v>2109</v>
      </c>
      <c r="E7" s="265"/>
      <c r="F7" s="265"/>
      <c r="G7" s="265"/>
      <c r="H7" s="265"/>
      <c r="I7" s="265"/>
      <c r="J7" s="266"/>
    </row>
    <row r="8" spans="1:45">
      <c r="B8" s="262" t="s">
        <v>116</v>
      </c>
      <c r="C8" s="263"/>
      <c r="D8" s="264" t="str">
        <f>エンティティ一覧!AE2&amp;"_"&amp;D5&amp;"_mt_yjcode_receptdensancode_link"</f>
        <v>sny_202310_backup_mt_yjcode_receptdensancode_link</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milscm_2023_009.sny_202310_backup_mt_yjcode_receptdensancode_link;</v>
      </c>
      <c r="O10" s="76"/>
      <c r="P10" s="76"/>
      <c r="Q10" s="76"/>
      <c r="R10" s="76"/>
      <c r="S10" s="76"/>
      <c r="T10" s="76"/>
      <c r="AJ10" s="76" t="str">
        <f>"ALTER TABLE ONLY "&amp;エンティティ一覧!$O$2&amp;"."&amp;D$8</f>
        <v>ALTER TABLE ONLY milscm_2023_009.sny_202310_backup_mt_yjcode_receptdensancode_link</v>
      </c>
      <c r="AS10" s="76" t="str">
        <f>"ALTER TABLE "&amp;エンティティ一覧!$O$2&amp;"."&amp;D$8&amp;" OWNER TO pgmisgrp1;"</f>
        <v>ALTER TABLE milscm_2023_009.sny_202310_backup_mt_yjcode_receptdensancode_link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milscm_2023_009.sny_202310_backup_mt_yjcode_receptdensancode_link</v>
      </c>
      <c r="O11" s="76"/>
      <c r="P11" s="76"/>
      <c r="Q11" s="76"/>
      <c r="R11" s="76"/>
      <c r="S11" s="76"/>
      <c r="T11" s="76"/>
      <c r="AJ11" s="76" t="str">
        <f>"ADD CONSTRAINT "&amp;D$8&amp;"_pkey PRIMARY KEY"</f>
        <v>ADD CONSTRAINT sny_202310_backup_mt_yjcode_receptdensancode_link_pkey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2028</v>
      </c>
      <c r="D13" s="6" t="s">
        <v>2029</v>
      </c>
      <c r="E13" s="8" t="s">
        <v>127</v>
      </c>
      <c r="F13" s="8" t="s">
        <v>1737</v>
      </c>
      <c r="G13" s="7" t="str">
        <f>IF(F13="フラグ","boolean",IF(F13="文字列","text",IF(F13="整数","integer",IF(F13="実数","numeric",""))))</f>
        <v>text</v>
      </c>
      <c r="H13" s="9"/>
      <c r="I13" s="10"/>
      <c r="J13" s="11" t="s">
        <v>2117</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2110</v>
      </c>
      <c r="D14" s="6" t="s">
        <v>1158</v>
      </c>
      <c r="E14" s="8"/>
      <c r="F14" s="7" t="s">
        <v>1737</v>
      </c>
      <c r="G14" s="7" t="str">
        <f t="shared" ref="G14:G19" si="3">IF(F14="フラグ","boolean",IF(F14="文字列","text",IF(F14="整数","integer",IF(F14="実数","numeric",""))))</f>
        <v>text</v>
      </c>
      <c r="H14" s="26"/>
      <c r="I14" s="10"/>
      <c r="J14" s="11" t="s">
        <v>2118</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2111</v>
      </c>
      <c r="D15" s="6" t="s">
        <v>2112</v>
      </c>
      <c r="E15" s="8"/>
      <c r="F15" s="7" t="s">
        <v>1737</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2113</v>
      </c>
      <c r="D16" s="6" t="s">
        <v>2114</v>
      </c>
      <c r="E16" s="8"/>
      <c r="F16" s="7" t="s">
        <v>1737</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2115</v>
      </c>
      <c r="D17" s="6" t="s">
        <v>2116</v>
      </c>
      <c r="E17" s="8"/>
      <c r="F17" s="7" t="s">
        <v>1737</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milscm_2023_009.sny_202310_backup_mt_yjcode_receptdensancode_link.kikaku_naiyou IS '規格内容';</v>
      </c>
    </row>
    <row r="18" spans="1:52" s="25" customFormat="1" ht="56.25">
      <c r="A18" s="4"/>
      <c r="B18" s="21">
        <f t="shared" si="2"/>
        <v>6</v>
      </c>
      <c r="C18" s="6" t="s">
        <v>2046</v>
      </c>
      <c r="D18" s="6" t="s">
        <v>2047</v>
      </c>
      <c r="E18" s="8" t="s">
        <v>127</v>
      </c>
      <c r="F18" s="7" t="s">
        <v>1737</v>
      </c>
      <c r="G18" s="7" t="str">
        <f t="shared" si="3"/>
        <v>text</v>
      </c>
      <c r="H18" s="26"/>
      <c r="I18" s="10" t="s">
        <v>127</v>
      </c>
      <c r="J18" s="11" t="s">
        <v>2050</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milscm_2023_009.sny_202310_backup_mt_yjcode_receptdensancode_link.koshin_kubun IS '更新区分';</v>
      </c>
    </row>
    <row r="19" spans="1:52" s="25" customFormat="1" ht="19.5" thickBot="1">
      <c r="A19" s="4"/>
      <c r="B19" s="27">
        <f>ROW()-12</f>
        <v>7</v>
      </c>
      <c r="C19" s="57" t="s">
        <v>2048</v>
      </c>
      <c r="D19" s="57" t="s">
        <v>1881</v>
      </c>
      <c r="E19" s="56" t="s">
        <v>127</v>
      </c>
      <c r="F19" s="56" t="s">
        <v>1737</v>
      </c>
      <c r="G19" s="56" t="str">
        <f t="shared" si="3"/>
        <v>text</v>
      </c>
      <c r="H19" s="59"/>
      <c r="I19" s="60" t="s">
        <v>127</v>
      </c>
      <c r="J19" s="64" t="s">
        <v>2072</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ENT_01_A3-15</v>
      </c>
      <c r="E6" s="273"/>
      <c r="F6" s="273"/>
      <c r="G6" s="273"/>
      <c r="H6" s="273"/>
      <c r="I6" s="273"/>
      <c r="J6" s="274"/>
    </row>
    <row r="7" spans="1:45">
      <c r="B7" s="262" t="s">
        <v>115</v>
      </c>
      <c r="C7" s="263"/>
      <c r="D7" s="264" t="s">
        <v>2119</v>
      </c>
      <c r="E7" s="265"/>
      <c r="F7" s="265"/>
      <c r="G7" s="265"/>
      <c r="H7" s="265"/>
      <c r="I7" s="265"/>
      <c r="J7" s="266"/>
    </row>
    <row r="8" spans="1:45">
      <c r="B8" s="262" t="s">
        <v>116</v>
      </c>
      <c r="C8" s="263"/>
      <c r="D8" s="264" t="str">
        <f>エンティティ一覧!AE2&amp;"_"&amp;D5&amp;"_mt_shinryo_koi_fuka"</f>
        <v>sny_202310_backup_mt_shinryo_koi_fuka</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milscm_2023_009.sny_202310_backup_mt_shinryo_koi_fuka;</v>
      </c>
      <c r="O10" s="76"/>
      <c r="P10" s="76"/>
      <c r="Q10" s="76"/>
      <c r="R10" s="76"/>
      <c r="S10" s="76"/>
      <c r="T10" s="76"/>
      <c r="AJ10" s="76" t="str">
        <f>"ALTER TABLE ONLY "&amp;エンティティ一覧!$O$2&amp;"."&amp;D$8</f>
        <v>ALTER TABLE ONLY milscm_2023_009.sny_202310_backup_mt_shinryo_koi_fuka</v>
      </c>
      <c r="AS10" s="76" t="str">
        <f>"ALTER TABLE "&amp;エンティティ一覧!$O$2&amp;"."&amp;D$8&amp;" OWNER TO pgmisgrp1;"</f>
        <v>ALTER TABLE milscm_2023_009.sny_202310_backup_mt_shinryo_koi_fuka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milscm_2023_009.sny_202310_backup_mt_shinryo_koi_fuka</v>
      </c>
      <c r="O11" s="76"/>
      <c r="P11" s="76"/>
      <c r="Q11" s="76"/>
      <c r="R11" s="76"/>
      <c r="S11" s="76"/>
      <c r="T11" s="76"/>
      <c r="AJ11" s="76" t="str">
        <f>"ADD CONSTRAINT "&amp;D$8&amp;"_pkey PRIMARY KEY"</f>
        <v>ADD CONSTRAINT sny_202310_backup_mt_shinryo_koi_fuka_pkey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milscm_2023_009.sny_202310_backup_mt_shinryo_koi_fuka IS 'バックアップ_診療行為付加情報マスタ取込用';</v>
      </c>
    </row>
    <row r="13" spans="1:45" s="25" customFormat="1" ht="75">
      <c r="A13" s="4"/>
      <c r="B13" s="21">
        <f>ROW()-12</f>
        <v>1</v>
      </c>
      <c r="C13" s="6" t="s">
        <v>2120</v>
      </c>
      <c r="D13" s="6" t="s">
        <v>2047</v>
      </c>
      <c r="E13" s="8" t="s">
        <v>127</v>
      </c>
      <c r="F13" s="8" t="s">
        <v>1737</v>
      </c>
      <c r="G13" s="7" t="str">
        <f>IF(F13="フラグ","boolean",IF(F13="文字列","text",IF(F13="整数","integer",IF(F13="実数","numeric",""))))</f>
        <v>text</v>
      </c>
      <c r="H13" s="9"/>
      <c r="I13" s="10" t="s">
        <v>127</v>
      </c>
      <c r="J13" s="11" t="s">
        <v>1977</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1944</v>
      </c>
      <c r="D14" s="6" t="s">
        <v>1945</v>
      </c>
      <c r="E14" s="8"/>
      <c r="F14" s="7" t="s">
        <v>1737</v>
      </c>
      <c r="G14" s="7" t="str">
        <f t="shared" ref="G14:G163" si="3">IF(F14="フラグ","boolean",IF(F14="文字列","text",IF(F14="整数","integer",IF(F14="実数","numeric",""))))</f>
        <v>text</v>
      </c>
      <c r="H14" s="26"/>
      <c r="I14" s="10" t="s">
        <v>127</v>
      </c>
      <c r="J14" s="11" t="s">
        <v>2394</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1125</v>
      </c>
      <c r="D15" s="6" t="s">
        <v>1126</v>
      </c>
      <c r="E15" s="8" t="s">
        <v>127</v>
      </c>
      <c r="F15" s="7" t="s">
        <v>1737</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milscm_2023_009.sny_202310_backup_mt_shinryo_koi_fuka.shinryo_koi_code IS '診療行為コード';</v>
      </c>
    </row>
    <row r="16" spans="1:45" s="25" customFormat="1" ht="31.5">
      <c r="A16" s="4"/>
      <c r="B16" s="21">
        <f t="shared" si="2"/>
        <v>4</v>
      </c>
      <c r="C16" s="6" t="s">
        <v>2121</v>
      </c>
      <c r="D16" s="6" t="s">
        <v>2122</v>
      </c>
      <c r="E16" s="8"/>
      <c r="F16" s="7" t="s">
        <v>1847</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2123</v>
      </c>
      <c r="D17" s="6" t="s">
        <v>2124</v>
      </c>
      <c r="E17" s="8"/>
      <c r="F17" s="7" t="s">
        <v>1737</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milscm_2023_009.sny_202310_backup_mt_shinryo_koi_fuka.shinryo_koi_kanji_name IS '診療行為省略漢字名称';</v>
      </c>
    </row>
    <row r="18" spans="1:45" s="25" customFormat="1" ht="31.5">
      <c r="A18" s="4"/>
      <c r="B18" s="21">
        <f t="shared" si="2"/>
        <v>6</v>
      </c>
      <c r="C18" s="6" t="s">
        <v>2125</v>
      </c>
      <c r="D18" s="6" t="s">
        <v>2126</v>
      </c>
      <c r="E18" s="8"/>
      <c r="F18" s="7" t="s">
        <v>1847</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2127</v>
      </c>
      <c r="D19" s="6" t="s">
        <v>2128</v>
      </c>
      <c r="E19" s="8"/>
      <c r="F19" s="7" t="s">
        <v>1737</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2129</v>
      </c>
      <c r="D20" s="6" t="s">
        <v>2130</v>
      </c>
      <c r="E20" s="8"/>
      <c r="F20" s="7" t="s">
        <v>1737</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2131</v>
      </c>
      <c r="D21" s="6" t="s">
        <v>2132</v>
      </c>
      <c r="E21" s="8"/>
      <c r="F21" s="7" t="s">
        <v>1847</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2133</v>
      </c>
      <c r="D22" s="6" t="s">
        <v>2134</v>
      </c>
      <c r="E22" s="8"/>
      <c r="F22" s="7" t="s">
        <v>1737</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2135</v>
      </c>
      <c r="D23" s="6" t="s">
        <v>2136</v>
      </c>
      <c r="E23" s="8"/>
      <c r="F23" s="7" t="s">
        <v>1847</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milscm_2023_009.sny_202310_backup_mt_shinryo_koi_fuka.gen_tensu_shikibetsu IS '新又は現点数識別';</v>
      </c>
    </row>
    <row r="24" spans="1:45" s="25" customFormat="1" ht="37.5">
      <c r="A24" s="4"/>
      <c r="B24" s="21">
        <f t="shared" si="2"/>
        <v>12</v>
      </c>
      <c r="C24" s="6" t="s">
        <v>2137</v>
      </c>
      <c r="D24" s="6" t="s">
        <v>2138</v>
      </c>
      <c r="E24" s="8"/>
      <c r="F24" s="7" t="s">
        <v>1744</v>
      </c>
      <c r="G24" s="7" t="str">
        <f t="shared" si="7"/>
        <v>numeric</v>
      </c>
      <c r="H24" s="26"/>
      <c r="I24" s="10"/>
      <c r="J24" s="11" t="s">
        <v>2395</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2139</v>
      </c>
      <c r="D25" s="6" t="s">
        <v>2140</v>
      </c>
      <c r="E25" s="8"/>
      <c r="F25" s="7" t="s">
        <v>1737</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2141</v>
      </c>
      <c r="D26" s="6" t="s">
        <v>2142</v>
      </c>
      <c r="E26" s="8"/>
      <c r="F26" s="7" t="s">
        <v>1737</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milscm_2023_009.sny_202310_backup_mt_shinryo_koi_fuka.aged_tekiyo_kubun IS '後期高齢者医療適用区分';</v>
      </c>
    </row>
    <row r="27" spans="1:45" s="25" customFormat="1" ht="31.5">
      <c r="A27" s="4"/>
      <c r="B27" s="21">
        <f t="shared" si="2"/>
        <v>15</v>
      </c>
      <c r="C27" s="6" t="s">
        <v>2143</v>
      </c>
      <c r="D27" s="6" t="s">
        <v>2144</v>
      </c>
      <c r="E27" s="8"/>
      <c r="F27" s="7" t="s">
        <v>1737</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2145</v>
      </c>
      <c r="D28" s="6" t="s">
        <v>2146</v>
      </c>
      <c r="E28" s="8"/>
      <c r="F28" s="7" t="s">
        <v>1737</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1948</v>
      </c>
      <c r="D29" s="6" t="s">
        <v>923</v>
      </c>
      <c r="E29" s="8"/>
      <c r="F29" s="7" t="s">
        <v>1737</v>
      </c>
      <c r="G29" s="7" t="str">
        <f t="shared" si="7"/>
        <v>text</v>
      </c>
      <c r="H29" s="26"/>
      <c r="I29" s="10"/>
      <c r="J29" s="11" t="s">
        <v>2396</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2147</v>
      </c>
      <c r="D30" s="6" t="s">
        <v>2148</v>
      </c>
      <c r="E30" s="8"/>
      <c r="F30" s="7" t="s">
        <v>1737</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2149</v>
      </c>
      <c r="D31" s="6" t="s">
        <v>2150</v>
      </c>
      <c r="E31" s="8"/>
      <c r="F31" s="7" t="s">
        <v>1737</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2151</v>
      </c>
      <c r="D32" s="6" t="s">
        <v>2152</v>
      </c>
      <c r="E32" s="8"/>
      <c r="F32" s="7" t="s">
        <v>1737</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2153</v>
      </c>
      <c r="D33" s="6" t="s">
        <v>2154</v>
      </c>
      <c r="E33" s="8"/>
      <c r="F33" s="7" t="s">
        <v>1737</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2155</v>
      </c>
      <c r="D34" s="6" t="s">
        <v>2156</v>
      </c>
      <c r="E34" s="8"/>
      <c r="F34" s="7" t="s">
        <v>1737</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2157</v>
      </c>
      <c r="D35" s="6" t="s">
        <v>2158</v>
      </c>
      <c r="E35" s="8"/>
      <c r="F35" s="7" t="s">
        <v>1737</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1949</v>
      </c>
      <c r="D36" s="6" t="s">
        <v>974</v>
      </c>
      <c r="E36" s="8"/>
      <c r="F36" s="7" t="s">
        <v>1737</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2159</v>
      </c>
      <c r="D37" s="6" t="s">
        <v>2160</v>
      </c>
      <c r="E37" s="8"/>
      <c r="F37" s="7" t="s">
        <v>1737</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1955</v>
      </c>
      <c r="D38" s="6" t="s">
        <v>976</v>
      </c>
      <c r="E38" s="8"/>
      <c r="F38" s="7" t="s">
        <v>1737</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2161</v>
      </c>
      <c r="D39" s="6" t="s">
        <v>2162</v>
      </c>
      <c r="E39" s="8"/>
      <c r="F39" s="7" t="s">
        <v>1847</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2163</v>
      </c>
      <c r="D40" s="6" t="s">
        <v>2164</v>
      </c>
      <c r="E40" s="8"/>
      <c r="F40" s="7" t="s">
        <v>1847</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2165</v>
      </c>
      <c r="D41" s="6" t="s">
        <v>2166</v>
      </c>
      <c r="E41" s="8"/>
      <c r="F41" s="7" t="s">
        <v>1737</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2167</v>
      </c>
      <c r="D42" s="6" t="s">
        <v>2168</v>
      </c>
      <c r="E42" s="8"/>
      <c r="F42" s="7" t="s">
        <v>1737</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2169</v>
      </c>
      <c r="D43" s="6" t="s">
        <v>2170</v>
      </c>
      <c r="E43" s="8"/>
      <c r="F43" s="7" t="s">
        <v>1847</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2171</v>
      </c>
      <c r="D44" s="6" t="s">
        <v>2172</v>
      </c>
      <c r="E44" s="8"/>
      <c r="F44" s="7" t="s">
        <v>1847</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2173</v>
      </c>
      <c r="D45" s="6" t="s">
        <v>2174</v>
      </c>
      <c r="E45" s="8"/>
      <c r="F45" s="7" t="s">
        <v>1847</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milscm_2023_009.sny_202310_backup_mt_shinryo_koi_fuka.kizami_value IS 'きざみ値';</v>
      </c>
    </row>
    <row r="46" spans="1:45" s="25" customFormat="1" ht="37.5">
      <c r="A46" s="4"/>
      <c r="B46" s="21">
        <f t="shared" si="2"/>
        <v>34</v>
      </c>
      <c r="C46" s="6" t="s">
        <v>2175</v>
      </c>
      <c r="D46" s="6" t="s">
        <v>2176</v>
      </c>
      <c r="E46" s="8"/>
      <c r="F46" s="7" t="s">
        <v>1744</v>
      </c>
      <c r="G46" s="7" t="str">
        <f t="shared" si="7"/>
        <v>numeric</v>
      </c>
      <c r="H46" s="26"/>
      <c r="I46" s="10"/>
      <c r="J46" s="11" t="s">
        <v>2395</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2177</v>
      </c>
      <c r="D47" s="6" t="s">
        <v>2178</v>
      </c>
      <c r="E47" s="8"/>
      <c r="F47" s="7" t="s">
        <v>1737</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2179</v>
      </c>
      <c r="D48" s="6" t="s">
        <v>2180</v>
      </c>
      <c r="E48" s="8"/>
      <c r="F48" s="7" t="s">
        <v>1847</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2181</v>
      </c>
      <c r="D49" s="6" t="s">
        <v>2182</v>
      </c>
      <c r="E49" s="8"/>
      <c r="F49" s="7" t="s">
        <v>1737</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2183</v>
      </c>
      <c r="D50" s="6" t="s">
        <v>2184</v>
      </c>
      <c r="E50" s="8"/>
      <c r="F50" s="7" t="s">
        <v>1737</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2185</v>
      </c>
      <c r="D51" s="6" t="s">
        <v>2186</v>
      </c>
      <c r="E51" s="8"/>
      <c r="F51" s="7" t="s">
        <v>1737</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2187</v>
      </c>
      <c r="D52" s="6" t="s">
        <v>2188</v>
      </c>
      <c r="E52" s="8"/>
      <c r="F52" s="7" t="s">
        <v>1737</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2189</v>
      </c>
      <c r="D53" s="6" t="s">
        <v>2190</v>
      </c>
      <c r="E53" s="8"/>
      <c r="F53" s="7" t="s">
        <v>1737</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2191</v>
      </c>
      <c r="D54" s="6" t="s">
        <v>2192</v>
      </c>
      <c r="E54" s="8"/>
      <c r="F54" s="7" t="s">
        <v>1737</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2193</v>
      </c>
      <c r="D55" s="6" t="s">
        <v>2194</v>
      </c>
      <c r="E55" s="8"/>
      <c r="F55" s="7" t="s">
        <v>1737</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2195</v>
      </c>
      <c r="D56" s="6" t="s">
        <v>2196</v>
      </c>
      <c r="E56" s="8"/>
      <c r="F56" s="7" t="s">
        <v>1737</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2197</v>
      </c>
      <c r="D57" s="6" t="s">
        <v>2198</v>
      </c>
      <c r="E57" s="8"/>
      <c r="F57" s="7" t="s">
        <v>1737</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2199</v>
      </c>
      <c r="D58" s="6" t="s">
        <v>2200</v>
      </c>
      <c r="E58" s="8"/>
      <c r="F58" s="7" t="s">
        <v>1737</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2201</v>
      </c>
      <c r="D59" s="6" t="s">
        <v>2202</v>
      </c>
      <c r="E59" s="8"/>
      <c r="F59" s="7" t="s">
        <v>1737</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milscm_2023_009.sny_202310_backup_mt_shinryo_koi_fuka.taijuji_kasan_kubun IS '極低出生体重児加算区分';</v>
      </c>
    </row>
    <row r="60" spans="1:45" s="25" customFormat="1" ht="31.5">
      <c r="A60" s="4"/>
      <c r="B60" s="21">
        <f t="shared" si="2"/>
        <v>48</v>
      </c>
      <c r="C60" s="6" t="s">
        <v>2203</v>
      </c>
      <c r="D60" s="6" t="s">
        <v>2204</v>
      </c>
      <c r="E60" s="8"/>
      <c r="F60" s="7" t="s">
        <v>1737</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2205</v>
      </c>
      <c r="D61" s="6" t="s">
        <v>2206</v>
      </c>
      <c r="E61" s="8"/>
      <c r="F61" s="7" t="s">
        <v>1737</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2207</v>
      </c>
      <c r="D62" s="6" t="s">
        <v>2208</v>
      </c>
      <c r="E62" s="8"/>
      <c r="F62" s="7" t="s">
        <v>1737</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milscm_2023_009.sny_202310_backup_mt_shinryo_koi_fuka.kensa_handan_kubun IS '検査等実施判断区分';</v>
      </c>
    </row>
    <row r="63" spans="1:45" s="25" customFormat="1" ht="31.5">
      <c r="A63" s="4"/>
      <c r="B63" s="21">
        <f t="shared" si="2"/>
        <v>51</v>
      </c>
      <c r="C63" s="6" t="s">
        <v>2209</v>
      </c>
      <c r="D63" s="6" t="s">
        <v>2210</v>
      </c>
      <c r="E63" s="8"/>
      <c r="F63" s="7" t="s">
        <v>1737</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2211</v>
      </c>
      <c r="D64" s="6" t="s">
        <v>2212</v>
      </c>
      <c r="E64" s="8"/>
      <c r="F64" s="7" t="s">
        <v>1737</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2213</v>
      </c>
      <c r="D65" s="6" t="s">
        <v>2214</v>
      </c>
      <c r="E65" s="8"/>
      <c r="F65" s="7" t="s">
        <v>1737</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2215</v>
      </c>
      <c r="D66" s="6" t="s">
        <v>2216</v>
      </c>
      <c r="E66" s="8"/>
      <c r="F66" s="7" t="s">
        <v>1737</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2217</v>
      </c>
      <c r="D67" s="6" t="s">
        <v>2218</v>
      </c>
      <c r="E67" s="8"/>
      <c r="F67" s="7" t="s">
        <v>1737</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2219</v>
      </c>
      <c r="D68" s="6" t="s">
        <v>2220</v>
      </c>
      <c r="E68" s="8"/>
      <c r="F68" s="7" t="s">
        <v>1737</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2221</v>
      </c>
      <c r="D69" s="6" t="s">
        <v>2222</v>
      </c>
      <c r="E69" s="8"/>
      <c r="F69" s="7" t="s">
        <v>1737</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milscm_2023_009.sny_202310_backup_mt_shinryo_koi_fuka.old_tensu_shikibetsu IS '旧点数識別';</v>
      </c>
    </row>
    <row r="70" spans="1:45" s="25" customFormat="1" ht="37.5">
      <c r="A70" s="4"/>
      <c r="B70" s="21">
        <f t="shared" si="2"/>
        <v>58</v>
      </c>
      <c r="C70" s="6" t="s">
        <v>2223</v>
      </c>
      <c r="D70" s="6" t="s">
        <v>2224</v>
      </c>
      <c r="E70" s="8"/>
      <c r="F70" s="7" t="s">
        <v>1744</v>
      </c>
      <c r="G70" s="7" t="str">
        <f t="shared" si="7"/>
        <v>numeric</v>
      </c>
      <c r="H70" s="26"/>
      <c r="I70" s="10"/>
      <c r="J70" s="11" t="s">
        <v>2395</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2225</v>
      </c>
      <c r="D71" s="6" t="s">
        <v>2226</v>
      </c>
      <c r="E71" s="8"/>
      <c r="F71" s="7" t="s">
        <v>1737</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2227</v>
      </c>
      <c r="D72" s="6" t="s">
        <v>2228</v>
      </c>
      <c r="E72" s="8"/>
      <c r="F72" s="7" t="s">
        <v>1737</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2229</v>
      </c>
      <c r="D73" s="6" t="s">
        <v>2230</v>
      </c>
      <c r="E73" s="8"/>
      <c r="F73" s="7" t="s">
        <v>1737</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2231</v>
      </c>
      <c r="D74" s="6" t="s">
        <v>2232</v>
      </c>
      <c r="E74" s="8"/>
      <c r="F74" s="7" t="s">
        <v>1737</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2233</v>
      </c>
      <c r="D75" s="6" t="s">
        <v>2234</v>
      </c>
      <c r="E75" s="8"/>
      <c r="F75" s="7" t="s">
        <v>1737</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milscm_2023_009.sny_202310_backup_mt_shinryo_koi_fuka.hokatsu_teigen_kubun IS '包括逓減区分';</v>
      </c>
    </row>
    <row r="76" spans="1:45" s="25" customFormat="1" ht="31.5">
      <c r="A76" s="4"/>
      <c r="B76" s="21">
        <f t="shared" si="2"/>
        <v>64</v>
      </c>
      <c r="C76" s="6" t="s">
        <v>2235</v>
      </c>
      <c r="D76" s="6" t="s">
        <v>2236</v>
      </c>
      <c r="E76" s="8"/>
      <c r="F76" s="7" t="s">
        <v>1737</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1960</v>
      </c>
      <c r="D77" s="6" t="s">
        <v>1183</v>
      </c>
      <c r="E77" s="8"/>
      <c r="F77" s="7" t="s">
        <v>1737</v>
      </c>
      <c r="G77" s="7" t="str">
        <f t="shared" si="7"/>
        <v>text</v>
      </c>
      <c r="H77" s="26"/>
      <c r="I77" s="10"/>
      <c r="J77" s="11" t="s">
        <v>2396</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milscm_2023_009.sny_202310_backup_mt_shinryo_koi_fuka.reserve4 IS '予備4';</v>
      </c>
    </row>
    <row r="78" spans="1:45" s="25" customFormat="1">
      <c r="A78" s="4"/>
      <c r="B78" s="21">
        <f t="shared" si="2"/>
        <v>66</v>
      </c>
      <c r="C78" s="6" t="s">
        <v>2237</v>
      </c>
      <c r="D78" s="6" t="s">
        <v>2238</v>
      </c>
      <c r="E78" s="8"/>
      <c r="F78" s="7" t="s">
        <v>1737</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2239</v>
      </c>
      <c r="D79" s="6" t="s">
        <v>2240</v>
      </c>
      <c r="E79" s="8"/>
      <c r="F79" s="7" t="s">
        <v>1737</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milscm_2023_009.sny_202310_backup_mt_shinryo_koi_fuka.fungoki_kasan_kubun IS '自動吻合器加算区分';</v>
      </c>
    </row>
    <row r="80" spans="1:45" s="25" customFormat="1">
      <c r="A80" s="4"/>
      <c r="B80" s="21">
        <f t="shared" si="2"/>
        <v>68</v>
      </c>
      <c r="C80" s="6" t="s">
        <v>2241</v>
      </c>
      <c r="D80" s="6" t="s">
        <v>2242</v>
      </c>
      <c r="E80" s="8"/>
      <c r="F80" s="7" t="s">
        <v>1737</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milscm_2023_009.sny_202310_backup_mt_shinryo_koi_fuka.kokuji_shikibetsu_kubun1 IS '告示等識別区分1';</v>
      </c>
    </row>
    <row r="81" spans="1:45" s="25" customFormat="1">
      <c r="A81" s="4"/>
      <c r="B81" s="21">
        <f t="shared" si="2"/>
        <v>69</v>
      </c>
      <c r="C81" s="6" t="s">
        <v>2243</v>
      </c>
      <c r="D81" s="6" t="s">
        <v>2244</v>
      </c>
      <c r="E81" s="8"/>
      <c r="F81" s="7" t="s">
        <v>1737</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2245</v>
      </c>
      <c r="D82" s="6" t="s">
        <v>2246</v>
      </c>
      <c r="E82" s="8"/>
      <c r="F82" s="7" t="s">
        <v>1737</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2247</v>
      </c>
      <c r="D83" s="6" t="s">
        <v>2248</v>
      </c>
      <c r="E83" s="8"/>
      <c r="F83" s="7" t="s">
        <v>1737</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2249</v>
      </c>
      <c r="D84" s="6" t="s">
        <v>2250</v>
      </c>
      <c r="E84" s="8"/>
      <c r="F84" s="7" t="s">
        <v>1737</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2251</v>
      </c>
      <c r="D85" s="6" t="s">
        <v>2252</v>
      </c>
      <c r="E85" s="8"/>
      <c r="F85" s="7" t="s">
        <v>1737</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2253</v>
      </c>
      <c r="D86" s="6" t="s">
        <v>2254</v>
      </c>
      <c r="E86" s="8"/>
      <c r="F86" s="7" t="s">
        <v>1737</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2255</v>
      </c>
      <c r="D87" s="6" t="s">
        <v>2256</v>
      </c>
      <c r="E87" s="8"/>
      <c r="F87" s="7" t="s">
        <v>1737</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2257</v>
      </c>
      <c r="D88" s="6" t="s">
        <v>2258</v>
      </c>
      <c r="E88" s="8"/>
      <c r="F88" s="7" t="s">
        <v>1737</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2259</v>
      </c>
      <c r="D89" s="6" t="s">
        <v>2260</v>
      </c>
      <c r="E89" s="8"/>
      <c r="F89" s="7" t="s">
        <v>1737</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2261</v>
      </c>
      <c r="D90" s="6" t="s">
        <v>2262</v>
      </c>
      <c r="E90" s="8"/>
      <c r="F90" s="7" t="s">
        <v>1737</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2263</v>
      </c>
      <c r="D91" s="6" t="s">
        <v>2264</v>
      </c>
      <c r="E91" s="8"/>
      <c r="F91" s="7" t="s">
        <v>1737</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2265</v>
      </c>
      <c r="D92" s="6" t="s">
        <v>2266</v>
      </c>
      <c r="E92" s="8"/>
      <c r="F92" s="7" t="s">
        <v>1737</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2267</v>
      </c>
      <c r="D93" s="6" t="s">
        <v>2268</v>
      </c>
      <c r="E93" s="8"/>
      <c r="F93" s="7" t="s">
        <v>1737</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milscm_2023_009.sny_202310_backup_mt_shinryo_koi_fuka.facility_kijun_code10 IS '施設基準コード10';</v>
      </c>
    </row>
    <row r="94" spans="1:45" s="25" customFormat="1" ht="31.5">
      <c r="A94" s="4"/>
      <c r="B94" s="21">
        <f t="shared" si="2"/>
        <v>82</v>
      </c>
      <c r="C94" s="6" t="s">
        <v>2269</v>
      </c>
      <c r="D94" s="6" t="s">
        <v>2270</v>
      </c>
      <c r="E94" s="8"/>
      <c r="F94" s="7" t="s">
        <v>1737</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2271</v>
      </c>
      <c r="D95" s="6" t="s">
        <v>2272</v>
      </c>
      <c r="E95" s="8"/>
      <c r="F95" s="7" t="s">
        <v>1737</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2273</v>
      </c>
      <c r="D96" s="6" t="s">
        <v>2274</v>
      </c>
      <c r="E96" s="8"/>
      <c r="F96" s="7" t="s">
        <v>1737</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milscm_2023_009.sny_202310_backup_mt_shinryo_koi_fuka.shika_tekiyo_kubun IS '歯科適用区分';</v>
      </c>
    </row>
    <row r="97" spans="1:45" s="25" customFormat="1">
      <c r="A97" s="4"/>
      <c r="B97" s="21">
        <f t="shared" si="2"/>
        <v>85</v>
      </c>
      <c r="C97" s="6" t="s">
        <v>2275</v>
      </c>
      <c r="D97" s="6" t="s">
        <v>2276</v>
      </c>
      <c r="E97" s="8"/>
      <c r="F97" s="7" t="s">
        <v>1737</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milscm_2023_009.sny_202310_backup_mt_shinryo_koi_fuka.code_table_alphabet IS 'コード表用番号（アルファベット部）';</v>
      </c>
    </row>
    <row r="98" spans="1:45" s="25" customFormat="1" ht="31.5">
      <c r="A98" s="4"/>
      <c r="B98" s="21">
        <f t="shared" si="2"/>
        <v>86</v>
      </c>
      <c r="C98" s="6" t="s">
        <v>2277</v>
      </c>
      <c r="D98" s="6" t="s">
        <v>2278</v>
      </c>
      <c r="E98" s="8"/>
      <c r="F98" s="7" t="s">
        <v>1737</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1967</v>
      </c>
      <c r="D99" s="6" t="s">
        <v>1968</v>
      </c>
      <c r="E99" s="8"/>
      <c r="F99" s="7" t="s">
        <v>1737</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1907</v>
      </c>
      <c r="D100" s="6" t="s">
        <v>1969</v>
      </c>
      <c r="E100" s="8"/>
      <c r="F100" s="7" t="s">
        <v>1737</v>
      </c>
      <c r="G100" s="7" t="str">
        <f t="shared" si="13"/>
        <v>text</v>
      </c>
      <c r="H100" s="26"/>
      <c r="I100" s="10"/>
      <c r="J100" s="11" t="s">
        <v>2397</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2017</v>
      </c>
      <c r="D101" s="6" t="s">
        <v>2279</v>
      </c>
      <c r="E101" s="8"/>
      <c r="F101" s="7" t="s">
        <v>1737</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2280</v>
      </c>
      <c r="D102" s="6" t="s">
        <v>2281</v>
      </c>
      <c r="E102" s="8"/>
      <c r="F102" s="7" t="s">
        <v>1737</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2282</v>
      </c>
      <c r="D103" s="6" t="s">
        <v>2283</v>
      </c>
      <c r="E103" s="8"/>
      <c r="F103" s="7" t="s">
        <v>1737</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2284</v>
      </c>
      <c r="D104" s="6" t="s">
        <v>2285</v>
      </c>
      <c r="E104" s="8"/>
      <c r="F104" s="7" t="s">
        <v>1737</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2286</v>
      </c>
      <c r="D105" s="6" t="s">
        <v>2287</v>
      </c>
      <c r="E105" s="8"/>
      <c r="F105" s="7" t="s">
        <v>1737</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2288</v>
      </c>
      <c r="D106" s="6" t="s">
        <v>2289</v>
      </c>
      <c r="E106" s="8"/>
      <c r="F106" s="7" t="s">
        <v>1737</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2290</v>
      </c>
      <c r="D107" s="6" t="s">
        <v>2291</v>
      </c>
      <c r="E107" s="8"/>
      <c r="F107" s="7" t="s">
        <v>1737</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2292</v>
      </c>
      <c r="D108" s="6" t="s">
        <v>2293</v>
      </c>
      <c r="E108" s="8"/>
      <c r="F108" s="7" t="s">
        <v>1737</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2294</v>
      </c>
      <c r="D109" s="6" t="s">
        <v>2295</v>
      </c>
      <c r="E109" s="8"/>
      <c r="F109" s="7" t="s">
        <v>1737</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milscm_2023_009.sny_202310_backup_mt_shinryo_koi_fuka.kokuji_kanren_no_kubun IS '告示・通知関連番号_区分番号';</v>
      </c>
    </row>
    <row r="110" spans="1:45" s="25" customFormat="1">
      <c r="A110" s="4"/>
      <c r="B110" s="21">
        <f t="shared" si="2"/>
        <v>98</v>
      </c>
      <c r="C110" s="6" t="s">
        <v>2296</v>
      </c>
      <c r="D110" s="6" t="s">
        <v>2297</v>
      </c>
      <c r="E110" s="8"/>
      <c r="F110" s="7" t="s">
        <v>1737</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2298</v>
      </c>
      <c r="D111" s="6" t="s">
        <v>2299</v>
      </c>
      <c r="E111" s="8"/>
      <c r="F111" s="7" t="s">
        <v>1737</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2300</v>
      </c>
      <c r="D112" s="6" t="s">
        <v>2301</v>
      </c>
      <c r="E112" s="8"/>
      <c r="F112" s="7" t="s">
        <v>1737</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2302</v>
      </c>
      <c r="D113" s="6" t="s">
        <v>2303</v>
      </c>
      <c r="E113" s="8"/>
      <c r="F113" s="7" t="s">
        <v>1737</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2304</v>
      </c>
      <c r="D114" s="6" t="s">
        <v>2305</v>
      </c>
      <c r="E114" s="8"/>
      <c r="F114" s="7" t="s">
        <v>1737</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2306</v>
      </c>
      <c r="D115" s="6" t="s">
        <v>2307</v>
      </c>
      <c r="E115" s="8"/>
      <c r="F115" s="7" t="s">
        <v>1737</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2308</v>
      </c>
      <c r="D116" s="6" t="s">
        <v>2309</v>
      </c>
      <c r="E116" s="8"/>
      <c r="F116" s="7" t="s">
        <v>1737</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2310</v>
      </c>
      <c r="D117" s="6" t="s">
        <v>2311</v>
      </c>
      <c r="E117" s="8"/>
      <c r="F117" s="7" t="s">
        <v>1737</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2312</v>
      </c>
      <c r="D118" s="6" t="s">
        <v>2313</v>
      </c>
      <c r="E118" s="8"/>
      <c r="F118" s="7" t="s">
        <v>1737</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2314</v>
      </c>
      <c r="D119" s="6" t="s">
        <v>2315</v>
      </c>
      <c r="E119" s="8"/>
      <c r="F119" s="7" t="s">
        <v>1737</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2316</v>
      </c>
      <c r="D120" s="6" t="s">
        <v>2317</v>
      </c>
      <c r="E120" s="8"/>
      <c r="F120" s="7" t="s">
        <v>1737</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2318</v>
      </c>
      <c r="D121" s="6" t="s">
        <v>2319</v>
      </c>
      <c r="E121" s="8"/>
      <c r="F121" s="7" t="s">
        <v>1737</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2320</v>
      </c>
      <c r="D122" s="6" t="s">
        <v>2321</v>
      </c>
      <c r="E122" s="8"/>
      <c r="F122" s="7" t="s">
        <v>1737</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2322</v>
      </c>
      <c r="D123" s="6" t="s">
        <v>2323</v>
      </c>
      <c r="E123" s="8"/>
      <c r="F123" s="7" t="s">
        <v>1737</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2324</v>
      </c>
      <c r="D124" s="6" t="s">
        <v>2325</v>
      </c>
      <c r="E124" s="8"/>
      <c r="F124" s="7" t="s">
        <v>1737</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2326</v>
      </c>
      <c r="D125" s="6" t="s">
        <v>2327</v>
      </c>
      <c r="E125" s="8"/>
      <c r="F125" s="7" t="s">
        <v>1737</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milscm_2023_009.sny_202310_backup_mt_shinryo_koi_fuka.kihon_kanji_name IS '基本漢字名称';</v>
      </c>
    </row>
    <row r="126" spans="1:45" s="25" customFormat="1">
      <c r="A126" s="4"/>
      <c r="B126" s="21">
        <f t="shared" si="2"/>
        <v>114</v>
      </c>
      <c r="C126" s="6" t="s">
        <v>2328</v>
      </c>
      <c r="D126" s="6" t="s">
        <v>2329</v>
      </c>
      <c r="E126" s="8"/>
      <c r="F126" s="7" t="s">
        <v>1737</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milscm_2023_009.sny_202310_backup_mt_shinryo_koi_fuka.fukubiko_naishikyo_kasan IS '副鼻腔手術用内視鏡加算';</v>
      </c>
    </row>
    <row r="127" spans="1:45" s="25" customFormat="1" ht="31.5">
      <c r="A127" s="4"/>
      <c r="B127" s="21">
        <f t="shared" si="2"/>
        <v>115</v>
      </c>
      <c r="C127" s="6" t="s">
        <v>2330</v>
      </c>
      <c r="D127" s="6" t="s">
        <v>2331</v>
      </c>
      <c r="E127" s="8"/>
      <c r="F127" s="7" t="s">
        <v>1737</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2332</v>
      </c>
      <c r="D128" s="6" t="s">
        <v>2333</v>
      </c>
      <c r="E128" s="8"/>
      <c r="F128" s="7" t="s">
        <v>1737</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milscm_2023_009.sny_202310_backup_mt_shinryo_koi_fuka.long_masui_kasan IS '長時間麻酔管理加算';</v>
      </c>
    </row>
    <row r="129" spans="1:45" s="25" customFormat="1" ht="56.25">
      <c r="A129" s="4"/>
      <c r="B129" s="21">
        <f t="shared" si="2"/>
        <v>117</v>
      </c>
      <c r="C129" s="6" t="s">
        <v>2334</v>
      </c>
      <c r="D129" s="6" t="s">
        <v>2335</v>
      </c>
      <c r="E129" s="8"/>
      <c r="F129" s="7" t="s">
        <v>1737</v>
      </c>
      <c r="G129" s="7" t="str">
        <f t="shared" si="13"/>
        <v>text</v>
      </c>
      <c r="H129" s="26"/>
      <c r="I129" s="10"/>
      <c r="J129" s="11" t="s">
        <v>2398</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2336</v>
      </c>
      <c r="D130" s="6" t="s">
        <v>2337</v>
      </c>
      <c r="E130" s="8"/>
      <c r="F130" s="7" t="s">
        <v>1737</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2338</v>
      </c>
      <c r="D131" s="6" t="s">
        <v>2339</v>
      </c>
      <c r="E131" s="8"/>
      <c r="F131" s="7" t="s">
        <v>1737</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2340</v>
      </c>
      <c r="D132" s="6" t="s">
        <v>2341</v>
      </c>
      <c r="E132" s="8"/>
      <c r="F132" s="7" t="s">
        <v>1737</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2342</v>
      </c>
      <c r="D133" s="6" t="s">
        <v>2343</v>
      </c>
      <c r="E133" s="8"/>
      <c r="F133" s="7" t="s">
        <v>1737</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milscm_2023_009.sny_202310_backup_mt_shinryo_koi_fuka.sogai_kotei_kasan IS '創外固定器加算';</v>
      </c>
    </row>
    <row r="134" spans="1:45" s="25" customFormat="1">
      <c r="A134" s="4"/>
      <c r="B134" s="21">
        <f t="shared" si="2"/>
        <v>122</v>
      </c>
      <c r="C134" s="6" t="s">
        <v>2344</v>
      </c>
      <c r="D134" s="6" t="s">
        <v>2345</v>
      </c>
      <c r="E134" s="8"/>
      <c r="F134" s="7" t="s">
        <v>1737</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2346</v>
      </c>
      <c r="D135" s="6" t="s">
        <v>2347</v>
      </c>
      <c r="E135" s="8"/>
      <c r="F135" s="7" t="s">
        <v>1737</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milscm_2023_009.sny_202310_backup_mt_shinryo_koi_fuka.sashin_jiheisa_kasan IS '左心耳閉鎖術併施加算';</v>
      </c>
    </row>
    <row r="136" spans="1:45" s="25" customFormat="1" ht="31.5">
      <c r="A136" s="4"/>
      <c r="B136" s="21">
        <f t="shared" si="2"/>
        <v>124</v>
      </c>
      <c r="C136" s="6" t="s">
        <v>2348</v>
      </c>
      <c r="D136" s="6" t="s">
        <v>2349</v>
      </c>
      <c r="E136" s="8"/>
      <c r="F136" s="7" t="s">
        <v>1737</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2350</v>
      </c>
      <c r="D137" s="6" t="s">
        <v>2351</v>
      </c>
      <c r="E137" s="8"/>
      <c r="F137" s="7" t="s">
        <v>1737</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milscm_2023_009.sny_202310_backup_mt_shinryo_koi_fuka.jibi_inko_nyuyoji_kasan IS '耳鼻咽喉科乳幼児処置加算';</v>
      </c>
    </row>
    <row r="138" spans="1:45" s="25" customFormat="1" ht="31.5">
      <c r="A138" s="4"/>
      <c r="B138" s="21">
        <f t="shared" si="2"/>
        <v>126</v>
      </c>
      <c r="C138" s="6" t="s">
        <v>2352</v>
      </c>
      <c r="D138" s="6" t="s">
        <v>2353</v>
      </c>
      <c r="E138" s="8"/>
      <c r="F138" s="7" t="s">
        <v>1737</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1.5">
      <c r="A139" s="4"/>
      <c r="B139" s="21">
        <f t="shared" si="2"/>
        <v>127</v>
      </c>
      <c r="C139" s="6" t="s">
        <v>2354</v>
      </c>
      <c r="D139" s="6" t="s">
        <v>2355</v>
      </c>
      <c r="E139" s="8"/>
      <c r="F139" s="7" t="s">
        <v>1737</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2019</v>
      </c>
      <c r="D140" s="6" t="s">
        <v>1188</v>
      </c>
      <c r="E140" s="8"/>
      <c r="F140" s="7" t="s">
        <v>1737</v>
      </c>
      <c r="G140" s="7" t="str">
        <f t="shared" si="13"/>
        <v>text</v>
      </c>
      <c r="H140" s="26"/>
      <c r="I140" s="10"/>
      <c r="J140" s="11" t="s">
        <v>2396</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2020</v>
      </c>
      <c r="D141" s="6" t="s">
        <v>1190</v>
      </c>
      <c r="E141" s="8"/>
      <c r="F141" s="7" t="s">
        <v>1737</v>
      </c>
      <c r="G141" s="7" t="str">
        <f t="shared" si="13"/>
        <v>text</v>
      </c>
      <c r="H141" s="26"/>
      <c r="I141" s="10"/>
      <c r="J141" s="11" t="s">
        <v>2396</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2021</v>
      </c>
      <c r="D142" s="6" t="s">
        <v>1192</v>
      </c>
      <c r="E142" s="8"/>
      <c r="F142" s="7" t="s">
        <v>1737</v>
      </c>
      <c r="G142" s="7" t="str">
        <f t="shared" si="13"/>
        <v>text</v>
      </c>
      <c r="H142" s="26"/>
      <c r="I142" s="10"/>
      <c r="J142" s="11" t="s">
        <v>2396</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2022</v>
      </c>
      <c r="D143" s="6" t="s">
        <v>2023</v>
      </c>
      <c r="E143" s="8"/>
      <c r="F143" s="7" t="s">
        <v>1737</v>
      </c>
      <c r="G143" s="7" t="str">
        <f t="shared" si="13"/>
        <v>text</v>
      </c>
      <c r="H143" s="26"/>
      <c r="I143" s="10"/>
      <c r="J143" s="11" t="s">
        <v>2396</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2356</v>
      </c>
      <c r="D144" s="6" t="s">
        <v>2357</v>
      </c>
      <c r="E144" s="8"/>
      <c r="F144" s="7" t="s">
        <v>1737</v>
      </c>
      <c r="G144" s="7" t="str">
        <f t="shared" si="13"/>
        <v>text</v>
      </c>
      <c r="H144" s="26"/>
      <c r="I144" s="10"/>
      <c r="J144" s="11" t="s">
        <v>2396</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2358</v>
      </c>
      <c r="D145" s="6" t="s">
        <v>2359</v>
      </c>
      <c r="E145" s="8"/>
      <c r="F145" s="7" t="s">
        <v>1737</v>
      </c>
      <c r="G145" s="7" t="str">
        <f t="shared" si="13"/>
        <v>text</v>
      </c>
      <c r="H145" s="26"/>
      <c r="I145" s="10"/>
      <c r="J145" s="11" t="s">
        <v>2396</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2360</v>
      </c>
      <c r="D146" s="6" t="s">
        <v>2361</v>
      </c>
      <c r="E146" s="8"/>
      <c r="F146" s="7" t="s">
        <v>1737</v>
      </c>
      <c r="G146" s="7" t="str">
        <f t="shared" ref="G146:G162" si="19">IF(F146="フラグ","boolean",IF(F146="文字列","text",IF(F146="整数","integer",IF(F146="実数","numeric",""))))</f>
        <v>text</v>
      </c>
      <c r="H146" s="26"/>
      <c r="I146" s="10"/>
      <c r="J146" s="11" t="s">
        <v>2396</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2362</v>
      </c>
      <c r="D147" s="6" t="s">
        <v>2363</v>
      </c>
      <c r="E147" s="8"/>
      <c r="F147" s="7" t="s">
        <v>1737</v>
      </c>
      <c r="G147" s="7" t="str">
        <f t="shared" si="19"/>
        <v>text</v>
      </c>
      <c r="H147" s="26"/>
      <c r="I147" s="10"/>
      <c r="J147" s="11" t="s">
        <v>2396</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2364</v>
      </c>
      <c r="D148" s="6" t="s">
        <v>2365</v>
      </c>
      <c r="E148" s="8"/>
      <c r="F148" s="7" t="s">
        <v>1737</v>
      </c>
      <c r="G148" s="7" t="str">
        <f t="shared" si="19"/>
        <v>text</v>
      </c>
      <c r="H148" s="26"/>
      <c r="I148" s="10"/>
      <c r="J148" s="11" t="s">
        <v>2396</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2366</v>
      </c>
      <c r="D149" s="6" t="s">
        <v>2367</v>
      </c>
      <c r="E149" s="8"/>
      <c r="F149" s="7" t="s">
        <v>1737</v>
      </c>
      <c r="G149" s="7" t="str">
        <f t="shared" si="19"/>
        <v>text</v>
      </c>
      <c r="H149" s="26"/>
      <c r="I149" s="10"/>
      <c r="J149" s="11" t="s">
        <v>2396</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2368</v>
      </c>
      <c r="D150" s="6" t="s">
        <v>2369</v>
      </c>
      <c r="E150" s="8"/>
      <c r="F150" s="7" t="s">
        <v>1737</v>
      </c>
      <c r="G150" s="7" t="str">
        <f t="shared" si="19"/>
        <v>text</v>
      </c>
      <c r="H150" s="26"/>
      <c r="I150" s="10"/>
      <c r="J150" s="11" t="s">
        <v>2396</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2370</v>
      </c>
      <c r="D151" s="6" t="s">
        <v>2371</v>
      </c>
      <c r="E151" s="8"/>
      <c r="F151" s="7" t="s">
        <v>1737</v>
      </c>
      <c r="G151" s="7" t="str">
        <f t="shared" si="19"/>
        <v>text</v>
      </c>
      <c r="H151" s="26"/>
      <c r="I151" s="10"/>
      <c r="J151" s="11" t="s">
        <v>2396</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2372</v>
      </c>
      <c r="D152" s="6" t="s">
        <v>2373</v>
      </c>
      <c r="E152" s="8"/>
      <c r="F152" s="7" t="s">
        <v>1737</v>
      </c>
      <c r="G152" s="7" t="str">
        <f t="shared" si="19"/>
        <v>text</v>
      </c>
      <c r="H152" s="26"/>
      <c r="I152" s="10"/>
      <c r="J152" s="11" t="s">
        <v>2396</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2374</v>
      </c>
      <c r="D153" s="6" t="s">
        <v>2375</v>
      </c>
      <c r="E153" s="8"/>
      <c r="F153" s="7" t="s">
        <v>1737</v>
      </c>
      <c r="G153" s="7" t="str">
        <f t="shared" si="19"/>
        <v>text</v>
      </c>
      <c r="H153" s="26"/>
      <c r="I153" s="10"/>
      <c r="J153" s="11" t="s">
        <v>2396</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2376</v>
      </c>
      <c r="D154" s="6" t="s">
        <v>2377</v>
      </c>
      <c r="E154" s="8"/>
      <c r="F154" s="7" t="s">
        <v>1737</v>
      </c>
      <c r="G154" s="7" t="str">
        <f t="shared" si="19"/>
        <v>text</v>
      </c>
      <c r="H154" s="26"/>
      <c r="I154" s="10"/>
      <c r="J154" s="11" t="s">
        <v>2396</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2378</v>
      </c>
      <c r="D155" s="6" t="s">
        <v>2379</v>
      </c>
      <c r="E155" s="8"/>
      <c r="F155" s="7" t="s">
        <v>1737</v>
      </c>
      <c r="G155" s="7" t="str">
        <f t="shared" si="19"/>
        <v>text</v>
      </c>
      <c r="H155" s="26"/>
      <c r="I155" s="10"/>
      <c r="J155" s="11" t="s">
        <v>2396</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2380</v>
      </c>
      <c r="D156" s="6" t="s">
        <v>2381</v>
      </c>
      <c r="E156" s="8"/>
      <c r="F156" s="7" t="s">
        <v>1737</v>
      </c>
      <c r="G156" s="7" t="str">
        <f t="shared" si="19"/>
        <v>text</v>
      </c>
      <c r="H156" s="26"/>
      <c r="I156" s="10"/>
      <c r="J156" s="11" t="s">
        <v>2396</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2382</v>
      </c>
      <c r="D157" s="6" t="s">
        <v>2383</v>
      </c>
      <c r="E157" s="8"/>
      <c r="F157" s="7" t="s">
        <v>1737</v>
      </c>
      <c r="G157" s="7" t="str">
        <f t="shared" si="19"/>
        <v>text</v>
      </c>
      <c r="H157" s="26"/>
      <c r="I157" s="10"/>
      <c r="J157" s="11" t="s">
        <v>2396</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2384</v>
      </c>
      <c r="D158" s="6" t="s">
        <v>2385</v>
      </c>
      <c r="E158" s="8"/>
      <c r="F158" s="7" t="s">
        <v>1737</v>
      </c>
      <c r="G158" s="7" t="str">
        <f t="shared" si="19"/>
        <v>text</v>
      </c>
      <c r="H158" s="26"/>
      <c r="I158" s="10"/>
      <c r="J158" s="11" t="s">
        <v>2396</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2386</v>
      </c>
      <c r="D159" s="6" t="s">
        <v>2387</v>
      </c>
      <c r="E159" s="8"/>
      <c r="F159" s="7" t="s">
        <v>1737</v>
      </c>
      <c r="G159" s="7" t="str">
        <f t="shared" si="19"/>
        <v>text</v>
      </c>
      <c r="H159" s="26"/>
      <c r="I159" s="10"/>
      <c r="J159" s="11" t="s">
        <v>2396</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2388</v>
      </c>
      <c r="D160" s="6" t="s">
        <v>2389</v>
      </c>
      <c r="E160" s="8"/>
      <c r="F160" s="7" t="s">
        <v>1737</v>
      </c>
      <c r="G160" s="7" t="str">
        <f t="shared" si="19"/>
        <v>text</v>
      </c>
      <c r="H160" s="26"/>
      <c r="I160" s="10"/>
      <c r="J160" s="11" t="s">
        <v>2396</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2390</v>
      </c>
      <c r="D161" s="6" t="s">
        <v>2391</v>
      </c>
      <c r="E161" s="8"/>
      <c r="F161" s="7" t="s">
        <v>1737</v>
      </c>
      <c r="G161" s="7" t="str">
        <f t="shared" si="19"/>
        <v>text</v>
      </c>
      <c r="H161" s="26"/>
      <c r="I161" s="10"/>
      <c r="J161" s="11" t="s">
        <v>2396</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2392</v>
      </c>
      <c r="D162" s="6" t="s">
        <v>2393</v>
      </c>
      <c r="E162" s="8"/>
      <c r="F162" s="7" t="s">
        <v>1737</v>
      </c>
      <c r="G162" s="7" t="str">
        <f t="shared" si="19"/>
        <v>text</v>
      </c>
      <c r="H162" s="26"/>
      <c r="I162" s="10"/>
      <c r="J162" s="11" t="s">
        <v>2396</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milscm_2023_009.sny_202310_backup_mt_shinryo_koi_fuka.reserve27 IS '予備27';</v>
      </c>
    </row>
    <row r="163" spans="1:52" s="25" customFormat="1" ht="19.5" thickBot="1">
      <c r="A163" s="4"/>
      <c r="B163" s="27">
        <f>ROW()-12</f>
        <v>151</v>
      </c>
      <c r="C163" s="57" t="s">
        <v>2048</v>
      </c>
      <c r="D163" s="57" t="s">
        <v>1881</v>
      </c>
      <c r="E163" s="56" t="s">
        <v>127</v>
      </c>
      <c r="F163" s="56" t="s">
        <v>1737</v>
      </c>
      <c r="G163" s="56" t="str">
        <f t="shared" si="3"/>
        <v>text</v>
      </c>
      <c r="H163" s="59"/>
      <c r="I163" s="60" t="s">
        <v>127</v>
      </c>
      <c r="J163" s="64" t="s">
        <v>2399</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milscm_2023_009.sny_202310_backup_mt_shinryo_koi_fuka.update_ymd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ENT_01_A3-16</v>
      </c>
      <c r="E6" s="273"/>
      <c r="F6" s="273"/>
      <c r="G6" s="273"/>
      <c r="H6" s="273"/>
      <c r="I6" s="273"/>
      <c r="J6" s="274"/>
    </row>
    <row r="7" spans="1:45">
      <c r="B7" s="262" t="s">
        <v>115</v>
      </c>
      <c r="C7" s="263"/>
      <c r="D7" s="264" t="s">
        <v>2400</v>
      </c>
      <c r="E7" s="265"/>
      <c r="F7" s="265"/>
      <c r="G7" s="265"/>
      <c r="H7" s="265"/>
      <c r="I7" s="265"/>
      <c r="J7" s="266"/>
    </row>
    <row r="8" spans="1:45">
      <c r="B8" s="262" t="s">
        <v>116</v>
      </c>
      <c r="C8" s="263"/>
      <c r="D8" s="264" t="str">
        <f>エンティティ一覧!AE2&amp;"_"&amp;D5&amp;"_mt_shori_shisetsu"</f>
        <v>sny_202310_backup_mt_shori_shisetsu</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milscm_2023_009.sny_202310_backup_mt_shori_shisetsu;</v>
      </c>
      <c r="O10" s="76"/>
      <c r="P10" s="76"/>
      <c r="Q10" s="76"/>
      <c r="R10" s="76"/>
      <c r="S10" s="76"/>
      <c r="T10" s="76"/>
      <c r="AJ10" s="76" t="str">
        <f>"ALTER TABLE ONLY "&amp;エンティティ一覧!$O$2&amp;"."&amp;D$8</f>
        <v>ALTER TABLE ONLY milscm_2023_009.sny_202310_backup_mt_shori_shisetsu</v>
      </c>
      <c r="AS10" s="76" t="str">
        <f>"ALTER TABLE "&amp;エンティティ一覧!$O$2&amp;"."&amp;D$8&amp;" OWNER TO pgmisgrp1;"</f>
        <v>ALTER TABLE milscm_2023_009.sny_202310_backup_mt_shori_shisetsu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milscm_2023_009.sny_202310_backup_mt_shori_shisetsu</v>
      </c>
      <c r="O11" s="76"/>
      <c r="P11" s="76"/>
      <c r="Q11" s="76"/>
      <c r="R11" s="76"/>
      <c r="S11" s="76"/>
      <c r="T11" s="76"/>
      <c r="AJ11" s="76" t="str">
        <f>"ADD CONSTRAINT "&amp;D$8&amp;"_pkey PRIMARY KEY"</f>
        <v>ADD CONSTRAINT sny_202310_backup_mt_shori_shisetsu_pkey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2401</v>
      </c>
      <c r="D13" s="6" t="s">
        <v>128</v>
      </c>
      <c r="E13" s="8" t="s">
        <v>127</v>
      </c>
      <c r="F13" s="8" t="s">
        <v>1737</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2402</v>
      </c>
      <c r="D14" s="6" t="s">
        <v>2403</v>
      </c>
      <c r="E14" s="8"/>
      <c r="F14" s="7" t="s">
        <v>865</v>
      </c>
      <c r="G14" s="7" t="str">
        <f t="shared" ref="G14:G22" si="3">IF(F14="フラグ","boolean",IF(F14="文字列","text",IF(F14="整数","integer",IF(F14="実数","numeric",""))))</f>
        <v>text</v>
      </c>
      <c r="H14" s="26"/>
      <c r="I14" s="10" t="s">
        <v>127</v>
      </c>
      <c r="J14" s="11" t="s">
        <v>2421</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2404</v>
      </c>
      <c r="D15" s="6" t="s">
        <v>2405</v>
      </c>
      <c r="E15" s="8"/>
      <c r="F15" s="7" t="s">
        <v>1737</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milscm_2023_009.sny_202310_backup_mt_shori_shisetsu.facility_name IS '施設名';</v>
      </c>
    </row>
    <row r="16" spans="1:45" s="25" customFormat="1" ht="37.5">
      <c r="A16" s="4"/>
      <c r="B16" s="21">
        <f t="shared" si="2"/>
        <v>4</v>
      </c>
      <c r="C16" s="6" t="s">
        <v>2406</v>
      </c>
      <c r="D16" s="6" t="s">
        <v>2407</v>
      </c>
      <c r="E16" s="8"/>
      <c r="F16" s="7" t="s">
        <v>1737</v>
      </c>
      <c r="G16" s="7" t="str">
        <f t="shared" si="3"/>
        <v>text</v>
      </c>
      <c r="H16" s="26"/>
      <c r="I16" s="10"/>
      <c r="J16" s="11" t="s">
        <v>2422</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2408</v>
      </c>
      <c r="D17" s="6" t="s">
        <v>2409</v>
      </c>
      <c r="E17" s="8"/>
      <c r="F17" s="7" t="s">
        <v>1737</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milscm_2023_009.sny_202310_backup_mt_shori_shisetsu.group_id_edit_kubun IS '紐付けID編集区分';</v>
      </c>
    </row>
    <row r="18" spans="1:52" s="25" customFormat="1" ht="37.5">
      <c r="A18" s="4"/>
      <c r="B18" s="21">
        <f t="shared" si="2"/>
        <v>6</v>
      </c>
      <c r="C18" s="6" t="s">
        <v>2410</v>
      </c>
      <c r="D18" s="6" t="s">
        <v>2411</v>
      </c>
      <c r="E18" s="8"/>
      <c r="F18" s="7" t="s">
        <v>865</v>
      </c>
      <c r="G18" s="7" t="str">
        <f t="shared" ref="G18:G20" si="7">IF(F18="フラグ","boolean",IF(F18="文字列","text",IF(F18="整数","integer",IF(F18="実数","numeric",""))))</f>
        <v>text</v>
      </c>
      <c r="H18" s="26"/>
      <c r="I18" s="10"/>
      <c r="J18" s="11" t="s">
        <v>2423</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milscm_2023_009.sny_202310_backup_mt_shori_shisetsu.facility_contract_start IS '施設データ提供開始日';</v>
      </c>
    </row>
    <row r="19" spans="1:52" s="25" customFormat="1" ht="56.25">
      <c r="A19" s="4"/>
      <c r="B19" s="21">
        <f t="shared" si="2"/>
        <v>7</v>
      </c>
      <c r="C19" s="6" t="s">
        <v>2412</v>
      </c>
      <c r="D19" s="6" t="s">
        <v>2413</v>
      </c>
      <c r="E19" s="8"/>
      <c r="F19" s="7" t="s">
        <v>865</v>
      </c>
      <c r="G19" s="7" t="str">
        <f t="shared" si="7"/>
        <v>text</v>
      </c>
      <c r="H19" s="26"/>
      <c r="I19" s="10"/>
      <c r="J19" s="11" t="s">
        <v>2424</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2414</v>
      </c>
      <c r="D20" s="6" t="s">
        <v>2415</v>
      </c>
      <c r="E20" s="8"/>
      <c r="F20" s="7" t="s">
        <v>1847</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milscm_2023_009.sny_202310_backup_mt_shori_shisetsu.size IS '施設規模';</v>
      </c>
    </row>
    <row r="21" spans="1:52" s="25" customFormat="1" ht="37.5">
      <c r="A21" s="4"/>
      <c r="B21" s="21">
        <f t="shared" si="2"/>
        <v>9</v>
      </c>
      <c r="C21" s="6" t="s">
        <v>2416</v>
      </c>
      <c r="D21" s="6" t="s">
        <v>2417</v>
      </c>
      <c r="E21" s="8"/>
      <c r="F21" s="7" t="s">
        <v>2418</v>
      </c>
      <c r="G21" s="7" t="str">
        <f t="shared" si="3"/>
        <v>boolean</v>
      </c>
      <c r="H21" s="26" t="s">
        <v>2425</v>
      </c>
      <c r="I21" s="10" t="s">
        <v>127</v>
      </c>
      <c r="J21" s="11" t="s">
        <v>2426</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milscm_2023_009.sny_202310_backup_mt_shori_shisetsu.shori_f IS 'データ取得対象フラグ';</v>
      </c>
    </row>
    <row r="22" spans="1:52" s="25" customFormat="1" ht="38.25" thickBot="1">
      <c r="A22" s="4"/>
      <c r="B22" s="27">
        <f>ROW()-12</f>
        <v>10</v>
      </c>
      <c r="C22" s="57" t="s">
        <v>2419</v>
      </c>
      <c r="D22" s="57" t="s">
        <v>2420</v>
      </c>
      <c r="E22" s="56"/>
      <c r="F22" s="56" t="s">
        <v>2418</v>
      </c>
      <c r="G22" s="56" t="str">
        <f t="shared" si="3"/>
        <v>boolean</v>
      </c>
      <c r="H22" s="59" t="s">
        <v>2427</v>
      </c>
      <c r="I22" s="60" t="s">
        <v>127</v>
      </c>
      <c r="J22" s="64" t="s">
        <v>2428</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ENT_01_A3-17</v>
      </c>
      <c r="E6" s="273"/>
      <c r="F6" s="273"/>
      <c r="G6" s="273"/>
      <c r="H6" s="273"/>
      <c r="I6" s="273"/>
      <c r="J6" s="274"/>
    </row>
    <row r="7" spans="1:45">
      <c r="B7" s="262" t="s">
        <v>115</v>
      </c>
      <c r="C7" s="263"/>
      <c r="D7" s="264" t="s">
        <v>2429</v>
      </c>
      <c r="E7" s="265"/>
      <c r="F7" s="265"/>
      <c r="G7" s="265"/>
      <c r="H7" s="265"/>
      <c r="I7" s="265"/>
      <c r="J7" s="266"/>
    </row>
    <row r="8" spans="1:45">
      <c r="B8" s="262" t="s">
        <v>116</v>
      </c>
      <c r="C8" s="263"/>
      <c r="D8" s="264" t="str">
        <f>エンティティ一覧!AE2&amp;"_"&amp;D5&amp;"_mt_shori_shisetsu_manage"</f>
        <v>sny_202310_backup_mt_shori_shisetsu_manage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milscm_2023_009.sny_202310_backup_mt_shori_shisetsu_manage;</v>
      </c>
      <c r="O10" s="76"/>
      <c r="P10" s="76"/>
      <c r="Q10" s="76"/>
      <c r="R10" s="76"/>
      <c r="S10" s="76"/>
      <c r="T10" s="76"/>
      <c r="AJ10" s="76" t="str">
        <f>"ALTER TABLE ONLY "&amp;エンティティ一覧!$O$2&amp;"."&amp;D$8</f>
        <v>ALTER TABLE ONLY milscm_2023_009.sny_202310_backup_mt_shori_shisetsu_manage</v>
      </c>
      <c r="AS10" s="76" t="str">
        <f>"ALTER TABLE "&amp;エンティティ一覧!$O$2&amp;"."&amp;D$8&amp;" OWNER TO pgmisgrp1;"</f>
        <v>ALTER TABLE milscm_2023_009.sny_202310_backup_mt_shori_shisetsu_manage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milscm_2023_009.sny_202310_backup_mt_shori_shisetsu_manage</v>
      </c>
      <c r="O11" s="76"/>
      <c r="P11" s="76"/>
      <c r="Q11" s="76"/>
      <c r="R11" s="76"/>
      <c r="S11" s="76"/>
      <c r="T11" s="76"/>
      <c r="AJ11" s="76" t="str">
        <f>"ADD CONSTRAINT "&amp;D$8&amp;"_pkey PRIMARY KEY"</f>
        <v>ADD CONSTRAINT sny_202310_backup_mt_shori_shisetsu_manage_pkey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2401</v>
      </c>
      <c r="D13" s="6" t="s">
        <v>128</v>
      </c>
      <c r="E13" s="8" t="s">
        <v>127</v>
      </c>
      <c r="F13" s="8" t="s">
        <v>1737</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milscm_2023_009.sny_202310_backup_mt_shori_shisetsu_manage.facility_id IS '施設ID';</v>
      </c>
    </row>
    <row r="14" spans="1:45" s="25" customFormat="1" ht="37.5">
      <c r="A14" s="4"/>
      <c r="B14" s="21">
        <f t="shared" ref="B14:B17" si="2">ROW()-12</f>
        <v>2</v>
      </c>
      <c r="C14" s="6" t="s">
        <v>2410</v>
      </c>
      <c r="D14" s="6" t="s">
        <v>2411</v>
      </c>
      <c r="E14" s="8"/>
      <c r="F14" s="7" t="s">
        <v>865</v>
      </c>
      <c r="G14" s="7" t="str">
        <f t="shared" ref="G14:G18" si="3">IF(F14="フラグ","boolean",IF(F14="文字列","text",IF(F14="整数","integer",IF(F14="実数","numeric",""))))</f>
        <v>text</v>
      </c>
      <c r="H14" s="26"/>
      <c r="I14" s="10"/>
      <c r="J14" s="11" t="s">
        <v>2423</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milscm_2023_009.sny_202310_backup_mt_shori_shisetsu_manage.facility_contract_start IS '施設データ提供開始日';</v>
      </c>
    </row>
    <row r="15" spans="1:45" s="25" customFormat="1" ht="56.25">
      <c r="A15" s="4"/>
      <c r="B15" s="21">
        <f t="shared" si="2"/>
        <v>3</v>
      </c>
      <c r="C15" s="6" t="s">
        <v>2412</v>
      </c>
      <c r="D15" s="6" t="s">
        <v>2413</v>
      </c>
      <c r="E15" s="8"/>
      <c r="F15" s="7" t="s">
        <v>865</v>
      </c>
      <c r="G15" s="7" t="str">
        <f t="shared" si="3"/>
        <v>text</v>
      </c>
      <c r="H15" s="26"/>
      <c r="I15" s="10"/>
      <c r="J15" s="11" t="s">
        <v>2424</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2414</v>
      </c>
      <c r="D16" s="6" t="s">
        <v>2415</v>
      </c>
      <c r="E16" s="8"/>
      <c r="F16" s="7" t="s">
        <v>1847</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milscm_2023_009.sny_202310_backup_mt_shori_shisetsu_manage.size IS '施設規模';</v>
      </c>
    </row>
    <row r="17" spans="1:52" s="25" customFormat="1" ht="37.5">
      <c r="A17" s="4"/>
      <c r="B17" s="21">
        <f t="shared" si="2"/>
        <v>5</v>
      </c>
      <c r="C17" s="6" t="s">
        <v>2416</v>
      </c>
      <c r="D17" s="6" t="s">
        <v>2417</v>
      </c>
      <c r="E17" s="8"/>
      <c r="F17" s="7" t="s">
        <v>2418</v>
      </c>
      <c r="G17" s="7" t="str">
        <f t="shared" si="3"/>
        <v>boolean</v>
      </c>
      <c r="H17" s="26" t="s">
        <v>2425</v>
      </c>
      <c r="I17" s="10" t="s">
        <v>127</v>
      </c>
      <c r="J17" s="11" t="s">
        <v>2426</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milscm_2023_009.sny_202310_backup_mt_shori_shisetsu_manage.shori_f IS 'データ取得対象フラグ';</v>
      </c>
    </row>
    <row r="18" spans="1:52" s="25" customFormat="1" ht="38.25" thickBot="1">
      <c r="A18" s="4"/>
      <c r="B18" s="27">
        <f>ROW()-12</f>
        <v>6</v>
      </c>
      <c r="C18" s="57" t="s">
        <v>2419</v>
      </c>
      <c r="D18" s="57" t="s">
        <v>2420</v>
      </c>
      <c r="E18" s="56"/>
      <c r="F18" s="56" t="s">
        <v>2418</v>
      </c>
      <c r="G18" s="56" t="str">
        <f t="shared" si="3"/>
        <v>boolean</v>
      </c>
      <c r="H18" s="59" t="s">
        <v>2427</v>
      </c>
      <c r="I18" s="60" t="s">
        <v>127</v>
      </c>
      <c r="J18" s="64" t="s">
        <v>2428</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ENT_01_A3-18</v>
      </c>
      <c r="E6" s="273"/>
      <c r="F6" s="273"/>
      <c r="G6" s="273"/>
      <c r="H6" s="273"/>
      <c r="I6" s="273"/>
      <c r="J6" s="274"/>
    </row>
    <row r="7" spans="1:45">
      <c r="B7" s="262" t="s">
        <v>115</v>
      </c>
      <c r="C7" s="263"/>
      <c r="D7" s="264" t="s">
        <v>3284</v>
      </c>
      <c r="E7" s="265"/>
      <c r="F7" s="265"/>
      <c r="G7" s="265"/>
      <c r="H7" s="265"/>
      <c r="I7" s="265"/>
      <c r="J7" s="266"/>
    </row>
    <row r="8" spans="1:45">
      <c r="B8" s="262" t="s">
        <v>116</v>
      </c>
      <c r="C8" s="263"/>
      <c r="D8" s="264" t="str">
        <f>エンティティ一覧!AE2&amp;"_"&amp;D5&amp;"_mt_iyakuhin"</f>
        <v>sny_202310_backup_mt_iyakuhin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医薬品マスタテーブルから組入れ条件の第一条件で絞り込んだ結果を格納するテーブル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milscm_2023_009.sny_202310_backup_mt_iyakuhin;</v>
      </c>
      <c r="O10" s="76"/>
      <c r="P10" s="76"/>
      <c r="Q10" s="76"/>
      <c r="R10" s="76"/>
      <c r="S10" s="76"/>
      <c r="T10" s="76"/>
      <c r="AJ10" s="76" t="str">
        <f>"ALTER TABLE ONLY "&amp;エンティティ一覧!$O$2&amp;"."&amp;D$8</f>
        <v>ALTER TABLE ONLY milscm_2023_009.sny_202310_backup_mt_iyakuhin</v>
      </c>
      <c r="AS10" s="76" t="str">
        <f>"ALTER TABLE "&amp;エンティティ一覧!$O$2&amp;"."&amp;D$8&amp;" OWNER TO pgmisgrp1;"</f>
        <v>ALTER TABLE milscm_2023_009.sny_202310_backup_mt_iyakuhin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v>
      </c>
      <c r="O11" s="76"/>
      <c r="P11" s="76"/>
      <c r="Q11" s="76"/>
      <c r="R11" s="76"/>
      <c r="S11" s="76"/>
      <c r="T11" s="76"/>
      <c r="AJ11" s="76" t="str">
        <f>"ADD CONSTRAINT "&amp;D$8&amp;"_pkey PRIMARY KEY"</f>
        <v>ADD CONSTRAINT sny_202310_backup_mt_iyakuhin_pkey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 IS 'バックアップ_医薬品マスタ';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3287</v>
      </c>
      <c r="D14" s="6" t="s">
        <v>2047</v>
      </c>
      <c r="E14" s="8" t="s">
        <v>127</v>
      </c>
      <c r="F14" s="7" t="s">
        <v>317</v>
      </c>
      <c r="G14" s="7" t="str">
        <f t="shared" ref="G14:G34" si="3">IF(F14="フラグ","boolean",IF(F14="文字列","text",IF(F14="整数","integer",IF(F14="実数","numeric",""))))</f>
        <v>text</v>
      </c>
      <c r="H14" s="26"/>
      <c r="I14" s="10" t="s">
        <v>127</v>
      </c>
      <c r="J14" s="11" t="s">
        <v>3312</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1157</v>
      </c>
      <c r="D15" s="6" t="s">
        <v>1158</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2552</v>
      </c>
      <c r="D16" s="6" t="s">
        <v>3288</v>
      </c>
      <c r="E16" s="8"/>
      <c r="F16" s="7" t="s">
        <v>317</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2554</v>
      </c>
      <c r="D17" s="6" t="s">
        <v>3289</v>
      </c>
      <c r="E17" s="8"/>
      <c r="F17" s="7" t="s">
        <v>317</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2556</v>
      </c>
      <c r="D18" s="6" t="s">
        <v>3290</v>
      </c>
      <c r="E18" s="8"/>
      <c r="F18" s="7" t="s">
        <v>317</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2558</v>
      </c>
      <c r="D19" s="6" t="s">
        <v>3291</v>
      </c>
      <c r="E19" s="8"/>
      <c r="F19" s="7" t="s">
        <v>317</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2560</v>
      </c>
      <c r="D20" s="6" t="s">
        <v>3292</v>
      </c>
      <c r="E20" s="8"/>
      <c r="F20" s="7" t="s">
        <v>317</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2562</v>
      </c>
      <c r="D21" s="6" t="s">
        <v>3293</v>
      </c>
      <c r="E21" s="8"/>
      <c r="F21" s="7" t="s">
        <v>317</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3294</v>
      </c>
      <c r="D22" s="6" t="s">
        <v>2114</v>
      </c>
      <c r="E22" s="8"/>
      <c r="F22" s="7" t="s">
        <v>317</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2564</v>
      </c>
      <c r="D23" s="6" t="s">
        <v>2565</v>
      </c>
      <c r="E23" s="8"/>
      <c r="F23" s="7" t="s">
        <v>317</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2582</v>
      </c>
      <c r="D24" s="6" t="s">
        <v>3295</v>
      </c>
      <c r="E24" s="8"/>
      <c r="F24" s="7" t="s">
        <v>317</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3296</v>
      </c>
      <c r="D25" s="6" t="s">
        <v>3297</v>
      </c>
      <c r="E25" s="8"/>
      <c r="F25" s="7" t="s">
        <v>317</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2548</v>
      </c>
      <c r="D26" s="6" t="s">
        <v>3298</v>
      </c>
      <c r="E26" s="8"/>
      <c r="F26" s="7" t="s">
        <v>317</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milscm_2023_009.sny_202310_backup_mt_iyakuhin.iyakuhin_brand_code IS '医薬品ブランドコード';</v>
      </c>
    </row>
    <row r="27" spans="1:45" s="25" customFormat="1" ht="31.5">
      <c r="A27" s="4"/>
      <c r="B27" s="21">
        <f t="shared" si="2"/>
        <v>15</v>
      </c>
      <c r="C27" s="6" t="s">
        <v>2550</v>
      </c>
      <c r="D27" s="6" t="s">
        <v>3299</v>
      </c>
      <c r="E27" s="8"/>
      <c r="F27" s="7" t="s">
        <v>317</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2584</v>
      </c>
      <c r="D28" s="6" t="s">
        <v>2585</v>
      </c>
      <c r="E28" s="8"/>
      <c r="F28" s="7" t="s">
        <v>317</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3300</v>
      </c>
      <c r="D29" s="6" t="s">
        <v>3301</v>
      </c>
      <c r="E29" s="8"/>
      <c r="F29" s="7" t="s">
        <v>317</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3302</v>
      </c>
      <c r="D30" s="6" t="s">
        <v>3303</v>
      </c>
      <c r="E30" s="8"/>
      <c r="F30" s="7" t="s">
        <v>317</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3304</v>
      </c>
      <c r="D31" s="6" t="s">
        <v>3305</v>
      </c>
      <c r="E31" s="8"/>
      <c r="F31" s="7" t="s">
        <v>317</v>
      </c>
      <c r="G31" s="7" t="str">
        <f t="shared" si="13"/>
        <v>text</v>
      </c>
      <c r="H31" s="26"/>
      <c r="I31" s="10"/>
      <c r="J31" s="11" t="s">
        <v>3313</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milscm_2023_009.sny_202310_backup_mt_iyakuhin.ikosaki IS '移行先';</v>
      </c>
    </row>
    <row r="32" spans="1:45" s="25" customFormat="1">
      <c r="A32" s="4"/>
      <c r="B32" s="21">
        <f t="shared" si="2"/>
        <v>20</v>
      </c>
      <c r="C32" s="6" t="s">
        <v>3306</v>
      </c>
      <c r="D32" s="6" t="s">
        <v>3307</v>
      </c>
      <c r="E32" s="8"/>
      <c r="F32" s="7" t="s">
        <v>317</v>
      </c>
      <c r="G32" s="7" t="str">
        <f t="shared" si="13"/>
        <v>text</v>
      </c>
      <c r="H32" s="26"/>
      <c r="I32" s="10" t="s">
        <v>127</v>
      </c>
      <c r="J32" s="11" t="s">
        <v>3314</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milscm_2023_009.sny_202310_backup_mt_iyakuhin.nen IS '年';</v>
      </c>
    </row>
    <row r="33" spans="1:52" s="25" customFormat="1">
      <c r="A33" s="4"/>
      <c r="B33" s="21">
        <f t="shared" si="2"/>
        <v>21</v>
      </c>
      <c r="C33" s="6" t="s">
        <v>3308</v>
      </c>
      <c r="D33" s="6" t="s">
        <v>3309</v>
      </c>
      <c r="E33" s="8"/>
      <c r="F33" s="7" t="s">
        <v>317</v>
      </c>
      <c r="G33" s="7" t="str">
        <f t="shared" ref="G33" si="19">IF(F33="フラグ","boolean",IF(F33="文字列","text",IF(F33="整数","integer",IF(F33="実数","numeric",""))))</f>
        <v>text</v>
      </c>
      <c r="H33" s="26"/>
      <c r="I33" s="10" t="s">
        <v>127</v>
      </c>
      <c r="J33" s="11" t="s">
        <v>3315</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milscm_2023_009.sny_202310_backup_mt_iyakuhin.nengetsu IS '年月';</v>
      </c>
    </row>
    <row r="34" spans="1:52" s="25" customFormat="1" ht="19.5" thickBot="1">
      <c r="A34" s="4"/>
      <c r="B34" s="27">
        <f>ROW()-12</f>
        <v>22</v>
      </c>
      <c r="C34" s="57" t="s">
        <v>3310</v>
      </c>
      <c r="D34" s="57" t="s">
        <v>1881</v>
      </c>
      <c r="E34" s="56"/>
      <c r="F34" s="56" t="s">
        <v>317</v>
      </c>
      <c r="G34" s="56" t="str">
        <f t="shared" si="3"/>
        <v>text</v>
      </c>
      <c r="H34" s="59"/>
      <c r="I34" s="60" t="s">
        <v>127</v>
      </c>
      <c r="J34" s="64" t="s">
        <v>2399</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ENT_01_A3-19</v>
      </c>
      <c r="E6" s="273"/>
      <c r="F6" s="273"/>
      <c r="G6" s="273"/>
      <c r="H6" s="273"/>
      <c r="I6" s="273"/>
      <c r="J6" s="274"/>
    </row>
    <row r="7" spans="1:45">
      <c r="B7" s="262" t="s">
        <v>115</v>
      </c>
      <c r="C7" s="263"/>
      <c r="D7" s="264" t="s">
        <v>3316</v>
      </c>
      <c r="E7" s="265"/>
      <c r="F7" s="265"/>
      <c r="G7" s="265"/>
      <c r="H7" s="265"/>
      <c r="I7" s="265"/>
      <c r="J7" s="266"/>
    </row>
    <row r="8" spans="1:45">
      <c r="B8" s="262" t="s">
        <v>116</v>
      </c>
      <c r="C8" s="263"/>
      <c r="D8" s="264" t="str">
        <f>エンティティ一覧!AE2&amp;"_"&amp;D5&amp;"_mt_iyakuhin_brand"</f>
        <v>sny_202310_backup_mt_iyakuhin_brand</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milscm_2023_009.sny_202310_backup_mt_iyakuhin_brand;</v>
      </c>
      <c r="O10" s="76"/>
      <c r="P10" s="76"/>
      <c r="Q10" s="76"/>
      <c r="R10" s="76"/>
      <c r="S10" s="76"/>
      <c r="T10" s="76"/>
      <c r="AJ10" s="76" t="str">
        <f>"ALTER TABLE ONLY "&amp;エンティティ一覧!$O$2&amp;"."&amp;D$8</f>
        <v>ALTER TABLE ONLY milscm_2023_009.sny_202310_backup_mt_iyakuhin_brand</v>
      </c>
      <c r="AS10" s="76" t="str">
        <f>"ALTER TABLE "&amp;エンティティ一覧!$O$2&amp;"."&amp;D$8&amp;" OWNER TO pgmisgrp1;"</f>
        <v>ALTER TABLE milscm_2023_009.sny_202310_backup_mt_iyakuhin_brand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milscm_2023_009.sny_202310_backup_mt_iyakuhin_brand</v>
      </c>
      <c r="O11" s="76"/>
      <c r="P11" s="76"/>
      <c r="Q11" s="76"/>
      <c r="R11" s="76"/>
      <c r="S11" s="76"/>
      <c r="T11" s="76"/>
      <c r="AJ11" s="76" t="str">
        <f>"ADD CONSTRAINT "&amp;D$8&amp;"_pkey PRIMARY KEY"</f>
        <v>ADD CONSTRAINT sny_202310_backup_mt_iyakuhin_brand_pkey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3287</v>
      </c>
      <c r="D14" s="6" t="s">
        <v>2047</v>
      </c>
      <c r="E14" s="8" t="s">
        <v>127</v>
      </c>
      <c r="F14" s="7" t="s">
        <v>317</v>
      </c>
      <c r="G14" s="7" t="str">
        <f t="shared" ref="G14:G20" si="3">IF(F14="フラグ","boolean",IF(F14="文字列","text",IF(F14="整数","integer",IF(F14="実数","numeric",""))))</f>
        <v>text</v>
      </c>
      <c r="H14" s="26"/>
      <c r="I14" s="10" t="s">
        <v>127</v>
      </c>
      <c r="J14" s="11" t="s">
        <v>3312</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2548</v>
      </c>
      <c r="D15" s="6" t="s">
        <v>3298</v>
      </c>
      <c r="E15" s="8" t="s">
        <v>127</v>
      </c>
      <c r="F15" s="7" t="s">
        <v>317</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2566</v>
      </c>
      <c r="D16" s="6" t="s">
        <v>3317</v>
      </c>
      <c r="E16" s="8"/>
      <c r="F16" s="7" t="s">
        <v>317</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milscm_2023_009.sny_202310_backup_mt_iyakuhin_brand.iyakuhin_brand_name IS '医薬品ブランド名';</v>
      </c>
    </row>
    <row r="17" spans="1:52" s="25" customFormat="1">
      <c r="A17" s="4"/>
      <c r="B17" s="21">
        <f t="shared" si="2"/>
        <v>5</v>
      </c>
      <c r="C17" s="6" t="s">
        <v>3318</v>
      </c>
      <c r="D17" s="6" t="s">
        <v>2567</v>
      </c>
      <c r="E17" s="8"/>
      <c r="F17" s="7" t="s">
        <v>317</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3306</v>
      </c>
      <c r="D18" s="6" t="s">
        <v>3307</v>
      </c>
      <c r="E18" s="8"/>
      <c r="F18" s="7" t="s">
        <v>317</v>
      </c>
      <c r="G18" s="7" t="str">
        <f t="shared" si="3"/>
        <v>text</v>
      </c>
      <c r="H18" s="26"/>
      <c r="I18" s="10" t="s">
        <v>127</v>
      </c>
      <c r="J18" s="11" t="s">
        <v>3314</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milscm_2023_009.sny_202310_backup_mt_iyakuhin_brand.nen IS '年';</v>
      </c>
    </row>
    <row r="19" spans="1:52" s="25" customFormat="1">
      <c r="A19" s="4"/>
      <c r="B19" s="21">
        <f t="shared" si="2"/>
        <v>7</v>
      </c>
      <c r="C19" s="6" t="s">
        <v>3308</v>
      </c>
      <c r="D19" s="6" t="s">
        <v>3309</v>
      </c>
      <c r="E19" s="8"/>
      <c r="F19" s="7" t="s">
        <v>317</v>
      </c>
      <c r="G19" s="7" t="str">
        <f t="shared" si="3"/>
        <v>text</v>
      </c>
      <c r="H19" s="26"/>
      <c r="I19" s="10" t="s">
        <v>127</v>
      </c>
      <c r="J19" s="11" t="s">
        <v>3315</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milscm_2023_009.sny_202310_backup_mt_iyakuhin_brand.nengetsu IS '年月';</v>
      </c>
    </row>
    <row r="20" spans="1:52" s="25" customFormat="1" ht="19.5" thickBot="1">
      <c r="A20" s="4"/>
      <c r="B20" s="27">
        <f>ROW()-12</f>
        <v>8</v>
      </c>
      <c r="C20" s="57" t="s">
        <v>3310</v>
      </c>
      <c r="D20" s="57" t="s">
        <v>1881</v>
      </c>
      <c r="E20" s="56"/>
      <c r="F20" s="56" t="s">
        <v>317</v>
      </c>
      <c r="G20" s="56" t="str">
        <f t="shared" si="3"/>
        <v>text</v>
      </c>
      <c r="H20" s="59"/>
      <c r="I20" s="60" t="s">
        <v>127</v>
      </c>
      <c r="J20" s="64" t="s">
        <v>2399</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ENT_01_A3-20</v>
      </c>
      <c r="E6" s="273"/>
      <c r="F6" s="273"/>
      <c r="G6" s="273"/>
      <c r="H6" s="273"/>
      <c r="I6" s="273"/>
      <c r="J6" s="274"/>
    </row>
    <row r="7" spans="1:45">
      <c r="B7" s="262" t="s">
        <v>115</v>
      </c>
      <c r="C7" s="263"/>
      <c r="D7" s="264" t="s">
        <v>3319</v>
      </c>
      <c r="E7" s="265"/>
      <c r="F7" s="265"/>
      <c r="G7" s="265"/>
      <c r="H7" s="265"/>
      <c r="I7" s="265"/>
      <c r="J7" s="266"/>
    </row>
    <row r="8" spans="1:45">
      <c r="B8" s="262" t="s">
        <v>116</v>
      </c>
      <c r="C8" s="263"/>
      <c r="D8" s="264" t="str">
        <f>エンティティ一覧!AE2&amp;"_"&amp;D5&amp;"_mt_iyakuhin_ippan_name"</f>
        <v>sny_202310_backup_mt_iyakuhin_ippan_name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milscm_2023_009.sny_202310_backup_mt_iyakuhin_ippan_name;</v>
      </c>
      <c r="O10" s="76"/>
      <c r="P10" s="76"/>
      <c r="Q10" s="76"/>
      <c r="R10" s="76"/>
      <c r="S10" s="76"/>
      <c r="T10" s="76"/>
      <c r="AJ10" s="76" t="str">
        <f>"ALTER TABLE ONLY "&amp;エンティティ一覧!$O$2&amp;"."&amp;D$8</f>
        <v>ALTER TABLE ONLY milscm_2023_009.sny_202310_backup_mt_iyakuhin_ippan_name</v>
      </c>
      <c r="AS10" s="76" t="str">
        <f>"ALTER TABLE "&amp;エンティティ一覧!$O$2&amp;"."&amp;D$8&amp;" OWNER TO pgmisgrp1;"</f>
        <v>ALTER TABLE milscm_2023_009.sny_202310_backup_mt_iyakuhin_ippan_name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milscm_2023_009.sny_202310_backup_mt_iyakuhin_ippan_name</v>
      </c>
      <c r="O11" s="76"/>
      <c r="P11" s="76"/>
      <c r="Q11" s="76"/>
      <c r="R11" s="76"/>
      <c r="S11" s="76"/>
      <c r="T11" s="76"/>
      <c r="AJ11" s="76" t="str">
        <f>"ADD CONSTRAINT "&amp;D$8&amp;"_pkey PRIMARY KEY"</f>
        <v>ADD CONSTRAINT sny_202310_backup_mt_iyakuhin_ippan_name_pkey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3287</v>
      </c>
      <c r="D14" s="6" t="s">
        <v>2047</v>
      </c>
      <c r="E14" s="8" t="s">
        <v>127</v>
      </c>
      <c r="F14" s="7" t="s">
        <v>317</v>
      </c>
      <c r="G14" s="7" t="str">
        <f t="shared" ref="G14:G20" si="3">IF(F14="フラグ","boolean",IF(F14="文字列","text",IF(F14="整数","integer",IF(F14="実数","numeric",""))))</f>
        <v>text</v>
      </c>
      <c r="H14" s="26"/>
      <c r="I14" s="10" t="s">
        <v>127</v>
      </c>
      <c r="J14" s="11" t="s">
        <v>3312</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milscm_2023_009.sny_202310_backup_mt_iyakuhin_ippan_name.koshin_kubun IS '更新区分';</v>
      </c>
    </row>
    <row r="15" spans="1:45" s="25" customFormat="1" ht="31.5">
      <c r="A15" s="4"/>
      <c r="B15" s="21">
        <f t="shared" si="2"/>
        <v>3</v>
      </c>
      <c r="C15" s="6" t="s">
        <v>2550</v>
      </c>
      <c r="D15" s="6" t="s">
        <v>3299</v>
      </c>
      <c r="E15" s="8" t="s">
        <v>127</v>
      </c>
      <c r="F15" s="7" t="s">
        <v>317</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2568</v>
      </c>
      <c r="D16" s="6" t="s">
        <v>2112</v>
      </c>
      <c r="E16" s="8"/>
      <c r="F16" s="7" t="s">
        <v>317</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milscm_2023_009.sny_202310_backup_mt_iyakuhin_ippan_name.iyakuhin_ippan_name IS '医薬品一般名';</v>
      </c>
    </row>
    <row r="17" spans="1:52" s="25" customFormat="1" ht="31.5">
      <c r="A17" s="4"/>
      <c r="B17" s="21">
        <f t="shared" si="2"/>
        <v>5</v>
      </c>
      <c r="C17" s="6" t="s">
        <v>2569</v>
      </c>
      <c r="D17" s="6" t="s">
        <v>3320</v>
      </c>
      <c r="E17" s="8"/>
      <c r="F17" s="7" t="s">
        <v>317</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3306</v>
      </c>
      <c r="D18" s="6" t="s">
        <v>3307</v>
      </c>
      <c r="E18" s="8"/>
      <c r="F18" s="7" t="s">
        <v>317</v>
      </c>
      <c r="G18" s="7" t="str">
        <f t="shared" si="3"/>
        <v>text</v>
      </c>
      <c r="H18" s="26"/>
      <c r="I18" s="10" t="s">
        <v>127</v>
      </c>
      <c r="J18" s="11" t="s">
        <v>3314</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milscm_2023_009.sny_202310_backup_mt_iyakuhin_ippan_name.nen IS '年';</v>
      </c>
    </row>
    <row r="19" spans="1:52" s="25" customFormat="1">
      <c r="A19" s="4"/>
      <c r="B19" s="21">
        <f t="shared" si="2"/>
        <v>7</v>
      </c>
      <c r="C19" s="6" t="s">
        <v>3308</v>
      </c>
      <c r="D19" s="6" t="s">
        <v>3309</v>
      </c>
      <c r="E19" s="8"/>
      <c r="F19" s="7" t="s">
        <v>317</v>
      </c>
      <c r="G19" s="7" t="str">
        <f t="shared" si="3"/>
        <v>text</v>
      </c>
      <c r="H19" s="26"/>
      <c r="I19" s="10" t="s">
        <v>127</v>
      </c>
      <c r="J19" s="11" t="s">
        <v>3315</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milscm_2023_009.sny_202310_backup_mt_iyakuhin_ippan_name.nengetsu IS '年月';</v>
      </c>
    </row>
    <row r="20" spans="1:52" s="25" customFormat="1" ht="19.5" thickBot="1">
      <c r="A20" s="4"/>
      <c r="B20" s="27">
        <f>ROW()-12</f>
        <v>8</v>
      </c>
      <c r="C20" s="57" t="s">
        <v>3310</v>
      </c>
      <c r="D20" s="57" t="s">
        <v>1881</v>
      </c>
      <c r="E20" s="56"/>
      <c r="F20" s="56" t="s">
        <v>317</v>
      </c>
      <c r="G20" s="56" t="str">
        <f t="shared" si="3"/>
        <v>text</v>
      </c>
      <c r="H20" s="59"/>
      <c r="I20" s="60" t="s">
        <v>127</v>
      </c>
      <c r="J20" s="64" t="s">
        <v>2399</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ENT_01_A3-21</v>
      </c>
      <c r="E6" s="273"/>
      <c r="F6" s="273"/>
      <c r="G6" s="273"/>
      <c r="H6" s="273"/>
      <c r="I6" s="273"/>
      <c r="J6" s="274"/>
    </row>
    <row r="7" spans="1:45">
      <c r="B7" s="262" t="s">
        <v>115</v>
      </c>
      <c r="C7" s="263"/>
      <c r="D7" s="264" t="s">
        <v>3321</v>
      </c>
      <c r="E7" s="265"/>
      <c r="F7" s="265"/>
      <c r="G7" s="265"/>
      <c r="H7" s="265"/>
      <c r="I7" s="265"/>
      <c r="J7" s="266"/>
    </row>
    <row r="8" spans="1:45">
      <c r="B8" s="262" t="s">
        <v>116</v>
      </c>
      <c r="C8" s="263"/>
      <c r="D8" s="264" t="str">
        <f>エンティティ一覧!AE2&amp;"_"&amp;D5&amp;"_mt_iyakuhin_sales_kaisha"</f>
        <v>sny_202310_backup_mt_iyakuhin_sales_kaisha</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milscm_2023_009.sny_202310_backup_mt_iyakuhin_sales_kaisha;</v>
      </c>
      <c r="O10" s="76"/>
      <c r="P10" s="76"/>
      <c r="Q10" s="76"/>
      <c r="R10" s="76"/>
      <c r="S10" s="76"/>
      <c r="T10" s="76"/>
      <c r="AJ10" s="76" t="str">
        <f>"ALTER TABLE ONLY "&amp;エンティティ一覧!$O$2&amp;"."&amp;D$8</f>
        <v>ALTER TABLE ONLY milscm_2023_009.sny_202310_backup_mt_iyakuhin_sales_kaisha</v>
      </c>
      <c r="AS10" s="76" t="str">
        <f>"ALTER TABLE "&amp;エンティティ一覧!$O$2&amp;"."&amp;D$8&amp;" OWNER TO pgmisgrp1;"</f>
        <v>ALTER TABLE milscm_2023_009.sny_202310_backup_mt_iyakuhin_sales_kaisha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milscm_2023_009.sny_202310_backup_mt_iyakuhin_sales_kaisha</v>
      </c>
      <c r="O11" s="76"/>
      <c r="P11" s="76"/>
      <c r="Q11" s="76"/>
      <c r="R11" s="76"/>
      <c r="S11" s="76"/>
      <c r="T11" s="76"/>
      <c r="AJ11" s="76" t="str">
        <f>"ADD CONSTRAINT "&amp;D$8&amp;"_pkey PRIMARY KEY"</f>
        <v>ADD CONSTRAINT sny_202310_backup_mt_iyakuhin_sales_kaisha_pkey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3287</v>
      </c>
      <c r="D14" s="6" t="s">
        <v>2047</v>
      </c>
      <c r="E14" s="8" t="s">
        <v>127</v>
      </c>
      <c r="F14" s="7" t="s">
        <v>317</v>
      </c>
      <c r="G14" s="7" t="str">
        <f t="shared" ref="G14:G19" si="3">IF(F14="フラグ","boolean",IF(F14="文字列","text",IF(F14="整数","integer",IF(F14="実数","numeric",""))))</f>
        <v>text</v>
      </c>
      <c r="H14" s="26"/>
      <c r="I14" s="10" t="s">
        <v>127</v>
      </c>
      <c r="J14" s="11" t="s">
        <v>3312</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1157</v>
      </c>
      <c r="D15" s="6" t="s">
        <v>1158</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3322</v>
      </c>
      <c r="D16" s="6" t="s">
        <v>3323</v>
      </c>
      <c r="E16" s="8" t="s">
        <v>127</v>
      </c>
      <c r="F16" s="7" t="s">
        <v>317</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3306</v>
      </c>
      <c r="D17" s="6" t="s">
        <v>3307</v>
      </c>
      <c r="E17" s="8"/>
      <c r="F17" s="7" t="s">
        <v>317</v>
      </c>
      <c r="G17" s="7" t="str">
        <f t="shared" si="3"/>
        <v>text</v>
      </c>
      <c r="H17" s="26"/>
      <c r="I17" s="10" t="s">
        <v>127</v>
      </c>
      <c r="J17" s="11" t="s">
        <v>3314</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milscm_2023_009.sny_202310_backup_mt_iyakuhin_sales_kaisha.nen IS '年';</v>
      </c>
    </row>
    <row r="18" spans="1:52" s="25" customFormat="1">
      <c r="A18" s="4"/>
      <c r="B18" s="21">
        <f t="shared" si="2"/>
        <v>6</v>
      </c>
      <c r="C18" s="6" t="s">
        <v>3308</v>
      </c>
      <c r="D18" s="6" t="s">
        <v>3309</v>
      </c>
      <c r="E18" s="8"/>
      <c r="F18" s="7" t="s">
        <v>317</v>
      </c>
      <c r="G18" s="7" t="str">
        <f t="shared" si="3"/>
        <v>text</v>
      </c>
      <c r="H18" s="26"/>
      <c r="I18" s="10" t="s">
        <v>127</v>
      </c>
      <c r="J18" s="11" t="s">
        <v>3315</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milscm_2023_009.sny_202310_backup_mt_iyakuhin_sales_kaisha.nengetsu IS '年月';</v>
      </c>
    </row>
    <row r="19" spans="1:52" s="25" customFormat="1" ht="19.5" thickBot="1">
      <c r="A19" s="4"/>
      <c r="B19" s="27">
        <f>ROW()-12</f>
        <v>7</v>
      </c>
      <c r="C19" s="57" t="s">
        <v>3310</v>
      </c>
      <c r="D19" s="57" t="s">
        <v>1881</v>
      </c>
      <c r="E19" s="56"/>
      <c r="F19" s="56" t="s">
        <v>317</v>
      </c>
      <c r="G19" s="56" t="str">
        <f t="shared" si="3"/>
        <v>text</v>
      </c>
      <c r="H19" s="59"/>
      <c r="I19" s="60" t="s">
        <v>127</v>
      </c>
      <c r="J19" s="64" t="s">
        <v>2399</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ENT_01_A3-22</v>
      </c>
      <c r="E6" s="273"/>
      <c r="F6" s="273"/>
      <c r="G6" s="273"/>
      <c r="H6" s="273"/>
      <c r="I6" s="273"/>
      <c r="J6" s="274"/>
    </row>
    <row r="7" spans="1:45">
      <c r="B7" s="262" t="s">
        <v>115</v>
      </c>
      <c r="C7" s="263"/>
      <c r="D7" s="264" t="s">
        <v>3242</v>
      </c>
      <c r="E7" s="265"/>
      <c r="F7" s="265"/>
      <c r="G7" s="265"/>
      <c r="H7" s="265"/>
      <c r="I7" s="265"/>
      <c r="J7" s="266"/>
    </row>
    <row r="8" spans="1:45">
      <c r="B8" s="262" t="s">
        <v>116</v>
      </c>
      <c r="C8" s="263"/>
      <c r="D8" s="264" t="str">
        <f>エンティティ一覧!AE2&amp;"_"&amp;D5&amp;"_mt_maker"</f>
        <v>sny_202310_backup_mt_maker</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メーカマスタテーブルから組入れ条件の第一条件で絞り込んだ結果を格納するテーブル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milscm_2023_009.sny_202310_backup_mt_maker;</v>
      </c>
      <c r="O10" s="76"/>
      <c r="P10" s="76"/>
      <c r="Q10" s="76"/>
      <c r="R10" s="76"/>
      <c r="S10" s="76"/>
      <c r="T10" s="76"/>
      <c r="AJ10" s="76" t="str">
        <f>"ALTER TABLE ONLY "&amp;エンティティ一覧!$O$2&amp;"."&amp;D$8</f>
        <v>ALTER TABLE ONLY milscm_2023_009.sny_202310_backup_mt_maker</v>
      </c>
      <c r="AS10" s="76" t="str">
        <f>"ALTER TABLE "&amp;エンティティ一覧!$O$2&amp;"."&amp;D$8&amp;" OWNER TO pgmisgrp1;"</f>
        <v>ALTER TABLE milscm_2023_009.sny_202310_backup_mt_maker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milscm_2023_009.sny_202310_backup_mt_maker</v>
      </c>
      <c r="O11" s="76"/>
      <c r="P11" s="76"/>
      <c r="Q11" s="76"/>
      <c r="R11" s="76"/>
      <c r="S11" s="76"/>
      <c r="T11" s="76"/>
      <c r="AJ11" s="76" t="str">
        <f>"ADD CONSTRAINT "&amp;D$8&amp;"_pkey PRIMARY KEY"</f>
        <v>ADD CONSTRAINT sny_202310_backup_mt_maker_pkey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milscm_2023_009.sny_202310_backup_mt_maker IS 'バックアップ_メーカマスタ';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3287</v>
      </c>
      <c r="D14" s="6" t="s">
        <v>2047</v>
      </c>
      <c r="E14" s="8" t="s">
        <v>127</v>
      </c>
      <c r="F14" s="7" t="s">
        <v>317</v>
      </c>
      <c r="G14" s="7" t="str">
        <f t="shared" ref="G14:G19" si="3">IF(F14="フラグ","boolean",IF(F14="文字列","text",IF(F14="整数","integer",IF(F14="実数","numeric",""))))</f>
        <v>text</v>
      </c>
      <c r="H14" s="26"/>
      <c r="I14" s="10" t="s">
        <v>127</v>
      </c>
      <c r="J14" s="11" t="s">
        <v>3312</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milscm_2023_009.sny_202310_backup_mt_maker.koshin_kubun IS '更新区分';</v>
      </c>
    </row>
    <row r="15" spans="1:45" s="25" customFormat="1">
      <c r="A15" s="4"/>
      <c r="B15" s="21">
        <f t="shared" si="2"/>
        <v>3</v>
      </c>
      <c r="C15" s="6" t="s">
        <v>3322</v>
      </c>
      <c r="D15" s="6" t="s">
        <v>3323</v>
      </c>
      <c r="E15" s="8" t="s">
        <v>127</v>
      </c>
      <c r="F15" s="7" t="s">
        <v>317</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3324</v>
      </c>
      <c r="D16" s="6" t="s">
        <v>3325</v>
      </c>
      <c r="E16" s="8"/>
      <c r="F16" s="7" t="s">
        <v>317</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milscm_2023_009.sny_202310_backup_mt_maker.maker_name IS 'メーカ名';</v>
      </c>
    </row>
    <row r="17" spans="1:52" s="25" customFormat="1">
      <c r="A17" s="4"/>
      <c r="B17" s="21">
        <f t="shared" si="2"/>
        <v>5</v>
      </c>
      <c r="C17" s="6" t="s">
        <v>3306</v>
      </c>
      <c r="D17" s="6" t="s">
        <v>3307</v>
      </c>
      <c r="E17" s="8"/>
      <c r="F17" s="7" t="s">
        <v>317</v>
      </c>
      <c r="G17" s="7" t="str">
        <f t="shared" si="3"/>
        <v>text</v>
      </c>
      <c r="H17" s="26"/>
      <c r="I17" s="10" t="s">
        <v>127</v>
      </c>
      <c r="J17" s="11" t="s">
        <v>3314</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milscm_2023_009.sny_202310_backup_mt_maker.nen IS '年';</v>
      </c>
    </row>
    <row r="18" spans="1:52" s="25" customFormat="1">
      <c r="A18" s="4"/>
      <c r="B18" s="21">
        <f t="shared" si="2"/>
        <v>6</v>
      </c>
      <c r="C18" s="6" t="s">
        <v>3308</v>
      </c>
      <c r="D18" s="6" t="s">
        <v>3309</v>
      </c>
      <c r="E18" s="8"/>
      <c r="F18" s="7" t="s">
        <v>317</v>
      </c>
      <c r="G18" s="7" t="str">
        <f t="shared" si="3"/>
        <v>text</v>
      </c>
      <c r="H18" s="26"/>
      <c r="I18" s="10" t="s">
        <v>127</v>
      </c>
      <c r="J18" s="11" t="s">
        <v>3315</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milscm_2023_009.sny_202310_backup_mt_maker.nengetsu IS '年月';</v>
      </c>
    </row>
    <row r="19" spans="1:52" s="25" customFormat="1" ht="19.5" thickBot="1">
      <c r="A19" s="4"/>
      <c r="B19" s="27">
        <f>ROW()-12</f>
        <v>7</v>
      </c>
      <c r="C19" s="57" t="s">
        <v>3310</v>
      </c>
      <c r="D19" s="57" t="s">
        <v>1881</v>
      </c>
      <c r="E19" s="56"/>
      <c r="F19" s="56" t="s">
        <v>317</v>
      </c>
      <c r="G19" s="56" t="str">
        <f t="shared" si="3"/>
        <v>text</v>
      </c>
      <c r="H19" s="59"/>
      <c r="I19" s="60" t="s">
        <v>127</v>
      </c>
      <c r="J19" s="64" t="s">
        <v>2399</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ENT_01_A3-23</v>
      </c>
      <c r="E6" s="273"/>
      <c r="F6" s="273"/>
      <c r="G6" s="273"/>
      <c r="H6" s="273"/>
      <c r="I6" s="273"/>
      <c r="J6" s="274"/>
    </row>
    <row r="7" spans="1:45">
      <c r="B7" s="262" t="s">
        <v>115</v>
      </c>
      <c r="C7" s="263"/>
      <c r="D7" s="264" t="s">
        <v>3326</v>
      </c>
      <c r="E7" s="265"/>
      <c r="F7" s="265"/>
      <c r="G7" s="265"/>
      <c r="H7" s="265"/>
      <c r="I7" s="265"/>
      <c r="J7" s="266"/>
    </row>
    <row r="8" spans="1:45">
      <c r="B8" s="262" t="s">
        <v>116</v>
      </c>
      <c r="C8" s="263"/>
      <c r="D8" s="264" t="str">
        <f>エンティティ一覧!AE2&amp;"_"&amp;D5&amp;"_mt_price"</f>
        <v>sny_202310_backup_mt_price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薬価マスタテーブルから組入れ条件の第一条件で絞り込んだ結果を格納するテーブル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milscm_2023_009.sny_202310_backup_mt_price;</v>
      </c>
      <c r="O10" s="76"/>
      <c r="P10" s="76"/>
      <c r="Q10" s="76"/>
      <c r="R10" s="76"/>
      <c r="S10" s="76"/>
      <c r="T10" s="76"/>
      <c r="AJ10" s="76" t="str">
        <f>"ALTER TABLE ONLY "&amp;エンティティ一覧!$O$2&amp;"."&amp;D$8</f>
        <v>ALTER TABLE ONLY milscm_2023_009.sny_202310_backup_mt_price</v>
      </c>
      <c r="AS10" s="76" t="str">
        <f>"ALTER TABLE "&amp;エンティティ一覧!$O$2&amp;"."&amp;D$8&amp;" OWNER TO pgmisgrp1;"</f>
        <v>ALTER TABLE milscm_2023_009.sny_202310_backup_mt_price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milscm_2023_009.sny_202310_backup_mt_price</v>
      </c>
      <c r="O11" s="76"/>
      <c r="P11" s="76"/>
      <c r="Q11" s="76"/>
      <c r="R11" s="76"/>
      <c r="S11" s="76"/>
      <c r="T11" s="76"/>
      <c r="AJ11" s="76" t="str">
        <f>"ADD CONSTRAINT "&amp;D$8&amp;"_pkey PRIMARY KEY"</f>
        <v>ADD CONSTRAINT sny_202310_backup_mt_price_pkey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milscm_2023_009.sny_202310_backup_mt_price IS 'バックアップ_薬価マスタ';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3287</v>
      </c>
      <c r="D14" s="6" t="s">
        <v>2047</v>
      </c>
      <c r="E14" s="8" t="s">
        <v>127</v>
      </c>
      <c r="F14" s="7" t="s">
        <v>317</v>
      </c>
      <c r="G14" s="7" t="str">
        <f t="shared" ref="G14:G20" si="3">IF(F14="フラグ","boolean",IF(F14="文字列","text",IF(F14="整数","integer",IF(F14="実数","numeric",""))))</f>
        <v>text</v>
      </c>
      <c r="H14" s="26"/>
      <c r="I14" s="10" t="s">
        <v>127</v>
      </c>
      <c r="J14" s="11" t="s">
        <v>3312</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milscm_2023_009.sny_202310_backup_mt_price.koshin_kubun IS '更新区分';</v>
      </c>
    </row>
    <row r="15" spans="1:45" s="25" customFormat="1">
      <c r="A15" s="4"/>
      <c r="B15" s="21">
        <f t="shared" si="2"/>
        <v>3</v>
      </c>
      <c r="C15" s="6" t="s">
        <v>1157</v>
      </c>
      <c r="D15" s="6" t="s">
        <v>1158</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3327</v>
      </c>
      <c r="D16" s="6" t="s">
        <v>3328</v>
      </c>
      <c r="E16" s="8"/>
      <c r="F16" s="7" t="s">
        <v>317</v>
      </c>
      <c r="G16" s="7" t="str">
        <f t="shared" si="3"/>
        <v>text</v>
      </c>
      <c r="H16" s="26"/>
      <c r="I16" s="10" t="s">
        <v>127</v>
      </c>
      <c r="J16" s="11" t="s">
        <v>3329</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milscm_2023_009.sny_202310_backup_mt_price.nendo IS '年度';</v>
      </c>
    </row>
    <row r="17" spans="1:52" s="25" customFormat="1" ht="37.5">
      <c r="A17" s="4"/>
      <c r="B17" s="21">
        <f t="shared" si="2"/>
        <v>5</v>
      </c>
      <c r="C17" s="6" t="s">
        <v>2603</v>
      </c>
      <c r="D17" s="6" t="s">
        <v>2604</v>
      </c>
      <c r="E17" s="8"/>
      <c r="F17" s="7" t="s">
        <v>332</v>
      </c>
      <c r="G17" s="7" t="str">
        <f t="shared" si="3"/>
        <v>numeric</v>
      </c>
      <c r="H17" s="26"/>
      <c r="I17" s="10" t="s">
        <v>127</v>
      </c>
      <c r="J17" s="11" t="s">
        <v>2395</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milscm_2023_009.sny_202310_backup_mt_price.price IS '薬価';</v>
      </c>
    </row>
    <row r="18" spans="1:52" s="25" customFormat="1">
      <c r="A18" s="4"/>
      <c r="B18" s="21">
        <f t="shared" si="2"/>
        <v>6</v>
      </c>
      <c r="C18" s="6" t="s">
        <v>3306</v>
      </c>
      <c r="D18" s="6" t="s">
        <v>3307</v>
      </c>
      <c r="E18" s="8"/>
      <c r="F18" s="7" t="s">
        <v>317</v>
      </c>
      <c r="G18" s="7" t="str">
        <f t="shared" si="3"/>
        <v>text</v>
      </c>
      <c r="H18" s="26"/>
      <c r="I18" s="10" t="s">
        <v>127</v>
      </c>
      <c r="J18" s="11" t="s">
        <v>3314</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milscm_2023_009.sny_202310_backup_mt_price.nen IS '年';</v>
      </c>
    </row>
    <row r="19" spans="1:52" s="25" customFormat="1">
      <c r="A19" s="4"/>
      <c r="B19" s="21">
        <f t="shared" si="2"/>
        <v>7</v>
      </c>
      <c r="C19" s="6" t="s">
        <v>3308</v>
      </c>
      <c r="D19" s="6" t="s">
        <v>3309</v>
      </c>
      <c r="E19" s="8"/>
      <c r="F19" s="7" t="s">
        <v>317</v>
      </c>
      <c r="G19" s="7" t="str">
        <f t="shared" si="3"/>
        <v>text</v>
      </c>
      <c r="H19" s="26"/>
      <c r="I19" s="10" t="s">
        <v>127</v>
      </c>
      <c r="J19" s="11" t="s">
        <v>3315</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milscm_2023_009.sny_202310_backup_mt_price.nengetsu IS '年月';</v>
      </c>
    </row>
    <row r="20" spans="1:52" s="25" customFormat="1" ht="19.5" thickBot="1">
      <c r="A20" s="4"/>
      <c r="B20" s="27">
        <f>ROW()-12</f>
        <v>8</v>
      </c>
      <c r="C20" s="57" t="s">
        <v>3310</v>
      </c>
      <c r="D20" s="57" t="s">
        <v>1881</v>
      </c>
      <c r="E20" s="56"/>
      <c r="F20" s="56" t="s">
        <v>317</v>
      </c>
      <c r="G20" s="56" t="str">
        <f t="shared" si="3"/>
        <v>text</v>
      </c>
      <c r="H20" s="59"/>
      <c r="I20" s="60" t="s">
        <v>127</v>
      </c>
      <c r="J20" s="64" t="s">
        <v>2399</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ENT_01_A3-24</v>
      </c>
      <c r="E6" s="273"/>
      <c r="F6" s="273"/>
      <c r="G6" s="273"/>
      <c r="H6" s="273"/>
      <c r="I6" s="273"/>
      <c r="J6" s="274"/>
    </row>
    <row r="7" spans="1:45">
      <c r="B7" s="262" t="s">
        <v>115</v>
      </c>
      <c r="C7" s="263"/>
      <c r="D7" s="264" t="s">
        <v>3244</v>
      </c>
      <c r="E7" s="265"/>
      <c r="F7" s="265"/>
      <c r="G7" s="265"/>
      <c r="H7" s="265"/>
      <c r="I7" s="265"/>
      <c r="J7" s="266"/>
    </row>
    <row r="8" spans="1:45">
      <c r="B8" s="262" t="s">
        <v>116</v>
      </c>
      <c r="C8" s="263"/>
      <c r="D8" s="264" t="str">
        <f>エンティティ一覧!AE2&amp;"_"&amp;D5&amp;"_mt_yakko_atc1"</f>
        <v>sny_202310_backup_mt_yakko_atc1</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薬効ATC分類1マスタテーブルから組入れ条件の第一条件で絞り込んだ結果を格納するテーブル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milscm_2023_009.sny_202310_backup_mt_yakko_atc1;</v>
      </c>
      <c r="O10" s="76"/>
      <c r="P10" s="76"/>
      <c r="Q10" s="76"/>
      <c r="R10" s="76"/>
      <c r="S10" s="76"/>
      <c r="T10" s="76"/>
      <c r="AJ10" s="76" t="str">
        <f>"ALTER TABLE ONLY "&amp;エンティティ一覧!$O$2&amp;"."&amp;D$8</f>
        <v>ALTER TABLE ONLY milscm_2023_009.sny_202310_backup_mt_yakko_atc1</v>
      </c>
      <c r="AS10" s="76" t="str">
        <f>"ALTER TABLE "&amp;エンティティ一覧!$O$2&amp;"."&amp;D$8&amp;" OWNER TO pgmisgrp1;"</f>
        <v>ALTER TABLE milscm_2023_009.sny_202310_backup_mt_yakko_atc1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milscm_2023_009.sny_202310_backup_mt_yakko_atc1</v>
      </c>
      <c r="O11" s="76"/>
      <c r="P11" s="76"/>
      <c r="Q11" s="76"/>
      <c r="R11" s="76"/>
      <c r="S11" s="76"/>
      <c r="T11" s="76"/>
      <c r="AJ11" s="76" t="str">
        <f>"ADD CONSTRAINT "&amp;D$8&amp;"_pkey PRIMARY KEY"</f>
        <v>ADD CONSTRAINT sny_202310_backup_mt_yakko_atc1_pkey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3287</v>
      </c>
      <c r="D14" s="6" t="s">
        <v>2047</v>
      </c>
      <c r="E14" s="8" t="s">
        <v>127</v>
      </c>
      <c r="F14" s="7" t="s">
        <v>317</v>
      </c>
      <c r="G14" s="7" t="str">
        <f t="shared" ref="G14:G20" si="3">IF(F14="フラグ","boolean",IF(F14="文字列","text",IF(F14="整数","integer",IF(F14="実数","numeric",""))))</f>
        <v>text</v>
      </c>
      <c r="H14" s="26"/>
      <c r="I14" s="10" t="s">
        <v>127</v>
      </c>
      <c r="J14" s="11" t="s">
        <v>3312</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2552</v>
      </c>
      <c r="D15" s="6" t="s">
        <v>3288</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2570</v>
      </c>
      <c r="D16" s="6" t="s">
        <v>3330</v>
      </c>
      <c r="E16" s="8"/>
      <c r="F16" s="7" t="s">
        <v>317</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milscm_2023_009.sny_202310_backup_mt_yakko_atc1.yakko_bunrui1_name IS '薬効分類1名';</v>
      </c>
    </row>
    <row r="17" spans="1:52" s="25" customFormat="1">
      <c r="A17" s="4"/>
      <c r="B17" s="21">
        <f t="shared" si="2"/>
        <v>5</v>
      </c>
      <c r="C17" s="6" t="s">
        <v>3331</v>
      </c>
      <c r="D17" s="6" t="s">
        <v>2571</v>
      </c>
      <c r="E17" s="8"/>
      <c r="F17" s="7" t="s">
        <v>317</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3306</v>
      </c>
      <c r="D18" s="6" t="s">
        <v>3307</v>
      </c>
      <c r="E18" s="8"/>
      <c r="F18" s="7" t="s">
        <v>317</v>
      </c>
      <c r="G18" s="7" t="str">
        <f t="shared" si="3"/>
        <v>text</v>
      </c>
      <c r="H18" s="26"/>
      <c r="I18" s="10" t="s">
        <v>127</v>
      </c>
      <c r="J18" s="11" t="s">
        <v>3314</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milscm_2023_009.sny_202310_backup_mt_yakko_atc1.nen IS '年';</v>
      </c>
    </row>
    <row r="19" spans="1:52" s="25" customFormat="1">
      <c r="A19" s="4"/>
      <c r="B19" s="21">
        <f t="shared" si="2"/>
        <v>7</v>
      </c>
      <c r="C19" s="6" t="s">
        <v>3308</v>
      </c>
      <c r="D19" s="6" t="s">
        <v>3309</v>
      </c>
      <c r="E19" s="8"/>
      <c r="F19" s="7" t="s">
        <v>317</v>
      </c>
      <c r="G19" s="7" t="str">
        <f t="shared" si="3"/>
        <v>text</v>
      </c>
      <c r="H19" s="26"/>
      <c r="I19" s="10" t="s">
        <v>127</v>
      </c>
      <c r="J19" s="11" t="s">
        <v>3315</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milscm_2023_009.sny_202310_backup_mt_yakko_atc1.nengetsu IS '年月';</v>
      </c>
    </row>
    <row r="20" spans="1:52" s="25" customFormat="1" ht="19.5" thickBot="1">
      <c r="A20" s="4"/>
      <c r="B20" s="27">
        <f>ROW()-12</f>
        <v>8</v>
      </c>
      <c r="C20" s="57" t="s">
        <v>3310</v>
      </c>
      <c r="D20" s="57" t="s">
        <v>1881</v>
      </c>
      <c r="E20" s="56"/>
      <c r="F20" s="56" t="s">
        <v>317</v>
      </c>
      <c r="G20" s="56" t="str">
        <f t="shared" si="3"/>
        <v>text</v>
      </c>
      <c r="H20" s="59"/>
      <c r="I20" s="60" t="s">
        <v>127</v>
      </c>
      <c r="J20" s="64" t="s">
        <v>2399</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ENT_01_A3-25</v>
      </c>
      <c r="E6" s="273"/>
      <c r="F6" s="273"/>
      <c r="G6" s="273"/>
      <c r="H6" s="273"/>
      <c r="I6" s="273"/>
      <c r="J6" s="274"/>
    </row>
    <row r="7" spans="1:45">
      <c r="B7" s="262" t="s">
        <v>115</v>
      </c>
      <c r="C7" s="263"/>
      <c r="D7" s="264" t="s">
        <v>3332</v>
      </c>
      <c r="E7" s="265"/>
      <c r="F7" s="265"/>
      <c r="G7" s="265"/>
      <c r="H7" s="265"/>
      <c r="I7" s="265"/>
      <c r="J7" s="266"/>
    </row>
    <row r="8" spans="1:45">
      <c r="B8" s="262" t="s">
        <v>116</v>
      </c>
      <c r="C8" s="263"/>
      <c r="D8" s="264" t="str">
        <f>エンティティ一覧!AE2&amp;"_"&amp;D5&amp;"_mt_yakko_atc2"</f>
        <v>sny_202310_backup_mt_yakko_atc2</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薬効ATC分類2マスタテーブルから組入れ条件の第一条件で絞り込んだ結果を格納するテーブル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milscm_2023_009.sny_202310_backup_mt_yakko_atc2;</v>
      </c>
      <c r="O10" s="76"/>
      <c r="P10" s="76"/>
      <c r="Q10" s="76"/>
      <c r="R10" s="76"/>
      <c r="S10" s="76"/>
      <c r="T10" s="76"/>
      <c r="AJ10" s="76" t="str">
        <f>"ALTER TABLE ONLY "&amp;エンティティ一覧!$O$2&amp;"."&amp;D$8</f>
        <v>ALTER TABLE ONLY milscm_2023_009.sny_202310_backup_mt_yakko_atc2</v>
      </c>
      <c r="AS10" s="76" t="str">
        <f>"ALTER TABLE "&amp;エンティティ一覧!$O$2&amp;"."&amp;D$8&amp;" OWNER TO pgmisgrp1;"</f>
        <v>ALTER TABLE milscm_2023_009.sny_202310_backup_mt_yakko_atc2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milscm_2023_009.sny_202310_backup_mt_yakko_atc2</v>
      </c>
      <c r="O11" s="76"/>
      <c r="P11" s="76"/>
      <c r="Q11" s="76"/>
      <c r="R11" s="76"/>
      <c r="S11" s="76"/>
      <c r="T11" s="76"/>
      <c r="AJ11" s="76" t="str">
        <f>"ADD CONSTRAINT "&amp;D$8&amp;"_pkey PRIMARY KEY"</f>
        <v>ADD CONSTRAINT sny_202310_backup_mt_yakko_atc2_pkey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3287</v>
      </c>
      <c r="D14" s="6" t="s">
        <v>2047</v>
      </c>
      <c r="E14" s="8" t="s">
        <v>127</v>
      </c>
      <c r="F14" s="7" t="s">
        <v>317</v>
      </c>
      <c r="G14" s="7" t="str">
        <f t="shared" ref="G14:G21" si="3">IF(F14="フラグ","boolean",IF(F14="文字列","text",IF(F14="整数","integer",IF(F14="実数","numeric",""))))</f>
        <v>text</v>
      </c>
      <c r="H14" s="26"/>
      <c r="I14" s="10" t="s">
        <v>127</v>
      </c>
      <c r="J14" s="11" t="s">
        <v>3312</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2552</v>
      </c>
      <c r="D15" s="6" t="s">
        <v>3288</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2554</v>
      </c>
      <c r="D16" s="6" t="s">
        <v>3289</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2572</v>
      </c>
      <c r="D17" s="6" t="s">
        <v>3333</v>
      </c>
      <c r="E17" s="8"/>
      <c r="F17" s="7" t="s">
        <v>317</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milscm_2023_009.sny_202310_backup_mt_yakko_atc2.yakko_bunrui2_name IS '薬効分類2名';</v>
      </c>
    </row>
    <row r="18" spans="1:52" s="25" customFormat="1">
      <c r="A18" s="4"/>
      <c r="B18" s="21">
        <f t="shared" si="2"/>
        <v>6</v>
      </c>
      <c r="C18" s="6" t="s">
        <v>3334</v>
      </c>
      <c r="D18" s="6" t="s">
        <v>2573</v>
      </c>
      <c r="E18" s="8"/>
      <c r="F18" s="7" t="s">
        <v>317</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3306</v>
      </c>
      <c r="D19" s="6" t="s">
        <v>3307</v>
      </c>
      <c r="E19" s="8"/>
      <c r="F19" s="7" t="s">
        <v>317</v>
      </c>
      <c r="G19" s="7" t="str">
        <f t="shared" si="3"/>
        <v>text</v>
      </c>
      <c r="H19" s="26"/>
      <c r="I19" s="10" t="s">
        <v>127</v>
      </c>
      <c r="J19" s="11" t="s">
        <v>3314</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milscm_2023_009.sny_202310_backup_mt_yakko_atc2.nen IS '年';</v>
      </c>
    </row>
    <row r="20" spans="1:52" s="25" customFormat="1">
      <c r="A20" s="4"/>
      <c r="B20" s="21">
        <f t="shared" si="2"/>
        <v>8</v>
      </c>
      <c r="C20" s="6" t="s">
        <v>3308</v>
      </c>
      <c r="D20" s="6" t="s">
        <v>3309</v>
      </c>
      <c r="E20" s="8"/>
      <c r="F20" s="7" t="s">
        <v>317</v>
      </c>
      <c r="G20" s="7" t="str">
        <f t="shared" si="3"/>
        <v>text</v>
      </c>
      <c r="H20" s="26"/>
      <c r="I20" s="10" t="s">
        <v>127</v>
      </c>
      <c r="J20" s="11" t="s">
        <v>3315</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milscm_2023_009.sny_202310_backup_mt_yakko_atc2.nengetsu IS '年月';</v>
      </c>
    </row>
    <row r="21" spans="1:52" s="25" customFormat="1" ht="19.5" thickBot="1">
      <c r="A21" s="4"/>
      <c r="B21" s="27">
        <f>ROW()-12</f>
        <v>9</v>
      </c>
      <c r="C21" s="57" t="s">
        <v>3310</v>
      </c>
      <c r="D21" s="57" t="s">
        <v>1881</v>
      </c>
      <c r="E21" s="56"/>
      <c r="F21" s="56" t="s">
        <v>317</v>
      </c>
      <c r="G21" s="56" t="str">
        <f t="shared" si="3"/>
        <v>text</v>
      </c>
      <c r="H21" s="59"/>
      <c r="I21" s="60" t="s">
        <v>127</v>
      </c>
      <c r="J21" s="64" t="s">
        <v>2399</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ENT_01_A3-26</v>
      </c>
      <c r="E6" s="273"/>
      <c r="F6" s="273"/>
      <c r="G6" s="273"/>
      <c r="H6" s="273"/>
      <c r="I6" s="273"/>
      <c r="J6" s="274"/>
    </row>
    <row r="7" spans="1:45">
      <c r="B7" s="262" t="s">
        <v>115</v>
      </c>
      <c r="C7" s="263"/>
      <c r="D7" s="264" t="s">
        <v>3335</v>
      </c>
      <c r="E7" s="265"/>
      <c r="F7" s="265"/>
      <c r="G7" s="265"/>
      <c r="H7" s="265"/>
      <c r="I7" s="265"/>
      <c r="J7" s="266"/>
    </row>
    <row r="8" spans="1:45">
      <c r="B8" s="262" t="s">
        <v>116</v>
      </c>
      <c r="C8" s="263"/>
      <c r="D8" s="264" t="str">
        <f>エンティティ一覧!AE2&amp;"_"&amp;D5&amp;"_mt_yakko_atc3"</f>
        <v>sny_202310_backup_mt_yakko_atc3</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薬効ATC分類3マスタテーブルから組入れ条件の第一条件で絞り込んだ結果を格納するテーブル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milscm_2023_009.sny_202310_backup_mt_yakko_atc3;</v>
      </c>
      <c r="O10" s="76"/>
      <c r="P10" s="76"/>
      <c r="Q10" s="76"/>
      <c r="R10" s="76"/>
      <c r="S10" s="76"/>
      <c r="T10" s="76"/>
      <c r="AJ10" s="76" t="str">
        <f>"ALTER TABLE ONLY "&amp;エンティティ一覧!$O$2&amp;"."&amp;D$8</f>
        <v>ALTER TABLE ONLY milscm_2023_009.sny_202310_backup_mt_yakko_atc3</v>
      </c>
      <c r="AS10" s="76" t="str">
        <f>"ALTER TABLE "&amp;エンティティ一覧!$O$2&amp;"."&amp;D$8&amp;" OWNER TO pgmisgrp1;"</f>
        <v>ALTER TABLE milscm_2023_009.sny_202310_backup_mt_yakko_atc3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milscm_2023_009.sny_202310_backup_mt_yakko_atc3</v>
      </c>
      <c r="O11" s="76"/>
      <c r="P11" s="76"/>
      <c r="Q11" s="76"/>
      <c r="R11" s="76"/>
      <c r="S11" s="76"/>
      <c r="T11" s="76"/>
      <c r="AJ11" s="76" t="str">
        <f>"ADD CONSTRAINT "&amp;D$8&amp;"_pkey PRIMARY KEY"</f>
        <v>ADD CONSTRAINT sny_202310_backup_mt_yakko_atc3_pkey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3287</v>
      </c>
      <c r="D14" s="6" t="s">
        <v>2047</v>
      </c>
      <c r="E14" s="8" t="s">
        <v>127</v>
      </c>
      <c r="F14" s="7" t="s">
        <v>317</v>
      </c>
      <c r="G14" s="7" t="str">
        <f t="shared" ref="G14:G22" si="3">IF(F14="フラグ","boolean",IF(F14="文字列","text",IF(F14="整数","integer",IF(F14="実数","numeric",""))))</f>
        <v>text</v>
      </c>
      <c r="H14" s="26"/>
      <c r="I14" s="10" t="s">
        <v>127</v>
      </c>
      <c r="J14" s="11" t="s">
        <v>3312</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2552</v>
      </c>
      <c r="D15" s="6" t="s">
        <v>3288</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2554</v>
      </c>
      <c r="D16" s="6" t="s">
        <v>3289</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2556</v>
      </c>
      <c r="D17" s="6" t="s">
        <v>3290</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2574</v>
      </c>
      <c r="D18" s="6" t="s">
        <v>3336</v>
      </c>
      <c r="E18" s="8"/>
      <c r="F18" s="7" t="s">
        <v>317</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milscm_2023_009.sny_202310_backup_mt_yakko_atc3.yakko_bunrui3_name IS '薬効分類3名';</v>
      </c>
    </row>
    <row r="19" spans="1:52" s="25" customFormat="1">
      <c r="A19" s="4"/>
      <c r="B19" s="21">
        <f t="shared" si="2"/>
        <v>7</v>
      </c>
      <c r="C19" s="6" t="s">
        <v>3337</v>
      </c>
      <c r="D19" s="6" t="s">
        <v>2575</v>
      </c>
      <c r="E19" s="8"/>
      <c r="F19" s="7" t="s">
        <v>317</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3306</v>
      </c>
      <c r="D20" s="6" t="s">
        <v>3307</v>
      </c>
      <c r="E20" s="8"/>
      <c r="F20" s="7" t="s">
        <v>317</v>
      </c>
      <c r="G20" s="7" t="str">
        <f t="shared" ref="G20" si="7">IF(F20="フラグ","boolean",IF(F20="文字列","text",IF(F20="整数","integer",IF(F20="実数","numeric",""))))</f>
        <v>text</v>
      </c>
      <c r="H20" s="26"/>
      <c r="I20" s="10" t="s">
        <v>127</v>
      </c>
      <c r="J20" s="11" t="s">
        <v>3314</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milscm_2023_009.sny_202310_backup_mt_yakko_atc3.nen IS '年';</v>
      </c>
    </row>
    <row r="21" spans="1:52" s="25" customFormat="1">
      <c r="A21" s="4"/>
      <c r="B21" s="21">
        <f t="shared" si="2"/>
        <v>9</v>
      </c>
      <c r="C21" s="6" t="s">
        <v>3308</v>
      </c>
      <c r="D21" s="6" t="s">
        <v>3309</v>
      </c>
      <c r="E21" s="8"/>
      <c r="F21" s="7" t="s">
        <v>317</v>
      </c>
      <c r="G21" s="7" t="str">
        <f t="shared" si="3"/>
        <v>text</v>
      </c>
      <c r="H21" s="26"/>
      <c r="I21" s="10" t="s">
        <v>127</v>
      </c>
      <c r="J21" s="11" t="s">
        <v>3315</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milscm_2023_009.sny_202310_backup_mt_yakko_atc3.nengetsu IS '年月';</v>
      </c>
    </row>
    <row r="22" spans="1:52" s="25" customFormat="1" ht="19.5" thickBot="1">
      <c r="A22" s="4"/>
      <c r="B22" s="27">
        <f>ROW()-12</f>
        <v>10</v>
      </c>
      <c r="C22" s="57" t="s">
        <v>3310</v>
      </c>
      <c r="D22" s="57" t="s">
        <v>1881</v>
      </c>
      <c r="E22" s="56"/>
      <c r="F22" s="56" t="s">
        <v>317</v>
      </c>
      <c r="G22" s="56" t="str">
        <f t="shared" si="3"/>
        <v>text</v>
      </c>
      <c r="H22" s="59"/>
      <c r="I22" s="60" t="s">
        <v>127</v>
      </c>
      <c r="J22" s="64" t="s">
        <v>2399</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ENT_01_A3-27</v>
      </c>
      <c r="E6" s="273"/>
      <c r="F6" s="273"/>
      <c r="G6" s="273"/>
      <c r="H6" s="273"/>
      <c r="I6" s="273"/>
      <c r="J6" s="274"/>
    </row>
    <row r="7" spans="1:45">
      <c r="B7" s="262" t="s">
        <v>115</v>
      </c>
      <c r="C7" s="263"/>
      <c r="D7" s="264" t="s">
        <v>3338</v>
      </c>
      <c r="E7" s="265"/>
      <c r="F7" s="265"/>
      <c r="G7" s="265"/>
      <c r="H7" s="265"/>
      <c r="I7" s="265"/>
      <c r="J7" s="266"/>
    </row>
    <row r="8" spans="1:45">
      <c r="B8" s="262" t="s">
        <v>116</v>
      </c>
      <c r="C8" s="263"/>
      <c r="D8" s="264" t="str">
        <f>エンティティ一覧!AE2&amp;"_"&amp;D5&amp;"_mt_yakko_atc4"</f>
        <v>sny_202310_backup_mt_yakko_atc4</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薬効ATC分類4マスタテーブルから組入れ条件の第一条件で絞り込んだ結果を格納するテーブル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milscm_2023_009.sny_202310_backup_mt_yakko_atc4;</v>
      </c>
      <c r="O10" s="76"/>
      <c r="P10" s="76"/>
      <c r="Q10" s="76"/>
      <c r="R10" s="76"/>
      <c r="S10" s="76"/>
      <c r="T10" s="76"/>
      <c r="AJ10" s="76" t="str">
        <f>"ALTER TABLE ONLY "&amp;エンティティ一覧!$O$2&amp;"."&amp;D$8</f>
        <v>ALTER TABLE ONLY milscm_2023_009.sny_202310_backup_mt_yakko_atc4</v>
      </c>
      <c r="AS10" s="76" t="str">
        <f>"ALTER TABLE "&amp;エンティティ一覧!$O$2&amp;"."&amp;D$8&amp;" OWNER TO pgmisgrp1;"</f>
        <v>ALTER TABLE milscm_2023_009.sny_202310_backup_mt_yakko_atc4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milscm_2023_009.sny_202310_backup_mt_yakko_atc4</v>
      </c>
      <c r="O11" s="76"/>
      <c r="P11" s="76"/>
      <c r="Q11" s="76"/>
      <c r="R11" s="76"/>
      <c r="S11" s="76"/>
      <c r="T11" s="76"/>
      <c r="AJ11" s="76" t="str">
        <f>"ADD CONSTRAINT "&amp;D$8&amp;"_pkey PRIMARY KEY"</f>
        <v>ADD CONSTRAINT sny_202310_backup_mt_yakko_atc4_pkey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3287</v>
      </c>
      <c r="D14" s="6" t="s">
        <v>2047</v>
      </c>
      <c r="E14" s="8" t="s">
        <v>127</v>
      </c>
      <c r="F14" s="7" t="s">
        <v>317</v>
      </c>
      <c r="G14" s="7" t="str">
        <f t="shared" ref="G14:G23" si="3">IF(F14="フラグ","boolean",IF(F14="文字列","text",IF(F14="整数","integer",IF(F14="実数","numeric",""))))</f>
        <v>text</v>
      </c>
      <c r="H14" s="26"/>
      <c r="I14" s="10" t="s">
        <v>127</v>
      </c>
      <c r="J14" s="11" t="s">
        <v>3312</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2552</v>
      </c>
      <c r="D15" s="6" t="s">
        <v>3288</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2554</v>
      </c>
      <c r="D16" s="6" t="s">
        <v>3289</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2556</v>
      </c>
      <c r="D17" s="6" t="s">
        <v>3290</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2558</v>
      </c>
      <c r="D18" s="6" t="s">
        <v>3291</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2576</v>
      </c>
      <c r="D19" s="6" t="s">
        <v>3339</v>
      </c>
      <c r="E19" s="8"/>
      <c r="F19" s="7" t="s">
        <v>317</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milscm_2023_009.sny_202310_backup_mt_yakko_atc4.yakko_bunrui4_name IS '薬効分類4名';</v>
      </c>
    </row>
    <row r="20" spans="1:52" s="25" customFormat="1">
      <c r="A20" s="4"/>
      <c r="B20" s="21">
        <f t="shared" si="2"/>
        <v>8</v>
      </c>
      <c r="C20" s="6" t="s">
        <v>3340</v>
      </c>
      <c r="D20" s="6" t="s">
        <v>2577</v>
      </c>
      <c r="E20" s="8"/>
      <c r="F20" s="7" t="s">
        <v>317</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3306</v>
      </c>
      <c r="D21" s="6" t="s">
        <v>3307</v>
      </c>
      <c r="E21" s="8"/>
      <c r="F21" s="7" t="s">
        <v>317</v>
      </c>
      <c r="G21" s="7" t="str">
        <f t="shared" si="3"/>
        <v>text</v>
      </c>
      <c r="H21" s="26"/>
      <c r="I21" s="10" t="s">
        <v>127</v>
      </c>
      <c r="J21" s="11" t="s">
        <v>3314</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milscm_2023_009.sny_202310_backup_mt_yakko_atc4.nen IS '年';</v>
      </c>
    </row>
    <row r="22" spans="1:52" s="25" customFormat="1">
      <c r="A22" s="4"/>
      <c r="B22" s="21">
        <f t="shared" si="2"/>
        <v>10</v>
      </c>
      <c r="C22" s="6" t="s">
        <v>3308</v>
      </c>
      <c r="D22" s="6" t="s">
        <v>3309</v>
      </c>
      <c r="E22" s="8"/>
      <c r="F22" s="7" t="s">
        <v>317</v>
      </c>
      <c r="G22" s="7" t="str">
        <f t="shared" si="3"/>
        <v>text</v>
      </c>
      <c r="H22" s="26"/>
      <c r="I22" s="10" t="s">
        <v>127</v>
      </c>
      <c r="J22" s="11" t="s">
        <v>3315</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milscm_2023_009.sny_202310_backup_mt_yakko_atc4.nengetsu IS '年月';</v>
      </c>
    </row>
    <row r="23" spans="1:52" s="25" customFormat="1" ht="19.5" thickBot="1">
      <c r="A23" s="4"/>
      <c r="B23" s="27">
        <f>ROW()-12</f>
        <v>11</v>
      </c>
      <c r="C23" s="57" t="s">
        <v>3310</v>
      </c>
      <c r="D23" s="57" t="s">
        <v>1881</v>
      </c>
      <c r="E23" s="56"/>
      <c r="F23" s="56" t="s">
        <v>317</v>
      </c>
      <c r="G23" s="56" t="str">
        <f t="shared" si="3"/>
        <v>text</v>
      </c>
      <c r="H23" s="59"/>
      <c r="I23" s="60" t="s">
        <v>127</v>
      </c>
      <c r="J23" s="64" t="s">
        <v>2399</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ENT_01_A3-28</v>
      </c>
      <c r="E6" s="273"/>
      <c r="F6" s="273"/>
      <c r="G6" s="273"/>
      <c r="H6" s="273"/>
      <c r="I6" s="273"/>
      <c r="J6" s="274"/>
    </row>
    <row r="7" spans="1:45">
      <c r="B7" s="262" t="s">
        <v>115</v>
      </c>
      <c r="C7" s="263"/>
      <c r="D7" s="264" t="s">
        <v>3341</v>
      </c>
      <c r="E7" s="265"/>
      <c r="F7" s="265"/>
      <c r="G7" s="265"/>
      <c r="H7" s="265"/>
      <c r="I7" s="265"/>
      <c r="J7" s="266"/>
    </row>
    <row r="8" spans="1:45">
      <c r="B8" s="262" t="s">
        <v>116</v>
      </c>
      <c r="C8" s="263"/>
      <c r="D8" s="264" t="str">
        <f>エンティティ一覧!AE2&amp;"_"&amp;D5&amp;"_mt_yakko_atc5"</f>
        <v>sny_202310_backup_mt_yakko_atc5</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薬効ATC分類5マスタテーブルから組入れ条件の第一条件で絞り込んだ結果を格納するテーブル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milscm_2023_009.sny_202310_backup_mt_yakko_atc5;</v>
      </c>
      <c r="O10" s="76"/>
      <c r="P10" s="76"/>
      <c r="Q10" s="76"/>
      <c r="R10" s="76"/>
      <c r="S10" s="76"/>
      <c r="T10" s="76"/>
      <c r="AJ10" s="76" t="str">
        <f>"ALTER TABLE ONLY "&amp;エンティティ一覧!$O$2&amp;"."&amp;D$8</f>
        <v>ALTER TABLE ONLY milscm_2023_009.sny_202310_backup_mt_yakko_atc5</v>
      </c>
      <c r="AS10" s="76" t="str">
        <f>"ALTER TABLE "&amp;エンティティ一覧!$O$2&amp;"."&amp;D$8&amp;" OWNER TO pgmisgrp1;"</f>
        <v>ALTER TABLE milscm_2023_009.sny_202310_backup_mt_yakko_atc5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milscm_2023_009.sny_202310_backup_mt_yakko_atc5</v>
      </c>
      <c r="O11" s="76"/>
      <c r="P11" s="76"/>
      <c r="Q11" s="76"/>
      <c r="R11" s="76"/>
      <c r="S11" s="76"/>
      <c r="T11" s="76"/>
      <c r="AJ11" s="76" t="str">
        <f>"ADD CONSTRAINT "&amp;D$8&amp;"_pkey PRIMARY KEY"</f>
        <v>ADD CONSTRAINT sny_202310_backup_mt_yakko_atc5_pkey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3287</v>
      </c>
      <c r="D14" s="6" t="s">
        <v>2047</v>
      </c>
      <c r="E14" s="8" t="s">
        <v>127</v>
      </c>
      <c r="F14" s="7" t="s">
        <v>317</v>
      </c>
      <c r="G14" s="7" t="str">
        <f t="shared" ref="G14:G24" si="3">IF(F14="フラグ","boolean",IF(F14="文字列","text",IF(F14="整数","integer",IF(F14="実数","numeric",""))))</f>
        <v>text</v>
      </c>
      <c r="H14" s="26"/>
      <c r="I14" s="10" t="s">
        <v>127</v>
      </c>
      <c r="J14" s="11" t="s">
        <v>3312</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2552</v>
      </c>
      <c r="D15" s="6" t="s">
        <v>3288</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2554</v>
      </c>
      <c r="D16" s="6" t="s">
        <v>3289</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2556</v>
      </c>
      <c r="D17" s="6" t="s">
        <v>3290</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2558</v>
      </c>
      <c r="D18" s="6" t="s">
        <v>3291</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2560</v>
      </c>
      <c r="D19" s="6" t="s">
        <v>3292</v>
      </c>
      <c r="E19" s="8" t="s">
        <v>127</v>
      </c>
      <c r="F19" s="7" t="s">
        <v>317</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2578</v>
      </c>
      <c r="D20" s="6" t="s">
        <v>3342</v>
      </c>
      <c r="E20" s="8"/>
      <c r="F20" s="7" t="s">
        <v>317</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milscm_2023_009.sny_202310_backup_mt_yakko_atc5.yakko_bunrui5_name IS '薬効分類5名';</v>
      </c>
    </row>
    <row r="21" spans="1:52" s="25" customFormat="1">
      <c r="A21" s="4"/>
      <c r="B21" s="21">
        <f t="shared" si="2"/>
        <v>9</v>
      </c>
      <c r="C21" s="6" t="s">
        <v>3343</v>
      </c>
      <c r="D21" s="6" t="s">
        <v>2579</v>
      </c>
      <c r="E21" s="8"/>
      <c r="F21" s="7" t="s">
        <v>317</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3306</v>
      </c>
      <c r="D22" s="6" t="s">
        <v>3307</v>
      </c>
      <c r="E22" s="8"/>
      <c r="F22" s="7" t="s">
        <v>317</v>
      </c>
      <c r="G22" s="7" t="str">
        <f t="shared" si="3"/>
        <v>text</v>
      </c>
      <c r="H22" s="26"/>
      <c r="I22" s="10" t="s">
        <v>127</v>
      </c>
      <c r="J22" s="11" t="s">
        <v>3314</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milscm_2023_009.sny_202310_backup_mt_yakko_atc5.nen IS '年';</v>
      </c>
    </row>
    <row r="23" spans="1:52" s="25" customFormat="1">
      <c r="A23" s="4"/>
      <c r="B23" s="21">
        <f t="shared" si="2"/>
        <v>11</v>
      </c>
      <c r="C23" s="6" t="s">
        <v>3308</v>
      </c>
      <c r="D23" s="6" t="s">
        <v>3309</v>
      </c>
      <c r="E23" s="8"/>
      <c r="F23" s="7" t="s">
        <v>317</v>
      </c>
      <c r="G23" s="7" t="str">
        <f t="shared" si="3"/>
        <v>text</v>
      </c>
      <c r="H23" s="26"/>
      <c r="I23" s="10" t="s">
        <v>127</v>
      </c>
      <c r="J23" s="11" t="s">
        <v>3315</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milscm_2023_009.sny_202310_backup_mt_yakko_atc5.nengetsu IS '年月';</v>
      </c>
    </row>
    <row r="24" spans="1:52" s="25" customFormat="1" ht="19.5" thickBot="1">
      <c r="A24" s="4"/>
      <c r="B24" s="27">
        <f>ROW()-12</f>
        <v>12</v>
      </c>
      <c r="C24" s="57" t="s">
        <v>3310</v>
      </c>
      <c r="D24" s="57" t="s">
        <v>1881</v>
      </c>
      <c r="E24" s="56"/>
      <c r="F24" s="56" t="s">
        <v>317</v>
      </c>
      <c r="G24" s="56" t="str">
        <f t="shared" si="3"/>
        <v>text</v>
      </c>
      <c r="H24" s="59"/>
      <c r="I24" s="60" t="s">
        <v>127</v>
      </c>
      <c r="J24" s="64" t="s">
        <v>2399</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ENT_01_A3-29</v>
      </c>
      <c r="E6" s="273"/>
      <c r="F6" s="273"/>
      <c r="G6" s="273"/>
      <c r="H6" s="273"/>
      <c r="I6" s="273"/>
      <c r="J6" s="274"/>
    </row>
    <row r="7" spans="1:45">
      <c r="B7" s="262" t="s">
        <v>115</v>
      </c>
      <c r="C7" s="263"/>
      <c r="D7" s="264" t="s">
        <v>3344</v>
      </c>
      <c r="E7" s="265"/>
      <c r="F7" s="265"/>
      <c r="G7" s="265"/>
      <c r="H7" s="265"/>
      <c r="I7" s="265"/>
      <c r="J7" s="266"/>
    </row>
    <row r="8" spans="1:45">
      <c r="B8" s="262" t="s">
        <v>116</v>
      </c>
      <c r="C8" s="263"/>
      <c r="D8" s="264" t="str">
        <f>エンティティ一覧!AE2&amp;"_"&amp;D5&amp;"_mt_shippei"</f>
        <v>sny_202310_backup_mt_shippei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疾病マスタテーブルから組入れ条件の第一条件で絞り込んだ結果を格納するテーブル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milscm_2023_009.sny_202310_backup_mt_shippei;</v>
      </c>
      <c r="O10" s="76"/>
      <c r="P10" s="76"/>
      <c r="Q10" s="76"/>
      <c r="R10" s="76"/>
      <c r="S10" s="76"/>
      <c r="T10" s="76"/>
      <c r="AJ10" s="76" t="str">
        <f>"ALTER TABLE ONLY "&amp;エンティティ一覧!$O$2&amp;"."&amp;D$8</f>
        <v>ALTER TABLE ONLY milscm_2023_009.sny_202310_backup_mt_shippei</v>
      </c>
      <c r="AS10" s="76" t="str">
        <f>"ALTER TABLE "&amp;エンティティ一覧!$O$2&amp;"."&amp;D$8&amp;" OWNER TO pgmisgrp1;"</f>
        <v>ALTER TABLE milscm_2023_009.sny_202310_backup_mt_shippei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milscm_2023_009.sny_202310_backup_mt_shippei</v>
      </c>
      <c r="O11" s="76"/>
      <c r="P11" s="76"/>
      <c r="Q11" s="76"/>
      <c r="R11" s="76"/>
      <c r="S11" s="76"/>
      <c r="T11" s="76"/>
      <c r="AJ11" s="76" t="str">
        <f>"ADD CONSTRAINT "&amp;D$8&amp;"_pkey PRIMARY KEY"</f>
        <v>ADD CONSTRAINT sny_202310_backup_mt_shippei_pkey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milscm_2023_009.sny_202310_backup_mt_shippei IS 'バックアップ_疾病マスタ';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3287</v>
      </c>
      <c r="D14" s="6" t="s">
        <v>2047</v>
      </c>
      <c r="E14" s="8" t="s">
        <v>127</v>
      </c>
      <c r="F14" s="7" t="s">
        <v>317</v>
      </c>
      <c r="G14" s="7" t="str">
        <f t="shared" ref="G14:G27" si="3">IF(F14="フラグ","boolean",IF(F14="文字列","text",IF(F14="整数","integer",IF(F14="実数","numeric",""))))</f>
        <v>text</v>
      </c>
      <c r="H14" s="26"/>
      <c r="I14" s="10" t="s">
        <v>127</v>
      </c>
      <c r="J14" s="11" t="s">
        <v>3312</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milscm_2023_009.sny_202310_backup_mt_shippei.koshin_kubun IS '更新区分';</v>
      </c>
    </row>
    <row r="15" spans="1:45" s="25" customFormat="1">
      <c r="A15" s="4"/>
      <c r="B15" s="21">
        <f t="shared" si="2"/>
        <v>3</v>
      </c>
      <c r="C15" s="6" t="s">
        <v>3345</v>
      </c>
      <c r="D15" s="6" t="s">
        <v>3346</v>
      </c>
      <c r="E15" s="8" t="s">
        <v>127</v>
      </c>
      <c r="F15" s="7" t="s">
        <v>317</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3347</v>
      </c>
      <c r="D16" s="6" t="s">
        <v>3348</v>
      </c>
      <c r="E16" s="8"/>
      <c r="F16" s="7" t="s">
        <v>317</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3349</v>
      </c>
      <c r="D17" s="6" t="s">
        <v>3350</v>
      </c>
      <c r="E17" s="8"/>
      <c r="F17" s="7" t="s">
        <v>317</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3351</v>
      </c>
      <c r="D18" s="6" t="s">
        <v>3352</v>
      </c>
      <c r="E18" s="8"/>
      <c r="F18" s="7" t="s">
        <v>317</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3353</v>
      </c>
      <c r="D19" s="6" t="s">
        <v>3354</v>
      </c>
      <c r="E19" s="8"/>
      <c r="F19" s="7" t="s">
        <v>317</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3355</v>
      </c>
      <c r="D20" s="6" t="s">
        <v>3356</v>
      </c>
      <c r="E20" s="8"/>
      <c r="F20" s="7" t="s">
        <v>317</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3357</v>
      </c>
      <c r="D21" s="6" t="s">
        <v>3358</v>
      </c>
      <c r="E21" s="8"/>
      <c r="F21" s="7" t="s">
        <v>317</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3359</v>
      </c>
      <c r="D22" s="6" t="s">
        <v>3360</v>
      </c>
      <c r="E22" s="8"/>
      <c r="F22" s="7" t="s">
        <v>317</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3361</v>
      </c>
      <c r="D23" s="6" t="s">
        <v>3362</v>
      </c>
      <c r="E23" s="8"/>
      <c r="F23" s="7" t="s">
        <v>317</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3363</v>
      </c>
      <c r="D24" s="6" t="s">
        <v>3364</v>
      </c>
      <c r="E24" s="8"/>
      <c r="F24" s="7" t="s">
        <v>317</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milscm_2023_009.sny_202310_backup_mt_shippei.shippei_name IS '疾病名';</v>
      </c>
    </row>
    <row r="25" spans="1:52" s="25" customFormat="1">
      <c r="A25" s="4"/>
      <c r="B25" s="21">
        <f t="shared" si="2"/>
        <v>13</v>
      </c>
      <c r="C25" s="6" t="s">
        <v>3306</v>
      </c>
      <c r="D25" s="6" t="s">
        <v>3307</v>
      </c>
      <c r="E25" s="8"/>
      <c r="F25" s="7" t="s">
        <v>317</v>
      </c>
      <c r="G25" s="7" t="str">
        <f t="shared" si="3"/>
        <v>text</v>
      </c>
      <c r="H25" s="26"/>
      <c r="I25" s="10" t="s">
        <v>127</v>
      </c>
      <c r="J25" s="11" t="s">
        <v>3314</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milscm_2023_009.sny_202310_backup_mt_shippei.nen IS '年';</v>
      </c>
    </row>
    <row r="26" spans="1:52" s="25" customFormat="1">
      <c r="A26" s="4"/>
      <c r="B26" s="21">
        <f t="shared" si="2"/>
        <v>14</v>
      </c>
      <c r="C26" s="6" t="s">
        <v>3308</v>
      </c>
      <c r="D26" s="6" t="s">
        <v>3309</v>
      </c>
      <c r="E26" s="8"/>
      <c r="F26" s="7" t="s">
        <v>317</v>
      </c>
      <c r="G26" s="7" t="str">
        <f t="shared" si="3"/>
        <v>text</v>
      </c>
      <c r="H26" s="26"/>
      <c r="I26" s="10" t="s">
        <v>127</v>
      </c>
      <c r="J26" s="11" t="s">
        <v>3315</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milscm_2023_009.sny_202310_backup_mt_shippei.nengetsu IS '年月';</v>
      </c>
    </row>
    <row r="27" spans="1:52" s="25" customFormat="1" ht="19.5" thickBot="1">
      <c r="A27" s="4"/>
      <c r="B27" s="27">
        <f>ROW()-12</f>
        <v>15</v>
      </c>
      <c r="C27" s="57" t="s">
        <v>3310</v>
      </c>
      <c r="D27" s="57" t="s">
        <v>1881</v>
      </c>
      <c r="E27" s="56"/>
      <c r="F27" s="56" t="s">
        <v>317</v>
      </c>
      <c r="G27" s="56" t="str">
        <f t="shared" si="3"/>
        <v>text</v>
      </c>
      <c r="H27" s="59"/>
      <c r="I27" s="60" t="s">
        <v>127</v>
      </c>
      <c r="J27" s="64" t="s">
        <v>2399</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ENT_01_A3-30</v>
      </c>
      <c r="E6" s="273"/>
      <c r="F6" s="273"/>
      <c r="G6" s="273"/>
      <c r="H6" s="273"/>
      <c r="I6" s="273"/>
      <c r="J6" s="274"/>
    </row>
    <row r="7" spans="1:45">
      <c r="B7" s="262" t="s">
        <v>115</v>
      </c>
      <c r="C7" s="263"/>
      <c r="D7" s="264" t="s">
        <v>3250</v>
      </c>
      <c r="E7" s="265"/>
      <c r="F7" s="265"/>
      <c r="G7" s="265"/>
      <c r="H7" s="265"/>
      <c r="I7" s="265"/>
      <c r="J7" s="266"/>
    </row>
    <row r="8" spans="1:45">
      <c r="B8" s="262" t="s">
        <v>116</v>
      </c>
      <c r="C8" s="263"/>
      <c r="D8" s="264" t="str">
        <f>エンティティ一覧!AE2&amp;"_"&amp;D5&amp;"_mt_icd10_l"</f>
        <v>sny_202310_backup_mt_icd10_l</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ICD10大分類マスタテーブルから組入れ条件の第一条件で絞り込んだ結果を格納するテーブル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milscm_2023_009.sny_202310_backup_mt_icd10_l;</v>
      </c>
      <c r="O10" s="76"/>
      <c r="P10" s="76"/>
      <c r="Q10" s="76"/>
      <c r="R10" s="76"/>
      <c r="S10" s="76"/>
      <c r="T10" s="76"/>
      <c r="AJ10" s="76" t="str">
        <f>"ALTER TABLE ONLY "&amp;エンティティ一覧!$O$2&amp;"."&amp;D$8</f>
        <v>ALTER TABLE ONLY milscm_2023_009.sny_202310_backup_mt_icd10_l</v>
      </c>
      <c r="AS10" s="76" t="str">
        <f>"ALTER TABLE "&amp;エンティティ一覧!$O$2&amp;"."&amp;D$8&amp;" OWNER TO pgmisgrp1;"</f>
        <v>ALTER TABLE milscm_2023_009.sny_202310_backup_mt_icd10_l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milscm_2023_009.sny_202310_backup_mt_icd10_l</v>
      </c>
      <c r="O11" s="76"/>
      <c r="P11" s="76"/>
      <c r="Q11" s="76"/>
      <c r="R11" s="76"/>
      <c r="S11" s="76"/>
      <c r="T11" s="76"/>
      <c r="AJ11" s="76" t="str">
        <f>"ADD CONSTRAINT "&amp;D$8&amp;"_pkey PRIMARY KEY"</f>
        <v>ADD CONSTRAINT sny_202310_backup_mt_icd10_l_pkey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milscm_2023_009.sny_202310_backup_mt_icd10_l IS 'バックアップ_ICD10大分類マスタ';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3287</v>
      </c>
      <c r="D14" s="6" t="s">
        <v>2047</v>
      </c>
      <c r="E14" s="8" t="s">
        <v>127</v>
      </c>
      <c r="F14" s="7" t="s">
        <v>317</v>
      </c>
      <c r="G14" s="7" t="str">
        <f t="shared" ref="G14:G20" si="3">IF(F14="フラグ","boolean",IF(F14="文字列","text",IF(F14="整数","integer",IF(F14="実数","numeric",""))))</f>
        <v>text</v>
      </c>
      <c r="H14" s="26"/>
      <c r="I14" s="10" t="s">
        <v>127</v>
      </c>
      <c r="J14" s="11" t="s">
        <v>3312</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milscm_2023_009.sny_202310_backup_mt_icd10_l.koshin_kubun IS '更新区分';</v>
      </c>
    </row>
    <row r="15" spans="1:45" s="25" customFormat="1">
      <c r="A15" s="4"/>
      <c r="B15" s="21">
        <f t="shared" si="2"/>
        <v>3</v>
      </c>
      <c r="C15" s="6" t="s">
        <v>2653</v>
      </c>
      <c r="D15" s="6" t="s">
        <v>3365</v>
      </c>
      <c r="E15" s="8" t="s">
        <v>127</v>
      </c>
      <c r="F15" s="7" t="s">
        <v>317</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2660</v>
      </c>
      <c r="D16" s="6" t="s">
        <v>2661</v>
      </c>
      <c r="E16" s="8"/>
      <c r="F16" s="7" t="s">
        <v>317</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3304</v>
      </c>
      <c r="D17" s="6" t="s">
        <v>3305</v>
      </c>
      <c r="E17" s="8"/>
      <c r="F17" s="7" t="s">
        <v>317</v>
      </c>
      <c r="G17" s="7" t="str">
        <f t="shared" si="3"/>
        <v>text</v>
      </c>
      <c r="H17" s="26"/>
      <c r="I17" s="10"/>
      <c r="J17" s="11" t="s">
        <v>3313</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milscm_2023_009.sny_202310_backup_mt_icd10_l.ikosaki IS '移行先';</v>
      </c>
    </row>
    <row r="18" spans="1:52" s="25" customFormat="1">
      <c r="A18" s="4"/>
      <c r="B18" s="21">
        <f t="shared" si="2"/>
        <v>6</v>
      </c>
      <c r="C18" s="6" t="s">
        <v>3306</v>
      </c>
      <c r="D18" s="6" t="s">
        <v>3307</v>
      </c>
      <c r="E18" s="8"/>
      <c r="F18" s="7" t="s">
        <v>317</v>
      </c>
      <c r="G18" s="7" t="str">
        <f t="shared" si="3"/>
        <v>text</v>
      </c>
      <c r="H18" s="26"/>
      <c r="I18" s="10" t="s">
        <v>127</v>
      </c>
      <c r="J18" s="11" t="s">
        <v>3314</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milscm_2023_009.sny_202310_backup_mt_icd10_l.nen IS '年';</v>
      </c>
    </row>
    <row r="19" spans="1:52" s="25" customFormat="1">
      <c r="A19" s="4"/>
      <c r="B19" s="21">
        <f t="shared" si="2"/>
        <v>7</v>
      </c>
      <c r="C19" s="6" t="s">
        <v>3308</v>
      </c>
      <c r="D19" s="6" t="s">
        <v>3309</v>
      </c>
      <c r="E19" s="8"/>
      <c r="F19" s="7" t="s">
        <v>317</v>
      </c>
      <c r="G19" s="7" t="str">
        <f t="shared" si="3"/>
        <v>text</v>
      </c>
      <c r="H19" s="26"/>
      <c r="I19" s="10" t="s">
        <v>127</v>
      </c>
      <c r="J19" s="11" t="s">
        <v>3315</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milscm_2023_009.sny_202310_backup_mt_icd10_l.nengetsu IS '年月';</v>
      </c>
    </row>
    <row r="20" spans="1:52" s="25" customFormat="1" ht="19.5" thickBot="1">
      <c r="A20" s="4"/>
      <c r="B20" s="27">
        <f>ROW()-12</f>
        <v>8</v>
      </c>
      <c r="C20" s="57" t="s">
        <v>3310</v>
      </c>
      <c r="D20" s="57" t="s">
        <v>1881</v>
      </c>
      <c r="E20" s="56"/>
      <c r="F20" s="56" t="s">
        <v>317</v>
      </c>
      <c r="G20" s="56" t="str">
        <f t="shared" si="3"/>
        <v>text</v>
      </c>
      <c r="H20" s="59"/>
      <c r="I20" s="60" t="s">
        <v>127</v>
      </c>
      <c r="J20" s="64" t="s">
        <v>2399</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ENT_01_A3-31</v>
      </c>
      <c r="E6" s="273"/>
      <c r="F6" s="273"/>
      <c r="G6" s="273"/>
      <c r="H6" s="273"/>
      <c r="I6" s="273"/>
      <c r="J6" s="274"/>
    </row>
    <row r="7" spans="1:45">
      <c r="B7" s="262" t="s">
        <v>115</v>
      </c>
      <c r="C7" s="263"/>
      <c r="D7" s="264" t="s">
        <v>3251</v>
      </c>
      <c r="E7" s="265"/>
      <c r="F7" s="265"/>
      <c r="G7" s="265"/>
      <c r="H7" s="265"/>
      <c r="I7" s="265"/>
      <c r="J7" s="266"/>
    </row>
    <row r="8" spans="1:45">
      <c r="B8" s="262" t="s">
        <v>116</v>
      </c>
      <c r="C8" s="263"/>
      <c r="D8" s="264" t="str">
        <f>エンティティ一覧!AE2&amp;"_"&amp;D5&amp;"_mt_icd10_m"</f>
        <v>sny_202310_backup_mt_icd10_m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ICD10中分類マスタテーブルから組入れ条件の第一条件で絞り込んだ結果を格納するテーブル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milscm_2023_009.sny_202310_backup_mt_icd10_m;</v>
      </c>
      <c r="O10" s="76"/>
      <c r="P10" s="76"/>
      <c r="Q10" s="76"/>
      <c r="R10" s="76"/>
      <c r="S10" s="76"/>
      <c r="T10" s="76"/>
      <c r="AJ10" s="76" t="str">
        <f>"ALTER TABLE ONLY "&amp;エンティティ一覧!$O$2&amp;"."&amp;D$8</f>
        <v>ALTER TABLE ONLY milscm_2023_009.sny_202310_backup_mt_icd10_m</v>
      </c>
      <c r="AS10" s="76" t="str">
        <f>"ALTER TABLE "&amp;エンティティ一覧!$O$2&amp;"."&amp;D$8&amp;" OWNER TO pgmisgrp1;"</f>
        <v>ALTER TABLE milscm_2023_009.sny_202310_backup_mt_icd10_m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milscm_2023_009.sny_202310_backup_mt_icd10_m</v>
      </c>
      <c r="O11" s="76"/>
      <c r="P11" s="76"/>
      <c r="Q11" s="76"/>
      <c r="R11" s="76"/>
      <c r="S11" s="76"/>
      <c r="T11" s="76"/>
      <c r="AJ11" s="76" t="str">
        <f>"ADD CONSTRAINT "&amp;D$8&amp;"_pkey PRIMARY KEY"</f>
        <v>ADD CONSTRAINT sny_202310_backup_mt_icd10_m_pkey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milscm_2023_009.sny_202310_backup_mt_icd10_m IS 'バックアップ_ICD10中分類マスタ';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3287</v>
      </c>
      <c r="D14" s="6" t="s">
        <v>2047</v>
      </c>
      <c r="E14" s="8" t="s">
        <v>127</v>
      </c>
      <c r="F14" s="7" t="s">
        <v>317</v>
      </c>
      <c r="G14" s="7" t="str">
        <f t="shared" ref="G14:G21" si="3">IF(F14="フラグ","boolean",IF(F14="文字列","text",IF(F14="整数","integer",IF(F14="実数","numeric",""))))</f>
        <v>text</v>
      </c>
      <c r="H14" s="26"/>
      <c r="I14" s="10" t="s">
        <v>127</v>
      </c>
      <c r="J14" s="11" t="s">
        <v>3312</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milscm_2023_009.sny_202310_backup_mt_icd10_m.koshin_kubun IS '更新区分';</v>
      </c>
    </row>
    <row r="15" spans="1:45" s="25" customFormat="1">
      <c r="A15" s="4"/>
      <c r="B15" s="21">
        <f t="shared" si="2"/>
        <v>3</v>
      </c>
      <c r="C15" s="6" t="s">
        <v>2655</v>
      </c>
      <c r="D15" s="6" t="s">
        <v>3366</v>
      </c>
      <c r="E15" s="8" t="s">
        <v>127</v>
      </c>
      <c r="F15" s="7" t="s">
        <v>317</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2662</v>
      </c>
      <c r="D16" s="6" t="s">
        <v>2663</v>
      </c>
      <c r="E16" s="8"/>
      <c r="F16" s="7" t="s">
        <v>317</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2653</v>
      </c>
      <c r="D17" s="6" t="s">
        <v>3365</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3304</v>
      </c>
      <c r="D18" s="6" t="s">
        <v>3305</v>
      </c>
      <c r="E18" s="8"/>
      <c r="F18" s="7" t="s">
        <v>317</v>
      </c>
      <c r="G18" s="7" t="str">
        <f t="shared" ref="G18" si="7">IF(F18="フラグ","boolean",IF(F18="文字列","text",IF(F18="整数","integer",IF(F18="実数","numeric",""))))</f>
        <v>text</v>
      </c>
      <c r="H18" s="26"/>
      <c r="I18" s="10"/>
      <c r="J18" s="11" t="s">
        <v>3313</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milscm_2023_009.sny_202310_backup_mt_icd10_m.ikosaki IS '移行先';</v>
      </c>
    </row>
    <row r="19" spans="1:52" s="25" customFormat="1">
      <c r="A19" s="4"/>
      <c r="B19" s="21">
        <f t="shared" si="2"/>
        <v>7</v>
      </c>
      <c r="C19" s="6" t="s">
        <v>3306</v>
      </c>
      <c r="D19" s="6" t="s">
        <v>3307</v>
      </c>
      <c r="E19" s="8"/>
      <c r="F19" s="7" t="s">
        <v>317</v>
      </c>
      <c r="G19" s="7" t="str">
        <f t="shared" si="3"/>
        <v>text</v>
      </c>
      <c r="H19" s="26"/>
      <c r="I19" s="10" t="s">
        <v>127</v>
      </c>
      <c r="J19" s="11" t="s">
        <v>3314</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milscm_2023_009.sny_202310_backup_mt_icd10_m.nen IS '年';</v>
      </c>
    </row>
    <row r="20" spans="1:52" s="25" customFormat="1">
      <c r="A20" s="4"/>
      <c r="B20" s="21">
        <f t="shared" si="2"/>
        <v>8</v>
      </c>
      <c r="C20" s="6" t="s">
        <v>3308</v>
      </c>
      <c r="D20" s="6" t="s">
        <v>3309</v>
      </c>
      <c r="E20" s="8"/>
      <c r="F20" s="7" t="s">
        <v>317</v>
      </c>
      <c r="G20" s="7" t="str">
        <f t="shared" si="3"/>
        <v>text</v>
      </c>
      <c r="H20" s="26"/>
      <c r="I20" s="10" t="s">
        <v>127</v>
      </c>
      <c r="J20" s="11" t="s">
        <v>3315</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milscm_2023_009.sny_202310_backup_mt_icd10_m.nengetsu IS '年月';</v>
      </c>
    </row>
    <row r="21" spans="1:52" s="25" customFormat="1" ht="19.5" thickBot="1">
      <c r="A21" s="4"/>
      <c r="B21" s="27">
        <f>ROW()-12</f>
        <v>9</v>
      </c>
      <c r="C21" s="57" t="s">
        <v>3310</v>
      </c>
      <c r="D21" s="57" t="s">
        <v>1881</v>
      </c>
      <c r="E21" s="56"/>
      <c r="F21" s="56" t="s">
        <v>317</v>
      </c>
      <c r="G21" s="56" t="str">
        <f t="shared" si="3"/>
        <v>text</v>
      </c>
      <c r="H21" s="59"/>
      <c r="I21" s="60" t="s">
        <v>127</v>
      </c>
      <c r="J21" s="64" t="s">
        <v>2399</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ENT_01_A3-32</v>
      </c>
      <c r="E6" s="273"/>
      <c r="F6" s="273"/>
      <c r="G6" s="273"/>
      <c r="H6" s="273"/>
      <c r="I6" s="273"/>
      <c r="J6" s="274"/>
    </row>
    <row r="7" spans="1:45">
      <c r="B7" s="262" t="s">
        <v>115</v>
      </c>
      <c r="C7" s="263"/>
      <c r="D7" s="264" t="s">
        <v>3252</v>
      </c>
      <c r="E7" s="265"/>
      <c r="F7" s="265"/>
      <c r="G7" s="265"/>
      <c r="H7" s="265"/>
      <c r="I7" s="265"/>
      <c r="J7" s="266"/>
    </row>
    <row r="8" spans="1:45">
      <c r="B8" s="262" t="s">
        <v>116</v>
      </c>
      <c r="C8" s="263"/>
      <c r="D8" s="264" t="str">
        <f>エンティティ一覧!AE2&amp;"_"&amp;D5&amp;"_mt_icd10_s"</f>
        <v>sny_202310_backup_mt_icd10_s</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ICD10小分類マスタテーブルから組入れ条件の第一条件で絞り込んだ結果を格納するテーブル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milscm_2023_009.sny_202310_backup_mt_icd10_s;</v>
      </c>
      <c r="O10" s="76"/>
      <c r="P10" s="76"/>
      <c r="Q10" s="76"/>
      <c r="R10" s="76"/>
      <c r="S10" s="76"/>
      <c r="T10" s="76"/>
      <c r="AJ10" s="76" t="str">
        <f>"ALTER TABLE ONLY "&amp;エンティティ一覧!$O$2&amp;"."&amp;D$8</f>
        <v>ALTER TABLE ONLY milscm_2023_009.sny_202310_backup_mt_icd10_s</v>
      </c>
      <c r="AS10" s="76" t="str">
        <f>"ALTER TABLE "&amp;エンティティ一覧!$O$2&amp;"."&amp;D$8&amp;" OWNER TO pgmisgrp1;"</f>
        <v>ALTER TABLE milscm_2023_009.sny_202310_backup_mt_icd10_s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milscm_2023_009.sny_202310_backup_mt_icd10_s</v>
      </c>
      <c r="O11" s="76"/>
      <c r="P11" s="76"/>
      <c r="Q11" s="76"/>
      <c r="R11" s="76"/>
      <c r="S11" s="76"/>
      <c r="T11" s="76"/>
      <c r="AJ11" s="76" t="str">
        <f>"ADD CONSTRAINT "&amp;D$8&amp;"_pkey PRIMARY KEY"</f>
        <v>ADD CONSTRAINT sny_202310_backup_mt_icd10_s_pkey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 IS 'バックアップ_ICD10小分類マスタ';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3287</v>
      </c>
      <c r="D14" s="6" t="s">
        <v>2047</v>
      </c>
      <c r="E14" s="8" t="s">
        <v>127</v>
      </c>
      <c r="F14" s="7" t="s">
        <v>317</v>
      </c>
      <c r="G14" s="7" t="str">
        <f t="shared" ref="G14:G22" si="3">IF(F14="フラグ","boolean",IF(F14="文字列","text",IF(F14="整数","integer",IF(F14="実数","numeric",""))))</f>
        <v>text</v>
      </c>
      <c r="H14" s="26"/>
      <c r="I14" s="10" t="s">
        <v>127</v>
      </c>
      <c r="J14" s="11" t="s">
        <v>3312</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milscm_2023_009.sny_202310_backup_mt_icd10_s.koshin_kubun IS '更新区分';</v>
      </c>
    </row>
    <row r="15" spans="1:45" s="25" customFormat="1">
      <c r="A15" s="4"/>
      <c r="B15" s="21">
        <f t="shared" si="2"/>
        <v>3</v>
      </c>
      <c r="C15" s="6" t="s">
        <v>2657</v>
      </c>
      <c r="D15" s="6" t="s">
        <v>3367</v>
      </c>
      <c r="E15" s="8" t="s">
        <v>127</v>
      </c>
      <c r="F15" s="7" t="s">
        <v>317</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2664</v>
      </c>
      <c r="D16" s="6" t="s">
        <v>895</v>
      </c>
      <c r="E16" s="8"/>
      <c r="F16" s="7" t="s">
        <v>317</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2653</v>
      </c>
      <c r="D17" s="6" t="s">
        <v>3365</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2655</v>
      </c>
      <c r="D18" s="6" t="s">
        <v>3366</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3304</v>
      </c>
      <c r="D19" s="6" t="s">
        <v>3305</v>
      </c>
      <c r="E19" s="8"/>
      <c r="F19" s="7" t="s">
        <v>317</v>
      </c>
      <c r="G19" s="7" t="str">
        <f t="shared" ref="G19" si="7">IF(F19="フラグ","boolean",IF(F19="文字列","text",IF(F19="整数","integer",IF(F19="実数","numeric",""))))</f>
        <v>text</v>
      </c>
      <c r="H19" s="26"/>
      <c r="I19" s="10"/>
      <c r="J19" s="11" t="s">
        <v>3313</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milscm_2023_009.sny_202310_backup_mt_icd10_s.ikosaki IS '移行先';</v>
      </c>
    </row>
    <row r="20" spans="1:52" s="25" customFormat="1">
      <c r="A20" s="4"/>
      <c r="B20" s="21">
        <f t="shared" si="2"/>
        <v>8</v>
      </c>
      <c r="C20" s="6" t="s">
        <v>3306</v>
      </c>
      <c r="D20" s="6" t="s">
        <v>3307</v>
      </c>
      <c r="E20" s="8"/>
      <c r="F20" s="7" t="s">
        <v>317</v>
      </c>
      <c r="G20" s="7" t="str">
        <f t="shared" si="3"/>
        <v>text</v>
      </c>
      <c r="H20" s="26"/>
      <c r="I20" s="10" t="s">
        <v>127</v>
      </c>
      <c r="J20" s="11" t="s">
        <v>3314</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milscm_2023_009.sny_202310_backup_mt_icd10_s.nen IS '年';</v>
      </c>
    </row>
    <row r="21" spans="1:52" s="25" customFormat="1">
      <c r="A21" s="4"/>
      <c r="B21" s="21">
        <f t="shared" si="2"/>
        <v>9</v>
      </c>
      <c r="C21" s="6" t="s">
        <v>3308</v>
      </c>
      <c r="D21" s="6" t="s">
        <v>3309</v>
      </c>
      <c r="E21" s="8"/>
      <c r="F21" s="7" t="s">
        <v>317</v>
      </c>
      <c r="G21" s="7" t="str">
        <f t="shared" si="3"/>
        <v>text</v>
      </c>
      <c r="H21" s="26"/>
      <c r="I21" s="10" t="s">
        <v>127</v>
      </c>
      <c r="J21" s="11" t="s">
        <v>3315</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milscm_2023_009.sny_202310_backup_mt_icd10_s.nengetsu IS '年月';</v>
      </c>
    </row>
    <row r="22" spans="1:52" s="25" customFormat="1" ht="19.5" thickBot="1">
      <c r="A22" s="4"/>
      <c r="B22" s="27">
        <f>ROW()-12</f>
        <v>10</v>
      </c>
      <c r="C22" s="57" t="s">
        <v>3310</v>
      </c>
      <c r="D22" s="57" t="s">
        <v>1881</v>
      </c>
      <c r="E22" s="56"/>
      <c r="F22" s="56" t="s">
        <v>317</v>
      </c>
      <c r="G22" s="56" t="str">
        <f t="shared" si="3"/>
        <v>text</v>
      </c>
      <c r="H22" s="59"/>
      <c r="I22" s="60" t="s">
        <v>127</v>
      </c>
      <c r="J22" s="64" t="s">
        <v>2399</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ENT_01_A3-33</v>
      </c>
      <c r="E6" s="273"/>
      <c r="F6" s="273"/>
      <c r="G6" s="273"/>
      <c r="H6" s="273"/>
      <c r="I6" s="273"/>
      <c r="J6" s="274"/>
    </row>
    <row r="7" spans="1:45">
      <c r="B7" s="262" t="s">
        <v>115</v>
      </c>
      <c r="C7" s="263"/>
      <c r="D7" s="264" t="s">
        <v>3253</v>
      </c>
      <c r="E7" s="265"/>
      <c r="F7" s="265"/>
      <c r="G7" s="265"/>
      <c r="H7" s="265"/>
      <c r="I7" s="265"/>
      <c r="J7" s="266"/>
    </row>
    <row r="8" spans="1:45">
      <c r="B8" s="262" t="s">
        <v>116</v>
      </c>
      <c r="C8" s="263"/>
      <c r="D8" s="264" t="str">
        <f>エンティティ一覧!AE2&amp;"_"&amp;D5&amp;"_mt_icd10_ss"</f>
        <v>sny_202310_backup_mt_icd10_ss</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ICD10細分類マスタテーブルから組入れ条件の第一条件で絞り込んだ結果を格納するテーブル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milscm_2023_009.sny_202310_backup_mt_icd10_ss;</v>
      </c>
      <c r="O10" s="76"/>
      <c r="P10" s="76"/>
      <c r="Q10" s="76"/>
      <c r="R10" s="76"/>
      <c r="S10" s="76"/>
      <c r="T10" s="76"/>
      <c r="AJ10" s="76" t="str">
        <f>"ALTER TABLE ONLY "&amp;エンティティ一覧!$O$2&amp;"."&amp;D$8</f>
        <v>ALTER TABLE ONLY milscm_2023_009.sny_202310_backup_mt_icd10_ss</v>
      </c>
      <c r="AS10" s="76" t="str">
        <f>"ALTER TABLE "&amp;エンティティ一覧!$O$2&amp;"."&amp;D$8&amp;" OWNER TO pgmisgrp1;"</f>
        <v>ALTER TABLE milscm_2023_009.sny_202310_backup_mt_icd10_ss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milscm_2023_009.sny_202310_backup_mt_icd10_ss</v>
      </c>
      <c r="O11" s="76"/>
      <c r="P11" s="76"/>
      <c r="Q11" s="76"/>
      <c r="R11" s="76"/>
      <c r="S11" s="76"/>
      <c r="T11" s="76"/>
      <c r="AJ11" s="76" t="str">
        <f>"ADD CONSTRAINT "&amp;D$8&amp;"_pkey PRIMARY KEY"</f>
        <v>ADD CONSTRAINT sny_202310_backup_mt_icd10_ss_pkey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milscm_2023_009.sny_202310_backup_mt_icd10_ss IS 'バックアップ_ICD10細分類マスタ';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3287</v>
      </c>
      <c r="D14" s="6" t="s">
        <v>2047</v>
      </c>
      <c r="E14" s="8" t="s">
        <v>127</v>
      </c>
      <c r="F14" s="7" t="s">
        <v>317</v>
      </c>
      <c r="G14" s="7" t="str">
        <f t="shared" ref="G14:G23" si="3">IF(F14="フラグ","boolean",IF(F14="文字列","text",IF(F14="整数","integer",IF(F14="実数","numeric",""))))</f>
        <v>text</v>
      </c>
      <c r="H14" s="26"/>
      <c r="I14" s="10" t="s">
        <v>127</v>
      </c>
      <c r="J14" s="11" t="s">
        <v>3312</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2658</v>
      </c>
      <c r="D15" s="6" t="s">
        <v>3368</v>
      </c>
      <c r="E15" s="8" t="s">
        <v>127</v>
      </c>
      <c r="F15" s="7" t="s">
        <v>317</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2665</v>
      </c>
      <c r="D16" s="6" t="s">
        <v>2666</v>
      </c>
      <c r="E16" s="8"/>
      <c r="F16" s="7" t="s">
        <v>317</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2653</v>
      </c>
      <c r="D17" s="6" t="s">
        <v>3365</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2655</v>
      </c>
      <c r="D18" s="6" t="s">
        <v>3366</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2657</v>
      </c>
      <c r="D19" s="6" t="s">
        <v>3367</v>
      </c>
      <c r="E19" s="8"/>
      <c r="F19" s="7" t="s">
        <v>317</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3304</v>
      </c>
      <c r="D20" s="6" t="s">
        <v>3305</v>
      </c>
      <c r="E20" s="8"/>
      <c r="F20" s="7" t="s">
        <v>317</v>
      </c>
      <c r="G20" s="7" t="str">
        <f t="shared" si="3"/>
        <v>text</v>
      </c>
      <c r="H20" s="26"/>
      <c r="I20" s="10"/>
      <c r="J20" s="11" t="s">
        <v>3313</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milscm_2023_009.sny_202310_backup_mt_icd10_ss.ikosaki IS '移行先';</v>
      </c>
    </row>
    <row r="21" spans="1:52" s="25" customFormat="1">
      <c r="A21" s="4"/>
      <c r="B21" s="21">
        <f t="shared" si="2"/>
        <v>9</v>
      </c>
      <c r="C21" s="6" t="s">
        <v>3306</v>
      </c>
      <c r="D21" s="6" t="s">
        <v>3307</v>
      </c>
      <c r="E21" s="8"/>
      <c r="F21" s="7" t="s">
        <v>317</v>
      </c>
      <c r="G21" s="7" t="str">
        <f t="shared" si="3"/>
        <v>text</v>
      </c>
      <c r="H21" s="26"/>
      <c r="I21" s="10" t="s">
        <v>127</v>
      </c>
      <c r="J21" s="11" t="s">
        <v>3314</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milscm_2023_009.sny_202310_backup_mt_icd10_ss.nen IS '年';</v>
      </c>
    </row>
    <row r="22" spans="1:52" s="25" customFormat="1">
      <c r="A22" s="4"/>
      <c r="B22" s="21">
        <f t="shared" si="2"/>
        <v>10</v>
      </c>
      <c r="C22" s="6" t="s">
        <v>3308</v>
      </c>
      <c r="D22" s="6" t="s">
        <v>3309</v>
      </c>
      <c r="E22" s="8"/>
      <c r="F22" s="7" t="s">
        <v>317</v>
      </c>
      <c r="G22" s="7" t="str">
        <f t="shared" si="3"/>
        <v>text</v>
      </c>
      <c r="H22" s="26"/>
      <c r="I22" s="10" t="s">
        <v>127</v>
      </c>
      <c r="J22" s="11" t="s">
        <v>3315</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milscm_2023_009.sny_202310_backup_mt_icd10_ss.nengetsu IS '年月';</v>
      </c>
    </row>
    <row r="23" spans="1:52" s="25" customFormat="1" ht="19.5" thickBot="1">
      <c r="A23" s="4"/>
      <c r="B23" s="27">
        <f>ROW()-12</f>
        <v>11</v>
      </c>
      <c r="C23" s="57" t="s">
        <v>3310</v>
      </c>
      <c r="D23" s="57" t="s">
        <v>1881</v>
      </c>
      <c r="E23" s="56"/>
      <c r="F23" s="56" t="s">
        <v>317</v>
      </c>
      <c r="G23" s="56" t="str">
        <f t="shared" si="3"/>
        <v>text</v>
      </c>
      <c r="H23" s="59"/>
      <c r="I23" s="60" t="s">
        <v>127</v>
      </c>
      <c r="J23" s="64" t="s">
        <v>2399</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ENT_01_A3-34</v>
      </c>
      <c r="E6" s="273"/>
      <c r="F6" s="273"/>
      <c r="G6" s="273"/>
      <c r="H6" s="273"/>
      <c r="I6" s="273"/>
      <c r="J6" s="274"/>
    </row>
    <row r="7" spans="1:45">
      <c r="B7" s="262" t="s">
        <v>115</v>
      </c>
      <c r="C7" s="263"/>
      <c r="D7" s="264" t="s">
        <v>3254</v>
      </c>
      <c r="E7" s="265"/>
      <c r="F7" s="265"/>
      <c r="G7" s="265"/>
      <c r="H7" s="265"/>
      <c r="I7" s="265"/>
      <c r="J7" s="266"/>
    </row>
    <row r="8" spans="1:45">
      <c r="B8" s="262" t="s">
        <v>116</v>
      </c>
      <c r="C8" s="263"/>
      <c r="D8" s="264" t="str">
        <f>エンティティ一覧!AE2&amp;"_"&amp;D5&amp;"_mt_dpc2"</f>
        <v>sny_202310_backup_mt_dpc2</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DPC2桁マスタテーブルから組入れ条件の第一条件で絞り込んだ結果を格納するテーブル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milscm_2023_009.sny_202310_backup_mt_dpc2;</v>
      </c>
      <c r="O10" s="76"/>
      <c r="P10" s="76"/>
      <c r="Q10" s="76"/>
      <c r="R10" s="76"/>
      <c r="S10" s="76"/>
      <c r="T10" s="76"/>
      <c r="AJ10" s="76" t="str">
        <f>"ALTER TABLE ONLY "&amp;エンティティ一覧!$O$2&amp;"."&amp;D$8</f>
        <v>ALTER TABLE ONLY milscm_2023_009.sny_202310_backup_mt_dpc2</v>
      </c>
      <c r="AS10" s="76" t="str">
        <f>"ALTER TABLE "&amp;エンティティ一覧!$O$2&amp;"."&amp;D$8&amp;" OWNER TO pgmisgrp1;"</f>
        <v>ALTER TABLE milscm_2023_009.sny_202310_backup_mt_dpc2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milscm_2023_009.sny_202310_backup_mt_dpc2</v>
      </c>
      <c r="O11" s="76"/>
      <c r="P11" s="76"/>
      <c r="Q11" s="76"/>
      <c r="R11" s="76"/>
      <c r="S11" s="76"/>
      <c r="T11" s="76"/>
      <c r="AJ11" s="76" t="str">
        <f>"ADD CONSTRAINT "&amp;D$8&amp;"_pkey PRIMARY KEY"</f>
        <v>ADD CONSTRAINT sny_202310_backup_mt_dpc2_pkey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milscm_2023_009.sny_202310_backup_mt_dpc2 IS 'バックアップ_DPC2桁マスタ';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3369</v>
      </c>
      <c r="D14" s="6" t="s">
        <v>1927</v>
      </c>
      <c r="E14" s="8"/>
      <c r="F14" s="7" t="s">
        <v>317</v>
      </c>
      <c r="G14" s="7" t="str">
        <f t="shared" ref="G14:G20" si="3">IF(F14="フラグ","boolean",IF(F14="文字列","text",IF(F14="整数","integer",IF(F14="実数","numeric",""))))</f>
        <v>text</v>
      </c>
      <c r="H14" s="26"/>
      <c r="I14" s="10" t="s">
        <v>127</v>
      </c>
      <c r="J14" s="11" t="s">
        <v>3312</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milscm_2023_009.sny_202310_backup_mt_dpc2.henkou_kubun IS '変更区分';</v>
      </c>
    </row>
    <row r="15" spans="1:45" s="25" customFormat="1">
      <c r="A15" s="4"/>
      <c r="B15" s="21">
        <f t="shared" si="2"/>
        <v>3</v>
      </c>
      <c r="C15" s="6" t="s">
        <v>1928</v>
      </c>
      <c r="D15" s="6" t="s">
        <v>3370</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milscm_2023_009.sny_202310_backup_mt_dpc2.dpc2_code IS 'DPCコード2桁';</v>
      </c>
    </row>
    <row r="16" spans="1:45" s="25" customFormat="1">
      <c r="A16" s="4"/>
      <c r="B16" s="21">
        <f t="shared" si="2"/>
        <v>4</v>
      </c>
      <c r="C16" s="6" t="s">
        <v>2642</v>
      </c>
      <c r="D16" s="6" t="s">
        <v>2643</v>
      </c>
      <c r="E16" s="8"/>
      <c r="F16" s="7" t="s">
        <v>317</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milscm_2023_009.sny_202310_backup_mt_dpc2.dpc2_name IS 'DPC2桁名';</v>
      </c>
    </row>
    <row r="17" spans="1:52" s="25" customFormat="1">
      <c r="A17" s="4"/>
      <c r="B17" s="21">
        <f t="shared" si="2"/>
        <v>5</v>
      </c>
      <c r="C17" s="6" t="s">
        <v>3304</v>
      </c>
      <c r="D17" s="6" t="s">
        <v>3305</v>
      </c>
      <c r="E17" s="8"/>
      <c r="F17" s="7" t="s">
        <v>317</v>
      </c>
      <c r="G17" s="7" t="str">
        <f t="shared" si="3"/>
        <v>text</v>
      </c>
      <c r="H17" s="26"/>
      <c r="I17" s="10"/>
      <c r="J17" s="11" t="s">
        <v>3313</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milscm_2023_009.sny_202310_backup_mt_dpc2.ikosaki IS '移行先';</v>
      </c>
    </row>
    <row r="18" spans="1:52" s="25" customFormat="1">
      <c r="A18" s="4"/>
      <c r="B18" s="21">
        <f t="shared" si="2"/>
        <v>6</v>
      </c>
      <c r="C18" s="6" t="s">
        <v>3306</v>
      </c>
      <c r="D18" s="6" t="s">
        <v>3307</v>
      </c>
      <c r="E18" s="8"/>
      <c r="F18" s="7" t="s">
        <v>317</v>
      </c>
      <c r="G18" s="7" t="str">
        <f t="shared" si="3"/>
        <v>text</v>
      </c>
      <c r="H18" s="26"/>
      <c r="I18" s="10" t="s">
        <v>127</v>
      </c>
      <c r="J18" s="11" t="s">
        <v>3314</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milscm_2023_009.sny_202310_backup_mt_dpc2.nen IS '年';</v>
      </c>
    </row>
    <row r="19" spans="1:52" s="25" customFormat="1">
      <c r="A19" s="4"/>
      <c r="B19" s="21">
        <f t="shared" si="2"/>
        <v>7</v>
      </c>
      <c r="C19" s="6" t="s">
        <v>3308</v>
      </c>
      <c r="D19" s="6" t="s">
        <v>3309</v>
      </c>
      <c r="E19" s="8"/>
      <c r="F19" s="7" t="s">
        <v>317</v>
      </c>
      <c r="G19" s="7" t="str">
        <f t="shared" si="3"/>
        <v>text</v>
      </c>
      <c r="H19" s="26"/>
      <c r="I19" s="10" t="s">
        <v>127</v>
      </c>
      <c r="J19" s="11" t="s">
        <v>3315</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milscm_2023_009.sny_202310_backup_mt_dpc2.nengetsu IS '年月';</v>
      </c>
    </row>
    <row r="20" spans="1:52" s="25" customFormat="1" ht="19.5" thickBot="1">
      <c r="A20" s="4"/>
      <c r="B20" s="27">
        <f>ROW()-12</f>
        <v>8</v>
      </c>
      <c r="C20" s="57" t="s">
        <v>3310</v>
      </c>
      <c r="D20" s="57" t="s">
        <v>1881</v>
      </c>
      <c r="E20" s="56"/>
      <c r="F20" s="56" t="s">
        <v>317</v>
      </c>
      <c r="G20" s="56" t="str">
        <f t="shared" si="3"/>
        <v>text</v>
      </c>
      <c r="H20" s="59"/>
      <c r="I20" s="60" t="s">
        <v>127</v>
      </c>
      <c r="J20" s="64" t="s">
        <v>2399</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ENT_01_A3-35</v>
      </c>
      <c r="E6" s="273"/>
      <c r="F6" s="273"/>
      <c r="G6" s="273"/>
      <c r="H6" s="273"/>
      <c r="I6" s="273"/>
      <c r="J6" s="274"/>
    </row>
    <row r="7" spans="1:45">
      <c r="B7" s="262" t="s">
        <v>115</v>
      </c>
      <c r="C7" s="263"/>
      <c r="D7" s="264" t="s">
        <v>3371</v>
      </c>
      <c r="E7" s="265"/>
      <c r="F7" s="265"/>
      <c r="G7" s="265"/>
      <c r="H7" s="265"/>
      <c r="I7" s="265"/>
      <c r="J7" s="266"/>
    </row>
    <row r="8" spans="1:45">
      <c r="B8" s="262" t="s">
        <v>116</v>
      </c>
      <c r="C8" s="263"/>
      <c r="D8" s="264" t="str">
        <f>エンティティ一覧!AE2&amp;"_"&amp;D5&amp;"_mt_dpc6"</f>
        <v>sny_202310_backup_mt_dpc6</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DPC6桁マスタテーブルから組入れ条件の第一条件で絞り込んだ結果を格納するテーブル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milscm_2023_009.sny_202310_backup_mt_dpc6;</v>
      </c>
      <c r="O10" s="76"/>
      <c r="P10" s="76"/>
      <c r="Q10" s="76"/>
      <c r="R10" s="76"/>
      <c r="S10" s="76"/>
      <c r="T10" s="76"/>
      <c r="AJ10" s="76" t="str">
        <f>"ALTER TABLE ONLY "&amp;エンティティ一覧!$O$2&amp;"."&amp;D$8</f>
        <v>ALTER TABLE ONLY milscm_2023_009.sny_202310_backup_mt_dpc6</v>
      </c>
      <c r="AS10" s="76" t="str">
        <f>"ALTER TABLE "&amp;エンティティ一覧!$O$2&amp;"."&amp;D$8&amp;" OWNER TO pgmisgrp1;"</f>
        <v>ALTER TABLE milscm_2023_009.sny_202310_backup_mt_dpc6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milscm_2023_009.sny_202310_backup_mt_dpc6</v>
      </c>
      <c r="O11" s="76"/>
      <c r="P11" s="76"/>
      <c r="Q11" s="76"/>
      <c r="R11" s="76"/>
      <c r="S11" s="76"/>
      <c r="T11" s="76"/>
      <c r="AJ11" s="76" t="str">
        <f>"ADD CONSTRAINT "&amp;D$8&amp;"_pkey PRIMARY KEY"</f>
        <v>ADD CONSTRAINT sny_202310_backup_mt_dpc6_pkey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 IS 'バックアップ_DPC6桁マスタ';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3369</v>
      </c>
      <c r="D14" s="6" t="s">
        <v>1927</v>
      </c>
      <c r="E14" s="8"/>
      <c r="F14" s="7" t="s">
        <v>317</v>
      </c>
      <c r="G14" s="7" t="str">
        <f t="shared" ref="G14:G21" si="3">IF(F14="フラグ","boolean",IF(F14="文字列","text",IF(F14="整数","integer",IF(F14="実数","numeric",""))))</f>
        <v>text</v>
      </c>
      <c r="H14" s="26"/>
      <c r="I14" s="10" t="s">
        <v>127</v>
      </c>
      <c r="J14" s="11" t="s">
        <v>3312</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milscm_2023_009.sny_202310_backup_mt_dpc6.henkou_kubun IS '変更区分';</v>
      </c>
    </row>
    <row r="15" spans="1:45" s="25" customFormat="1">
      <c r="A15" s="4"/>
      <c r="B15" s="21">
        <f t="shared" si="2"/>
        <v>3</v>
      </c>
      <c r="C15" s="6" t="s">
        <v>1928</v>
      </c>
      <c r="D15" s="6" t="s">
        <v>3370</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milscm_2023_009.sny_202310_backup_mt_dpc6.dpc2_code IS 'DPCコード2桁';</v>
      </c>
    </row>
    <row r="16" spans="1:45" s="25" customFormat="1">
      <c r="A16" s="4"/>
      <c r="B16" s="21">
        <f t="shared" si="2"/>
        <v>4</v>
      </c>
      <c r="C16" s="6" t="s">
        <v>3372</v>
      </c>
      <c r="D16" s="6" t="s">
        <v>3373</v>
      </c>
      <c r="E16" s="8" t="s">
        <v>127</v>
      </c>
      <c r="F16" s="7" t="s">
        <v>317</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milscm_2023_009.sny_202310_backup_mt_dpc6.dpc4_code IS 'DPCコード4桁';</v>
      </c>
    </row>
    <row r="17" spans="1:52" s="25" customFormat="1">
      <c r="A17" s="4"/>
      <c r="B17" s="21">
        <f t="shared" si="2"/>
        <v>5</v>
      </c>
      <c r="C17" s="6" t="s">
        <v>2644</v>
      </c>
      <c r="D17" s="6" t="s">
        <v>2645</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milscm_2023_009.sny_202310_backup_mt_dpc6.dpc6_name IS 'DPC6桁名';</v>
      </c>
    </row>
    <row r="18" spans="1:52" s="25" customFormat="1">
      <c r="A18" s="4"/>
      <c r="B18" s="21">
        <f t="shared" si="2"/>
        <v>6</v>
      </c>
      <c r="C18" s="6" t="s">
        <v>3304</v>
      </c>
      <c r="D18" s="6" t="s">
        <v>3305</v>
      </c>
      <c r="E18" s="8"/>
      <c r="F18" s="7" t="s">
        <v>317</v>
      </c>
      <c r="G18" s="7" t="str">
        <f t="shared" si="3"/>
        <v>text</v>
      </c>
      <c r="H18" s="26"/>
      <c r="I18" s="10"/>
      <c r="J18" s="11" t="s">
        <v>3313</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milscm_2023_009.sny_202310_backup_mt_dpc6.ikosaki IS '移行先';</v>
      </c>
    </row>
    <row r="19" spans="1:52" s="25" customFormat="1">
      <c r="A19" s="4"/>
      <c r="B19" s="21">
        <f t="shared" si="2"/>
        <v>7</v>
      </c>
      <c r="C19" s="6" t="s">
        <v>3306</v>
      </c>
      <c r="D19" s="6" t="s">
        <v>3307</v>
      </c>
      <c r="E19" s="8"/>
      <c r="F19" s="7" t="s">
        <v>317</v>
      </c>
      <c r="G19" s="7" t="str">
        <f t="shared" si="3"/>
        <v>text</v>
      </c>
      <c r="H19" s="26"/>
      <c r="I19" s="10" t="s">
        <v>127</v>
      </c>
      <c r="J19" s="11" t="s">
        <v>3314</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milscm_2023_009.sny_202310_backup_mt_dpc6.nen IS '年';</v>
      </c>
    </row>
    <row r="20" spans="1:52" s="25" customFormat="1">
      <c r="A20" s="4"/>
      <c r="B20" s="21">
        <f t="shared" si="2"/>
        <v>8</v>
      </c>
      <c r="C20" s="6" t="s">
        <v>3308</v>
      </c>
      <c r="D20" s="6" t="s">
        <v>3309</v>
      </c>
      <c r="E20" s="8"/>
      <c r="F20" s="7" t="s">
        <v>317</v>
      </c>
      <c r="G20" s="7" t="str">
        <f t="shared" si="3"/>
        <v>text</v>
      </c>
      <c r="H20" s="26"/>
      <c r="I20" s="10" t="s">
        <v>127</v>
      </c>
      <c r="J20" s="11" t="s">
        <v>3315</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milscm_2023_009.sny_202310_backup_mt_dpc6.nengetsu IS '年月';</v>
      </c>
    </row>
    <row r="21" spans="1:52" s="25" customFormat="1" ht="19.5" thickBot="1">
      <c r="A21" s="4"/>
      <c r="B21" s="27">
        <f>ROW()-12</f>
        <v>9</v>
      </c>
      <c r="C21" s="57" t="s">
        <v>3310</v>
      </c>
      <c r="D21" s="57" t="s">
        <v>1881</v>
      </c>
      <c r="E21" s="56"/>
      <c r="F21" s="56" t="s">
        <v>317</v>
      </c>
      <c r="G21" s="56" t="str">
        <f t="shared" si="3"/>
        <v>text</v>
      </c>
      <c r="H21" s="59"/>
      <c r="I21" s="60" t="s">
        <v>127</v>
      </c>
      <c r="J21" s="64" t="s">
        <v>2399</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ENT_01_A3-36</v>
      </c>
      <c r="E6" s="273"/>
      <c r="F6" s="273"/>
      <c r="G6" s="273"/>
      <c r="H6" s="273"/>
      <c r="I6" s="273"/>
      <c r="J6" s="274"/>
    </row>
    <row r="7" spans="1:45">
      <c r="B7" s="262" t="s">
        <v>115</v>
      </c>
      <c r="C7" s="263"/>
      <c r="D7" s="264" t="s">
        <v>3374</v>
      </c>
      <c r="E7" s="265"/>
      <c r="F7" s="265"/>
      <c r="G7" s="265"/>
      <c r="H7" s="265"/>
      <c r="I7" s="265"/>
      <c r="J7" s="266"/>
    </row>
    <row r="8" spans="1:45">
      <c r="B8" s="262" t="s">
        <v>116</v>
      </c>
      <c r="C8" s="263"/>
      <c r="D8" s="264" t="str">
        <f>エンティティ一覧!AE2&amp;"_"&amp;D5&amp;"_mt_postal"</f>
        <v>sny_202310_backup_mt_postal</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郵便番号マスタテーブルから組入れ条件の第一条件で絞り込んだ結果を格納するテーブル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milscm_2023_009.sny_202310_backup_mt_postal;</v>
      </c>
      <c r="O10" s="76"/>
      <c r="P10" s="76"/>
      <c r="Q10" s="76"/>
      <c r="R10" s="76"/>
      <c r="S10" s="76"/>
      <c r="T10" s="76"/>
      <c r="AJ10" s="76" t="str">
        <f>"ALTER TABLE ONLY "&amp;エンティティ一覧!$O$2&amp;"."&amp;D$8</f>
        <v>ALTER TABLE ONLY milscm_2023_009.sny_202310_backup_mt_postal</v>
      </c>
      <c r="AS10" s="76" t="str">
        <f>"ALTER TABLE "&amp;エンティティ一覧!$O$2&amp;"."&amp;D$8&amp;" OWNER TO pgmisgrp1;"</f>
        <v>ALTER TABLE milscm_2023_009.sny_202310_backup_mt_postal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milscm_2023_009.sny_202310_backup_mt_postal</v>
      </c>
      <c r="O11" s="76"/>
      <c r="P11" s="76"/>
      <c r="Q11" s="76"/>
      <c r="R11" s="76"/>
      <c r="S11" s="76"/>
      <c r="T11" s="76"/>
      <c r="AJ11" s="76" t="str">
        <f>"ADD CONSTRAINT "&amp;D$8&amp;"_pkey PRIMARY KEY"</f>
        <v>ADD CONSTRAINT sny_202310_backup_mt_postal_pkey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milscm_2023_009.sny_202310_backup_mt_postal IS 'バックアップ_郵便番号マスタ';</v>
      </c>
    </row>
    <row r="13" spans="1:45" s="25" customFormat="1">
      <c r="A13" s="4"/>
      <c r="B13" s="21">
        <f>ROW()-12</f>
        <v>1</v>
      </c>
      <c r="C13" s="6" t="s">
        <v>3285</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3287</v>
      </c>
      <c r="D14" s="6" t="s">
        <v>2047</v>
      </c>
      <c r="E14" s="8" t="s">
        <v>127</v>
      </c>
      <c r="F14" s="7" t="s">
        <v>317</v>
      </c>
      <c r="G14" s="7" t="str">
        <f t="shared" ref="G14:G32" si="3">IF(F14="フラグ","boolean",IF(F14="文字列","text",IF(F14="整数","integer",IF(F14="実数","numeric",""))))</f>
        <v>text</v>
      </c>
      <c r="H14" s="26"/>
      <c r="I14" s="10" t="s">
        <v>127</v>
      </c>
      <c r="J14" s="11" t="s">
        <v>3312</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milscm_2023_009.sny_202310_backup_mt_postal.koshin_kubun IS '更新区分';</v>
      </c>
    </row>
    <row r="15" spans="1:45" s="25" customFormat="1">
      <c r="A15" s="4"/>
      <c r="B15" s="21">
        <f t="shared" si="2"/>
        <v>3</v>
      </c>
      <c r="C15" s="6" t="s">
        <v>3067</v>
      </c>
      <c r="D15" s="6" t="s">
        <v>3375</v>
      </c>
      <c r="E15" s="8" t="s">
        <v>127</v>
      </c>
      <c r="F15" s="7" t="s">
        <v>317</v>
      </c>
      <c r="G15" s="7" t="str">
        <f t="shared" si="3"/>
        <v>text</v>
      </c>
      <c r="H15" s="26"/>
      <c r="I15" s="10" t="s">
        <v>127</v>
      </c>
      <c r="J15" s="11" t="s">
        <v>3393</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milscm_2023_009.sny_202310_backup_mt_postal.postal_code IS '郵便番号';</v>
      </c>
    </row>
    <row r="16" spans="1:45" s="25" customFormat="1">
      <c r="A16" s="4"/>
      <c r="B16" s="21">
        <f t="shared" si="2"/>
        <v>4</v>
      </c>
      <c r="C16" s="6" t="s">
        <v>1896</v>
      </c>
      <c r="D16" s="6" t="s">
        <v>3376</v>
      </c>
      <c r="E16" s="8" t="s">
        <v>127</v>
      </c>
      <c r="F16" s="7" t="s">
        <v>317</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1899</v>
      </c>
      <c r="D17" s="6" t="s">
        <v>1900</v>
      </c>
      <c r="E17" s="8" t="s">
        <v>127</v>
      </c>
      <c r="F17" s="7" t="s">
        <v>317</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3377</v>
      </c>
      <c r="D18" s="6" t="s">
        <v>3378</v>
      </c>
      <c r="E18" s="8"/>
      <c r="F18" s="7" t="s">
        <v>317</v>
      </c>
      <c r="G18" s="7" t="str">
        <f t="shared" ref="G18:G28" si="7">IF(F18="フラグ","boolean",IF(F18="文字列","text",IF(F18="整数","integer",IF(F18="実数","numeric",""))))</f>
        <v>text</v>
      </c>
      <c r="H18" s="26"/>
      <c r="I18" s="10" t="s">
        <v>127</v>
      </c>
      <c r="J18" s="11" t="s">
        <v>3394</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milscm_2023_009.sny_202310_backup_mt_postal.town_code IS '町域コード';</v>
      </c>
    </row>
    <row r="19" spans="1:45" s="25" customFormat="1">
      <c r="A19" s="4"/>
      <c r="B19" s="21">
        <f t="shared" si="2"/>
        <v>7</v>
      </c>
      <c r="C19" s="6" t="s">
        <v>916</v>
      </c>
      <c r="D19" s="6" t="s">
        <v>917</v>
      </c>
      <c r="E19" s="8"/>
      <c r="F19" s="7" t="s">
        <v>317</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milscm_2023_009.sny_202310_backup_mt_postal.prefecture IS '都道府県';</v>
      </c>
    </row>
    <row r="20" spans="1:45" s="25" customFormat="1">
      <c r="A20" s="4"/>
      <c r="B20" s="21">
        <f t="shared" si="2"/>
        <v>8</v>
      </c>
      <c r="C20" s="6" t="s">
        <v>3379</v>
      </c>
      <c r="D20" s="6" t="s">
        <v>3380</v>
      </c>
      <c r="E20" s="8"/>
      <c r="F20" s="7" t="s">
        <v>317</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1901</v>
      </c>
      <c r="D21" s="6" t="s">
        <v>1902</v>
      </c>
      <c r="E21" s="8"/>
      <c r="F21" s="7" t="s">
        <v>317</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milscm_2023_009.sny_202310_backup_mt_postal.city IS '市区町村';</v>
      </c>
    </row>
    <row r="22" spans="1:45" s="25" customFormat="1">
      <c r="A22" s="4"/>
      <c r="B22" s="21">
        <f t="shared" si="2"/>
        <v>10</v>
      </c>
      <c r="C22" s="6" t="s">
        <v>3381</v>
      </c>
      <c r="D22" s="6" t="s">
        <v>3382</v>
      </c>
      <c r="E22" s="8"/>
      <c r="F22" s="7" t="s">
        <v>317</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3383</v>
      </c>
      <c r="D23" s="6" t="s">
        <v>3064</v>
      </c>
      <c r="E23" s="8"/>
      <c r="F23" s="7" t="s">
        <v>317</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milscm_2023_009.sny_202310_backup_mt_postal.town IS '町域';</v>
      </c>
    </row>
    <row r="24" spans="1:45" s="25" customFormat="1">
      <c r="A24" s="4"/>
      <c r="B24" s="21">
        <f t="shared" si="2"/>
        <v>12</v>
      </c>
      <c r="C24" s="6" t="s">
        <v>3384</v>
      </c>
      <c r="D24" s="6" t="s">
        <v>3385</v>
      </c>
      <c r="E24" s="8"/>
      <c r="F24" s="7" t="s">
        <v>317</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milscm_2023_009.sny_202310_backup_mt_postal.town_kana IS '町域カナ';</v>
      </c>
    </row>
    <row r="25" spans="1:45" s="25" customFormat="1">
      <c r="A25" s="4"/>
      <c r="B25" s="21">
        <f t="shared" si="2"/>
        <v>13</v>
      </c>
      <c r="C25" s="6" t="s">
        <v>3386</v>
      </c>
      <c r="D25" s="6" t="s">
        <v>3387</v>
      </c>
      <c r="E25" s="8"/>
      <c r="F25" s="7" t="s">
        <v>317</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milscm_2023_009.sny_202310_backup_mt_postal.town_hosoku IS '町域補足';</v>
      </c>
    </row>
    <row r="26" spans="1:45" s="25" customFormat="1">
      <c r="A26" s="4"/>
      <c r="B26" s="21">
        <f t="shared" si="2"/>
        <v>14</v>
      </c>
      <c r="C26" s="6" t="s">
        <v>3388</v>
      </c>
      <c r="D26" s="6" t="s">
        <v>3389</v>
      </c>
      <c r="E26" s="8"/>
      <c r="F26" s="7" t="s">
        <v>317</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3390</v>
      </c>
      <c r="D27" s="6" t="s">
        <v>3066</v>
      </c>
      <c r="E27" s="8"/>
      <c r="F27" s="7" t="s">
        <v>317</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milscm_2023_009.sny_202310_backup_mt_postal.home_number IS '字丁目';</v>
      </c>
    </row>
    <row r="28" spans="1:45" s="25" customFormat="1">
      <c r="A28" s="4"/>
      <c r="B28" s="21">
        <f t="shared" si="2"/>
        <v>16</v>
      </c>
      <c r="C28" s="6" t="s">
        <v>3391</v>
      </c>
      <c r="D28" s="6" t="s">
        <v>3392</v>
      </c>
      <c r="E28" s="8"/>
      <c r="F28" s="7" t="s">
        <v>317</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milscm_2023_009.sny_202310_backup_mt_postal.home_number_kana IS '字丁目カナ';</v>
      </c>
    </row>
    <row r="29" spans="1:45" s="25" customFormat="1" ht="37.5">
      <c r="A29" s="4"/>
      <c r="B29" s="21">
        <f t="shared" si="2"/>
        <v>17</v>
      </c>
      <c r="C29" s="6" t="s">
        <v>3304</v>
      </c>
      <c r="D29" s="6" t="s">
        <v>3305</v>
      </c>
      <c r="E29" s="8"/>
      <c r="F29" s="7" t="s">
        <v>317</v>
      </c>
      <c r="G29" s="7" t="str">
        <f t="shared" si="3"/>
        <v>text</v>
      </c>
      <c r="H29" s="26"/>
      <c r="I29" s="10"/>
      <c r="J29" s="11" t="s">
        <v>3395</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milscm_2023_009.sny_202310_backup_mt_postal.ikosaki IS '移行先';</v>
      </c>
    </row>
    <row r="30" spans="1:45" s="25" customFormat="1">
      <c r="A30" s="4"/>
      <c r="B30" s="21">
        <f t="shared" si="2"/>
        <v>18</v>
      </c>
      <c r="C30" s="6" t="s">
        <v>3306</v>
      </c>
      <c r="D30" s="6" t="s">
        <v>3307</v>
      </c>
      <c r="E30" s="8"/>
      <c r="F30" s="7" t="s">
        <v>317</v>
      </c>
      <c r="G30" s="7" t="str">
        <f t="shared" si="3"/>
        <v>text</v>
      </c>
      <c r="H30" s="26"/>
      <c r="I30" s="10" t="s">
        <v>127</v>
      </c>
      <c r="J30" s="11" t="s">
        <v>3314</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milscm_2023_009.sny_202310_backup_mt_postal.nen IS '年';</v>
      </c>
    </row>
    <row r="31" spans="1:45" s="25" customFormat="1">
      <c r="A31" s="4"/>
      <c r="B31" s="21">
        <f t="shared" si="2"/>
        <v>19</v>
      </c>
      <c r="C31" s="6" t="s">
        <v>3308</v>
      </c>
      <c r="D31" s="6" t="s">
        <v>3309</v>
      </c>
      <c r="E31" s="8"/>
      <c r="F31" s="7" t="s">
        <v>317</v>
      </c>
      <c r="G31" s="7" t="str">
        <f t="shared" si="3"/>
        <v>text</v>
      </c>
      <c r="H31" s="26"/>
      <c r="I31" s="10" t="s">
        <v>127</v>
      </c>
      <c r="J31" s="11" t="s">
        <v>3315</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milscm_2023_009.sny_202310_backup_mt_postal.nengetsu IS '年月';</v>
      </c>
    </row>
    <row r="32" spans="1:45" s="25" customFormat="1" ht="19.5" thickBot="1">
      <c r="A32" s="4"/>
      <c r="B32" s="27">
        <f>ROW()-12</f>
        <v>20</v>
      </c>
      <c r="C32" s="57" t="s">
        <v>3310</v>
      </c>
      <c r="D32" s="57" t="s">
        <v>1881</v>
      </c>
      <c r="E32" s="56"/>
      <c r="F32" s="56" t="s">
        <v>317</v>
      </c>
      <c r="G32" s="56" t="str">
        <f t="shared" si="3"/>
        <v>text</v>
      </c>
      <c r="H32" s="59"/>
      <c r="I32" s="60" t="s">
        <v>127</v>
      </c>
      <c r="J32" s="64" t="s">
        <v>2399</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ENT_01_A3-37</v>
      </c>
      <c r="E6" s="273"/>
      <c r="F6" s="273"/>
      <c r="G6" s="273"/>
      <c r="H6" s="273"/>
      <c r="I6" s="273"/>
      <c r="J6" s="274"/>
    </row>
    <row r="7" spans="1:45">
      <c r="B7" s="262" t="s">
        <v>115</v>
      </c>
      <c r="C7" s="263"/>
      <c r="D7" s="264" t="s">
        <v>3396</v>
      </c>
      <c r="E7" s="265"/>
      <c r="F7" s="265"/>
      <c r="G7" s="265"/>
      <c r="H7" s="265"/>
      <c r="I7" s="265"/>
      <c r="J7" s="266"/>
    </row>
    <row r="8" spans="1:45">
      <c r="B8" s="262" t="s">
        <v>116</v>
      </c>
      <c r="C8" s="263"/>
      <c r="D8" s="264" t="str">
        <f>エンティティ一覧!AE2&amp;"_"&amp;D5&amp;"_mt_tokutei_kizai"</f>
        <v>sny_202310_backup_mt_tokutei_kizai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特定機材マスタテーブルから組入れ条件の第一条件で絞り込んだ結果を格納するテーブル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milscm_2023_009.sny_202310_backup_mt_tokutei_kizai;</v>
      </c>
      <c r="O10" s="76"/>
      <c r="P10" s="76"/>
      <c r="Q10" s="76"/>
      <c r="R10" s="76"/>
      <c r="S10" s="76"/>
      <c r="T10" s="76"/>
      <c r="AJ10" s="76" t="str">
        <f>"ALTER TABLE ONLY "&amp;エンティティ一覧!$O$2&amp;"."&amp;D$8</f>
        <v>ALTER TABLE ONLY milscm_2023_009.sny_202310_backup_mt_tokutei_kizai</v>
      </c>
      <c r="AS10" s="76" t="str">
        <f>"ALTER TABLE "&amp;エンティティ一覧!$O$2&amp;"."&amp;D$8&amp;" OWNER TO pgmisgrp1;"</f>
        <v>ALTER TABLE milscm_2023_009.sny_202310_backup_mt_tokutei_kizai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milscm_2023_009.sny_202310_backup_mt_tokutei_kizai</v>
      </c>
      <c r="O11" s="76"/>
      <c r="P11" s="76"/>
      <c r="Q11" s="76"/>
      <c r="R11" s="76"/>
      <c r="S11" s="76"/>
      <c r="T11" s="76"/>
      <c r="AJ11" s="76" t="str">
        <f>"ADD CONSTRAINT "&amp;D$8&amp;"_pkey PRIMARY KEY"</f>
        <v>ADD CONSTRAINT sny_202310_backup_mt_tokutei_kizai_pkey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3397</v>
      </c>
      <c r="D13" s="6" t="s">
        <v>3286</v>
      </c>
      <c r="E13" s="8" t="s">
        <v>127</v>
      </c>
      <c r="F13" s="8" t="s">
        <v>317</v>
      </c>
      <c r="G13" s="7" t="str">
        <f>IF(F13="フラグ","boolean",IF(F13="文字列","text",IF(F13="整数","integer",IF(F13="実数","numeric",""))))</f>
        <v>text</v>
      </c>
      <c r="H13" s="9"/>
      <c r="I13" s="10" t="s">
        <v>127</v>
      </c>
      <c r="J13" s="11" t="s">
        <v>3311</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3287</v>
      </c>
      <c r="D14" s="6" t="s">
        <v>2047</v>
      </c>
      <c r="E14" s="8" t="s">
        <v>127</v>
      </c>
      <c r="F14" s="7" t="s">
        <v>317</v>
      </c>
      <c r="G14" s="7" t="str">
        <f t="shared" ref="G14:G21" si="3">IF(F14="フラグ","boolean",IF(F14="文字列","text",IF(F14="整数","integer",IF(F14="実数","numeric",""))))</f>
        <v>text</v>
      </c>
      <c r="H14" s="26"/>
      <c r="I14" s="10" t="s">
        <v>127</v>
      </c>
      <c r="J14" s="11" t="s">
        <v>3400</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2630</v>
      </c>
      <c r="D15" s="6" t="s">
        <v>2631</v>
      </c>
      <c r="E15" s="8" t="s">
        <v>127</v>
      </c>
      <c r="F15" s="7" t="s">
        <v>317</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2632</v>
      </c>
      <c r="D16" s="6" t="s">
        <v>2633</v>
      </c>
      <c r="E16" s="8"/>
      <c r="F16" s="7" t="s">
        <v>317</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1651</v>
      </c>
      <c r="D17" s="6" t="s">
        <v>2634</v>
      </c>
      <c r="E17" s="8"/>
      <c r="F17" s="7" t="s">
        <v>317</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milscm_2023_009.sny_202310_backup_mt_tokutei_kizai.tokutei_kizai_tani IS '単位';</v>
      </c>
    </row>
    <row r="18" spans="1:52" s="25" customFormat="1" ht="37.5">
      <c r="A18" s="4"/>
      <c r="B18" s="21">
        <f t="shared" si="2"/>
        <v>6</v>
      </c>
      <c r="C18" s="6" t="s">
        <v>2635</v>
      </c>
      <c r="D18" s="6" t="s">
        <v>3398</v>
      </c>
      <c r="E18" s="8"/>
      <c r="F18" s="7" t="s">
        <v>332</v>
      </c>
      <c r="G18" s="7" t="str">
        <f t="shared" si="3"/>
        <v>numeric</v>
      </c>
      <c r="H18" s="26"/>
      <c r="I18" s="10" t="s">
        <v>127</v>
      </c>
      <c r="J18" s="11" t="s">
        <v>2395</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3399</v>
      </c>
      <c r="D19" s="6" t="s">
        <v>3307</v>
      </c>
      <c r="E19" s="8"/>
      <c r="F19" s="7" t="s">
        <v>317</v>
      </c>
      <c r="G19" s="7" t="str">
        <f t="shared" si="3"/>
        <v>text</v>
      </c>
      <c r="H19" s="26"/>
      <c r="I19" s="10" t="s">
        <v>127</v>
      </c>
      <c r="J19" s="11" t="s">
        <v>3314</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milscm_2023_009.sny_202310_backup_mt_tokutei_kizai.nen IS '年';</v>
      </c>
    </row>
    <row r="20" spans="1:52" s="25" customFormat="1">
      <c r="A20" s="4"/>
      <c r="B20" s="21">
        <f t="shared" si="2"/>
        <v>8</v>
      </c>
      <c r="C20" s="6" t="s">
        <v>2433</v>
      </c>
      <c r="D20" s="6" t="s">
        <v>3309</v>
      </c>
      <c r="E20" s="8"/>
      <c r="F20" s="7" t="s">
        <v>317</v>
      </c>
      <c r="G20" s="7" t="str">
        <f t="shared" si="3"/>
        <v>text</v>
      </c>
      <c r="H20" s="26"/>
      <c r="I20" s="10" t="s">
        <v>127</v>
      </c>
      <c r="J20" s="11" t="s">
        <v>3315</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milscm_2023_009.sny_202310_backup_mt_tokutei_kizai.nengetsu IS '年月';</v>
      </c>
    </row>
    <row r="21" spans="1:52" s="25" customFormat="1" ht="19.5" thickBot="1">
      <c r="A21" s="4"/>
      <c r="B21" s="27">
        <f>ROW()-12</f>
        <v>9</v>
      </c>
      <c r="C21" s="57" t="s">
        <v>2399</v>
      </c>
      <c r="D21" s="57" t="s">
        <v>1881</v>
      </c>
      <c r="E21" s="56"/>
      <c r="F21" s="56" t="s">
        <v>317</v>
      </c>
      <c r="G21" s="56" t="str">
        <f t="shared" si="3"/>
        <v>text</v>
      </c>
      <c r="H21" s="59"/>
      <c r="I21" s="60" t="s">
        <v>127</v>
      </c>
      <c r="J21" s="64" t="s">
        <v>2399</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ENT_01_A4-01</v>
      </c>
      <c r="E6" s="273"/>
      <c r="F6" s="273"/>
      <c r="G6" s="273"/>
      <c r="H6" s="273"/>
      <c r="I6" s="273"/>
      <c r="J6" s="274"/>
    </row>
    <row r="7" spans="1:45">
      <c r="B7" s="262" t="s">
        <v>115</v>
      </c>
      <c r="C7" s="263"/>
      <c r="D7" s="264" t="s">
        <v>2430</v>
      </c>
      <c r="E7" s="265"/>
      <c r="F7" s="265"/>
      <c r="G7" s="265"/>
      <c r="H7" s="265"/>
      <c r="I7" s="265"/>
      <c r="J7" s="266"/>
    </row>
    <row r="8" spans="1:45">
      <c r="B8" s="262" t="s">
        <v>116</v>
      </c>
      <c r="C8" s="263"/>
      <c r="D8" s="264" t="str">
        <f>エンティティ一覧!AE2&amp;"_"&amp;D5&amp;"_mt2_nendo"</f>
        <v>sny_202310_backup_mt2_nendo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年度マスタテーブルから組入れ条件の第一条件で絞り込んだ結果を格納するテーブル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milscm_2023_009.sny_202310_backup_mt2_nendo;</v>
      </c>
      <c r="O10" s="76"/>
      <c r="P10" s="76"/>
      <c r="Q10" s="76"/>
      <c r="R10" s="76"/>
      <c r="S10" s="76"/>
      <c r="T10" s="76"/>
      <c r="AJ10" s="76" t="str">
        <f>"ALTER TABLE ONLY "&amp;エンティティ一覧!$O$2&amp;"."&amp;D$8</f>
        <v>ALTER TABLE ONLY milscm_2023_009.sny_202310_backup_mt2_nendo</v>
      </c>
      <c r="AS10" s="76" t="str">
        <f>"ALTER TABLE "&amp;エンティティ一覧!$O$2&amp;"."&amp;D$8&amp;" OWNER TO pgmisgrp1;"</f>
        <v>ALTER TABLE milscm_2023_009.sny_202310_backup_mt2_nendo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milscm_2023_009.sny_202310_backup_mt2_nendo</v>
      </c>
      <c r="O11" s="76"/>
      <c r="P11" s="76"/>
      <c r="Q11" s="76"/>
      <c r="R11" s="76"/>
      <c r="S11" s="76"/>
      <c r="T11" s="76"/>
      <c r="AJ11" s="76" t="str">
        <f>"ADD CONSTRAINT "&amp;D$8&amp;"_pkey PRIMARY KEY"</f>
        <v>ADD CONSTRAINT sny_202310_backup_mt2_nendo_pkey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milscm_2023_009.sny_202310_backup_mt2_nendo IS 'バックアップ_年度マスタ';</v>
      </c>
    </row>
    <row r="13" spans="1:45" s="25" customFormat="1">
      <c r="A13" s="4"/>
      <c r="B13" s="21">
        <f>ROW()-12</f>
        <v>1</v>
      </c>
      <c r="C13" s="6" t="s">
        <v>2431</v>
      </c>
      <c r="D13" s="6" t="s">
        <v>2432</v>
      </c>
      <c r="E13" s="8"/>
      <c r="F13" s="8" t="s">
        <v>204</v>
      </c>
      <c r="G13" s="7" t="str">
        <f>IF(F13="フラグ","boolean",IF(F13="文字列","text",IF(F13="整数","integer",IF(F13="実数","numeric",""))))</f>
        <v>integer</v>
      </c>
      <c r="H13" s="9"/>
      <c r="I13" s="10" t="s">
        <v>127</v>
      </c>
      <c r="J13" s="11" t="s">
        <v>2445</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milscm_2023_009.sny_202310_backup_mt2_nendo.num IS '項番';</v>
      </c>
    </row>
    <row r="14" spans="1:45" s="25" customFormat="1">
      <c r="A14" s="4"/>
      <c r="B14" s="21">
        <f t="shared" ref="B14:B18" si="2">ROW()-12</f>
        <v>2</v>
      </c>
      <c r="C14" s="6" t="s">
        <v>2433</v>
      </c>
      <c r="D14" s="6" t="s">
        <v>2434</v>
      </c>
      <c r="E14" s="8" t="s">
        <v>127</v>
      </c>
      <c r="F14" s="7" t="s">
        <v>737</v>
      </c>
      <c r="G14" s="7" t="str">
        <f t="shared" ref="G14:G19" si="3">IF(F14="フラグ","boolean",IF(F14="文字列","text",IF(F14="整数","integer",IF(F14="実数","numeric",""))))</f>
        <v>text</v>
      </c>
      <c r="H14" s="26" t="s">
        <v>2446</v>
      </c>
      <c r="I14" s="10" t="s">
        <v>127</v>
      </c>
      <c r="J14" s="11" t="s">
        <v>2433</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milscm_2023_009.sny_202310_backup_mt2_nendo.ym IS '年月';</v>
      </c>
    </row>
    <row r="15" spans="1:45" s="25" customFormat="1">
      <c r="A15" s="4"/>
      <c r="B15" s="21">
        <f t="shared" si="2"/>
        <v>3</v>
      </c>
      <c r="C15" s="6" t="s">
        <v>2435</v>
      </c>
      <c r="D15" s="6" t="s">
        <v>2436</v>
      </c>
      <c r="E15" s="8"/>
      <c r="F15" s="7" t="s">
        <v>737</v>
      </c>
      <c r="G15" s="7" t="str">
        <f t="shared" ref="G15" si="7">IF(F15="フラグ","boolean",IF(F15="文字列","text",IF(F15="整数","integer",IF(F15="実数","numeric",""))))</f>
        <v>text</v>
      </c>
      <c r="H15" s="26" t="s">
        <v>2447</v>
      </c>
      <c r="I15" s="10" t="s">
        <v>127</v>
      </c>
      <c r="J15" s="11" t="s">
        <v>2448</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2437</v>
      </c>
      <c r="D16" s="6" t="s">
        <v>2438</v>
      </c>
      <c r="E16" s="8"/>
      <c r="F16" s="7" t="s">
        <v>737</v>
      </c>
      <c r="G16" s="7" t="str">
        <f t="shared" si="3"/>
        <v>text</v>
      </c>
      <c r="H16" s="26" t="s">
        <v>2447</v>
      </c>
      <c r="I16" s="10" t="s">
        <v>127</v>
      </c>
      <c r="J16" s="11" t="s">
        <v>2449</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milscm_2023_009.sny_202310_backup_mt2_nendo.nendo_4 IS '年度（4月始まり）';</v>
      </c>
    </row>
    <row r="17" spans="1:52" s="25" customFormat="1" ht="37.5">
      <c r="A17" s="4"/>
      <c r="B17" s="21">
        <f t="shared" si="2"/>
        <v>5</v>
      </c>
      <c r="C17" s="6" t="s">
        <v>2439</v>
      </c>
      <c r="D17" s="6" t="s">
        <v>2440</v>
      </c>
      <c r="E17" s="8"/>
      <c r="F17" s="7" t="s">
        <v>737</v>
      </c>
      <c r="G17" s="7" t="str">
        <f t="shared" si="3"/>
        <v>text</v>
      </c>
      <c r="H17" s="26" t="s">
        <v>2450</v>
      </c>
      <c r="I17" s="10" t="s">
        <v>127</v>
      </c>
      <c r="J17" s="11" t="s">
        <v>2451</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milscm_2023_009.sny_202310_backup_mt2_nendo.q1 IS '四半期（1月始まり）';</v>
      </c>
    </row>
    <row r="18" spans="1:52" s="25" customFormat="1" ht="37.5">
      <c r="A18" s="4"/>
      <c r="B18" s="21">
        <f t="shared" si="2"/>
        <v>6</v>
      </c>
      <c r="C18" s="6" t="s">
        <v>2441</v>
      </c>
      <c r="D18" s="6" t="s">
        <v>2442</v>
      </c>
      <c r="E18" s="8"/>
      <c r="F18" s="7" t="s">
        <v>737</v>
      </c>
      <c r="G18" s="7" t="str">
        <f t="shared" si="3"/>
        <v>text</v>
      </c>
      <c r="H18" s="26" t="s">
        <v>2450</v>
      </c>
      <c r="I18" s="10" t="s">
        <v>127</v>
      </c>
      <c r="J18" s="11" t="s">
        <v>2452</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milscm_2023_009.sny_202310_backup_mt2_nendo.q4 IS '四半期（4月始まり）';</v>
      </c>
    </row>
    <row r="19" spans="1:52" s="25" customFormat="1" ht="19.5" thickBot="1">
      <c r="A19" s="4"/>
      <c r="B19" s="27">
        <f>ROW()-12</f>
        <v>7</v>
      </c>
      <c r="C19" s="57" t="s">
        <v>2443</v>
      </c>
      <c r="D19" s="57" t="s">
        <v>2444</v>
      </c>
      <c r="E19" s="56"/>
      <c r="F19" s="56" t="s">
        <v>204</v>
      </c>
      <c r="G19" s="56" t="str">
        <f t="shared" si="3"/>
        <v>integer</v>
      </c>
      <c r="H19" s="59">
        <v>0</v>
      </c>
      <c r="I19" s="60" t="s">
        <v>127</v>
      </c>
      <c r="J19" s="64" t="s">
        <v>2453</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ENT_01_A4-02</v>
      </c>
      <c r="E6" s="273"/>
      <c r="F6" s="273"/>
      <c r="G6" s="273"/>
      <c r="H6" s="273"/>
      <c r="I6" s="273"/>
      <c r="J6" s="274"/>
    </row>
    <row r="7" spans="1:45">
      <c r="B7" s="262" t="s">
        <v>115</v>
      </c>
      <c r="C7" s="263"/>
      <c r="D7" s="264" t="s">
        <v>2454</v>
      </c>
      <c r="E7" s="265"/>
      <c r="F7" s="265"/>
      <c r="G7" s="265"/>
      <c r="H7" s="265"/>
      <c r="I7" s="265"/>
      <c r="J7" s="266"/>
    </row>
    <row r="8" spans="1:45">
      <c r="B8" s="262" t="s">
        <v>116</v>
      </c>
      <c r="C8" s="263"/>
      <c r="D8" s="264" t="str">
        <f>エンティティ一覧!AE2&amp;"_"&amp;D5&amp;"_mt2_prefecture_region"</f>
        <v>sny_202310_backup_mt2_prefecture_region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milscm_2023_009.sny_202310_backup_mt2_prefecture_region;</v>
      </c>
      <c r="O10" s="76"/>
      <c r="P10" s="76"/>
      <c r="Q10" s="76"/>
      <c r="R10" s="76"/>
      <c r="S10" s="76"/>
      <c r="T10" s="76"/>
      <c r="AJ10" s="76" t="str">
        <f>"ALTER TABLE ONLY "&amp;エンティティ一覧!$O$2&amp;"."&amp;D$8</f>
        <v>ALTER TABLE ONLY milscm_2023_009.sny_202310_backup_mt2_prefecture_region</v>
      </c>
      <c r="AS10" s="76" t="str">
        <f>"ALTER TABLE "&amp;エンティティ一覧!$O$2&amp;"."&amp;D$8&amp;" OWNER TO pgmisgrp1;"</f>
        <v>ALTER TABLE milscm_2023_009.sny_202310_backup_mt2_prefecture_region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milscm_2023_009.sny_202310_backup_mt2_prefecture_region</v>
      </c>
      <c r="O11" s="76"/>
      <c r="P11" s="76"/>
      <c r="Q11" s="76"/>
      <c r="R11" s="76"/>
      <c r="S11" s="76"/>
      <c r="T11" s="76"/>
      <c r="AJ11" s="76" t="str">
        <f>"ADD CONSTRAINT "&amp;D$8&amp;"_pkey PRIMARY KEY"</f>
        <v>ADD CONSTRAINT sny_202310_backup_mt2_prefecture_region_pkey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2455</v>
      </c>
      <c r="D13" s="6" t="s">
        <v>1897</v>
      </c>
      <c r="E13" s="8" t="s">
        <v>127</v>
      </c>
      <c r="F13" s="8" t="s">
        <v>737</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2456</v>
      </c>
      <c r="D14" s="6" t="s">
        <v>917</v>
      </c>
      <c r="E14" s="8"/>
      <c r="F14" s="7" t="s">
        <v>737</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2457</v>
      </c>
      <c r="D15" s="6" t="s">
        <v>2458</v>
      </c>
      <c r="E15" s="8"/>
      <c r="F15" s="7" t="s">
        <v>737</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milscm_2023_009.sny_202310_backup_mt2_prefecture_region.region_cd IS '地方コード';</v>
      </c>
    </row>
    <row r="16" spans="1:45" s="25" customFormat="1" ht="19.5" thickBot="1">
      <c r="A16" s="4"/>
      <c r="B16" s="27">
        <f>ROW()-12</f>
        <v>4</v>
      </c>
      <c r="C16" s="57" t="s">
        <v>2459</v>
      </c>
      <c r="D16" s="57" t="s">
        <v>2460</v>
      </c>
      <c r="E16" s="56"/>
      <c r="F16" s="56" t="s">
        <v>737</v>
      </c>
      <c r="G16" s="56" t="str">
        <f t="shared" si="3"/>
        <v>text</v>
      </c>
      <c r="H16" s="59"/>
      <c r="I16" s="60" t="s">
        <v>127</v>
      </c>
      <c r="J16" s="64"/>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2461</v>
      </c>
      <c r="L18" s="25"/>
      <c r="M18" s="25"/>
      <c r="V18" s="25"/>
      <c r="W18" s="25"/>
      <c r="X18" s="25"/>
      <c r="Y18" s="25"/>
      <c r="Z18" s="25"/>
      <c r="AT18" s="25"/>
      <c r="AU18" s="25"/>
      <c r="AV18" s="25"/>
      <c r="AW18" s="25"/>
      <c r="AX18" s="25"/>
      <c r="AY18" s="25"/>
      <c r="AZ18" s="25"/>
    </row>
    <row r="19" spans="2:52">
      <c r="B19" s="82" t="s">
        <v>2462</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2463</v>
      </c>
      <c r="D21" s="83" t="s">
        <v>2464</v>
      </c>
      <c r="E21" s="278" t="s">
        <v>2465</v>
      </c>
      <c r="F21" s="279"/>
      <c r="G21" s="279"/>
      <c r="H21" s="279"/>
      <c r="I21" s="279"/>
      <c r="J21" s="280"/>
    </row>
    <row r="22" spans="2:52">
      <c r="B22" s="82"/>
      <c r="C22" s="84" t="s">
        <v>2466</v>
      </c>
      <c r="D22" s="84" t="s">
        <v>2467</v>
      </c>
      <c r="E22" s="275" t="s">
        <v>2468</v>
      </c>
      <c r="F22" s="276"/>
      <c r="G22" s="276"/>
      <c r="H22" s="276"/>
      <c r="I22" s="276"/>
      <c r="J22" s="277"/>
    </row>
    <row r="23" spans="2:52">
      <c r="B23" s="82"/>
      <c r="C23" s="84" t="s">
        <v>2469</v>
      </c>
      <c r="D23" s="84" t="s">
        <v>2470</v>
      </c>
      <c r="E23" s="275" t="s">
        <v>2471</v>
      </c>
      <c r="F23" s="276"/>
      <c r="G23" s="276"/>
      <c r="H23" s="276"/>
      <c r="I23" s="276"/>
      <c r="J23" s="277"/>
    </row>
    <row r="24" spans="2:52">
      <c r="B24" s="82"/>
      <c r="C24" s="84" t="s">
        <v>2472</v>
      </c>
      <c r="D24" s="84" t="s">
        <v>2473</v>
      </c>
      <c r="E24" s="275" t="s">
        <v>2474</v>
      </c>
      <c r="F24" s="276"/>
      <c r="G24" s="276"/>
      <c r="H24" s="276"/>
      <c r="I24" s="276"/>
      <c r="J24" s="277"/>
    </row>
    <row r="25" spans="2:52">
      <c r="B25" s="82"/>
      <c r="C25" s="84" t="s">
        <v>2475</v>
      </c>
      <c r="D25" s="84" t="s">
        <v>2476</v>
      </c>
      <c r="E25" s="275" t="s">
        <v>2477</v>
      </c>
      <c r="F25" s="276"/>
      <c r="G25" s="276"/>
      <c r="H25" s="276"/>
      <c r="I25" s="276"/>
      <c r="J25" s="277"/>
    </row>
    <row r="26" spans="2:52">
      <c r="B26" s="82"/>
      <c r="C26" s="84" t="s">
        <v>2478</v>
      </c>
      <c r="D26" s="84" t="s">
        <v>2479</v>
      </c>
      <c r="E26" s="275" t="s">
        <v>2480</v>
      </c>
      <c r="F26" s="276"/>
      <c r="G26" s="276"/>
      <c r="H26" s="276"/>
      <c r="I26" s="276"/>
      <c r="J26" s="277"/>
    </row>
    <row r="27" spans="2:52">
      <c r="B27" s="82"/>
      <c r="C27" s="84" t="s">
        <v>2481</v>
      </c>
      <c r="D27" s="84" t="s">
        <v>2482</v>
      </c>
      <c r="E27" s="275" t="s">
        <v>2483</v>
      </c>
      <c r="F27" s="276"/>
      <c r="G27" s="276"/>
      <c r="H27" s="276"/>
      <c r="I27" s="276"/>
      <c r="J27" s="277"/>
    </row>
    <row r="28" spans="2:52">
      <c r="B28" s="82"/>
      <c r="C28" s="84" t="s">
        <v>2484</v>
      </c>
      <c r="D28" s="84" t="s">
        <v>2485</v>
      </c>
      <c r="E28" s="275" t="s">
        <v>2486</v>
      </c>
      <c r="F28" s="276"/>
      <c r="G28" s="276"/>
      <c r="H28" s="276"/>
      <c r="I28" s="276"/>
      <c r="J28" s="277"/>
    </row>
    <row r="29" spans="2:52">
      <c r="B29" s="82"/>
      <c r="C29" s="84" t="s">
        <v>2487</v>
      </c>
      <c r="D29" s="84" t="s">
        <v>2488</v>
      </c>
      <c r="E29" s="275" t="s">
        <v>2489</v>
      </c>
      <c r="F29" s="276"/>
      <c r="G29" s="276"/>
      <c r="H29" s="276"/>
      <c r="I29" s="276"/>
      <c r="J29" s="277"/>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ENT_01_A4-03</v>
      </c>
      <c r="E6" s="273"/>
      <c r="F6" s="273"/>
      <c r="G6" s="273"/>
      <c r="H6" s="273"/>
      <c r="I6" s="273"/>
      <c r="J6" s="274"/>
    </row>
    <row r="7" spans="1:45">
      <c r="B7" s="262" t="s">
        <v>115</v>
      </c>
      <c r="C7" s="263"/>
      <c r="D7" s="264" t="s">
        <v>2490</v>
      </c>
      <c r="E7" s="265"/>
      <c r="F7" s="265"/>
      <c r="G7" s="265"/>
      <c r="H7" s="265"/>
      <c r="I7" s="265"/>
      <c r="J7" s="266"/>
    </row>
    <row r="8" spans="1:45">
      <c r="B8" s="262" t="s">
        <v>116</v>
      </c>
      <c r="C8" s="263"/>
      <c r="D8" s="264" t="str">
        <f>エンティティ一覧!AE2&amp;"_"&amp;D5&amp;"_mt2_shisetsu_zokusei"</f>
        <v>sny_202310_backup_mt2_shisetsu_zokusei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施設属性マスタテーブルから組入れ条件の第一条件で絞り込んだ結果を格納するテーブル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milscm_2023_009.sny_202310_backup_mt2_shisetsu_zokusei;</v>
      </c>
      <c r="O10" s="76"/>
      <c r="P10" s="76"/>
      <c r="Q10" s="76"/>
      <c r="R10" s="76"/>
      <c r="S10" s="76"/>
      <c r="T10" s="76"/>
      <c r="AJ10" s="76" t="str">
        <f>"ALTER TABLE ONLY "&amp;エンティティ一覧!$O$2&amp;"."&amp;D$8</f>
        <v>ALTER TABLE ONLY milscm_2023_009.sny_202310_backup_mt2_shisetsu_zokusei</v>
      </c>
      <c r="AS10" s="76" t="str">
        <f>"ALTER TABLE "&amp;エンティティ一覧!$O$2&amp;"."&amp;D$8&amp;" OWNER TO pgmisgrp1;"</f>
        <v>ALTER TABLE milscm_2023_009.sny_202310_backup_mt2_shisetsu_zokusei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milscm_2023_009.sny_202310_backup_mt2_shisetsu_zokusei</v>
      </c>
      <c r="O11" s="76"/>
      <c r="P11" s="76"/>
      <c r="Q11" s="76"/>
      <c r="R11" s="76"/>
      <c r="S11" s="76"/>
      <c r="T11" s="76"/>
      <c r="AJ11" s="76" t="str">
        <f>"ADD CONSTRAINT "&amp;D$8&amp;"_pkey PRIMARY KEY"</f>
        <v>ADD CONSTRAINT sny_202310_backup_mt2_shisetsu_zokusei_pkey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2518</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milscm_2023_009.sny_202310_backup_mt2_shisetsu_zokusei.facility_id IS '施設ID';</v>
      </c>
    </row>
    <row r="14" spans="1:45" s="25" customFormat="1" ht="37.5">
      <c r="A14" s="4"/>
      <c r="B14" s="21">
        <f t="shared" ref="B14:B43" si="2">ROW()-12</f>
        <v>2</v>
      </c>
      <c r="C14" s="6" t="s">
        <v>2491</v>
      </c>
      <c r="D14" s="6" t="s">
        <v>2492</v>
      </c>
      <c r="E14" s="8" t="s">
        <v>127</v>
      </c>
      <c r="F14" s="7" t="s">
        <v>737</v>
      </c>
      <c r="G14" s="7" t="str">
        <f t="shared" ref="G14:G44" si="3">IF(F14="フラグ","boolean",IF(F14="文字列","text",IF(F14="整数","integer",IF(F14="実数","numeric",""))))</f>
        <v>text</v>
      </c>
      <c r="H14" s="26">
        <v>999999</v>
      </c>
      <c r="I14" s="10" t="s">
        <v>127</v>
      </c>
      <c r="J14" s="11" t="s">
        <v>2519</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2493</v>
      </c>
      <c r="D15" s="6" t="s">
        <v>2405</v>
      </c>
      <c r="E15" s="8"/>
      <c r="F15" s="7" t="s">
        <v>737</v>
      </c>
      <c r="G15" s="7" t="str">
        <f t="shared" si="3"/>
        <v>text</v>
      </c>
      <c r="H15" s="26"/>
      <c r="I15" s="10" t="s">
        <v>127</v>
      </c>
      <c r="J15" s="11" t="s">
        <v>2520</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2494</v>
      </c>
      <c r="D16" s="6" t="s">
        <v>2407</v>
      </c>
      <c r="E16" s="8"/>
      <c r="F16" s="7" t="s">
        <v>737</v>
      </c>
      <c r="G16" s="7" t="str">
        <f t="shared" si="3"/>
        <v>text</v>
      </c>
      <c r="H16" s="26"/>
      <c r="I16" s="10"/>
      <c r="J16" s="11" t="s">
        <v>2520</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1896</v>
      </c>
      <c r="D17" s="6" t="s">
        <v>1897</v>
      </c>
      <c r="E17" s="8"/>
      <c r="F17" s="7" t="s">
        <v>737</v>
      </c>
      <c r="G17" s="7" t="str">
        <f t="shared" si="3"/>
        <v>text</v>
      </c>
      <c r="H17" s="26"/>
      <c r="I17" s="10" t="s">
        <v>127</v>
      </c>
      <c r="J17" s="11" t="s">
        <v>2520</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2495</v>
      </c>
      <c r="D18" s="6" t="s">
        <v>917</v>
      </c>
      <c r="E18" s="8"/>
      <c r="F18" s="7" t="s">
        <v>737</v>
      </c>
      <c r="G18" s="7" t="str">
        <f t="shared" ref="G18:G42" si="7">IF(F18="フラグ","boolean",IF(F18="文字列","text",IF(F18="整数","integer",IF(F18="実数","numeric",""))))</f>
        <v>text</v>
      </c>
      <c r="H18" s="26"/>
      <c r="I18" s="10" t="s">
        <v>127</v>
      </c>
      <c r="J18" s="11" t="s">
        <v>2532</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2496</v>
      </c>
      <c r="D19" s="6" t="s">
        <v>2458</v>
      </c>
      <c r="E19" s="8"/>
      <c r="F19" s="7" t="s">
        <v>737</v>
      </c>
      <c r="G19" s="7" t="str">
        <f t="shared" si="7"/>
        <v>text</v>
      </c>
      <c r="H19" s="26"/>
      <c r="I19" s="10" t="s">
        <v>127</v>
      </c>
      <c r="J19" s="11" t="s">
        <v>2532</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2497</v>
      </c>
      <c r="D20" s="6" t="s">
        <v>2460</v>
      </c>
      <c r="E20" s="8"/>
      <c r="F20" s="7" t="s">
        <v>737</v>
      </c>
      <c r="G20" s="7" t="str">
        <f t="shared" si="7"/>
        <v>text</v>
      </c>
      <c r="H20" s="26"/>
      <c r="I20" s="10" t="s">
        <v>127</v>
      </c>
      <c r="J20" s="11" t="s">
        <v>2532</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milscm_2023_009.sny_202310_backup_mt2_shisetsu_zokusei.region IS '地方名';</v>
      </c>
    </row>
    <row r="21" spans="1:45" s="25" customFormat="1">
      <c r="A21" s="4"/>
      <c r="B21" s="21">
        <f t="shared" si="2"/>
        <v>9</v>
      </c>
      <c r="C21" s="6" t="s">
        <v>1899</v>
      </c>
      <c r="D21" s="6" t="s">
        <v>2498</v>
      </c>
      <c r="E21" s="8"/>
      <c r="F21" s="7" t="s">
        <v>737</v>
      </c>
      <c r="G21" s="7" t="str">
        <f t="shared" si="7"/>
        <v>text</v>
      </c>
      <c r="H21" s="26"/>
      <c r="I21" s="10" t="s">
        <v>127</v>
      </c>
      <c r="J21" s="11" t="s">
        <v>2521</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1901</v>
      </c>
      <c r="D22" s="6" t="s">
        <v>1902</v>
      </c>
      <c r="E22" s="8"/>
      <c r="F22" s="7" t="s">
        <v>737</v>
      </c>
      <c r="G22" s="7" t="str">
        <f t="shared" si="7"/>
        <v>text</v>
      </c>
      <c r="H22" s="26"/>
      <c r="I22" s="10" t="s">
        <v>127</v>
      </c>
      <c r="J22" s="11" t="s">
        <v>2520</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2499</v>
      </c>
      <c r="D23" s="6" t="s">
        <v>2500</v>
      </c>
      <c r="E23" s="8"/>
      <c r="F23" s="7" t="s">
        <v>737</v>
      </c>
      <c r="G23" s="7" t="str">
        <f t="shared" si="7"/>
        <v>text</v>
      </c>
      <c r="H23" s="26"/>
      <c r="I23" s="10" t="s">
        <v>127</v>
      </c>
      <c r="J23" s="11" t="s">
        <v>2520</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milscm_2023_009.sny_202310_backup_mt2_shisetsu_zokusei.address IS '住所';</v>
      </c>
    </row>
    <row r="24" spans="1:45" s="25" customFormat="1">
      <c r="A24" s="4"/>
      <c r="B24" s="21">
        <f t="shared" si="2"/>
        <v>12</v>
      </c>
      <c r="C24" s="6" t="s">
        <v>2501</v>
      </c>
      <c r="D24" s="6" t="s">
        <v>1893</v>
      </c>
      <c r="E24" s="8"/>
      <c r="F24" s="7" t="s">
        <v>737</v>
      </c>
      <c r="G24" s="7" t="str">
        <f t="shared" si="7"/>
        <v>text</v>
      </c>
      <c r="H24" s="26"/>
      <c r="I24" s="10" t="s">
        <v>127</v>
      </c>
      <c r="J24" s="11" t="s">
        <v>2522</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2502</v>
      </c>
      <c r="D25" s="6" t="s">
        <v>1895</v>
      </c>
      <c r="E25" s="8"/>
      <c r="F25" s="7" t="s">
        <v>737</v>
      </c>
      <c r="G25" s="7" t="str">
        <f t="shared" si="7"/>
        <v>text</v>
      </c>
      <c r="H25" s="26"/>
      <c r="I25" s="10" t="s">
        <v>127</v>
      </c>
      <c r="J25" s="11" t="s">
        <v>2522</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1856</v>
      </c>
      <c r="D26" s="6" t="s">
        <v>1857</v>
      </c>
      <c r="E26" s="8"/>
      <c r="F26" s="7" t="s">
        <v>204</v>
      </c>
      <c r="G26" s="7" t="str">
        <f t="shared" si="7"/>
        <v>integer</v>
      </c>
      <c r="H26" s="26"/>
      <c r="I26" s="10"/>
      <c r="J26" s="11" t="s">
        <v>2518</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1858</v>
      </c>
      <c r="D27" s="6" t="s">
        <v>1859</v>
      </c>
      <c r="E27" s="8"/>
      <c r="F27" s="7" t="s">
        <v>204</v>
      </c>
      <c r="G27" s="7" t="str">
        <f t="shared" si="7"/>
        <v>integer</v>
      </c>
      <c r="H27" s="26"/>
      <c r="I27" s="10"/>
      <c r="J27" s="11" t="s">
        <v>2518</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1860</v>
      </c>
      <c r="D28" s="6" t="s">
        <v>1861</v>
      </c>
      <c r="E28" s="8"/>
      <c r="F28" s="7" t="s">
        <v>204</v>
      </c>
      <c r="G28" s="7" t="str">
        <f t="shared" si="7"/>
        <v>integer</v>
      </c>
      <c r="H28" s="26"/>
      <c r="I28" s="10"/>
      <c r="J28" s="11" t="s">
        <v>2518</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1862</v>
      </c>
      <c r="D29" s="6" t="s">
        <v>1863</v>
      </c>
      <c r="E29" s="8"/>
      <c r="F29" s="7" t="s">
        <v>204</v>
      </c>
      <c r="G29" s="7" t="str">
        <f t="shared" si="7"/>
        <v>integer</v>
      </c>
      <c r="H29" s="26"/>
      <c r="I29" s="10"/>
      <c r="J29" s="11" t="s">
        <v>2518</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1864</v>
      </c>
      <c r="D30" s="6" t="s">
        <v>1865</v>
      </c>
      <c r="E30" s="8"/>
      <c r="F30" s="7" t="s">
        <v>204</v>
      </c>
      <c r="G30" s="7" t="str">
        <f t="shared" si="7"/>
        <v>integer</v>
      </c>
      <c r="H30" s="26"/>
      <c r="I30" s="10"/>
      <c r="J30" s="11" t="s">
        <v>2518</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2503</v>
      </c>
      <c r="D31" s="6" t="s">
        <v>2504</v>
      </c>
      <c r="E31" s="8"/>
      <c r="F31" s="7" t="s">
        <v>204</v>
      </c>
      <c r="G31" s="7" t="str">
        <f t="shared" si="7"/>
        <v>integer</v>
      </c>
      <c r="H31" s="26"/>
      <c r="I31" s="10"/>
      <c r="J31" s="11" t="s">
        <v>2523</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1866</v>
      </c>
      <c r="D32" s="6" t="s">
        <v>1867</v>
      </c>
      <c r="E32" s="8"/>
      <c r="F32" s="7" t="s">
        <v>737</v>
      </c>
      <c r="G32" s="7" t="str">
        <f t="shared" si="7"/>
        <v>text</v>
      </c>
      <c r="H32" s="26"/>
      <c r="I32" s="10"/>
      <c r="J32" s="11" t="s">
        <v>2518</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1868</v>
      </c>
      <c r="D33" s="6" t="s">
        <v>1869</v>
      </c>
      <c r="E33" s="8"/>
      <c r="F33" s="7" t="s">
        <v>737</v>
      </c>
      <c r="G33" s="7" t="str">
        <f t="shared" si="7"/>
        <v>text</v>
      </c>
      <c r="H33" s="26"/>
      <c r="I33" s="10"/>
      <c r="J33" s="11" t="s">
        <v>2518</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milscm_2023_009.sny_202310_backup_mt2_shisetsu_zokusei.tokutei_hp_f IS '特定機能病院F';</v>
      </c>
    </row>
    <row r="34" spans="1:52" s="25" customFormat="1" ht="112.5">
      <c r="A34" s="4"/>
      <c r="B34" s="21">
        <f t="shared" si="2"/>
        <v>22</v>
      </c>
      <c r="C34" s="6" t="s">
        <v>1870</v>
      </c>
      <c r="D34" s="6" t="s">
        <v>1871</v>
      </c>
      <c r="E34" s="8"/>
      <c r="F34" s="7" t="s">
        <v>204</v>
      </c>
      <c r="G34" s="7" t="str">
        <f t="shared" si="7"/>
        <v>integer</v>
      </c>
      <c r="H34" s="26"/>
      <c r="I34" s="10"/>
      <c r="J34" s="11" t="s">
        <v>2524</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1872</v>
      </c>
      <c r="D35" s="6" t="s">
        <v>2505</v>
      </c>
      <c r="E35" s="8"/>
      <c r="F35" s="7" t="s">
        <v>737</v>
      </c>
      <c r="G35" s="7" t="str">
        <f t="shared" si="7"/>
        <v>text</v>
      </c>
      <c r="H35" s="26"/>
      <c r="I35" s="10"/>
      <c r="J35" s="11" t="s">
        <v>2518</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1874</v>
      </c>
      <c r="D36" s="6" t="s">
        <v>2506</v>
      </c>
      <c r="E36" s="8"/>
      <c r="F36" s="7" t="s">
        <v>737</v>
      </c>
      <c r="G36" s="7" t="str">
        <f t="shared" si="7"/>
        <v>text</v>
      </c>
      <c r="H36" s="26"/>
      <c r="I36" s="10"/>
      <c r="J36" s="11" t="s">
        <v>2518</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1876</v>
      </c>
      <c r="D37" s="6" t="s">
        <v>1877</v>
      </c>
      <c r="E37" s="8"/>
      <c r="F37" s="7" t="s">
        <v>737</v>
      </c>
      <c r="G37" s="7" t="str">
        <f t="shared" si="7"/>
        <v>text</v>
      </c>
      <c r="H37" s="26"/>
      <c r="I37" s="10"/>
      <c r="J37" s="11" t="s">
        <v>1889</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milscm_2023_009.sny_202310_backup_mt2_shisetsu_zokusei.mil_exit_f IS '千年カルテ離脱施設フラグ';</v>
      </c>
    </row>
    <row r="38" spans="1:52" s="25" customFormat="1">
      <c r="A38" s="4"/>
      <c r="B38" s="21">
        <f t="shared" si="2"/>
        <v>26</v>
      </c>
      <c r="C38" s="6" t="s">
        <v>2507</v>
      </c>
      <c r="D38" s="6" t="s">
        <v>2508</v>
      </c>
      <c r="E38" s="8"/>
      <c r="F38" s="7" t="s">
        <v>737</v>
      </c>
      <c r="G38" s="7" t="str">
        <f t="shared" si="7"/>
        <v>text</v>
      </c>
      <c r="H38" s="26">
        <v>0</v>
      </c>
      <c r="I38" s="10" t="s">
        <v>127</v>
      </c>
      <c r="J38" s="11" t="s">
        <v>2525</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milscm_2023_009.sny_202310_backup_mt2_shisetsu_zokusei.new_f IS '最新フラグ';</v>
      </c>
    </row>
    <row r="39" spans="1:52" s="25" customFormat="1">
      <c r="A39" s="4"/>
      <c r="B39" s="21">
        <f t="shared" si="2"/>
        <v>27</v>
      </c>
      <c r="C39" s="6" t="s">
        <v>2509</v>
      </c>
      <c r="D39" s="6" t="s">
        <v>1904</v>
      </c>
      <c r="E39" s="8"/>
      <c r="F39" s="7" t="s">
        <v>737</v>
      </c>
      <c r="G39" s="7" t="str">
        <f t="shared" si="7"/>
        <v>text</v>
      </c>
      <c r="H39" s="26">
        <v>0</v>
      </c>
      <c r="I39" s="10" t="s">
        <v>127</v>
      </c>
      <c r="J39" s="11" t="s">
        <v>2526</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milscm_2023_009.sny_202310_backup_mt2_shisetsu_zokusei.del_f IS '削除フラグ';</v>
      </c>
    </row>
    <row r="40" spans="1:52" s="25" customFormat="1" ht="37.5">
      <c r="A40" s="4"/>
      <c r="B40" s="21">
        <f t="shared" si="2"/>
        <v>28</v>
      </c>
      <c r="C40" s="6" t="s">
        <v>1907</v>
      </c>
      <c r="D40" s="6" t="s">
        <v>1908</v>
      </c>
      <c r="E40" s="8"/>
      <c r="F40" s="7" t="s">
        <v>737</v>
      </c>
      <c r="G40" s="7" t="str">
        <f t="shared" si="7"/>
        <v>text</v>
      </c>
      <c r="H40" s="26">
        <v>99999999</v>
      </c>
      <c r="I40" s="10" t="s">
        <v>127</v>
      </c>
      <c r="J40" s="11" t="s">
        <v>2527</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milscm_2023_009.sny_202310_backup_mt2_shisetsu_zokusei.del_ymd IS '廃止年月日';</v>
      </c>
    </row>
    <row r="41" spans="1:52" s="25" customFormat="1" ht="56.25">
      <c r="A41" s="4"/>
      <c r="B41" s="21">
        <f t="shared" si="2"/>
        <v>29</v>
      </c>
      <c r="C41" s="6" t="s">
        <v>2510</v>
      </c>
      <c r="D41" s="6" t="s">
        <v>2511</v>
      </c>
      <c r="E41" s="8"/>
      <c r="F41" s="7" t="s">
        <v>737</v>
      </c>
      <c r="G41" s="7" t="str">
        <f t="shared" si="7"/>
        <v>text</v>
      </c>
      <c r="H41" s="26">
        <v>99999999</v>
      </c>
      <c r="I41" s="10" t="s">
        <v>127</v>
      </c>
      <c r="J41" s="11" t="s">
        <v>2528</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milscm_2023_009.sny_202310_backup_mt2_shisetsu_zokusei.shisetsu_update_ymd IS '施設マスタデータ登録日';</v>
      </c>
    </row>
    <row r="42" spans="1:52" s="25" customFormat="1" ht="56.25">
      <c r="A42" s="4"/>
      <c r="B42" s="21">
        <f t="shared" si="2"/>
        <v>30</v>
      </c>
      <c r="C42" s="6" t="s">
        <v>2512</v>
      </c>
      <c r="D42" s="6" t="s">
        <v>2513</v>
      </c>
      <c r="E42" s="8"/>
      <c r="F42" s="7" t="s">
        <v>737</v>
      </c>
      <c r="G42" s="7" t="str">
        <f t="shared" si="7"/>
        <v>text</v>
      </c>
      <c r="H42" s="26"/>
      <c r="I42" s="10"/>
      <c r="J42" s="11" t="s">
        <v>2529</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milscm_2023_009.sny_202310_backup_mt2_shisetsu_zokusei.zokusei_update_ymd IS '施設属性マスタ取込用データ登録日';</v>
      </c>
    </row>
    <row r="43" spans="1:52" s="25" customFormat="1" ht="56.25">
      <c r="A43" s="4"/>
      <c r="B43" s="21">
        <f t="shared" si="2"/>
        <v>31</v>
      </c>
      <c r="C43" s="6" t="s">
        <v>2514</v>
      </c>
      <c r="D43" s="6" t="s">
        <v>2515</v>
      </c>
      <c r="E43" s="8"/>
      <c r="F43" s="7" t="s">
        <v>737</v>
      </c>
      <c r="G43" s="7" t="str">
        <f t="shared" si="3"/>
        <v>text</v>
      </c>
      <c r="H43" s="26"/>
      <c r="I43" s="10"/>
      <c r="J43" s="11" t="s">
        <v>2530</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69.5" thickBot="1">
      <c r="A44" s="4"/>
      <c r="B44" s="27">
        <f>ROW()-12</f>
        <v>32</v>
      </c>
      <c r="C44" s="57" t="s">
        <v>2516</v>
      </c>
      <c r="D44" s="57" t="s">
        <v>2517</v>
      </c>
      <c r="E44" s="56"/>
      <c r="F44" s="56" t="s">
        <v>737</v>
      </c>
      <c r="G44" s="56" t="str">
        <f t="shared" si="3"/>
        <v>text</v>
      </c>
      <c r="H44" s="59">
        <v>0</v>
      </c>
      <c r="I44" s="60" t="s">
        <v>127</v>
      </c>
      <c r="J44" s="64" t="s">
        <v>2531</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ENT_01_A4-04</v>
      </c>
      <c r="E6" s="273"/>
      <c r="F6" s="273"/>
      <c r="G6" s="273"/>
      <c r="H6" s="273"/>
      <c r="I6" s="273"/>
      <c r="J6" s="274"/>
    </row>
    <row r="7" spans="1:45">
      <c r="B7" s="262" t="s">
        <v>115</v>
      </c>
      <c r="C7" s="263"/>
      <c r="D7" s="264" t="s">
        <v>2533</v>
      </c>
      <c r="E7" s="265"/>
      <c r="F7" s="265"/>
      <c r="G7" s="265"/>
      <c r="H7" s="265"/>
      <c r="I7" s="265"/>
      <c r="J7" s="266"/>
    </row>
    <row r="8" spans="1:45">
      <c r="B8" s="262" t="s">
        <v>116</v>
      </c>
      <c r="C8" s="263"/>
      <c r="D8" s="264" t="str">
        <f>エンティティ一覧!AE2&amp;"_"&amp;D5&amp;"_mt2_iryouken2"</f>
        <v>sny_202310_backup_mt2_iryouken2</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二次医療圏マスタテーブルから組入れ条件の第一条件で絞り込んだ結果を格納するテーブル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milscm_2023_009.sny_202310_backup_mt2_iryouken2;</v>
      </c>
      <c r="O10" s="76"/>
      <c r="P10" s="76"/>
      <c r="Q10" s="76"/>
      <c r="R10" s="76"/>
      <c r="S10" s="76"/>
      <c r="T10" s="76"/>
      <c r="AJ10" s="76" t="str">
        <f>"ALTER TABLE ONLY "&amp;エンティティ一覧!$O$2&amp;"."&amp;D$8</f>
        <v>ALTER TABLE ONLY milscm_2023_009.sny_202310_backup_mt2_iryouken2</v>
      </c>
      <c r="AS10" s="76" t="str">
        <f>"ALTER TABLE "&amp;エンティティ一覧!$O$2&amp;"."&amp;D$8&amp;" OWNER TO pgmisgrp1;"</f>
        <v>ALTER TABLE milscm_2023_009.sny_202310_backup_mt2_iryouken2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milscm_2023_009.sny_202310_backup_mt2_iryouken2</v>
      </c>
      <c r="O11" s="76"/>
      <c r="P11" s="76"/>
      <c r="Q11" s="76"/>
      <c r="R11" s="76"/>
      <c r="S11" s="76"/>
      <c r="T11" s="76"/>
      <c r="AJ11" s="76" t="str">
        <f>"ADD CONSTRAINT "&amp;D$8&amp;"_pkey PRIMARY KEY"</f>
        <v>ADD CONSTRAINT sny_202310_backup_mt2_iryouken2_pkey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milscm_2023_009.sny_202310_backup_mt2_iryouken2 IS 'バックアップ_二次医療圏マスタ';</v>
      </c>
    </row>
    <row r="13" spans="1:45" s="25" customFormat="1" ht="56.25">
      <c r="A13" s="4"/>
      <c r="B13" s="21">
        <f>ROW()-12</f>
        <v>1</v>
      </c>
      <c r="C13" s="6" t="s">
        <v>2501</v>
      </c>
      <c r="D13" s="6" t="s">
        <v>1893</v>
      </c>
      <c r="E13" s="8"/>
      <c r="F13" s="8" t="s">
        <v>737</v>
      </c>
      <c r="G13" s="7" t="str">
        <f>IF(F13="フラグ","boolean",IF(F13="文字列","text",IF(F13="整数","integer",IF(F13="実数","numeric",""))))</f>
        <v>text</v>
      </c>
      <c r="H13" s="9"/>
      <c r="I13" s="10" t="s">
        <v>127</v>
      </c>
      <c r="J13" s="11" t="s">
        <v>2535</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milscm_2023_009.sny_202310_backup_mt2_iryouken2.iryouken2_cd IS '二次医療圏コード';</v>
      </c>
    </row>
    <row r="14" spans="1:45" s="25" customFormat="1" ht="56.25">
      <c r="A14" s="4"/>
      <c r="B14" s="21">
        <f t="shared" ref="B14:B19" si="2">ROW()-12</f>
        <v>2</v>
      </c>
      <c r="C14" s="6" t="s">
        <v>2502</v>
      </c>
      <c r="D14" s="6" t="s">
        <v>1895</v>
      </c>
      <c r="E14" s="8"/>
      <c r="F14" s="7" t="s">
        <v>737</v>
      </c>
      <c r="G14" s="7" t="str">
        <f t="shared" ref="G14:G20" si="3">IF(F14="フラグ","boolean",IF(F14="文字列","text",IF(F14="整数","integer",IF(F14="実数","numeric",""))))</f>
        <v>text</v>
      </c>
      <c r="H14" s="26"/>
      <c r="I14" s="10" t="s">
        <v>127</v>
      </c>
      <c r="J14" s="11" t="s">
        <v>2535</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milscm_2023_009.sny_202310_backup_mt2_iryouken2.iryouken2 IS '二次医療圏';</v>
      </c>
    </row>
    <row r="15" spans="1:45" s="25" customFormat="1" ht="56.25">
      <c r="A15" s="4"/>
      <c r="B15" s="21">
        <f t="shared" si="2"/>
        <v>3</v>
      </c>
      <c r="C15" s="6" t="s">
        <v>1896</v>
      </c>
      <c r="D15" s="6" t="s">
        <v>1897</v>
      </c>
      <c r="E15" s="8"/>
      <c r="F15" s="7" t="s">
        <v>737</v>
      </c>
      <c r="G15" s="7" t="str">
        <f t="shared" si="3"/>
        <v>text</v>
      </c>
      <c r="H15" s="26"/>
      <c r="I15" s="10" t="s">
        <v>127</v>
      </c>
      <c r="J15" s="11" t="s">
        <v>2535</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milscm_2023_009.sny_202310_backup_mt2_iryouken2.prefecture_cd IS '都道府県コード';</v>
      </c>
    </row>
    <row r="16" spans="1:45" s="25" customFormat="1" ht="56.25">
      <c r="A16" s="4"/>
      <c r="B16" s="21">
        <f t="shared" si="2"/>
        <v>4</v>
      </c>
      <c r="C16" s="6" t="s">
        <v>1899</v>
      </c>
      <c r="D16" s="6" t="s">
        <v>1900</v>
      </c>
      <c r="E16" s="8" t="s">
        <v>127</v>
      </c>
      <c r="F16" s="7" t="s">
        <v>737</v>
      </c>
      <c r="G16" s="7" t="str">
        <f t="shared" si="3"/>
        <v>text</v>
      </c>
      <c r="H16" s="26"/>
      <c r="I16" s="10" t="s">
        <v>127</v>
      </c>
      <c r="J16" s="11" t="s">
        <v>2535</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2507</v>
      </c>
      <c r="D17" s="6" t="s">
        <v>2508</v>
      </c>
      <c r="E17" s="8"/>
      <c r="F17" s="7" t="s">
        <v>737</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milscm_2023_009.sny_202310_backup_mt2_iryouken2.new_f IS '最新フラグ';</v>
      </c>
    </row>
    <row r="18" spans="1:52" s="25" customFormat="1">
      <c r="A18" s="4"/>
      <c r="B18" s="21">
        <f t="shared" si="2"/>
        <v>6</v>
      </c>
      <c r="C18" s="6" t="s">
        <v>2534</v>
      </c>
      <c r="D18" s="6" t="s">
        <v>1904</v>
      </c>
      <c r="E18" s="8"/>
      <c r="F18" s="7" t="s">
        <v>737</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milscm_2023_009.sny_202310_backup_mt2_iryouken2.del_f IS '削除フラグ';</v>
      </c>
    </row>
    <row r="19" spans="1:52" s="25" customFormat="1" ht="37.5">
      <c r="A19" s="4"/>
      <c r="B19" s="21">
        <f t="shared" si="2"/>
        <v>7</v>
      </c>
      <c r="C19" s="6" t="s">
        <v>1967</v>
      </c>
      <c r="D19" s="6" t="s">
        <v>1906</v>
      </c>
      <c r="E19" s="8" t="s">
        <v>127</v>
      </c>
      <c r="F19" s="7" t="s">
        <v>737</v>
      </c>
      <c r="G19" s="7" t="str">
        <f t="shared" si="3"/>
        <v>text</v>
      </c>
      <c r="H19" s="26">
        <v>99999999</v>
      </c>
      <c r="I19" s="10" t="s">
        <v>127</v>
      </c>
      <c r="J19" s="11" t="s">
        <v>2536</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milscm_2023_009.sny_202310_backup_mt2_iryouken2.henkou_ymd IS '変更年月日';</v>
      </c>
    </row>
    <row r="20" spans="1:52" s="25" customFormat="1" ht="38.25" thickBot="1">
      <c r="A20" s="4"/>
      <c r="B20" s="27">
        <f>ROW()-12</f>
        <v>8</v>
      </c>
      <c r="C20" s="57" t="s">
        <v>1907</v>
      </c>
      <c r="D20" s="57" t="s">
        <v>1908</v>
      </c>
      <c r="E20" s="56" t="s">
        <v>127</v>
      </c>
      <c r="F20" s="56" t="s">
        <v>737</v>
      </c>
      <c r="G20" s="56" t="str">
        <f t="shared" si="3"/>
        <v>text</v>
      </c>
      <c r="H20" s="59">
        <v>99999999</v>
      </c>
      <c r="I20" s="60" t="s">
        <v>127</v>
      </c>
      <c r="J20" s="64" t="s">
        <v>2537</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milscm_2023_009.sny_202310_backup_mt2_iryouken2.del_ymd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1912</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01</v>
      </c>
      <c r="E4" s="249"/>
      <c r="F4" s="249"/>
      <c r="G4" s="249"/>
      <c r="H4" s="249"/>
      <c r="I4" s="249"/>
      <c r="J4" s="250"/>
    </row>
    <row r="5" spans="1:52">
      <c r="B5" s="262" t="s">
        <v>3702</v>
      </c>
      <c r="C5" s="263"/>
      <c r="D5" s="272" t="str">
        <f>VLOOKUP(D7,エンティティ一覧!A1:'エンティティ一覧'!AM10204,7,FALSE)</f>
        <v>backup</v>
      </c>
      <c r="E5" s="273"/>
      <c r="F5" s="273"/>
      <c r="G5" s="273"/>
      <c r="H5" s="273"/>
      <c r="I5" s="273"/>
      <c r="J5" s="274"/>
    </row>
    <row r="6" spans="1:52">
      <c r="B6" s="262" t="s">
        <v>3703</v>
      </c>
      <c r="C6" s="263"/>
      <c r="D6" s="272" t="str">
        <f>VLOOKUP(D7,エンティティ一覧!A1:'エンティティ一覧'!AM10204,15,FALSE)</f>
        <v>ENT_01_A4-05</v>
      </c>
      <c r="E6" s="273"/>
      <c r="F6" s="273"/>
      <c r="G6" s="273"/>
      <c r="H6" s="273"/>
      <c r="I6" s="273"/>
      <c r="J6" s="274"/>
    </row>
    <row r="7" spans="1:52">
      <c r="B7" s="262" t="s">
        <v>115</v>
      </c>
      <c r="C7" s="263"/>
      <c r="D7" s="264" t="s">
        <v>2538</v>
      </c>
      <c r="E7" s="265"/>
      <c r="F7" s="265"/>
      <c r="G7" s="265"/>
      <c r="H7" s="265"/>
      <c r="I7" s="265"/>
      <c r="J7" s="266"/>
    </row>
    <row r="8" spans="1:52">
      <c r="B8" s="262" t="s">
        <v>116</v>
      </c>
      <c r="C8" s="263"/>
      <c r="D8" s="264" t="str">
        <f>エンティティ一覧!AE2&amp;"_"&amp;D5&amp;"_mt2_old_new_shisetsu"</f>
        <v>sny_202310_backup_mt2_old_new_shisetsu</v>
      </c>
      <c r="E8" s="265"/>
      <c r="F8" s="265"/>
      <c r="G8" s="265"/>
      <c r="H8" s="265"/>
      <c r="I8" s="265"/>
      <c r="J8" s="266"/>
    </row>
    <row r="9" spans="1:52" ht="19.5" customHeight="1" thickBot="1">
      <c r="B9" s="267" t="s">
        <v>117</v>
      </c>
      <c r="C9" s="268"/>
      <c r="D9" s="269" t="str">
        <f>SUBSTITUTE(D7,"バックアップ_","")&amp;"テーブルから組入れ条件の第一条件で絞り込んだ結果を格納するテーブル"</f>
        <v>施設ID対応マスタテーブルから組入れ条件の第一条件で絞り込んだ結果を格納するテーブル</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milscm_2023_009.sny_202310_backup_mt2_old_new_shisetsu;</v>
      </c>
      <c r="O10" s="76"/>
      <c r="P10" s="76"/>
      <c r="Q10" s="76"/>
      <c r="R10" s="76"/>
      <c r="S10" s="76"/>
      <c r="T10" s="76"/>
      <c r="AJ10" s="76" t="str">
        <f>"ALTER TABLE ONLY "&amp;エンティティ一覧!$O$2&amp;"."&amp;D$8</f>
        <v>ALTER TABLE ONLY milscm_2023_009.sny_202310_backup_mt2_old_new_shisetsu</v>
      </c>
      <c r="AS10" s="76" t="str">
        <f>"ALTER TABLE "&amp;エンティティ一覧!$O$2&amp;"."&amp;D$8&amp;" OWNER TO pgmisgrp1;"</f>
        <v>ALTER TABLE milscm_2023_009.sny_202310_backup_mt2_old_new_shisetsu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milscm_2023_009.sny_202310_backup_mt2_old_new_shisetsu</v>
      </c>
      <c r="O11" s="76"/>
      <c r="P11" s="76"/>
      <c r="Q11" s="76"/>
      <c r="R11" s="76"/>
      <c r="S11" s="76"/>
      <c r="T11" s="76"/>
      <c r="AJ11" s="76" t="str">
        <f>"ADD CONSTRAINT "&amp;D$8&amp;"_pkey PRIMARY KEY"</f>
        <v>ADD CONSTRAINT sny_202310_backup_mt2_old_new_shisetsu_pkey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2539</v>
      </c>
      <c r="D13" s="6" t="s">
        <v>2540</v>
      </c>
      <c r="E13" s="8" t="s">
        <v>127</v>
      </c>
      <c r="F13" s="8" t="s">
        <v>737</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2541</v>
      </c>
      <c r="D14" s="6" t="s">
        <v>2542</v>
      </c>
      <c r="E14" s="8"/>
      <c r="F14" s="7" t="s">
        <v>737</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milscm_2023_009.sny_202310_backup_mt2_old_new_shisetsu.new_facility_id IS '新施設ID';</v>
      </c>
    </row>
    <row r="15" spans="1:52" s="25" customFormat="1" ht="19.5" thickBot="1">
      <c r="A15" s="4"/>
      <c r="B15" s="27">
        <f>ROW()-12</f>
        <v>3</v>
      </c>
      <c r="C15" s="57" t="s">
        <v>2543</v>
      </c>
      <c r="D15" s="57" t="s">
        <v>1936</v>
      </c>
      <c r="E15" s="56"/>
      <c r="F15" s="56" t="s">
        <v>737</v>
      </c>
      <c r="G15" s="56" t="str">
        <f t="shared" si="3"/>
        <v>text</v>
      </c>
      <c r="H15" s="59">
        <v>99999999</v>
      </c>
      <c r="I15" s="60" t="s">
        <v>127</v>
      </c>
      <c r="J15" s="64" t="s">
        <v>1794</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ENT_01_A4-07</v>
      </c>
      <c r="E6" s="273"/>
      <c r="F6" s="273"/>
      <c r="G6" s="273"/>
      <c r="H6" s="273"/>
      <c r="I6" s="273"/>
      <c r="J6" s="274"/>
    </row>
    <row r="7" spans="1:45">
      <c r="B7" s="262" t="s">
        <v>115</v>
      </c>
      <c r="C7" s="263"/>
      <c r="D7" s="264" t="s">
        <v>2546</v>
      </c>
      <c r="E7" s="265"/>
      <c r="F7" s="265"/>
      <c r="G7" s="265"/>
      <c r="H7" s="265"/>
      <c r="I7" s="265"/>
      <c r="J7" s="266"/>
    </row>
    <row r="8" spans="1:45">
      <c r="B8" s="262" t="s">
        <v>116</v>
      </c>
      <c r="C8" s="263"/>
      <c r="D8" s="264" t="str">
        <f>エンティティ一覧!AE2&amp;"_"&amp;D5&amp;"_mt2_iyakuhin_kanren"</f>
        <v>sny_202310_backup_mt2_iyakuhin_kanren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医薬品関連マスタテーブルから組入れ条件の第一条件で絞り込んだ結果を格納するテーブル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milscm_2023_009.sny_202310_backup_mt2_iyakuhin_kanren;</v>
      </c>
      <c r="O10" s="76"/>
      <c r="P10" s="76"/>
      <c r="Q10" s="76"/>
      <c r="R10" s="76"/>
      <c r="S10" s="76"/>
      <c r="T10" s="76"/>
      <c r="AJ10" s="76" t="str">
        <f>"ALTER TABLE ONLY "&amp;エンティティ一覧!$O$2&amp;"."&amp;D$8</f>
        <v>ALTER TABLE ONLY milscm_2023_009.sny_202310_backup_mt2_iyakuhin_kanren</v>
      </c>
      <c r="AS10" s="76" t="str">
        <f>"ALTER TABLE "&amp;エンティティ一覧!$O$2&amp;"."&amp;D$8&amp;" OWNER TO pgmisgrp1;"</f>
        <v>ALTER TABLE milscm_2023_009.sny_202310_backup_mt2_iyakuhin_kanren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milscm_2023_009.sny_202310_backup_mt2_iyakuhin_kanren</v>
      </c>
      <c r="O11" s="76"/>
      <c r="P11" s="76"/>
      <c r="Q11" s="76"/>
      <c r="R11" s="76"/>
      <c r="S11" s="76"/>
      <c r="T11" s="76"/>
      <c r="AJ11" s="76" t="str">
        <f>"ADD CONSTRAINT "&amp;D$8&amp;"_pkey PRIMARY KEY"</f>
        <v>ADD CONSTRAINT sny_202310_backup_mt2_iyakuhin_kanren_pkey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1157</v>
      </c>
      <c r="D13" s="6" t="s">
        <v>2547</v>
      </c>
      <c r="E13" s="8" t="s">
        <v>127</v>
      </c>
      <c r="F13" s="8" t="s">
        <v>737</v>
      </c>
      <c r="G13" s="7" t="str">
        <f>IF(F13="フラグ","boolean",IF(F13="文字列","text",IF(F13="整数","integer",IF(F13="実数","numeric",""))))</f>
        <v>text</v>
      </c>
      <c r="H13" s="9"/>
      <c r="I13" s="10" t="s">
        <v>127</v>
      </c>
      <c r="J13" s="11" t="s">
        <v>2587</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2548</v>
      </c>
      <c r="D14" s="6" t="s">
        <v>2549</v>
      </c>
      <c r="E14" s="8"/>
      <c r="F14" s="7" t="s">
        <v>737</v>
      </c>
      <c r="G14" s="7" t="str">
        <f t="shared" ref="G14:G38" si="3">IF(F14="フラグ","boolean",IF(F14="文字列","text",IF(F14="整数","integer",IF(F14="実数","numeric",""))))</f>
        <v>text</v>
      </c>
      <c r="H14" s="26"/>
      <c r="I14" s="10" t="s">
        <v>127</v>
      </c>
      <c r="J14" s="11" t="s">
        <v>2588</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milscm_2023_009.sny_202310_backup_mt2_iyakuhin_kanren.iyakuhin_brand_cd IS '医薬品ブランドコード';</v>
      </c>
    </row>
    <row r="15" spans="1:45" s="25" customFormat="1">
      <c r="A15" s="4"/>
      <c r="B15" s="21">
        <f t="shared" si="2"/>
        <v>3</v>
      </c>
      <c r="C15" s="6" t="s">
        <v>2550</v>
      </c>
      <c r="D15" s="6" t="s">
        <v>2551</v>
      </c>
      <c r="E15" s="8"/>
      <c r="F15" s="7" t="s">
        <v>737</v>
      </c>
      <c r="G15" s="7" t="str">
        <f t="shared" si="3"/>
        <v>text</v>
      </c>
      <c r="H15" s="26"/>
      <c r="I15" s="10" t="s">
        <v>127</v>
      </c>
      <c r="J15" s="11" t="s">
        <v>2588</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2552</v>
      </c>
      <c r="D16" s="6" t="s">
        <v>2553</v>
      </c>
      <c r="E16" s="8"/>
      <c r="F16" s="7" t="s">
        <v>737</v>
      </c>
      <c r="G16" s="7" t="str">
        <f t="shared" si="3"/>
        <v>text</v>
      </c>
      <c r="H16" s="26"/>
      <c r="I16" s="10" t="s">
        <v>127</v>
      </c>
      <c r="J16" s="11" t="s">
        <v>2588</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2554</v>
      </c>
      <c r="D17" s="6" t="s">
        <v>2555</v>
      </c>
      <c r="E17" s="8"/>
      <c r="F17" s="7" t="s">
        <v>737</v>
      </c>
      <c r="G17" s="7" t="str">
        <f t="shared" si="3"/>
        <v>text</v>
      </c>
      <c r="H17" s="26"/>
      <c r="I17" s="10" t="s">
        <v>127</v>
      </c>
      <c r="J17" s="11" t="s">
        <v>2588</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2556</v>
      </c>
      <c r="D18" s="6" t="s">
        <v>2557</v>
      </c>
      <c r="E18" s="8"/>
      <c r="F18" s="7" t="s">
        <v>737</v>
      </c>
      <c r="G18" s="7" t="str">
        <f t="shared" si="3"/>
        <v>text</v>
      </c>
      <c r="H18" s="26"/>
      <c r="I18" s="10" t="s">
        <v>127</v>
      </c>
      <c r="J18" s="11" t="s">
        <v>2588</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2558</v>
      </c>
      <c r="D19" s="6" t="s">
        <v>2559</v>
      </c>
      <c r="E19" s="8"/>
      <c r="F19" s="7" t="s">
        <v>737</v>
      </c>
      <c r="G19" s="7" t="str">
        <f t="shared" si="3"/>
        <v>text</v>
      </c>
      <c r="H19" s="26"/>
      <c r="I19" s="10" t="s">
        <v>127</v>
      </c>
      <c r="J19" s="11" t="s">
        <v>2588</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2560</v>
      </c>
      <c r="D20" s="6" t="s">
        <v>2561</v>
      </c>
      <c r="E20" s="8"/>
      <c r="F20" s="7" t="s">
        <v>737</v>
      </c>
      <c r="G20" s="7" t="str">
        <f t="shared" si="3"/>
        <v>text</v>
      </c>
      <c r="H20" s="26"/>
      <c r="I20" s="10" t="s">
        <v>127</v>
      </c>
      <c r="J20" s="11" t="s">
        <v>2588</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2562</v>
      </c>
      <c r="D21" s="6" t="s">
        <v>2563</v>
      </c>
      <c r="E21" s="8"/>
      <c r="F21" s="7" t="s">
        <v>737</v>
      </c>
      <c r="G21" s="7" t="str">
        <f t="shared" si="3"/>
        <v>text</v>
      </c>
      <c r="H21" s="26"/>
      <c r="I21" s="10"/>
      <c r="J21" s="11" t="s">
        <v>2588</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2564</v>
      </c>
      <c r="D22" s="6" t="s">
        <v>2565</v>
      </c>
      <c r="E22" s="8"/>
      <c r="F22" s="7" t="s">
        <v>737</v>
      </c>
      <c r="G22" s="7" t="str">
        <f t="shared" si="3"/>
        <v>text</v>
      </c>
      <c r="H22" s="26"/>
      <c r="I22" s="10" t="s">
        <v>127</v>
      </c>
      <c r="J22" s="11" t="s">
        <v>2588</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milscm_2023_009.sny_202310_backup_mt2_iyakuhin_kanren.iyakuhin_jpn_name IS '医薬品日本語名';</v>
      </c>
    </row>
    <row r="23" spans="1:45" s="25" customFormat="1">
      <c r="A23" s="4"/>
      <c r="B23" s="21">
        <f t="shared" si="2"/>
        <v>11</v>
      </c>
      <c r="C23" s="6" t="s">
        <v>2566</v>
      </c>
      <c r="D23" s="6" t="s">
        <v>2567</v>
      </c>
      <c r="E23" s="8"/>
      <c r="F23" s="7" t="s">
        <v>737</v>
      </c>
      <c r="G23" s="7" t="str">
        <f t="shared" si="3"/>
        <v>text</v>
      </c>
      <c r="H23" s="26"/>
      <c r="I23" s="10" t="s">
        <v>127</v>
      </c>
      <c r="J23" s="11" t="s">
        <v>2589</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2568</v>
      </c>
      <c r="D24" s="6" t="s">
        <v>2112</v>
      </c>
      <c r="E24" s="8"/>
      <c r="F24" s="7" t="s">
        <v>737</v>
      </c>
      <c r="G24" s="7" t="str">
        <f t="shared" si="3"/>
        <v>text</v>
      </c>
      <c r="H24" s="26"/>
      <c r="I24" s="10" t="s">
        <v>127</v>
      </c>
      <c r="J24" s="11" t="s">
        <v>2590</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2569</v>
      </c>
      <c r="D25" s="6" t="s">
        <v>2114</v>
      </c>
      <c r="E25" s="8"/>
      <c r="F25" s="7" t="s">
        <v>737</v>
      </c>
      <c r="G25" s="7" t="str">
        <f t="shared" si="3"/>
        <v>text</v>
      </c>
      <c r="H25" s="26"/>
      <c r="I25" s="10" t="s">
        <v>127</v>
      </c>
      <c r="J25" s="11" t="s">
        <v>2591</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milscm_2023_009.sny_202310_backup_mt2_iyakuhin_kanren.iyakuhin_name IS '医薬品一般名英名';</v>
      </c>
    </row>
    <row r="26" spans="1:45" s="25" customFormat="1">
      <c r="A26" s="4"/>
      <c r="B26" s="21">
        <f t="shared" si="2"/>
        <v>14</v>
      </c>
      <c r="C26" s="6" t="s">
        <v>2570</v>
      </c>
      <c r="D26" s="6" t="s">
        <v>2571</v>
      </c>
      <c r="E26" s="8"/>
      <c r="F26" s="7" t="s">
        <v>737</v>
      </c>
      <c r="G26" s="7" t="str">
        <f t="shared" si="3"/>
        <v>text</v>
      </c>
      <c r="H26" s="26"/>
      <c r="I26" s="10" t="s">
        <v>127</v>
      </c>
      <c r="J26" s="11" t="s">
        <v>2592</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milscm_2023_009.sny_202310_backup_mt2_iyakuhin_kanren.yakko_bunrui1_jpn_name IS '薬効分類1名';</v>
      </c>
    </row>
    <row r="27" spans="1:45" s="25" customFormat="1">
      <c r="A27" s="4"/>
      <c r="B27" s="21">
        <f t="shared" si="2"/>
        <v>15</v>
      </c>
      <c r="C27" s="6" t="s">
        <v>2572</v>
      </c>
      <c r="D27" s="6" t="s">
        <v>2573</v>
      </c>
      <c r="E27" s="8"/>
      <c r="F27" s="7" t="s">
        <v>737</v>
      </c>
      <c r="G27" s="7" t="str">
        <f t="shared" si="3"/>
        <v>text</v>
      </c>
      <c r="H27" s="26"/>
      <c r="I27" s="10" t="s">
        <v>127</v>
      </c>
      <c r="J27" s="11" t="s">
        <v>2593</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milscm_2023_009.sny_202310_backup_mt2_iyakuhin_kanren.yakko_bunrui2_jpn_name IS '薬効分類2名';</v>
      </c>
    </row>
    <row r="28" spans="1:45" s="25" customFormat="1">
      <c r="A28" s="4"/>
      <c r="B28" s="21">
        <f t="shared" si="2"/>
        <v>16</v>
      </c>
      <c r="C28" s="6" t="s">
        <v>2574</v>
      </c>
      <c r="D28" s="6" t="s">
        <v>2575</v>
      </c>
      <c r="E28" s="8"/>
      <c r="F28" s="7" t="s">
        <v>737</v>
      </c>
      <c r="G28" s="7" t="str">
        <f t="shared" ref="G28:G36" si="7">IF(F28="フラグ","boolean",IF(F28="文字列","text",IF(F28="整数","integer",IF(F28="実数","numeric",""))))</f>
        <v>text</v>
      </c>
      <c r="H28" s="26"/>
      <c r="I28" s="10" t="s">
        <v>127</v>
      </c>
      <c r="J28" s="11" t="s">
        <v>2594</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milscm_2023_009.sny_202310_backup_mt2_iyakuhin_kanren.yakko_bunrui3_jpn_name IS '薬効分類3名';</v>
      </c>
    </row>
    <row r="29" spans="1:45" s="25" customFormat="1">
      <c r="A29" s="4"/>
      <c r="B29" s="21">
        <f t="shared" si="2"/>
        <v>17</v>
      </c>
      <c r="C29" s="6" t="s">
        <v>2576</v>
      </c>
      <c r="D29" s="6" t="s">
        <v>2577</v>
      </c>
      <c r="E29" s="8"/>
      <c r="F29" s="7" t="s">
        <v>737</v>
      </c>
      <c r="G29" s="7" t="str">
        <f t="shared" si="7"/>
        <v>text</v>
      </c>
      <c r="H29" s="26"/>
      <c r="I29" s="10" t="s">
        <v>127</v>
      </c>
      <c r="J29" s="11" t="s">
        <v>2595</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milscm_2023_009.sny_202310_backup_mt2_iyakuhin_kanren.yakko_bunrui4_jpn_name IS '薬効分類4名';</v>
      </c>
    </row>
    <row r="30" spans="1:45" s="25" customFormat="1">
      <c r="A30" s="4"/>
      <c r="B30" s="21">
        <f t="shared" si="2"/>
        <v>18</v>
      </c>
      <c r="C30" s="6" t="s">
        <v>2578</v>
      </c>
      <c r="D30" s="6" t="s">
        <v>2579</v>
      </c>
      <c r="E30" s="8"/>
      <c r="F30" s="7" t="s">
        <v>737</v>
      </c>
      <c r="G30" s="7" t="str">
        <f t="shared" si="7"/>
        <v>text</v>
      </c>
      <c r="H30" s="26"/>
      <c r="I30" s="10" t="s">
        <v>127</v>
      </c>
      <c r="J30" s="11" t="s">
        <v>2596</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2580</v>
      </c>
      <c r="D31" s="6" t="s">
        <v>2581</v>
      </c>
      <c r="E31" s="8"/>
      <c r="F31" s="7" t="s">
        <v>737</v>
      </c>
      <c r="G31" s="7" t="str">
        <f t="shared" si="7"/>
        <v>text</v>
      </c>
      <c r="H31" s="26"/>
      <c r="I31" s="10"/>
      <c r="J31" s="11" t="s">
        <v>2597</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2582</v>
      </c>
      <c r="D32" s="6" t="s">
        <v>2583</v>
      </c>
      <c r="E32" s="8"/>
      <c r="F32" s="7" t="s">
        <v>737</v>
      </c>
      <c r="G32" s="7" t="str">
        <f t="shared" si="7"/>
        <v>text</v>
      </c>
      <c r="H32" s="26">
        <v>0</v>
      </c>
      <c r="I32" s="10" t="s">
        <v>127</v>
      </c>
      <c r="J32" s="11" t="s">
        <v>2588</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2584</v>
      </c>
      <c r="D33" s="6" t="s">
        <v>2585</v>
      </c>
      <c r="E33" s="8"/>
      <c r="F33" s="7" t="s">
        <v>737</v>
      </c>
      <c r="G33" s="7" t="str">
        <f t="shared" si="7"/>
        <v>text</v>
      </c>
      <c r="H33" s="26"/>
      <c r="I33" s="10" t="s">
        <v>127</v>
      </c>
      <c r="J33" s="11" t="s">
        <v>2588</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milscm_2023_009.sny_202310_backup_mt2_iyakuhin_kanren.toyo_keiro_kubun IS '投与経路区分';</v>
      </c>
    </row>
    <row r="34" spans="1:52" s="25" customFormat="1" ht="37.5">
      <c r="A34" s="4"/>
      <c r="B34" s="21">
        <f t="shared" si="2"/>
        <v>22</v>
      </c>
      <c r="C34" s="6" t="s">
        <v>1913</v>
      </c>
      <c r="D34" s="6" t="s">
        <v>2586</v>
      </c>
      <c r="E34" s="8" t="s">
        <v>127</v>
      </c>
      <c r="F34" s="7" t="s">
        <v>737</v>
      </c>
      <c r="G34" s="7" t="str">
        <f t="shared" si="7"/>
        <v>text</v>
      </c>
      <c r="H34" s="26" t="s">
        <v>1920</v>
      </c>
      <c r="I34" s="10" t="s">
        <v>127</v>
      </c>
      <c r="J34" s="11" t="s">
        <v>2598</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2507</v>
      </c>
      <c r="D35" s="6" t="s">
        <v>2508</v>
      </c>
      <c r="E35" s="8"/>
      <c r="F35" s="7" t="s">
        <v>737</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milscm_2023_009.sny_202310_backup_mt2_iyakuhin_kanren.new_f IS '最新フラグ';</v>
      </c>
    </row>
    <row r="36" spans="1:52" s="25" customFormat="1" ht="37.5">
      <c r="A36" s="4"/>
      <c r="B36" s="21">
        <f t="shared" si="2"/>
        <v>24</v>
      </c>
      <c r="C36" s="6" t="s">
        <v>2534</v>
      </c>
      <c r="D36" s="6" t="s">
        <v>1904</v>
      </c>
      <c r="E36" s="8"/>
      <c r="F36" s="7" t="s">
        <v>737</v>
      </c>
      <c r="G36" s="7" t="str">
        <f t="shared" si="7"/>
        <v>text</v>
      </c>
      <c r="H36" s="26">
        <v>0</v>
      </c>
      <c r="I36" s="10" t="s">
        <v>127</v>
      </c>
      <c r="J36" s="11" t="s">
        <v>2599</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milscm_2023_009.sny_202310_backup_mt2_iyakuhin_kanren.del_f IS '削除フラグ';</v>
      </c>
    </row>
    <row r="37" spans="1:52" s="25" customFormat="1" ht="37.5">
      <c r="A37" s="4"/>
      <c r="B37" s="21">
        <f t="shared" si="2"/>
        <v>25</v>
      </c>
      <c r="C37" s="6" t="s">
        <v>1967</v>
      </c>
      <c r="D37" s="6" t="s">
        <v>1906</v>
      </c>
      <c r="E37" s="8"/>
      <c r="F37" s="7" t="s">
        <v>737</v>
      </c>
      <c r="G37" s="7" t="str">
        <f t="shared" si="3"/>
        <v>text</v>
      </c>
      <c r="H37" s="26" t="s">
        <v>1920</v>
      </c>
      <c r="I37" s="10" t="s">
        <v>127</v>
      </c>
      <c r="J37" s="11" t="s">
        <v>2600</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milscm_2023_009.sny_202310_backup_mt2_iyakuhin_kanren.henkou_ymd IS '変更年月日';</v>
      </c>
    </row>
    <row r="38" spans="1:52" s="25" customFormat="1" ht="38.25" thickBot="1">
      <c r="A38" s="4"/>
      <c r="B38" s="27">
        <f>ROW()-12</f>
        <v>26</v>
      </c>
      <c r="C38" s="57" t="s">
        <v>1907</v>
      </c>
      <c r="D38" s="57" t="s">
        <v>1908</v>
      </c>
      <c r="E38" s="56"/>
      <c r="F38" s="56" t="s">
        <v>737</v>
      </c>
      <c r="G38" s="56" t="str">
        <f t="shared" si="3"/>
        <v>text</v>
      </c>
      <c r="H38" s="59" t="s">
        <v>1920</v>
      </c>
      <c r="I38" s="60" t="s">
        <v>127</v>
      </c>
      <c r="J38" s="64" t="s">
        <v>2601</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ENT_01_A4-08</v>
      </c>
      <c r="E6" s="273"/>
      <c r="F6" s="273"/>
      <c r="G6" s="273"/>
      <c r="H6" s="273"/>
      <c r="I6" s="273"/>
      <c r="J6" s="274"/>
    </row>
    <row r="7" spans="1:45">
      <c r="B7" s="262" t="s">
        <v>115</v>
      </c>
      <c r="C7" s="263"/>
      <c r="D7" s="264" t="s">
        <v>2602</v>
      </c>
      <c r="E7" s="265"/>
      <c r="F7" s="265"/>
      <c r="G7" s="265"/>
      <c r="H7" s="265"/>
      <c r="I7" s="265"/>
      <c r="J7" s="266"/>
    </row>
    <row r="8" spans="1:45">
      <c r="B8" s="262" t="s">
        <v>116</v>
      </c>
      <c r="C8" s="263"/>
      <c r="D8" s="264" t="str">
        <f>エンティティ一覧!AE2&amp;"_"&amp;D5&amp;"_mt2_price_kanren"</f>
        <v>sny_202310_backup_mt2_price_kanren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薬価関連マスタテーブルから組入れ条件の第一条件で絞り込んだ結果を格納するテーブル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milscm_2023_009.sny_202310_backup_mt2_price_kanren;</v>
      </c>
      <c r="O10" s="76"/>
      <c r="P10" s="76"/>
      <c r="Q10" s="76"/>
      <c r="R10" s="76"/>
      <c r="S10" s="76"/>
      <c r="T10" s="76"/>
      <c r="AJ10" s="76" t="str">
        <f>"ALTER TABLE ONLY "&amp;エンティティ一覧!$O$2&amp;"."&amp;D$8</f>
        <v>ALTER TABLE ONLY milscm_2023_009.sny_202310_backup_mt2_price_kanren</v>
      </c>
      <c r="AS10" s="76" t="str">
        <f>"ALTER TABLE "&amp;エンティティ一覧!$O$2&amp;"."&amp;D$8&amp;" OWNER TO pgmisgrp1;"</f>
        <v>ALTER TABLE milscm_2023_009.sny_202310_backup_mt2_price_kanren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milscm_2023_009.sny_202310_backup_mt2_price_kanren</v>
      </c>
      <c r="O11" s="76"/>
      <c r="P11" s="76"/>
      <c r="Q11" s="76"/>
      <c r="R11" s="76"/>
      <c r="S11" s="76"/>
      <c r="T11" s="76"/>
      <c r="AJ11" s="76" t="str">
        <f>"ADD CONSTRAINT "&amp;D$8&amp;"_pkey PRIMARY KEY"</f>
        <v>ADD CONSTRAINT sny_202310_backup_mt2_price_kanren_pkey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1157</v>
      </c>
      <c r="D13" s="6" t="s">
        <v>1158</v>
      </c>
      <c r="E13" s="8" t="s">
        <v>127</v>
      </c>
      <c r="F13" s="8" t="s">
        <v>737</v>
      </c>
      <c r="G13" s="7" t="str">
        <f>IF(F13="フラグ","boolean",IF(F13="文字列","text",IF(F13="整数","integer",IF(F13="実数","numeric",""))))</f>
        <v>text</v>
      </c>
      <c r="H13" s="9"/>
      <c r="I13" s="10" t="s">
        <v>127</v>
      </c>
      <c r="J13" s="11" t="s">
        <v>2606</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2603</v>
      </c>
      <c r="D14" s="6" t="s">
        <v>2604</v>
      </c>
      <c r="E14" s="8"/>
      <c r="F14" s="7" t="s">
        <v>2605</v>
      </c>
      <c r="G14" s="7" t="str">
        <f t="shared" ref="G14:G19" si="3">IF(F14="フラグ","boolean",IF(F14="文字列","text",IF(F14="整数","integer",IF(F14="実数","numeric",""))))</f>
        <v>numeric</v>
      </c>
      <c r="H14" s="26"/>
      <c r="I14" s="10" t="s">
        <v>127</v>
      </c>
      <c r="J14" s="11" t="s">
        <v>2606</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milscm_2023_009.sny_202310_backup_mt2_price_kanren.price IS '薬価';</v>
      </c>
    </row>
    <row r="15" spans="1:45" s="25" customFormat="1" ht="37.5">
      <c r="A15" s="4"/>
      <c r="B15" s="21">
        <f t="shared" si="2"/>
        <v>3</v>
      </c>
      <c r="C15" s="6" t="s">
        <v>1913</v>
      </c>
      <c r="D15" s="6" t="s">
        <v>2586</v>
      </c>
      <c r="E15" s="8" t="s">
        <v>127</v>
      </c>
      <c r="F15" s="7" t="s">
        <v>737</v>
      </c>
      <c r="G15" s="7" t="str">
        <f t="shared" si="3"/>
        <v>text</v>
      </c>
      <c r="H15" s="26">
        <v>99999999</v>
      </c>
      <c r="I15" s="10" t="s">
        <v>127</v>
      </c>
      <c r="J15" s="11" t="s">
        <v>2607</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2507</v>
      </c>
      <c r="D16" s="6" t="s">
        <v>2508</v>
      </c>
      <c r="E16" s="8"/>
      <c r="F16" s="7" t="s">
        <v>737</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2534</v>
      </c>
      <c r="D17" s="6" t="s">
        <v>1904</v>
      </c>
      <c r="E17" s="8"/>
      <c r="F17" s="7" t="s">
        <v>737</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milscm_2023_009.sny_202310_backup_mt2_price_kanren.del_f IS '削除フラグ';</v>
      </c>
    </row>
    <row r="18" spans="1:52" s="25" customFormat="1" ht="37.5">
      <c r="A18" s="4"/>
      <c r="B18" s="21">
        <f t="shared" si="2"/>
        <v>6</v>
      </c>
      <c r="C18" s="6" t="s">
        <v>1967</v>
      </c>
      <c r="D18" s="6" t="s">
        <v>1906</v>
      </c>
      <c r="E18" s="8"/>
      <c r="F18" s="7" t="s">
        <v>737</v>
      </c>
      <c r="G18" s="7" t="str">
        <f t="shared" si="3"/>
        <v>text</v>
      </c>
      <c r="H18" s="26">
        <v>99999999</v>
      </c>
      <c r="I18" s="10" t="s">
        <v>127</v>
      </c>
      <c r="J18" s="11" t="s">
        <v>2608</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milscm_2023_009.sny_202310_backup_mt2_price_kanren.henkou_ymd IS '変更年月日';</v>
      </c>
    </row>
    <row r="19" spans="1:52" s="25" customFormat="1" ht="38.25" thickBot="1">
      <c r="A19" s="4"/>
      <c r="B19" s="27">
        <f>ROW()-12</f>
        <v>7</v>
      </c>
      <c r="C19" s="57" t="s">
        <v>1907</v>
      </c>
      <c r="D19" s="57" t="s">
        <v>1908</v>
      </c>
      <c r="E19" s="56"/>
      <c r="F19" s="56" t="s">
        <v>737</v>
      </c>
      <c r="G19" s="56" t="str">
        <f t="shared" si="3"/>
        <v>text</v>
      </c>
      <c r="H19" s="59">
        <v>99999999</v>
      </c>
      <c r="I19" s="60" t="s">
        <v>127</v>
      </c>
      <c r="J19" s="64" t="s">
        <v>2608</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ENT_01_A4-09</v>
      </c>
      <c r="E6" s="273"/>
      <c r="F6" s="273"/>
      <c r="G6" s="273"/>
      <c r="H6" s="273"/>
      <c r="I6" s="273"/>
      <c r="J6" s="274"/>
    </row>
    <row r="7" spans="1:45">
      <c r="B7" s="262" t="s">
        <v>115</v>
      </c>
      <c r="C7" s="263"/>
      <c r="D7" s="264" t="s">
        <v>2609</v>
      </c>
      <c r="E7" s="265"/>
      <c r="F7" s="265"/>
      <c r="G7" s="265"/>
      <c r="H7" s="265"/>
      <c r="I7" s="265"/>
      <c r="J7" s="266"/>
    </row>
    <row r="8" spans="1:45">
      <c r="B8" s="262" t="s">
        <v>116</v>
      </c>
      <c r="C8" s="263"/>
      <c r="D8" s="264" t="str">
        <f>エンティティ一覧!AE2&amp;"_"&amp;D5&amp;"_mt2_shinryo_koi_kanren"</f>
        <v>sny_202310_backup_mt2_shinryo_koi_kanren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milscm_2023_009.sny_202310_backup_mt2_shinryo_koi_kanren;</v>
      </c>
      <c r="O10" s="76"/>
      <c r="P10" s="76"/>
      <c r="Q10" s="76"/>
      <c r="R10" s="76"/>
      <c r="S10" s="76"/>
      <c r="T10" s="76"/>
      <c r="AJ10" s="76" t="str">
        <f>"ALTER TABLE ONLY "&amp;エンティティ一覧!$O$2&amp;"."&amp;D$8</f>
        <v>ALTER TABLE ONLY milscm_2023_009.sny_202310_backup_mt2_shinryo_koi_kanren</v>
      </c>
      <c r="AS10" s="76" t="str">
        <f>"ALTER TABLE "&amp;エンティティ一覧!$O$2&amp;"."&amp;D$8&amp;" OWNER TO pgmisgrp1;"</f>
        <v>ALTER TABLE milscm_2023_009.sny_202310_backup_mt2_shinryo_koi_kanren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milscm_2023_009.sny_202310_backup_mt2_shinryo_koi_kanren</v>
      </c>
      <c r="O11" s="76"/>
      <c r="P11" s="76"/>
      <c r="Q11" s="76"/>
      <c r="R11" s="76"/>
      <c r="S11" s="76"/>
      <c r="T11" s="76"/>
      <c r="AJ11" s="76" t="str">
        <f>"ADD CONSTRAINT "&amp;D$8&amp;"_pkey PRIMARY KEY"</f>
        <v>ADD CONSTRAINT sny_202310_backup_mt2_shinryo_koi_kanren_pkey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1125</v>
      </c>
      <c r="D13" s="6" t="s">
        <v>2610</v>
      </c>
      <c r="E13" s="8" t="s">
        <v>127</v>
      </c>
      <c r="F13" s="8" t="s">
        <v>737</v>
      </c>
      <c r="G13" s="7" t="str">
        <f>IF(F13="フラグ","boolean",IF(F13="文字列","text",IF(F13="整数","integer",IF(F13="実数","numeric",""))))</f>
        <v>text</v>
      </c>
      <c r="H13" s="9"/>
      <c r="I13" s="10" t="s">
        <v>127</v>
      </c>
      <c r="J13" s="11" t="s">
        <v>2626</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2611</v>
      </c>
      <c r="D14" s="6" t="s">
        <v>2612</v>
      </c>
      <c r="E14" s="8"/>
      <c r="F14" s="7" t="s">
        <v>737</v>
      </c>
      <c r="G14" s="7" t="str">
        <f t="shared" ref="G14:G26" si="3">IF(F14="フラグ","boolean",IF(F14="文字列","text",IF(F14="整数","integer",IF(F14="実数","numeric",""))))</f>
        <v>text</v>
      </c>
      <c r="H14" s="26"/>
      <c r="I14" s="10"/>
      <c r="J14" s="11" t="s">
        <v>2626</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2613</v>
      </c>
      <c r="D15" s="6" t="s">
        <v>2614</v>
      </c>
      <c r="E15" s="8"/>
      <c r="F15" s="7" t="s">
        <v>737</v>
      </c>
      <c r="G15" s="7" t="str">
        <f t="shared" si="3"/>
        <v>text</v>
      </c>
      <c r="H15" s="26"/>
      <c r="I15" s="10"/>
      <c r="J15" s="11" t="s">
        <v>2626</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2615</v>
      </c>
      <c r="D16" s="6" t="s">
        <v>2616</v>
      </c>
      <c r="E16" s="8"/>
      <c r="F16" s="7" t="s">
        <v>737</v>
      </c>
      <c r="G16" s="7" t="str">
        <f t="shared" si="3"/>
        <v>text</v>
      </c>
      <c r="H16" s="26"/>
      <c r="I16" s="10"/>
      <c r="J16" s="11" t="s">
        <v>2626</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2431</v>
      </c>
      <c r="D17" s="6" t="s">
        <v>2617</v>
      </c>
      <c r="E17" s="8"/>
      <c r="F17" s="7" t="s">
        <v>737</v>
      </c>
      <c r="G17" s="7" t="str">
        <f t="shared" si="3"/>
        <v>text</v>
      </c>
      <c r="H17" s="26"/>
      <c r="I17" s="10"/>
      <c r="J17" s="11" t="s">
        <v>2626</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2334</v>
      </c>
      <c r="D18" s="6" t="s">
        <v>2618</v>
      </c>
      <c r="E18" s="8"/>
      <c r="F18" s="7" t="s">
        <v>737</v>
      </c>
      <c r="G18" s="7" t="str">
        <f t="shared" si="3"/>
        <v>text</v>
      </c>
      <c r="H18" s="26"/>
      <c r="I18" s="10"/>
      <c r="J18" s="11" t="s">
        <v>2626</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milscm_2023_009.sny_202310_backup_mt2_shinryo_koi_kanren.kubun_no IS '点数表区分番号';</v>
      </c>
    </row>
    <row r="19" spans="1:52" s="25" customFormat="1" ht="56.25">
      <c r="A19" s="4"/>
      <c r="B19" s="21">
        <f t="shared" si="2"/>
        <v>7</v>
      </c>
      <c r="C19" s="6" t="s">
        <v>1129</v>
      </c>
      <c r="D19" s="6" t="s">
        <v>47</v>
      </c>
      <c r="E19" s="8"/>
      <c r="F19" s="7" t="s">
        <v>2605</v>
      </c>
      <c r="G19" s="7" t="str">
        <f t="shared" si="3"/>
        <v>numeric</v>
      </c>
      <c r="H19" s="26"/>
      <c r="I19" s="10" t="s">
        <v>127</v>
      </c>
      <c r="J19" s="11" t="s">
        <v>2623</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milscm_2023_009.sny_202310_backup_mt2_shinryo_koi_kanren.point IS '点数';</v>
      </c>
    </row>
    <row r="20" spans="1:52" s="25" customFormat="1">
      <c r="A20" s="4"/>
      <c r="B20" s="21">
        <f t="shared" si="2"/>
        <v>8</v>
      </c>
      <c r="C20" s="6" t="s">
        <v>2619</v>
      </c>
      <c r="D20" s="6" t="s">
        <v>222</v>
      </c>
      <c r="E20" s="8"/>
      <c r="F20" s="7" t="s">
        <v>737</v>
      </c>
      <c r="G20" s="7" t="str">
        <f t="shared" si="3"/>
        <v>text</v>
      </c>
      <c r="H20" s="26"/>
      <c r="I20" s="10" t="s">
        <v>127</v>
      </c>
      <c r="J20" s="11" t="s">
        <v>2624</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2620</v>
      </c>
      <c r="D21" s="6" t="s">
        <v>2621</v>
      </c>
      <c r="E21" s="8"/>
      <c r="F21" s="7" t="s">
        <v>737</v>
      </c>
      <c r="G21" s="7" t="str">
        <f t="shared" si="3"/>
        <v>text</v>
      </c>
      <c r="H21" s="26"/>
      <c r="I21" s="10" t="s">
        <v>127</v>
      </c>
      <c r="J21" s="11" t="s">
        <v>2624</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milscm_2023_009.sny_202310_backup_mt2_shinryo_koi_kanren.shinryo_koi_kihonname IS '診療行為名';</v>
      </c>
    </row>
    <row r="22" spans="1:52" s="25" customFormat="1" ht="37.5">
      <c r="A22" s="4"/>
      <c r="B22" s="21">
        <f t="shared" si="2"/>
        <v>10</v>
      </c>
      <c r="C22" s="6" t="s">
        <v>2622</v>
      </c>
      <c r="D22" s="6" t="s">
        <v>1881</v>
      </c>
      <c r="E22" s="8" t="s">
        <v>127</v>
      </c>
      <c r="F22" s="7" t="s">
        <v>737</v>
      </c>
      <c r="G22" s="7" t="str">
        <f t="shared" si="3"/>
        <v>text</v>
      </c>
      <c r="H22" s="26"/>
      <c r="I22" s="10" t="s">
        <v>127</v>
      </c>
      <c r="J22" s="11" t="s">
        <v>2625</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2507</v>
      </c>
      <c r="D23" s="6" t="s">
        <v>2508</v>
      </c>
      <c r="E23" s="8"/>
      <c r="F23" s="7" t="s">
        <v>737</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milscm_2023_009.sny_202310_backup_mt2_shinryo_koi_kanren.new_f IS '最新フラグ';</v>
      </c>
    </row>
    <row r="24" spans="1:52" s="25" customFormat="1" ht="37.5">
      <c r="A24" s="4"/>
      <c r="B24" s="21">
        <f t="shared" si="2"/>
        <v>12</v>
      </c>
      <c r="C24" s="6" t="s">
        <v>2534</v>
      </c>
      <c r="D24" s="6" t="s">
        <v>1904</v>
      </c>
      <c r="E24" s="8"/>
      <c r="F24" s="7" t="s">
        <v>737</v>
      </c>
      <c r="G24" s="7" t="str">
        <f t="shared" si="3"/>
        <v>text</v>
      </c>
      <c r="H24" s="26">
        <v>0</v>
      </c>
      <c r="I24" s="10" t="s">
        <v>127</v>
      </c>
      <c r="J24" s="11" t="s">
        <v>2627</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milscm_2023_009.sny_202310_backup_mt2_shinryo_koi_kanren.del_f IS '削除フラグ';</v>
      </c>
    </row>
    <row r="25" spans="1:52" s="25" customFormat="1" ht="37.5">
      <c r="A25" s="4"/>
      <c r="B25" s="21">
        <f t="shared" si="2"/>
        <v>13</v>
      </c>
      <c r="C25" s="6" t="s">
        <v>1967</v>
      </c>
      <c r="D25" s="6" t="s">
        <v>1906</v>
      </c>
      <c r="E25" s="8"/>
      <c r="F25" s="7" t="s">
        <v>737</v>
      </c>
      <c r="G25" s="7" t="str">
        <f t="shared" si="3"/>
        <v>text</v>
      </c>
      <c r="H25" s="26">
        <v>99999999</v>
      </c>
      <c r="I25" s="10" t="s">
        <v>127</v>
      </c>
      <c r="J25" s="11" t="s">
        <v>2625</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milscm_2023_009.sny_202310_backup_mt2_shinryo_koi_kanren.henkou_ymd IS '変更年月日';</v>
      </c>
    </row>
    <row r="26" spans="1:52" s="25" customFormat="1" ht="38.25" thickBot="1">
      <c r="A26" s="4"/>
      <c r="B26" s="27">
        <f>ROW()-12</f>
        <v>14</v>
      </c>
      <c r="C26" s="57" t="s">
        <v>1907</v>
      </c>
      <c r="D26" s="57" t="s">
        <v>1908</v>
      </c>
      <c r="E26" s="56"/>
      <c r="F26" s="56" t="s">
        <v>737</v>
      </c>
      <c r="G26" s="56" t="str">
        <f t="shared" si="3"/>
        <v>text</v>
      </c>
      <c r="H26" s="59">
        <v>99999999</v>
      </c>
      <c r="I26" s="60" t="s">
        <v>127</v>
      </c>
      <c r="J26" s="64" t="s">
        <v>2628</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ENT_01_A4-10</v>
      </c>
      <c r="E6" s="273"/>
      <c r="F6" s="273"/>
      <c r="G6" s="273"/>
      <c r="H6" s="273"/>
      <c r="I6" s="273"/>
      <c r="J6" s="274"/>
    </row>
    <row r="7" spans="1:45">
      <c r="B7" s="262" t="s">
        <v>115</v>
      </c>
      <c r="C7" s="263"/>
      <c r="D7" s="264" t="s">
        <v>2629</v>
      </c>
      <c r="E7" s="265"/>
      <c r="F7" s="265"/>
      <c r="G7" s="265"/>
      <c r="H7" s="265"/>
      <c r="I7" s="265"/>
      <c r="J7" s="266"/>
    </row>
    <row r="8" spans="1:45">
      <c r="B8" s="262" t="s">
        <v>116</v>
      </c>
      <c r="C8" s="263"/>
      <c r="D8" s="264" t="str">
        <f>エンティティ一覧!AE2&amp;"_"&amp;D5&amp;"_mt2_tokutei_kizai_kanren"</f>
        <v>sny_202310_backup_mt2_tokutei_kizai_kanren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milscm_2023_009.sny_202310_backup_mt2_tokutei_kizai_kanren;</v>
      </c>
      <c r="O10" s="76"/>
      <c r="P10" s="76"/>
      <c r="Q10" s="76"/>
      <c r="R10" s="76"/>
      <c r="S10" s="76"/>
      <c r="T10" s="76"/>
      <c r="AJ10" s="76" t="str">
        <f>"ALTER TABLE ONLY "&amp;エンティティ一覧!$O$2&amp;"."&amp;D$8</f>
        <v>ALTER TABLE ONLY milscm_2023_009.sny_202310_backup_mt2_tokutei_kizai_kanren</v>
      </c>
      <c r="AS10" s="76" t="str">
        <f>"ALTER TABLE "&amp;エンティティ一覧!$O$2&amp;"."&amp;D$8&amp;" OWNER TO pgmisgrp1;"</f>
        <v>ALTER TABLE milscm_2023_009.sny_202310_backup_mt2_tokutei_kizai_kanren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milscm_2023_009.sny_202310_backup_mt2_tokutei_kizai_kanren</v>
      </c>
      <c r="O11" s="76"/>
      <c r="P11" s="76"/>
      <c r="Q11" s="76"/>
      <c r="R11" s="76"/>
      <c r="S11" s="76"/>
      <c r="T11" s="76"/>
      <c r="AJ11" s="76" t="str">
        <f>"ADD CONSTRAINT "&amp;D$8&amp;"_pkey PRIMARY KEY"</f>
        <v>ADD CONSTRAINT sny_202310_backup_mt2_tokutei_kizai_kanren_pkey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2630</v>
      </c>
      <c r="D13" s="6" t="s">
        <v>2631</v>
      </c>
      <c r="E13" s="8" t="s">
        <v>127</v>
      </c>
      <c r="F13" s="8" t="s">
        <v>737</v>
      </c>
      <c r="G13" s="7" t="str">
        <f>IF(F13="フラグ","boolean",IF(F13="文字列","text",IF(F13="整数","integer",IF(F13="実数","numeric",""))))</f>
        <v>text</v>
      </c>
      <c r="H13" s="9"/>
      <c r="I13" s="10" t="s">
        <v>127</v>
      </c>
      <c r="J13" s="11" t="s">
        <v>2636</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2632</v>
      </c>
      <c r="D14" s="6" t="s">
        <v>2633</v>
      </c>
      <c r="E14" s="8"/>
      <c r="F14" s="7" t="s">
        <v>737</v>
      </c>
      <c r="G14" s="7" t="str">
        <f t="shared" ref="G14:G21" si="3">IF(F14="フラグ","boolean",IF(F14="文字列","text",IF(F14="整数","integer",IF(F14="実数","numeric",""))))</f>
        <v>text</v>
      </c>
      <c r="H14" s="26"/>
      <c r="I14" s="10" t="s">
        <v>127</v>
      </c>
      <c r="J14" s="11" t="s">
        <v>2636</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1651</v>
      </c>
      <c r="D15" s="6" t="s">
        <v>2634</v>
      </c>
      <c r="E15" s="8"/>
      <c r="F15" s="7" t="s">
        <v>737</v>
      </c>
      <c r="G15" s="7" t="str">
        <f t="shared" si="3"/>
        <v>text</v>
      </c>
      <c r="H15" s="26"/>
      <c r="I15" s="10"/>
      <c r="J15" s="11" t="s">
        <v>2636</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milscm_2023_009.sny_202310_backup_mt2_tokutei_kizai_kanren.tokutei_kizai_tani IS '単位';</v>
      </c>
    </row>
    <row r="16" spans="1:45" s="25" customFormat="1" ht="56.25">
      <c r="A16" s="4"/>
      <c r="B16" s="21">
        <f t="shared" si="2"/>
        <v>4</v>
      </c>
      <c r="C16" s="6" t="s">
        <v>2635</v>
      </c>
      <c r="D16" s="6" t="s">
        <v>2604</v>
      </c>
      <c r="E16" s="8"/>
      <c r="F16" s="7" t="s">
        <v>2605</v>
      </c>
      <c r="G16" s="7" t="str">
        <f t="shared" si="3"/>
        <v>numeric</v>
      </c>
      <c r="H16" s="26"/>
      <c r="I16" s="10" t="s">
        <v>127</v>
      </c>
      <c r="J16" s="11" t="s">
        <v>2637</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1913</v>
      </c>
      <c r="D17" s="6" t="s">
        <v>1914</v>
      </c>
      <c r="E17" s="8" t="s">
        <v>127</v>
      </c>
      <c r="F17" s="7" t="s">
        <v>737</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2507</v>
      </c>
      <c r="D18" s="6" t="s">
        <v>2508</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milscm_2023_009.sny_202310_backup_mt2_tokutei_kizai_kanren.new_f IS '最新フラグ';</v>
      </c>
    </row>
    <row r="19" spans="1:52" s="25" customFormat="1" ht="37.5">
      <c r="A19" s="4"/>
      <c r="B19" s="21">
        <f t="shared" si="2"/>
        <v>7</v>
      </c>
      <c r="C19" s="6" t="s">
        <v>2534</v>
      </c>
      <c r="D19" s="6" t="s">
        <v>1904</v>
      </c>
      <c r="E19" s="8"/>
      <c r="F19" s="7" t="s">
        <v>737</v>
      </c>
      <c r="G19" s="7" t="str">
        <f t="shared" si="3"/>
        <v>text</v>
      </c>
      <c r="H19" s="26">
        <v>0</v>
      </c>
      <c r="I19" s="10" t="s">
        <v>127</v>
      </c>
      <c r="J19" s="11" t="s">
        <v>2638</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milscm_2023_009.sny_202310_backup_mt2_tokutei_kizai_kanren.del_f IS '削除フラグ';</v>
      </c>
    </row>
    <row r="20" spans="1:52" s="25" customFormat="1" ht="37.5">
      <c r="A20" s="4"/>
      <c r="B20" s="21">
        <f t="shared" si="2"/>
        <v>8</v>
      </c>
      <c r="C20" s="6" t="s">
        <v>1967</v>
      </c>
      <c r="D20" s="6" t="s">
        <v>1906</v>
      </c>
      <c r="E20" s="8"/>
      <c r="F20" s="7" t="s">
        <v>737</v>
      </c>
      <c r="G20" s="7" t="str">
        <f t="shared" si="3"/>
        <v>text</v>
      </c>
      <c r="H20" s="26">
        <v>99999999</v>
      </c>
      <c r="I20" s="10" t="s">
        <v>127</v>
      </c>
      <c r="J20" s="11" t="s">
        <v>2639</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milscm_2023_009.sny_202310_backup_mt2_tokutei_kizai_kanren.henkou_ymd IS '変更年月日';</v>
      </c>
    </row>
    <row r="21" spans="1:52" s="25" customFormat="1" ht="57" thickBot="1">
      <c r="A21" s="4"/>
      <c r="B21" s="27">
        <f>ROW()-12</f>
        <v>9</v>
      </c>
      <c r="C21" s="57" t="s">
        <v>1907</v>
      </c>
      <c r="D21" s="57" t="s">
        <v>1908</v>
      </c>
      <c r="E21" s="56"/>
      <c r="F21" s="56" t="s">
        <v>737</v>
      </c>
      <c r="G21" s="56" t="str">
        <f t="shared" si="3"/>
        <v>text</v>
      </c>
      <c r="H21" s="59">
        <v>99999999</v>
      </c>
      <c r="I21" s="60" t="s">
        <v>127</v>
      </c>
      <c r="J21" s="64" t="s">
        <v>2640</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ENT_01_A4-11</v>
      </c>
      <c r="E6" s="273"/>
      <c r="F6" s="273"/>
      <c r="G6" s="273"/>
      <c r="H6" s="273"/>
      <c r="I6" s="273"/>
      <c r="J6" s="274"/>
    </row>
    <row r="7" spans="1:45">
      <c r="B7" s="262" t="s">
        <v>115</v>
      </c>
      <c r="C7" s="263"/>
      <c r="D7" s="264" t="s">
        <v>2641</v>
      </c>
      <c r="E7" s="265"/>
      <c r="F7" s="265"/>
      <c r="G7" s="265"/>
      <c r="H7" s="265"/>
      <c r="I7" s="265"/>
      <c r="J7" s="266"/>
    </row>
    <row r="8" spans="1:45">
      <c r="B8" s="262" t="s">
        <v>116</v>
      </c>
      <c r="C8" s="263"/>
      <c r="D8" s="264" t="str">
        <f>エンティティ一覧!AE2&amp;"_"&amp;D5&amp;"_mt2_dpc_kanren"</f>
        <v>sny_202310_backup_mt2_dpc_kanren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DPC関連マスタテーブルから組入れ条件の第一条件で絞り込んだ結果を格納するテーブル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milscm_2023_009.sny_202310_backup_mt2_dpc_kanren;</v>
      </c>
      <c r="O10" s="76"/>
      <c r="P10" s="76"/>
      <c r="Q10" s="76"/>
      <c r="R10" s="76"/>
      <c r="S10" s="76"/>
      <c r="T10" s="76"/>
      <c r="AJ10" s="76" t="str">
        <f>"ALTER TABLE ONLY "&amp;エンティティ一覧!$O$2&amp;"."&amp;D$8</f>
        <v>ALTER TABLE ONLY milscm_2023_009.sny_202310_backup_mt2_dpc_kanren</v>
      </c>
      <c r="AS10" s="76" t="str">
        <f>"ALTER TABLE "&amp;エンティティ一覧!$O$2&amp;"."&amp;D$8&amp;" OWNER TO pgmisgrp1;"</f>
        <v>ALTER TABLE milscm_2023_009.sny_202310_backup_mt2_dpc_kanren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milscm_2023_009.sny_202310_backup_mt2_dpc_kanren</v>
      </c>
      <c r="O11" s="76"/>
      <c r="P11" s="76"/>
      <c r="Q11" s="76"/>
      <c r="R11" s="76"/>
      <c r="S11" s="76"/>
      <c r="T11" s="76"/>
      <c r="AJ11" s="76" t="str">
        <f>"ADD CONSTRAINT "&amp;D$8&amp;"_pkey PRIMARY KEY"</f>
        <v>ADD CONSTRAINT sny_202310_backup_mt2_dpc_kanren_pkey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milscm_2023_009.sny_202310_backup_mt2_dpc_kanren IS 'バックアップ_DPC関連マスタ';</v>
      </c>
    </row>
    <row r="13" spans="1:45" s="25" customFormat="1">
      <c r="A13" s="4"/>
      <c r="B13" s="21">
        <f>ROW()-12</f>
        <v>1</v>
      </c>
      <c r="C13" s="6" t="s">
        <v>1928</v>
      </c>
      <c r="D13" s="6" t="s">
        <v>1929</v>
      </c>
      <c r="E13" s="8"/>
      <c r="F13" s="8" t="s">
        <v>737</v>
      </c>
      <c r="G13" s="7" t="str">
        <f>IF(F13="フラグ","boolean",IF(F13="文字列","text",IF(F13="整数","integer",IF(F13="実数","numeric",""))))</f>
        <v>text</v>
      </c>
      <c r="H13" s="9"/>
      <c r="I13" s="10" t="s">
        <v>127</v>
      </c>
      <c r="J13" s="11" t="s">
        <v>2646</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2642</v>
      </c>
      <c r="D14" s="6" t="s">
        <v>2643</v>
      </c>
      <c r="E14" s="8"/>
      <c r="F14" s="7" t="s">
        <v>737</v>
      </c>
      <c r="G14" s="7" t="str">
        <f t="shared" ref="G14:G21" si="3">IF(F14="フラグ","boolean",IF(F14="文字列","text",IF(F14="整数","integer",IF(F14="実数","numeric",""))))</f>
        <v>text</v>
      </c>
      <c r="H14" s="26"/>
      <c r="I14" s="10" t="s">
        <v>127</v>
      </c>
      <c r="J14" s="11" t="s">
        <v>2646</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milscm_2023_009.sny_202310_backup_mt2_dpc_kanren.dpc2_name IS 'DPC2桁名';</v>
      </c>
    </row>
    <row r="15" spans="1:45" s="25" customFormat="1" ht="37.5">
      <c r="A15" s="4"/>
      <c r="B15" s="21">
        <f t="shared" si="2"/>
        <v>3</v>
      </c>
      <c r="C15" s="6" t="s">
        <v>1930</v>
      </c>
      <c r="D15" s="6" t="s">
        <v>1931</v>
      </c>
      <c r="E15" s="8" t="s">
        <v>127</v>
      </c>
      <c r="F15" s="7" t="s">
        <v>737</v>
      </c>
      <c r="G15" s="7" t="str">
        <f t="shared" si="3"/>
        <v>text</v>
      </c>
      <c r="H15" s="26"/>
      <c r="I15" s="10" t="s">
        <v>127</v>
      </c>
      <c r="J15" s="11" t="s">
        <v>2647</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2644</v>
      </c>
      <c r="D16" s="6" t="s">
        <v>2645</v>
      </c>
      <c r="E16" s="8"/>
      <c r="F16" s="7" t="s">
        <v>737</v>
      </c>
      <c r="G16" s="7" t="str">
        <f t="shared" si="3"/>
        <v>text</v>
      </c>
      <c r="H16" s="26"/>
      <c r="I16" s="10" t="s">
        <v>127</v>
      </c>
      <c r="J16" s="11" t="s">
        <v>2648</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milscm_2023_009.sny_202310_backup_mt2_dpc_kanren.dpc6_name IS 'DPC6桁名';</v>
      </c>
    </row>
    <row r="17" spans="1:52" s="25" customFormat="1" ht="37.5">
      <c r="A17" s="4"/>
      <c r="B17" s="21">
        <f t="shared" si="2"/>
        <v>5</v>
      </c>
      <c r="C17" s="6" t="s">
        <v>1913</v>
      </c>
      <c r="D17" s="6" t="s">
        <v>1914</v>
      </c>
      <c r="E17" s="8" t="s">
        <v>127</v>
      </c>
      <c r="F17" s="7" t="s">
        <v>737</v>
      </c>
      <c r="G17" s="7" t="str">
        <f t="shared" si="3"/>
        <v>text</v>
      </c>
      <c r="H17" s="26">
        <v>99999999</v>
      </c>
      <c r="I17" s="10" t="s">
        <v>127</v>
      </c>
      <c r="J17" s="11" t="s">
        <v>2649</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2507</v>
      </c>
      <c r="D18" s="6" t="s">
        <v>2508</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milscm_2023_009.sny_202310_backup_mt2_dpc_kanren.new_f IS '最新フラグ';</v>
      </c>
    </row>
    <row r="19" spans="1:52" s="25" customFormat="1">
      <c r="A19" s="4"/>
      <c r="B19" s="21">
        <f t="shared" si="2"/>
        <v>7</v>
      </c>
      <c r="C19" s="6" t="s">
        <v>2534</v>
      </c>
      <c r="D19" s="6" t="s">
        <v>1904</v>
      </c>
      <c r="E19" s="8"/>
      <c r="F19" s="7" t="s">
        <v>737</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milscm_2023_009.sny_202310_backup_mt2_dpc_kanren.del_f IS '削除フラグ';</v>
      </c>
    </row>
    <row r="20" spans="1:52" s="25" customFormat="1" ht="37.5">
      <c r="A20" s="4"/>
      <c r="B20" s="21">
        <f t="shared" si="2"/>
        <v>8</v>
      </c>
      <c r="C20" s="6" t="s">
        <v>1967</v>
      </c>
      <c r="D20" s="6" t="s">
        <v>1906</v>
      </c>
      <c r="E20" s="8"/>
      <c r="F20" s="7" t="s">
        <v>737</v>
      </c>
      <c r="G20" s="7" t="str">
        <f t="shared" si="3"/>
        <v>text</v>
      </c>
      <c r="H20" s="26">
        <v>99999999</v>
      </c>
      <c r="I20" s="10" t="s">
        <v>127</v>
      </c>
      <c r="J20" s="11" t="s">
        <v>2649</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milscm_2023_009.sny_202310_backup_mt2_dpc_kanren.henkou_ymd IS '変更年月日';</v>
      </c>
    </row>
    <row r="21" spans="1:52" s="25" customFormat="1" ht="38.25" thickBot="1">
      <c r="A21" s="4"/>
      <c r="B21" s="27">
        <f>ROW()-12</f>
        <v>9</v>
      </c>
      <c r="C21" s="57" t="s">
        <v>1907</v>
      </c>
      <c r="D21" s="57" t="s">
        <v>1908</v>
      </c>
      <c r="E21" s="56"/>
      <c r="F21" s="56" t="s">
        <v>737</v>
      </c>
      <c r="G21" s="56" t="str">
        <f t="shared" si="3"/>
        <v>text</v>
      </c>
      <c r="H21" s="59">
        <v>99999999</v>
      </c>
      <c r="I21" s="60" t="s">
        <v>127</v>
      </c>
      <c r="J21" s="64" t="s">
        <v>2649</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ENT_01_A4-12</v>
      </c>
      <c r="E6" s="273"/>
      <c r="F6" s="273"/>
      <c r="G6" s="273"/>
      <c r="H6" s="273"/>
      <c r="I6" s="273"/>
      <c r="J6" s="274"/>
    </row>
    <row r="7" spans="1:45">
      <c r="B7" s="262" t="s">
        <v>115</v>
      </c>
      <c r="C7" s="263"/>
      <c r="D7" s="264" t="s">
        <v>2650</v>
      </c>
      <c r="E7" s="265"/>
      <c r="F7" s="265"/>
      <c r="G7" s="265"/>
      <c r="H7" s="265"/>
      <c r="I7" s="265"/>
      <c r="J7" s="266"/>
    </row>
    <row r="8" spans="1:45">
      <c r="B8" s="262" t="s">
        <v>116</v>
      </c>
      <c r="C8" s="263"/>
      <c r="D8" s="264" t="str">
        <f>エンティティ一覧!AE2&amp;"_"&amp;D5&amp;"_mt2_shikkan_kanren"</f>
        <v>sny_202310_backup_mt2_shikkan_kanren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疾患関連マスタテーブルから組入れ条件の第一条件で絞り込んだ結果を格納するテーブル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milscm_2023_009.sny_202310_backup_mt2_shikkan_kanren;</v>
      </c>
      <c r="O10" s="76"/>
      <c r="P10" s="76"/>
      <c r="Q10" s="76"/>
      <c r="R10" s="76"/>
      <c r="S10" s="76"/>
      <c r="T10" s="76"/>
      <c r="AJ10" s="76" t="str">
        <f>"ALTER TABLE ONLY "&amp;エンティティ一覧!$O$2&amp;"."&amp;D$8</f>
        <v>ALTER TABLE ONLY milscm_2023_009.sny_202310_backup_mt2_shikkan_kanren</v>
      </c>
      <c r="AS10" s="76" t="str">
        <f>"ALTER TABLE "&amp;エンティティ一覧!$O$2&amp;"."&amp;D$8&amp;" OWNER TO pgmisgrp1;"</f>
        <v>ALTER TABLE milscm_2023_009.sny_202310_backup_mt2_shikkan_kanren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milscm_2023_009.sny_202310_backup_mt2_shikkan_kanren</v>
      </c>
      <c r="O11" s="76"/>
      <c r="P11" s="76"/>
      <c r="Q11" s="76"/>
      <c r="R11" s="76"/>
      <c r="S11" s="76"/>
      <c r="T11" s="76"/>
      <c r="AJ11" s="76" t="str">
        <f>"ADD CONSTRAINT "&amp;D$8&amp;"_pkey PRIMARY KEY"</f>
        <v>ADD CONSTRAINT sny_202310_backup_mt2_shikkan_kanren_pkey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2651</v>
      </c>
      <c r="D13" s="6" t="s">
        <v>2652</v>
      </c>
      <c r="E13" s="8" t="s">
        <v>127</v>
      </c>
      <c r="F13" s="8" t="s">
        <v>737</v>
      </c>
      <c r="G13" s="7" t="str">
        <f>IF(F13="フラグ","boolean",IF(F13="文字列","text",IF(F13="整数","integer",IF(F13="実数","numeric",""))))</f>
        <v>text</v>
      </c>
      <c r="H13" s="9"/>
      <c r="I13" s="10" t="s">
        <v>127</v>
      </c>
      <c r="J13" s="11" t="s">
        <v>2671</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2653</v>
      </c>
      <c r="D14" s="6" t="s">
        <v>2654</v>
      </c>
      <c r="E14" s="8"/>
      <c r="F14" s="7" t="s">
        <v>737</v>
      </c>
      <c r="G14" s="7" t="str">
        <f t="shared" ref="G14:G28" si="3">IF(F14="フラグ","boolean",IF(F14="文字列","text",IF(F14="整数","integer",IF(F14="実数","numeric",""))))</f>
        <v>text</v>
      </c>
      <c r="H14" s="26"/>
      <c r="I14" s="10"/>
      <c r="J14" s="11" t="s">
        <v>2671</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2655</v>
      </c>
      <c r="D15" s="6" t="s">
        <v>2656</v>
      </c>
      <c r="E15" s="8"/>
      <c r="F15" s="7" t="s">
        <v>737</v>
      </c>
      <c r="G15" s="7" t="str">
        <f t="shared" si="3"/>
        <v>text</v>
      </c>
      <c r="H15" s="26"/>
      <c r="I15" s="10"/>
      <c r="J15" s="11" t="s">
        <v>2671</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2657</v>
      </c>
      <c r="D16" s="6" t="s">
        <v>894</v>
      </c>
      <c r="E16" s="8"/>
      <c r="F16" s="7" t="s">
        <v>737</v>
      </c>
      <c r="G16" s="7" t="str">
        <f t="shared" si="3"/>
        <v>text</v>
      </c>
      <c r="H16" s="26"/>
      <c r="I16" s="10"/>
      <c r="J16" s="11" t="s">
        <v>2671</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2658</v>
      </c>
      <c r="D17" s="6" t="s">
        <v>2659</v>
      </c>
      <c r="E17" s="8"/>
      <c r="F17" s="7" t="s">
        <v>737</v>
      </c>
      <c r="G17" s="7" t="str">
        <f t="shared" si="3"/>
        <v>text</v>
      </c>
      <c r="H17" s="26"/>
      <c r="I17" s="10"/>
      <c r="J17" s="11" t="s">
        <v>2671</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2087</v>
      </c>
      <c r="D18" s="6" t="s">
        <v>2088</v>
      </c>
      <c r="E18" s="8"/>
      <c r="F18" s="7" t="s">
        <v>737</v>
      </c>
      <c r="G18" s="7" t="str">
        <f t="shared" si="3"/>
        <v>text</v>
      </c>
      <c r="H18" s="26"/>
      <c r="I18" s="10" t="s">
        <v>127</v>
      </c>
      <c r="J18" s="11" t="s">
        <v>2671</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2660</v>
      </c>
      <c r="D19" s="6" t="s">
        <v>2661</v>
      </c>
      <c r="E19" s="8"/>
      <c r="F19" s="7" t="s">
        <v>737</v>
      </c>
      <c r="G19" s="7" t="str">
        <f t="shared" si="3"/>
        <v>text</v>
      </c>
      <c r="H19" s="26"/>
      <c r="I19" s="10"/>
      <c r="J19" s="11" t="s">
        <v>2672</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2662</v>
      </c>
      <c r="D20" s="6" t="s">
        <v>2663</v>
      </c>
      <c r="E20" s="8"/>
      <c r="F20" s="7" t="s">
        <v>737</v>
      </c>
      <c r="G20" s="7" t="str">
        <f t="shared" ref="G20:G26" si="7">IF(F20="フラグ","boolean",IF(F20="文字列","text",IF(F20="整数","integer",IF(F20="実数","numeric",""))))</f>
        <v>text</v>
      </c>
      <c r="H20" s="26"/>
      <c r="I20" s="10"/>
      <c r="J20" s="11" t="s">
        <v>2673</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2664</v>
      </c>
      <c r="D21" s="6" t="s">
        <v>895</v>
      </c>
      <c r="E21" s="8"/>
      <c r="F21" s="7" t="s">
        <v>737</v>
      </c>
      <c r="G21" s="7" t="str">
        <f t="shared" si="7"/>
        <v>text</v>
      </c>
      <c r="H21" s="26"/>
      <c r="I21" s="10"/>
      <c r="J21" s="11" t="s">
        <v>2674</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2665</v>
      </c>
      <c r="D22" s="6" t="s">
        <v>2666</v>
      </c>
      <c r="E22" s="8"/>
      <c r="F22" s="7" t="s">
        <v>737</v>
      </c>
      <c r="G22" s="7" t="str">
        <f t="shared" si="7"/>
        <v>text</v>
      </c>
      <c r="H22" s="26"/>
      <c r="I22" s="10"/>
      <c r="J22" s="11" t="s">
        <v>2675</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milscm_2023_009.sny_202310_backup_mt2_shikkan_kanren.icd10_ss_name IS 'ICD10細分類名';</v>
      </c>
    </row>
    <row r="23" spans="1:52" s="25" customFormat="1" ht="56.25">
      <c r="A23" s="4"/>
      <c r="B23" s="21">
        <f t="shared" si="2"/>
        <v>11</v>
      </c>
      <c r="C23" s="6" t="s">
        <v>2667</v>
      </c>
      <c r="D23" s="6" t="s">
        <v>2668</v>
      </c>
      <c r="E23" s="8" t="s">
        <v>127</v>
      </c>
      <c r="F23" s="7" t="s">
        <v>737</v>
      </c>
      <c r="G23" s="7" t="str">
        <f t="shared" si="7"/>
        <v>text</v>
      </c>
      <c r="H23" s="26">
        <v>0</v>
      </c>
      <c r="I23" s="10"/>
      <c r="J23" s="11" t="s">
        <v>2676</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milscm_2023_009.sny_202310_backup_mt2_shikkan_kanren.icd10_kubun IS 'ICD10区分';</v>
      </c>
    </row>
    <row r="24" spans="1:52" s="25" customFormat="1" ht="37.5">
      <c r="A24" s="4"/>
      <c r="B24" s="21">
        <f t="shared" si="2"/>
        <v>12</v>
      </c>
      <c r="C24" s="6" t="s">
        <v>2669</v>
      </c>
      <c r="D24" s="6" t="s">
        <v>1914</v>
      </c>
      <c r="E24" s="8" t="s">
        <v>127</v>
      </c>
      <c r="F24" s="7" t="s">
        <v>737</v>
      </c>
      <c r="G24" s="7" t="str">
        <f t="shared" si="7"/>
        <v>text</v>
      </c>
      <c r="H24" s="26">
        <v>99999999</v>
      </c>
      <c r="I24" s="10" t="s">
        <v>127</v>
      </c>
      <c r="J24" s="11" t="s">
        <v>2677</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milscm_2023_009.sny_202310_backup_mt2_shikkan_kanren.siko_ymd IS '施行年月日';</v>
      </c>
    </row>
    <row r="25" spans="1:52" s="25" customFormat="1" ht="56.25">
      <c r="A25" s="4"/>
      <c r="B25" s="21">
        <f t="shared" si="2"/>
        <v>13</v>
      </c>
      <c r="C25" s="6" t="s">
        <v>2507</v>
      </c>
      <c r="D25" s="6" t="s">
        <v>2508</v>
      </c>
      <c r="E25" s="8"/>
      <c r="F25" s="7" t="s">
        <v>737</v>
      </c>
      <c r="G25" s="7" t="str">
        <f t="shared" si="7"/>
        <v>text</v>
      </c>
      <c r="H25" s="26">
        <v>0</v>
      </c>
      <c r="I25" s="10" t="s">
        <v>127</v>
      </c>
      <c r="J25" s="11" t="s">
        <v>2678</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2534</v>
      </c>
      <c r="D26" s="6" t="s">
        <v>1904</v>
      </c>
      <c r="E26" s="8"/>
      <c r="F26" s="7" t="s">
        <v>737</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milscm_2023_009.sny_202310_backup_mt2_shikkan_kanren.del_f IS '削除フラグ';</v>
      </c>
    </row>
    <row r="27" spans="1:52" s="25" customFormat="1" ht="37.5">
      <c r="A27" s="4"/>
      <c r="B27" s="21">
        <f t="shared" si="2"/>
        <v>15</v>
      </c>
      <c r="C27" s="6" t="s">
        <v>2670</v>
      </c>
      <c r="D27" s="6" t="s">
        <v>1906</v>
      </c>
      <c r="E27" s="8"/>
      <c r="F27" s="7" t="s">
        <v>737</v>
      </c>
      <c r="G27" s="7" t="str">
        <f t="shared" si="3"/>
        <v>text</v>
      </c>
      <c r="H27" s="26">
        <v>99999999</v>
      </c>
      <c r="I27" s="10" t="s">
        <v>127</v>
      </c>
      <c r="J27" s="11" t="s">
        <v>2677</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milscm_2023_009.sny_202310_backup_mt2_shikkan_kanren.henkou_ymd IS '変更年月日';</v>
      </c>
    </row>
    <row r="28" spans="1:52" s="25" customFormat="1" ht="38.25" thickBot="1">
      <c r="A28" s="4"/>
      <c r="B28" s="27">
        <f>ROW()-12</f>
        <v>16</v>
      </c>
      <c r="C28" s="57" t="s">
        <v>1907</v>
      </c>
      <c r="D28" s="57" t="s">
        <v>1908</v>
      </c>
      <c r="E28" s="56"/>
      <c r="F28" s="56" t="s">
        <v>737</v>
      </c>
      <c r="G28" s="56" t="str">
        <f t="shared" si="3"/>
        <v>text</v>
      </c>
      <c r="H28" s="59">
        <v>99999999</v>
      </c>
      <c r="I28" s="60" t="s">
        <v>127</v>
      </c>
      <c r="J28" s="64" t="s">
        <v>2677</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ENT_01_A4-13</v>
      </c>
      <c r="E6" s="273"/>
      <c r="F6" s="273"/>
      <c r="G6" s="273"/>
      <c r="H6" s="273"/>
      <c r="I6" s="273"/>
      <c r="J6" s="274"/>
    </row>
    <row r="7" spans="1:45">
      <c r="B7" s="262" t="s">
        <v>115</v>
      </c>
      <c r="C7" s="263"/>
      <c r="D7" s="264" t="s">
        <v>2679</v>
      </c>
      <c r="E7" s="265"/>
      <c r="F7" s="265"/>
      <c r="G7" s="265"/>
      <c r="H7" s="265"/>
      <c r="I7" s="265"/>
      <c r="J7" s="266"/>
    </row>
    <row r="8" spans="1:45">
      <c r="B8" s="262" t="s">
        <v>116</v>
      </c>
      <c r="C8" s="263"/>
      <c r="D8" s="264" t="str">
        <f>エンティティ一覧!AE2&amp;"_"&amp;D5&amp;"_mt2_iyakuhin_seibun_kanren"</f>
        <v>sny_202310_backup_mt2_iyakuhin_seibun_kanren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milscm_2023_009.sny_202310_backup_mt2_iyakuhin_seibun_kanren;</v>
      </c>
      <c r="O10" s="76"/>
      <c r="P10" s="76"/>
      <c r="Q10" s="76"/>
      <c r="R10" s="76"/>
      <c r="S10" s="76"/>
      <c r="T10" s="76"/>
      <c r="AJ10" s="76" t="str">
        <f>"ALTER TABLE ONLY "&amp;エンティティ一覧!$O$2&amp;"."&amp;D$8</f>
        <v>ALTER TABLE ONLY milscm_2023_009.sny_202310_backup_mt2_iyakuhin_seibun_kanren</v>
      </c>
      <c r="AS10" s="76" t="str">
        <f>"ALTER TABLE "&amp;エンティティ一覧!$O$2&amp;"."&amp;D$8&amp;" OWNER TO pgmisgrp1;"</f>
        <v>ALTER TABLE milscm_2023_009.sny_202310_backup_mt2_iyakuhin_seibun_kanren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milscm_2023_009.sny_202310_backup_mt2_iyakuhin_seibun_kanren</v>
      </c>
      <c r="O11" s="76"/>
      <c r="P11" s="76"/>
      <c r="Q11" s="76"/>
      <c r="R11" s="76"/>
      <c r="S11" s="76"/>
      <c r="T11" s="76"/>
      <c r="AJ11" s="76" t="str">
        <f>"ADD CONSTRAINT "&amp;D$8&amp;"_pkey PRIMARY KEY"</f>
        <v>ADD CONSTRAINT sny_202310_backup_mt2_iyakuhin_seibun_kanren_pkey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2028</v>
      </c>
      <c r="D13" s="6" t="s">
        <v>2680</v>
      </c>
      <c r="E13" s="8" t="s">
        <v>127</v>
      </c>
      <c r="F13" s="8" t="s">
        <v>1737</v>
      </c>
      <c r="G13" s="7" t="str">
        <f>IF(F13="フラグ","boolean",IF(F13="文字列","text",IF(F13="整数","integer",IF(F13="実数","numeric",""))))</f>
        <v>text</v>
      </c>
      <c r="H13" s="9"/>
      <c r="I13" s="10" t="s">
        <v>127</v>
      </c>
      <c r="J13" s="11" t="s">
        <v>2689</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milscm_2023_009.sny_202310_backup_mt2_iyakuhin_seibun_kanren.yj_cd IS 'ＹＪコード';</v>
      </c>
    </row>
    <row r="14" spans="1:45" s="25" customFormat="1" ht="37.5">
      <c r="A14" s="4"/>
      <c r="B14" s="21">
        <f t="shared" ref="B14:B31" si="2">ROW()-12</f>
        <v>2</v>
      </c>
      <c r="C14" s="6" t="s">
        <v>1157</v>
      </c>
      <c r="D14" s="6" t="s">
        <v>2547</v>
      </c>
      <c r="E14" s="8"/>
      <c r="F14" s="7" t="s">
        <v>737</v>
      </c>
      <c r="G14" s="7" t="str">
        <f t="shared" ref="G14:G32" si="3">IF(F14="フラグ","boolean",IF(F14="文字列","text",IF(F14="整数","integer",IF(F14="実数","numeric",""))))</f>
        <v>text</v>
      </c>
      <c r="H14" s="26"/>
      <c r="I14" s="10"/>
      <c r="J14" s="11" t="s">
        <v>2690</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milscm_2023_009.sny_202310_backup_mt2_iyakuhin_seibun_kanren.iyakuhin_cd IS '医薬品コード';</v>
      </c>
    </row>
    <row r="15" spans="1:45" s="25" customFormat="1" ht="37.5">
      <c r="A15" s="4"/>
      <c r="B15" s="21">
        <f t="shared" si="2"/>
        <v>3</v>
      </c>
      <c r="C15" s="6" t="s">
        <v>2113</v>
      </c>
      <c r="D15" s="6" t="s">
        <v>2114</v>
      </c>
      <c r="E15" s="8"/>
      <c r="F15" s="7" t="s">
        <v>1737</v>
      </c>
      <c r="G15" s="7" t="str">
        <f t="shared" si="3"/>
        <v>text</v>
      </c>
      <c r="H15" s="26"/>
      <c r="I15" s="10"/>
      <c r="J15" s="11" t="s">
        <v>2690</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milscm_2023_009.sny_202310_backup_mt2_iyakuhin_seibun_kanren.iyakuhin_name IS '医薬品名';</v>
      </c>
    </row>
    <row r="16" spans="1:45" s="25" customFormat="1" ht="56.25">
      <c r="A16" s="4"/>
      <c r="B16" s="21">
        <f t="shared" si="2"/>
        <v>4</v>
      </c>
      <c r="C16" s="6" t="s">
        <v>2030</v>
      </c>
      <c r="D16" s="6" t="s">
        <v>2031</v>
      </c>
      <c r="E16" s="8"/>
      <c r="F16" s="7" t="s">
        <v>1737</v>
      </c>
      <c r="G16" s="7" t="str">
        <f t="shared" si="3"/>
        <v>text</v>
      </c>
      <c r="H16" s="26"/>
      <c r="I16" s="10" t="s">
        <v>127</v>
      </c>
      <c r="J16" s="11" t="s">
        <v>2691</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2032</v>
      </c>
      <c r="D17" s="6" t="s">
        <v>2681</v>
      </c>
      <c r="E17" s="8"/>
      <c r="F17" s="7" t="s">
        <v>1737</v>
      </c>
      <c r="G17" s="7" t="str">
        <f t="shared" si="3"/>
        <v>text</v>
      </c>
      <c r="H17" s="26"/>
      <c r="I17" s="10" t="s">
        <v>127</v>
      </c>
      <c r="J17" s="11" t="s">
        <v>2692</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2034</v>
      </c>
      <c r="D18" s="6" t="s">
        <v>2682</v>
      </c>
      <c r="E18" s="8" t="s">
        <v>127</v>
      </c>
      <c r="F18" s="7" t="s">
        <v>1737</v>
      </c>
      <c r="G18" s="7" t="str">
        <f t="shared" si="3"/>
        <v>text</v>
      </c>
      <c r="H18" s="26"/>
      <c r="I18" s="10" t="s">
        <v>127</v>
      </c>
      <c r="J18" s="11" t="s">
        <v>2692</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2059</v>
      </c>
      <c r="D19" s="6" t="s">
        <v>2060</v>
      </c>
      <c r="E19" s="8"/>
      <c r="F19" s="7" t="s">
        <v>1737</v>
      </c>
      <c r="G19" s="7" t="str">
        <f t="shared" si="3"/>
        <v>text</v>
      </c>
      <c r="H19" s="26"/>
      <c r="I19" s="10" t="s">
        <v>127</v>
      </c>
      <c r="J19" s="11" t="s">
        <v>2693</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2036</v>
      </c>
      <c r="D20" s="6" t="s">
        <v>2037</v>
      </c>
      <c r="E20" s="8"/>
      <c r="F20" s="7" t="s">
        <v>1744</v>
      </c>
      <c r="G20" s="7" t="str">
        <f t="shared" si="3"/>
        <v>numeric</v>
      </c>
      <c r="H20" s="26"/>
      <c r="I20" s="10"/>
      <c r="J20" s="11" t="s">
        <v>2692</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2038</v>
      </c>
      <c r="D21" s="6" t="s">
        <v>2683</v>
      </c>
      <c r="E21" s="8"/>
      <c r="F21" s="7" t="s">
        <v>1737</v>
      </c>
      <c r="G21" s="7" t="str">
        <f t="shared" si="3"/>
        <v>text</v>
      </c>
      <c r="H21" s="26"/>
      <c r="I21" s="10"/>
      <c r="J21" s="11" t="s">
        <v>2692</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2684</v>
      </c>
      <c r="D22" s="6" t="s">
        <v>2685</v>
      </c>
      <c r="E22" s="8"/>
      <c r="F22" s="7" t="s">
        <v>1737</v>
      </c>
      <c r="G22" s="7" t="str">
        <f t="shared" si="3"/>
        <v>text</v>
      </c>
      <c r="H22" s="26"/>
      <c r="I22" s="10"/>
      <c r="J22" s="11" t="s">
        <v>2694</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2040</v>
      </c>
      <c r="D23" s="6" t="s">
        <v>2041</v>
      </c>
      <c r="E23" s="8"/>
      <c r="F23" s="7" t="s">
        <v>1744</v>
      </c>
      <c r="G23" s="7" t="str">
        <f t="shared" si="3"/>
        <v>numeric</v>
      </c>
      <c r="H23" s="26"/>
      <c r="I23" s="10"/>
      <c r="J23" s="11" t="s">
        <v>2692</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2042</v>
      </c>
      <c r="D24" s="6" t="s">
        <v>2686</v>
      </c>
      <c r="E24" s="8"/>
      <c r="F24" s="7" t="s">
        <v>1737</v>
      </c>
      <c r="G24" s="7" t="str">
        <f t="shared" si="3"/>
        <v>text</v>
      </c>
      <c r="H24" s="26"/>
      <c r="I24" s="10"/>
      <c r="J24" s="11" t="s">
        <v>2692</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milscm_2023_009.sny_202310_backup_mt2_iyakuhin_seibun_kanren.kokuji_kikaku_unit_cd IS '告示規格単位コード';</v>
      </c>
    </row>
    <row r="25" spans="1:45" s="25" customFormat="1">
      <c r="A25" s="4"/>
      <c r="B25" s="21">
        <f t="shared" si="2"/>
        <v>13</v>
      </c>
      <c r="C25" s="6" t="s">
        <v>2687</v>
      </c>
      <c r="D25" s="6" t="s">
        <v>2688</v>
      </c>
      <c r="E25" s="8"/>
      <c r="F25" s="7" t="s">
        <v>1737</v>
      </c>
      <c r="G25" s="7" t="str">
        <f t="shared" si="3"/>
        <v>text</v>
      </c>
      <c r="H25" s="26"/>
      <c r="I25" s="10"/>
      <c r="J25" s="11" t="s">
        <v>2694</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milscm_2023_009.sny_202310_backup_mt2_iyakuhin_seibun_kanren.kokuji_kikaku_unit_name IS '告示規格単位名称';</v>
      </c>
    </row>
    <row r="26" spans="1:45" s="25" customFormat="1" ht="37.5">
      <c r="A26" s="4"/>
      <c r="B26" s="21">
        <f t="shared" si="2"/>
        <v>14</v>
      </c>
      <c r="C26" s="6" t="s">
        <v>2115</v>
      </c>
      <c r="D26" s="6" t="s">
        <v>2116</v>
      </c>
      <c r="E26" s="8"/>
      <c r="F26" s="7" t="s">
        <v>1737</v>
      </c>
      <c r="G26" s="7" t="str">
        <f t="shared" si="3"/>
        <v>text</v>
      </c>
      <c r="H26" s="26"/>
      <c r="I26" s="10"/>
      <c r="J26" s="11" t="s">
        <v>2690</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2044</v>
      </c>
      <c r="D27" s="6" t="s">
        <v>2045</v>
      </c>
      <c r="E27" s="8"/>
      <c r="F27" s="7" t="s">
        <v>1737</v>
      </c>
      <c r="G27" s="7" t="str">
        <f t="shared" ref="G27:G30" si="7">IF(F27="フラグ","boolean",IF(F27="文字列","text",IF(F27="整数","integer",IF(F27="実数","numeric",""))))</f>
        <v>text</v>
      </c>
      <c r="H27" s="26"/>
      <c r="I27" s="10"/>
      <c r="J27" s="11" t="s">
        <v>2692</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milscm_2023_009.sny_202310_backup_mt2_iyakuhin_seibun_kanren.bikou IS '備考';</v>
      </c>
    </row>
    <row r="28" spans="1:45" s="25" customFormat="1" ht="37.5">
      <c r="A28" s="4"/>
      <c r="B28" s="21">
        <f t="shared" si="2"/>
        <v>16</v>
      </c>
      <c r="C28" s="6" t="s">
        <v>2399</v>
      </c>
      <c r="D28" s="6" t="s">
        <v>1881</v>
      </c>
      <c r="E28" s="8" t="s">
        <v>127</v>
      </c>
      <c r="F28" s="7" t="s">
        <v>737</v>
      </c>
      <c r="G28" s="7" t="str">
        <f t="shared" si="7"/>
        <v>text</v>
      </c>
      <c r="H28" s="26" t="s">
        <v>1920</v>
      </c>
      <c r="I28" s="10" t="s">
        <v>127</v>
      </c>
      <c r="J28" s="11" t="s">
        <v>2695</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milscm_2023_009.sny_202310_backup_mt2_iyakuhin_seibun_kanren.update_ymd IS 'データ登録日';</v>
      </c>
    </row>
    <row r="29" spans="1:45" s="25" customFormat="1" ht="56.25">
      <c r="A29" s="4"/>
      <c r="B29" s="21">
        <f t="shared" si="2"/>
        <v>17</v>
      </c>
      <c r="C29" s="6" t="s">
        <v>2507</v>
      </c>
      <c r="D29" s="6" t="s">
        <v>2508</v>
      </c>
      <c r="E29" s="8"/>
      <c r="F29" s="7" t="s">
        <v>737</v>
      </c>
      <c r="G29" s="7" t="str">
        <f t="shared" si="7"/>
        <v>text</v>
      </c>
      <c r="H29" s="26">
        <v>0</v>
      </c>
      <c r="I29" s="10" t="s">
        <v>127</v>
      </c>
      <c r="J29" s="11" t="s">
        <v>2696</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milscm_2023_009.sny_202310_backup_mt2_iyakuhin_seibun_kanren.new_f IS '最新フラグ';</v>
      </c>
    </row>
    <row r="30" spans="1:45" s="25" customFormat="1" ht="56.25">
      <c r="A30" s="4"/>
      <c r="B30" s="21">
        <f t="shared" si="2"/>
        <v>18</v>
      </c>
      <c r="C30" s="6" t="s">
        <v>2534</v>
      </c>
      <c r="D30" s="6" t="s">
        <v>1904</v>
      </c>
      <c r="E30" s="8"/>
      <c r="F30" s="7" t="s">
        <v>737</v>
      </c>
      <c r="G30" s="7" t="str">
        <f t="shared" si="7"/>
        <v>text</v>
      </c>
      <c r="H30" s="26">
        <v>0</v>
      </c>
      <c r="I30" s="10" t="s">
        <v>127</v>
      </c>
      <c r="J30" s="11" t="s">
        <v>2697</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milscm_2023_009.sny_202310_backup_mt2_iyakuhin_seibun_kanren.del_f IS '削除フラグ';</v>
      </c>
    </row>
    <row r="31" spans="1:45" s="25" customFormat="1" ht="131.25">
      <c r="A31" s="4"/>
      <c r="B31" s="21">
        <f t="shared" si="2"/>
        <v>19</v>
      </c>
      <c r="C31" s="6" t="s">
        <v>1967</v>
      </c>
      <c r="D31" s="6" t="s">
        <v>1906</v>
      </c>
      <c r="E31" s="8"/>
      <c r="F31" s="7" t="s">
        <v>737</v>
      </c>
      <c r="G31" s="7" t="str">
        <f t="shared" si="3"/>
        <v>text</v>
      </c>
      <c r="H31" s="26" t="s">
        <v>1920</v>
      </c>
      <c r="I31" s="10" t="s">
        <v>127</v>
      </c>
      <c r="J31" s="11" t="s">
        <v>2698</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milscm_2023_009.sny_202310_backup_mt2_iyakuhin_seibun_kanren.henkou_ymd IS '変更年月日';</v>
      </c>
    </row>
    <row r="32" spans="1:45" s="25" customFormat="1" ht="75.75" thickBot="1">
      <c r="A32" s="4"/>
      <c r="B32" s="27">
        <f>ROW()-12</f>
        <v>20</v>
      </c>
      <c r="C32" s="57" t="s">
        <v>1907</v>
      </c>
      <c r="D32" s="57" t="s">
        <v>1908</v>
      </c>
      <c r="E32" s="56"/>
      <c r="F32" s="56" t="s">
        <v>737</v>
      </c>
      <c r="G32" s="56" t="str">
        <f t="shared" si="3"/>
        <v>text</v>
      </c>
      <c r="H32" s="59" t="s">
        <v>1920</v>
      </c>
      <c r="I32" s="60" t="s">
        <v>127</v>
      </c>
      <c r="J32" s="64" t="s">
        <v>2699</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ENT_01_A4-14</v>
      </c>
      <c r="E6" s="273"/>
      <c r="F6" s="273"/>
      <c r="G6" s="273"/>
      <c r="H6" s="273"/>
      <c r="I6" s="273"/>
      <c r="J6" s="274"/>
    </row>
    <row r="7" spans="1:45">
      <c r="B7" s="262" t="s">
        <v>115</v>
      </c>
      <c r="C7" s="263"/>
      <c r="D7" s="264" t="s">
        <v>2700</v>
      </c>
      <c r="E7" s="265"/>
      <c r="F7" s="265"/>
      <c r="G7" s="265"/>
      <c r="H7" s="265"/>
      <c r="I7" s="265"/>
      <c r="J7" s="266"/>
    </row>
    <row r="8" spans="1:45">
      <c r="B8" s="262" t="s">
        <v>116</v>
      </c>
      <c r="C8" s="263"/>
      <c r="D8" s="264" t="str">
        <f>エンティティ一覧!AE2&amp;"_"&amp;D5&amp;"_mt2_iyakuhin_tekiyou_byomei_kanren"</f>
        <v>sny_202310_backup_mt2_iyakuhin_tekiyou_byomei_kanren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milscm_2023_009.sny_202310_backup_mt2_iyakuhin_tekiyou_byomei_kanren;</v>
      </c>
      <c r="O10" s="76"/>
      <c r="P10" s="76"/>
      <c r="Q10" s="76"/>
      <c r="R10" s="76"/>
      <c r="S10" s="76"/>
      <c r="T10" s="76"/>
      <c r="AJ10" s="76" t="str">
        <f>"ALTER TABLE ONLY "&amp;エンティティ一覧!$O$2&amp;"."&amp;D$8</f>
        <v>ALTER TABLE ONLY milscm_2023_009.sny_202310_backup_mt2_iyakuhin_tekiyou_byomei_kanren</v>
      </c>
      <c r="AS10" s="76" t="str">
        <f>"ALTER TABLE "&amp;エンティティ一覧!$O$2&amp;"."&amp;D$8&amp;" OWNER TO pgmisgrp1;"</f>
        <v>ALTER TABLE milscm_2023_009.sny_202310_backup_mt2_iyakuhin_tekiyou_byomei_kanren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milscm_2023_009.sny_202310_backup_mt2_iyakuhin_tekiyou_byomei_kanren</v>
      </c>
      <c r="O11" s="76"/>
      <c r="P11" s="76"/>
      <c r="Q11" s="76"/>
      <c r="R11" s="76"/>
      <c r="S11" s="76"/>
      <c r="T11" s="76"/>
      <c r="AJ11" s="76" t="str">
        <f>"ADD CONSTRAINT "&amp;D$8&amp;"_pkey PRIMARY KEY"</f>
        <v>ADD CONSTRAINT sny_202310_backup_mt2_iyakuhin_tekiyou_byomei_kanren_pkey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milscm_2023_009.sny_202310_backup_mt2_iyakuhin_tekiyou_byomei_kanren IS 'バックアップ_医薬品適用病名関連マスタ';</v>
      </c>
    </row>
    <row r="13" spans="1:45" s="25" customFormat="1" ht="37.5">
      <c r="A13" s="4"/>
      <c r="B13" s="21">
        <f>ROW()-12</f>
        <v>1</v>
      </c>
      <c r="C13" s="6" t="s">
        <v>2028</v>
      </c>
      <c r="D13" s="6" t="s">
        <v>2680</v>
      </c>
      <c r="E13" s="8" t="s">
        <v>127</v>
      </c>
      <c r="F13" s="8" t="s">
        <v>1737</v>
      </c>
      <c r="G13" s="7" t="str">
        <f>IF(F13="フラグ","boolean",IF(F13="文字列","text",IF(F13="整数","integer",IF(F13="実数","numeric",""))))</f>
        <v>text</v>
      </c>
      <c r="H13" s="9"/>
      <c r="I13" s="10" t="s">
        <v>127</v>
      </c>
      <c r="J13" s="11" t="s">
        <v>2704</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milscm_2023_009.sny_202310_backup_mt2_iyakuhin_tekiyou_byomei_kanren.yj_cd IS 'ＹＪコード';</v>
      </c>
    </row>
    <row r="14" spans="1:45" s="25" customFormat="1" ht="37.5">
      <c r="A14" s="4"/>
      <c r="B14" s="21">
        <f t="shared" ref="B14:B25" si="2">ROW()-12</f>
        <v>2</v>
      </c>
      <c r="C14" s="6" t="s">
        <v>1157</v>
      </c>
      <c r="D14" s="6" t="s">
        <v>2547</v>
      </c>
      <c r="E14" s="8"/>
      <c r="F14" s="7" t="s">
        <v>737</v>
      </c>
      <c r="G14" s="7" t="str">
        <f t="shared" ref="G14:G26" si="3">IF(F14="フラグ","boolean",IF(F14="文字列","text",IF(F14="整数","integer",IF(F14="実数","numeric",""))))</f>
        <v>text</v>
      </c>
      <c r="H14" s="26"/>
      <c r="I14" s="10"/>
      <c r="J14" s="11" t="s">
        <v>2705</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milscm_2023_009.sny_202310_backup_mt2_iyakuhin_tekiyou_byomei_kanren.iyakuhin_cd IS '医薬品コード';</v>
      </c>
    </row>
    <row r="15" spans="1:45" s="25" customFormat="1" ht="37.5">
      <c r="A15" s="4"/>
      <c r="B15" s="21">
        <f t="shared" si="2"/>
        <v>3</v>
      </c>
      <c r="C15" s="6" t="s">
        <v>2113</v>
      </c>
      <c r="D15" s="6" t="s">
        <v>2114</v>
      </c>
      <c r="E15" s="8"/>
      <c r="F15" s="7" t="s">
        <v>1737</v>
      </c>
      <c r="G15" s="7" t="str">
        <f t="shared" si="3"/>
        <v>text</v>
      </c>
      <c r="H15" s="26"/>
      <c r="I15" s="10"/>
      <c r="J15" s="11" t="s">
        <v>2690</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milscm_2023_009.sny_202310_backup_mt2_iyakuhin_tekiyou_byomei_kanren.iyakuhin_name IS '医薬品名';</v>
      </c>
    </row>
    <row r="16" spans="1:45" s="25" customFormat="1" ht="37.5">
      <c r="A16" s="4"/>
      <c r="B16" s="21">
        <f t="shared" si="2"/>
        <v>4</v>
      </c>
      <c r="C16" s="6" t="s">
        <v>2083</v>
      </c>
      <c r="D16" s="6" t="s">
        <v>2701</v>
      </c>
      <c r="E16" s="8" t="s">
        <v>127</v>
      </c>
      <c r="F16" s="7" t="s">
        <v>1737</v>
      </c>
      <c r="G16" s="7" t="str">
        <f t="shared" si="3"/>
        <v>text</v>
      </c>
      <c r="H16" s="26"/>
      <c r="I16" s="10" t="s">
        <v>127</v>
      </c>
      <c r="J16" s="11" t="s">
        <v>2704</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2107</v>
      </c>
      <c r="D17" s="6" t="s">
        <v>2108</v>
      </c>
      <c r="E17" s="8"/>
      <c r="F17" s="7" t="s">
        <v>1737</v>
      </c>
      <c r="G17" s="7" t="str">
        <f t="shared" si="3"/>
        <v>text</v>
      </c>
      <c r="H17" s="26"/>
      <c r="I17" s="10" t="s">
        <v>127</v>
      </c>
      <c r="J17" s="11" t="s">
        <v>2706</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milscm_2023_009.sny_202310_backup_mt2_iyakuhin_tekiyou_byomei_kanren.tekiyou_byoumei_name IS '適用病名';</v>
      </c>
    </row>
    <row r="18" spans="1:52" s="25" customFormat="1" ht="37.5">
      <c r="A18" s="4"/>
      <c r="B18" s="21">
        <f t="shared" si="2"/>
        <v>6</v>
      </c>
      <c r="C18" s="6" t="s">
        <v>2085</v>
      </c>
      <c r="D18" s="6" t="s">
        <v>2652</v>
      </c>
      <c r="E18" s="8" t="s">
        <v>127</v>
      </c>
      <c r="F18" s="7" t="s">
        <v>1737</v>
      </c>
      <c r="G18" s="7" t="str">
        <f t="shared" si="3"/>
        <v>text</v>
      </c>
      <c r="H18" s="26"/>
      <c r="I18" s="10" t="s">
        <v>127</v>
      </c>
      <c r="J18" s="11" t="s">
        <v>2707</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milscm_2023_009.sny_202310_backup_mt2_iyakuhin_tekiyou_byomei_kanren.shikkan_cd IS '疾患コード';</v>
      </c>
    </row>
    <row r="19" spans="1:52" s="25" customFormat="1" ht="37.5">
      <c r="A19" s="4"/>
      <c r="B19" s="21">
        <f t="shared" si="2"/>
        <v>7</v>
      </c>
      <c r="C19" s="6" t="s">
        <v>2087</v>
      </c>
      <c r="D19" s="6" t="s">
        <v>2088</v>
      </c>
      <c r="E19" s="8"/>
      <c r="F19" s="7" t="s">
        <v>1737</v>
      </c>
      <c r="G19" s="7" t="str">
        <f t="shared" si="3"/>
        <v>text</v>
      </c>
      <c r="H19" s="26"/>
      <c r="I19" s="10"/>
      <c r="J19" s="11" t="s">
        <v>2707</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milscm_2023_009.sny_202310_backup_mt2_iyakuhin_tekiyou_byomei_kanren.shikkan_name IS '疾患名';</v>
      </c>
    </row>
    <row r="20" spans="1:52" s="25" customFormat="1" ht="75">
      <c r="A20" s="4"/>
      <c r="B20" s="21">
        <f t="shared" si="2"/>
        <v>8</v>
      </c>
      <c r="C20" s="6" t="s">
        <v>2092</v>
      </c>
      <c r="D20" s="6" t="s">
        <v>2702</v>
      </c>
      <c r="E20" s="8"/>
      <c r="F20" s="7" t="s">
        <v>1737</v>
      </c>
      <c r="G20" s="7" t="str">
        <f t="shared" si="3"/>
        <v>text</v>
      </c>
      <c r="H20" s="26"/>
      <c r="I20" s="10"/>
      <c r="J20" s="11" t="s">
        <v>2708</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milscm_2023_009.sny_202310_backup_mt2_iyakuhin_tekiyou_byomei_kanren.kumiawase_cd IS '組み合わせコード';</v>
      </c>
    </row>
    <row r="21" spans="1:52" s="25" customFormat="1" ht="75">
      <c r="A21" s="4"/>
      <c r="B21" s="21">
        <f t="shared" si="2"/>
        <v>9</v>
      </c>
      <c r="C21" s="6" t="s">
        <v>2094</v>
      </c>
      <c r="D21" s="6" t="s">
        <v>2703</v>
      </c>
      <c r="E21" s="8"/>
      <c r="F21" s="7" t="s">
        <v>1737</v>
      </c>
      <c r="G21" s="7" t="str">
        <f t="shared" si="3"/>
        <v>text</v>
      </c>
      <c r="H21" s="26"/>
      <c r="I21" s="10"/>
      <c r="J21" s="11" t="s">
        <v>2709</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milscm_2023_009.sny_202310_backup_mt2_iyakuhin_tekiyou_byomei_kanren.kankeisei_cd IS '関係性レベルコード';</v>
      </c>
    </row>
    <row r="22" spans="1:52" s="25" customFormat="1" ht="37.5">
      <c r="A22" s="4"/>
      <c r="B22" s="21">
        <f t="shared" si="2"/>
        <v>10</v>
      </c>
      <c r="C22" s="6" t="s">
        <v>2399</v>
      </c>
      <c r="D22" s="6" t="s">
        <v>1881</v>
      </c>
      <c r="E22" s="8" t="s">
        <v>127</v>
      </c>
      <c r="F22" s="7" t="s">
        <v>737</v>
      </c>
      <c r="G22" s="7" t="str">
        <f t="shared" si="3"/>
        <v>text</v>
      </c>
      <c r="H22" s="26" t="s">
        <v>1920</v>
      </c>
      <c r="I22" s="10" t="s">
        <v>127</v>
      </c>
      <c r="J22" s="11" t="s">
        <v>2710</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milscm_2023_009.sny_202310_backup_mt2_iyakuhin_tekiyou_byomei_kanren.update_ymd IS 'データ登録日';</v>
      </c>
    </row>
    <row r="23" spans="1:52" s="25" customFormat="1" ht="56.25">
      <c r="A23" s="4"/>
      <c r="B23" s="21">
        <f t="shared" si="2"/>
        <v>11</v>
      </c>
      <c r="C23" s="6" t="s">
        <v>2507</v>
      </c>
      <c r="D23" s="6" t="s">
        <v>2508</v>
      </c>
      <c r="E23" s="8"/>
      <c r="F23" s="7" t="s">
        <v>737</v>
      </c>
      <c r="G23" s="7" t="str">
        <f t="shared" si="3"/>
        <v>text</v>
      </c>
      <c r="H23" s="26">
        <v>0</v>
      </c>
      <c r="I23" s="10" t="s">
        <v>127</v>
      </c>
      <c r="J23" s="11" t="s">
        <v>2696</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milscm_2023_009.sny_202310_backup_mt2_iyakuhin_tekiyou_byomei_kanren.new_f IS '最新フラグ';</v>
      </c>
    </row>
    <row r="24" spans="1:52" s="25" customFormat="1" ht="75">
      <c r="A24" s="4"/>
      <c r="B24" s="21">
        <f t="shared" si="2"/>
        <v>12</v>
      </c>
      <c r="C24" s="6" t="s">
        <v>2534</v>
      </c>
      <c r="D24" s="6" t="s">
        <v>1904</v>
      </c>
      <c r="E24" s="8"/>
      <c r="F24" s="7" t="s">
        <v>737</v>
      </c>
      <c r="G24" s="7" t="str">
        <f t="shared" si="3"/>
        <v>text</v>
      </c>
      <c r="H24" s="26">
        <v>0</v>
      </c>
      <c r="I24" s="10" t="s">
        <v>127</v>
      </c>
      <c r="J24" s="11" t="s">
        <v>2711</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milscm_2023_009.sny_202310_backup_mt2_iyakuhin_tekiyou_byomei_kanren.del_f IS '削除フラグ';</v>
      </c>
    </row>
    <row r="25" spans="1:52" s="25" customFormat="1" ht="150">
      <c r="A25" s="4"/>
      <c r="B25" s="21">
        <f t="shared" si="2"/>
        <v>13</v>
      </c>
      <c r="C25" s="6" t="s">
        <v>1967</v>
      </c>
      <c r="D25" s="6" t="s">
        <v>1906</v>
      </c>
      <c r="E25" s="8"/>
      <c r="F25" s="7" t="s">
        <v>737</v>
      </c>
      <c r="G25" s="7" t="str">
        <f t="shared" si="3"/>
        <v>text</v>
      </c>
      <c r="H25" s="26" t="s">
        <v>1920</v>
      </c>
      <c r="I25" s="10" t="s">
        <v>127</v>
      </c>
      <c r="J25" s="11" t="s">
        <v>2712</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milscm_2023_009.sny_202310_backup_mt2_iyakuhin_tekiyou_byomei_kanren.henkou_ymd IS '変更年月日';</v>
      </c>
    </row>
    <row r="26" spans="1:52" s="25" customFormat="1" ht="94.5" thickBot="1">
      <c r="A26" s="4"/>
      <c r="B26" s="27">
        <f>ROW()-12</f>
        <v>14</v>
      </c>
      <c r="C26" s="57" t="s">
        <v>1907</v>
      </c>
      <c r="D26" s="57" t="s">
        <v>1908</v>
      </c>
      <c r="E26" s="56"/>
      <c r="F26" s="56" t="s">
        <v>737</v>
      </c>
      <c r="G26" s="56" t="str">
        <f t="shared" si="3"/>
        <v>text</v>
      </c>
      <c r="H26" s="59" t="s">
        <v>1920</v>
      </c>
      <c r="I26" s="60" t="s">
        <v>127</v>
      </c>
      <c r="J26" s="64" t="s">
        <v>2713</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2714</v>
      </c>
      <c r="C30" s="85"/>
      <c r="D30" s="82"/>
      <c r="E30" s="82"/>
      <c r="F30" s="82"/>
      <c r="G30" s="82"/>
      <c r="H30" s="82"/>
      <c r="I30" s="82"/>
      <c r="J30" s="82"/>
      <c r="K30" s="82"/>
      <c r="L30" s="82"/>
      <c r="M30" s="86"/>
    </row>
    <row r="31" spans="1:52" s="25" customFormat="1">
      <c r="A31" s="4"/>
      <c r="C31" s="25" t="s">
        <v>2715</v>
      </c>
      <c r="M31" s="12"/>
      <c r="W31" s="4"/>
    </row>
    <row r="32" spans="1:52">
      <c r="B32" s="82" t="s">
        <v>2716</v>
      </c>
      <c r="C32" s="82"/>
      <c r="D32" s="82"/>
      <c r="E32" s="82"/>
      <c r="F32" s="82"/>
      <c r="G32" s="82"/>
      <c r="H32" s="82"/>
      <c r="I32" s="82"/>
      <c r="J32" s="82"/>
      <c r="K32" s="82"/>
      <c r="L32" s="82"/>
      <c r="M32" s="86"/>
    </row>
    <row r="33" spans="1:23">
      <c r="B33" s="82"/>
      <c r="C33" s="83" t="s">
        <v>2717</v>
      </c>
      <c r="D33" s="278" t="s">
        <v>2718</v>
      </c>
      <c r="E33" s="279"/>
      <c r="F33" s="279"/>
      <c r="G33" s="279"/>
      <c r="H33" s="280"/>
      <c r="I33" s="278" t="s">
        <v>2719</v>
      </c>
      <c r="J33" s="280"/>
    </row>
    <row r="34" spans="1:23" ht="18.75" customHeight="1">
      <c r="B34" s="82"/>
      <c r="C34" s="84" t="s">
        <v>2720</v>
      </c>
      <c r="D34" s="275" t="s">
        <v>2721</v>
      </c>
      <c r="E34" s="276"/>
      <c r="F34" s="276"/>
      <c r="G34" s="276"/>
      <c r="H34" s="277"/>
      <c r="I34" s="275" t="s">
        <v>2722</v>
      </c>
      <c r="J34" s="277"/>
    </row>
    <row r="35" spans="1:23" ht="18.75" customHeight="1">
      <c r="B35" s="82"/>
      <c r="C35" s="84" t="s">
        <v>2723</v>
      </c>
      <c r="D35" s="275" t="s">
        <v>2778</v>
      </c>
      <c r="E35" s="276"/>
      <c r="F35" s="276"/>
      <c r="G35" s="276"/>
      <c r="H35" s="277"/>
      <c r="I35" s="275" t="s">
        <v>2768</v>
      </c>
      <c r="J35" s="277"/>
    </row>
    <row r="36" spans="1:23" ht="18.75" customHeight="1">
      <c r="B36" s="82"/>
      <c r="C36" s="84" t="s">
        <v>2724</v>
      </c>
      <c r="D36" s="275" t="s">
        <v>2725</v>
      </c>
      <c r="E36" s="276"/>
      <c r="F36" s="276"/>
      <c r="G36" s="276"/>
      <c r="H36" s="277"/>
      <c r="I36" s="275" t="s">
        <v>2769</v>
      </c>
      <c r="J36" s="277"/>
    </row>
    <row r="37" spans="1:23" ht="18.75" customHeight="1">
      <c r="B37" s="82"/>
      <c r="C37" s="84" t="s">
        <v>2726</v>
      </c>
      <c r="D37" s="275" t="s">
        <v>2727</v>
      </c>
      <c r="E37" s="276"/>
      <c r="F37" s="276"/>
      <c r="G37" s="276"/>
      <c r="H37" s="277"/>
      <c r="I37" s="275" t="s">
        <v>2770</v>
      </c>
      <c r="J37" s="277"/>
    </row>
    <row r="38" spans="1:23" ht="18.75" customHeight="1">
      <c r="B38" s="82"/>
      <c r="C38" s="84" t="s">
        <v>2728</v>
      </c>
      <c r="D38" s="275" t="s">
        <v>2729</v>
      </c>
      <c r="E38" s="276"/>
      <c r="F38" s="276"/>
      <c r="G38" s="276"/>
      <c r="H38" s="277"/>
      <c r="I38" s="275" t="s">
        <v>2771</v>
      </c>
      <c r="J38" s="277"/>
    </row>
    <row r="39" spans="1:23" ht="18.75" customHeight="1">
      <c r="B39" s="82"/>
      <c r="C39" s="84" t="s">
        <v>2730</v>
      </c>
      <c r="D39" s="275" t="s">
        <v>2731</v>
      </c>
      <c r="E39" s="276"/>
      <c r="F39" s="276"/>
      <c r="G39" s="276"/>
      <c r="H39" s="277"/>
      <c r="I39" s="275" t="s">
        <v>2772</v>
      </c>
      <c r="J39" s="277"/>
    </row>
    <row r="40" spans="1:23" ht="18.75" customHeight="1">
      <c r="B40" s="82"/>
      <c r="C40" s="84" t="s">
        <v>2732</v>
      </c>
      <c r="D40" s="275" t="s">
        <v>2733</v>
      </c>
      <c r="E40" s="276"/>
      <c r="F40" s="276"/>
      <c r="G40" s="276"/>
      <c r="H40" s="277"/>
      <c r="I40" s="275" t="s">
        <v>2773</v>
      </c>
      <c r="J40" s="277"/>
    </row>
    <row r="41" spans="1:23" ht="18.75" customHeight="1">
      <c r="B41" s="82"/>
      <c r="C41" s="84" t="s">
        <v>2734</v>
      </c>
      <c r="D41" s="275" t="s">
        <v>2735</v>
      </c>
      <c r="E41" s="276"/>
      <c r="F41" s="276"/>
      <c r="G41" s="276"/>
      <c r="H41" s="277"/>
      <c r="I41" s="275" t="s">
        <v>2773</v>
      </c>
      <c r="J41" s="277"/>
    </row>
    <row r="42" spans="1:23" ht="18.75" customHeight="1">
      <c r="B42" s="82"/>
      <c r="C42" s="84" t="s">
        <v>2736</v>
      </c>
      <c r="D42" s="275" t="s">
        <v>2737</v>
      </c>
      <c r="E42" s="276"/>
      <c r="F42" s="276"/>
      <c r="G42" s="276"/>
      <c r="H42" s="277"/>
      <c r="I42" s="275" t="s">
        <v>2774</v>
      </c>
      <c r="J42" s="277"/>
    </row>
    <row r="43" spans="1:23" ht="18.75" customHeight="1">
      <c r="B43" s="82"/>
      <c r="C43" s="84" t="s">
        <v>2738</v>
      </c>
      <c r="D43" s="275" t="s">
        <v>2739</v>
      </c>
      <c r="E43" s="276"/>
      <c r="F43" s="276"/>
      <c r="G43" s="276"/>
      <c r="H43" s="277"/>
      <c r="I43" s="275" t="s">
        <v>2775</v>
      </c>
      <c r="J43" s="277"/>
    </row>
    <row r="44" spans="1:23" ht="18.75" customHeight="1">
      <c r="B44" s="82"/>
      <c r="C44" s="84" t="s">
        <v>2740</v>
      </c>
      <c r="D44" s="275" t="s">
        <v>2741</v>
      </c>
      <c r="E44" s="276"/>
      <c r="F44" s="276"/>
      <c r="G44" s="276"/>
      <c r="H44" s="277"/>
      <c r="I44" s="275" t="s">
        <v>2775</v>
      </c>
      <c r="J44" s="277"/>
    </row>
    <row r="45" spans="1:23" ht="18.75" customHeight="1">
      <c r="B45" s="82"/>
      <c r="C45" s="84" t="s">
        <v>2742</v>
      </c>
      <c r="D45" s="275" t="s">
        <v>2743</v>
      </c>
      <c r="E45" s="276"/>
      <c r="F45" s="276"/>
      <c r="G45" s="276"/>
      <c r="H45" s="277"/>
      <c r="I45" s="275" t="s">
        <v>2776</v>
      </c>
      <c r="J45" s="277"/>
    </row>
    <row r="46" spans="1:23" ht="18.75" customHeight="1">
      <c r="B46" s="82"/>
      <c r="C46" s="84" t="s">
        <v>2744</v>
      </c>
      <c r="D46" s="275" t="s">
        <v>2745</v>
      </c>
      <c r="E46" s="276"/>
      <c r="F46" s="276"/>
      <c r="G46" s="276"/>
      <c r="H46" s="277"/>
      <c r="I46" s="275" t="s">
        <v>2777</v>
      </c>
      <c r="J46" s="277"/>
    </row>
    <row r="47" spans="1:23" s="25" customFormat="1">
      <c r="A47" s="4"/>
      <c r="M47" s="12"/>
      <c r="W47" s="4"/>
    </row>
    <row r="48" spans="1:23" s="25" customFormat="1">
      <c r="A48" s="4"/>
      <c r="B48" s="82" t="s">
        <v>2746</v>
      </c>
      <c r="C48" s="82"/>
      <c r="D48" s="82"/>
      <c r="E48" s="82"/>
      <c r="F48" s="82"/>
      <c r="G48" s="82"/>
      <c r="H48" s="82"/>
      <c r="I48" s="82"/>
      <c r="J48" s="82"/>
      <c r="K48" s="82"/>
      <c r="L48" s="82"/>
      <c r="M48" s="86"/>
      <c r="W48" s="4"/>
    </row>
    <row r="49" spans="1:52" s="25" customFormat="1">
      <c r="A49" s="4"/>
      <c r="B49" s="82"/>
      <c r="C49" s="83" t="s">
        <v>2747</v>
      </c>
      <c r="D49" s="282" t="s">
        <v>2718</v>
      </c>
      <c r="E49" s="282"/>
      <c r="F49" s="282"/>
      <c r="G49" s="282"/>
      <c r="H49" s="282"/>
      <c r="N49" s="4"/>
    </row>
    <row r="50" spans="1:52" s="25" customFormat="1">
      <c r="A50" s="4"/>
      <c r="B50" s="82"/>
      <c r="C50" s="87" t="s">
        <v>2748</v>
      </c>
      <c r="D50" s="281" t="s">
        <v>2749</v>
      </c>
      <c r="E50" s="281"/>
      <c r="F50" s="281"/>
      <c r="G50" s="281"/>
      <c r="H50" s="281"/>
      <c r="N50" s="4"/>
    </row>
    <row r="51" spans="1:52" s="25" customFormat="1">
      <c r="A51" s="4"/>
      <c r="B51" s="82"/>
      <c r="C51" s="87" t="s">
        <v>2750</v>
      </c>
      <c r="D51" s="281" t="s">
        <v>2751</v>
      </c>
      <c r="E51" s="281"/>
      <c r="F51" s="281"/>
      <c r="G51" s="281"/>
      <c r="H51" s="281"/>
      <c r="N51" s="4"/>
    </row>
    <row r="52" spans="1:52" s="25" customFormat="1">
      <c r="A52" s="4"/>
      <c r="B52" s="82"/>
      <c r="C52" s="87" t="s">
        <v>2752</v>
      </c>
      <c r="D52" s="281" t="s">
        <v>2753</v>
      </c>
      <c r="E52" s="281"/>
      <c r="F52" s="281"/>
      <c r="G52" s="281"/>
      <c r="H52" s="281"/>
      <c r="J52" s="25" t="s">
        <v>2754</v>
      </c>
      <c r="N52" s="4"/>
    </row>
    <row r="53" spans="1:52" s="25" customFormat="1">
      <c r="A53" s="4"/>
      <c r="B53" s="82"/>
      <c r="C53" s="87" t="s">
        <v>2755</v>
      </c>
      <c r="D53" s="281" t="s">
        <v>2756</v>
      </c>
      <c r="E53" s="281"/>
      <c r="F53" s="281"/>
      <c r="G53" s="281"/>
      <c r="H53" s="281"/>
      <c r="J53" s="25" t="s">
        <v>2757</v>
      </c>
      <c r="N53" s="4"/>
    </row>
    <row r="54" spans="1:52" s="25" customFormat="1" ht="18.75" customHeight="1">
      <c r="A54" s="4"/>
      <c r="B54" s="82"/>
      <c r="C54" s="87" t="s">
        <v>2758</v>
      </c>
      <c r="D54" s="281" t="s">
        <v>2759</v>
      </c>
      <c r="E54" s="281"/>
      <c r="F54" s="281"/>
      <c r="G54" s="281"/>
      <c r="H54" s="281"/>
      <c r="N54" s="4"/>
    </row>
    <row r="55" spans="1:52" s="25" customFormat="1">
      <c r="A55" s="4"/>
      <c r="B55" s="82"/>
      <c r="C55" s="84" t="s">
        <v>2744</v>
      </c>
      <c r="D55" s="281" t="s">
        <v>2760</v>
      </c>
      <c r="E55" s="281"/>
      <c r="F55" s="281"/>
      <c r="G55" s="281"/>
      <c r="H55" s="281"/>
      <c r="N55" s="4"/>
    </row>
    <row r="56" spans="1:52" s="25" customFormat="1">
      <c r="A56" s="4"/>
      <c r="M56" s="12"/>
      <c r="W56" s="4"/>
    </row>
    <row r="57" spans="1:52" s="25" customFormat="1">
      <c r="A57" s="4"/>
      <c r="C57" s="25" t="s">
        <v>2761</v>
      </c>
      <c r="M57" s="12"/>
      <c r="W57" s="4"/>
    </row>
    <row r="58" spans="1:52" s="25" customFormat="1">
      <c r="A58" s="4"/>
      <c r="C58" s="83" t="s">
        <v>2747</v>
      </c>
      <c r="D58" s="282" t="s">
        <v>2718</v>
      </c>
      <c r="E58" s="282"/>
      <c r="F58" s="282"/>
      <c r="G58" s="282"/>
      <c r="H58" s="282"/>
      <c r="M58" s="12"/>
      <c r="W58" s="4"/>
    </row>
    <row r="59" spans="1:52" s="25" customFormat="1">
      <c r="A59" s="4"/>
      <c r="C59" s="87" t="s">
        <v>2762</v>
      </c>
      <c r="D59" s="281" t="s">
        <v>2763</v>
      </c>
      <c r="E59" s="281"/>
      <c r="F59" s="281"/>
      <c r="G59" s="281"/>
      <c r="H59" s="281"/>
      <c r="M59" s="12"/>
      <c r="W59" s="4"/>
    </row>
    <row r="60" spans="1:52" s="25" customFormat="1">
      <c r="A60" s="4"/>
      <c r="C60" s="87" t="s">
        <v>2764</v>
      </c>
      <c r="D60" s="281" t="s">
        <v>2765</v>
      </c>
      <c r="E60" s="281"/>
      <c r="F60" s="281"/>
      <c r="G60" s="281"/>
      <c r="H60" s="281"/>
      <c r="M60" s="12"/>
      <c r="W60" s="4"/>
    </row>
    <row r="61" spans="1:52" s="25" customFormat="1">
      <c r="A61" s="4"/>
      <c r="C61" s="87" t="s">
        <v>2766</v>
      </c>
      <c r="D61" s="281" t="s">
        <v>2767</v>
      </c>
      <c r="E61" s="281"/>
      <c r="F61" s="281"/>
      <c r="G61" s="281"/>
      <c r="H61" s="281"/>
      <c r="M61" s="12"/>
      <c r="W61" s="4"/>
    </row>
    <row r="62" spans="1:52" s="25" customFormat="1">
      <c r="A62" s="4"/>
      <c r="C62" s="84" t="s">
        <v>2744</v>
      </c>
      <c r="D62" s="281" t="s">
        <v>2760</v>
      </c>
      <c r="E62" s="281"/>
      <c r="F62" s="281"/>
      <c r="G62" s="281"/>
      <c r="H62" s="281"/>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ENT_01_A6-02</v>
      </c>
      <c r="E6" s="273"/>
      <c r="F6" s="273"/>
      <c r="G6" s="273"/>
      <c r="H6" s="273"/>
      <c r="I6" s="273"/>
      <c r="J6" s="274"/>
    </row>
    <row r="7" spans="1:45">
      <c r="B7" s="262" t="s">
        <v>115</v>
      </c>
      <c r="C7" s="263"/>
      <c r="D7" s="264" t="s">
        <v>3184</v>
      </c>
      <c r="E7" s="265"/>
      <c r="F7" s="265"/>
      <c r="G7" s="265"/>
      <c r="H7" s="265"/>
      <c r="I7" s="265"/>
      <c r="J7" s="266"/>
    </row>
    <row r="8" spans="1:45">
      <c r="B8" s="262" t="s">
        <v>116</v>
      </c>
      <c r="C8" s="263"/>
      <c r="D8" s="264" t="str">
        <f>エンティティ一覧!AE2&amp;"_"&amp;D5&amp;"_text_mml_common"</f>
        <v>sny_202310_backup_text_mml_common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MML共通テーブルから組入れ条件の第一条件で絞り込んだ結果を格納するテーブル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milscm_2023_009.sny_202310_backup_text_mml_common;</v>
      </c>
      <c r="O10" s="76"/>
      <c r="P10" s="76"/>
      <c r="Q10" s="76"/>
      <c r="R10" s="76"/>
      <c r="S10" s="76"/>
      <c r="T10" s="76"/>
      <c r="AJ10" s="76" t="str">
        <f>"ALTER TABLE ONLY "&amp;エンティティ一覧!$O$2&amp;"."&amp;D$8</f>
        <v>ALTER TABLE ONLY milscm_2023_009.sny_202310_backup_text_mml_common</v>
      </c>
      <c r="AS10" s="76" t="str">
        <f>"ALTER TABLE "&amp;エンティティ一覧!$O$2&amp;"."&amp;D$8&amp;" OWNER TO pgmisgrp1;"</f>
        <v>ALTER TABLE milscm_2023_009.sny_202310_backup_text_mml_common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milscm_2023_009.sny_202310_backup_text_mml_common</v>
      </c>
      <c r="O11" s="76"/>
      <c r="P11" s="76"/>
      <c r="Q11" s="76"/>
      <c r="R11" s="76"/>
      <c r="S11" s="76"/>
      <c r="T11" s="76"/>
      <c r="AJ11" s="76" t="str">
        <f>"ADD CONSTRAINT "&amp;D$8&amp;"_pkey PRIMARY KEY"</f>
        <v>ADD CONSTRAINT sny_202310_backup_text_mml_common_pkey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milscm_2023_009.sny_202310_backup_text_mml_common IS 'バックアップ_MML共通';</v>
      </c>
    </row>
    <row r="13" spans="1:45" s="25" customFormat="1">
      <c r="A13" s="4"/>
      <c r="B13" s="21">
        <f>ROW()-12</f>
        <v>1</v>
      </c>
      <c r="C13" s="6" t="s">
        <v>2780</v>
      </c>
      <c r="D13" s="6" t="s">
        <v>2781</v>
      </c>
      <c r="E13" s="8" t="s">
        <v>127</v>
      </c>
      <c r="F13" s="8" t="s">
        <v>3269</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2783</v>
      </c>
      <c r="D14" s="6" t="s">
        <v>2784</v>
      </c>
      <c r="E14" s="8" t="s">
        <v>127</v>
      </c>
      <c r="F14" s="7" t="s">
        <v>3269</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3258</v>
      </c>
      <c r="D15" s="6" t="s">
        <v>2786</v>
      </c>
      <c r="E15" s="8" t="s">
        <v>127</v>
      </c>
      <c r="F15" s="7" t="s">
        <v>3269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milscm_2023_009.sny_202310_backup_text_mml_common.body_no IS '本文No';</v>
      </c>
    </row>
    <row r="16" spans="1:45" s="25" customFormat="1">
      <c r="A16" s="4"/>
      <c r="B16" s="21">
        <f t="shared" si="2"/>
        <v>4</v>
      </c>
      <c r="C16" s="6" t="s">
        <v>3259</v>
      </c>
      <c r="D16" s="6" t="s">
        <v>2403</v>
      </c>
      <c r="E16" s="8"/>
      <c r="F16" s="7" t="s">
        <v>317</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2788</v>
      </c>
      <c r="D17" s="6" t="s">
        <v>1246</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milscm_2023_009.sny_202310_backup_text_mml_common.master_id IS '患者ID';</v>
      </c>
    </row>
    <row r="18" spans="1:52" s="25" customFormat="1">
      <c r="A18" s="4"/>
      <c r="B18" s="21">
        <f t="shared" si="2"/>
        <v>6</v>
      </c>
      <c r="C18" s="6" t="s">
        <v>3260</v>
      </c>
      <c r="D18" s="6" t="s">
        <v>1248</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milscm_2023_009.sny_202310_backup_text_mml_common.uid IS 'UID';</v>
      </c>
    </row>
    <row r="19" spans="1:52" s="25" customFormat="1">
      <c r="A19" s="4"/>
      <c r="B19" s="21">
        <f t="shared" si="2"/>
        <v>7</v>
      </c>
      <c r="C19" s="6" t="s">
        <v>3261</v>
      </c>
      <c r="D19" s="6" t="s">
        <v>3262</v>
      </c>
      <c r="E19" s="8"/>
      <c r="F19" s="7" t="s">
        <v>317</v>
      </c>
      <c r="G19" s="7" t="str">
        <f t="shared" si="3"/>
        <v>text</v>
      </c>
      <c r="H19" s="26"/>
      <c r="I19" s="10" t="s">
        <v>127</v>
      </c>
      <c r="J19" s="11" t="s">
        <v>2794</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3263</v>
      </c>
      <c r="D20" s="6" t="s">
        <v>3264</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3265</v>
      </c>
      <c r="D21" s="6" t="s">
        <v>3266</v>
      </c>
      <c r="E21" s="8"/>
      <c r="F21" s="7" t="s">
        <v>317</v>
      </c>
      <c r="G21" s="7" t="str">
        <f t="shared" si="3"/>
        <v>text</v>
      </c>
      <c r="H21" s="26"/>
      <c r="I21" s="10" t="s">
        <v>127</v>
      </c>
      <c r="J21" s="11" t="s">
        <v>3271</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3267</v>
      </c>
      <c r="D22" s="6" t="s">
        <v>2508</v>
      </c>
      <c r="E22" s="8"/>
      <c r="F22" s="7" t="s">
        <v>2418</v>
      </c>
      <c r="G22" s="7" t="str">
        <f t="shared" si="3"/>
        <v>boolean</v>
      </c>
      <c r="H22" s="26" t="b">
        <v>1</v>
      </c>
      <c r="I22" s="10" t="s">
        <v>127</v>
      </c>
      <c r="J22" s="11" t="s">
        <v>3272</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milscm_2023_009.sny_202310_backup_text_mml_common.new_f IS '最新フラグ';</v>
      </c>
    </row>
    <row r="23" spans="1:52" s="25" customFormat="1" ht="19.5" thickBot="1">
      <c r="A23" s="4"/>
      <c r="B23" s="27">
        <f>ROW()-12</f>
        <v>11</v>
      </c>
      <c r="C23" s="57" t="s">
        <v>3268</v>
      </c>
      <c r="D23" s="57" t="s">
        <v>1904</v>
      </c>
      <c r="E23" s="56"/>
      <c r="F23" s="56" t="s">
        <v>2418</v>
      </c>
      <c r="G23" s="56" t="str">
        <f t="shared" si="3"/>
        <v>boolean</v>
      </c>
      <c r="H23" s="59" t="b">
        <v>0</v>
      </c>
      <c r="I23" s="60" t="s">
        <v>127</v>
      </c>
      <c r="J23" s="64" t="s">
        <v>3273</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ENT_01_A6-03</v>
      </c>
      <c r="E6" s="273"/>
      <c r="F6" s="273"/>
      <c r="G6" s="273"/>
      <c r="H6" s="273"/>
      <c r="I6" s="273"/>
      <c r="J6" s="274"/>
    </row>
    <row r="7" spans="1:45">
      <c r="B7" s="262" t="s">
        <v>115</v>
      </c>
      <c r="C7" s="263"/>
      <c r="D7" s="264" t="s">
        <v>2779</v>
      </c>
      <c r="E7" s="265"/>
      <c r="F7" s="265"/>
      <c r="G7" s="265"/>
      <c r="H7" s="265"/>
      <c r="I7" s="265"/>
      <c r="J7" s="266"/>
    </row>
    <row r="8" spans="1:45">
      <c r="B8" s="262" t="s">
        <v>116</v>
      </c>
      <c r="C8" s="263"/>
      <c r="D8" s="264" t="str">
        <f>エンティティ一覧!AE2&amp;"_"&amp;D5&amp;"_text_mml_mmlrd_body"</f>
        <v>sny_202310_backup_text_mml_mmlrd_body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milscm_2023_009.sny_202310_backup_text_mml_mmlrd_body;</v>
      </c>
      <c r="O10" s="76"/>
      <c r="P10" s="76"/>
      <c r="Q10" s="76"/>
      <c r="R10" s="76"/>
      <c r="S10" s="76"/>
      <c r="T10" s="76"/>
      <c r="AJ10" s="76" t="str">
        <f>"ALTER TABLE ONLY "&amp;エンティティ一覧!$O$2&amp;"."&amp;D$8</f>
        <v>ALTER TABLE ONLY milscm_2023_009.sny_202310_backup_text_mml_mmlrd_body</v>
      </c>
      <c r="AS10" s="76" t="str">
        <f>"ALTER TABLE "&amp;エンティティ一覧!$O$2&amp;"."&amp;D$8&amp;" OWNER TO pgmisgrp1;"</f>
        <v>ALTER TABLE milscm_2023_009.sny_202310_backup_text_mml_mmlrd_body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milscm_2023_009.sny_202310_backup_text_mml_mmlrd_body</v>
      </c>
      <c r="O11" s="76"/>
      <c r="P11" s="76"/>
      <c r="Q11" s="76"/>
      <c r="R11" s="76"/>
      <c r="S11" s="76"/>
      <c r="T11" s="76"/>
      <c r="AJ11" s="76" t="str">
        <f>"ADD CONSTRAINT "&amp;D$8&amp;"_pkey PRIMARY KEY"</f>
        <v>ADD CONSTRAINT sny_202310_backup_text_mml_mmlrd_body_pkey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2783</v>
      </c>
      <c r="D14" s="6" t="s">
        <v>2784</v>
      </c>
      <c r="E14" s="8" t="s">
        <v>127</v>
      </c>
      <c r="F14" s="7" t="s">
        <v>2782</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milscm_2023_009.sny_202310_backup_text_mml_mmlrd_body.body_no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1303</v>
      </c>
      <c r="D18" s="6" t="s">
        <v>2789</v>
      </c>
      <c r="E18" s="8"/>
      <c r="F18" s="7" t="s">
        <v>1821</v>
      </c>
      <c r="G18" s="7" t="str">
        <f t="shared" si="3"/>
        <v>text</v>
      </c>
      <c r="H18" s="26"/>
      <c r="I18" s="10"/>
      <c r="J18" s="11" t="s">
        <v>2794</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1305</v>
      </c>
      <c r="D19" s="6" t="s">
        <v>2790</v>
      </c>
      <c r="E19" s="8"/>
      <c r="F19" s="7" t="s">
        <v>1821</v>
      </c>
      <c r="G19" s="7" t="str">
        <f t="shared" si="3"/>
        <v>text</v>
      </c>
      <c r="H19" s="26"/>
      <c r="I19" s="10"/>
      <c r="J19" s="11" t="s">
        <v>2794</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1307</v>
      </c>
      <c r="D20" s="6" t="s">
        <v>2791</v>
      </c>
      <c r="E20" s="8"/>
      <c r="F20" s="7" t="s">
        <v>1821</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milscm_2023_009.sny_202310_backup_text_mml_mmlrd_body.outcome IS '転帰';</v>
      </c>
    </row>
    <row r="21" spans="1:52" s="25" customFormat="1" ht="19.5" thickBot="1">
      <c r="A21" s="4"/>
      <c r="B21" s="27">
        <f>ROW()-12</f>
        <v>9</v>
      </c>
      <c r="C21" s="57" t="s">
        <v>1309</v>
      </c>
      <c r="D21" s="57" t="s">
        <v>2792</v>
      </c>
      <c r="E21" s="56"/>
      <c r="F21" s="56" t="s">
        <v>1821</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ENT_01_A6-04</v>
      </c>
      <c r="E6" s="273"/>
      <c r="F6" s="273"/>
      <c r="G6" s="273"/>
      <c r="H6" s="273"/>
      <c r="I6" s="273"/>
      <c r="J6" s="274"/>
    </row>
    <row r="7" spans="1:45">
      <c r="B7" s="262" t="s">
        <v>115</v>
      </c>
      <c r="C7" s="263"/>
      <c r="D7" s="264" t="s">
        <v>2795</v>
      </c>
      <c r="E7" s="265"/>
      <c r="F7" s="265"/>
      <c r="G7" s="265"/>
      <c r="H7" s="265"/>
      <c r="I7" s="265"/>
      <c r="J7" s="266"/>
    </row>
    <row r="8" spans="1:45">
      <c r="B8" s="262" t="s">
        <v>116</v>
      </c>
      <c r="C8" s="263"/>
      <c r="D8" s="264" t="str">
        <f>エンティティ一覧!AE2&amp;"_"&amp;D5&amp;"_text_mml_mmlrd_byomei"</f>
        <v>sny_202310_backup_text_mml_mmlrd_byomei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milscm_2023_009.sny_202310_backup_text_mml_mmlrd_byomei;</v>
      </c>
      <c r="O10" s="76"/>
      <c r="P10" s="76"/>
      <c r="Q10" s="76"/>
      <c r="R10" s="76"/>
      <c r="S10" s="76"/>
      <c r="T10" s="76"/>
      <c r="AJ10" s="76" t="str">
        <f>"ALTER TABLE ONLY "&amp;エンティティ一覧!$O$2&amp;"."&amp;D$8</f>
        <v>ALTER TABLE ONLY milscm_2023_009.sny_202310_backup_text_mml_mmlrd_byomei</v>
      </c>
      <c r="AS10" s="76" t="str">
        <f>"ALTER TABLE "&amp;エンティティ一覧!$O$2&amp;"."&amp;D$8&amp;" OWNER TO pgmisgrp1;"</f>
        <v>ALTER TABLE milscm_2023_009.sny_202310_backup_text_mml_mmlrd_byomei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milscm_2023_009.sny_202310_backup_text_mml_mmlrd_byomei</v>
      </c>
      <c r="O11" s="76"/>
      <c r="P11" s="76"/>
      <c r="Q11" s="76"/>
      <c r="R11" s="76"/>
      <c r="S11" s="76"/>
      <c r="T11" s="76"/>
      <c r="AJ11" s="76" t="str">
        <f>"ADD CONSTRAINT "&amp;D$8&amp;"_pkey PRIMARY KEY"</f>
        <v>ADD CONSTRAINT sny_202310_backup_text_mml_mmlrd_byomei_pkey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2783</v>
      </c>
      <c r="D14" s="6" t="s">
        <v>2784</v>
      </c>
      <c r="E14" s="8" t="s">
        <v>127</v>
      </c>
      <c r="F14" s="7" t="s">
        <v>2782</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2796</v>
      </c>
      <c r="D18" s="6" t="s">
        <v>2797</v>
      </c>
      <c r="E18" s="8" t="s">
        <v>127</v>
      </c>
      <c r="F18" s="7" t="s">
        <v>2782</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2798</v>
      </c>
      <c r="D19" s="6" t="s">
        <v>2799</v>
      </c>
      <c r="E19" s="8"/>
      <c r="F19" s="7" t="s">
        <v>1821</v>
      </c>
      <c r="G19" s="7" t="str">
        <f t="shared" si="3"/>
        <v>text</v>
      </c>
      <c r="H19" s="26"/>
      <c r="I19" s="10"/>
      <c r="J19" s="11" t="s">
        <v>2804</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milscm_2023_009.sny_202310_backup_text_mml_mmlrd_byomei.tag_name IS 'タグ名';</v>
      </c>
    </row>
    <row r="20" spans="1:52" s="25" customFormat="1" ht="37.5">
      <c r="A20" s="4"/>
      <c r="B20" s="21">
        <f t="shared" si="2"/>
        <v>8</v>
      </c>
      <c r="C20" s="6" t="s">
        <v>1321</v>
      </c>
      <c r="D20" s="6" t="s">
        <v>2800</v>
      </c>
      <c r="E20" s="8"/>
      <c r="F20" s="7" t="s">
        <v>1821</v>
      </c>
      <c r="G20" s="7" t="str">
        <f t="shared" ref="G20" si="7">IF(F20="フラグ","boolean",IF(F20="文字列","text",IF(F20="整数","integer",IF(F20="実数","numeric",""))))</f>
        <v>text</v>
      </c>
      <c r="H20" s="26"/>
      <c r="I20" s="10"/>
      <c r="J20" s="11" t="s">
        <v>2805</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2801</v>
      </c>
      <c r="D21" s="6" t="s">
        <v>359</v>
      </c>
      <c r="E21" s="8"/>
      <c r="F21" s="7" t="s">
        <v>1821</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milscm_2023_009.sny_202310_backup_text_mml_mmlrd_byomei.code IS 'コード値';</v>
      </c>
    </row>
    <row r="22" spans="1:52" s="25" customFormat="1" ht="19.5" thickBot="1">
      <c r="A22" s="4"/>
      <c r="B22" s="27">
        <f>ROW()-12</f>
        <v>10</v>
      </c>
      <c r="C22" s="57" t="s">
        <v>2802</v>
      </c>
      <c r="D22" s="57" t="s">
        <v>2803</v>
      </c>
      <c r="E22" s="56"/>
      <c r="F22" s="56" t="s">
        <v>1821</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ENT_01_A6-05</v>
      </c>
      <c r="E6" s="273"/>
      <c r="F6" s="273"/>
      <c r="G6" s="273"/>
      <c r="H6" s="273"/>
      <c r="I6" s="273"/>
      <c r="J6" s="274"/>
    </row>
    <row r="7" spans="1:45">
      <c r="B7" s="262" t="s">
        <v>115</v>
      </c>
      <c r="C7" s="263"/>
      <c r="D7" s="264" t="s">
        <v>2806</v>
      </c>
      <c r="E7" s="265"/>
      <c r="F7" s="265"/>
      <c r="G7" s="265"/>
      <c r="H7" s="265"/>
      <c r="I7" s="265"/>
      <c r="J7" s="266"/>
    </row>
    <row r="8" spans="1:45">
      <c r="B8" s="262" t="s">
        <v>116</v>
      </c>
      <c r="C8" s="263"/>
      <c r="D8" s="264" t="str">
        <f>エンティティ一覧!AE2&amp;"_"&amp;D5&amp;"_text_mml_mmlrd_category"</f>
        <v>sny_202310_backup_text_mml_mmlrd_category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milscm_2023_009.sny_202310_backup_text_mml_mmlrd_category;</v>
      </c>
      <c r="O10" s="76"/>
      <c r="P10" s="76"/>
      <c r="Q10" s="76"/>
      <c r="R10" s="76"/>
      <c r="S10" s="76"/>
      <c r="T10" s="76"/>
      <c r="AJ10" s="76" t="str">
        <f>"ALTER TABLE ONLY "&amp;エンティティ一覧!$O$2&amp;"."&amp;D$8</f>
        <v>ALTER TABLE ONLY milscm_2023_009.sny_202310_backup_text_mml_mmlrd_category</v>
      </c>
      <c r="AS10" s="76" t="str">
        <f>"ALTER TABLE "&amp;エンティティ一覧!$O$2&amp;"."&amp;D$8&amp;" OWNER TO pgmisgrp1;"</f>
        <v>ALTER TABLE milscm_2023_009.sny_202310_backup_text_mml_mmlrd_category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milscm_2023_009.sny_202310_backup_text_mml_mmlrd_category</v>
      </c>
      <c r="O11" s="76"/>
      <c r="P11" s="76"/>
      <c r="Q11" s="76"/>
      <c r="R11" s="76"/>
      <c r="S11" s="76"/>
      <c r="T11" s="76"/>
      <c r="AJ11" s="76" t="str">
        <f>"ADD CONSTRAINT "&amp;D$8&amp;"_pkey PRIMARY KEY"</f>
        <v>ADD CONSTRAINT sny_202310_backup_text_mml_mmlrd_category_pkey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2783</v>
      </c>
      <c r="D14" s="6" t="s">
        <v>2784</v>
      </c>
      <c r="E14" s="8" t="s">
        <v>127</v>
      </c>
      <c r="F14" s="7" t="s">
        <v>2782</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2807</v>
      </c>
      <c r="D18" s="6" t="s">
        <v>2808</v>
      </c>
      <c r="E18" s="8" t="s">
        <v>127</v>
      </c>
      <c r="F18" s="7" t="s">
        <v>2782</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1335</v>
      </c>
      <c r="D19" s="6" t="s">
        <v>2809</v>
      </c>
      <c r="E19" s="8"/>
      <c r="F19" s="7" t="s">
        <v>1821</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milscm_2023_009.sny_202310_backup_text_mml_mmlrd_category.category IS '分類名';</v>
      </c>
    </row>
    <row r="20" spans="1:52" s="25" customFormat="1" ht="19.5" thickBot="1">
      <c r="A20" s="4"/>
      <c r="B20" s="27">
        <f>ROW()-12</f>
        <v>8</v>
      </c>
      <c r="C20" s="57" t="s">
        <v>1337</v>
      </c>
      <c r="D20" s="57" t="s">
        <v>2810</v>
      </c>
      <c r="E20" s="56"/>
      <c r="F20" s="56" t="s">
        <v>1821</v>
      </c>
      <c r="G20" s="56" t="str">
        <f t="shared" si="3"/>
        <v>text</v>
      </c>
      <c r="H20" s="59"/>
      <c r="I20" s="60"/>
      <c r="J20" s="64"/>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ENT_01_A6-18</v>
      </c>
      <c r="E6" s="273"/>
      <c r="F6" s="273"/>
      <c r="G6" s="273"/>
      <c r="H6" s="273"/>
      <c r="I6" s="273"/>
      <c r="J6" s="274"/>
    </row>
    <row r="7" spans="1:45">
      <c r="B7" s="262" t="s">
        <v>115</v>
      </c>
      <c r="C7" s="263"/>
      <c r="D7" s="264" t="s">
        <v>3857</v>
      </c>
      <c r="E7" s="265"/>
      <c r="F7" s="265"/>
      <c r="G7" s="265"/>
      <c r="H7" s="265"/>
      <c r="I7" s="265"/>
      <c r="J7" s="266"/>
    </row>
    <row r="8" spans="1:45">
      <c r="B8" s="262" t="s">
        <v>116</v>
      </c>
      <c r="C8" s="263"/>
      <c r="D8" s="264" t="str">
        <f>エンティティ一覧!AE2&amp;"_"&amp;D5&amp;"_text_mml_mmllb_body"</f>
        <v>sny_202310_backup_text_mml_mmllb_body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milscm_2023_009.sny_202310_backup_text_mml_mmllb_body;</v>
      </c>
      <c r="O10" s="76"/>
      <c r="P10" s="76"/>
      <c r="Q10" s="76"/>
      <c r="R10" s="76"/>
      <c r="S10" s="76"/>
      <c r="T10" s="76"/>
      <c r="AJ10" s="76" t="str">
        <f>"ALTER TABLE ONLY "&amp;エンティティ一覧!$O$2&amp;"."&amp;D$8</f>
        <v>ALTER TABLE ONLY milscm_2023_009.sny_202310_backup_text_mml_mmllb_body</v>
      </c>
      <c r="AS10" s="76" t="str">
        <f>"ALTER TABLE "&amp;エンティティ一覧!$O$2&amp;"."&amp;D$8&amp;" OWNER TO pgmisgrp1;"</f>
        <v>ALTER TABLE milscm_2023_009.sny_202310_backup_text_mml_mmllb_body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milscm_2023_009.sny_202310_backup_text_mml_mmllb_body</v>
      </c>
      <c r="O11" s="76"/>
      <c r="P11" s="76"/>
      <c r="Q11" s="76"/>
      <c r="R11" s="76"/>
      <c r="S11" s="76"/>
      <c r="T11" s="76"/>
      <c r="AJ11" s="76" t="str">
        <f>"ADD CONSTRAINT "&amp;D$8&amp;"_pkey PRIMARY KEY"</f>
        <v>ADD CONSTRAINT sny_202310_backup_text_mml_mmllb_body_pkey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milscm_2023_009.sny_202310_backup_text_mml_mmllb_body IS 'バックアップ_MML_検歴情報モジュール_本文';</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milscm_2023_009.sny_202310_backup_text_mml_mmllb_body.zip_no IS 'ZipファイルNo';</v>
      </c>
    </row>
    <row r="14" spans="1:45" s="25" customFormat="1">
      <c r="A14" s="4"/>
      <c r="B14" s="21">
        <f t="shared" ref="B14:B45" si="2">ROW()-12</f>
        <v>2</v>
      </c>
      <c r="C14" s="6" t="s">
        <v>2783</v>
      </c>
      <c r="D14" s="6" t="s">
        <v>2784</v>
      </c>
      <c r="E14" s="8" t="s">
        <v>127</v>
      </c>
      <c r="F14" s="7" t="s">
        <v>3274</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milscm_2023_009.sny_202310_backup_text_mml_mmllb_body.file_no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milscm_2023_009.sny_202310_backup_text_mml_mmllb_body.body_no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milscm_2023_009.sny_202310_backup_text_mml_mmllb_body.facility_id_mml IS '施設ID（MML）';</v>
      </c>
    </row>
    <row r="17" spans="1:45" s="25" customFormat="1">
      <c r="A17" s="4"/>
      <c r="B17" s="21">
        <f t="shared" si="2"/>
        <v>5</v>
      </c>
      <c r="C17" s="6" t="s">
        <v>2788</v>
      </c>
      <c r="D17" s="6" t="s">
        <v>1246</v>
      </c>
      <c r="E17" s="8"/>
      <c r="F17" s="7" t="s">
        <v>3276</v>
      </c>
      <c r="G17" s="7" t="str">
        <f t="shared" ref="G17:G44" si="7">IF(F17="フラグ","boolean",IF(F17="文字列","text",IF(F17="整数","integer",IF(F17="実数","numeric",""))))</f>
        <v>text</v>
      </c>
      <c r="H17" s="26"/>
      <c r="I17" s="10" t="s">
        <v>127</v>
      </c>
      <c r="J17" s="11"/>
      <c r="M17" s="4"/>
      <c r="N17" s="76"/>
      <c r="O17" s="76"/>
      <c r="P17" s="76" t="str">
        <f t="shared" ref="P17:P44" si="8">IF(B17&lt;&gt;1,","&amp;D17,D17)</f>
        <v>,master_id</v>
      </c>
      <c r="Q17" s="76" t="str">
        <f t="shared" ref="Q17:Q44" si="9">UPPER(G17)</f>
        <v>TEXT</v>
      </c>
      <c r="R17" s="76" t="str">
        <f t="shared" ref="R17:R44" si="10">IF(H17&lt;&gt;"","default "&amp;IF(G17="text","'"&amp;H17&amp;"'",H17),"")</f>
        <v/>
      </c>
      <c r="S17" s="76" t="str">
        <f t="shared" ref="S17:S44" si="11">IF(I17="○","NOT NULL","")</f>
        <v>NOT NULL</v>
      </c>
      <c r="T17" s="76" t="str">
        <f t="shared" ref="T17:T44" si="12">"-- "&amp;C17</f>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milscm_2023_009.sny_202310_backup_text_mml_mmllb_body.master_id IS '患者ID';</v>
      </c>
    </row>
    <row r="18" spans="1:45" s="25" customFormat="1">
      <c r="A18" s="4"/>
      <c r="B18" s="21">
        <f t="shared" si="2"/>
        <v>6</v>
      </c>
      <c r="C18" s="6" t="s">
        <v>1546</v>
      </c>
      <c r="D18" s="6" t="s">
        <v>3867</v>
      </c>
      <c r="E18" s="8"/>
      <c r="F18" s="7" t="s">
        <v>3276</v>
      </c>
      <c r="G18" s="7" t="str">
        <f t="shared" si="7"/>
        <v>text</v>
      </c>
      <c r="H18" s="26"/>
      <c r="I18" s="10"/>
      <c r="J18" s="11"/>
      <c r="M18" s="4"/>
      <c r="N18" s="76"/>
      <c r="O18" s="76"/>
      <c r="P18" s="76" t="str">
        <f t="shared" si="8"/>
        <v>,regist_id</v>
      </c>
      <c r="Q18" s="76" t="str">
        <f t="shared" si="9"/>
        <v>TEXT</v>
      </c>
      <c r="R18" s="76" t="str">
        <f t="shared" si="10"/>
        <v/>
      </c>
      <c r="S18" s="76" t="str">
        <f t="shared" si="11"/>
        <v/>
      </c>
      <c r="T18" s="76" t="str">
        <f t="shared" si="12"/>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milscm_2023_009.sny_202310_backup_text_mml_mmllb_body.regist_id IS '依頼ID';</v>
      </c>
    </row>
    <row r="19" spans="1:45" s="25" customFormat="1">
      <c r="A19" s="4"/>
      <c r="B19" s="21">
        <f t="shared" si="2"/>
        <v>7</v>
      </c>
      <c r="C19" s="6" t="s">
        <v>1548</v>
      </c>
      <c r="D19" s="6" t="s">
        <v>1549</v>
      </c>
      <c r="E19" s="8"/>
      <c r="F19" s="7" t="s">
        <v>3276</v>
      </c>
      <c r="G19" s="7" t="str">
        <f t="shared" si="7"/>
        <v>text</v>
      </c>
      <c r="H19" s="26"/>
      <c r="I19" s="10"/>
      <c r="J19" s="11" t="s">
        <v>2794</v>
      </c>
      <c r="M19" s="4"/>
      <c r="N19" s="76"/>
      <c r="O19" s="76"/>
      <c r="P19" s="76" t="str">
        <f t="shared" si="8"/>
        <v>,sample_time</v>
      </c>
      <c r="Q19" s="76" t="str">
        <f t="shared" si="9"/>
        <v>TEXT</v>
      </c>
      <c r="R19" s="76" t="str">
        <f t="shared" si="10"/>
        <v/>
      </c>
      <c r="S19" s="76" t="str">
        <f t="shared" si="11"/>
        <v/>
      </c>
      <c r="T19" s="76" t="str">
        <f t="shared" si="12"/>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milscm_2023_009.sny_202310_backup_text_mml_mmllb_body.sample_time IS '採取日時';</v>
      </c>
    </row>
    <row r="20" spans="1:45" s="25" customFormat="1">
      <c r="A20" s="4"/>
      <c r="B20" s="21">
        <f t="shared" si="2"/>
        <v>8</v>
      </c>
      <c r="C20" s="6" t="s">
        <v>1550</v>
      </c>
      <c r="D20" s="6" t="s">
        <v>3868</v>
      </c>
      <c r="E20" s="8"/>
      <c r="F20" s="7" t="s">
        <v>3276</v>
      </c>
      <c r="G20" s="7" t="str">
        <f t="shared" si="7"/>
        <v>text</v>
      </c>
      <c r="H20" s="26"/>
      <c r="I20" s="10"/>
      <c r="J20" s="11" t="s">
        <v>2794</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milscm_2023_009.sny_202310_backup_text_mml_mmllb_body.regist_time IS '受付日時';</v>
      </c>
    </row>
    <row r="21" spans="1:45" s="25" customFormat="1">
      <c r="A21" s="4"/>
      <c r="B21" s="21">
        <f t="shared" si="2"/>
        <v>9</v>
      </c>
      <c r="C21" s="6" t="s">
        <v>1552</v>
      </c>
      <c r="D21" s="6" t="s">
        <v>1553</v>
      </c>
      <c r="E21" s="8"/>
      <c r="F21" s="7" t="s">
        <v>3276</v>
      </c>
      <c r="G21" s="7" t="str">
        <f t="shared" si="7"/>
        <v>text</v>
      </c>
      <c r="H21" s="26"/>
      <c r="I21" s="10"/>
      <c r="J21" s="11" t="s">
        <v>2794</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milscm_2023_009.sny_202310_backup_text_mml_mmllb_body.report_time IS '報告日時';</v>
      </c>
    </row>
    <row r="22" spans="1:45" s="25" customFormat="1">
      <c r="A22" s="4"/>
      <c r="B22" s="21">
        <f t="shared" si="2"/>
        <v>10</v>
      </c>
      <c r="C22" s="6" t="s">
        <v>1554</v>
      </c>
      <c r="D22" s="6" t="s">
        <v>2943</v>
      </c>
      <c r="E22" s="8"/>
      <c r="F22" s="7" t="s">
        <v>3276</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milscm_2023_009.sny_202310_backup_text_mml_mmllb_body.report_status IS '報告状態';</v>
      </c>
    </row>
    <row r="23" spans="1:45" s="25" customFormat="1">
      <c r="A23" s="4"/>
      <c r="B23" s="21">
        <f t="shared" si="2"/>
        <v>11</v>
      </c>
      <c r="C23" s="6" t="s">
        <v>1556</v>
      </c>
      <c r="D23" s="6" t="s">
        <v>1557</v>
      </c>
      <c r="E23" s="8"/>
      <c r="F23" s="7" t="s">
        <v>3276</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milscm_2023_009.sny_202310_backup_text_mml_mmllb_body.status_code IS '報告状態コード';</v>
      </c>
    </row>
    <row r="24" spans="1:45" s="25" customFormat="1">
      <c r="A24" s="4"/>
      <c r="B24" s="21">
        <f t="shared" si="2"/>
        <v>12</v>
      </c>
      <c r="C24" s="6" t="s">
        <v>2945</v>
      </c>
      <c r="D24" s="6" t="s">
        <v>3869</v>
      </c>
      <c r="E24" s="8"/>
      <c r="F24" s="7" t="s">
        <v>3276</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milscm_2023_009.sny_202310_backup_text_mml_mmllb_body.status_code_id IS '報告状態コードID';</v>
      </c>
    </row>
    <row r="25" spans="1:45" s="25" customFormat="1">
      <c r="A25" s="4"/>
      <c r="B25" s="21">
        <f t="shared" si="2"/>
        <v>13</v>
      </c>
      <c r="C25" s="6" t="s">
        <v>1558</v>
      </c>
      <c r="D25" s="6" t="s">
        <v>3870</v>
      </c>
      <c r="E25" s="8"/>
      <c r="F25" s="7" t="s">
        <v>3276</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milscm_2023_009.sny_202310_backup_text_mml_mmllb_body.set IS 'セット名';</v>
      </c>
    </row>
    <row r="26" spans="1:45" s="25" customFormat="1">
      <c r="A26" s="4"/>
      <c r="B26" s="21">
        <f t="shared" si="2"/>
        <v>14</v>
      </c>
      <c r="C26" s="6" t="s">
        <v>1560</v>
      </c>
      <c r="D26" s="6" t="s">
        <v>3871</v>
      </c>
      <c r="E26" s="8"/>
      <c r="F26" s="7" t="s">
        <v>3276</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milscm_2023_009.sny_202310_backup_text_mml_mmllb_body.set_code IS 'セット名コード';</v>
      </c>
    </row>
    <row r="27" spans="1:45" s="25" customFormat="1">
      <c r="A27" s="4"/>
      <c r="B27" s="21">
        <f t="shared" si="2"/>
        <v>15</v>
      </c>
      <c r="C27" s="6" t="s">
        <v>1562</v>
      </c>
      <c r="D27" s="6" t="s">
        <v>3872</v>
      </c>
      <c r="E27" s="8"/>
      <c r="F27" s="7" t="s">
        <v>3276</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milscm_2023_009.sny_202310_backup_text_mml_mmllb_body.set_code_id IS 'セット名コードID';</v>
      </c>
    </row>
    <row r="28" spans="1:45" s="25" customFormat="1">
      <c r="A28" s="4"/>
      <c r="B28" s="21">
        <f t="shared" si="2"/>
        <v>16</v>
      </c>
      <c r="C28" s="6" t="s">
        <v>2961</v>
      </c>
      <c r="D28" s="6" t="s">
        <v>3873</v>
      </c>
      <c r="E28" s="8"/>
      <c r="F28" s="7" t="s">
        <v>3276</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milscm_2023_009.sny_202310_backup_text_mml_mmllb_body.facility IS '依頼施設';</v>
      </c>
    </row>
    <row r="29" spans="1:45" s="25" customFormat="1">
      <c r="A29" s="4"/>
      <c r="B29" s="21">
        <f t="shared" si="2"/>
        <v>17</v>
      </c>
      <c r="C29" s="6" t="s">
        <v>1566</v>
      </c>
      <c r="D29" s="6" t="s">
        <v>3874</v>
      </c>
      <c r="E29" s="8"/>
      <c r="F29" s="7" t="s">
        <v>3276</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milscm_2023_009.sny_202310_backup_text_mml_mmllb_body.facility_code IS '依頼施設コード';</v>
      </c>
    </row>
    <row r="30" spans="1:45" s="25" customFormat="1">
      <c r="A30" s="4"/>
      <c r="B30" s="21">
        <f t="shared" si="2"/>
        <v>18</v>
      </c>
      <c r="C30" s="6" t="s">
        <v>1568</v>
      </c>
      <c r="D30" s="6" t="s">
        <v>3875</v>
      </c>
      <c r="E30" s="8"/>
      <c r="F30" s="7" t="s">
        <v>3276</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milscm_2023_009.sny_202310_backup_text_mml_mmllb_body.facility_code_id IS '依頼施設コードID';</v>
      </c>
    </row>
    <row r="31" spans="1:45" s="25" customFormat="1">
      <c r="A31" s="4"/>
      <c r="B31" s="21">
        <f t="shared" si="2"/>
        <v>19</v>
      </c>
      <c r="C31" s="6" t="s">
        <v>1570</v>
      </c>
      <c r="D31" s="6" t="s">
        <v>3876</v>
      </c>
      <c r="E31" s="8"/>
      <c r="F31" s="7" t="s">
        <v>3276</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milscm_2023_009.sny_202310_backup_text_mml_mmllb_body.department IS '依頼診療科';</v>
      </c>
    </row>
    <row r="32" spans="1:45" s="25" customFormat="1">
      <c r="A32" s="4"/>
      <c r="B32" s="21">
        <f t="shared" si="2"/>
        <v>20</v>
      </c>
      <c r="C32" s="6" t="s">
        <v>1572</v>
      </c>
      <c r="D32" s="6" t="s">
        <v>1683</v>
      </c>
      <c r="E32" s="8"/>
      <c r="F32" s="7" t="s">
        <v>3276</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milscm_2023_009.sny_202310_backup_text_mml_mmllb_body.department_code IS '依頼診療科コード';</v>
      </c>
    </row>
    <row r="33" spans="1:52" s="25" customFormat="1">
      <c r="A33" s="4"/>
      <c r="B33" s="21">
        <f t="shared" si="2"/>
        <v>21</v>
      </c>
      <c r="C33" s="6" t="s">
        <v>2967</v>
      </c>
      <c r="D33" s="6" t="s">
        <v>3877</v>
      </c>
      <c r="E33" s="8"/>
      <c r="F33" s="7" t="s">
        <v>3276</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milscm_2023_009.sny_202310_backup_text_mml_mmllb_body.department_code_id IS '依頼診療科コードID';</v>
      </c>
    </row>
    <row r="34" spans="1:52" s="25" customFormat="1">
      <c r="A34" s="4"/>
      <c r="B34" s="21">
        <f t="shared" si="2"/>
        <v>22</v>
      </c>
      <c r="C34" s="6" t="s">
        <v>1574</v>
      </c>
      <c r="D34" s="6" t="s">
        <v>1685</v>
      </c>
      <c r="E34" s="8"/>
      <c r="F34" s="7" t="s">
        <v>3276</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milscm_2023_009.sny_202310_backup_text_mml_mmllb_body.ward IS '依頼病棟';</v>
      </c>
    </row>
    <row r="35" spans="1:52" s="25" customFormat="1">
      <c r="A35" s="4"/>
      <c r="B35" s="21">
        <f t="shared" si="2"/>
        <v>23</v>
      </c>
      <c r="C35" s="6" t="s">
        <v>1576</v>
      </c>
      <c r="D35" s="6" t="s">
        <v>239</v>
      </c>
      <c r="E35" s="8"/>
      <c r="F35" s="7" t="s">
        <v>3276</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milscm_2023_009.sny_202310_backup_text_mml_mmllb_body.ward_code IS '依頼病棟コード';</v>
      </c>
    </row>
    <row r="36" spans="1:52" s="25" customFormat="1">
      <c r="A36" s="4"/>
      <c r="B36" s="21">
        <f t="shared" si="2"/>
        <v>24</v>
      </c>
      <c r="C36" s="6" t="s">
        <v>1578</v>
      </c>
      <c r="D36" s="6" t="s">
        <v>1687</v>
      </c>
      <c r="E36" s="8"/>
      <c r="F36" s="7" t="s">
        <v>3276</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milscm_2023_009.sny_202310_backup_text_mml_mmllb_body.ward_code_id IS '依頼病棟コードID';</v>
      </c>
    </row>
    <row r="37" spans="1:52" s="25" customFormat="1">
      <c r="A37" s="4"/>
      <c r="B37" s="21">
        <f t="shared" si="2"/>
        <v>25</v>
      </c>
      <c r="C37" s="6" t="s">
        <v>3878</v>
      </c>
      <c r="D37" s="6" t="s">
        <v>3879</v>
      </c>
      <c r="E37" s="8"/>
      <c r="F37" s="7" t="s">
        <v>3276</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milscm_2023_009.sny_202310_backup_text_mml_mmllb_body.client IS '依頼者';</v>
      </c>
    </row>
    <row r="38" spans="1:52" s="25" customFormat="1">
      <c r="A38" s="4"/>
      <c r="B38" s="21">
        <f t="shared" si="2"/>
        <v>26</v>
      </c>
      <c r="C38" s="6" t="s">
        <v>3880</v>
      </c>
      <c r="D38" s="6" t="s">
        <v>3881</v>
      </c>
      <c r="E38" s="8"/>
      <c r="F38" s="7" t="s">
        <v>3276</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milscm_2023_009.sny_202310_backup_text_mml_mmllb_body.client_code IS '依頼者コード';</v>
      </c>
    </row>
    <row r="39" spans="1:52" s="25" customFormat="1">
      <c r="A39" s="4"/>
      <c r="B39" s="21">
        <f t="shared" si="2"/>
        <v>27</v>
      </c>
      <c r="C39" s="6" t="s">
        <v>3882</v>
      </c>
      <c r="D39" s="6" t="s">
        <v>3883</v>
      </c>
      <c r="E39" s="8"/>
      <c r="F39" s="7" t="s">
        <v>3276</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milscm_2023_009.sny_202310_backup_text_mml_mmllb_body.client_code_id IS '依頼者コードID';</v>
      </c>
    </row>
    <row r="40" spans="1:52" s="25" customFormat="1">
      <c r="A40" s="4"/>
      <c r="B40" s="21">
        <f t="shared" si="2"/>
        <v>28</v>
      </c>
      <c r="C40" s="6" t="s">
        <v>3884</v>
      </c>
      <c r="D40" s="6" t="s">
        <v>3885</v>
      </c>
      <c r="E40" s="8"/>
      <c r="F40" s="7" t="s">
        <v>3276</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milscm_2023_009.sny_202310_backup_text_mml_mmllb_body.laboratory_center IS '検査実施施設';</v>
      </c>
    </row>
    <row r="41" spans="1:52" s="25" customFormat="1">
      <c r="A41" s="4"/>
      <c r="B41" s="21">
        <f t="shared" si="2"/>
        <v>29</v>
      </c>
      <c r="C41" s="6" t="s">
        <v>3886</v>
      </c>
      <c r="D41" s="6" t="s">
        <v>3887</v>
      </c>
      <c r="E41" s="8"/>
      <c r="F41" s="7" t="s">
        <v>3276</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milscm_2023_009.sny_202310_backup_text_mml_mmllb_body.laboratory_center_code IS '検査実施施設コード';</v>
      </c>
    </row>
    <row r="42" spans="1:52" s="25" customFormat="1" ht="31.5">
      <c r="A42" s="4"/>
      <c r="B42" s="21">
        <f t="shared" si="2"/>
        <v>30</v>
      </c>
      <c r="C42" s="6" t="s">
        <v>3888</v>
      </c>
      <c r="D42" s="6" t="s">
        <v>3889</v>
      </c>
      <c r="E42" s="8"/>
      <c r="F42" s="7" t="s">
        <v>3276</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milscm_2023_009.sny_202310_backup_text_mml_mmllb_body.laboratory_center_code_id IS '検査実施施設コードID';</v>
      </c>
    </row>
    <row r="43" spans="1:52" s="25" customFormat="1">
      <c r="A43" s="4"/>
      <c r="B43" s="21">
        <f t="shared" si="2"/>
        <v>31</v>
      </c>
      <c r="C43" s="6" t="s">
        <v>3890</v>
      </c>
      <c r="D43" s="6" t="s">
        <v>3891</v>
      </c>
      <c r="E43" s="8"/>
      <c r="F43" s="7" t="s">
        <v>3276</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milscm_2023_009.sny_202310_backup_text_mml_mmllb_body.technician IS '検査実施者';</v>
      </c>
    </row>
    <row r="44" spans="1:52" s="25" customFormat="1">
      <c r="A44" s="4"/>
      <c r="B44" s="21">
        <f t="shared" si="2"/>
        <v>32</v>
      </c>
      <c r="C44" s="6" t="s">
        <v>3892</v>
      </c>
      <c r="D44" s="6" t="s">
        <v>3893</v>
      </c>
      <c r="E44" s="8"/>
      <c r="F44" s="7" t="s">
        <v>3276</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milscm_2023_009.sny_202310_backup_text_mml_mmllb_body.technician_code IS '検査実施者コード';</v>
      </c>
    </row>
    <row r="45" spans="1:52" s="25" customFormat="1">
      <c r="A45" s="4"/>
      <c r="B45" s="21">
        <f t="shared" si="2"/>
        <v>33</v>
      </c>
      <c r="C45" s="6" t="s">
        <v>3894</v>
      </c>
      <c r="D45" s="6" t="s">
        <v>3895</v>
      </c>
      <c r="E45" s="8"/>
      <c r="F45" s="7" t="s">
        <v>3276</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milscm_2023_009.sny_202310_backup_text_mml_mmllb_body.technician_code_id IS '検査実施者コードID';</v>
      </c>
    </row>
    <row r="46" spans="1:52" s="25" customFormat="1" ht="19.5" thickBot="1">
      <c r="A46" s="4"/>
      <c r="B46" s="27">
        <f>ROW()-12</f>
        <v>34</v>
      </c>
      <c r="C46" s="57" t="s">
        <v>1580</v>
      </c>
      <c r="D46" s="57" t="s">
        <v>3896</v>
      </c>
      <c r="E46" s="56"/>
      <c r="F46" s="56" t="s">
        <v>3276</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ENT_01_A6-19</v>
      </c>
      <c r="E6" s="273"/>
      <c r="F6" s="273"/>
      <c r="G6" s="273"/>
      <c r="H6" s="273"/>
      <c r="I6" s="273"/>
      <c r="J6" s="274"/>
    </row>
    <row r="7" spans="1:45">
      <c r="B7" s="262" t="s">
        <v>115</v>
      </c>
      <c r="C7" s="263"/>
      <c r="D7" s="264" t="s">
        <v>3858</v>
      </c>
      <c r="E7" s="265"/>
      <c r="F7" s="265"/>
      <c r="G7" s="265"/>
      <c r="H7" s="265"/>
      <c r="I7" s="265"/>
      <c r="J7" s="266"/>
    </row>
    <row r="8" spans="1:45">
      <c r="B8" s="262" t="s">
        <v>116</v>
      </c>
      <c r="C8" s="263"/>
      <c r="D8" s="264" t="str">
        <f>エンティティ一覧!AE2&amp;"_"&amp;D5&amp;"_text_mml_mmllb_memo"</f>
        <v>sny_202310_backup_text_mml_mmllb_memo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milscm_2023_009.sny_202310_backup_text_mml_mmllb_memo;</v>
      </c>
      <c r="O10" s="76"/>
      <c r="P10" s="76"/>
      <c r="Q10" s="76"/>
      <c r="R10" s="76"/>
      <c r="S10" s="76"/>
      <c r="T10" s="76"/>
      <c r="AJ10" s="76" t="str">
        <f>"ALTER TABLE ONLY "&amp;エンティティ一覧!$O$2&amp;"."&amp;D$8</f>
        <v>ALTER TABLE ONLY milscm_2023_009.sny_202310_backup_text_mml_mmllb_memo</v>
      </c>
      <c r="AS10" s="76" t="str">
        <f>"ALTER TABLE "&amp;エンティティ一覧!$O$2&amp;"."&amp;D$8&amp;" OWNER TO pgmisgrp1;"</f>
        <v>ALTER TABLE milscm_2023_009.sny_202310_backup_text_mml_mmllb_memo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milscm_2023_009.sny_202310_backup_text_mml_mmllb_memo</v>
      </c>
      <c r="O11" s="76"/>
      <c r="P11" s="76"/>
      <c r="Q11" s="76"/>
      <c r="R11" s="76"/>
      <c r="S11" s="76"/>
      <c r="T11" s="76"/>
      <c r="AJ11" s="76" t="str">
        <f>"ADD CONSTRAINT "&amp;D$8&amp;"_pkey PRIMARY KEY"</f>
        <v>ADD CONSTRAINT sny_202310_backup_text_mml_mmllb_memo_pkey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milscm_2023_009.sny_202310_backup_text_mml_mmllb_memo IS 'バックアップ_MML_検歴情報モジュール_報告コメント';</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milscm_2023_009.sny_202310_backup_text_mml_mmllb_memo.zip_no IS 'ZipファイルNo';</v>
      </c>
    </row>
    <row r="14" spans="1:45" s="25" customFormat="1">
      <c r="A14" s="4"/>
      <c r="B14" s="21">
        <f t="shared" ref="B14:B21" si="2">ROW()-12</f>
        <v>2</v>
      </c>
      <c r="C14" s="6" t="s">
        <v>2783</v>
      </c>
      <c r="D14" s="6" t="s">
        <v>2784</v>
      </c>
      <c r="E14" s="8" t="s">
        <v>127</v>
      </c>
      <c r="F14" s="7" t="s">
        <v>3274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milscm_2023_009.sny_202310_backup_text_mml_mmllb_memo.file_no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milscm_2023_009.sny_202310_backup_text_mml_mmllb_memo.body_no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milscm_2023_009.sny_202310_backup_text_mml_mmllb_memo.facility_id_mml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milscm_2023_009.sny_202310_backup_text_mml_mmllb_memo.master_id IS '患者ID';</v>
      </c>
    </row>
    <row r="18" spans="1:52" s="25" customFormat="1">
      <c r="A18" s="4"/>
      <c r="B18" s="21">
        <f t="shared" si="2"/>
        <v>6</v>
      </c>
      <c r="C18" s="6" t="s">
        <v>3897</v>
      </c>
      <c r="D18" s="6" t="s">
        <v>3898</v>
      </c>
      <c r="E18" s="8" t="s">
        <v>127</v>
      </c>
      <c r="F18" s="7" t="s">
        <v>3274</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milscm_2023_009.sny_202310_backup_text_mml_mmllb_memo.memo_no IS 'メモNo';</v>
      </c>
    </row>
    <row r="19" spans="1:52" s="25" customFormat="1">
      <c r="A19" s="4"/>
      <c r="B19" s="21">
        <f t="shared" si="2"/>
        <v>7</v>
      </c>
      <c r="C19" s="6" t="s">
        <v>3899</v>
      </c>
      <c r="D19" s="6" t="s">
        <v>3896</v>
      </c>
      <c r="E19" s="8"/>
      <c r="F19" s="7" t="s">
        <v>3276</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milscm_2023_009.sny_202310_backup_text_mml_mmllb_memo.rep_memo IS '報告コメント';</v>
      </c>
    </row>
    <row r="20" spans="1:52" s="25" customFormat="1">
      <c r="A20" s="4"/>
      <c r="B20" s="21">
        <f t="shared" si="2"/>
        <v>8</v>
      </c>
      <c r="C20" s="6" t="s">
        <v>3900</v>
      </c>
      <c r="D20" s="6" t="s">
        <v>3901</v>
      </c>
      <c r="E20" s="8"/>
      <c r="F20" s="7" t="s">
        <v>3276</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milscm_2023_009.sny_202310_backup_text_mml_mmllb_memo.rep_code_name IS '報告コメントコード名';</v>
      </c>
    </row>
    <row r="21" spans="1:52" s="25" customFormat="1">
      <c r="A21" s="4"/>
      <c r="B21" s="21">
        <f t="shared" si="2"/>
        <v>9</v>
      </c>
      <c r="C21" s="6" t="s">
        <v>3902</v>
      </c>
      <c r="D21" s="6" t="s">
        <v>3057</v>
      </c>
      <c r="E21" s="8"/>
      <c r="F21" s="7" t="s">
        <v>3276</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milscm_2023_009.sny_202310_backup_text_mml_mmllb_memo.rep_code IS '報告コメントコード';</v>
      </c>
    </row>
    <row r="22" spans="1:52" s="25" customFormat="1" ht="19.5" thickBot="1">
      <c r="A22" s="4"/>
      <c r="B22" s="27">
        <f>ROW()-12</f>
        <v>10</v>
      </c>
      <c r="C22" s="57" t="s">
        <v>3903</v>
      </c>
      <c r="D22" s="57" t="s">
        <v>3904</v>
      </c>
      <c r="E22" s="56"/>
      <c r="F22" s="56" t="s">
        <v>3276</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ENT_01_A6-20</v>
      </c>
      <c r="E6" s="273"/>
      <c r="F6" s="273"/>
      <c r="G6" s="273"/>
      <c r="H6" s="273"/>
      <c r="I6" s="273"/>
      <c r="J6" s="274"/>
    </row>
    <row r="7" spans="1:45">
      <c r="B7" s="262" t="s">
        <v>115</v>
      </c>
      <c r="C7" s="263"/>
      <c r="D7" s="264" t="s">
        <v>3859</v>
      </c>
      <c r="E7" s="265"/>
      <c r="F7" s="265"/>
      <c r="G7" s="265"/>
      <c r="H7" s="265"/>
      <c r="I7" s="265"/>
      <c r="J7" s="266"/>
    </row>
    <row r="8" spans="1:45">
      <c r="B8" s="262" t="s">
        <v>116</v>
      </c>
      <c r="C8" s="263"/>
      <c r="D8" s="264" t="str">
        <f>エンティティ一覧!AE2&amp;"_"&amp;D5&amp;"_text_mml_mmllb_labo_test"</f>
        <v>sny_202310_backup_text_mml_mmllb_labo_test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milscm_2023_009.sny_202310_backup_text_mml_mmllb_labo_test;</v>
      </c>
      <c r="O10" s="76"/>
      <c r="P10" s="76"/>
      <c r="Q10" s="76"/>
      <c r="R10" s="76"/>
      <c r="S10" s="76"/>
      <c r="T10" s="76"/>
      <c r="AJ10" s="76" t="str">
        <f>"ALTER TABLE ONLY "&amp;エンティティ一覧!$O$2&amp;"."&amp;D$8</f>
        <v>ALTER TABLE ONLY milscm_2023_009.sny_202310_backup_text_mml_mmllb_labo_test</v>
      </c>
      <c r="AS10" s="76" t="str">
        <f>"ALTER TABLE "&amp;エンティティ一覧!$O$2&amp;"."&amp;D$8&amp;" OWNER TO pgmisgrp1;"</f>
        <v>ALTER TABLE milscm_2023_009.sny_202310_backup_text_mml_mmllb_labo_test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milscm_2023_009.sny_202310_backup_text_mml_mmllb_labo_test</v>
      </c>
      <c r="O11" s="76"/>
      <c r="P11" s="76"/>
      <c r="Q11" s="76"/>
      <c r="R11" s="76"/>
      <c r="S11" s="76"/>
      <c r="T11" s="76"/>
      <c r="AJ11" s="76" t="str">
        <f>"ADD CONSTRAINT "&amp;D$8&amp;"_pkey PRIMARY KEY"</f>
        <v>ADD CONSTRAINT sny_202310_backup_text_mml_mmllb_labo_test_pkey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milscm_2023_009.sny_202310_backup_text_mml_mmllb_labo_test IS 'バックアップ_MML_検歴情報モジュール_検体検査結果情報';</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milscm_2023_009.sny_202310_backup_text_mml_mmllb_labo_test.zip_no IS 'ZipファイルNo';</v>
      </c>
    </row>
    <row r="14" spans="1:45" s="25" customFormat="1">
      <c r="A14" s="4"/>
      <c r="B14" s="21">
        <f t="shared" ref="B14:B21" si="2">ROW()-12</f>
        <v>2</v>
      </c>
      <c r="C14" s="6" t="s">
        <v>2783</v>
      </c>
      <c r="D14" s="6" t="s">
        <v>2784</v>
      </c>
      <c r="E14" s="8" t="s">
        <v>127</v>
      </c>
      <c r="F14" s="7" t="s">
        <v>3274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milscm_2023_009.sny_202310_backup_text_mml_mmllb_labo_test.file_no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milscm_2023_009.sny_202310_backup_text_mml_mmllb_labo_test.body_no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milscm_2023_009.sny_202310_backup_text_mml_mmllb_labo_test.facility_id_mml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milscm_2023_009.sny_202310_backup_text_mml_mmllb_labo_test.master_id IS '患者ID';</v>
      </c>
    </row>
    <row r="18" spans="1:52" s="25" customFormat="1">
      <c r="A18" s="4"/>
      <c r="B18" s="21">
        <f t="shared" si="2"/>
        <v>6</v>
      </c>
      <c r="C18" s="6" t="s">
        <v>3905</v>
      </c>
      <c r="D18" s="6" t="s">
        <v>3906</v>
      </c>
      <c r="E18" s="8" t="s">
        <v>127</v>
      </c>
      <c r="F18" s="7" t="s">
        <v>3274</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milscm_2023_009.sny_202310_backup_text_mml_mmllb_labo_test.labo_test_no IS '検体検査結果情報No';</v>
      </c>
    </row>
    <row r="19" spans="1:52" s="25" customFormat="1">
      <c r="A19" s="4"/>
      <c r="B19" s="21">
        <f t="shared" si="2"/>
        <v>7</v>
      </c>
      <c r="C19" s="6" t="s">
        <v>1606</v>
      </c>
      <c r="D19" s="6" t="s">
        <v>3985</v>
      </c>
      <c r="E19" s="8"/>
      <c r="F19" s="7" t="s">
        <v>3276</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milscm_2023_009.sny_202310_backup_text_mml_mmllb_labo_test.specimen_name IS '検体材料';</v>
      </c>
    </row>
    <row r="20" spans="1:52" s="25" customFormat="1">
      <c r="A20" s="4"/>
      <c r="B20" s="21">
        <f t="shared" si="2"/>
        <v>8</v>
      </c>
      <c r="C20" s="6" t="s">
        <v>1608</v>
      </c>
      <c r="D20" s="6" t="s">
        <v>1609</v>
      </c>
      <c r="E20" s="8"/>
      <c r="F20" s="7" t="s">
        <v>3276</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milscm_2023_009.sny_202310_backup_text_mml_mmllb_labo_test.sp_code IS '検体材料コード';</v>
      </c>
    </row>
    <row r="21" spans="1:52" s="25" customFormat="1">
      <c r="A21" s="4"/>
      <c r="B21" s="21">
        <f t="shared" si="2"/>
        <v>9</v>
      </c>
      <c r="C21" s="6" t="s">
        <v>3907</v>
      </c>
      <c r="D21" s="6" t="s">
        <v>1611</v>
      </c>
      <c r="E21" s="8"/>
      <c r="F21" s="7" t="s">
        <v>3276</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milscm_2023_009.sny_202310_backup_text_mml_mmllb_labo_test.sp_code_id IS '検体材料コードID';</v>
      </c>
    </row>
    <row r="22" spans="1:52" s="25" customFormat="1" ht="19.5" thickBot="1">
      <c r="A22" s="4"/>
      <c r="B22" s="27">
        <f>ROW()-12</f>
        <v>10</v>
      </c>
      <c r="C22" s="57" t="s">
        <v>1612</v>
      </c>
      <c r="D22" s="57" t="s">
        <v>3908</v>
      </c>
      <c r="E22" s="56"/>
      <c r="F22" s="56" t="s">
        <v>3276</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ENT_01_A6-21</v>
      </c>
      <c r="E6" s="273"/>
      <c r="F6" s="273"/>
      <c r="G6" s="273"/>
      <c r="H6" s="273"/>
      <c r="I6" s="273"/>
      <c r="J6" s="274"/>
    </row>
    <row r="7" spans="1:45">
      <c r="B7" s="262" t="s">
        <v>115</v>
      </c>
      <c r="C7" s="263"/>
      <c r="D7" s="264" t="s">
        <v>3860</v>
      </c>
      <c r="E7" s="265"/>
      <c r="F7" s="265"/>
      <c r="G7" s="265"/>
      <c r="H7" s="265"/>
      <c r="I7" s="265"/>
      <c r="J7" s="266"/>
    </row>
    <row r="8" spans="1:45">
      <c r="B8" s="262" t="s">
        <v>116</v>
      </c>
      <c r="C8" s="263"/>
      <c r="D8" s="264" t="str">
        <f>エンティティ一覧!AE2&amp;"_"&amp;D5&amp;"_text_mml_mmllb_spc_memo"</f>
        <v>sny_202310_backup_text_mml_mmllb_spc_memo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milscm_2023_009.sny_202310_backup_text_mml_mmllb_spc_memo;</v>
      </c>
      <c r="O10" s="76"/>
      <c r="P10" s="76"/>
      <c r="Q10" s="76"/>
      <c r="R10" s="76"/>
      <c r="S10" s="76"/>
      <c r="T10" s="76"/>
      <c r="AJ10" s="76" t="str">
        <f>"ALTER TABLE ONLY "&amp;エンティティ一覧!$O$2&amp;"."&amp;D$8</f>
        <v>ALTER TABLE ONLY milscm_2023_009.sny_202310_backup_text_mml_mmllb_spc_memo</v>
      </c>
      <c r="AS10" s="76" t="str">
        <f>"ALTER TABLE "&amp;エンティティ一覧!$O$2&amp;"."&amp;D$8&amp;" OWNER TO pgmisgrp1;"</f>
        <v>ALTER TABLE milscm_2023_009.sny_202310_backup_text_mml_mmllb_spc_memo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milscm_2023_009.sny_202310_backup_text_mml_mmllb_spc_memo</v>
      </c>
      <c r="O11" s="76"/>
      <c r="P11" s="76"/>
      <c r="Q11" s="76"/>
      <c r="R11" s="76"/>
      <c r="S11" s="76"/>
      <c r="T11" s="76"/>
      <c r="AJ11" s="76" t="str">
        <f>"ADD CONSTRAINT "&amp;D$8&amp;"_pkey PRIMARY KEY"</f>
        <v>ADD CONSTRAINT sny_202310_backup_text_mml_mmllb_spc_memo_pkey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milscm_2023_009.sny_202310_backup_text_mml_mmllb_spc_memo IS 'バックアップ_MML_検歴情報モジュール_検体コメント';</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milscm_2023_009.sny_202310_backup_text_mml_mmllb_spc_memo.zip_no IS 'ZipファイルNo';</v>
      </c>
    </row>
    <row r="14" spans="1:45" s="25" customFormat="1">
      <c r="A14" s="4"/>
      <c r="B14" s="21">
        <f t="shared" ref="B14:B22" si="2">ROW()-12</f>
        <v>2</v>
      </c>
      <c r="C14" s="6" t="s">
        <v>2783</v>
      </c>
      <c r="D14" s="6" t="s">
        <v>2784</v>
      </c>
      <c r="E14" s="8" t="s">
        <v>127</v>
      </c>
      <c r="F14" s="7" t="s">
        <v>3274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milscm_2023_009.sny_202310_backup_text_mml_mmllb_spc_memo.file_no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milscm_2023_009.sny_202310_backup_text_mml_mmllb_spc_memo.body_no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milscm_2023_009.sny_202310_backup_text_mml_mmllb_spc_memo.facility_id_mml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milscm_2023_009.sny_202310_backup_text_mml_mmllb_spc_memo.master_id IS '患者ID';</v>
      </c>
    </row>
    <row r="18" spans="1:52" s="25" customFormat="1">
      <c r="A18" s="4"/>
      <c r="B18" s="21">
        <f t="shared" si="2"/>
        <v>6</v>
      </c>
      <c r="C18" s="6" t="s">
        <v>3905</v>
      </c>
      <c r="D18" s="6" t="s">
        <v>3906</v>
      </c>
      <c r="E18" s="8" t="s">
        <v>127</v>
      </c>
      <c r="F18" s="7" t="s">
        <v>3274</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milscm_2023_009.sny_202310_backup_text_mml_mmllb_spc_memo.labo_test_no IS '検体検査結果情報No';</v>
      </c>
    </row>
    <row r="19" spans="1:52" s="25" customFormat="1">
      <c r="A19" s="4"/>
      <c r="B19" s="21">
        <f t="shared" si="2"/>
        <v>7</v>
      </c>
      <c r="C19" s="6" t="s">
        <v>3909</v>
      </c>
      <c r="D19" s="6" t="s">
        <v>3910</v>
      </c>
      <c r="E19" s="8" t="s">
        <v>127</v>
      </c>
      <c r="F19" s="7" t="s">
        <v>3274</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milscm_2023_009.sny_202310_backup_text_mml_mmllb_spc_memo.spc_memo_no IS '検体コメントNo';</v>
      </c>
    </row>
    <row r="20" spans="1:52" s="25" customFormat="1">
      <c r="A20" s="4"/>
      <c r="B20" s="21">
        <f t="shared" si="2"/>
        <v>8</v>
      </c>
      <c r="C20" s="6" t="s">
        <v>3911</v>
      </c>
      <c r="D20" s="6" t="s">
        <v>3912</v>
      </c>
      <c r="E20" s="8"/>
      <c r="F20" s="7" t="s">
        <v>3276</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milscm_2023_009.sny_202310_backup_text_mml_mmllb_spc_memo.spc_memo IS '検体コメント';</v>
      </c>
    </row>
    <row r="21" spans="1:52" s="25" customFormat="1">
      <c r="A21" s="4"/>
      <c r="B21" s="21">
        <f t="shared" si="2"/>
        <v>9</v>
      </c>
      <c r="C21" s="6" t="s">
        <v>3913</v>
      </c>
      <c r="D21" s="6" t="s">
        <v>3914</v>
      </c>
      <c r="E21" s="8"/>
      <c r="F21" s="7" t="s">
        <v>3276</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milscm_2023_009.sny_202310_backup_text_mml_mmllb_spc_memo.sm_code_name IS '検体コメントコード名';</v>
      </c>
    </row>
    <row r="22" spans="1:52" s="25" customFormat="1">
      <c r="A22" s="4"/>
      <c r="B22" s="21">
        <f t="shared" si="2"/>
        <v>10</v>
      </c>
      <c r="C22" s="6" t="s">
        <v>3915</v>
      </c>
      <c r="D22" s="6" t="s">
        <v>3916</v>
      </c>
      <c r="E22" s="8"/>
      <c r="F22" s="7" t="s">
        <v>3276</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milscm_2023_009.sny_202310_backup_text_mml_mmllb_spc_memo.sm_code IS '検体コメントコード';</v>
      </c>
    </row>
    <row r="23" spans="1:52" s="25" customFormat="1" ht="19.5" thickBot="1">
      <c r="A23" s="4"/>
      <c r="B23" s="27">
        <f>ROW()-12</f>
        <v>11</v>
      </c>
      <c r="C23" s="57" t="s">
        <v>3917</v>
      </c>
      <c r="D23" s="57" t="s">
        <v>3918</v>
      </c>
      <c r="E23" s="56"/>
      <c r="F23" s="56" t="s">
        <v>3276</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ENT_01_A6-22</v>
      </c>
      <c r="E6" s="273"/>
      <c r="F6" s="273"/>
      <c r="G6" s="273"/>
      <c r="H6" s="273"/>
      <c r="I6" s="273"/>
      <c r="J6" s="274"/>
    </row>
    <row r="7" spans="1:45">
      <c r="B7" s="262" t="s">
        <v>115</v>
      </c>
      <c r="C7" s="263"/>
      <c r="D7" s="264" t="s">
        <v>3919</v>
      </c>
      <c r="E7" s="265"/>
      <c r="F7" s="265"/>
      <c r="G7" s="265"/>
      <c r="H7" s="265"/>
      <c r="I7" s="265"/>
      <c r="J7" s="266"/>
    </row>
    <row r="8" spans="1:45">
      <c r="B8" s="262" t="s">
        <v>116</v>
      </c>
      <c r="C8" s="263"/>
      <c r="D8" s="264" t="str">
        <f>エンティティ一覧!AE2&amp;"_"&amp;D5&amp;"_text_mml_mmllb_item"</f>
        <v>sny_202310_backup_text_mml_mmllb_item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milscm_2023_009.sny_202310_backup_text_mml_mmllb_item;</v>
      </c>
      <c r="O10" s="76"/>
      <c r="P10" s="76"/>
      <c r="Q10" s="76"/>
      <c r="R10" s="76"/>
      <c r="S10" s="76"/>
      <c r="T10" s="76"/>
      <c r="AJ10" s="76" t="str">
        <f>"ALTER TABLE ONLY "&amp;エンティティ一覧!$O$2&amp;"."&amp;D$8</f>
        <v>ALTER TABLE ONLY milscm_2023_009.sny_202310_backup_text_mml_mmllb_item</v>
      </c>
      <c r="AS10" s="76" t="str">
        <f>"ALTER TABLE "&amp;エンティティ一覧!$O$2&amp;"."&amp;D$8&amp;" OWNER TO pgmisgrp1;"</f>
        <v>ALTER TABLE milscm_2023_009.sny_202310_backup_text_mml_mmllb_item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milscm_2023_009.sny_202310_backup_text_mml_mmllb_item</v>
      </c>
      <c r="O11" s="76"/>
      <c r="P11" s="76"/>
      <c r="Q11" s="76"/>
      <c r="R11" s="76"/>
      <c r="S11" s="76"/>
      <c r="T11" s="76"/>
      <c r="AJ11" s="76" t="str">
        <f>"ADD CONSTRAINT "&amp;D$8&amp;"_pkey PRIMARY KEY"</f>
        <v>ADD CONSTRAINT sny_202310_backup_text_mml_mmllb_item_pkey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 IS 'バックアップ_MML_検歴情報モジュール_検査項目';</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milscm_2023_009.sny_202310_backup_text_mml_mmllb_item.zip_no IS 'ZipファイルNo';</v>
      </c>
    </row>
    <row r="14" spans="1:45" s="25" customFormat="1">
      <c r="A14" s="4"/>
      <c r="B14" s="21">
        <f t="shared" ref="B14:B40" si="2">ROW()-12</f>
        <v>2</v>
      </c>
      <c r="C14" s="6" t="s">
        <v>2783</v>
      </c>
      <c r="D14" s="6" t="s">
        <v>2784</v>
      </c>
      <c r="E14" s="8" t="s">
        <v>127</v>
      </c>
      <c r="F14" s="7" t="s">
        <v>3274</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milscm_2023_009.sny_202310_backup_text_mml_mmllb_item.facility_id_mml IS '施設ID（MML）';</v>
      </c>
    </row>
    <row r="17" spans="1:45"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milscm_2023_009.sny_202310_backup_text_mml_mmllb_item.master_id IS '患者ID';</v>
      </c>
    </row>
    <row r="18" spans="1:45" s="25" customFormat="1">
      <c r="A18" s="4"/>
      <c r="B18" s="21">
        <f t="shared" si="2"/>
        <v>6</v>
      </c>
      <c r="C18" s="6" t="s">
        <v>3905</v>
      </c>
      <c r="D18" s="6" t="s">
        <v>3906</v>
      </c>
      <c r="E18" s="8" t="s">
        <v>127</v>
      </c>
      <c r="F18" s="7" t="s">
        <v>3274</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milscm_2023_009.sny_202310_backup_text_mml_mmllb_item.labo_test_no IS '検体検査結果情報No';</v>
      </c>
    </row>
    <row r="19" spans="1:45" s="25" customFormat="1">
      <c r="A19" s="4"/>
      <c r="B19" s="21">
        <f t="shared" si="2"/>
        <v>7</v>
      </c>
      <c r="C19" s="6" t="s">
        <v>3921</v>
      </c>
      <c r="D19" s="6" t="s">
        <v>3922</v>
      </c>
      <c r="E19" s="8" t="s">
        <v>127</v>
      </c>
      <c r="F19" s="7" t="s">
        <v>3274</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milscm_2023_009.sny_202310_backup_text_mml_mmllb_item.item_no IS '項目No';</v>
      </c>
    </row>
    <row r="20" spans="1:45" s="25" customFormat="1">
      <c r="A20" s="4"/>
      <c r="B20" s="21">
        <f t="shared" si="2"/>
        <v>8</v>
      </c>
      <c r="C20" s="6" t="s">
        <v>3832</v>
      </c>
      <c r="D20" s="6" t="s">
        <v>1624</v>
      </c>
      <c r="E20" s="8"/>
      <c r="F20" s="7" t="s">
        <v>3276</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milscm_2023_009.sny_202310_backup_text_mml_mmllb_item.item_name IS '検査名';</v>
      </c>
    </row>
    <row r="21" spans="1:45" s="25" customFormat="1">
      <c r="A21" s="4"/>
      <c r="B21" s="21">
        <f t="shared" si="2"/>
        <v>9</v>
      </c>
      <c r="C21" s="6" t="s">
        <v>3833</v>
      </c>
      <c r="D21" s="6" t="s">
        <v>3834</v>
      </c>
      <c r="E21" s="8"/>
      <c r="F21" s="7" t="s">
        <v>3276</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milscm_2023_009.sny_202310_backup_text_mml_mmllb_item.item_code IS '検査名_施設固有コード';</v>
      </c>
    </row>
    <row r="22" spans="1:45" s="25" customFormat="1">
      <c r="A22" s="4"/>
      <c r="B22" s="21">
        <f t="shared" si="2"/>
        <v>10</v>
      </c>
      <c r="C22" s="6" t="s">
        <v>3923</v>
      </c>
      <c r="D22" s="6" t="s">
        <v>3924</v>
      </c>
      <c r="E22" s="8"/>
      <c r="F22" s="7" t="s">
        <v>3276</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milscm_2023_009.sny_202310_backup_text_mml_mmllb_item.item_code_id IS '検査名_施設固有コードID';</v>
      </c>
    </row>
    <row r="23" spans="1:45" s="25" customFormat="1">
      <c r="A23" s="4"/>
      <c r="B23" s="21">
        <f t="shared" si="2"/>
        <v>11</v>
      </c>
      <c r="C23" s="6" t="s">
        <v>3925</v>
      </c>
      <c r="D23" s="6" t="s">
        <v>3926</v>
      </c>
      <c r="E23" s="8"/>
      <c r="F23" s="7" t="s">
        <v>3276</v>
      </c>
      <c r="G23" s="7" t="str">
        <f t="shared" si="3"/>
        <v>text</v>
      </c>
      <c r="H23" s="26"/>
      <c r="I23" s="10"/>
      <c r="J23" s="11" t="s">
        <v>1629</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milscm_2023_009.sny_202310_backup_text_mml_mmllb_item.a_code IS '検査名_分析物コード';</v>
      </c>
    </row>
    <row r="24" spans="1:45" s="25" customFormat="1">
      <c r="A24" s="4"/>
      <c r="B24" s="21">
        <f t="shared" si="2"/>
        <v>12</v>
      </c>
      <c r="C24" s="6" t="s">
        <v>3927</v>
      </c>
      <c r="D24" s="6" t="s">
        <v>3928</v>
      </c>
      <c r="E24" s="8"/>
      <c r="F24" s="7" t="s">
        <v>3276</v>
      </c>
      <c r="G24" s="7" t="str">
        <f t="shared" si="3"/>
        <v>text</v>
      </c>
      <c r="H24" s="26"/>
      <c r="I24" s="10"/>
      <c r="J24" s="11" t="s">
        <v>1631</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milscm_2023_009.sny_202310_backup_text_mml_mmllb_item.i_code IS '検査名_識別コード';</v>
      </c>
    </row>
    <row r="25" spans="1:45" s="25" customFormat="1">
      <c r="A25" s="4"/>
      <c r="B25" s="21">
        <f t="shared" si="2"/>
        <v>13</v>
      </c>
      <c r="C25" s="6" t="s">
        <v>3929</v>
      </c>
      <c r="D25" s="6" t="s">
        <v>3930</v>
      </c>
      <c r="E25" s="8"/>
      <c r="F25" s="7" t="s">
        <v>3276</v>
      </c>
      <c r="G25" s="7" t="str">
        <f t="shared" si="3"/>
        <v>text</v>
      </c>
      <c r="H25" s="26"/>
      <c r="I25" s="10"/>
      <c r="J25" s="11" t="s">
        <v>1633</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milscm_2023_009.sny_202310_backup_text_mml_mmllb_item.s_code IS '検査名_材料コード';</v>
      </c>
    </row>
    <row r="26" spans="1:45" s="25" customFormat="1">
      <c r="A26" s="4"/>
      <c r="B26" s="21">
        <f t="shared" si="2"/>
        <v>14</v>
      </c>
      <c r="C26" s="6" t="s">
        <v>3931</v>
      </c>
      <c r="D26" s="6" t="s">
        <v>3932</v>
      </c>
      <c r="E26" s="8"/>
      <c r="F26" s="7" t="s">
        <v>3276</v>
      </c>
      <c r="G26" s="7" t="str">
        <f t="shared" si="3"/>
        <v>text</v>
      </c>
      <c r="H26" s="26"/>
      <c r="I26" s="10"/>
      <c r="J26" s="11" t="s">
        <v>1635</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milscm_2023_009.sny_202310_backup_text_mml_mmllb_item.m_code IS '検査名_測定法コード';</v>
      </c>
    </row>
    <row r="27" spans="1:45" s="25" customFormat="1">
      <c r="A27" s="4"/>
      <c r="B27" s="21">
        <f t="shared" si="2"/>
        <v>15</v>
      </c>
      <c r="C27" s="6" t="s">
        <v>3933</v>
      </c>
      <c r="D27" s="6" t="s">
        <v>3934</v>
      </c>
      <c r="E27" s="8"/>
      <c r="F27" s="7" t="s">
        <v>3276</v>
      </c>
      <c r="G27" s="7" t="str">
        <f t="shared" si="3"/>
        <v>text</v>
      </c>
      <c r="H27" s="26"/>
      <c r="I27" s="10"/>
      <c r="J27" s="11" t="s">
        <v>1637</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milscm_2023_009.sny_202310_backup_text_mml_mmllb_item.r_code IS '検査名_結果識別コード';</v>
      </c>
    </row>
    <row r="28" spans="1:45" s="25" customFormat="1">
      <c r="A28" s="4"/>
      <c r="B28" s="21">
        <f t="shared" si="2"/>
        <v>16</v>
      </c>
      <c r="C28" s="6" t="s">
        <v>3935</v>
      </c>
      <c r="D28" s="6" t="s">
        <v>1640</v>
      </c>
      <c r="E28" s="8"/>
      <c r="F28" s="7" t="s">
        <v>3276</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milscm_2023_009.sny_202310_backup_text_mml_mmllb_item.value IS '検査値（文字列）';</v>
      </c>
    </row>
    <row r="29" spans="1:45" s="25" customFormat="1">
      <c r="A29" s="4"/>
      <c r="B29" s="21">
        <f t="shared" si="2"/>
        <v>17</v>
      </c>
      <c r="C29" s="6" t="s">
        <v>3936</v>
      </c>
      <c r="D29" s="6" t="s">
        <v>3937</v>
      </c>
      <c r="E29" s="8"/>
      <c r="F29" s="7" t="s">
        <v>3276</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milscm_2023_009.sny_202310_backup_text_mml_mmllb_item.value_up IS '検査値（文字列）_上限値';</v>
      </c>
    </row>
    <row r="30" spans="1:45" s="25" customFormat="1">
      <c r="A30" s="4"/>
      <c r="B30" s="21">
        <f t="shared" si="2"/>
        <v>18</v>
      </c>
      <c r="C30" s="6" t="s">
        <v>3938</v>
      </c>
      <c r="D30" s="6" t="s">
        <v>3939</v>
      </c>
      <c r="E30" s="8"/>
      <c r="F30" s="7" t="s">
        <v>3276</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milscm_2023_009.sny_202310_backup_text_mml_mmllb_item.value_low IS '検査値（文字列）_下限値';</v>
      </c>
    </row>
    <row r="31" spans="1:45" s="25" customFormat="1">
      <c r="A31" s="4"/>
      <c r="B31" s="21">
        <f t="shared" si="2"/>
        <v>19</v>
      </c>
      <c r="C31" s="6" t="s">
        <v>3940</v>
      </c>
      <c r="D31" s="6" t="s">
        <v>3941</v>
      </c>
      <c r="E31" s="8"/>
      <c r="F31" s="7" t="s">
        <v>3276</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milscm_2023_009.sny_202310_backup_text_mml_mmllb_item.value_normal IS '検査値（文字列）_基準値';</v>
      </c>
    </row>
    <row r="32" spans="1:45" s="25" customFormat="1" ht="75">
      <c r="A32" s="4"/>
      <c r="B32" s="21">
        <f t="shared" si="2"/>
        <v>20</v>
      </c>
      <c r="C32" s="6" t="s">
        <v>3942</v>
      </c>
      <c r="D32" s="6" t="s">
        <v>3943</v>
      </c>
      <c r="E32" s="8"/>
      <c r="F32" s="7" t="s">
        <v>3276</v>
      </c>
      <c r="G32" s="7" t="str">
        <f t="shared" si="3"/>
        <v>text</v>
      </c>
      <c r="H32" s="26"/>
      <c r="I32" s="10"/>
      <c r="J32" s="11" t="s">
        <v>3956</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milscm_2023_009.sny_202310_backup_text_mml_mmllb_item.value_out IS '検査値（文字列）_異常値フラグ';</v>
      </c>
    </row>
    <row r="33" spans="1:52" s="25" customFormat="1">
      <c r="A33" s="4"/>
      <c r="B33" s="21">
        <f t="shared" si="2"/>
        <v>21</v>
      </c>
      <c r="C33" s="6" t="s">
        <v>3944</v>
      </c>
      <c r="D33" s="6" t="s">
        <v>1642</v>
      </c>
      <c r="E33" s="8"/>
      <c r="F33" s="7" t="s">
        <v>3276</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milscm_2023_009.sny_202310_backup_text_mml_mmllb_item.num_value IS '検査値（数値）';</v>
      </c>
    </row>
    <row r="34" spans="1:52" s="25" customFormat="1">
      <c r="A34" s="4"/>
      <c r="B34" s="21">
        <f t="shared" si="2"/>
        <v>22</v>
      </c>
      <c r="C34" s="6" t="s">
        <v>3945</v>
      </c>
      <c r="D34" s="6" t="s">
        <v>3946</v>
      </c>
      <c r="E34" s="8"/>
      <c r="F34" s="7" t="s">
        <v>3276</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milscm_2023_009.sny_202310_backup_text_mml_mmllb_item.num_value_up IS '検査値（数値）_上限値';</v>
      </c>
    </row>
    <row r="35" spans="1:52" s="25" customFormat="1">
      <c r="A35" s="4"/>
      <c r="B35" s="21">
        <f t="shared" si="2"/>
        <v>23</v>
      </c>
      <c r="C35" s="6" t="s">
        <v>3947</v>
      </c>
      <c r="D35" s="6" t="s">
        <v>3948</v>
      </c>
      <c r="E35" s="8"/>
      <c r="F35" s="7" t="s">
        <v>3276</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milscm_2023_009.sny_202310_backup_text_mml_mmllb_item.num_value_low IS '検査値（数値）_下限値';</v>
      </c>
    </row>
    <row r="36" spans="1:52" s="25" customFormat="1">
      <c r="A36" s="4"/>
      <c r="B36" s="21">
        <f t="shared" si="2"/>
        <v>24</v>
      </c>
      <c r="C36" s="6" t="s">
        <v>3949</v>
      </c>
      <c r="D36" s="6" t="s">
        <v>3950</v>
      </c>
      <c r="E36" s="8"/>
      <c r="F36" s="7" t="s">
        <v>3276</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milscm_2023_009.sny_202310_backup_text_mml_mmllb_item.num_value_normal IS '検査値（数値）_基準値';</v>
      </c>
    </row>
    <row r="37" spans="1:52" s="25" customFormat="1" ht="75">
      <c r="A37" s="4"/>
      <c r="B37" s="21">
        <f t="shared" si="2"/>
        <v>25</v>
      </c>
      <c r="C37" s="6" t="s">
        <v>3951</v>
      </c>
      <c r="D37" s="6" t="s">
        <v>3952</v>
      </c>
      <c r="E37" s="8"/>
      <c r="F37" s="7" t="s">
        <v>3276</v>
      </c>
      <c r="G37" s="7" t="str">
        <f t="shared" si="3"/>
        <v>text</v>
      </c>
      <c r="H37" s="26"/>
      <c r="I37" s="10"/>
      <c r="J37" s="11" t="s">
        <v>3956</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milscm_2023_009.sny_202310_backup_text_mml_mmllb_item.num_value_out IS '検査値（数値）_異常値フラグ';</v>
      </c>
    </row>
    <row r="38" spans="1:52" s="25" customFormat="1">
      <c r="A38" s="4"/>
      <c r="B38" s="21">
        <f t="shared" si="2"/>
        <v>26</v>
      </c>
      <c r="C38" s="6" t="s">
        <v>1651</v>
      </c>
      <c r="D38" s="6" t="s">
        <v>276</v>
      </c>
      <c r="E38" s="8"/>
      <c r="F38" s="7" t="s">
        <v>3276</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milscm_2023_009.sny_202310_backup_text_mml_mmllb_item.unit IS '単位';</v>
      </c>
    </row>
    <row r="39" spans="1:52" s="25" customFormat="1">
      <c r="A39" s="4"/>
      <c r="B39" s="21">
        <f t="shared" si="2"/>
        <v>27</v>
      </c>
      <c r="C39" s="6" t="s">
        <v>1652</v>
      </c>
      <c r="D39" s="6" t="s">
        <v>3953</v>
      </c>
      <c r="E39" s="8"/>
      <c r="F39" s="7" t="s">
        <v>3276</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milscm_2023_009.sny_202310_backup_text_mml_mmllb_item.u_code IS '単位コード';</v>
      </c>
    </row>
    <row r="40" spans="1:52" s="25" customFormat="1">
      <c r="A40" s="4"/>
      <c r="B40" s="21">
        <f t="shared" si="2"/>
        <v>28</v>
      </c>
      <c r="C40" s="6" t="s">
        <v>1654</v>
      </c>
      <c r="D40" s="6" t="s">
        <v>3954</v>
      </c>
      <c r="E40" s="8"/>
      <c r="F40" s="7" t="s">
        <v>3276</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milscm_2023_009.sny_202310_backup_text_mml_mmllb_item.u_code_id IS '単位コードID';</v>
      </c>
    </row>
    <row r="41" spans="1:52" s="25" customFormat="1" ht="19.5" thickBot="1">
      <c r="A41" s="4"/>
      <c r="B41" s="27">
        <f>ROW()-12</f>
        <v>29</v>
      </c>
      <c r="C41" s="57" t="s">
        <v>1656</v>
      </c>
      <c r="D41" s="57" t="s">
        <v>3955</v>
      </c>
      <c r="E41" s="56"/>
      <c r="F41" s="56" t="s">
        <v>3276</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ENT_01_A6-23</v>
      </c>
      <c r="E6" s="273"/>
      <c r="F6" s="273"/>
      <c r="G6" s="273"/>
      <c r="H6" s="273"/>
      <c r="I6" s="273"/>
      <c r="J6" s="274"/>
    </row>
    <row r="7" spans="1:45">
      <c r="B7" s="262" t="s">
        <v>115</v>
      </c>
      <c r="C7" s="263"/>
      <c r="D7" s="264" t="s">
        <v>3920</v>
      </c>
      <c r="E7" s="265"/>
      <c r="F7" s="265"/>
      <c r="G7" s="265"/>
      <c r="H7" s="265"/>
      <c r="I7" s="265"/>
      <c r="J7" s="266"/>
    </row>
    <row r="8" spans="1:45">
      <c r="B8" s="262" t="s">
        <v>116</v>
      </c>
      <c r="C8" s="263"/>
      <c r="D8" s="264" t="str">
        <f>エンティティ一覧!AE2&amp;"_"&amp;D5&amp;"_text_mml_mmllb_item_memo"</f>
        <v>sny_202310_backup_text_mml_mmllb_item_memo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milscm_2023_009.sny_202310_backup_text_mml_mmllb_item_memo;</v>
      </c>
      <c r="O10" s="76"/>
      <c r="P10" s="76"/>
      <c r="Q10" s="76"/>
      <c r="R10" s="76"/>
      <c r="S10" s="76"/>
      <c r="T10" s="76"/>
      <c r="AJ10" s="76" t="str">
        <f>"ALTER TABLE ONLY "&amp;エンティティ一覧!$O$2&amp;"."&amp;D$8</f>
        <v>ALTER TABLE ONLY milscm_2023_009.sny_202310_backup_text_mml_mmllb_item_memo</v>
      </c>
      <c r="AS10" s="76" t="str">
        <f>"ALTER TABLE "&amp;エンティティ一覧!$O$2&amp;"."&amp;D$8&amp;" OWNER TO pgmisgrp1;"</f>
        <v>ALTER TABLE milscm_2023_009.sny_202310_backup_text_mml_mmllb_item_memo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milscm_2023_009.sny_202310_backup_text_mml_mmllb_item_memo</v>
      </c>
      <c r="O11" s="76"/>
      <c r="P11" s="76"/>
      <c r="Q11" s="76"/>
      <c r="R11" s="76"/>
      <c r="S11" s="76"/>
      <c r="T11" s="76"/>
      <c r="AJ11" s="76" t="str">
        <f>"ADD CONSTRAINT "&amp;D$8&amp;"_pkey PRIMARY KEY"</f>
        <v>ADD CONSTRAINT sny_202310_backup_text_mml_mmllb_item_memo_pkey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milscm_2023_009.sny_202310_backup_text_mml_mmllb_item_memo IS 'バックアップ_MML_検歴情報モジュール_検査項目コメント';</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milscm_2023_009.sny_202310_backup_text_mml_mmllb_item_memo.zip_no IS 'ZipファイルNo';</v>
      </c>
    </row>
    <row r="14" spans="1:45" s="25" customFormat="1">
      <c r="A14" s="4"/>
      <c r="B14" s="21">
        <f t="shared" ref="B14:B23" si="2">ROW()-12</f>
        <v>2</v>
      </c>
      <c r="C14" s="6" t="s">
        <v>2783</v>
      </c>
      <c r="D14" s="6" t="s">
        <v>2784</v>
      </c>
      <c r="E14" s="8" t="s">
        <v>127</v>
      </c>
      <c r="F14" s="7" t="s">
        <v>3274</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milscm_2023_009.sny_202310_backup_text_mml_mmllb_item_memo.file_no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milscm_2023_009.sny_202310_backup_text_mml_mmllb_item_memo.body_no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milscm_2023_009.sny_202310_backup_text_mml_mmllb_item_memo.facility_id_mml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milscm_2023_009.sny_202310_backup_text_mml_mmllb_item_memo.master_id IS '患者ID';</v>
      </c>
    </row>
    <row r="18" spans="1:52" s="25" customFormat="1">
      <c r="A18" s="4"/>
      <c r="B18" s="21">
        <f t="shared" si="2"/>
        <v>6</v>
      </c>
      <c r="C18" s="6" t="s">
        <v>3905</v>
      </c>
      <c r="D18" s="6" t="s">
        <v>3906</v>
      </c>
      <c r="E18" s="8" t="s">
        <v>127</v>
      </c>
      <c r="F18" s="7" t="s">
        <v>3274</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milscm_2023_009.sny_202310_backup_text_mml_mmllb_item_memo.labo_test_no IS '検体検査結果情報No';</v>
      </c>
    </row>
    <row r="19" spans="1:52" s="25" customFormat="1">
      <c r="A19" s="4"/>
      <c r="B19" s="21">
        <f t="shared" si="2"/>
        <v>7</v>
      </c>
      <c r="C19" s="6" t="s">
        <v>3921</v>
      </c>
      <c r="D19" s="6" t="s">
        <v>3922</v>
      </c>
      <c r="E19" s="8" t="s">
        <v>127</v>
      </c>
      <c r="F19" s="7" t="s">
        <v>3274</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milscm_2023_009.sny_202310_backup_text_mml_mmllb_item_memo.item_no IS '項目No';</v>
      </c>
    </row>
    <row r="20" spans="1:52" s="25" customFormat="1">
      <c r="A20" s="4"/>
      <c r="B20" s="21">
        <f t="shared" si="2"/>
        <v>8</v>
      </c>
      <c r="C20" s="6" t="s">
        <v>3957</v>
      </c>
      <c r="D20" s="6" t="s">
        <v>3958</v>
      </c>
      <c r="E20" s="8" t="s">
        <v>127</v>
      </c>
      <c r="F20" s="7" t="s">
        <v>3274</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milscm_2023_009.sny_202310_backup_text_mml_mmllb_item_memo.item_memo_no IS '項目コメントNo';</v>
      </c>
    </row>
    <row r="21" spans="1:52" s="25" customFormat="1">
      <c r="A21" s="4"/>
      <c r="B21" s="21">
        <f t="shared" si="2"/>
        <v>9</v>
      </c>
      <c r="C21" s="6" t="s">
        <v>3959</v>
      </c>
      <c r="D21" s="6" t="s">
        <v>3960</v>
      </c>
      <c r="E21" s="8"/>
      <c r="F21" s="7" t="s">
        <v>3276</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milscm_2023_009.sny_202310_backup_text_mml_mmllb_item_memo.item_memo IS '項目コメント';</v>
      </c>
    </row>
    <row r="22" spans="1:52" s="25" customFormat="1">
      <c r="A22" s="4"/>
      <c r="B22" s="21">
        <f t="shared" si="2"/>
        <v>10</v>
      </c>
      <c r="C22" s="6" t="s">
        <v>3961</v>
      </c>
      <c r="D22" s="6" t="s">
        <v>3962</v>
      </c>
      <c r="E22" s="8"/>
      <c r="F22" s="7" t="s">
        <v>3276</v>
      </c>
      <c r="G22" s="7" t="str">
        <f t="shared" ref="G22" si="7">IF(F22="フラグ","boolean",IF(F22="文字列","text",IF(F22="整数","integer",IF(F22="実数","numeric",""))))</f>
        <v>text</v>
      </c>
      <c r="H22" s="26"/>
      <c r="I22" s="10"/>
      <c r="J22" s="11"/>
      <c r="M22" s="4"/>
      <c r="N22" s="76"/>
      <c r="O22" s="76"/>
      <c r="P22" s="76" t="str">
        <f t="shared" ref="P22" si="8">IF(B22&lt;&gt;1,","&amp;D22,D22)</f>
        <v>,im_code_name</v>
      </c>
      <c r="Q22" s="76" t="str">
        <f t="shared" ref="Q22" si="9">UPPER(G22)</f>
        <v>TEXT</v>
      </c>
      <c r="R22" s="76" t="str">
        <f t="shared" ref="R22" si="10">IF(H22&lt;&gt;"","default "&amp;IF(G22="text","'"&amp;H22&amp;"'",H22),"")</f>
        <v/>
      </c>
      <c r="S22" s="76" t="str">
        <f t="shared" ref="S22" si="11">IF(I22="○","NOT NULL","")</f>
        <v/>
      </c>
      <c r="T22" s="76" t="str">
        <f t="shared" ref="T22" si="12">"-- "&amp;C22</f>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milscm_2023_009.sny_202310_backup_text_mml_mmllb_item_memo.im_code_name IS '項目コメントコード名';</v>
      </c>
    </row>
    <row r="23" spans="1:52" s="25" customFormat="1">
      <c r="A23" s="4"/>
      <c r="B23" s="21">
        <f t="shared" si="2"/>
        <v>11</v>
      </c>
      <c r="C23" s="6" t="s">
        <v>3963</v>
      </c>
      <c r="D23" s="6" t="s">
        <v>3964</v>
      </c>
      <c r="E23" s="8"/>
      <c r="F23" s="7" t="s">
        <v>3276</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milscm_2023_009.sny_202310_backup_text_mml_mmllb_item_memo.im_code IS '項目コメントコード';</v>
      </c>
    </row>
    <row r="24" spans="1:52" s="25" customFormat="1" ht="19.5" thickBot="1">
      <c r="A24" s="4"/>
      <c r="B24" s="27">
        <f>ROW()-12</f>
        <v>12</v>
      </c>
      <c r="C24" s="57" t="s">
        <v>3965</v>
      </c>
      <c r="D24" s="57" t="s">
        <v>3966</v>
      </c>
      <c r="E24" s="56"/>
      <c r="F24" s="56" t="s">
        <v>3276</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ENT_01_A6-24</v>
      </c>
      <c r="E6" s="273"/>
      <c r="F6" s="273"/>
      <c r="G6" s="273"/>
      <c r="H6" s="273"/>
      <c r="I6" s="273"/>
      <c r="J6" s="274"/>
    </row>
    <row r="7" spans="1:45">
      <c r="B7" s="262" t="s">
        <v>115</v>
      </c>
      <c r="C7" s="263"/>
      <c r="D7" s="264" t="s">
        <v>2811</v>
      </c>
      <c r="E7" s="265"/>
      <c r="F7" s="265"/>
      <c r="G7" s="265"/>
      <c r="H7" s="265"/>
      <c r="I7" s="265"/>
      <c r="J7" s="266"/>
    </row>
    <row r="8" spans="1:45">
      <c r="B8" s="262" t="s">
        <v>116</v>
      </c>
      <c r="C8" s="263"/>
      <c r="D8" s="264" t="str">
        <f>エンティティ一覧!AE2&amp;"_"&amp;D5&amp;"_text_mml_mmlps_body"</f>
        <v>sny_202310_backup_text_mml_mmlps_body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milscm_2023_009.sny_202310_backup_text_mml_mmlps_body;</v>
      </c>
      <c r="O10" s="76"/>
      <c r="P10" s="76"/>
      <c r="Q10" s="76"/>
      <c r="R10" s="76"/>
      <c r="S10" s="76"/>
      <c r="T10" s="76"/>
      <c r="AJ10" s="76" t="str">
        <f>"ALTER TABLE ONLY "&amp;エンティティ一覧!$O$2&amp;"."&amp;D$8</f>
        <v>ALTER TABLE ONLY milscm_2023_009.sny_202310_backup_text_mml_mmlps_body</v>
      </c>
      <c r="AS10" s="76" t="str">
        <f>"ALTER TABLE "&amp;エンティティ一覧!$O$2&amp;"."&amp;D$8&amp;" OWNER TO pgmisgrp1;"</f>
        <v>ALTER TABLE milscm_2023_009.sny_202310_backup_text_mml_mmlps_body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milscm_2023_009.sny_202310_backup_text_mml_mmlps_body</v>
      </c>
      <c r="O11" s="76"/>
      <c r="P11" s="76"/>
      <c r="Q11" s="76"/>
      <c r="R11" s="76"/>
      <c r="S11" s="76"/>
      <c r="T11" s="76"/>
      <c r="AJ11" s="76" t="str">
        <f>"ADD CONSTRAINT "&amp;D$8&amp;"_pkey PRIMARY KEY"</f>
        <v>ADD CONSTRAINT sny_202310_backup_text_mml_mmlps_body_pkey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2783</v>
      </c>
      <c r="D14" s="6" t="s">
        <v>2784</v>
      </c>
      <c r="E14" s="8" t="s">
        <v>127</v>
      </c>
      <c r="F14" s="7" t="s">
        <v>2782</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milscm_2023_009.sny_202310_backup_text_mml_mmlps_body.body_no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milscm_2023_009.sny_202310_backup_text_mml_mmlps_body.master_id IS '患者ID';</v>
      </c>
    </row>
    <row r="18" spans="1:52" s="25" customFormat="1" ht="37.5">
      <c r="A18" s="4"/>
      <c r="B18" s="21">
        <f t="shared" si="2"/>
        <v>6</v>
      </c>
      <c r="C18" s="6" t="s">
        <v>2812</v>
      </c>
      <c r="D18" s="6" t="s">
        <v>2813</v>
      </c>
      <c r="E18" s="8"/>
      <c r="F18" s="7" t="s">
        <v>1821</v>
      </c>
      <c r="G18" s="7" t="str">
        <f t="shared" si="3"/>
        <v>text</v>
      </c>
      <c r="H18" s="26"/>
      <c r="I18" s="10"/>
      <c r="J18" s="11" t="s">
        <v>2818</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milscm_2023_009.sny_202310_backup_text_mml_mmlps_body.issued_to IS '院外、院内処方箋の別';</v>
      </c>
    </row>
    <row r="19" spans="1:52" s="25" customFormat="1" ht="31.5">
      <c r="A19" s="4"/>
      <c r="B19" s="21">
        <f t="shared" si="2"/>
        <v>7</v>
      </c>
      <c r="C19" s="6" t="s">
        <v>2814</v>
      </c>
      <c r="D19" s="6" t="s">
        <v>2815</v>
      </c>
      <c r="E19" s="8"/>
      <c r="F19" s="7" t="s">
        <v>1821</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milscm_2023_009.sny_202310_backup_text_mml_mmlps_body.narcotic_prescription_license_no IS '麻薬施用者番号';</v>
      </c>
    </row>
    <row r="20" spans="1:52" s="25" customFormat="1" ht="19.5" thickBot="1">
      <c r="A20" s="4"/>
      <c r="B20" s="27">
        <f>ROW()-12</f>
        <v>8</v>
      </c>
      <c r="C20" s="57" t="s">
        <v>2816</v>
      </c>
      <c r="D20" s="57" t="s">
        <v>2817</v>
      </c>
      <c r="E20" s="56"/>
      <c r="F20" s="56" t="s">
        <v>1821</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ENT_01_A6-25</v>
      </c>
      <c r="E6" s="273"/>
      <c r="F6" s="273"/>
      <c r="G6" s="273"/>
      <c r="H6" s="273"/>
      <c r="I6" s="273"/>
      <c r="J6" s="274"/>
    </row>
    <row r="7" spans="1:45">
      <c r="B7" s="262" t="s">
        <v>115</v>
      </c>
      <c r="C7" s="263"/>
      <c r="D7" s="264" t="s">
        <v>2819</v>
      </c>
      <c r="E7" s="265"/>
      <c r="F7" s="265"/>
      <c r="G7" s="265"/>
      <c r="H7" s="265"/>
      <c r="I7" s="265"/>
      <c r="J7" s="266"/>
    </row>
    <row r="8" spans="1:45">
      <c r="B8" s="262" t="s">
        <v>116</v>
      </c>
      <c r="C8" s="263"/>
      <c r="D8" s="264" t="str">
        <f>エンティティ一覧!AE2&amp;"_"&amp;D5&amp;"_text_mml_mmlps_medication"</f>
        <v>sny_202310_backup_text_mml_mmlps_medication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milscm_2023_009.sny_202310_backup_text_mml_mmlps_medication;</v>
      </c>
      <c r="O10" s="76"/>
      <c r="P10" s="76"/>
      <c r="Q10" s="76"/>
      <c r="R10" s="76"/>
      <c r="S10" s="76"/>
      <c r="T10" s="76"/>
      <c r="AJ10" s="76" t="str">
        <f>"ALTER TABLE ONLY "&amp;エンティティ一覧!$O$2&amp;"."&amp;D$8</f>
        <v>ALTER TABLE ONLY milscm_2023_009.sny_202310_backup_text_mml_mmlps_medication</v>
      </c>
      <c r="AS10" s="76" t="str">
        <f>"ALTER TABLE "&amp;エンティティ一覧!$O$2&amp;"."&amp;D$8&amp;" OWNER TO pgmisgrp1;"</f>
        <v>ALTER TABLE milscm_2023_009.sny_202310_backup_text_mml_mmlps_medication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milscm_2023_009.sny_202310_backup_text_mml_mmlps_medication</v>
      </c>
      <c r="O11" s="76"/>
      <c r="P11" s="76"/>
      <c r="Q11" s="76"/>
      <c r="R11" s="76"/>
      <c r="S11" s="76"/>
      <c r="T11" s="76"/>
      <c r="AJ11" s="76" t="str">
        <f>"ADD CONSTRAINT "&amp;D$8&amp;"_pkey PRIMARY KEY"</f>
        <v>ADD CONSTRAINT sny_202310_backup_text_mml_mmlps_medication_pkey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2783</v>
      </c>
      <c r="D14" s="6" t="s">
        <v>2784</v>
      </c>
      <c r="E14" s="8" t="s">
        <v>127</v>
      </c>
      <c r="F14" s="7" t="s">
        <v>2782</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2820</v>
      </c>
      <c r="D18" s="6" t="s">
        <v>2821</v>
      </c>
      <c r="E18" s="8" t="s">
        <v>127</v>
      </c>
      <c r="F18" s="7" t="s">
        <v>2782</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2822</v>
      </c>
      <c r="D19" s="6" t="s">
        <v>2823</v>
      </c>
      <c r="E19" s="8"/>
      <c r="F19" s="7" t="s">
        <v>1821</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2824</v>
      </c>
      <c r="D20" s="6" t="s">
        <v>2825</v>
      </c>
      <c r="E20" s="8"/>
      <c r="F20" s="7" t="s">
        <v>1821</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2826</v>
      </c>
      <c r="D21" s="6" t="s">
        <v>2827</v>
      </c>
      <c r="E21" s="8"/>
      <c r="F21" s="7" t="s">
        <v>1821</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2828</v>
      </c>
      <c r="D22" s="6" t="s">
        <v>2829</v>
      </c>
      <c r="E22" s="8"/>
      <c r="F22" s="7" t="s">
        <v>1821</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2830</v>
      </c>
      <c r="D23" s="6" t="s">
        <v>2789</v>
      </c>
      <c r="E23" s="8"/>
      <c r="F23" s="7" t="s">
        <v>1821</v>
      </c>
      <c r="G23" s="7" t="str">
        <f t="shared" si="7"/>
        <v>text</v>
      </c>
      <c r="H23" s="26"/>
      <c r="I23" s="10"/>
      <c r="J23" s="11" t="s">
        <v>2851</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2831</v>
      </c>
      <c r="D24" s="6" t="s">
        <v>2832</v>
      </c>
      <c r="E24" s="8"/>
      <c r="F24" s="7" t="s">
        <v>1821</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2833</v>
      </c>
      <c r="D25" s="6" t="s">
        <v>2834</v>
      </c>
      <c r="E25" s="8"/>
      <c r="F25" s="7" t="s">
        <v>1821</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2835</v>
      </c>
      <c r="D26" s="6" t="s">
        <v>2836</v>
      </c>
      <c r="E26" s="8"/>
      <c r="F26" s="7" t="s">
        <v>1821</v>
      </c>
      <c r="G26" s="7" t="str">
        <f t="shared" si="7"/>
        <v>text</v>
      </c>
      <c r="H26" s="26"/>
      <c r="I26" s="10"/>
      <c r="J26" s="11" t="s">
        <v>2852</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2837</v>
      </c>
      <c r="D27" s="6" t="s">
        <v>2838</v>
      </c>
      <c r="E27" s="8"/>
      <c r="F27" s="7" t="s">
        <v>1821</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2839</v>
      </c>
      <c r="D28" s="6" t="s">
        <v>2840</v>
      </c>
      <c r="E28" s="8"/>
      <c r="F28" s="7" t="s">
        <v>1821</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2841</v>
      </c>
      <c r="D29" s="6" t="s">
        <v>2842</v>
      </c>
      <c r="E29" s="8"/>
      <c r="F29" s="7" t="s">
        <v>1821</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2843</v>
      </c>
      <c r="D30" s="6" t="s">
        <v>2844</v>
      </c>
      <c r="E30" s="8"/>
      <c r="F30" s="7" t="s">
        <v>1821</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milscm_2023_009.sny_202310_backup_text_mml_mmlps_medication.batch_no IS '処方番号';</v>
      </c>
    </row>
    <row r="31" spans="1:45" s="25" customFormat="1" ht="37.5">
      <c r="A31" s="4"/>
      <c r="B31" s="21">
        <f t="shared" si="2"/>
        <v>19</v>
      </c>
      <c r="C31" s="6" t="s">
        <v>2845</v>
      </c>
      <c r="D31" s="6" t="s">
        <v>2846</v>
      </c>
      <c r="E31" s="8"/>
      <c r="F31" s="7" t="s">
        <v>1821</v>
      </c>
      <c r="G31" s="7" t="str">
        <f t="shared" si="7"/>
        <v>text</v>
      </c>
      <c r="H31" s="26"/>
      <c r="I31" s="10"/>
      <c r="J31" s="11" t="s">
        <v>2853</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2847</v>
      </c>
      <c r="D32" s="6" t="s">
        <v>2848</v>
      </c>
      <c r="E32" s="8"/>
      <c r="F32" s="7" t="s">
        <v>1821</v>
      </c>
      <c r="G32" s="7" t="str">
        <f t="shared" si="7"/>
        <v>text</v>
      </c>
      <c r="H32" s="26"/>
      <c r="I32" s="10"/>
      <c r="J32" s="11" t="s">
        <v>2854</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milscm_2023_009.sny_202310_backup_text_mml_mmlps_medication.long_term IS '長期処方可';</v>
      </c>
    </row>
    <row r="33" spans="1:52" s="25" customFormat="1" ht="19.5" thickBot="1">
      <c r="A33" s="4"/>
      <c r="B33" s="27">
        <f>ROW()-12</f>
        <v>21</v>
      </c>
      <c r="C33" s="57" t="s">
        <v>2849</v>
      </c>
      <c r="D33" s="57" t="s">
        <v>2850</v>
      </c>
      <c r="E33" s="56"/>
      <c r="F33" s="56" t="s">
        <v>1821</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ENT_01_A6-26</v>
      </c>
      <c r="E6" s="273"/>
      <c r="F6" s="273"/>
      <c r="G6" s="273"/>
      <c r="H6" s="273"/>
      <c r="I6" s="273"/>
      <c r="J6" s="274"/>
    </row>
    <row r="7" spans="1:45">
      <c r="B7" s="262" t="s">
        <v>115</v>
      </c>
      <c r="C7" s="263"/>
      <c r="D7" s="264" t="s">
        <v>2855</v>
      </c>
      <c r="E7" s="265"/>
      <c r="F7" s="265"/>
      <c r="G7" s="265"/>
      <c r="H7" s="265"/>
      <c r="I7" s="265"/>
      <c r="J7" s="266"/>
    </row>
    <row r="8" spans="1:45">
      <c r="B8" s="262" t="s">
        <v>116</v>
      </c>
      <c r="C8" s="263"/>
      <c r="D8" s="264" t="str">
        <f>エンティティ一覧!AE2&amp;"_"&amp;D5&amp;"_text_mml_mmlps_medicine"</f>
        <v>sny_202310_backup_text_mml_mmlps_medicine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milscm_2023_009.sny_202310_backup_text_mml_mmlps_medicine;</v>
      </c>
      <c r="O10" s="76"/>
      <c r="P10" s="76"/>
      <c r="Q10" s="76"/>
      <c r="R10" s="76"/>
      <c r="S10" s="76"/>
      <c r="T10" s="76"/>
      <c r="AJ10" s="76" t="str">
        <f>"ALTER TABLE ONLY "&amp;エンティティ一覧!$O$2&amp;"."&amp;D$8</f>
        <v>ALTER TABLE ONLY milscm_2023_009.sny_202310_backup_text_mml_mmlps_medicine</v>
      </c>
      <c r="AS10" s="76" t="str">
        <f>"ALTER TABLE "&amp;エンティティ一覧!$O$2&amp;"."&amp;D$8&amp;" OWNER TO pgmisgrp1;"</f>
        <v>ALTER TABLE milscm_2023_009.sny_202310_backup_text_mml_mmlps_medicine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milscm_2023_009.sny_202310_backup_text_mml_mmlps_medicine</v>
      </c>
      <c r="O11" s="76"/>
      <c r="P11" s="76"/>
      <c r="Q11" s="76"/>
      <c r="R11" s="76"/>
      <c r="S11" s="76"/>
      <c r="T11" s="76"/>
      <c r="AJ11" s="76" t="str">
        <f>"ADD CONSTRAINT "&amp;D$8&amp;"_pkey PRIMARY KEY"</f>
        <v>ADD CONSTRAINT sny_202310_backup_text_mml_mmlps_medicine_pkey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2783</v>
      </c>
      <c r="D14" s="6" t="s">
        <v>2784</v>
      </c>
      <c r="E14" s="8" t="s">
        <v>127</v>
      </c>
      <c r="F14" s="7" t="s">
        <v>2782</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2820</v>
      </c>
      <c r="D18" s="6" t="s">
        <v>2821</v>
      </c>
      <c r="E18" s="8" t="s">
        <v>127</v>
      </c>
      <c r="F18" s="7" t="s">
        <v>2782</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2856</v>
      </c>
      <c r="D19" s="6" t="s">
        <v>2857</v>
      </c>
      <c r="E19" s="8" t="s">
        <v>127</v>
      </c>
      <c r="F19" s="7" t="s">
        <v>2782</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2858</v>
      </c>
      <c r="D20" s="6" t="s">
        <v>359</v>
      </c>
      <c r="E20" s="8"/>
      <c r="F20" s="7" t="s">
        <v>1821</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milscm_2023_009.sny_202310_backup_text_mml_mmlps_medicine.code IS '薬剤コード';</v>
      </c>
    </row>
    <row r="21" spans="1:52" s="25" customFormat="1" ht="19.5" thickBot="1">
      <c r="A21" s="4"/>
      <c r="B21" s="27">
        <f>ROW()-12</f>
        <v>9</v>
      </c>
      <c r="C21" s="57" t="s">
        <v>2859</v>
      </c>
      <c r="D21" s="57" t="s">
        <v>2803</v>
      </c>
      <c r="E21" s="56"/>
      <c r="F21" s="56" t="s">
        <v>1821</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ENT_01_A6-27</v>
      </c>
      <c r="E6" s="273"/>
      <c r="F6" s="273"/>
      <c r="G6" s="273"/>
      <c r="H6" s="273"/>
      <c r="I6" s="273"/>
      <c r="J6" s="274"/>
    </row>
    <row r="7" spans="1:45">
      <c r="B7" s="262" t="s">
        <v>115</v>
      </c>
      <c r="C7" s="263"/>
      <c r="D7" s="264" t="s">
        <v>2860</v>
      </c>
      <c r="E7" s="265"/>
      <c r="F7" s="265"/>
      <c r="G7" s="265"/>
      <c r="H7" s="265"/>
      <c r="I7" s="265"/>
      <c r="J7" s="266"/>
    </row>
    <row r="8" spans="1:45">
      <c r="B8" s="262" t="s">
        <v>116</v>
      </c>
      <c r="C8" s="263"/>
      <c r="D8" s="264" t="str">
        <f>エンティティ一覧!AE2&amp;"_"&amp;D5&amp;"_text_mml_mmlinj_body"</f>
        <v>sny_202310_backup_text_mml_mmlinj_body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milscm_2023_009.sny_202310_backup_text_mml_mmlinj_body;</v>
      </c>
      <c r="O10" s="76"/>
      <c r="P10" s="76"/>
      <c r="Q10" s="76"/>
      <c r="R10" s="76"/>
      <c r="S10" s="76"/>
      <c r="T10" s="76"/>
      <c r="AJ10" s="76" t="str">
        <f>"ALTER TABLE ONLY "&amp;エンティティ一覧!$O$2&amp;"."&amp;D$8</f>
        <v>ALTER TABLE ONLY milscm_2023_009.sny_202310_backup_text_mml_mmlinj_body</v>
      </c>
      <c r="AS10" s="76" t="str">
        <f>"ALTER TABLE "&amp;エンティティ一覧!$O$2&amp;"."&amp;D$8&amp;" OWNER TO pgmisgrp1;"</f>
        <v>ALTER TABLE milscm_2023_009.sny_202310_backup_text_mml_mmlinj_body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milscm_2023_009.sny_202310_backup_text_mml_mmlinj_body</v>
      </c>
      <c r="O11" s="76"/>
      <c r="P11" s="76"/>
      <c r="Q11" s="76"/>
      <c r="R11" s="76"/>
      <c r="S11" s="76"/>
      <c r="T11" s="76"/>
      <c r="AJ11" s="76" t="str">
        <f>"ADD CONSTRAINT "&amp;D$8&amp;"_pkey PRIMARY KEY"</f>
        <v>ADD CONSTRAINT sny_202310_backup_text_mml_mmlinj_body_pkey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2783</v>
      </c>
      <c r="D14" s="6" t="s">
        <v>2784</v>
      </c>
      <c r="E14" s="8" t="s">
        <v>127</v>
      </c>
      <c r="F14" s="7" t="s">
        <v>2782</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milscm_2023_009.sny_202310_backup_text_mml_mmlinj_body.body_no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milscm_2023_009.sny_202310_backup_text_mml_mmlinj_body.master_id IS '患者ID';</v>
      </c>
    </row>
    <row r="18" spans="1:52" s="25" customFormat="1" ht="31.5">
      <c r="A18" s="4"/>
      <c r="B18" s="21">
        <f t="shared" si="2"/>
        <v>6</v>
      </c>
      <c r="C18" s="6" t="s">
        <v>2814</v>
      </c>
      <c r="D18" s="6" t="s">
        <v>2815</v>
      </c>
      <c r="E18" s="8"/>
      <c r="F18" s="7" t="s">
        <v>1821</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milscm_2023_009.sny_202310_backup_text_mml_mmlinj_body.narcotic_prescription_license_no IS '麻薬施用者番号';</v>
      </c>
    </row>
    <row r="19" spans="1:52" s="25" customFormat="1" ht="19.5" thickBot="1">
      <c r="A19" s="4"/>
      <c r="B19" s="27">
        <f>ROW()-12</f>
        <v>7</v>
      </c>
      <c r="C19" s="57" t="s">
        <v>2816</v>
      </c>
      <c r="D19" s="57" t="s">
        <v>2817</v>
      </c>
      <c r="E19" s="56"/>
      <c r="F19" s="56" t="s">
        <v>1821</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ENT_01_A6-28</v>
      </c>
      <c r="E6" s="273"/>
      <c r="F6" s="273"/>
      <c r="G6" s="273"/>
      <c r="H6" s="273"/>
      <c r="I6" s="273"/>
      <c r="J6" s="274"/>
    </row>
    <row r="7" spans="1:45">
      <c r="B7" s="262" t="s">
        <v>115</v>
      </c>
      <c r="C7" s="263"/>
      <c r="D7" s="264" t="s">
        <v>2869</v>
      </c>
      <c r="E7" s="265"/>
      <c r="F7" s="265"/>
      <c r="G7" s="265"/>
      <c r="H7" s="265"/>
      <c r="I7" s="265"/>
      <c r="J7" s="266"/>
    </row>
    <row r="8" spans="1:45">
      <c r="B8" s="262" t="s">
        <v>116</v>
      </c>
      <c r="C8" s="263"/>
      <c r="D8" s="264" t="str">
        <f>エンティティ一覧!AE2&amp;"_"&amp;D5&amp;"_text_mml_mmlinj_medication"</f>
        <v>sny_202310_backup_text_mml_mmlinj_medication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milscm_2023_009.sny_202310_backup_text_mml_mmlinj_medication;</v>
      </c>
      <c r="O10" s="76"/>
      <c r="P10" s="76"/>
      <c r="Q10" s="76"/>
      <c r="R10" s="76"/>
      <c r="S10" s="76"/>
      <c r="T10" s="76"/>
      <c r="AJ10" s="76" t="str">
        <f>"ALTER TABLE ONLY "&amp;エンティティ一覧!$O$2&amp;"."&amp;D$8</f>
        <v>ALTER TABLE ONLY milscm_2023_009.sny_202310_backup_text_mml_mmlinj_medication</v>
      </c>
      <c r="AS10" s="76" t="str">
        <f>"ALTER TABLE "&amp;エンティティ一覧!$O$2&amp;"."&amp;D$8&amp;" OWNER TO pgmisgrp1;"</f>
        <v>ALTER TABLE milscm_2023_009.sny_202310_backup_text_mml_mmlinj_medication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milscm_2023_009.sny_202310_backup_text_mml_mmlinj_medication</v>
      </c>
      <c r="O11" s="76"/>
      <c r="P11" s="76"/>
      <c r="Q11" s="76"/>
      <c r="R11" s="76"/>
      <c r="S11" s="76"/>
      <c r="T11" s="76"/>
      <c r="AJ11" s="76" t="str">
        <f>"ADD CONSTRAINT "&amp;D$8&amp;"_pkey PRIMARY KEY"</f>
        <v>ADD CONSTRAINT sny_202310_backup_text_mml_mmlinj_medication_pkey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2783</v>
      </c>
      <c r="D14" s="6" t="s">
        <v>2784</v>
      </c>
      <c r="E14" s="8" t="s">
        <v>127</v>
      </c>
      <c r="F14" s="7" t="s">
        <v>2782</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2820</v>
      </c>
      <c r="D18" s="6" t="s">
        <v>2821</v>
      </c>
      <c r="E18" s="8" t="s">
        <v>127</v>
      </c>
      <c r="F18" s="7" t="s">
        <v>2782</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2822</v>
      </c>
      <c r="D19" s="6" t="s">
        <v>2823</v>
      </c>
      <c r="E19" s="8"/>
      <c r="F19" s="7" t="s">
        <v>1821</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2824</v>
      </c>
      <c r="D20" s="6" t="s">
        <v>2825</v>
      </c>
      <c r="E20" s="8"/>
      <c r="F20" s="7" t="s">
        <v>1821</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2826</v>
      </c>
      <c r="D21" s="6" t="s">
        <v>2827</v>
      </c>
      <c r="E21" s="8"/>
      <c r="F21" s="7" t="s">
        <v>1821</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2861</v>
      </c>
      <c r="D22" s="6" t="s">
        <v>2862</v>
      </c>
      <c r="E22" s="8"/>
      <c r="F22" s="7" t="s">
        <v>1821</v>
      </c>
      <c r="G22" s="7" t="str">
        <f t="shared" si="7"/>
        <v>text</v>
      </c>
      <c r="H22" s="26"/>
      <c r="I22" s="10"/>
      <c r="J22" s="11" t="s">
        <v>2794</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2863</v>
      </c>
      <c r="D23" s="6" t="s">
        <v>2864</v>
      </c>
      <c r="E23" s="8"/>
      <c r="F23" s="7" t="s">
        <v>1821</v>
      </c>
      <c r="G23" s="7" t="str">
        <f t="shared" si="7"/>
        <v>text</v>
      </c>
      <c r="H23" s="26"/>
      <c r="I23" s="10"/>
      <c r="J23" s="11" t="s">
        <v>2794</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2833</v>
      </c>
      <c r="D24" s="6" t="s">
        <v>2834</v>
      </c>
      <c r="E24" s="8"/>
      <c r="F24" s="7" t="s">
        <v>1821</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2839</v>
      </c>
      <c r="D25" s="6" t="s">
        <v>2840</v>
      </c>
      <c r="E25" s="8"/>
      <c r="F25" s="7" t="s">
        <v>1821</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2865</v>
      </c>
      <c r="D26" s="6" t="s">
        <v>2866</v>
      </c>
      <c r="E26" s="8"/>
      <c r="F26" s="7" t="s">
        <v>1821</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2867</v>
      </c>
      <c r="D27" s="6" t="s">
        <v>2868</v>
      </c>
      <c r="E27" s="8"/>
      <c r="F27" s="7" t="s">
        <v>1821</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2843</v>
      </c>
      <c r="D28" s="6" t="s">
        <v>2844</v>
      </c>
      <c r="E28" s="8"/>
      <c r="F28" s="7" t="s">
        <v>1821</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milscm_2023_009.sny_202310_backup_text_mml_mmlinj_medication.batch_no IS '処方番号';</v>
      </c>
    </row>
    <row r="29" spans="1:52" s="25" customFormat="1" ht="19.5" thickBot="1">
      <c r="A29" s="4"/>
      <c r="B29" s="27">
        <f>ROW()-12</f>
        <v>17</v>
      </c>
      <c r="C29" s="57" t="s">
        <v>2849</v>
      </c>
      <c r="D29" s="57" t="s">
        <v>2850</v>
      </c>
      <c r="E29" s="56"/>
      <c r="F29" s="56" t="s">
        <v>1821</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ENT_01_A6-29</v>
      </c>
      <c r="E6" s="273"/>
      <c r="F6" s="273"/>
      <c r="G6" s="273"/>
      <c r="H6" s="273"/>
      <c r="I6" s="273"/>
      <c r="J6" s="274"/>
    </row>
    <row r="7" spans="1:45">
      <c r="B7" s="262" t="s">
        <v>115</v>
      </c>
      <c r="C7" s="263"/>
      <c r="D7" s="264" t="s">
        <v>2870</v>
      </c>
      <c r="E7" s="265"/>
      <c r="F7" s="265"/>
      <c r="G7" s="265"/>
      <c r="H7" s="265"/>
      <c r="I7" s="265"/>
      <c r="J7" s="266"/>
    </row>
    <row r="8" spans="1:45">
      <c r="B8" s="262" t="s">
        <v>116</v>
      </c>
      <c r="C8" s="263"/>
      <c r="D8" s="264" t="str">
        <f>エンティティ一覧!AE2&amp;"_"&amp;D5&amp;"_text_mml_mmlinj_medicine"</f>
        <v>sny_202310_backup_text_mml_mmlinj_medicine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milscm_2023_009.sny_202310_backup_text_mml_mmlinj_medicine;</v>
      </c>
      <c r="O10" s="76"/>
      <c r="P10" s="76"/>
      <c r="Q10" s="76"/>
      <c r="R10" s="76"/>
      <c r="S10" s="76"/>
      <c r="T10" s="76"/>
      <c r="AJ10" s="76" t="str">
        <f>"ALTER TABLE ONLY "&amp;エンティティ一覧!$O$2&amp;"."&amp;D$8</f>
        <v>ALTER TABLE ONLY milscm_2023_009.sny_202310_backup_text_mml_mmlinj_medicine</v>
      </c>
      <c r="AS10" s="76" t="str">
        <f>"ALTER TABLE "&amp;エンティティ一覧!$O$2&amp;"."&amp;D$8&amp;" OWNER TO pgmisgrp1;"</f>
        <v>ALTER TABLE milscm_2023_009.sny_202310_backup_text_mml_mmlinj_medicine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milscm_2023_009.sny_202310_backup_text_mml_mmlinj_medicine</v>
      </c>
      <c r="O11" s="76"/>
      <c r="P11" s="76"/>
      <c r="Q11" s="76"/>
      <c r="R11" s="76"/>
      <c r="S11" s="76"/>
      <c r="T11" s="76"/>
      <c r="AJ11" s="76" t="str">
        <f>"ADD CONSTRAINT "&amp;D$8&amp;"_pkey PRIMARY KEY"</f>
        <v>ADD CONSTRAINT sny_202310_backup_text_mml_mmlinj_medicine_pkey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2783</v>
      </c>
      <c r="D14" s="6" t="s">
        <v>2784</v>
      </c>
      <c r="E14" s="8" t="s">
        <v>127</v>
      </c>
      <c r="F14" s="7" t="s">
        <v>2782</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2820</v>
      </c>
      <c r="D18" s="6" t="s">
        <v>2821</v>
      </c>
      <c r="E18" s="8" t="s">
        <v>127</v>
      </c>
      <c r="F18" s="7" t="s">
        <v>2782</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2856</v>
      </c>
      <c r="D19" s="6" t="s">
        <v>2857</v>
      </c>
      <c r="E19" s="8" t="s">
        <v>127</v>
      </c>
      <c r="F19" s="7" t="s">
        <v>2782</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2858</v>
      </c>
      <c r="D20" s="6" t="s">
        <v>359</v>
      </c>
      <c r="E20" s="8"/>
      <c r="F20" s="7" t="s">
        <v>1821</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milscm_2023_009.sny_202310_backup_text_mml_mmlinj_medicine.code IS '薬剤コード';</v>
      </c>
    </row>
    <row r="21" spans="1:52" s="25" customFormat="1" ht="19.5" thickBot="1">
      <c r="A21" s="4"/>
      <c r="B21" s="27">
        <f>ROW()-12</f>
        <v>9</v>
      </c>
      <c r="C21" s="57" t="s">
        <v>2859</v>
      </c>
      <c r="D21" s="57" t="s">
        <v>2803</v>
      </c>
      <c r="E21" s="56"/>
      <c r="F21" s="56" t="s">
        <v>1821</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ENT_01_A6-42</v>
      </c>
      <c r="E6" s="273"/>
      <c r="F6" s="273"/>
      <c r="G6" s="273"/>
      <c r="H6" s="273"/>
      <c r="I6" s="273"/>
      <c r="J6" s="274"/>
    </row>
    <row r="7" spans="1:45">
      <c r="B7" s="262" t="s">
        <v>115</v>
      </c>
      <c r="C7" s="263"/>
      <c r="D7" s="264" t="s">
        <v>2871</v>
      </c>
      <c r="E7" s="265"/>
      <c r="F7" s="265"/>
      <c r="G7" s="265"/>
      <c r="H7" s="265"/>
      <c r="I7" s="265"/>
      <c r="J7" s="266"/>
    </row>
    <row r="8" spans="1:45">
      <c r="B8" s="262" t="s">
        <v>116</v>
      </c>
      <c r="C8" s="263"/>
      <c r="D8" s="264" t="str">
        <f>エンティティ一覧!AE2&amp;"_"&amp;D5&amp;"_text_mml_mmlsg_surgery_item"</f>
        <v>sny_202310_backup_text_mml_mmlsg_surgery_item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milscm_2023_009.sny_202310_backup_text_mml_mmlsg_surgery_item;</v>
      </c>
      <c r="O10" s="76"/>
      <c r="P10" s="76"/>
      <c r="Q10" s="76"/>
      <c r="R10" s="76"/>
      <c r="S10" s="76"/>
      <c r="T10" s="76"/>
      <c r="AJ10" s="76" t="str">
        <f>"ALTER TABLE ONLY "&amp;エンティティ一覧!$O$2&amp;"."&amp;D$8</f>
        <v>ALTER TABLE ONLY milscm_2023_009.sny_202310_backup_text_mml_mmlsg_surgery_item</v>
      </c>
      <c r="AS10" s="76" t="str">
        <f>"ALTER TABLE "&amp;エンティティ一覧!$O$2&amp;"."&amp;D$8&amp;" OWNER TO pgmisgrp1;"</f>
        <v>ALTER TABLE milscm_2023_009.sny_202310_backup_text_mml_mmlsg_surgery_item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milscm_2023_009.sny_202310_backup_text_mml_mmlsg_surgery_item</v>
      </c>
      <c r="O11" s="76"/>
      <c r="P11" s="76"/>
      <c r="Q11" s="76"/>
      <c r="R11" s="76"/>
      <c r="S11" s="76"/>
      <c r="T11" s="76"/>
      <c r="AJ11" s="76" t="str">
        <f>"ADD CONSTRAINT "&amp;D$8&amp;"_pkey PRIMARY KEY"</f>
        <v>ADD CONSTRAINT sny_202310_backup_text_mml_mmlsg_surgery_item_pkey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2783</v>
      </c>
      <c r="D14" s="6" t="s">
        <v>2784</v>
      </c>
      <c r="E14" s="8" t="s">
        <v>127</v>
      </c>
      <c r="F14" s="7" t="s">
        <v>2782</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2872</v>
      </c>
      <c r="D18" s="6" t="s">
        <v>2873</v>
      </c>
      <c r="E18" s="8" t="s">
        <v>127</v>
      </c>
      <c r="F18" s="7" t="s">
        <v>2782</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2874</v>
      </c>
      <c r="D19" s="6" t="s">
        <v>2875</v>
      </c>
      <c r="E19" s="8"/>
      <c r="F19" s="7" t="s">
        <v>1821</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2876</v>
      </c>
      <c r="D20" s="6" t="s">
        <v>2877</v>
      </c>
      <c r="E20" s="8"/>
      <c r="F20" s="7" t="s">
        <v>1821</v>
      </c>
      <c r="G20" s="7" t="str">
        <f t="shared" ref="G20:G23" si="7">IF(F20="フラグ","boolean",IF(F20="文字列","text",IF(F20="整数","integer",IF(F20="実数","numeric",""))))</f>
        <v>text</v>
      </c>
      <c r="H20" s="26"/>
      <c r="I20" s="10"/>
      <c r="J20" s="11" t="s">
        <v>2851</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milscm_2023_009.sny_202310_backup_text_mml_mmlsg_surgery_item.surgical_info_date IS '手術施行日';</v>
      </c>
    </row>
    <row r="21" spans="1:52" s="25" customFormat="1" ht="29.45" customHeight="1">
      <c r="A21" s="4"/>
      <c r="B21" s="21">
        <f t="shared" si="2"/>
        <v>9</v>
      </c>
      <c r="C21" s="6" t="s">
        <v>2878</v>
      </c>
      <c r="D21" s="6" t="s">
        <v>2879</v>
      </c>
      <c r="E21" s="8"/>
      <c r="F21" s="7" t="s">
        <v>1821</v>
      </c>
      <c r="G21" s="7" t="str">
        <f t="shared" si="7"/>
        <v>text</v>
      </c>
      <c r="H21" s="26"/>
      <c r="I21" s="10"/>
      <c r="J21" s="11" t="s">
        <v>2888</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2880</v>
      </c>
      <c r="D22" s="6" t="s">
        <v>2881</v>
      </c>
      <c r="E22" s="8"/>
      <c r="F22" s="7" t="s">
        <v>1821</v>
      </c>
      <c r="G22" s="7" t="str">
        <f t="shared" si="7"/>
        <v>text</v>
      </c>
      <c r="H22" s="26"/>
      <c r="I22" s="10"/>
      <c r="J22" s="11" t="s">
        <v>2889</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2882</v>
      </c>
      <c r="D23" s="6" t="s">
        <v>2883</v>
      </c>
      <c r="E23" s="8"/>
      <c r="F23" s="7" t="s">
        <v>1821</v>
      </c>
      <c r="G23" s="7" t="str">
        <f t="shared" si="7"/>
        <v>text</v>
      </c>
      <c r="H23" s="26"/>
      <c r="I23" s="10"/>
      <c r="J23" s="11" t="s">
        <v>2889</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2884</v>
      </c>
      <c r="D24" s="6" t="s">
        <v>2885</v>
      </c>
      <c r="E24" s="8"/>
      <c r="F24" s="7" t="s">
        <v>1821</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milscm_2023_009.sny_202310_backup_text_mml_mmlsg_surgery_item.operative_notes IS '手術記録の自由文章表現';</v>
      </c>
    </row>
    <row r="25" spans="1:52" s="25" customFormat="1" ht="19.5" thickBot="1">
      <c r="A25" s="4"/>
      <c r="B25" s="27">
        <f>ROW()-12</f>
        <v>13</v>
      </c>
      <c r="C25" s="57" t="s">
        <v>2886</v>
      </c>
      <c r="D25" s="57" t="s">
        <v>2887</v>
      </c>
      <c r="E25" s="56"/>
      <c r="F25" s="56" t="s">
        <v>1821</v>
      </c>
      <c r="G25" s="56" t="str">
        <f t="shared" si="3"/>
        <v>text</v>
      </c>
      <c r="H25" s="59"/>
      <c r="I25" s="60"/>
      <c r="J25" s="64"/>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ENT_01_A6-43</v>
      </c>
      <c r="E6" s="273"/>
      <c r="F6" s="273"/>
      <c r="G6" s="273"/>
      <c r="H6" s="273"/>
      <c r="I6" s="273"/>
      <c r="J6" s="274"/>
    </row>
    <row r="7" spans="1:45">
      <c r="B7" s="262" t="s">
        <v>115</v>
      </c>
      <c r="C7" s="263"/>
      <c r="D7" s="264" t="s">
        <v>2890</v>
      </c>
      <c r="E7" s="265"/>
      <c r="F7" s="265"/>
      <c r="G7" s="265"/>
      <c r="H7" s="265"/>
      <c r="I7" s="265"/>
      <c r="J7" s="266"/>
    </row>
    <row r="8" spans="1:45">
      <c r="B8" s="262" t="s">
        <v>116</v>
      </c>
      <c r="C8" s="263"/>
      <c r="D8" s="264" t="str">
        <f>エンティティ一覧!AE2&amp;"_"&amp;D5&amp;"_text_mml_mmlsg_dp"</f>
        <v>sny_202310_backup_text_mml_mmlsg_dp</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milscm_2023_009.sny_202310_backup_text_mml_mmlsg_dp;</v>
      </c>
      <c r="O10" s="76"/>
      <c r="P10" s="76"/>
      <c r="Q10" s="76"/>
      <c r="R10" s="76"/>
      <c r="S10" s="76"/>
      <c r="T10" s="76"/>
      <c r="AJ10" s="76" t="str">
        <f>"ALTER TABLE ONLY "&amp;エンティティ一覧!$O$2&amp;"."&amp;D$8</f>
        <v>ALTER TABLE ONLY milscm_2023_009.sny_202310_backup_text_mml_mmlsg_dp</v>
      </c>
      <c r="AS10" s="76" t="str">
        <f>"ALTER TABLE "&amp;エンティティ一覧!$O$2&amp;"."&amp;D$8&amp;" OWNER TO pgmisgrp1;"</f>
        <v>ALTER TABLE milscm_2023_009.sny_202310_backup_text_mml_mmlsg_dp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milscm_2023_009.sny_202310_backup_text_mml_mmlsg_dp</v>
      </c>
      <c r="O11" s="76"/>
      <c r="P11" s="76"/>
      <c r="Q11" s="76"/>
      <c r="R11" s="76"/>
      <c r="S11" s="76"/>
      <c r="T11" s="76"/>
      <c r="AJ11" s="76" t="str">
        <f>"ADD CONSTRAINT "&amp;D$8&amp;"_pkey PRIMARY KEY"</f>
        <v>ADD CONSTRAINT sny_202310_backup_text_mml_mmlsg_dp_pkey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2783</v>
      </c>
      <c r="D14" s="6" t="s">
        <v>2784</v>
      </c>
      <c r="E14" s="8" t="s">
        <v>127</v>
      </c>
      <c r="F14" s="7" t="s">
        <v>2782</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milscm_2023_009.sny_202310_backup_text_mml_mmlsg_dp.body_no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milscm_2023_009.sny_202310_backup_text_mml_mmlsg_dp.master_id IS '患者ID';</v>
      </c>
    </row>
    <row r="18" spans="1:52" s="25" customFormat="1">
      <c r="A18" s="4"/>
      <c r="B18" s="21">
        <f t="shared" si="2"/>
        <v>6</v>
      </c>
      <c r="C18" s="6" t="s">
        <v>2891</v>
      </c>
      <c r="D18" s="6" t="s">
        <v>2873</v>
      </c>
      <c r="E18" s="8" t="s">
        <v>127</v>
      </c>
      <c r="F18" s="7" t="s">
        <v>2782</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milscm_2023_009.sny_202310_backup_text_mml_mmlsg_dp.surgery_item_no IS '手術項目No';</v>
      </c>
    </row>
    <row r="19" spans="1:52" s="25" customFormat="1" ht="56.25">
      <c r="A19" s="4"/>
      <c r="B19" s="21">
        <f t="shared" si="2"/>
        <v>7</v>
      </c>
      <c r="C19" s="6" t="s">
        <v>2892</v>
      </c>
      <c r="D19" s="6" t="s">
        <v>2799</v>
      </c>
      <c r="E19" s="8" t="s">
        <v>127</v>
      </c>
      <c r="F19" s="7" t="s">
        <v>1821</v>
      </c>
      <c r="G19" s="7" t="str">
        <f t="shared" ref="G19:G22" si="7">IF(F19="フラグ","boolean",IF(F19="文字列","text",IF(F19="整数","integer",IF(F19="実数","numeric",""))))</f>
        <v>text</v>
      </c>
      <c r="H19" s="26"/>
      <c r="I19" s="10" t="s">
        <v>127</v>
      </c>
      <c r="J19" s="11" t="s">
        <v>2912</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milscm_2023_009.sny_202310_backup_text_mml_mmlsg_dp.tag_name IS 'タグ名';</v>
      </c>
    </row>
    <row r="20" spans="1:52" s="25" customFormat="1">
      <c r="A20" s="4"/>
      <c r="B20" s="21">
        <f t="shared" si="2"/>
        <v>8</v>
      </c>
      <c r="C20" s="6" t="s">
        <v>2893</v>
      </c>
      <c r="D20" s="6" t="s">
        <v>2894</v>
      </c>
      <c r="E20" s="8" t="s">
        <v>127</v>
      </c>
      <c r="F20" s="7" t="s">
        <v>2782</v>
      </c>
      <c r="G20" s="7" t="str">
        <f t="shared" si="7"/>
        <v>integer</v>
      </c>
      <c r="H20" s="26"/>
      <c r="I20" s="10" t="s">
        <v>127</v>
      </c>
      <c r="J20" s="11" t="s">
        <v>2913</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2895</v>
      </c>
      <c r="D21" s="6" t="s">
        <v>2896</v>
      </c>
      <c r="E21" s="8" t="s">
        <v>127</v>
      </c>
      <c r="F21" s="7" t="s">
        <v>2782</v>
      </c>
      <c r="G21" s="7" t="str">
        <f t="shared" si="7"/>
        <v>integer</v>
      </c>
      <c r="H21" s="26"/>
      <c r="I21" s="10" t="s">
        <v>127</v>
      </c>
      <c r="J21" s="11" t="s">
        <v>2914</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2897</v>
      </c>
      <c r="D22" s="6" t="s">
        <v>2898</v>
      </c>
      <c r="E22" s="8"/>
      <c r="F22" s="7" t="s">
        <v>1821</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milscm_2023_009.sny_202310_backup_text_mml_mmlsg_dp.id IS '診療科ID';</v>
      </c>
    </row>
    <row r="23" spans="1:52" s="25" customFormat="1">
      <c r="A23" s="4"/>
      <c r="B23" s="21">
        <f t="shared" si="2"/>
        <v>11</v>
      </c>
      <c r="C23" s="6" t="s">
        <v>2899</v>
      </c>
      <c r="D23" s="6" t="s">
        <v>2900</v>
      </c>
      <c r="E23" s="8"/>
      <c r="F23" s="7" t="s">
        <v>1821</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2901</v>
      </c>
      <c r="D24" s="6" t="s">
        <v>2810</v>
      </c>
      <c r="E24" s="8"/>
      <c r="F24" s="7" t="s">
        <v>1821</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milscm_2023_009.sny_202310_backup_text_mml_mmlsg_dp.table_id IS '診療科ID_テーブル名';</v>
      </c>
    </row>
    <row r="25" spans="1:52" s="25" customFormat="1" ht="29.45" customHeight="1">
      <c r="A25" s="4"/>
      <c r="B25" s="21">
        <f t="shared" si="2"/>
        <v>13</v>
      </c>
      <c r="C25" s="6" t="s">
        <v>2902</v>
      </c>
      <c r="D25" s="6" t="s">
        <v>2903</v>
      </c>
      <c r="E25" s="8"/>
      <c r="F25" s="7" t="s">
        <v>2782</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2904</v>
      </c>
      <c r="D26" s="6" t="s">
        <v>2905</v>
      </c>
      <c r="E26" s="8"/>
      <c r="F26" s="7" t="s">
        <v>1821</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2906</v>
      </c>
      <c r="D27" s="6" t="s">
        <v>2907</v>
      </c>
      <c r="E27" s="8"/>
      <c r="F27" s="7" t="s">
        <v>1821</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2908</v>
      </c>
      <c r="D28" s="6" t="s">
        <v>2909</v>
      </c>
      <c r="E28" s="8"/>
      <c r="F28" s="7" t="s">
        <v>1821</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milscm_2023_009.sny_202310_backup_text_mml_mmlsg_dp.dp_name_rep_code IS '診療科名称_表記法';</v>
      </c>
    </row>
    <row r="29" spans="1:52" s="25" customFormat="1" ht="19.5" thickBot="1">
      <c r="A29" s="4"/>
      <c r="B29" s="27">
        <f>ROW()-12</f>
        <v>17</v>
      </c>
      <c r="C29" s="57" t="s">
        <v>2910</v>
      </c>
      <c r="D29" s="57" t="s">
        <v>2911</v>
      </c>
      <c r="E29" s="56"/>
      <c r="F29" s="56" t="s">
        <v>1821</v>
      </c>
      <c r="G29" s="56" t="str">
        <f t="shared" si="3"/>
        <v>text</v>
      </c>
      <c r="H29" s="59"/>
      <c r="I29" s="60"/>
      <c r="J29" s="64"/>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ENT_01_A6-44</v>
      </c>
      <c r="E6" s="273"/>
      <c r="F6" s="273"/>
      <c r="G6" s="273"/>
      <c r="H6" s="273"/>
      <c r="I6" s="273"/>
      <c r="J6" s="274"/>
    </row>
    <row r="7" spans="1:45">
      <c r="B7" s="262" t="s">
        <v>115</v>
      </c>
      <c r="C7" s="263"/>
      <c r="D7" s="264" t="s">
        <v>2915</v>
      </c>
      <c r="E7" s="265"/>
      <c r="F7" s="265"/>
      <c r="G7" s="265"/>
      <c r="H7" s="265"/>
      <c r="I7" s="265"/>
      <c r="J7" s="266"/>
    </row>
    <row r="8" spans="1:45">
      <c r="B8" s="262" t="s">
        <v>116</v>
      </c>
      <c r="C8" s="263"/>
      <c r="D8" s="264" t="str">
        <f>エンティティ一覧!AE2&amp;"_"&amp;D5&amp;"_text_mml_mmlsg_rd"</f>
        <v>sny_202310_backup_text_mml_mmlsg_rd</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milscm_2023_009.sny_202310_backup_text_mml_mmlsg_rd;</v>
      </c>
      <c r="O10" s="76"/>
      <c r="P10" s="76"/>
      <c r="Q10" s="76"/>
      <c r="R10" s="76"/>
      <c r="S10" s="76"/>
      <c r="T10" s="76"/>
      <c r="AJ10" s="76" t="str">
        <f>"ALTER TABLE ONLY "&amp;エンティティ一覧!$O$2&amp;"."&amp;D$8</f>
        <v>ALTER TABLE ONLY milscm_2023_009.sny_202310_backup_text_mml_mmlsg_rd</v>
      </c>
      <c r="AS10" s="76" t="str">
        <f>"ALTER TABLE "&amp;エンティティ一覧!$O$2&amp;"."&amp;D$8&amp;" OWNER TO pgmisgrp1;"</f>
        <v>ALTER TABLE milscm_2023_009.sny_202310_backup_text_mml_mmlsg_rd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v>
      </c>
      <c r="O11" s="76"/>
      <c r="P11" s="76"/>
      <c r="Q11" s="76"/>
      <c r="R11" s="76"/>
      <c r="S11" s="76"/>
      <c r="T11" s="76"/>
      <c r="AJ11" s="76" t="str">
        <f>"ADD CONSTRAINT "&amp;D$8&amp;"_pkey PRIMARY KEY"</f>
        <v>ADD CONSTRAINT sny_202310_backup_text_mml_mmlsg_rd_pkey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2783</v>
      </c>
      <c r="D14" s="6" t="s">
        <v>2784</v>
      </c>
      <c r="E14" s="8" t="s">
        <v>127</v>
      </c>
      <c r="F14" s="7" t="s">
        <v>2782</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milscm_2023_009.sny_202310_backup_text_mml_mmlsg_rd.master_id IS '患者ID';</v>
      </c>
    </row>
    <row r="18" spans="1:52" s="25" customFormat="1">
      <c r="A18" s="4"/>
      <c r="B18" s="21">
        <f t="shared" si="2"/>
        <v>6</v>
      </c>
      <c r="C18" s="6" t="s">
        <v>2872</v>
      </c>
      <c r="D18" s="6" t="s">
        <v>2873</v>
      </c>
      <c r="E18" s="8" t="s">
        <v>127</v>
      </c>
      <c r="F18" s="7" t="s">
        <v>2782</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2916</v>
      </c>
      <c r="D19" s="6" t="s">
        <v>2917</v>
      </c>
      <c r="E19" s="8" t="s">
        <v>127</v>
      </c>
      <c r="F19" s="7" t="s">
        <v>2782</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1303</v>
      </c>
      <c r="D20" s="6" t="s">
        <v>2789</v>
      </c>
      <c r="E20" s="8"/>
      <c r="F20" s="7" t="s">
        <v>1821</v>
      </c>
      <c r="G20" s="7" t="str">
        <f t="shared" si="3"/>
        <v>text</v>
      </c>
      <c r="H20" s="26"/>
      <c r="I20" s="10"/>
      <c r="J20" s="11" t="s">
        <v>2794</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milscm_2023_009.sny_202310_backup_text_mml_mmlsg_rd.start_date IS '疾患開始日';</v>
      </c>
    </row>
    <row r="21" spans="1:52" s="25" customFormat="1" ht="29.45" customHeight="1">
      <c r="A21" s="4"/>
      <c r="B21" s="21">
        <f t="shared" si="2"/>
        <v>9</v>
      </c>
      <c r="C21" s="6" t="s">
        <v>1305</v>
      </c>
      <c r="D21" s="6" t="s">
        <v>2790</v>
      </c>
      <c r="E21" s="8"/>
      <c r="F21" s="7" t="s">
        <v>1821</v>
      </c>
      <c r="G21" s="7" t="str">
        <f t="shared" si="3"/>
        <v>text</v>
      </c>
      <c r="H21" s="26"/>
      <c r="I21" s="10"/>
      <c r="J21" s="11" t="s">
        <v>2794</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1307</v>
      </c>
      <c r="D22" s="6" t="s">
        <v>2791</v>
      </c>
      <c r="E22" s="8"/>
      <c r="F22" s="7" t="s">
        <v>1821</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milscm_2023_009.sny_202310_backup_text_mml_mmlsg_rd.outcome IS '転帰';</v>
      </c>
    </row>
    <row r="23" spans="1:52" s="25" customFormat="1" ht="19.5" thickBot="1">
      <c r="A23" s="4"/>
      <c r="B23" s="27">
        <f>ROW()-12</f>
        <v>11</v>
      </c>
      <c r="C23" s="57" t="s">
        <v>1309</v>
      </c>
      <c r="D23" s="57" t="s">
        <v>2792</v>
      </c>
      <c r="E23" s="56"/>
      <c r="F23" s="56" t="s">
        <v>1821</v>
      </c>
      <c r="G23" s="56" t="str">
        <f t="shared" si="3"/>
        <v>text</v>
      </c>
      <c r="H23" s="59"/>
      <c r="I23" s="60"/>
      <c r="J23" s="64"/>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ENT_01_A6-45</v>
      </c>
      <c r="E6" s="273"/>
      <c r="F6" s="273"/>
      <c r="G6" s="273"/>
      <c r="H6" s="273"/>
      <c r="I6" s="273"/>
      <c r="J6" s="274"/>
    </row>
    <row r="7" spans="1:45">
      <c r="B7" s="262" t="s">
        <v>115</v>
      </c>
      <c r="C7" s="263"/>
      <c r="D7" s="264" t="s">
        <v>2918</v>
      </c>
      <c r="E7" s="265"/>
      <c r="F7" s="265"/>
      <c r="G7" s="265"/>
      <c r="H7" s="265"/>
      <c r="I7" s="265"/>
      <c r="J7" s="266"/>
    </row>
    <row r="8" spans="1:45">
      <c r="B8" s="262" t="s">
        <v>116</v>
      </c>
      <c r="C8" s="263"/>
      <c r="D8" s="264" t="str">
        <f>エンティティ一覧!AE2&amp;"_"&amp;D5&amp;"_text_mml_mmlsg_rd_byomei"</f>
        <v>sny_202310_backup_text_mml_mmlsg_rd_byomei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milscm_2023_009.sny_202310_backup_text_mml_mmlsg_rd_byomei;</v>
      </c>
      <c r="O10" s="76"/>
      <c r="P10" s="76"/>
      <c r="Q10" s="76"/>
      <c r="R10" s="76"/>
      <c r="S10" s="76"/>
      <c r="T10" s="76"/>
      <c r="AJ10" s="76" t="str">
        <f>"ALTER TABLE ONLY "&amp;エンティティ一覧!$O$2&amp;"."&amp;D$8</f>
        <v>ALTER TABLE ONLY milscm_2023_009.sny_202310_backup_text_mml_mmlsg_rd_byomei</v>
      </c>
      <c r="AS10" s="76" t="str">
        <f>"ALTER TABLE "&amp;エンティティ一覧!$O$2&amp;"."&amp;D$8&amp;" OWNER TO pgmisgrp1;"</f>
        <v>ALTER TABLE milscm_2023_009.sny_202310_backup_text_mml_mmlsg_rd_byomei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milscm_2023_009.sny_202310_backup_text_mml_mmlsg_rd_byomei</v>
      </c>
      <c r="O11" s="76"/>
      <c r="P11" s="76"/>
      <c r="Q11" s="76"/>
      <c r="R11" s="76"/>
      <c r="S11" s="76"/>
      <c r="T11" s="76"/>
      <c r="AJ11" s="76" t="str">
        <f>"ADD CONSTRAINT "&amp;D$8&amp;"_pkey PRIMARY KEY"</f>
        <v>ADD CONSTRAINT sny_202310_backup_text_mml_mmlsg_rd_byomei_pkey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2783</v>
      </c>
      <c r="D14" s="6" t="s">
        <v>2784</v>
      </c>
      <c r="E14" s="8" t="s">
        <v>127</v>
      </c>
      <c r="F14" s="7" t="s">
        <v>2782</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2872</v>
      </c>
      <c r="D18" s="6" t="s">
        <v>2873</v>
      </c>
      <c r="E18" s="8" t="s">
        <v>127</v>
      </c>
      <c r="F18" s="7" t="s">
        <v>2782</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2916</v>
      </c>
      <c r="D19" s="6" t="s">
        <v>2917</v>
      </c>
      <c r="E19" s="8" t="s">
        <v>127</v>
      </c>
      <c r="F19" s="7" t="s">
        <v>2782</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2796</v>
      </c>
      <c r="D20" s="6" t="s">
        <v>2797</v>
      </c>
      <c r="E20" s="8" t="s">
        <v>127</v>
      </c>
      <c r="F20" s="7" t="s">
        <v>2782</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milscm_2023_009.sny_202310_backup_text_mml_mmlsg_rd_byomei.byomei_no IS '病名No';</v>
      </c>
    </row>
    <row r="21" spans="1:52" s="25" customFormat="1" ht="29.45" customHeight="1">
      <c r="A21" s="4"/>
      <c r="B21" s="21">
        <f t="shared" si="2"/>
        <v>9</v>
      </c>
      <c r="C21" s="6" t="s">
        <v>2798</v>
      </c>
      <c r="D21" s="6" t="s">
        <v>2799</v>
      </c>
      <c r="E21" s="8"/>
      <c r="F21" s="7" t="s">
        <v>1821</v>
      </c>
      <c r="G21" s="7" t="str">
        <f t="shared" si="3"/>
        <v>text</v>
      </c>
      <c r="H21" s="26"/>
      <c r="I21" s="10"/>
      <c r="J21" s="11" t="s">
        <v>2804</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milscm_2023_009.sny_202310_backup_text_mml_mmlsg_rd_byomei.tag_name IS 'タグ名';</v>
      </c>
    </row>
    <row r="22" spans="1:52" s="25" customFormat="1" ht="37.5">
      <c r="A22" s="4"/>
      <c r="B22" s="21">
        <f t="shared" si="2"/>
        <v>10</v>
      </c>
      <c r="C22" s="6" t="s">
        <v>1321</v>
      </c>
      <c r="D22" s="6" t="s">
        <v>2800</v>
      </c>
      <c r="E22" s="8"/>
      <c r="F22" s="7" t="s">
        <v>1821</v>
      </c>
      <c r="G22" s="7" t="str">
        <f t="shared" ref="G22" si="7">IF(F22="フラグ","boolean",IF(F22="文字列","text",IF(F22="整数","integer",IF(F22="実数","numeric",""))))</f>
        <v>text</v>
      </c>
      <c r="H22" s="26"/>
      <c r="I22" s="10"/>
      <c r="J22" s="11" t="s">
        <v>2805</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2801</v>
      </c>
      <c r="D23" s="6" t="s">
        <v>359</v>
      </c>
      <c r="E23" s="8"/>
      <c r="F23" s="7" t="s">
        <v>1821</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milscm_2023_009.sny_202310_backup_text_mml_mmlsg_rd_byomei.code IS 'コード値';</v>
      </c>
    </row>
    <row r="24" spans="1:52" s="25" customFormat="1" ht="19.5" thickBot="1">
      <c r="A24" s="4"/>
      <c r="B24" s="27">
        <f>ROW()-12</f>
        <v>12</v>
      </c>
      <c r="C24" s="57" t="s">
        <v>2802</v>
      </c>
      <c r="D24" s="57" t="s">
        <v>2803</v>
      </c>
      <c r="E24" s="56"/>
      <c r="F24" s="56" t="s">
        <v>1821</v>
      </c>
      <c r="G24" s="56" t="str">
        <f t="shared" si="3"/>
        <v>text</v>
      </c>
      <c r="H24" s="59"/>
      <c r="I24" s="60"/>
      <c r="J24" s="64"/>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ENT_01_A6-46</v>
      </c>
      <c r="E6" s="273"/>
      <c r="F6" s="273"/>
      <c r="G6" s="273"/>
      <c r="H6" s="273"/>
      <c r="I6" s="273"/>
      <c r="J6" s="274"/>
    </row>
    <row r="7" spans="1:45">
      <c r="B7" s="262" t="s">
        <v>115</v>
      </c>
      <c r="C7" s="263"/>
      <c r="D7" s="264" t="s">
        <v>2919</v>
      </c>
      <c r="E7" s="265"/>
      <c r="F7" s="265"/>
      <c r="G7" s="265"/>
      <c r="H7" s="265"/>
      <c r="I7" s="265"/>
      <c r="J7" s="266"/>
    </row>
    <row r="8" spans="1:45">
      <c r="B8" s="262" t="s">
        <v>116</v>
      </c>
      <c r="C8" s="263"/>
      <c r="D8" s="264" t="str">
        <f>エンティティ一覧!AE2&amp;"_"&amp;D5&amp;"_text_mml_mmlsg_rd_category"</f>
        <v>sny_202310_backup_text_mml_mmlsg_rd_category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milscm_2023_009.sny_202310_backup_text_mml_mmlsg_rd_category;</v>
      </c>
      <c r="O10" s="76"/>
      <c r="P10" s="76"/>
      <c r="Q10" s="76"/>
      <c r="R10" s="76"/>
      <c r="S10" s="76"/>
      <c r="T10" s="76"/>
      <c r="AJ10" s="76" t="str">
        <f>"ALTER TABLE ONLY "&amp;エンティティ一覧!$O$2&amp;"."&amp;D$8</f>
        <v>ALTER TABLE ONLY milscm_2023_009.sny_202310_backup_text_mml_mmlsg_rd_category</v>
      </c>
      <c r="AS10" s="76" t="str">
        <f>"ALTER TABLE "&amp;エンティティ一覧!$O$2&amp;"."&amp;D$8&amp;" OWNER TO pgmisgrp1;"</f>
        <v>ALTER TABLE milscm_2023_009.sny_202310_backup_text_mml_mmlsg_rd_category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milscm_2023_009.sny_202310_backup_text_mml_mmlsg_rd_category</v>
      </c>
      <c r="O11" s="76"/>
      <c r="P11" s="76"/>
      <c r="Q11" s="76"/>
      <c r="R11" s="76"/>
      <c r="S11" s="76"/>
      <c r="T11" s="76"/>
      <c r="AJ11" s="76" t="str">
        <f>"ADD CONSTRAINT "&amp;D$8&amp;"_pkey PRIMARY KEY"</f>
        <v>ADD CONSTRAINT sny_202310_backup_text_mml_mmlsg_rd_category_pkey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2783</v>
      </c>
      <c r="D14" s="6" t="s">
        <v>2784</v>
      </c>
      <c r="E14" s="8" t="s">
        <v>127</v>
      </c>
      <c r="F14" s="7" t="s">
        <v>2782</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2872</v>
      </c>
      <c r="D18" s="6" t="s">
        <v>2873</v>
      </c>
      <c r="E18" s="8" t="s">
        <v>127</v>
      </c>
      <c r="F18" s="7" t="s">
        <v>2782</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2916</v>
      </c>
      <c r="D19" s="6" t="s">
        <v>2917</v>
      </c>
      <c r="E19" s="8" t="s">
        <v>127</v>
      </c>
      <c r="F19" s="7" t="s">
        <v>2782</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2807</v>
      </c>
      <c r="D20" s="6" t="s">
        <v>2808</v>
      </c>
      <c r="E20" s="8" t="s">
        <v>127</v>
      </c>
      <c r="F20" s="7" t="s">
        <v>2782</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1335</v>
      </c>
      <c r="D21" s="6" t="s">
        <v>2809</v>
      </c>
      <c r="E21" s="8"/>
      <c r="F21" s="7" t="s">
        <v>1821</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milscm_2023_009.sny_202310_backup_text_mml_mmlsg_rd_category.category IS '分類名';</v>
      </c>
    </row>
    <row r="22" spans="1:52" s="25" customFormat="1" ht="19.5" thickBot="1">
      <c r="A22" s="4"/>
      <c r="B22" s="27">
        <f>ROW()-12</f>
        <v>10</v>
      </c>
      <c r="C22" s="57" t="s">
        <v>1337</v>
      </c>
      <c r="D22" s="57" t="s">
        <v>2810</v>
      </c>
      <c r="E22" s="56"/>
      <c r="F22" s="56" t="s">
        <v>1821</v>
      </c>
      <c r="G22" s="56" t="str">
        <f t="shared" si="3"/>
        <v>text</v>
      </c>
      <c r="H22" s="59"/>
      <c r="I22" s="60"/>
      <c r="J22" s="64"/>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ENT_01_A6-47</v>
      </c>
      <c r="E6" s="273"/>
      <c r="F6" s="273"/>
      <c r="G6" s="273"/>
      <c r="H6" s="273"/>
      <c r="I6" s="273"/>
      <c r="J6" s="274"/>
    </row>
    <row r="7" spans="1:45">
      <c r="B7" s="262" t="s">
        <v>115</v>
      </c>
      <c r="C7" s="263"/>
      <c r="D7" s="264" t="s">
        <v>2920</v>
      </c>
      <c r="E7" s="265"/>
      <c r="F7" s="265"/>
      <c r="G7" s="265"/>
      <c r="H7" s="265"/>
      <c r="I7" s="265"/>
      <c r="J7" s="266"/>
    </row>
    <row r="8" spans="1:45">
      <c r="B8" s="262" t="s">
        <v>116</v>
      </c>
      <c r="C8" s="263"/>
      <c r="D8" s="264" t="str">
        <f>エンティティ一覧!AE2&amp;"_"&amp;D5&amp;"_text_mml_mmlsg_procedure_item"</f>
        <v>sny_202310_backup_text_mml_mmlsg_procedure_item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milscm_2023_009.sny_202310_backup_text_mml_mmlsg_procedure_item;</v>
      </c>
      <c r="O10" s="76"/>
      <c r="P10" s="76"/>
      <c r="Q10" s="76"/>
      <c r="R10" s="76"/>
      <c r="S10" s="76"/>
      <c r="T10" s="76"/>
      <c r="AJ10" s="76" t="str">
        <f>"ALTER TABLE ONLY "&amp;エンティティ一覧!$O$2&amp;"."&amp;D$8</f>
        <v>ALTER TABLE ONLY milscm_2023_009.sny_202310_backup_text_mml_mmlsg_procedure_item</v>
      </c>
      <c r="AS10" s="76" t="str">
        <f>"ALTER TABLE "&amp;エンティティ一覧!$O$2&amp;"."&amp;D$8&amp;" OWNER TO pgmisgrp1;"</f>
        <v>ALTER TABLE milscm_2023_009.sny_202310_backup_text_mml_mmlsg_procedure_item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milscm_2023_009.sny_202310_backup_text_mml_mmlsg_procedure_item</v>
      </c>
      <c r="O11" s="76"/>
      <c r="P11" s="76"/>
      <c r="Q11" s="76"/>
      <c r="R11" s="76"/>
      <c r="S11" s="76"/>
      <c r="T11" s="76"/>
      <c r="AJ11" s="76" t="str">
        <f>"ADD CONSTRAINT "&amp;D$8&amp;"_pkey PRIMARY KEY"</f>
        <v>ADD CONSTRAINT sny_202310_backup_text_mml_mmlsg_procedure_item_pkey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2783</v>
      </c>
      <c r="D14" s="6" t="s">
        <v>2784</v>
      </c>
      <c r="E14" s="8" t="s">
        <v>127</v>
      </c>
      <c r="F14" s="7" t="s">
        <v>2782</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2872</v>
      </c>
      <c r="D18" s="6" t="s">
        <v>2873</v>
      </c>
      <c r="E18" s="8" t="s">
        <v>127</v>
      </c>
      <c r="F18" s="7" t="s">
        <v>2782</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2921</v>
      </c>
      <c r="D19" s="6" t="s">
        <v>2922</v>
      </c>
      <c r="E19" s="8" t="s">
        <v>127</v>
      </c>
      <c r="F19" s="7" t="s">
        <v>2782</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2923</v>
      </c>
      <c r="D20" s="6" t="s">
        <v>2924</v>
      </c>
      <c r="E20" s="8"/>
      <c r="F20" s="7" t="s">
        <v>1821</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2925</v>
      </c>
      <c r="D21" s="6" t="s">
        <v>359</v>
      </c>
      <c r="E21" s="8"/>
      <c r="F21" s="7" t="s">
        <v>1821</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2926</v>
      </c>
      <c r="D22" s="6" t="s">
        <v>2803</v>
      </c>
      <c r="E22" s="8"/>
      <c r="F22" s="7" t="s">
        <v>1821</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milscm_2023_009.sny_202310_backup_text_mml_mmlsg_procedure_item.system IS '手術法コード体系名';</v>
      </c>
    </row>
    <row r="23" spans="1:52" s="25" customFormat="1" ht="19.5" thickBot="1">
      <c r="A23" s="4"/>
      <c r="B23" s="27">
        <f>ROW()-12</f>
        <v>11</v>
      </c>
      <c r="C23" s="57" t="s">
        <v>2927</v>
      </c>
      <c r="D23" s="57" t="s">
        <v>2928</v>
      </c>
      <c r="E23" s="56"/>
      <c r="F23" s="56" t="s">
        <v>1821</v>
      </c>
      <c r="G23" s="56" t="str">
        <f t="shared" si="3"/>
        <v>text</v>
      </c>
      <c r="H23" s="59"/>
      <c r="I23" s="60"/>
      <c r="J23" s="64"/>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ENT_01_A6-48</v>
      </c>
      <c r="E6" s="273"/>
      <c r="F6" s="273"/>
      <c r="G6" s="273"/>
      <c r="H6" s="273"/>
      <c r="I6" s="273"/>
      <c r="J6" s="274"/>
    </row>
    <row r="7" spans="1:45">
      <c r="B7" s="262" t="s">
        <v>115</v>
      </c>
      <c r="C7" s="263"/>
      <c r="D7" s="264" t="s">
        <v>2929</v>
      </c>
      <c r="E7" s="265"/>
      <c r="F7" s="265"/>
      <c r="G7" s="265"/>
      <c r="H7" s="265"/>
      <c r="I7" s="265"/>
      <c r="J7" s="266"/>
    </row>
    <row r="8" spans="1:45">
      <c r="B8" s="262" t="s">
        <v>116</v>
      </c>
      <c r="C8" s="263"/>
      <c r="D8" s="264" t="str">
        <f>エンティティ一覧!AE2&amp;"_"&amp;D5&amp;"_text_mml_mmlsg_operation_element"</f>
        <v>sny_202310_backup_text_mml_mmlsg_operation_element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milscm_2023_009.sny_202310_backup_text_mml_mmlsg_operation_element;</v>
      </c>
      <c r="O10" s="76"/>
      <c r="P10" s="76"/>
      <c r="Q10" s="76"/>
      <c r="R10" s="76"/>
      <c r="S10" s="76"/>
      <c r="T10" s="76"/>
      <c r="AJ10" s="76" t="str">
        <f>"ALTER TABLE ONLY "&amp;エンティティ一覧!$O$2&amp;"."&amp;D$8</f>
        <v>ALTER TABLE ONLY milscm_2023_009.sny_202310_backup_text_mml_mmlsg_operation_element</v>
      </c>
      <c r="AS10" s="76" t="str">
        <f>"ALTER TABLE "&amp;エンティティ一覧!$O$2&amp;"."&amp;D$8&amp;" OWNER TO pgmisgrp1;"</f>
        <v>ALTER TABLE milscm_2023_009.sny_202310_backup_text_mml_mmlsg_operation_element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milscm_2023_009.sny_202310_backup_text_mml_mmlsg_operation_element</v>
      </c>
      <c r="O11" s="76"/>
      <c r="P11" s="76"/>
      <c r="Q11" s="76"/>
      <c r="R11" s="76"/>
      <c r="S11" s="76"/>
      <c r="T11" s="76"/>
      <c r="AJ11" s="76" t="str">
        <f>"ADD CONSTRAINT "&amp;D$8&amp;"_pkey PRIMARY KEY"</f>
        <v>ADD CONSTRAINT sny_202310_backup_text_mml_mmlsg_operation_element_pkey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2783</v>
      </c>
      <c r="D14" s="6" t="s">
        <v>2784</v>
      </c>
      <c r="E14" s="8" t="s">
        <v>127</v>
      </c>
      <c r="F14" s="7" t="s">
        <v>2782</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2872</v>
      </c>
      <c r="D18" s="6" t="s">
        <v>2873</v>
      </c>
      <c r="E18" s="8" t="s">
        <v>127</v>
      </c>
      <c r="F18" s="7" t="s">
        <v>2782</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2921</v>
      </c>
      <c r="D19" s="6" t="s">
        <v>2922</v>
      </c>
      <c r="E19" s="8" t="s">
        <v>127</v>
      </c>
      <c r="F19" s="7" t="s">
        <v>2782</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2930</v>
      </c>
      <c r="D20" s="6" t="s">
        <v>2931</v>
      </c>
      <c r="E20" s="8" t="s">
        <v>127</v>
      </c>
      <c r="F20" s="7" t="s">
        <v>2782</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2932</v>
      </c>
      <c r="D21" s="6" t="s">
        <v>2924</v>
      </c>
      <c r="E21" s="8"/>
      <c r="F21" s="7" t="s">
        <v>1821</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2925</v>
      </c>
      <c r="D22" s="6" t="s">
        <v>359</v>
      </c>
      <c r="E22" s="8"/>
      <c r="F22" s="7" t="s">
        <v>1821</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milscm_2023_009.sny_202310_backup_text_mml_mmlsg_operation_element.code IS '手術法コード';</v>
      </c>
    </row>
    <row r="23" spans="1:52" s="25" customFormat="1" ht="19.5" thickBot="1">
      <c r="A23" s="4"/>
      <c r="B23" s="27">
        <f>ROW()-12</f>
        <v>11</v>
      </c>
      <c r="C23" s="57" t="s">
        <v>2926</v>
      </c>
      <c r="D23" s="57" t="s">
        <v>2803</v>
      </c>
      <c r="E23" s="56"/>
      <c r="F23" s="56" t="s">
        <v>1821</v>
      </c>
      <c r="G23" s="56" t="str">
        <f t="shared" si="3"/>
        <v>text</v>
      </c>
      <c r="H23" s="59"/>
      <c r="I23" s="60"/>
      <c r="J23" s="64"/>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ENT_01_A6-49</v>
      </c>
      <c r="E6" s="273"/>
      <c r="F6" s="273"/>
      <c r="G6" s="273"/>
      <c r="H6" s="273"/>
      <c r="I6" s="273"/>
      <c r="J6" s="274"/>
    </row>
    <row r="7" spans="1:45">
      <c r="B7" s="262" t="s">
        <v>115</v>
      </c>
      <c r="C7" s="263"/>
      <c r="D7" s="264" t="s">
        <v>2933</v>
      </c>
      <c r="E7" s="265"/>
      <c r="F7" s="265"/>
      <c r="G7" s="265"/>
      <c r="H7" s="265"/>
      <c r="I7" s="265"/>
      <c r="J7" s="266"/>
    </row>
    <row r="8" spans="1:45">
      <c r="B8" s="262" t="s">
        <v>116</v>
      </c>
      <c r="C8" s="263"/>
      <c r="D8" s="264" t="str">
        <f>エンティティ一覧!AE2&amp;"_"&amp;D5&amp;"_text_mml_mmlsg_anesthesia_procedure"</f>
        <v>sny_202310_backup_text_mml_mmlsg_anesthesia_procedure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milscm_2023_009.sny_202310_backup_text_mml_mmlsg_anesthesia_procedure;</v>
      </c>
      <c r="O10" s="76"/>
      <c r="P10" s="76"/>
      <c r="Q10" s="76"/>
      <c r="R10" s="76"/>
      <c r="S10" s="76"/>
      <c r="T10" s="76"/>
      <c r="AJ10" s="76" t="str">
        <f>"ALTER TABLE ONLY "&amp;エンティティ一覧!$O$2&amp;"."&amp;D$8</f>
        <v>ALTER TABLE ONLY milscm_2023_009.sny_202310_backup_text_mml_mmlsg_anesthesia_procedure</v>
      </c>
      <c r="AS10" s="76" t="str">
        <f>"ALTER TABLE "&amp;エンティティ一覧!$O$2&amp;"."&amp;D$8&amp;" OWNER TO pgmisgrp1;"</f>
        <v>ALTER TABLE milscm_2023_009.sny_202310_backup_text_mml_mmlsg_anesthesia_procedure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milscm_2023_009.sny_202310_backup_text_mml_mmlsg_anesthesia_procedure</v>
      </c>
      <c r="O11" s="76"/>
      <c r="P11" s="76"/>
      <c r="Q11" s="76"/>
      <c r="R11" s="76"/>
      <c r="S11" s="76"/>
      <c r="T11" s="76"/>
      <c r="AJ11" s="76" t="str">
        <f>"ADD CONSTRAINT "&amp;D$8&amp;"_pkey PRIMARY KEY"</f>
        <v>ADD CONSTRAINT sny_202310_backup_text_mml_mmlsg_anesthesia_procedure_pkey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2783</v>
      </c>
      <c r="D14" s="6" t="s">
        <v>2784</v>
      </c>
      <c r="E14" s="8" t="s">
        <v>127</v>
      </c>
      <c r="F14" s="7" t="s">
        <v>2782</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2872</v>
      </c>
      <c r="D18" s="6" t="s">
        <v>2873</v>
      </c>
      <c r="E18" s="8" t="s">
        <v>127</v>
      </c>
      <c r="F18" s="7" t="s">
        <v>2782</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2934</v>
      </c>
      <c r="D19" s="6" t="s">
        <v>2935</v>
      </c>
      <c r="E19" s="8" t="s">
        <v>127</v>
      </c>
      <c r="F19" s="7" t="s">
        <v>2782</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2936</v>
      </c>
      <c r="D20" s="6" t="s">
        <v>2937</v>
      </c>
      <c r="E20" s="8"/>
      <c r="F20" s="7" t="s">
        <v>1821</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2938</v>
      </c>
      <c r="D21" s="6" t="s">
        <v>359</v>
      </c>
      <c r="E21" s="8"/>
      <c r="F21" s="7" t="s">
        <v>1821</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milscm_2023_009.sny_202310_backup_text_mml_mmlsg_anesthesia_procedure.code IS '麻酔法名コード';</v>
      </c>
    </row>
    <row r="22" spans="1:52" s="25" customFormat="1" ht="19.5" thickBot="1">
      <c r="A22" s="4"/>
      <c r="B22" s="27">
        <f>ROW()-12</f>
        <v>10</v>
      </c>
      <c r="C22" s="57" t="s">
        <v>2939</v>
      </c>
      <c r="D22" s="57" t="s">
        <v>2803</v>
      </c>
      <c r="E22" s="56"/>
      <c r="F22" s="56" t="s">
        <v>1821</v>
      </c>
      <c r="G22" s="56" t="str">
        <f t="shared" si="3"/>
        <v>text</v>
      </c>
      <c r="H22" s="59"/>
      <c r="I22" s="60"/>
      <c r="J22" s="64"/>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ENT_01_A6-50</v>
      </c>
      <c r="E6" s="273"/>
      <c r="F6" s="273"/>
      <c r="G6" s="273"/>
      <c r="H6" s="273"/>
      <c r="I6" s="273"/>
      <c r="J6" s="274"/>
    </row>
    <row r="7" spans="1:45">
      <c r="B7" s="262" t="s">
        <v>115</v>
      </c>
      <c r="C7" s="263"/>
      <c r="D7" s="264" t="s">
        <v>2940</v>
      </c>
      <c r="E7" s="265"/>
      <c r="F7" s="265"/>
      <c r="G7" s="265"/>
      <c r="H7" s="265"/>
      <c r="I7" s="265"/>
      <c r="J7" s="266"/>
    </row>
    <row r="8" spans="1:45">
      <c r="B8" s="262" t="s">
        <v>116</v>
      </c>
      <c r="C8" s="263"/>
      <c r="D8" s="264" t="str">
        <f>エンティティ一覧!AE2&amp;"_"&amp;D5&amp;"_text_mml_mmlrp_body"</f>
        <v>sny_202310_backup_text_mml_mmlrp_body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milscm_2023_009.sny_202310_backup_text_mml_mmlrp_body;</v>
      </c>
      <c r="O10" s="76"/>
      <c r="P10" s="76"/>
      <c r="Q10" s="76"/>
      <c r="R10" s="76"/>
      <c r="S10" s="76"/>
      <c r="T10" s="76"/>
      <c r="AJ10" s="76" t="str">
        <f>"ALTER TABLE ONLY "&amp;エンティティ一覧!$O$2&amp;"."&amp;D$8</f>
        <v>ALTER TABLE ONLY milscm_2023_009.sny_202310_backup_text_mml_mmlrp_body</v>
      </c>
      <c r="AS10" s="76" t="str">
        <f>"ALTER TABLE "&amp;エンティティ一覧!$O$2&amp;"."&amp;D$8&amp;" OWNER TO pgmisgrp1;"</f>
        <v>ALTER TABLE milscm_2023_009.sny_202310_backup_text_mml_mmlrp_body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milscm_2023_009.sny_202310_backup_text_mml_mmlrp_body</v>
      </c>
      <c r="O11" s="76"/>
      <c r="P11" s="76"/>
      <c r="Q11" s="76"/>
      <c r="R11" s="76"/>
      <c r="S11" s="76"/>
      <c r="T11" s="76"/>
      <c r="AJ11" s="76" t="str">
        <f>"ADD CONSTRAINT "&amp;D$8&amp;"_pkey PRIMARY KEY"</f>
        <v>ADD CONSTRAINT sny_202310_backup_text_mml_mmlrp_body_pkey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2783</v>
      </c>
      <c r="D14" s="6" t="s">
        <v>2784</v>
      </c>
      <c r="E14" s="8" t="s">
        <v>127</v>
      </c>
      <c r="F14" s="7" t="s">
        <v>2782</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milscm_2023_009.sny_202310_backup_text_mml_mmlrp_body.body_no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2941</v>
      </c>
      <c r="D18" s="6" t="s">
        <v>2942</v>
      </c>
      <c r="E18" s="8"/>
      <c r="F18" s="7" t="s">
        <v>1821</v>
      </c>
      <c r="G18" s="7" t="str">
        <f t="shared" si="3"/>
        <v>text</v>
      </c>
      <c r="H18" s="26"/>
      <c r="I18" s="10"/>
      <c r="J18" s="11" t="s">
        <v>2794</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1552</v>
      </c>
      <c r="D19" s="6" t="s">
        <v>1553</v>
      </c>
      <c r="E19" s="8"/>
      <c r="F19" s="7" t="s">
        <v>1821</v>
      </c>
      <c r="G19" s="7" t="str">
        <f t="shared" si="3"/>
        <v>text</v>
      </c>
      <c r="H19" s="26"/>
      <c r="I19" s="10"/>
      <c r="J19" s="11" t="s">
        <v>2794</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1554</v>
      </c>
      <c r="D20" s="6" t="s">
        <v>2943</v>
      </c>
      <c r="E20" s="8"/>
      <c r="F20" s="7" t="s">
        <v>1821</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1556</v>
      </c>
      <c r="D21" s="6" t="s">
        <v>2944</v>
      </c>
      <c r="E21" s="8"/>
      <c r="F21" s="7" t="s">
        <v>1821</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2945</v>
      </c>
      <c r="D22" s="6" t="s">
        <v>2946</v>
      </c>
      <c r="E22" s="8"/>
      <c r="F22" s="7" t="s">
        <v>1821</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2947</v>
      </c>
      <c r="D23" s="6" t="s">
        <v>2948</v>
      </c>
      <c r="E23" s="8"/>
      <c r="F23" s="7" t="s">
        <v>1821</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2949</v>
      </c>
      <c r="D24" s="6" t="s">
        <v>2950</v>
      </c>
      <c r="E24" s="8"/>
      <c r="F24" s="7" t="s">
        <v>1821</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2951</v>
      </c>
      <c r="D25" s="6" t="s">
        <v>2952</v>
      </c>
      <c r="E25" s="8"/>
      <c r="F25" s="7" t="s">
        <v>1821</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2953</v>
      </c>
      <c r="D26" s="6" t="s">
        <v>2954</v>
      </c>
      <c r="E26" s="8"/>
      <c r="F26" s="7" t="s">
        <v>1821</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2955</v>
      </c>
      <c r="D27" s="6" t="s">
        <v>2956</v>
      </c>
      <c r="E27" s="8"/>
      <c r="F27" s="7" t="s">
        <v>1821</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2957</v>
      </c>
      <c r="D28" s="6" t="s">
        <v>2958</v>
      </c>
      <c r="E28" s="8"/>
      <c r="F28" s="7" t="s">
        <v>1821</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2959</v>
      </c>
      <c r="D29" s="6" t="s">
        <v>2960</v>
      </c>
      <c r="E29" s="8"/>
      <c r="F29" s="7" t="s">
        <v>1821</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milscm_2023_009.sny_202310_backup_text_mml_mmlrp_body.organ IS '臓器';</v>
      </c>
    </row>
    <row r="30" spans="1:45" s="25" customFormat="1">
      <c r="A30" s="4"/>
      <c r="B30" s="21">
        <f t="shared" si="2"/>
        <v>18</v>
      </c>
      <c r="C30" s="6" t="s">
        <v>2961</v>
      </c>
      <c r="D30" s="6" t="s">
        <v>2962</v>
      </c>
      <c r="E30" s="8"/>
      <c r="F30" s="7" t="s">
        <v>1821</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1566</v>
      </c>
      <c r="D31" s="6" t="s">
        <v>2963</v>
      </c>
      <c r="E31" s="8"/>
      <c r="F31" s="7" t="s">
        <v>1821</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1568</v>
      </c>
      <c r="D32" s="6" t="s">
        <v>2964</v>
      </c>
      <c r="E32" s="8"/>
      <c r="F32" s="7" t="s">
        <v>1821</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1570</v>
      </c>
      <c r="D33" s="6" t="s">
        <v>2965</v>
      </c>
      <c r="E33" s="8"/>
      <c r="F33" s="7" t="s">
        <v>1821</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1572</v>
      </c>
      <c r="D34" s="6" t="s">
        <v>2966</v>
      </c>
      <c r="E34" s="8"/>
      <c r="F34" s="7" t="s">
        <v>1821</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milscm_2023_009.sny_202310_backup_text_mml_mmlrp_body.con_department_code IS '依頼診療科コード';</v>
      </c>
    </row>
    <row r="35" spans="1:45" s="25" customFormat="1">
      <c r="A35" s="4"/>
      <c r="B35" s="21">
        <f t="shared" si="2"/>
        <v>23</v>
      </c>
      <c r="C35" s="6" t="s">
        <v>2967</v>
      </c>
      <c r="D35" s="6" t="s">
        <v>2968</v>
      </c>
      <c r="E35" s="8"/>
      <c r="F35" s="7" t="s">
        <v>1821</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1574</v>
      </c>
      <c r="D36" s="6" t="s">
        <v>2969</v>
      </c>
      <c r="E36" s="8"/>
      <c r="F36" s="7" t="s">
        <v>1821</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1576</v>
      </c>
      <c r="D37" s="6" t="s">
        <v>2970</v>
      </c>
      <c r="E37" s="8"/>
      <c r="F37" s="7" t="s">
        <v>1821</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1578</v>
      </c>
      <c r="D38" s="6" t="s">
        <v>2971</v>
      </c>
      <c r="E38" s="8"/>
      <c r="F38" s="7" t="s">
        <v>1821</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2972</v>
      </c>
      <c r="D39" s="6" t="s">
        <v>2973</v>
      </c>
      <c r="E39" s="8"/>
      <c r="F39" s="7" t="s">
        <v>1821</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2974</v>
      </c>
      <c r="D40" s="6" t="s">
        <v>2975</v>
      </c>
      <c r="E40" s="8"/>
      <c r="F40" s="7" t="s">
        <v>1821</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2976</v>
      </c>
      <c r="D41" s="6" t="s">
        <v>2977</v>
      </c>
      <c r="E41" s="8"/>
      <c r="F41" s="7" t="s">
        <v>1821</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2978</v>
      </c>
      <c r="D42" s="6" t="s">
        <v>2979</v>
      </c>
      <c r="E42" s="8"/>
      <c r="F42" s="7" t="s">
        <v>1821</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2980</v>
      </c>
      <c r="D43" s="6" t="s">
        <v>2981</v>
      </c>
      <c r="E43" s="8"/>
      <c r="F43" s="7" t="s">
        <v>1821</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2982</v>
      </c>
      <c r="D44" s="6" t="s">
        <v>2983</v>
      </c>
      <c r="E44" s="8"/>
      <c r="F44" s="7" t="s">
        <v>1821</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2984</v>
      </c>
      <c r="D45" s="6" t="s">
        <v>2985</v>
      </c>
      <c r="E45" s="8"/>
      <c r="F45" s="7" t="s">
        <v>1821</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2986</v>
      </c>
      <c r="D46" s="6" t="s">
        <v>2987</v>
      </c>
      <c r="E46" s="8"/>
      <c r="F46" s="7" t="s">
        <v>1821</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2988</v>
      </c>
      <c r="D47" s="6" t="s">
        <v>2989</v>
      </c>
      <c r="E47" s="8"/>
      <c r="F47" s="7" t="s">
        <v>1821</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1445</v>
      </c>
      <c r="D48" s="6" t="s">
        <v>1446</v>
      </c>
      <c r="E48" s="8"/>
      <c r="F48" s="7" t="s">
        <v>1821</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2990</v>
      </c>
      <c r="D49" s="6" t="s">
        <v>2991</v>
      </c>
      <c r="E49" s="8"/>
      <c r="F49" s="7" t="s">
        <v>1821</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2992</v>
      </c>
      <c r="D50" s="6" t="s">
        <v>2993</v>
      </c>
      <c r="E50" s="8"/>
      <c r="F50" s="7" t="s">
        <v>1821</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2994</v>
      </c>
      <c r="D51" s="6" t="s">
        <v>2995</v>
      </c>
      <c r="E51" s="8"/>
      <c r="F51" s="7" t="s">
        <v>1821</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milscm_2023_009.sny_202310_backup_text_mml_mmlrp_body.test_notes IS '検査所見記載';</v>
      </c>
    </row>
    <row r="52" spans="1:52" s="25" customFormat="1" ht="19.5" thickBot="1">
      <c r="A52" s="4"/>
      <c r="B52" s="27">
        <f>ROW()-12</f>
        <v>40</v>
      </c>
      <c r="C52" s="57" t="s">
        <v>2996</v>
      </c>
      <c r="D52" s="57" t="s">
        <v>2997</v>
      </c>
      <c r="E52" s="56"/>
      <c r="F52" s="56" t="s">
        <v>1821</v>
      </c>
      <c r="G52" s="56" t="str">
        <f t="shared" si="3"/>
        <v>text</v>
      </c>
      <c r="H52" s="59"/>
      <c r="I52" s="60"/>
      <c r="J52" s="64"/>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ENT_01_A6-51</v>
      </c>
      <c r="E6" s="273"/>
      <c r="F6" s="273"/>
      <c r="G6" s="273"/>
      <c r="H6" s="273"/>
      <c r="I6" s="273"/>
      <c r="J6" s="274"/>
    </row>
    <row r="7" spans="1:45">
      <c r="B7" s="262" t="s">
        <v>115</v>
      </c>
      <c r="C7" s="263"/>
      <c r="D7" s="264" t="s">
        <v>2998</v>
      </c>
      <c r="E7" s="265"/>
      <c r="F7" s="265"/>
      <c r="G7" s="265"/>
      <c r="H7" s="265"/>
      <c r="I7" s="265"/>
      <c r="J7" s="266"/>
    </row>
    <row r="8" spans="1:45">
      <c r="B8" s="262" t="s">
        <v>116</v>
      </c>
      <c r="C8" s="263"/>
      <c r="D8" s="264" t="str">
        <f>エンティティ一覧!AE2&amp;"_"&amp;D5&amp;"_text_mml_mmlrp_test_memo"</f>
        <v>sny_202310_backup_text_mml_mmlrp_test_memo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milscm_2023_009.sny_202310_backup_text_mml_mmlrp_test_memo;</v>
      </c>
      <c r="O10" s="76"/>
      <c r="P10" s="76"/>
      <c r="Q10" s="76"/>
      <c r="R10" s="76"/>
      <c r="S10" s="76"/>
      <c r="T10" s="76"/>
      <c r="AJ10" s="76" t="str">
        <f>"ALTER TABLE ONLY "&amp;エンティティ一覧!$O$2&amp;"."&amp;D$8</f>
        <v>ALTER TABLE ONLY milscm_2023_009.sny_202310_backup_text_mml_mmlrp_test_memo</v>
      </c>
      <c r="AS10" s="76" t="str">
        <f>"ALTER TABLE "&amp;エンティティ一覧!$O$2&amp;"."&amp;D$8&amp;" OWNER TO pgmisgrp1;"</f>
        <v>ALTER TABLE milscm_2023_009.sny_202310_backup_text_mml_mmlrp_test_memo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milscm_2023_009.sny_202310_backup_text_mml_mmlrp_test_memo</v>
      </c>
      <c r="O11" s="76"/>
      <c r="P11" s="76"/>
      <c r="Q11" s="76"/>
      <c r="R11" s="76"/>
      <c r="S11" s="76"/>
      <c r="T11" s="76"/>
      <c r="AJ11" s="76" t="str">
        <f>"ADD CONSTRAINT "&amp;D$8&amp;"_pkey PRIMARY KEY"</f>
        <v>ADD CONSTRAINT sny_202310_backup_text_mml_mmlrp_test_memo_pkey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2783</v>
      </c>
      <c r="D14" s="6" t="s">
        <v>2784</v>
      </c>
      <c r="E14" s="8" t="s">
        <v>127</v>
      </c>
      <c r="F14" s="7" t="s">
        <v>2782</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2999</v>
      </c>
      <c r="D18" s="6" t="s">
        <v>3000</v>
      </c>
      <c r="E18" s="8" t="s">
        <v>127</v>
      </c>
      <c r="F18" s="7" t="s">
        <v>2782</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3001</v>
      </c>
      <c r="D19" s="6" t="s">
        <v>3002</v>
      </c>
      <c r="E19" s="8"/>
      <c r="F19" s="7" t="s">
        <v>1821</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3003</v>
      </c>
      <c r="D20" s="6" t="s">
        <v>3004</v>
      </c>
      <c r="E20" s="8"/>
      <c r="F20" s="7" t="s">
        <v>1821</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3005</v>
      </c>
      <c r="D21" s="6" t="s">
        <v>3006</v>
      </c>
      <c r="E21" s="8"/>
      <c r="F21" s="7" t="s">
        <v>1821</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milscm_2023_009.sny_202310_backup_text_mml_mmlrp_test_memo.tm_code IS '検査コメントコード';</v>
      </c>
    </row>
    <row r="22" spans="1:52" s="25" customFormat="1" ht="19.5" thickBot="1">
      <c r="A22" s="4"/>
      <c r="B22" s="27">
        <f>ROW()-12</f>
        <v>10</v>
      </c>
      <c r="C22" s="57" t="s">
        <v>3007</v>
      </c>
      <c r="D22" s="57" t="s">
        <v>3008</v>
      </c>
      <c r="E22" s="56"/>
      <c r="F22" s="56" t="s">
        <v>1821</v>
      </c>
      <c r="G22" s="56" t="str">
        <f t="shared" si="3"/>
        <v>text</v>
      </c>
      <c r="H22" s="59"/>
      <c r="I22" s="60"/>
      <c r="J22" s="64"/>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ENT_01_A6-52</v>
      </c>
      <c r="E6" s="273"/>
      <c r="F6" s="273"/>
      <c r="G6" s="273"/>
      <c r="H6" s="273"/>
      <c r="I6" s="273"/>
      <c r="J6" s="274"/>
    </row>
    <row r="7" spans="1:45">
      <c r="B7" s="262" t="s">
        <v>115</v>
      </c>
      <c r="C7" s="263"/>
      <c r="D7" s="264" t="s">
        <v>3216</v>
      </c>
      <c r="E7" s="265"/>
      <c r="F7" s="265"/>
      <c r="G7" s="265"/>
      <c r="H7" s="265"/>
      <c r="I7" s="265"/>
      <c r="J7" s="266"/>
    </row>
    <row r="8" spans="1:45">
      <c r="B8" s="262" t="s">
        <v>116</v>
      </c>
      <c r="C8" s="263"/>
      <c r="D8" s="264" t="str">
        <f>エンティティ一覧!AE2&amp;"_"&amp;D5&amp;"_text_mml_mmlls_body"</f>
        <v>sny_202310_backup_text_mml_mmlls_body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milscm_2023_009.sny_202310_backup_text_mml_mmlls_body;</v>
      </c>
      <c r="O10" s="76"/>
      <c r="P10" s="76"/>
      <c r="Q10" s="76"/>
      <c r="R10" s="76"/>
      <c r="S10" s="76"/>
      <c r="T10" s="76"/>
      <c r="AJ10" s="76" t="str">
        <f>"ALTER TABLE ONLY "&amp;エンティティ一覧!$O$2&amp;"."&amp;D$8</f>
        <v>ALTER TABLE ONLY milscm_2023_009.sny_202310_backup_text_mml_mmlls_body</v>
      </c>
      <c r="AS10" s="76" t="str">
        <f>"ALTER TABLE "&amp;エンティティ一覧!$O$2&amp;"."&amp;D$8&amp;" OWNER TO pgmisgrp1;"</f>
        <v>ALTER TABLE milscm_2023_009.sny_202310_backup_text_mml_mmlls_body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milscm_2023_009.sny_202310_backup_text_mml_mmlls_body</v>
      </c>
      <c r="O11" s="76"/>
      <c r="P11" s="76"/>
      <c r="Q11" s="76"/>
      <c r="R11" s="76"/>
      <c r="S11" s="76"/>
      <c r="T11" s="76"/>
      <c r="AJ11" s="76" t="str">
        <f>"ADD CONSTRAINT "&amp;D$8&amp;"_pkey PRIMARY KEY"</f>
        <v>ADD CONSTRAINT sny_202310_backup_text_mml_mmlls_body_pkey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2783</v>
      </c>
      <c r="D14" s="6" t="s">
        <v>2784</v>
      </c>
      <c r="E14" s="8" t="s">
        <v>127</v>
      </c>
      <c r="F14" s="7" t="s">
        <v>3274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milscm_2023_009.sny_202310_backup_text_mml_mmlls_body.body_no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3010</v>
      </c>
      <c r="D18" s="6" t="s">
        <v>3011</v>
      </c>
      <c r="E18" s="8"/>
      <c r="F18" s="7" t="s">
        <v>3276</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milscm_2023_009.sny_202310_backup_text_mml_mmlls_body.occupation IS '職業';</v>
      </c>
    </row>
    <row r="19" spans="1:52" s="25" customFormat="1">
      <c r="A19" s="4"/>
      <c r="B19" s="21">
        <f t="shared" si="2"/>
        <v>7</v>
      </c>
      <c r="C19" s="6" t="s">
        <v>3282</v>
      </c>
      <c r="D19" s="6" t="s">
        <v>3277</v>
      </c>
      <c r="E19" s="8"/>
      <c r="F19" s="7" t="s">
        <v>3276</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3278</v>
      </c>
      <c r="D20" s="6" t="s">
        <v>3279</v>
      </c>
      <c r="E20" s="8"/>
      <c r="F20" s="7" t="s">
        <v>3276</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milscm_2023_009.sny_202310_backup_text_mml_mmlls_body.alcohol IS '飲酒歴';</v>
      </c>
    </row>
    <row r="21" spans="1:52" s="25" customFormat="1" ht="19.5" thickBot="1">
      <c r="A21" s="4"/>
      <c r="B21" s="27">
        <f>ROW()-12</f>
        <v>9</v>
      </c>
      <c r="C21" s="57" t="s">
        <v>3280</v>
      </c>
      <c r="D21" s="57" t="s">
        <v>3281</v>
      </c>
      <c r="E21" s="56"/>
      <c r="F21" s="56" t="s">
        <v>3276</v>
      </c>
      <c r="G21" s="56" t="str">
        <f t="shared" si="3"/>
        <v>text</v>
      </c>
      <c r="H21" s="59"/>
      <c r="I21" s="60"/>
      <c r="J21" s="64"/>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ENT_01_A6-53</v>
      </c>
      <c r="E6" s="273"/>
      <c r="F6" s="273"/>
      <c r="G6" s="273"/>
      <c r="H6" s="273"/>
      <c r="I6" s="273"/>
      <c r="J6" s="274"/>
    </row>
    <row r="7" spans="1:45">
      <c r="B7" s="262" t="s">
        <v>115</v>
      </c>
      <c r="C7" s="263"/>
      <c r="D7" s="264" t="s">
        <v>3009</v>
      </c>
      <c r="E7" s="265"/>
      <c r="F7" s="265"/>
      <c r="G7" s="265"/>
      <c r="H7" s="265"/>
      <c r="I7" s="265"/>
      <c r="J7" s="266"/>
    </row>
    <row r="8" spans="1:45">
      <c r="B8" s="262" t="s">
        <v>116</v>
      </c>
      <c r="C8" s="263"/>
      <c r="D8" s="264" t="str">
        <f>エンティティ一覧!AE2&amp;"_"&amp;D5&amp;"_text_mml_mmlre_body"</f>
        <v>sny_202310_backup_text_mml_mmlre_body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milscm_2023_009.sny_202310_backup_text_mml_mmlre_body;</v>
      </c>
      <c r="O10" s="76"/>
      <c r="P10" s="76"/>
      <c r="Q10" s="76"/>
      <c r="R10" s="76"/>
      <c r="S10" s="76"/>
      <c r="T10" s="76"/>
      <c r="AJ10" s="76" t="str">
        <f>"ALTER TABLE ONLY "&amp;エンティティ一覧!$O$2&amp;"."&amp;D$8</f>
        <v>ALTER TABLE ONLY milscm_2023_009.sny_202310_backup_text_mml_mmlre_body</v>
      </c>
      <c r="AS10" s="76" t="str">
        <f>"ALTER TABLE "&amp;エンティティ一覧!$O$2&amp;"."&amp;D$8&amp;" OWNER TO pgmisgrp1;"</f>
        <v>ALTER TABLE milscm_2023_009.sny_202310_backup_text_mml_mmlre_body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milscm_2023_009.sny_202310_backup_text_mml_mmlre_body</v>
      </c>
      <c r="O11" s="76"/>
      <c r="P11" s="76"/>
      <c r="Q11" s="76"/>
      <c r="R11" s="76"/>
      <c r="S11" s="76"/>
      <c r="T11" s="76"/>
      <c r="AJ11" s="76" t="str">
        <f>"ADD CONSTRAINT "&amp;D$8&amp;"_pkey PRIMARY KEY"</f>
        <v>ADD CONSTRAINT sny_202310_backup_text_mml_mmlre_body_pkey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2783</v>
      </c>
      <c r="D14" s="6" t="s">
        <v>2784</v>
      </c>
      <c r="E14" s="8" t="s">
        <v>127</v>
      </c>
      <c r="F14" s="7" t="s">
        <v>2782</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milscm_2023_009.sny_202310_backup_text_mml_mmlre_body.body_no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3010</v>
      </c>
      <c r="D18" s="6" t="s">
        <v>3011</v>
      </c>
      <c r="E18" s="8"/>
      <c r="F18" s="7" t="s">
        <v>1821</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3012</v>
      </c>
      <c r="D19" s="6" t="s">
        <v>3013</v>
      </c>
      <c r="E19" s="8"/>
      <c r="F19" s="7" t="s">
        <v>737</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3014</v>
      </c>
      <c r="D20" s="6" t="s">
        <v>2937</v>
      </c>
      <c r="E20" s="8"/>
      <c r="F20" s="7" t="s">
        <v>737</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3015</v>
      </c>
      <c r="D21" s="6" t="s">
        <v>3016</v>
      </c>
      <c r="E21" s="8"/>
      <c r="F21" s="7" t="s">
        <v>737</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1445</v>
      </c>
      <c r="D22" s="6" t="s">
        <v>1446</v>
      </c>
      <c r="E22" s="8"/>
      <c r="F22" s="7" t="s">
        <v>737</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1321</v>
      </c>
      <c r="D23" s="6" t="s">
        <v>3017</v>
      </c>
      <c r="E23" s="8"/>
      <c r="F23" s="7" t="s">
        <v>737</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3018</v>
      </c>
      <c r="D24" s="6" t="s">
        <v>3019</v>
      </c>
      <c r="E24" s="8"/>
      <c r="F24" s="7" t="s">
        <v>737</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3020</v>
      </c>
      <c r="D25" s="6" t="s">
        <v>3021</v>
      </c>
      <c r="E25" s="8"/>
      <c r="F25" s="7" t="s">
        <v>737</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3022</v>
      </c>
      <c r="D26" s="6" t="s">
        <v>3023</v>
      </c>
      <c r="E26" s="8"/>
      <c r="F26" s="7" t="s">
        <v>737</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3024</v>
      </c>
      <c r="D27" s="6" t="s">
        <v>3025</v>
      </c>
      <c r="E27" s="8"/>
      <c r="F27" s="7" t="s">
        <v>737</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3026</v>
      </c>
      <c r="D28" s="6" t="s">
        <v>3027</v>
      </c>
      <c r="E28" s="8"/>
      <c r="F28" s="7" t="s">
        <v>737</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3028</v>
      </c>
      <c r="D29" s="6" t="s">
        <v>3029</v>
      </c>
      <c r="E29" s="8"/>
      <c r="F29" s="7" t="s">
        <v>737</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2044</v>
      </c>
      <c r="D30" s="6" t="s">
        <v>3030</v>
      </c>
      <c r="E30" s="8"/>
      <c r="F30" s="7" t="s">
        <v>737</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milscm_2023_009.sny_202310_backup_text_mml_mmlre_body.remarks IS '備考';</v>
      </c>
    </row>
    <row r="31" spans="1:45" s="25" customFormat="1">
      <c r="A31" s="4"/>
      <c r="B31" s="21">
        <f t="shared" si="2"/>
        <v>19</v>
      </c>
      <c r="C31" s="6" t="s">
        <v>1507</v>
      </c>
      <c r="D31" s="6" t="s">
        <v>3031</v>
      </c>
      <c r="E31" s="8"/>
      <c r="F31" s="7" t="s">
        <v>737</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milscm_2023_009.sny_202310_backup_text_mml_mmlre_body.refer_to_facility_name IS '紹介先施設';</v>
      </c>
    </row>
    <row r="32" spans="1:45" s="25" customFormat="1" ht="31.5">
      <c r="A32" s="4"/>
      <c r="B32" s="21">
        <f t="shared" si="2"/>
        <v>20</v>
      </c>
      <c r="C32" s="6" t="s">
        <v>3032</v>
      </c>
      <c r="D32" s="6" t="s">
        <v>3033</v>
      </c>
      <c r="E32" s="8"/>
      <c r="F32" s="7" t="s">
        <v>737</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milscm_2023_009.sny_202310_backup_text_mml_mmlre_body.refer_to_facility_name_department_name IS '診療科名称';</v>
      </c>
    </row>
    <row r="33" spans="1:52" s="25" customFormat="1" ht="31.5">
      <c r="A33" s="4"/>
      <c r="B33" s="21">
        <f t="shared" si="2"/>
        <v>21</v>
      </c>
      <c r="C33" s="6" t="s">
        <v>3034</v>
      </c>
      <c r="D33" s="6" t="s">
        <v>3035</v>
      </c>
      <c r="E33" s="8"/>
      <c r="F33" s="7" t="s">
        <v>737</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milscm_2023_009.sny_202310_backup_text_mml_mmlre_body.refer_to_person_facility_name IS '紹介先医師名の施設';</v>
      </c>
    </row>
    <row r="34" spans="1:52" s="25" customFormat="1" ht="19.5" thickBot="1">
      <c r="A34" s="4"/>
      <c r="B34" s="27">
        <f>ROW()-12</f>
        <v>22</v>
      </c>
      <c r="C34" s="57" t="s">
        <v>3036</v>
      </c>
      <c r="D34" s="57" t="s">
        <v>3037</v>
      </c>
      <c r="E34" s="56"/>
      <c r="F34" s="56" t="s">
        <v>737</v>
      </c>
      <c r="G34" s="56" t="str">
        <f t="shared" si="3"/>
        <v>text</v>
      </c>
      <c r="H34" s="59"/>
      <c r="I34" s="60"/>
      <c r="J34" s="64"/>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ENT_01_A6-54</v>
      </c>
      <c r="E6" s="273"/>
      <c r="F6" s="273"/>
      <c r="G6" s="273"/>
      <c r="H6" s="273"/>
      <c r="I6" s="273"/>
      <c r="J6" s="274"/>
    </row>
    <row r="7" spans="1:45">
      <c r="B7" s="262" t="s">
        <v>115</v>
      </c>
      <c r="C7" s="263"/>
      <c r="D7" s="264" t="s">
        <v>3038</v>
      </c>
      <c r="E7" s="265"/>
      <c r="F7" s="265"/>
      <c r="G7" s="265"/>
      <c r="H7" s="265"/>
      <c r="I7" s="265"/>
      <c r="J7" s="266"/>
    </row>
    <row r="8" spans="1:45">
      <c r="B8" s="262" t="s">
        <v>116</v>
      </c>
      <c r="C8" s="263"/>
      <c r="D8" s="264" t="str">
        <f>エンティティ一覧!AE2&amp;"_"&amp;D5&amp;"_text_mml_mmlre_inj"</f>
        <v>sny_202310_backup_text_mml_mmlre_inj</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milscm_2023_009.sny_202310_backup_text_mml_mmlre_inj;</v>
      </c>
      <c r="O10" s="76"/>
      <c r="P10" s="76"/>
      <c r="Q10" s="76"/>
      <c r="R10" s="76"/>
      <c r="S10" s="76"/>
      <c r="T10" s="76"/>
      <c r="AJ10" s="76" t="str">
        <f>"ALTER TABLE ONLY "&amp;エンティティ一覧!$O$2&amp;"."&amp;D$8</f>
        <v>ALTER TABLE ONLY milscm_2023_009.sny_202310_backup_text_mml_mmlre_inj</v>
      </c>
      <c r="AS10" s="76" t="str">
        <f>"ALTER TABLE "&amp;エンティティ一覧!$O$2&amp;"."&amp;D$8&amp;" OWNER TO pgmisgrp1;"</f>
        <v>ALTER TABLE milscm_2023_009.sny_202310_backup_text_mml_mmlre_inj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v>
      </c>
      <c r="O11" s="76"/>
      <c r="P11" s="76"/>
      <c r="Q11" s="76"/>
      <c r="R11" s="76"/>
      <c r="S11" s="76"/>
      <c r="T11" s="76"/>
      <c r="AJ11" s="76" t="str">
        <f>"ADD CONSTRAINT "&amp;D$8&amp;"_pkey PRIMARY KEY"</f>
        <v>ADD CONSTRAINT sny_202310_backup_text_mml_mmlre_inj_pkey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2783</v>
      </c>
      <c r="D14" s="6" t="s">
        <v>2784</v>
      </c>
      <c r="E14" s="8" t="s">
        <v>127</v>
      </c>
      <c r="F14" s="7" t="s">
        <v>2782</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milscm_2023_009.sny_202310_backup_text_mml_mmlre_inj.master_id IS '患者ID';</v>
      </c>
    </row>
    <row r="18" spans="1:52" s="25" customFormat="1" ht="31.5">
      <c r="A18" s="4"/>
      <c r="B18" s="21">
        <f t="shared" si="2"/>
        <v>6</v>
      </c>
      <c r="C18" s="6" t="s">
        <v>2814</v>
      </c>
      <c r="D18" s="6" t="s">
        <v>2815</v>
      </c>
      <c r="E18" s="8"/>
      <c r="F18" s="7" t="s">
        <v>1821</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milscm_2023_009.sny_202310_backup_text_mml_mmlre_inj.narcotic_prescription_license_no IS '麻薬施用者番号';</v>
      </c>
    </row>
    <row r="19" spans="1:52" s="25" customFormat="1" ht="19.5" thickBot="1">
      <c r="A19" s="4"/>
      <c r="B19" s="27">
        <f>ROW()-12</f>
        <v>7</v>
      </c>
      <c r="C19" s="57" t="s">
        <v>2816</v>
      </c>
      <c r="D19" s="57" t="s">
        <v>2817</v>
      </c>
      <c r="E19" s="56"/>
      <c r="F19" s="56" t="s">
        <v>1821</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ENT_01_A6-55</v>
      </c>
      <c r="E6" s="273"/>
      <c r="F6" s="273"/>
      <c r="G6" s="273"/>
      <c r="H6" s="273"/>
      <c r="I6" s="273"/>
      <c r="J6" s="274"/>
    </row>
    <row r="7" spans="1:45">
      <c r="B7" s="262" t="s">
        <v>115</v>
      </c>
      <c r="C7" s="263"/>
      <c r="D7" s="264" t="s">
        <v>3039</v>
      </c>
      <c r="E7" s="265"/>
      <c r="F7" s="265"/>
      <c r="G7" s="265"/>
      <c r="H7" s="265"/>
      <c r="I7" s="265"/>
      <c r="J7" s="266"/>
    </row>
    <row r="8" spans="1:45">
      <c r="B8" s="262" t="s">
        <v>116</v>
      </c>
      <c r="C8" s="263"/>
      <c r="D8" s="264" t="str">
        <f>エンティティ一覧!AE2&amp;"_"&amp;D5&amp;"_text_mml_mmlre_inj_medication"</f>
        <v>sny_202310_backup_text_mml_mmlre_inj_medication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milscm_2023_009.sny_202310_backup_text_mml_mmlre_inj_medication;</v>
      </c>
      <c r="O10" s="76"/>
      <c r="P10" s="76"/>
      <c r="Q10" s="76"/>
      <c r="R10" s="76"/>
      <c r="S10" s="76"/>
      <c r="T10" s="76"/>
      <c r="AJ10" s="76" t="str">
        <f>"ALTER TABLE ONLY "&amp;エンティティ一覧!$O$2&amp;"."&amp;D$8</f>
        <v>ALTER TABLE ONLY milscm_2023_009.sny_202310_backup_text_mml_mmlre_inj_medication</v>
      </c>
      <c r="AS10" s="76" t="str">
        <f>"ALTER TABLE "&amp;エンティティ一覧!$O$2&amp;"."&amp;D$8&amp;" OWNER TO pgmisgrp1;"</f>
        <v>ALTER TABLE milscm_2023_009.sny_202310_backup_text_mml_mmlre_inj_medication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milscm_2023_009.sny_202310_backup_text_mml_mmlre_inj_medication</v>
      </c>
      <c r="O11" s="76"/>
      <c r="P11" s="76"/>
      <c r="Q11" s="76"/>
      <c r="R11" s="76"/>
      <c r="S11" s="76"/>
      <c r="T11" s="76"/>
      <c r="AJ11" s="76" t="str">
        <f>"ADD CONSTRAINT "&amp;D$8&amp;"_pkey PRIMARY KEY"</f>
        <v>ADD CONSTRAINT sny_202310_backup_text_mml_mmlre_inj_medication_pkey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2783</v>
      </c>
      <c r="D14" s="6" t="s">
        <v>2784</v>
      </c>
      <c r="E14" s="8" t="s">
        <v>127</v>
      </c>
      <c r="F14" s="7" t="s">
        <v>2782</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2820</v>
      </c>
      <c r="D18" s="6" t="s">
        <v>2821</v>
      </c>
      <c r="E18" s="8" t="s">
        <v>127</v>
      </c>
      <c r="F18" s="7" t="s">
        <v>2782</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2822</v>
      </c>
      <c r="D19" s="6" t="s">
        <v>2823</v>
      </c>
      <c r="E19" s="8"/>
      <c r="F19" s="7" t="s">
        <v>1821</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2824</v>
      </c>
      <c r="D20" s="6" t="s">
        <v>2825</v>
      </c>
      <c r="E20" s="8"/>
      <c r="F20" s="7" t="s">
        <v>1821</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2826</v>
      </c>
      <c r="D21" s="6" t="s">
        <v>2827</v>
      </c>
      <c r="E21" s="8"/>
      <c r="F21" s="7" t="s">
        <v>1821</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3040</v>
      </c>
      <c r="D22" s="6" t="s">
        <v>2862</v>
      </c>
      <c r="E22" s="8"/>
      <c r="F22" s="7" t="s">
        <v>1821</v>
      </c>
      <c r="G22" s="7" t="str">
        <f t="shared" si="7"/>
        <v>text</v>
      </c>
      <c r="H22" s="26"/>
      <c r="I22" s="10"/>
      <c r="J22" s="11" t="s">
        <v>2794</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3041</v>
      </c>
      <c r="D23" s="6" t="s">
        <v>2864</v>
      </c>
      <c r="E23" s="8"/>
      <c r="F23" s="7" t="s">
        <v>1821</v>
      </c>
      <c r="G23" s="7" t="str">
        <f t="shared" si="7"/>
        <v>text</v>
      </c>
      <c r="H23" s="26"/>
      <c r="I23" s="10"/>
      <c r="J23" s="11" t="s">
        <v>2794</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2833</v>
      </c>
      <c r="D24" s="6" t="s">
        <v>2834</v>
      </c>
      <c r="E24" s="8"/>
      <c r="F24" s="7" t="s">
        <v>1821</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2839</v>
      </c>
      <c r="D25" s="6" t="s">
        <v>2840</v>
      </c>
      <c r="E25" s="8"/>
      <c r="F25" s="7" t="s">
        <v>1821</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2865</v>
      </c>
      <c r="D26" s="6" t="s">
        <v>2866</v>
      </c>
      <c r="E26" s="8"/>
      <c r="F26" s="7" t="s">
        <v>1821</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2867</v>
      </c>
      <c r="D27" s="6" t="s">
        <v>2868</v>
      </c>
      <c r="E27" s="8"/>
      <c r="F27" s="7" t="s">
        <v>1821</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2843</v>
      </c>
      <c r="D28" s="6" t="s">
        <v>2844</v>
      </c>
      <c r="E28" s="8"/>
      <c r="F28" s="7" t="s">
        <v>1821</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milscm_2023_009.sny_202310_backup_text_mml_mmlre_inj_medication.batch_no IS '処方番号';</v>
      </c>
    </row>
    <row r="29" spans="1:52" s="25" customFormat="1" ht="19.5" thickBot="1">
      <c r="A29" s="4"/>
      <c r="B29" s="27">
        <f>ROW()-12</f>
        <v>17</v>
      </c>
      <c r="C29" s="57" t="s">
        <v>2849</v>
      </c>
      <c r="D29" s="57" t="s">
        <v>2850</v>
      </c>
      <c r="E29" s="56"/>
      <c r="F29" s="56" t="s">
        <v>1821</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ENT_01_A6-56</v>
      </c>
      <c r="E6" s="273"/>
      <c r="F6" s="273"/>
      <c r="G6" s="273"/>
      <c r="H6" s="273"/>
      <c r="I6" s="273"/>
      <c r="J6" s="274"/>
    </row>
    <row r="7" spans="1:45">
      <c r="B7" s="262" t="s">
        <v>115</v>
      </c>
      <c r="C7" s="263"/>
      <c r="D7" s="264" t="s">
        <v>3042</v>
      </c>
      <c r="E7" s="265"/>
      <c r="F7" s="265"/>
      <c r="G7" s="265"/>
      <c r="H7" s="265"/>
      <c r="I7" s="265"/>
      <c r="J7" s="266"/>
    </row>
    <row r="8" spans="1:45">
      <c r="B8" s="262" t="s">
        <v>116</v>
      </c>
      <c r="C8" s="263"/>
      <c r="D8" s="264" t="str">
        <f>エンティティ一覧!AE2&amp;"_"&amp;D5&amp;"_text_mml_mmlre_inj_medicine"</f>
        <v>sny_202310_backup_text_mml_mmlre_inj_medicine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milscm_2023_009.sny_202310_backup_text_mml_mmlre_inj_medicine;</v>
      </c>
      <c r="O10" s="76"/>
      <c r="P10" s="76"/>
      <c r="Q10" s="76"/>
      <c r="R10" s="76"/>
      <c r="S10" s="76"/>
      <c r="T10" s="76"/>
      <c r="AJ10" s="76" t="str">
        <f>"ALTER TABLE ONLY "&amp;エンティティ一覧!$O$2&amp;"."&amp;D$8</f>
        <v>ALTER TABLE ONLY milscm_2023_009.sny_202310_backup_text_mml_mmlre_inj_medicine</v>
      </c>
      <c r="AS10" s="76" t="str">
        <f>"ALTER TABLE "&amp;エンティティ一覧!$O$2&amp;"."&amp;D$8&amp;" OWNER TO pgmisgrp1;"</f>
        <v>ALTER TABLE milscm_2023_009.sny_202310_backup_text_mml_mmlre_inj_medicine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milscm_2023_009.sny_202310_backup_text_mml_mmlre_inj_medicine</v>
      </c>
      <c r="O11" s="76"/>
      <c r="P11" s="76"/>
      <c r="Q11" s="76"/>
      <c r="R11" s="76"/>
      <c r="S11" s="76"/>
      <c r="T11" s="76"/>
      <c r="AJ11" s="76" t="str">
        <f>"ADD CONSTRAINT "&amp;D$8&amp;"_pkey PRIMARY KEY"</f>
        <v>ADD CONSTRAINT sny_202310_backup_text_mml_mmlre_inj_medicine_pkey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2783</v>
      </c>
      <c r="D14" s="6" t="s">
        <v>2784</v>
      </c>
      <c r="E14" s="8" t="s">
        <v>127</v>
      </c>
      <c r="F14" s="7" t="s">
        <v>2782</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2820</v>
      </c>
      <c r="D18" s="6" t="s">
        <v>2821</v>
      </c>
      <c r="E18" s="8" t="s">
        <v>127</v>
      </c>
      <c r="F18" s="7" t="s">
        <v>2782</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2856</v>
      </c>
      <c r="D19" s="6" t="s">
        <v>2857</v>
      </c>
      <c r="E19" s="8" t="s">
        <v>127</v>
      </c>
      <c r="F19" s="7" t="s">
        <v>2782</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2858</v>
      </c>
      <c r="D20" s="6" t="s">
        <v>359</v>
      </c>
      <c r="E20" s="8"/>
      <c r="F20" s="7" t="s">
        <v>1821</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milscm_2023_009.sny_202310_backup_text_mml_mmlre_inj_medicine.code IS '薬剤コード';</v>
      </c>
    </row>
    <row r="21" spans="1:52" s="25" customFormat="1" ht="19.5" thickBot="1">
      <c r="A21" s="4"/>
      <c r="B21" s="27">
        <f>ROW()-12</f>
        <v>9</v>
      </c>
      <c r="C21" s="57" t="s">
        <v>2859</v>
      </c>
      <c r="D21" s="57" t="s">
        <v>2803</v>
      </c>
      <c r="E21" s="56"/>
      <c r="F21" s="56" t="s">
        <v>1821</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ENT_01_A6-57</v>
      </c>
      <c r="E6" s="273"/>
      <c r="F6" s="273"/>
      <c r="G6" s="273"/>
      <c r="H6" s="273"/>
      <c r="I6" s="273"/>
      <c r="J6" s="274"/>
    </row>
    <row r="7" spans="1:45">
      <c r="B7" s="262" t="s">
        <v>115</v>
      </c>
      <c r="C7" s="263"/>
      <c r="D7" s="264" t="s">
        <v>3043</v>
      </c>
      <c r="E7" s="265"/>
      <c r="F7" s="265"/>
      <c r="G7" s="265"/>
      <c r="H7" s="265"/>
      <c r="I7" s="265"/>
      <c r="J7" s="266"/>
    </row>
    <row r="8" spans="1:45">
      <c r="B8" s="262" t="s">
        <v>116</v>
      </c>
      <c r="C8" s="263"/>
      <c r="D8" s="264" t="str">
        <f>エンティティ一覧!AE2&amp;"_"&amp;D5&amp;"_text_mml_mmlre_pi"</f>
        <v>sny_202310_backup_text_mml_mmlre_pi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milscm_2023_009.sny_202310_backup_text_mml_mmlre_pi;</v>
      </c>
      <c r="O10" s="76"/>
      <c r="P10" s="76"/>
      <c r="Q10" s="76"/>
      <c r="R10" s="76"/>
      <c r="S10" s="76"/>
      <c r="T10" s="76"/>
      <c r="AJ10" s="76" t="str">
        <f>"ALTER TABLE ONLY "&amp;エンティティ一覧!$O$2&amp;"."&amp;D$8</f>
        <v>ALTER TABLE ONLY milscm_2023_009.sny_202310_backup_text_mml_mmlre_pi</v>
      </c>
      <c r="AS10" s="76" t="str">
        <f>"ALTER TABLE "&amp;エンティティ一覧!$O$2&amp;"."&amp;D$8&amp;" OWNER TO pgmisgrp1;"</f>
        <v>ALTER TABLE milscm_2023_009.sny_202310_backup_text_mml_mmlre_pi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milscm_2023_009.sny_202310_backup_text_mml_mmlre_pi</v>
      </c>
      <c r="O11" s="76"/>
      <c r="P11" s="76"/>
      <c r="Q11" s="76"/>
      <c r="R11" s="76"/>
      <c r="S11" s="76"/>
      <c r="T11" s="76"/>
      <c r="AJ11" s="76" t="str">
        <f>"ADD CONSTRAINT "&amp;D$8&amp;"_pkey PRIMARY KEY"</f>
        <v>ADD CONSTRAINT sny_202310_backup_text_mml_mmlre_pi_pkey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2783</v>
      </c>
      <c r="D14" s="6" t="s">
        <v>2784</v>
      </c>
      <c r="E14" s="8" t="s">
        <v>127</v>
      </c>
      <c r="F14" s="7" t="s">
        <v>2782</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milscm_2023_009.sny_202310_backup_text_mml_mmlre_pi.master_id IS '患者ID';</v>
      </c>
    </row>
    <row r="18" spans="1:52" s="25" customFormat="1">
      <c r="A18" s="4"/>
      <c r="B18" s="21">
        <f t="shared" si="2"/>
        <v>6</v>
      </c>
      <c r="C18" s="6" t="s">
        <v>567</v>
      </c>
      <c r="D18" s="6" t="s">
        <v>322</v>
      </c>
      <c r="E18" s="8"/>
      <c r="F18" s="7" t="s">
        <v>1821</v>
      </c>
      <c r="G18" s="7" t="str">
        <f t="shared" si="3"/>
        <v>text</v>
      </c>
      <c r="H18" s="26"/>
      <c r="I18" s="10"/>
      <c r="J18" s="11" t="s">
        <v>2851</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milscm_2023_009.sny_202310_backup_text_mml_mmlre_pi.birthday IS '生年月日';</v>
      </c>
    </row>
    <row r="19" spans="1:52" s="25" customFormat="1" ht="75">
      <c r="A19" s="4"/>
      <c r="B19" s="21">
        <f t="shared" si="2"/>
        <v>7</v>
      </c>
      <c r="C19" s="6" t="s">
        <v>569</v>
      </c>
      <c r="D19" s="6" t="s">
        <v>1261</v>
      </c>
      <c r="E19" s="8"/>
      <c r="F19" s="7" t="s">
        <v>1821</v>
      </c>
      <c r="G19" s="7" t="str">
        <f t="shared" si="3"/>
        <v>text</v>
      </c>
      <c r="H19" s="26"/>
      <c r="I19" s="10"/>
      <c r="J19" s="11" t="s">
        <v>3051</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milscm_2023_009.sny_202310_backup_text_mml_mmlre_pi.sex IS '性別';</v>
      </c>
    </row>
    <row r="20" spans="1:52" s="25" customFormat="1">
      <c r="A20" s="4"/>
      <c r="B20" s="21">
        <f t="shared" si="2"/>
        <v>8</v>
      </c>
      <c r="C20" s="6" t="s">
        <v>1262</v>
      </c>
      <c r="D20" s="6" t="s">
        <v>3044</v>
      </c>
      <c r="E20" s="8"/>
      <c r="F20" s="7" t="s">
        <v>1821</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1264</v>
      </c>
      <c r="D21" s="6" t="s">
        <v>3045</v>
      </c>
      <c r="E21" s="8"/>
      <c r="F21" s="7" t="s">
        <v>1821</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3046</v>
      </c>
      <c r="D22" s="6" t="s">
        <v>1267</v>
      </c>
      <c r="E22" s="8"/>
      <c r="F22" s="7" t="s">
        <v>1821</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milscm_2023_009.sny_202310_backup_text_mml_mmlre_pi.race IS '人種';</v>
      </c>
    </row>
    <row r="23" spans="1:52" s="25" customFormat="1">
      <c r="A23" s="4"/>
      <c r="B23" s="21">
        <f t="shared" si="2"/>
        <v>11</v>
      </c>
      <c r="C23" s="6" t="s">
        <v>3047</v>
      </c>
      <c r="D23" s="6" t="s">
        <v>1269</v>
      </c>
      <c r="E23" s="8"/>
      <c r="F23" s="7" t="s">
        <v>1821</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3048</v>
      </c>
      <c r="D24" s="6" t="s">
        <v>1271</v>
      </c>
      <c r="E24" s="8"/>
      <c r="F24" s="7" t="s">
        <v>1821</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1272</v>
      </c>
      <c r="D25" s="6" t="s">
        <v>1273</v>
      </c>
      <c r="E25" s="8"/>
      <c r="F25" s="7" t="s">
        <v>1821</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1274</v>
      </c>
      <c r="D26" s="6" t="s">
        <v>1275</v>
      </c>
      <c r="E26" s="8"/>
      <c r="F26" s="7" t="s">
        <v>1821</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1276</v>
      </c>
      <c r="D27" s="6" t="s">
        <v>3049</v>
      </c>
      <c r="E27" s="8"/>
      <c r="F27" s="7" t="s">
        <v>1821</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milscm_2023_009.sny_202310_backup_text_mml_mmlre_pi.social_identification IS '社会番号';</v>
      </c>
    </row>
    <row r="28" spans="1:52" s="25" customFormat="1" ht="37.5">
      <c r="A28" s="4"/>
      <c r="B28" s="21">
        <f t="shared" si="2"/>
        <v>16</v>
      </c>
      <c r="C28" s="6" t="s">
        <v>1278</v>
      </c>
      <c r="D28" s="6" t="s">
        <v>3050</v>
      </c>
      <c r="E28" s="8"/>
      <c r="F28" s="7" t="s">
        <v>1821</v>
      </c>
      <c r="G28" s="7" t="str">
        <f t="shared" si="3"/>
        <v>text</v>
      </c>
      <c r="H28" s="26"/>
      <c r="I28" s="10"/>
      <c r="J28" s="11" t="s">
        <v>3052</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milscm_2023_009.sny_202310_backup_text_mml_mmlre_pi.death IS '死亡フラグ';</v>
      </c>
    </row>
    <row r="29" spans="1:52" s="25" customFormat="1" ht="19.5" thickBot="1">
      <c r="A29" s="4"/>
      <c r="B29" s="27">
        <f>ROW()-12</f>
        <v>17</v>
      </c>
      <c r="C29" s="57" t="s">
        <v>1280</v>
      </c>
      <c r="D29" s="57" t="s">
        <v>1281</v>
      </c>
      <c r="E29" s="56"/>
      <c r="F29" s="56" t="s">
        <v>1821</v>
      </c>
      <c r="G29" s="56" t="str">
        <f t="shared" si="3"/>
        <v>text</v>
      </c>
      <c r="H29" s="59"/>
      <c r="I29" s="60"/>
      <c r="J29" s="64" t="s">
        <v>2794</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ENT_01_A6-58</v>
      </c>
      <c r="E6" s="273"/>
      <c r="F6" s="273"/>
      <c r="G6" s="273"/>
      <c r="H6" s="273"/>
      <c r="I6" s="273"/>
      <c r="J6" s="274"/>
    </row>
    <row r="7" spans="1:45">
      <c r="B7" s="262" t="s">
        <v>115</v>
      </c>
      <c r="C7" s="263"/>
      <c r="D7" s="264" t="s">
        <v>3053</v>
      </c>
      <c r="E7" s="265"/>
      <c r="F7" s="265"/>
      <c r="G7" s="265"/>
      <c r="H7" s="265"/>
      <c r="I7" s="265"/>
      <c r="J7" s="266"/>
    </row>
    <row r="8" spans="1:45">
      <c r="B8" s="262" t="s">
        <v>116</v>
      </c>
      <c r="C8" s="263"/>
      <c r="D8" s="264" t="str">
        <f>エンティティ一覧!AE2&amp;"_"&amp;D5&amp;"_text_mml_mmlre_pi_address"</f>
        <v>sny_202310_backup_text_mml_mmlre_pi_address</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milscm_2023_009.sny_202310_backup_text_mml_mmlre_pi_address;</v>
      </c>
      <c r="O10" s="76"/>
      <c r="P10" s="76"/>
      <c r="Q10" s="76"/>
      <c r="R10" s="76"/>
      <c r="S10" s="76"/>
      <c r="T10" s="76"/>
      <c r="AJ10" s="76" t="str">
        <f>"ALTER TABLE ONLY "&amp;エンティティ一覧!$O$2&amp;"."&amp;D$8</f>
        <v>ALTER TABLE ONLY milscm_2023_009.sny_202310_backup_text_mml_mmlre_pi_address</v>
      </c>
      <c r="AS10" s="76" t="str">
        <f>"ALTER TABLE "&amp;エンティティ一覧!$O$2&amp;"."&amp;D$8&amp;" OWNER TO pgmisgrp1;"</f>
        <v>ALTER TABLE milscm_2023_009.sny_202310_backup_text_mml_mmlre_pi_address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milscm_2023_009.sny_202310_backup_text_mml_mmlre_pi_address</v>
      </c>
      <c r="O11" s="76"/>
      <c r="P11" s="76"/>
      <c r="Q11" s="76"/>
      <c r="R11" s="76"/>
      <c r="S11" s="76"/>
      <c r="T11" s="76"/>
      <c r="AJ11" s="76" t="str">
        <f>"ADD CONSTRAINT "&amp;D$8&amp;"_pkey PRIMARY KEY"</f>
        <v>ADD CONSTRAINT sny_202310_backup_text_mml_mmlre_pi_address_pkey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2783</v>
      </c>
      <c r="D14" s="6" t="s">
        <v>2784</v>
      </c>
      <c r="E14" s="8" t="s">
        <v>127</v>
      </c>
      <c r="F14" s="7" t="s">
        <v>2782</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3054</v>
      </c>
      <c r="D18" s="6" t="s">
        <v>3055</v>
      </c>
      <c r="E18" s="8" t="s">
        <v>127</v>
      </c>
      <c r="F18" s="7" t="s">
        <v>2782</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3056</v>
      </c>
      <c r="D19" s="6" t="s">
        <v>3057</v>
      </c>
      <c r="E19" s="8"/>
      <c r="F19" s="7" t="s">
        <v>1821</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3058</v>
      </c>
      <c r="D20" s="6" t="s">
        <v>3059</v>
      </c>
      <c r="E20" s="8"/>
      <c r="F20" s="7" t="s">
        <v>1821</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2810</v>
      </c>
      <c r="E21" s="8"/>
      <c r="F21" s="7" t="s">
        <v>1821</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3060</v>
      </c>
      <c r="D22" s="6" t="s">
        <v>3061</v>
      </c>
      <c r="E22" s="8"/>
      <c r="F22" s="7" t="s">
        <v>1821</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916</v>
      </c>
      <c r="D23" s="6" t="s">
        <v>917</v>
      </c>
      <c r="E23" s="8"/>
      <c r="F23" s="7" t="s">
        <v>1821</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3062</v>
      </c>
      <c r="D24" s="6" t="s">
        <v>1902</v>
      </c>
      <c r="E24" s="8"/>
      <c r="F24" s="7" t="s">
        <v>1821</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3063</v>
      </c>
      <c r="D25" s="6" t="s">
        <v>3064</v>
      </c>
      <c r="E25" s="8"/>
      <c r="F25" s="7" t="s">
        <v>1821</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3065</v>
      </c>
      <c r="D26" s="6" t="s">
        <v>3066</v>
      </c>
      <c r="E26" s="8"/>
      <c r="F26" s="7" t="s">
        <v>1821</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3067</v>
      </c>
      <c r="D27" s="6" t="s">
        <v>3068</v>
      </c>
      <c r="E27" s="8"/>
      <c r="F27" s="7" t="s">
        <v>1821</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milscm_2023_009.sny_202310_backup_text_mml_mmlre_pi_address.zip IS '郵便番号';</v>
      </c>
    </row>
    <row r="28" spans="1:52" s="25" customFormat="1" ht="35.450000000000003" customHeight="1" thickBot="1">
      <c r="A28" s="4"/>
      <c r="B28" s="27">
        <f>ROW()-12</f>
        <v>16</v>
      </c>
      <c r="C28" s="57" t="s">
        <v>3069</v>
      </c>
      <c r="D28" s="57" t="s">
        <v>3070</v>
      </c>
      <c r="E28" s="56"/>
      <c r="F28" s="56" t="s">
        <v>1821</v>
      </c>
      <c r="G28" s="56" t="str">
        <f t="shared" si="3"/>
        <v>text</v>
      </c>
      <c r="H28" s="59"/>
      <c r="I28" s="60"/>
      <c r="J28" s="64"/>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ENT_01_A6-59</v>
      </c>
      <c r="E6" s="273"/>
      <c r="F6" s="273"/>
      <c r="G6" s="273"/>
      <c r="H6" s="273"/>
      <c r="I6" s="273"/>
      <c r="J6" s="274"/>
    </row>
    <row r="7" spans="1:45">
      <c r="B7" s="262" t="s">
        <v>115</v>
      </c>
      <c r="C7" s="263"/>
      <c r="D7" s="264" t="s">
        <v>3071</v>
      </c>
      <c r="E7" s="265"/>
      <c r="F7" s="265"/>
      <c r="G7" s="265"/>
      <c r="H7" s="265"/>
      <c r="I7" s="265"/>
      <c r="J7" s="266"/>
    </row>
    <row r="8" spans="1:45">
      <c r="B8" s="262" t="s">
        <v>116</v>
      </c>
      <c r="C8" s="263"/>
      <c r="D8" s="264" t="str">
        <f>エンティティ一覧!AE2&amp;"_"&amp;D5&amp;"_text_mml_mmlre_ps"</f>
        <v>sny_202310_backup_text_mml_mmlre_ps</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milscm_2023_009.sny_202310_backup_text_mml_mmlre_ps;</v>
      </c>
      <c r="O10" s="76"/>
      <c r="P10" s="76"/>
      <c r="Q10" s="76"/>
      <c r="R10" s="76"/>
      <c r="S10" s="76"/>
      <c r="T10" s="76"/>
      <c r="AJ10" s="76" t="str">
        <f>"ALTER TABLE ONLY "&amp;エンティティ一覧!$O$2&amp;"."&amp;D$8</f>
        <v>ALTER TABLE ONLY milscm_2023_009.sny_202310_backup_text_mml_mmlre_ps</v>
      </c>
      <c r="AS10" s="76" t="str">
        <f>"ALTER TABLE "&amp;エンティティ一覧!$O$2&amp;"."&amp;D$8&amp;" OWNER TO pgmisgrp1;"</f>
        <v>ALTER TABLE milscm_2023_009.sny_202310_backup_text_mml_mmlre_ps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v>
      </c>
      <c r="O11" s="76"/>
      <c r="P11" s="76"/>
      <c r="Q11" s="76"/>
      <c r="R11" s="76"/>
      <c r="S11" s="76"/>
      <c r="T11" s="76"/>
      <c r="AJ11" s="76" t="str">
        <f>"ADD CONSTRAINT "&amp;D$8&amp;"_pkey PRIMARY KEY"</f>
        <v>ADD CONSTRAINT sny_202310_backup_text_mml_mmlre_ps_pkey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2783</v>
      </c>
      <c r="D14" s="6" t="s">
        <v>2784</v>
      </c>
      <c r="E14" s="8" t="s">
        <v>127</v>
      </c>
      <c r="F14" s="7" t="s">
        <v>2782</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milscm_2023_009.sny_202310_backup_text_mml_mmlre_ps.master_id IS '患者ID';</v>
      </c>
    </row>
    <row r="18" spans="1:52" s="25" customFormat="1" ht="37.5">
      <c r="A18" s="4"/>
      <c r="B18" s="21">
        <f t="shared" si="2"/>
        <v>6</v>
      </c>
      <c r="C18" s="6" t="s">
        <v>2812</v>
      </c>
      <c r="D18" s="6" t="s">
        <v>2813</v>
      </c>
      <c r="E18" s="8"/>
      <c r="F18" s="7" t="s">
        <v>1821</v>
      </c>
      <c r="G18" s="7" t="str">
        <f t="shared" si="3"/>
        <v>text</v>
      </c>
      <c r="H18" s="26"/>
      <c r="I18" s="10"/>
      <c r="J18" s="11" t="s">
        <v>2818</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milscm_2023_009.sny_202310_backup_text_mml_mmlre_ps.issued_to IS '院外、院内処方箋の別';</v>
      </c>
    </row>
    <row r="19" spans="1:52" s="25" customFormat="1" ht="31.5">
      <c r="A19" s="4"/>
      <c r="B19" s="21">
        <f t="shared" si="2"/>
        <v>7</v>
      </c>
      <c r="C19" s="6" t="s">
        <v>2814</v>
      </c>
      <c r="D19" s="6" t="s">
        <v>2815</v>
      </c>
      <c r="E19" s="8"/>
      <c r="F19" s="7" t="s">
        <v>1821</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milscm_2023_009.sny_202310_backup_text_mml_mmlre_ps.narcotic_prescription_license_no IS '麻薬施用者番号';</v>
      </c>
    </row>
    <row r="20" spans="1:52" s="25" customFormat="1" ht="35.450000000000003" customHeight="1" thickBot="1">
      <c r="A20" s="4"/>
      <c r="B20" s="27">
        <f>ROW()-12</f>
        <v>8</v>
      </c>
      <c r="C20" s="57" t="s">
        <v>2816</v>
      </c>
      <c r="D20" s="57" t="s">
        <v>2817</v>
      </c>
      <c r="E20" s="56"/>
      <c r="F20" s="56" t="s">
        <v>1821</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ENT_01_A6-60</v>
      </c>
      <c r="E6" s="273"/>
      <c r="F6" s="273"/>
      <c r="G6" s="273"/>
      <c r="H6" s="273"/>
      <c r="I6" s="273"/>
      <c r="J6" s="274"/>
    </row>
    <row r="7" spans="1:45">
      <c r="B7" s="262" t="s">
        <v>115</v>
      </c>
      <c r="C7" s="263"/>
      <c r="D7" s="264" t="s">
        <v>3072</v>
      </c>
      <c r="E7" s="265"/>
      <c r="F7" s="265"/>
      <c r="G7" s="265"/>
      <c r="H7" s="265"/>
      <c r="I7" s="265"/>
      <c r="J7" s="266"/>
    </row>
    <row r="8" spans="1:45">
      <c r="B8" s="262" t="s">
        <v>116</v>
      </c>
      <c r="C8" s="263"/>
      <c r="D8" s="264" t="str">
        <f>エンティティ一覧!AE2&amp;"_"&amp;D5&amp;"_text_mml_mmlre_ps_medication"</f>
        <v>sny_202310_backup_text_mml_mmlre_ps_medication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milscm_2023_009.sny_202310_backup_text_mml_mmlre_ps_medication;</v>
      </c>
      <c r="O10" s="76"/>
      <c r="P10" s="76"/>
      <c r="Q10" s="76"/>
      <c r="R10" s="76"/>
      <c r="S10" s="76"/>
      <c r="T10" s="76"/>
      <c r="AJ10" s="76" t="str">
        <f>"ALTER TABLE ONLY "&amp;エンティティ一覧!$O$2&amp;"."&amp;D$8</f>
        <v>ALTER TABLE ONLY milscm_2023_009.sny_202310_backup_text_mml_mmlre_ps_medication</v>
      </c>
      <c r="AS10" s="76" t="str">
        <f>"ALTER TABLE "&amp;エンティティ一覧!$O$2&amp;"."&amp;D$8&amp;" OWNER TO pgmisgrp1;"</f>
        <v>ALTER TABLE milscm_2023_009.sny_202310_backup_text_mml_mmlre_ps_medication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milscm_2023_009.sny_202310_backup_text_mml_mmlre_ps_medication</v>
      </c>
      <c r="O11" s="76"/>
      <c r="P11" s="76"/>
      <c r="Q11" s="76"/>
      <c r="R11" s="76"/>
      <c r="S11" s="76"/>
      <c r="T11" s="76"/>
      <c r="AJ11" s="76" t="str">
        <f>"ADD CONSTRAINT "&amp;D$8&amp;"_pkey PRIMARY KEY"</f>
        <v>ADD CONSTRAINT sny_202310_backup_text_mml_mmlre_ps_medication_pkey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2783</v>
      </c>
      <c r="D14" s="6" t="s">
        <v>2784</v>
      </c>
      <c r="E14" s="8" t="s">
        <v>127</v>
      </c>
      <c r="F14" s="7" t="s">
        <v>2782</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2820</v>
      </c>
      <c r="D18" s="6" t="s">
        <v>2821</v>
      </c>
      <c r="E18" s="8" t="s">
        <v>127</v>
      </c>
      <c r="F18" s="7" t="s">
        <v>2782</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2822</v>
      </c>
      <c r="D19" s="6" t="s">
        <v>2823</v>
      </c>
      <c r="E19" s="8"/>
      <c r="F19" s="7" t="s">
        <v>1821</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2824</v>
      </c>
      <c r="D20" s="6" t="s">
        <v>2825</v>
      </c>
      <c r="E20" s="8"/>
      <c r="F20" s="7" t="s">
        <v>1821</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2826</v>
      </c>
      <c r="D21" s="6" t="s">
        <v>2827</v>
      </c>
      <c r="E21" s="8"/>
      <c r="F21" s="7" t="s">
        <v>1821</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2828</v>
      </c>
      <c r="D22" s="6" t="s">
        <v>2829</v>
      </c>
      <c r="E22" s="8"/>
      <c r="F22" s="7" t="s">
        <v>1821</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2830</v>
      </c>
      <c r="D23" s="6" t="s">
        <v>2789</v>
      </c>
      <c r="E23" s="8"/>
      <c r="F23" s="7" t="s">
        <v>1821</v>
      </c>
      <c r="G23" s="7" t="str">
        <f t="shared" si="7"/>
        <v>text</v>
      </c>
      <c r="H23" s="26"/>
      <c r="I23" s="10"/>
      <c r="J23" s="11" t="s">
        <v>2851</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2831</v>
      </c>
      <c r="D24" s="6" t="s">
        <v>2832</v>
      </c>
      <c r="E24" s="8"/>
      <c r="F24" s="7" t="s">
        <v>1821</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2833</v>
      </c>
      <c r="D25" s="6" t="s">
        <v>2834</v>
      </c>
      <c r="E25" s="8"/>
      <c r="F25" s="7" t="s">
        <v>1821</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2835</v>
      </c>
      <c r="D26" s="6" t="s">
        <v>2836</v>
      </c>
      <c r="E26" s="8"/>
      <c r="F26" s="7" t="s">
        <v>1821</v>
      </c>
      <c r="G26" s="7" t="str">
        <f t="shared" si="7"/>
        <v>text</v>
      </c>
      <c r="H26" s="26"/>
      <c r="I26" s="10"/>
      <c r="J26" s="11" t="s">
        <v>2852</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2837</v>
      </c>
      <c r="D27" s="6" t="s">
        <v>2838</v>
      </c>
      <c r="E27" s="8"/>
      <c r="F27" s="7" t="s">
        <v>1821</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2839</v>
      </c>
      <c r="D28" s="6" t="s">
        <v>2840</v>
      </c>
      <c r="E28" s="8"/>
      <c r="F28" s="7" t="s">
        <v>1821</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2841</v>
      </c>
      <c r="D29" s="6" t="s">
        <v>2842</v>
      </c>
      <c r="E29" s="8"/>
      <c r="F29" s="7" t="s">
        <v>1821</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2843</v>
      </c>
      <c r="D30" s="6" t="s">
        <v>2844</v>
      </c>
      <c r="E30" s="8"/>
      <c r="F30" s="7" t="s">
        <v>1821</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milscm_2023_009.sny_202310_backup_text_mml_mmlre_ps_medication.batch_no IS '処方番号';</v>
      </c>
    </row>
    <row r="31" spans="1:45" s="25" customFormat="1" ht="37.5">
      <c r="A31" s="4"/>
      <c r="B31" s="21">
        <f t="shared" si="2"/>
        <v>19</v>
      </c>
      <c r="C31" s="6" t="s">
        <v>2845</v>
      </c>
      <c r="D31" s="6" t="s">
        <v>2846</v>
      </c>
      <c r="E31" s="8"/>
      <c r="F31" s="7" t="s">
        <v>1821</v>
      </c>
      <c r="G31" s="7" t="str">
        <f t="shared" si="7"/>
        <v>text</v>
      </c>
      <c r="H31" s="26"/>
      <c r="I31" s="10"/>
      <c r="J31" s="11" t="s">
        <v>2853</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2847</v>
      </c>
      <c r="D32" s="6" t="s">
        <v>2848</v>
      </c>
      <c r="E32" s="8"/>
      <c r="F32" s="7" t="s">
        <v>1821</v>
      </c>
      <c r="G32" s="7" t="str">
        <f t="shared" si="3"/>
        <v>text</v>
      </c>
      <c r="H32" s="26"/>
      <c r="I32" s="10"/>
      <c r="J32" s="11" t="s">
        <v>2854</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milscm_2023_009.sny_202310_backup_text_mml_mmlre_ps_medication.long_term IS '長期処方可';</v>
      </c>
    </row>
    <row r="33" spans="1:52" s="25" customFormat="1" ht="35.450000000000003" customHeight="1" thickBot="1">
      <c r="A33" s="4"/>
      <c r="B33" s="27">
        <f>ROW()-12</f>
        <v>21</v>
      </c>
      <c r="C33" s="57" t="s">
        <v>2849</v>
      </c>
      <c r="D33" s="57" t="s">
        <v>2850</v>
      </c>
      <c r="E33" s="56"/>
      <c r="F33" s="56" t="s">
        <v>1821</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ENT_01_A6-61</v>
      </c>
      <c r="E6" s="273"/>
      <c r="F6" s="273"/>
      <c r="G6" s="273"/>
      <c r="H6" s="273"/>
      <c r="I6" s="273"/>
      <c r="J6" s="274"/>
    </row>
    <row r="7" spans="1:45">
      <c r="B7" s="262" t="s">
        <v>115</v>
      </c>
      <c r="C7" s="263"/>
      <c r="D7" s="264" t="s">
        <v>3073</v>
      </c>
      <c r="E7" s="265"/>
      <c r="F7" s="265"/>
      <c r="G7" s="265"/>
      <c r="H7" s="265"/>
      <c r="I7" s="265"/>
      <c r="J7" s="266"/>
    </row>
    <row r="8" spans="1:45">
      <c r="B8" s="262" t="s">
        <v>116</v>
      </c>
      <c r="C8" s="263"/>
      <c r="D8" s="264" t="str">
        <f>エンティティ一覧!AE2&amp;"_"&amp;D5&amp;"_text_mml_mmlre_ps_medicine"</f>
        <v>sny_202310_backup_text_mml_mmlre_ps_medicine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milscm_2023_009.sny_202310_backup_text_mml_mmlre_ps_medicine;</v>
      </c>
      <c r="O10" s="76"/>
      <c r="P10" s="76"/>
      <c r="Q10" s="76"/>
      <c r="R10" s="76"/>
      <c r="S10" s="76"/>
      <c r="T10" s="76"/>
      <c r="AJ10" s="76" t="str">
        <f>"ALTER TABLE ONLY "&amp;エンティティ一覧!$O$2&amp;"."&amp;D$8</f>
        <v>ALTER TABLE ONLY milscm_2023_009.sny_202310_backup_text_mml_mmlre_ps_medicine</v>
      </c>
      <c r="AS10" s="76" t="str">
        <f>"ALTER TABLE "&amp;エンティティ一覧!$O$2&amp;"."&amp;D$8&amp;" OWNER TO pgmisgrp1;"</f>
        <v>ALTER TABLE milscm_2023_009.sny_202310_backup_text_mml_mmlre_ps_medicine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milscm_2023_009.sny_202310_backup_text_mml_mmlre_ps_medicine</v>
      </c>
      <c r="O11" s="76"/>
      <c r="P11" s="76"/>
      <c r="Q11" s="76"/>
      <c r="R11" s="76"/>
      <c r="S11" s="76"/>
      <c r="T11" s="76"/>
      <c r="AJ11" s="76" t="str">
        <f>"ADD CONSTRAINT "&amp;D$8&amp;"_pkey PRIMARY KEY"</f>
        <v>ADD CONSTRAINT sny_202310_backup_text_mml_mmlre_ps_medicine_pkey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2783</v>
      </c>
      <c r="D14" s="6" t="s">
        <v>2784</v>
      </c>
      <c r="E14" s="8" t="s">
        <v>127</v>
      </c>
      <c r="F14" s="7" t="s">
        <v>2782</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2820</v>
      </c>
      <c r="D18" s="6" t="s">
        <v>2821</v>
      </c>
      <c r="E18" s="8" t="s">
        <v>127</v>
      </c>
      <c r="F18" s="7" t="s">
        <v>2782</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2856</v>
      </c>
      <c r="D19" s="6" t="s">
        <v>2857</v>
      </c>
      <c r="E19" s="8" t="s">
        <v>127</v>
      </c>
      <c r="F19" s="7" t="s">
        <v>2782</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2858</v>
      </c>
      <c r="D20" s="6" t="s">
        <v>359</v>
      </c>
      <c r="E20" s="8"/>
      <c r="F20" s="7" t="s">
        <v>1821</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milscm_2023_009.sny_202310_backup_text_mml_mmlre_ps_medicine.code IS '薬剤コード';</v>
      </c>
    </row>
    <row r="21" spans="1:52" s="25" customFormat="1" ht="35.450000000000003" customHeight="1" thickBot="1">
      <c r="A21" s="4"/>
      <c r="B21" s="27">
        <f>ROW()-12</f>
        <v>9</v>
      </c>
      <c r="C21" s="57" t="s">
        <v>2859</v>
      </c>
      <c r="D21" s="57" t="s">
        <v>2803</v>
      </c>
      <c r="E21" s="56"/>
      <c r="F21" s="56" t="s">
        <v>1821</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ENT_01_A6-62</v>
      </c>
      <c r="E6" s="273"/>
      <c r="F6" s="273"/>
      <c r="G6" s="273"/>
      <c r="H6" s="273"/>
      <c r="I6" s="273"/>
      <c r="J6" s="274"/>
    </row>
    <row r="7" spans="1:45">
      <c r="B7" s="262" t="s">
        <v>115</v>
      </c>
      <c r="C7" s="263"/>
      <c r="D7" s="264" t="s">
        <v>3074</v>
      </c>
      <c r="E7" s="265"/>
      <c r="F7" s="265"/>
      <c r="G7" s="265"/>
      <c r="H7" s="265"/>
      <c r="I7" s="265"/>
      <c r="J7" s="266"/>
    </row>
    <row r="8" spans="1:45">
      <c r="B8" s="262" t="s">
        <v>116</v>
      </c>
      <c r="C8" s="263"/>
      <c r="D8" s="264" t="str">
        <f>エンティティ一覧!AE2&amp;"_"&amp;D5&amp;"_text_mml_mmlre_sm_clinical_record"</f>
        <v>sny_202310_backup_text_mml_mmlre_sm_clinical_record</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milscm_2023_009.sny_202310_backup_text_mml_mmlre_sm_clinical_record;</v>
      </c>
      <c r="O10" s="76"/>
      <c r="P10" s="76"/>
      <c r="Q10" s="76"/>
      <c r="R10" s="76"/>
      <c r="S10" s="76"/>
      <c r="T10" s="76"/>
      <c r="AJ10" s="76" t="str">
        <f>"ALTER TABLE ONLY "&amp;エンティティ一覧!$O$2&amp;"."&amp;D$8</f>
        <v>ALTER TABLE ONLY milscm_2023_009.sny_202310_backup_text_mml_mmlre_sm_clinical_record</v>
      </c>
      <c r="AS10" s="76" t="str">
        <f>"ALTER TABLE "&amp;エンティティ一覧!$O$2&amp;"."&amp;D$8&amp;" OWNER TO pgmisgrp1;"</f>
        <v>ALTER TABLE milscm_2023_009.sny_202310_backup_text_mml_mmlre_sm_clinical_record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milscm_2023_009.sny_202310_backup_text_mml_mmlre_sm_clinical_record</v>
      </c>
      <c r="O11" s="76"/>
      <c r="P11" s="76"/>
      <c r="Q11" s="76"/>
      <c r="R11" s="76"/>
      <c r="S11" s="76"/>
      <c r="T11" s="76"/>
      <c r="AJ11" s="76" t="str">
        <f>"ADD CONSTRAINT "&amp;D$8&amp;"_pkey PRIMARY KEY"</f>
        <v>ADD CONSTRAINT sny_202310_backup_text_mml_mmlre_sm_clinical_record_pkey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2783</v>
      </c>
      <c r="D14" s="6" t="s">
        <v>2784</v>
      </c>
      <c r="E14" s="8" t="s">
        <v>127</v>
      </c>
      <c r="F14" s="7" t="s">
        <v>2782</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3075</v>
      </c>
      <c r="D18" s="6" t="s">
        <v>3076</v>
      </c>
      <c r="E18" s="8" t="s">
        <v>127</v>
      </c>
      <c r="F18" s="7" t="s">
        <v>2782</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1520</v>
      </c>
      <c r="D19" s="6" t="s">
        <v>3077</v>
      </c>
      <c r="E19" s="8"/>
      <c r="F19" s="7" t="s">
        <v>1821</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1522</v>
      </c>
      <c r="D20" s="6" t="s">
        <v>3078</v>
      </c>
      <c r="E20" s="8"/>
      <c r="F20" s="7" t="s">
        <v>1821</v>
      </c>
      <c r="G20" s="7" t="str">
        <f t="shared" ref="G20" si="7">IF(F20="フラグ","boolean",IF(F20="文字列","text",IF(F20="整数","integer",IF(F20="実数","numeric",""))))</f>
        <v>text</v>
      </c>
      <c r="H20" s="26"/>
      <c r="I20" s="10"/>
      <c r="J20" s="11" t="s">
        <v>2794</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3079</v>
      </c>
      <c r="D21" s="6" t="s">
        <v>3080</v>
      </c>
      <c r="E21" s="8"/>
      <c r="F21" s="7" t="s">
        <v>1821</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milscm_2023_009.sny_202310_backup_text_mml_mmlre_sm_clinical_record.related_doc IS '関連文書';</v>
      </c>
    </row>
    <row r="22" spans="1:52" s="25" customFormat="1" ht="19.5" thickBot="1">
      <c r="A22" s="4"/>
      <c r="B22" s="27">
        <f>ROW()-12</f>
        <v>10</v>
      </c>
      <c r="C22" s="57" t="s">
        <v>3081</v>
      </c>
      <c r="D22" s="57" t="s">
        <v>3082</v>
      </c>
      <c r="E22" s="56"/>
      <c r="F22" s="56" t="s">
        <v>1821</v>
      </c>
      <c r="G22" s="56" t="str">
        <f t="shared" si="3"/>
        <v>text</v>
      </c>
      <c r="H22" s="59"/>
      <c r="I22" s="60"/>
      <c r="J22" s="64"/>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ENT_01_A6-63</v>
      </c>
      <c r="E6" s="273"/>
      <c r="F6" s="273"/>
      <c r="G6" s="273"/>
      <c r="H6" s="273"/>
      <c r="I6" s="273"/>
      <c r="J6" s="274"/>
    </row>
    <row r="7" spans="1:45">
      <c r="B7" s="262" t="s">
        <v>115</v>
      </c>
      <c r="C7" s="263"/>
      <c r="D7" s="264" t="s">
        <v>3085</v>
      </c>
      <c r="E7" s="265"/>
      <c r="F7" s="265"/>
      <c r="G7" s="265"/>
      <c r="H7" s="265"/>
      <c r="I7" s="265"/>
      <c r="J7" s="266"/>
    </row>
    <row r="8" spans="1:45">
      <c r="B8" s="262" t="s">
        <v>116</v>
      </c>
      <c r="C8" s="263"/>
      <c r="D8" s="264" t="str">
        <f>エンティティ一覧!AE2&amp;"_"&amp;D5&amp;"_text_mml_mmlre_dp"</f>
        <v>sny_202310_backup_text_mml_mmlre_dp</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milscm_2023_009.sny_202310_backup_text_mml_mmlre_dp;</v>
      </c>
      <c r="O10" s="76"/>
      <c r="P10" s="76"/>
      <c r="Q10" s="76"/>
      <c r="R10" s="76"/>
      <c r="S10" s="76"/>
      <c r="T10" s="76"/>
      <c r="AJ10" s="76" t="str">
        <f>"ALTER TABLE ONLY "&amp;エンティティ一覧!$O$2&amp;"."&amp;D$8</f>
        <v>ALTER TABLE ONLY milscm_2023_009.sny_202310_backup_text_mml_mmlre_dp</v>
      </c>
      <c r="AS10" s="76" t="str">
        <f>"ALTER TABLE "&amp;エンティティ一覧!$O$2&amp;"."&amp;D$8&amp;" OWNER TO pgmisgrp1;"</f>
        <v>ALTER TABLE milscm_2023_009.sny_202310_backup_text_mml_mmlre_dp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milscm_2023_009.sny_202310_backup_text_mml_mmlre_dp</v>
      </c>
      <c r="O11" s="76"/>
      <c r="P11" s="76"/>
      <c r="Q11" s="76"/>
      <c r="R11" s="76"/>
      <c r="S11" s="76"/>
      <c r="T11" s="76"/>
      <c r="AJ11" s="76" t="str">
        <f>"ADD CONSTRAINT "&amp;D$8&amp;"_pkey PRIMARY KEY"</f>
        <v>ADD CONSTRAINT sny_202310_backup_text_mml_mmlre_dp_pkey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2783</v>
      </c>
      <c r="D14" s="6" t="s">
        <v>2784</v>
      </c>
      <c r="E14" s="8" t="s">
        <v>127</v>
      </c>
      <c r="F14" s="7" t="s">
        <v>2782</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milscm_2023_009.sny_202310_backup_text_mml_mmlre_dp.body_no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milscm_2023_009.sny_202310_backup_text_mml_mmlre_dp.master_id IS '患者ID';</v>
      </c>
    </row>
    <row r="18" spans="1:52" s="25" customFormat="1">
      <c r="A18" s="4"/>
      <c r="B18" s="21">
        <f t="shared" si="2"/>
        <v>6</v>
      </c>
      <c r="C18" s="6" t="s">
        <v>2893</v>
      </c>
      <c r="D18" s="6" t="s">
        <v>2894</v>
      </c>
      <c r="E18" s="8" t="s">
        <v>127</v>
      </c>
      <c r="F18" s="7" t="s">
        <v>2782</v>
      </c>
      <c r="G18" s="7" t="str">
        <f t="shared" si="3"/>
        <v>integer</v>
      </c>
      <c r="H18" s="26"/>
      <c r="I18" s="10" t="s">
        <v>127</v>
      </c>
      <c r="J18" s="11" t="s">
        <v>2913</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2895</v>
      </c>
      <c r="D19" s="6" t="s">
        <v>2896</v>
      </c>
      <c r="E19" s="8" t="s">
        <v>127</v>
      </c>
      <c r="F19" s="7" t="s">
        <v>2782</v>
      </c>
      <c r="G19" s="7" t="str">
        <f t="shared" ref="G19:G26" si="7">IF(F19="フラグ","boolean",IF(F19="文字列","text",IF(F19="整数","integer",IF(F19="実数","numeric",""))))</f>
        <v>integer</v>
      </c>
      <c r="H19" s="26"/>
      <c r="I19" s="10" t="s">
        <v>127</v>
      </c>
      <c r="J19" s="11" t="s">
        <v>2914</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2897</v>
      </c>
      <c r="D20" s="6" t="s">
        <v>2898</v>
      </c>
      <c r="E20" s="8"/>
      <c r="F20" s="7" t="s">
        <v>1821</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milscm_2023_009.sny_202310_backup_text_mml_mmlre_dp.id IS '診療科ID';</v>
      </c>
    </row>
    <row r="21" spans="1:52" s="25" customFormat="1">
      <c r="A21" s="4"/>
      <c r="B21" s="21">
        <f t="shared" si="2"/>
        <v>9</v>
      </c>
      <c r="C21" s="6" t="s">
        <v>2899</v>
      </c>
      <c r="D21" s="6" t="s">
        <v>2900</v>
      </c>
      <c r="E21" s="8"/>
      <c r="F21" s="7" t="s">
        <v>1821</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2901</v>
      </c>
      <c r="D22" s="6" t="s">
        <v>2810</v>
      </c>
      <c r="E22" s="8"/>
      <c r="F22" s="7" t="s">
        <v>1821</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2902</v>
      </c>
      <c r="D23" s="6" t="s">
        <v>2903</v>
      </c>
      <c r="E23" s="8"/>
      <c r="F23" s="7" t="s">
        <v>2782</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2904</v>
      </c>
      <c r="D24" s="6" t="s">
        <v>2905</v>
      </c>
      <c r="E24" s="8"/>
      <c r="F24" s="7" t="s">
        <v>1821</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2906</v>
      </c>
      <c r="D25" s="6" t="s">
        <v>2907</v>
      </c>
      <c r="E25" s="8"/>
      <c r="F25" s="7" t="s">
        <v>1821</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2908</v>
      </c>
      <c r="D26" s="6" t="s">
        <v>2909</v>
      </c>
      <c r="E26" s="8"/>
      <c r="F26" s="7" t="s">
        <v>1821</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milscm_2023_009.sny_202310_backup_text_mml_mmlre_dp.dp_name_rep_code IS '診療科名称_表記法';</v>
      </c>
    </row>
    <row r="27" spans="1:52" s="25" customFormat="1" ht="35.450000000000003" customHeight="1" thickBot="1">
      <c r="A27" s="4"/>
      <c r="B27" s="27">
        <f>ROW()-12</f>
        <v>15</v>
      </c>
      <c r="C27" s="57" t="s">
        <v>2910</v>
      </c>
      <c r="D27" s="57" t="s">
        <v>2911</v>
      </c>
      <c r="E27" s="56"/>
      <c r="F27" s="56" t="s">
        <v>1821</v>
      </c>
      <c r="G27" s="56" t="str">
        <f t="shared" si="3"/>
        <v>text</v>
      </c>
      <c r="H27" s="59"/>
      <c r="I27" s="60"/>
      <c r="J27" s="64"/>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ENT_01_C1-01</v>
      </c>
      <c r="E6" s="273"/>
      <c r="F6" s="273"/>
      <c r="G6" s="273"/>
      <c r="H6" s="273"/>
      <c r="I6" s="273"/>
      <c r="J6" s="274"/>
    </row>
    <row r="7" spans="1:45">
      <c r="B7" s="262" t="s">
        <v>115</v>
      </c>
      <c r="C7" s="263"/>
      <c r="D7" s="264" t="s">
        <v>198</v>
      </c>
      <c r="E7" s="265"/>
      <c r="F7" s="265"/>
      <c r="G7" s="265"/>
      <c r="H7" s="265"/>
      <c r="I7" s="265"/>
      <c r="J7" s="266"/>
    </row>
    <row r="8" spans="1:45">
      <c r="B8" s="262" t="s">
        <v>116</v>
      </c>
      <c r="C8" s="263"/>
      <c r="D8" s="264" t="str">
        <f>エンティティ一覧!AE2&amp;"_"&amp;D5&amp;"_merge_dpc_dn"</f>
        <v>sny_202310_backup_merge_dpc_dn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milscm_2023_009.sny_202310_backup_merge_dpc_dn;</v>
      </c>
      <c r="O10" s="76"/>
      <c r="P10" s="76"/>
      <c r="Q10" s="76"/>
      <c r="R10" s="76"/>
      <c r="S10" s="76"/>
      <c r="T10" s="76"/>
      <c r="AJ10" s="76" t="str">
        <f>"ALTER TABLE ONLY "&amp;エンティティ一覧!$O$2&amp;"."&amp;D$8</f>
        <v>ALTER TABLE ONLY milscm_2023_009.sny_202310_backup_merge_dpc_dn</v>
      </c>
      <c r="AS10" s="76" t="str">
        <f>"ALTER TABLE "&amp;エンティティ一覧!$O$2&amp;"."&amp;D$8&amp;" OWNER TO pgmisgrp1;"</f>
        <v>ALTER TABLE milscm_2023_009.sny_202310_backup_merge_dpc_dn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milscm_2023_009.sny_202310_backup_merge_dpc_dn</v>
      </c>
      <c r="O11" s="76"/>
      <c r="P11" s="76"/>
      <c r="Q11" s="76"/>
      <c r="R11" s="76"/>
      <c r="S11" s="76"/>
      <c r="T11" s="76"/>
      <c r="AJ11" s="76" t="str">
        <f>"ADD CONSTRAINT "&amp;D$8&amp;"_pkey PRIMARY KEY"</f>
        <v>ADD CONSTRAINT sny_202310_backup_merge_dpc_dn_pkey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milscm_2023_009.sny_202310_backup_merge_dpc_dn.mil_karute_id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milscm_2023_009.sny_202310_backup_merge_dpc_dn.facility_id IS '施設ID';</v>
      </c>
    </row>
    <row r="16" spans="1:45" s="25" customFormat="1" ht="93.75">
      <c r="B16" s="21">
        <f t="shared" si="2"/>
        <v>4</v>
      </c>
      <c r="C16" s="6" t="s">
        <v>205</v>
      </c>
      <c r="D16" s="6" t="s">
        <v>206</v>
      </c>
      <c r="E16" s="7" t="s">
        <v>127</v>
      </c>
      <c r="F16" s="7" t="s">
        <v>201</v>
      </c>
      <c r="G16" s="7" t="str">
        <f t="shared" si="3"/>
        <v>text</v>
      </c>
      <c r="H16" s="9"/>
      <c r="I16" s="10" t="s">
        <v>127</v>
      </c>
      <c r="J16" s="53" t="s">
        <v>898</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milscm_2023_009.sny_202310_backup_merge_dpc_dn.shikibetsu_no IS 'データ識別番号';</v>
      </c>
    </row>
    <row r="19" spans="1:45" s="25" customFormat="1" ht="37.5">
      <c r="B19" s="21">
        <f t="shared" si="2"/>
        <v>7</v>
      </c>
      <c r="C19" s="6" t="s">
        <v>211</v>
      </c>
      <c r="D19" s="6" t="s">
        <v>212</v>
      </c>
      <c r="E19" s="7" t="s">
        <v>127</v>
      </c>
      <c r="F19" s="7" t="s">
        <v>201</v>
      </c>
      <c r="G19" s="7" t="str">
        <f t="shared" si="3"/>
        <v>text</v>
      </c>
      <c r="H19" s="9"/>
      <c r="I19" s="10" t="s">
        <v>127</v>
      </c>
      <c r="J19" s="53" t="s">
        <v>261</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milscm_2023_009.sny_202310_backup_merge_dpc_dn.bunrui_no IS '分類番号';</v>
      </c>
    </row>
    <row r="46" spans="1:45" s="25" customFormat="1" ht="38.25" thickBot="1">
      <c r="A46" s="4"/>
      <c r="B46" s="27">
        <f>ROW()-12</f>
        <v>34</v>
      </c>
      <c r="C46" s="28" t="s">
        <v>254</v>
      </c>
      <c r="D46" s="28" t="s">
        <v>255</v>
      </c>
      <c r="E46" s="29"/>
      <c r="F46" s="29" t="s">
        <v>201</v>
      </c>
      <c r="G46" s="56" t="str">
        <f t="shared" si="3"/>
        <v>text</v>
      </c>
      <c r="H46" s="30"/>
      <c r="I46" s="31"/>
      <c r="J46" s="55" t="s">
        <v>264</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ENT_01_C1-02</v>
      </c>
      <c r="E6" s="273"/>
      <c r="F6" s="273"/>
      <c r="G6" s="273"/>
      <c r="H6" s="273"/>
      <c r="I6" s="273"/>
      <c r="J6" s="274"/>
    </row>
    <row r="7" spans="1:45">
      <c r="B7" s="262" t="s">
        <v>115</v>
      </c>
      <c r="C7" s="263"/>
      <c r="D7" s="264" t="s">
        <v>192</v>
      </c>
      <c r="E7" s="265"/>
      <c r="F7" s="265"/>
      <c r="G7" s="265"/>
      <c r="H7" s="265"/>
      <c r="I7" s="265"/>
      <c r="J7" s="266"/>
    </row>
    <row r="8" spans="1:45">
      <c r="B8" s="262" t="s">
        <v>116</v>
      </c>
      <c r="C8" s="263"/>
      <c r="D8" s="264" t="str">
        <f>エンティティ一覧!AE2&amp;"_"&amp;D5&amp;"_merge_dpc_efn"</f>
        <v>sny_202310_backup_merge_dpc_efn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milscm_2023_009.sny_202310_backup_merge_dpc_efn;</v>
      </c>
      <c r="O10" s="76"/>
      <c r="P10" s="76"/>
      <c r="Q10" s="76"/>
      <c r="R10" s="76"/>
      <c r="S10" s="76"/>
      <c r="T10" s="76"/>
      <c r="AJ10" s="76" t="str">
        <f>"ALTER TABLE ONLY "&amp;エンティティ一覧!$O$2&amp;"."&amp;D$8</f>
        <v>ALTER TABLE ONLY milscm_2023_009.sny_202310_backup_merge_dpc_efn</v>
      </c>
      <c r="AS10" s="76" t="str">
        <f>"ALTER TABLE "&amp;エンティティ一覧!$O$2&amp;"."&amp;D$8&amp;" OWNER TO pgmisgrp1;"</f>
        <v>ALTER TABLE milscm_2023_009.sny_202310_backup_merge_dpc_efn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milscm_2023_009.sny_202310_backup_merge_dpc_efn</v>
      </c>
      <c r="O11" s="76"/>
      <c r="P11" s="76"/>
      <c r="Q11" s="76"/>
      <c r="R11" s="76"/>
      <c r="S11" s="76"/>
      <c r="T11" s="76"/>
      <c r="AJ11" s="76" t="str">
        <f>"ADD CONSTRAINT "&amp;D$8&amp;"_pkey PRIMARY KEY"</f>
        <v>ADD CONSTRAINT sny_202310_backup_merge_dpc_efn_pkey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898</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milscm_2023_009.sny_202310_backup_merge_dpc_efn.dekidaka_tensu IS '出来高実績点数';</v>
      </c>
    </row>
    <row r="33" spans="1:47" s="25" customFormat="1" ht="56.25">
      <c r="A33" s="4"/>
      <c r="B33" s="21">
        <f t="shared" si="2"/>
        <v>21</v>
      </c>
      <c r="C33" s="6" t="s">
        <v>281</v>
      </c>
      <c r="D33" s="6" t="s">
        <v>132</v>
      </c>
      <c r="E33" s="8"/>
      <c r="F33" s="8" t="s">
        <v>201</v>
      </c>
      <c r="G33" s="7" t="str">
        <f t="shared" si="3"/>
        <v>text</v>
      </c>
      <c r="H33" s="9"/>
      <c r="I33" s="10"/>
      <c r="J33" s="53" t="s">
        <v>298</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milscm_2023_009.sny_202310_backup_merge_dpc_efn.koi_meisai_kubun IS '行為明細区分情報';</v>
      </c>
    </row>
    <row r="34" spans="1:47" s="25" customFormat="1" ht="56.25">
      <c r="A34" s="4"/>
      <c r="B34" s="21">
        <f t="shared" si="2"/>
        <v>22</v>
      </c>
      <c r="C34" s="6" t="s">
        <v>282</v>
      </c>
      <c r="D34" s="6" t="s">
        <v>224</v>
      </c>
      <c r="E34" s="8"/>
      <c r="F34" s="8" t="s">
        <v>225</v>
      </c>
      <c r="G34" s="7" t="str">
        <f t="shared" si="3"/>
        <v>numeric</v>
      </c>
      <c r="H34" s="9"/>
      <c r="I34" s="10"/>
      <c r="J34" s="53"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milscm_2023_009.sny_202310_backup_merge_dpc_efn.nyugai_kubun IS '入外区分';</v>
      </c>
    </row>
    <row r="47" spans="1:47" s="25" customFormat="1" ht="19.5" thickBot="1">
      <c r="A47" s="4"/>
      <c r="B47" s="27">
        <f>ROW()-12</f>
        <v>35</v>
      </c>
      <c r="C47" s="28" t="s">
        <v>294</v>
      </c>
      <c r="D47" s="28" t="s">
        <v>245</v>
      </c>
      <c r="E47" s="29"/>
      <c r="F47" s="29" t="s">
        <v>201</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ENT_01_C1-03</v>
      </c>
      <c r="E6" s="273"/>
      <c r="F6" s="273"/>
      <c r="G6" s="273"/>
      <c r="H6" s="273"/>
      <c r="I6" s="273"/>
      <c r="J6" s="274"/>
    </row>
    <row r="7" spans="1:45">
      <c r="B7" s="262" t="s">
        <v>115</v>
      </c>
      <c r="C7" s="263"/>
      <c r="D7" s="264" t="s">
        <v>180</v>
      </c>
      <c r="E7" s="265"/>
      <c r="F7" s="265"/>
      <c r="G7" s="265"/>
      <c r="H7" s="265"/>
      <c r="I7" s="265"/>
      <c r="J7" s="266"/>
    </row>
    <row r="8" spans="1:45">
      <c r="B8" s="262" t="s">
        <v>116</v>
      </c>
      <c r="C8" s="263"/>
      <c r="D8" s="264" t="str">
        <f>エンティティ一覧!AE2&amp;"_"&amp;D5&amp;"_merge_dpc_efg"</f>
        <v>sny_202310_backup_merge_dpc_efg</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milscm_2023_009.sny_202310_backup_merge_dpc_efg;</v>
      </c>
      <c r="O10" s="76"/>
      <c r="P10" s="76"/>
      <c r="Q10" s="76"/>
      <c r="R10" s="76"/>
      <c r="S10" s="76"/>
      <c r="T10" s="76"/>
      <c r="AJ10" s="76" t="str">
        <f>"ALTER TABLE ONLY "&amp;エンティティ一覧!$O$2&amp;"."&amp;D$8</f>
        <v>ALTER TABLE ONLY milscm_2023_009.sny_202310_backup_merge_dpc_efg</v>
      </c>
      <c r="AS10" s="76" t="str">
        <f>"ALTER TABLE "&amp;エンティティ一覧!$O$2&amp;"."&amp;D$8&amp;" OWNER TO pgmisgrp1;"</f>
        <v>ALTER TABLE milscm_2023_009.sny_202310_backup_merge_dpc_efg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milscm_2023_009.sny_202310_backup_merge_dpc_efg</v>
      </c>
      <c r="O11" s="76"/>
      <c r="P11" s="76"/>
      <c r="Q11" s="76"/>
      <c r="R11" s="76"/>
      <c r="S11" s="76"/>
      <c r="T11" s="76"/>
      <c r="AJ11" s="76" t="str">
        <f>"ADD CONSTRAINT "&amp;D$8&amp;"_pkey PRIMARY KEY"</f>
        <v>ADD CONSTRAINT sny_202310_backup_merge_dpc_efg_pkey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898</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milscm_2023_009.sny_202310_backup_merge_dpc_efg.dekidaka_tensu IS '出来高実績点数';</v>
      </c>
    </row>
    <row r="33" spans="1:47" s="25" customFormat="1" ht="56.25">
      <c r="A33" s="4"/>
      <c r="B33" s="21">
        <f t="shared" si="2"/>
        <v>21</v>
      </c>
      <c r="C33" s="6" t="s">
        <v>338</v>
      </c>
      <c r="D33" s="6" t="s">
        <v>132</v>
      </c>
      <c r="E33" s="8"/>
      <c r="F33" s="7" t="s">
        <v>317</v>
      </c>
      <c r="G33" s="7" t="str">
        <f t="shared" si="3"/>
        <v>text</v>
      </c>
      <c r="H33" s="26"/>
      <c r="I33" s="10"/>
      <c r="J33" s="11" t="s">
        <v>899</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milscm_2023_009.sny_202310_backup_merge_dpc_efg.koi_meisai_kubun IS '行為明細区分情報';</v>
      </c>
    </row>
    <row r="34" spans="1:47" s="25" customFormat="1" ht="56.25">
      <c r="A34" s="4"/>
      <c r="B34" s="21">
        <f t="shared" si="2"/>
        <v>22</v>
      </c>
      <c r="C34" s="13" t="s">
        <v>339</v>
      </c>
      <c r="D34" s="13" t="s">
        <v>340</v>
      </c>
      <c r="E34" s="7"/>
      <c r="F34" s="7" t="s">
        <v>332</v>
      </c>
      <c r="G34" s="7" t="str">
        <f t="shared" si="3"/>
        <v>numeric</v>
      </c>
      <c r="H34" s="58"/>
      <c r="I34" s="23"/>
      <c r="J34" s="24"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milscm_2023_009.sny_202310_backup_merge_dpc_efg.nyugai_kubun IS '入外区分';</v>
      </c>
    </row>
    <row r="47" spans="1:47" s="25" customFormat="1" ht="19.5" thickBot="1">
      <c r="A47" s="4"/>
      <c r="B47" s="27">
        <f>ROW()-12</f>
        <v>35</v>
      </c>
      <c r="C47" s="57" t="s">
        <v>352</v>
      </c>
      <c r="D47" s="57" t="s">
        <v>245</v>
      </c>
      <c r="E47" s="56"/>
      <c r="F47" s="56" t="s">
        <v>317</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ENT_01_C1-04</v>
      </c>
      <c r="E6" s="273"/>
      <c r="F6" s="273"/>
      <c r="G6" s="273"/>
      <c r="H6" s="273"/>
      <c r="I6" s="273"/>
      <c r="J6" s="274"/>
    </row>
    <row r="7" spans="1:45">
      <c r="B7" s="262" t="s">
        <v>115</v>
      </c>
      <c r="C7" s="263"/>
      <c r="D7" s="264" t="s">
        <v>357</v>
      </c>
      <c r="E7" s="265"/>
      <c r="F7" s="265"/>
      <c r="G7" s="265"/>
      <c r="H7" s="265"/>
      <c r="I7" s="265"/>
      <c r="J7" s="266"/>
    </row>
    <row r="8" spans="1:45">
      <c r="B8" s="262" t="s">
        <v>116</v>
      </c>
      <c r="C8" s="263"/>
      <c r="D8" s="264" t="str">
        <f>エンティティ一覧!AE2&amp;"_"&amp;D5&amp;"_merge_dpc_hn"</f>
        <v>sny_202310_backup_merge_dpc_hn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milscm_2023_009.sny_202310_backup_merge_dpc_hn;</v>
      </c>
      <c r="O10" s="76"/>
      <c r="P10" s="76"/>
      <c r="Q10" s="76"/>
      <c r="R10" s="76"/>
      <c r="S10" s="76"/>
      <c r="T10" s="76"/>
      <c r="AJ10" s="76" t="str">
        <f>"ALTER TABLE ONLY "&amp;エンティティ一覧!$O$2&amp;"."&amp;D$8</f>
        <v>ALTER TABLE ONLY milscm_2023_009.sny_202310_backup_merge_dpc_hn</v>
      </c>
      <c r="AS10" s="76" t="str">
        <f>"ALTER TABLE "&amp;エンティティ一覧!$O$2&amp;"."&amp;D$8&amp;" OWNER TO pgmisgrp1;"</f>
        <v>ALTER TABLE milscm_2023_009.sny_202310_backup_merge_dpc_hn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milscm_2023_009.sny_202310_backup_merge_dpc_hn</v>
      </c>
      <c r="O11" s="76"/>
      <c r="P11" s="76"/>
      <c r="Q11" s="76"/>
      <c r="R11" s="76"/>
      <c r="S11" s="76"/>
      <c r="T11" s="76"/>
      <c r="AJ11" s="76" t="str">
        <f>"ADD CONSTRAINT "&amp;D$8&amp;"_pkey PRIMARY KEY"</f>
        <v>ADD CONSTRAINT sny_202310_backup_merge_dpc_hn_pkey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milscm_2023_009.sny_202310_backup_merge_dpc_hn.mil_karute_id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milscm_2023_009.sny_202310_backup_merge_dpc_hn.facility_id IS '施設ID';</v>
      </c>
    </row>
    <row r="16" spans="1:45" s="25" customFormat="1" ht="93.75">
      <c r="B16" s="21">
        <f t="shared" si="2"/>
        <v>4</v>
      </c>
      <c r="C16" s="6" t="s">
        <v>318</v>
      </c>
      <c r="D16" s="6" t="s">
        <v>206</v>
      </c>
      <c r="E16" s="8" t="s">
        <v>127</v>
      </c>
      <c r="F16" s="7" t="s">
        <v>317</v>
      </c>
      <c r="G16" s="7" t="str">
        <f t="shared" si="3"/>
        <v>text</v>
      </c>
      <c r="H16" s="26"/>
      <c r="I16" s="10" t="s">
        <v>127</v>
      </c>
      <c r="J16" s="53" t="s">
        <v>898</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milscm_2023_009.sny_202310_backup_merge_dpc_hn.shikibetsu_no IS 'データ識別番号';</v>
      </c>
    </row>
    <row r="20" spans="1:45" s="25" customFormat="1" ht="37.5">
      <c r="B20" s="21">
        <f t="shared" si="2"/>
        <v>8</v>
      </c>
      <c r="C20" s="6" t="s">
        <v>211</v>
      </c>
      <c r="D20" s="6" t="s">
        <v>212</v>
      </c>
      <c r="E20" s="8" t="s">
        <v>127</v>
      </c>
      <c r="F20" s="7" t="s">
        <v>317</v>
      </c>
      <c r="G20" s="7" t="str">
        <f t="shared" si="3"/>
        <v>text</v>
      </c>
      <c r="H20" s="26"/>
      <c r="I20" s="10" t="s">
        <v>127</v>
      </c>
      <c r="J20" s="11" t="s">
        <v>261</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milscm_2023_009.sny_202310_backup_merge_dpc_hn.number IS '連番';</v>
      </c>
    </row>
    <row r="26" spans="1:45" s="25" customFormat="1" ht="168.75">
      <c r="A26" s="4"/>
      <c r="B26" s="21">
        <f t="shared" si="2"/>
        <v>14</v>
      </c>
      <c r="C26" s="6" t="s">
        <v>364</v>
      </c>
      <c r="D26" s="6" t="s">
        <v>365</v>
      </c>
      <c r="E26" s="8"/>
      <c r="F26" s="7" t="s">
        <v>317</v>
      </c>
      <c r="G26" s="7" t="str">
        <f t="shared" si="3"/>
        <v>text</v>
      </c>
      <c r="H26" s="26"/>
      <c r="I26" s="10"/>
      <c r="J26" s="11" t="s">
        <v>543</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milscm_2023_009.sny_202310_backup_merge_dpc_hn.ass0010_tenteki_kanri IS '点滴ライン同時3本以上の管理';</v>
      </c>
    </row>
    <row r="29" spans="1:45" s="25" customFormat="1">
      <c r="A29" s="4"/>
      <c r="B29" s="21">
        <f t="shared" si="2"/>
        <v>17</v>
      </c>
      <c r="C29" s="6" t="s">
        <v>370</v>
      </c>
      <c r="D29" s="6" t="s">
        <v>371</v>
      </c>
      <c r="E29" s="8"/>
      <c r="F29" s="7" t="s">
        <v>317</v>
      </c>
      <c r="G29" s="7" t="str">
        <f t="shared" si="3"/>
        <v>text</v>
      </c>
      <c r="H29" s="26"/>
      <c r="I29" s="10"/>
      <c r="J29" s="11" t="s">
        <v>544</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milscm_2023_009.sny_202310_backup_merge_dpc_hn.ass0010_shindenzu_kanri IS '心電図モニターの管理';</v>
      </c>
    </row>
    <row r="30" spans="1:45" s="25" customFormat="1" ht="31.5">
      <c r="A30" s="4"/>
      <c r="B30" s="21">
        <f t="shared" si="2"/>
        <v>18</v>
      </c>
      <c r="C30" s="13" t="s">
        <v>372</v>
      </c>
      <c r="D30" s="13" t="s">
        <v>373</v>
      </c>
      <c r="E30" s="7"/>
      <c r="F30" s="7" t="s">
        <v>317</v>
      </c>
      <c r="G30" s="7" t="str">
        <f t="shared" si="3"/>
        <v>text</v>
      </c>
      <c r="H30" s="58"/>
      <c r="I30" s="23"/>
      <c r="J30" s="24" t="s">
        <v>544</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milscm_2023_009.sny_202310_backup_merge_dpc_hn.ass0010_syringe_pump_kanri IS 'シリンジポンプの管理';</v>
      </c>
    </row>
    <row r="31" spans="1:45" s="25" customFormat="1" ht="31.5">
      <c r="A31" s="4"/>
      <c r="B31" s="21">
        <f t="shared" si="2"/>
        <v>19</v>
      </c>
      <c r="C31" s="6" t="s">
        <v>374</v>
      </c>
      <c r="D31" s="6" t="s">
        <v>375</v>
      </c>
      <c r="E31" s="8"/>
      <c r="F31" s="7" t="s">
        <v>317</v>
      </c>
      <c r="G31" s="7" t="str">
        <f t="shared" si="3"/>
        <v>text</v>
      </c>
      <c r="H31" s="26"/>
      <c r="I31" s="10"/>
      <c r="J31" s="11" t="s">
        <v>544</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milscm_2023_009.sny_202310_backup_merge_dpc_hn.ass0010_blood_products_kanri IS '輸血や血液製剤の管理';</v>
      </c>
    </row>
    <row r="32" spans="1:45" s="25" customFormat="1" ht="281.25">
      <c r="A32" s="4"/>
      <c r="B32" s="21">
        <f t="shared" si="2"/>
        <v>20</v>
      </c>
      <c r="C32" s="13" t="s">
        <v>376</v>
      </c>
      <c r="D32" s="13" t="s">
        <v>377</v>
      </c>
      <c r="E32" s="7"/>
      <c r="F32" s="7" t="s">
        <v>317</v>
      </c>
      <c r="G32" s="7" t="str">
        <f t="shared" si="3"/>
        <v>text</v>
      </c>
      <c r="H32" s="58"/>
      <c r="I32" s="23"/>
      <c r="J32" s="24" t="s">
        <v>545</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milscm_2023_009.sny_202310_backup_merge_dpc_hn.ass0010_expert_chiryo IS '専門的な治療・処置';</v>
      </c>
    </row>
    <row r="33" spans="1:52" s="25" customFormat="1">
      <c r="A33" s="4"/>
      <c r="B33" s="21">
        <f t="shared" si="2"/>
        <v>21</v>
      </c>
      <c r="C33" s="6" t="s">
        <v>378</v>
      </c>
      <c r="D33" s="6" t="s">
        <v>379</v>
      </c>
      <c r="E33" s="8"/>
      <c r="F33" s="7" t="s">
        <v>317</v>
      </c>
      <c r="G33" s="7" t="str">
        <f t="shared" si="3"/>
        <v>text</v>
      </c>
      <c r="H33" s="26"/>
      <c r="I33" s="10"/>
      <c r="J33" s="11" t="s">
        <v>544</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milscm_2023_009.sny_202310_backup_merge_dpc_hn.ass0010_hanso_nyuin_flag IS '救急搬送後の入院';</v>
      </c>
    </row>
    <row r="34" spans="1:52" s="25" customFormat="1" ht="168.75">
      <c r="A34" s="4"/>
      <c r="B34" s="21">
        <f t="shared" si="2"/>
        <v>22</v>
      </c>
      <c r="C34" s="13" t="s">
        <v>364</v>
      </c>
      <c r="D34" s="13" t="s">
        <v>380</v>
      </c>
      <c r="E34" s="7"/>
      <c r="F34" s="7" t="s">
        <v>317</v>
      </c>
      <c r="G34" s="7" t="str">
        <f t="shared" si="3"/>
        <v>text</v>
      </c>
      <c r="H34" s="58"/>
      <c r="I34" s="23"/>
      <c r="J34" s="24" t="s">
        <v>543</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milscm_2023_009.sny_202310_backup_merge_dpc_hn.ass0011_tenteki_kanri IS '点滴ライン同時3本以上の管理';</v>
      </c>
    </row>
    <row r="37" spans="1:52" s="25" customFormat="1">
      <c r="A37" s="4"/>
      <c r="B37" s="21">
        <f t="shared" si="2"/>
        <v>25</v>
      </c>
      <c r="C37" s="13" t="s">
        <v>370</v>
      </c>
      <c r="D37" s="13" t="s">
        <v>383</v>
      </c>
      <c r="E37" s="7"/>
      <c r="F37" s="7" t="s">
        <v>317</v>
      </c>
      <c r="G37" s="7" t="str">
        <f t="shared" si="3"/>
        <v>text</v>
      </c>
      <c r="H37" s="58"/>
      <c r="I37" s="23"/>
      <c r="J37" s="24" t="s">
        <v>544</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milscm_2023_009.sny_202310_backup_merge_dpc_hn.ass0011_shindenzu_kanri IS '心電図モニターの管理';</v>
      </c>
    </row>
    <row r="38" spans="1:52" s="25" customFormat="1" ht="31.5">
      <c r="A38" s="4"/>
      <c r="B38" s="21">
        <f t="shared" si="2"/>
        <v>26</v>
      </c>
      <c r="C38" s="6" t="s">
        <v>372</v>
      </c>
      <c r="D38" s="6" t="s">
        <v>384</v>
      </c>
      <c r="E38" s="8"/>
      <c r="F38" s="7" t="s">
        <v>317</v>
      </c>
      <c r="G38" s="7" t="str">
        <f t="shared" si="3"/>
        <v>text</v>
      </c>
      <c r="H38" s="26"/>
      <c r="I38" s="10"/>
      <c r="J38" s="11" t="s">
        <v>544</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milscm_2023_009.sny_202310_backup_merge_dpc_hn.ass0011_syringe_pump_kanri IS 'シリンジポンプの管理';</v>
      </c>
    </row>
    <row r="39" spans="1:52" s="25" customFormat="1" ht="31.5">
      <c r="A39" s="4"/>
      <c r="B39" s="21">
        <f t="shared" si="2"/>
        <v>27</v>
      </c>
      <c r="C39" s="13" t="s">
        <v>374</v>
      </c>
      <c r="D39" s="13" t="s">
        <v>385</v>
      </c>
      <c r="E39" s="7"/>
      <c r="F39" s="7" t="s">
        <v>317</v>
      </c>
      <c r="G39" s="7" t="str">
        <f t="shared" si="3"/>
        <v>text</v>
      </c>
      <c r="H39" s="58"/>
      <c r="I39" s="23"/>
      <c r="J39" s="24" t="s">
        <v>544</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milscm_2023_009.sny_202310_backup_merge_dpc_hn.ass0011_blood_products_kanri IS '輸血や血液製剤の管理';</v>
      </c>
    </row>
    <row r="40" spans="1:52" s="25" customFormat="1" ht="150">
      <c r="A40" s="4"/>
      <c r="B40" s="21">
        <f t="shared" si="2"/>
        <v>28</v>
      </c>
      <c r="C40" s="6" t="s">
        <v>386</v>
      </c>
      <c r="D40" s="6" t="s">
        <v>387</v>
      </c>
      <c r="E40" s="8"/>
      <c r="F40" s="7" t="s">
        <v>317</v>
      </c>
      <c r="G40" s="7" t="str">
        <f t="shared" si="3"/>
        <v>text</v>
      </c>
      <c r="H40" s="26"/>
      <c r="I40" s="10"/>
      <c r="J40" s="11" t="s">
        <v>546</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milscm_2023_009.sny_202310_backup_merge_dpc_hn.ass0011_expert_chiryo_sankoumoku IS '専門的な治療・処置（3項目）';</v>
      </c>
    </row>
    <row r="41" spans="1:52" s="25" customFormat="1">
      <c r="A41" s="4"/>
      <c r="B41" s="21">
        <f t="shared" si="2"/>
        <v>29</v>
      </c>
      <c r="C41" s="13" t="s">
        <v>378</v>
      </c>
      <c r="D41" s="13" t="s">
        <v>388</v>
      </c>
      <c r="E41" s="7"/>
      <c r="F41" s="7" t="s">
        <v>317</v>
      </c>
      <c r="G41" s="7" t="str">
        <f t="shared" si="3"/>
        <v>text</v>
      </c>
      <c r="H41" s="58"/>
      <c r="I41" s="23"/>
      <c r="J41" s="24" t="s">
        <v>544</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milscm_2023_009.sny_202310_backup_merge_dpc_hn.ass0011_hanso_nyuin_flag IS '救急搬送後の入院';</v>
      </c>
    </row>
    <row r="42" spans="1:52" s="25" customFormat="1" ht="168.75">
      <c r="A42" s="4"/>
      <c r="B42" s="21">
        <f t="shared" si="2"/>
        <v>30</v>
      </c>
      <c r="C42" s="6" t="s">
        <v>364</v>
      </c>
      <c r="D42" s="6" t="s">
        <v>389</v>
      </c>
      <c r="E42" s="8"/>
      <c r="F42" s="7" t="s">
        <v>317</v>
      </c>
      <c r="G42" s="7" t="str">
        <f t="shared" si="3"/>
        <v>text</v>
      </c>
      <c r="H42" s="26"/>
      <c r="I42" s="10"/>
      <c r="J42" s="11" t="s">
        <v>543</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milscm_2023_009.sny_202310_backup_merge_dpc_hn.ass0012_sosho_shochi IS '創傷処置';</v>
      </c>
    </row>
    <row r="43" spans="1:52" s="25" customFormat="1" ht="31.5">
      <c r="A43" s="4"/>
      <c r="B43" s="21">
        <f t="shared" si="2"/>
        <v>31</v>
      </c>
      <c r="C43" s="13" t="s">
        <v>390</v>
      </c>
      <c r="D43" s="13" t="s">
        <v>391</v>
      </c>
      <c r="E43" s="7"/>
      <c r="F43" s="7" t="s">
        <v>317</v>
      </c>
      <c r="G43" s="7" t="str">
        <f t="shared" si="3"/>
        <v>text</v>
      </c>
      <c r="H43" s="58"/>
      <c r="I43" s="23"/>
      <c r="J43" s="24" t="s">
        <v>544</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milscm_2023_009.sny_202310_backup_merge_dpc_hn.ass0012_chusya_kanri IS '注射薬剤３種類以上の管理';</v>
      </c>
    </row>
    <row r="45" spans="1:52" s="25" customFormat="1" ht="31.5">
      <c r="A45" s="4"/>
      <c r="B45" s="21">
        <f t="shared" si="2"/>
        <v>33</v>
      </c>
      <c r="C45" s="13" t="s">
        <v>372</v>
      </c>
      <c r="D45" s="13" t="s">
        <v>394</v>
      </c>
      <c r="E45" s="7"/>
      <c r="F45" s="7" t="s">
        <v>317</v>
      </c>
      <c r="G45" s="7" t="str">
        <f t="shared" si="3"/>
        <v>text</v>
      </c>
      <c r="H45" s="58"/>
      <c r="I45" s="23"/>
      <c r="J45" s="24" t="s">
        <v>544</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milscm_2023_009.sny_202310_backup_merge_dpc_hn.ass0012_syringe_pump_kanri IS 'シリンジポンプの管理';</v>
      </c>
    </row>
    <row r="46" spans="1:52" s="25" customFormat="1" ht="31.5">
      <c r="A46" s="4"/>
      <c r="B46" s="21">
        <f t="shared" si="2"/>
        <v>34</v>
      </c>
      <c r="C46" s="13" t="s">
        <v>374</v>
      </c>
      <c r="D46" s="13" t="s">
        <v>395</v>
      </c>
      <c r="E46" s="7"/>
      <c r="F46" s="7" t="s">
        <v>317</v>
      </c>
      <c r="G46" s="7" t="str">
        <f t="shared" si="3"/>
        <v>text</v>
      </c>
      <c r="H46" s="58"/>
      <c r="I46" s="23"/>
      <c r="J46" s="24" t="s">
        <v>544</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milscm_2023_009.sny_202310_backup_merge_dpc_hn.ass0012_blood_products_kanri IS '輸血や血液製剤の管理';</v>
      </c>
    </row>
    <row r="47" spans="1:52" s="25" customFormat="1" ht="150">
      <c r="A47" s="4"/>
      <c r="B47" s="21">
        <f t="shared" si="2"/>
        <v>35</v>
      </c>
      <c r="C47" s="13" t="s">
        <v>376</v>
      </c>
      <c r="D47" s="13" t="s">
        <v>396</v>
      </c>
      <c r="E47" s="7"/>
      <c r="F47" s="7" t="s">
        <v>317</v>
      </c>
      <c r="G47" s="7" t="str">
        <f t="shared" si="3"/>
        <v>text</v>
      </c>
      <c r="H47" s="58"/>
      <c r="I47" s="23"/>
      <c r="J47" s="24" t="s">
        <v>546</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milscm_2023_009.sny_202310_backup_merge_dpc_hn.ass0012_expert_chiryo IS '専門的な治療・処置';</v>
      </c>
      <c r="AT47" s="4"/>
      <c r="AU47" s="4"/>
    </row>
    <row r="48" spans="1:52" s="25" customFormat="1">
      <c r="A48" s="4"/>
      <c r="B48" s="21">
        <f t="shared" si="2"/>
        <v>36</v>
      </c>
      <c r="C48" s="6" t="s">
        <v>378</v>
      </c>
      <c r="D48" s="6" t="s">
        <v>397</v>
      </c>
      <c r="E48" s="8"/>
      <c r="F48" s="7" t="s">
        <v>317</v>
      </c>
      <c r="G48" s="7" t="str">
        <f t="shared" si="3"/>
        <v>text</v>
      </c>
      <c r="H48" s="26"/>
      <c r="I48" s="10"/>
      <c r="J48" s="11" t="s">
        <v>544</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7.5">
      <c r="A49" s="4"/>
      <c r="B49" s="21">
        <f t="shared" si="2"/>
        <v>37</v>
      </c>
      <c r="C49" s="13" t="s">
        <v>398</v>
      </c>
      <c r="D49" s="13" t="s">
        <v>399</v>
      </c>
      <c r="E49" s="7"/>
      <c r="F49" s="7" t="s">
        <v>317</v>
      </c>
      <c r="G49" s="7" t="str">
        <f t="shared" si="3"/>
        <v>text</v>
      </c>
      <c r="H49" s="58"/>
      <c r="I49" s="23"/>
      <c r="J49" s="24" t="s">
        <v>547</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c r="A53" s="4"/>
      <c r="B53" s="21">
        <f t="shared" si="2"/>
        <v>41</v>
      </c>
      <c r="C53" s="6" t="s">
        <v>406</v>
      </c>
      <c r="D53" s="6" t="s">
        <v>407</v>
      </c>
      <c r="E53" s="8"/>
      <c r="F53" s="7" t="s">
        <v>317</v>
      </c>
      <c r="G53" s="7" t="str">
        <f t="shared" si="3"/>
        <v>text</v>
      </c>
      <c r="H53" s="26"/>
      <c r="I53" s="10"/>
      <c r="J53" s="11" t="s">
        <v>548</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7.5">
      <c r="A56" s="4"/>
      <c r="B56" s="21">
        <f t="shared" si="2"/>
        <v>44</v>
      </c>
      <c r="C56" s="13" t="s">
        <v>398</v>
      </c>
      <c r="D56" s="13" t="s">
        <v>412</v>
      </c>
      <c r="E56" s="7"/>
      <c r="F56" s="7" t="s">
        <v>317</v>
      </c>
      <c r="G56" s="7" t="str">
        <f t="shared" si="3"/>
        <v>text</v>
      </c>
      <c r="H56" s="58"/>
      <c r="I56" s="23"/>
      <c r="J56" s="24" t="s">
        <v>547</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1.5">
      <c r="A58" s="4"/>
      <c r="B58" s="21">
        <f t="shared" si="2"/>
        <v>46</v>
      </c>
      <c r="C58" s="13" t="s">
        <v>415</v>
      </c>
      <c r="D58" s="13" t="s">
        <v>416</v>
      </c>
      <c r="E58" s="7"/>
      <c r="F58" s="7" t="s">
        <v>317</v>
      </c>
      <c r="G58" s="7" t="str">
        <f t="shared" si="3"/>
        <v>text</v>
      </c>
      <c r="H58" s="58"/>
      <c r="I58" s="23"/>
      <c r="J58" s="24" t="s">
        <v>553</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1.5">
      <c r="A59" s="4"/>
      <c r="B59" s="21">
        <f t="shared" si="2"/>
        <v>47</v>
      </c>
      <c r="C59" s="6" t="s">
        <v>417</v>
      </c>
      <c r="D59" s="6" t="s">
        <v>418</v>
      </c>
      <c r="E59" s="8"/>
      <c r="F59" s="7" t="s">
        <v>317</v>
      </c>
      <c r="G59" s="7" t="str">
        <f t="shared" si="3"/>
        <v>text</v>
      </c>
      <c r="H59" s="26"/>
      <c r="I59" s="10"/>
      <c r="J59" s="11" t="s">
        <v>552</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1.5">
      <c r="A60" s="4"/>
      <c r="B60" s="21">
        <f t="shared" si="2"/>
        <v>48</v>
      </c>
      <c r="C60" s="13" t="s">
        <v>419</v>
      </c>
      <c r="D60" s="13" t="s">
        <v>420</v>
      </c>
      <c r="E60" s="7"/>
      <c r="F60" s="7" t="s">
        <v>317</v>
      </c>
      <c r="G60" s="7" t="str">
        <f t="shared" si="3"/>
        <v>text</v>
      </c>
      <c r="H60" s="58"/>
      <c r="I60" s="23"/>
      <c r="J60" s="24" t="s">
        <v>552</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1.5">
      <c r="A64" s="4"/>
      <c r="B64" s="21">
        <f t="shared" si="2"/>
        <v>52</v>
      </c>
      <c r="C64" s="13" t="s">
        <v>425</v>
      </c>
      <c r="D64" s="13" t="s">
        <v>426</v>
      </c>
      <c r="E64" s="7"/>
      <c r="F64" s="7" t="s">
        <v>317</v>
      </c>
      <c r="G64" s="7" t="str">
        <f t="shared" si="3"/>
        <v>text</v>
      </c>
      <c r="H64" s="58"/>
      <c r="I64" s="23"/>
      <c r="J64" s="24" t="s">
        <v>554</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1.5">
      <c r="A65" s="4"/>
      <c r="B65" s="21">
        <f t="shared" si="2"/>
        <v>53</v>
      </c>
      <c r="C65" s="6" t="s">
        <v>427</v>
      </c>
      <c r="D65" s="6" t="s">
        <v>428</v>
      </c>
      <c r="E65" s="8"/>
      <c r="F65" s="7" t="s">
        <v>317</v>
      </c>
      <c r="G65" s="7" t="str">
        <f t="shared" si="3"/>
        <v>text</v>
      </c>
      <c r="H65" s="26"/>
      <c r="I65" s="10"/>
      <c r="J65" s="11" t="s">
        <v>554</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1.5">
      <c r="A66" s="4"/>
      <c r="B66" s="21">
        <f t="shared" si="2"/>
        <v>54</v>
      </c>
      <c r="C66" s="13" t="s">
        <v>429</v>
      </c>
      <c r="D66" s="13" t="s">
        <v>430</v>
      </c>
      <c r="E66" s="7"/>
      <c r="F66" s="7" t="s">
        <v>317</v>
      </c>
      <c r="G66" s="7" t="str">
        <f t="shared" si="3"/>
        <v>text</v>
      </c>
      <c r="H66" s="58"/>
      <c r="I66" s="23"/>
      <c r="J66" s="24" t="s">
        <v>554</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1.5">
      <c r="A67" s="4"/>
      <c r="B67" s="21">
        <f t="shared" si="2"/>
        <v>55</v>
      </c>
      <c r="C67" s="6" t="s">
        <v>431</v>
      </c>
      <c r="D67" s="6" t="s">
        <v>432</v>
      </c>
      <c r="E67" s="8"/>
      <c r="F67" s="7" t="s">
        <v>317</v>
      </c>
      <c r="G67" s="7" t="str">
        <f t="shared" si="3"/>
        <v>text</v>
      </c>
      <c r="H67" s="26"/>
      <c r="I67" s="10"/>
      <c r="J67" s="11" t="s">
        <v>544</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1.5">
      <c r="A68" s="4"/>
      <c r="B68" s="21">
        <f t="shared" si="2"/>
        <v>56</v>
      </c>
      <c r="C68" s="13" t="s">
        <v>433</v>
      </c>
      <c r="D68" s="13" t="s">
        <v>434</v>
      </c>
      <c r="E68" s="7"/>
      <c r="F68" s="7" t="s">
        <v>317</v>
      </c>
      <c r="G68" s="7" t="str">
        <f t="shared" si="3"/>
        <v>text</v>
      </c>
      <c r="H68" s="58"/>
      <c r="I68" s="23"/>
      <c r="J68" s="24" t="s">
        <v>544</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1.5">
      <c r="A69" s="4"/>
      <c r="B69" s="21">
        <f t="shared" si="2"/>
        <v>57</v>
      </c>
      <c r="C69" s="6" t="s">
        <v>435</v>
      </c>
      <c r="D69" s="6" t="s">
        <v>436</v>
      </c>
      <c r="E69" s="8"/>
      <c r="F69" s="7" t="s">
        <v>317</v>
      </c>
      <c r="G69" s="7" t="str">
        <f t="shared" si="3"/>
        <v>text</v>
      </c>
      <c r="H69" s="26"/>
      <c r="I69" s="10"/>
      <c r="J69" s="11" t="s">
        <v>544</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1.5">
      <c r="A70" s="4"/>
      <c r="B70" s="21">
        <f t="shared" si="2"/>
        <v>58</v>
      </c>
      <c r="C70" s="6" t="s">
        <v>437</v>
      </c>
      <c r="D70" s="6" t="s">
        <v>438</v>
      </c>
      <c r="E70" s="8"/>
      <c r="F70" s="7" t="s">
        <v>317</v>
      </c>
      <c r="G70" s="7" t="str">
        <f t="shared" si="3"/>
        <v>text</v>
      </c>
      <c r="H70" s="26"/>
      <c r="I70" s="10"/>
      <c r="J70" s="11" t="s">
        <v>544</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1.5">
      <c r="A71" s="4"/>
      <c r="B71" s="21">
        <f t="shared" si="2"/>
        <v>59</v>
      </c>
      <c r="C71" s="13" t="s">
        <v>439</v>
      </c>
      <c r="D71" s="13" t="s">
        <v>440</v>
      </c>
      <c r="E71" s="7"/>
      <c r="F71" s="7" t="s">
        <v>317</v>
      </c>
      <c r="G71" s="7" t="str">
        <f t="shared" si="3"/>
        <v>text</v>
      </c>
      <c r="H71" s="58"/>
      <c r="I71" s="23"/>
      <c r="J71" s="24" t="s">
        <v>544</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1.5">
      <c r="A72" s="4"/>
      <c r="B72" s="21">
        <f t="shared" si="2"/>
        <v>60</v>
      </c>
      <c r="C72" s="6" t="s">
        <v>441</v>
      </c>
      <c r="D72" s="6" t="s">
        <v>442</v>
      </c>
      <c r="E72" s="8"/>
      <c r="F72" s="7" t="s">
        <v>317</v>
      </c>
      <c r="G72" s="7" t="str">
        <f t="shared" si="3"/>
        <v>text</v>
      </c>
      <c r="H72" s="26"/>
      <c r="I72" s="10"/>
      <c r="J72" s="11" t="s">
        <v>544</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443</v>
      </c>
      <c r="D73" s="13" t="s">
        <v>444</v>
      </c>
      <c r="E73" s="7"/>
      <c r="F73" s="7" t="s">
        <v>317</v>
      </c>
      <c r="G73" s="7" t="str">
        <f t="shared" si="3"/>
        <v>text</v>
      </c>
      <c r="H73" s="58"/>
      <c r="I73" s="23"/>
      <c r="J73" s="24" t="s">
        <v>555</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c r="A74" s="4"/>
      <c r="B74" s="21">
        <f t="shared" si="2"/>
        <v>62</v>
      </c>
      <c r="C74" s="6" t="s">
        <v>370</v>
      </c>
      <c r="D74" s="6" t="s">
        <v>445</v>
      </c>
      <c r="E74" s="8"/>
      <c r="F74" s="7" t="s">
        <v>317</v>
      </c>
      <c r="G74" s="7" t="str">
        <f t="shared" si="3"/>
        <v>text</v>
      </c>
      <c r="H74" s="26"/>
      <c r="I74" s="10"/>
      <c r="J74" s="11" t="s">
        <v>544</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1.5">
      <c r="A75" s="4"/>
      <c r="B75" s="21">
        <f t="shared" si="2"/>
        <v>63</v>
      </c>
      <c r="C75" s="13" t="s">
        <v>446</v>
      </c>
      <c r="D75" s="13" t="s">
        <v>447</v>
      </c>
      <c r="E75" s="7"/>
      <c r="F75" s="7" t="s">
        <v>317</v>
      </c>
      <c r="G75" s="7" t="str">
        <f t="shared" si="3"/>
        <v>text</v>
      </c>
      <c r="H75" s="58"/>
      <c r="I75" s="23"/>
      <c r="J75" s="24" t="s">
        <v>544</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c r="A76" s="4"/>
      <c r="B76" s="21">
        <f t="shared" si="2"/>
        <v>64</v>
      </c>
      <c r="C76" s="6" t="s">
        <v>448</v>
      </c>
      <c r="D76" s="6" t="s">
        <v>449</v>
      </c>
      <c r="E76" s="8"/>
      <c r="F76" s="7" t="s">
        <v>317</v>
      </c>
      <c r="G76" s="7" t="str">
        <f t="shared" si="3"/>
        <v>text</v>
      </c>
      <c r="H76" s="26"/>
      <c r="I76" s="10"/>
      <c r="J76" s="11" t="s">
        <v>544</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1.5">
      <c r="A77" s="4"/>
      <c r="B77" s="21">
        <f t="shared" si="2"/>
        <v>65</v>
      </c>
      <c r="C77" s="13" t="s">
        <v>372</v>
      </c>
      <c r="D77" s="13" t="s">
        <v>450</v>
      </c>
      <c r="E77" s="7"/>
      <c r="F77" s="7" t="s">
        <v>317</v>
      </c>
      <c r="G77" s="7" t="str">
        <f t="shared" si="3"/>
        <v>text</v>
      </c>
      <c r="H77" s="58"/>
      <c r="I77" s="23"/>
      <c r="J77" s="24" t="s">
        <v>544</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1.5">
      <c r="A78" s="4"/>
      <c r="B78" s="21">
        <f t="shared" si="2"/>
        <v>66</v>
      </c>
      <c r="C78" s="6" t="s">
        <v>451</v>
      </c>
      <c r="D78" s="6" t="s">
        <v>452</v>
      </c>
      <c r="E78" s="8"/>
      <c r="F78" s="7" t="s">
        <v>317</v>
      </c>
      <c r="G78" s="7" t="str">
        <f t="shared" si="3"/>
        <v>text</v>
      </c>
      <c r="H78" s="26"/>
      <c r="I78" s="10"/>
      <c r="J78" s="11" t="s">
        <v>544</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453</v>
      </c>
      <c r="D79" s="13" t="s">
        <v>454</v>
      </c>
      <c r="E79" s="7"/>
      <c r="F79" s="7" t="s">
        <v>317</v>
      </c>
      <c r="G79" s="7" t="str">
        <f t="shared" si="3"/>
        <v>text</v>
      </c>
      <c r="H79" s="58"/>
      <c r="I79" s="23"/>
      <c r="J79" s="24" t="s">
        <v>544</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1.5">
      <c r="A80" s="4"/>
      <c r="B80" s="21">
        <f t="shared" si="2"/>
        <v>68</v>
      </c>
      <c r="C80" s="13" t="s">
        <v>374</v>
      </c>
      <c r="D80" s="13" t="s">
        <v>455</v>
      </c>
      <c r="E80" s="7"/>
      <c r="F80" s="7" t="s">
        <v>317</v>
      </c>
      <c r="G80" s="7" t="str">
        <f t="shared" si="3"/>
        <v>text</v>
      </c>
      <c r="H80" s="58"/>
      <c r="I80" s="23"/>
      <c r="J80" s="24" t="s">
        <v>544</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1.5">
      <c r="A81" s="4"/>
      <c r="B81" s="21">
        <f t="shared" si="2"/>
        <v>69</v>
      </c>
      <c r="C81" s="13" t="s">
        <v>456</v>
      </c>
      <c r="D81" s="13" t="s">
        <v>457</v>
      </c>
      <c r="E81" s="7"/>
      <c r="F81" s="7" t="s">
        <v>317</v>
      </c>
      <c r="G81" s="7" t="str">
        <f t="shared" si="3"/>
        <v>text</v>
      </c>
      <c r="H81" s="58"/>
      <c r="I81" s="23"/>
      <c r="J81" s="24" t="s">
        <v>544</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1.5">
      <c r="A83" s="4"/>
      <c r="B83" s="21">
        <f t="shared" si="2"/>
        <v>71</v>
      </c>
      <c r="C83" s="13" t="s">
        <v>446</v>
      </c>
      <c r="D83" s="13" t="s">
        <v>460</v>
      </c>
      <c r="E83" s="7"/>
      <c r="F83" s="7" t="s">
        <v>317</v>
      </c>
      <c r="G83" s="7" t="str">
        <f t="shared" si="3"/>
        <v>text</v>
      </c>
      <c r="H83" s="58"/>
      <c r="I83" s="23"/>
      <c r="J83" s="24" t="s">
        <v>544</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1.5">
      <c r="A84" s="4"/>
      <c r="B84" s="21">
        <f t="shared" si="2"/>
        <v>72</v>
      </c>
      <c r="C84" s="6" t="s">
        <v>461</v>
      </c>
      <c r="D84" s="6" t="s">
        <v>462</v>
      </c>
      <c r="E84" s="8"/>
      <c r="F84" s="7" t="s">
        <v>317</v>
      </c>
      <c r="G84" s="7" t="str">
        <f t="shared" si="3"/>
        <v>text</v>
      </c>
      <c r="H84" s="26"/>
      <c r="I84" s="10"/>
      <c r="J84" s="11" t="s">
        <v>544</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1.5">
      <c r="A85" s="4"/>
      <c r="B85" s="21">
        <f t="shared" si="2"/>
        <v>73</v>
      </c>
      <c r="C85" s="13" t="s">
        <v>372</v>
      </c>
      <c r="D85" s="13" t="s">
        <v>463</v>
      </c>
      <c r="E85" s="7"/>
      <c r="F85" s="7" t="s">
        <v>317</v>
      </c>
      <c r="G85" s="7" t="str">
        <f t="shared" si="3"/>
        <v>text</v>
      </c>
      <c r="H85" s="58"/>
      <c r="I85" s="23"/>
      <c r="J85" s="24" t="s">
        <v>544</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1.5">
      <c r="A86" s="4"/>
      <c r="B86" s="21">
        <f t="shared" si="2"/>
        <v>74</v>
      </c>
      <c r="C86" s="6" t="s">
        <v>451</v>
      </c>
      <c r="D86" s="6" t="s">
        <v>464</v>
      </c>
      <c r="E86" s="8"/>
      <c r="F86" s="7" t="s">
        <v>317</v>
      </c>
      <c r="G86" s="7" t="str">
        <f t="shared" si="3"/>
        <v>text</v>
      </c>
      <c r="H86" s="26"/>
      <c r="I86" s="10"/>
      <c r="J86" s="11" t="s">
        <v>544</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465</v>
      </c>
      <c r="D87" s="6" t="s">
        <v>466</v>
      </c>
      <c r="E87" s="8"/>
      <c r="F87" s="7" t="s">
        <v>317</v>
      </c>
      <c r="G87" s="7" t="str">
        <f t="shared" si="3"/>
        <v>text</v>
      </c>
      <c r="H87" s="26"/>
      <c r="I87" s="10"/>
      <c r="J87" s="11" t="s">
        <v>544</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1.5">
      <c r="A88" s="4"/>
      <c r="B88" s="21">
        <f t="shared" si="2"/>
        <v>76</v>
      </c>
      <c r="C88" s="13" t="s">
        <v>374</v>
      </c>
      <c r="D88" s="13" t="s">
        <v>467</v>
      </c>
      <c r="E88" s="7"/>
      <c r="F88" s="7" t="s">
        <v>317</v>
      </c>
      <c r="G88" s="7" t="str">
        <f t="shared" si="3"/>
        <v>text</v>
      </c>
      <c r="H88" s="58"/>
      <c r="I88" s="23"/>
      <c r="J88" s="24" t="s">
        <v>544</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1.5">
      <c r="A89" s="4"/>
      <c r="B89" s="21">
        <f t="shared" si="2"/>
        <v>77</v>
      </c>
      <c r="C89" s="6" t="s">
        <v>468</v>
      </c>
      <c r="D89" s="6" t="s">
        <v>469</v>
      </c>
      <c r="E89" s="8"/>
      <c r="F89" s="7" t="s">
        <v>317</v>
      </c>
      <c r="G89" s="7" t="str">
        <f t="shared" si="3"/>
        <v>text</v>
      </c>
      <c r="H89" s="26"/>
      <c r="I89" s="10"/>
      <c r="J89" s="11" t="s">
        <v>544</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7.5">
      <c r="A91" s="4"/>
      <c r="B91" s="21">
        <f t="shared" si="2"/>
        <v>79</v>
      </c>
      <c r="C91" s="6" t="s">
        <v>398</v>
      </c>
      <c r="D91" s="6" t="s">
        <v>471</v>
      </c>
      <c r="E91" s="8"/>
      <c r="F91" s="7" t="s">
        <v>317</v>
      </c>
      <c r="G91" s="7" t="str">
        <f t="shared" si="3"/>
        <v>text</v>
      </c>
      <c r="H91" s="26"/>
      <c r="I91" s="10"/>
      <c r="J91" s="11" t="s">
        <v>547</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c r="A95" s="4"/>
      <c r="B95" s="21">
        <f t="shared" si="2"/>
        <v>83</v>
      </c>
      <c r="C95" s="6" t="s">
        <v>406</v>
      </c>
      <c r="D95" s="6" t="s">
        <v>475</v>
      </c>
      <c r="E95" s="8"/>
      <c r="F95" s="7" t="s">
        <v>317</v>
      </c>
      <c r="G95" s="7" t="str">
        <f t="shared" si="3"/>
        <v>text</v>
      </c>
      <c r="H95" s="26"/>
      <c r="I95" s="10"/>
      <c r="J95" s="11" t="s">
        <v>548</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7.5">
      <c r="A98" s="4"/>
      <c r="B98" s="21">
        <f t="shared" si="2"/>
        <v>86</v>
      </c>
      <c r="C98" s="13" t="s">
        <v>398</v>
      </c>
      <c r="D98" s="13" t="s">
        <v>478</v>
      </c>
      <c r="E98" s="7"/>
      <c r="F98" s="7" t="s">
        <v>317</v>
      </c>
      <c r="G98" s="7" t="str">
        <f t="shared" si="3"/>
        <v>text</v>
      </c>
      <c r="H98" s="58"/>
      <c r="I98" s="23"/>
      <c r="J98" s="24" t="s">
        <v>547</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1.5">
      <c r="A100" s="4"/>
      <c r="B100" s="21">
        <f t="shared" si="2"/>
        <v>88</v>
      </c>
      <c r="C100" s="13" t="s">
        <v>415</v>
      </c>
      <c r="D100" s="13" t="s">
        <v>480</v>
      </c>
      <c r="E100" s="7"/>
      <c r="F100" s="7" t="s">
        <v>317</v>
      </c>
      <c r="G100" s="7" t="str">
        <f t="shared" si="3"/>
        <v>text</v>
      </c>
      <c r="H100" s="58"/>
      <c r="I100" s="23"/>
      <c r="J100" s="24" t="s">
        <v>553</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417</v>
      </c>
      <c r="D101" s="6" t="s">
        <v>481</v>
      </c>
      <c r="E101" s="8"/>
      <c r="F101" s="7" t="s">
        <v>317</v>
      </c>
      <c r="G101" s="7" t="str">
        <f t="shared" si="3"/>
        <v>text</v>
      </c>
      <c r="H101" s="26"/>
      <c r="I101" s="10"/>
      <c r="J101" s="11" t="s">
        <v>552</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419</v>
      </c>
      <c r="D102" s="13" t="s">
        <v>482</v>
      </c>
      <c r="E102" s="7"/>
      <c r="F102" s="7" t="s">
        <v>317</v>
      </c>
      <c r="G102" s="7" t="str">
        <f t="shared" si="3"/>
        <v>text</v>
      </c>
      <c r="H102" s="58"/>
      <c r="I102" s="23"/>
      <c r="J102" s="24" t="s">
        <v>552</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1.5">
      <c r="A106" s="4"/>
      <c r="B106" s="21">
        <f t="shared" si="2"/>
        <v>94</v>
      </c>
      <c r="C106" s="6" t="s">
        <v>425</v>
      </c>
      <c r="D106" s="6" t="s">
        <v>486</v>
      </c>
      <c r="E106" s="8"/>
      <c r="F106" s="7" t="s">
        <v>317</v>
      </c>
      <c r="G106" s="7" t="str">
        <f t="shared" si="3"/>
        <v>text</v>
      </c>
      <c r="H106" s="26"/>
      <c r="I106" s="10"/>
      <c r="J106" s="11" t="s">
        <v>554</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427</v>
      </c>
      <c r="D107" s="13" t="s">
        <v>487</v>
      </c>
      <c r="E107" s="7"/>
      <c r="F107" s="7" t="s">
        <v>317</v>
      </c>
      <c r="G107" s="7" t="str">
        <f t="shared" si="3"/>
        <v>text</v>
      </c>
      <c r="H107" s="58"/>
      <c r="I107" s="23"/>
      <c r="J107" s="24" t="s">
        <v>554</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429</v>
      </c>
      <c r="D108" s="6" t="s">
        <v>488</v>
      </c>
      <c r="E108" s="8"/>
      <c r="F108" s="7" t="s">
        <v>317</v>
      </c>
      <c r="G108" s="7" t="str">
        <f t="shared" si="3"/>
        <v>text</v>
      </c>
      <c r="H108" s="26"/>
      <c r="I108" s="10"/>
      <c r="J108" s="11" t="s">
        <v>554</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364</v>
      </c>
      <c r="D109" s="13" t="s">
        <v>489</v>
      </c>
      <c r="E109" s="7"/>
      <c r="F109" s="7" t="s">
        <v>317</v>
      </c>
      <c r="G109" s="7" t="str">
        <f t="shared" si="3"/>
        <v>text</v>
      </c>
      <c r="H109" s="58"/>
      <c r="I109" s="23"/>
      <c r="J109" s="24" t="s">
        <v>556</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370</v>
      </c>
      <c r="D113" s="13" t="s">
        <v>494</v>
      </c>
      <c r="E113" s="7"/>
      <c r="F113" s="7" t="s">
        <v>317</v>
      </c>
      <c r="G113" s="7" t="str">
        <f t="shared" si="3"/>
        <v>text</v>
      </c>
      <c r="H113" s="58"/>
      <c r="I113" s="23"/>
      <c r="J113" s="24" t="s">
        <v>544</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446</v>
      </c>
      <c r="D114" s="13" t="s">
        <v>495</v>
      </c>
      <c r="E114" s="7"/>
      <c r="F114" s="7" t="s">
        <v>317</v>
      </c>
      <c r="G114" s="7" t="str">
        <f t="shared" si="3"/>
        <v>text</v>
      </c>
      <c r="H114" s="58"/>
      <c r="I114" s="23"/>
      <c r="J114" s="24" t="s">
        <v>544</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c r="A115" s="4"/>
      <c r="B115" s="21">
        <f t="shared" si="2"/>
        <v>103</v>
      </c>
      <c r="C115" s="13" t="s">
        <v>448</v>
      </c>
      <c r="D115" s="13" t="s">
        <v>496</v>
      </c>
      <c r="E115" s="7"/>
      <c r="F115" s="7" t="s">
        <v>317</v>
      </c>
      <c r="G115" s="7" t="str">
        <f t="shared" si="3"/>
        <v>text</v>
      </c>
      <c r="H115" s="58"/>
      <c r="I115" s="23"/>
      <c r="J115" s="24" t="s">
        <v>544</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372</v>
      </c>
      <c r="D116" s="6" t="s">
        <v>497</v>
      </c>
      <c r="E116" s="8"/>
      <c r="F116" s="7" t="s">
        <v>317</v>
      </c>
      <c r="G116" s="7" t="str">
        <f t="shared" si="3"/>
        <v>text</v>
      </c>
      <c r="H116" s="26"/>
      <c r="I116" s="10"/>
      <c r="J116" s="11" t="s">
        <v>544</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451</v>
      </c>
      <c r="D117" s="13" t="s">
        <v>498</v>
      </c>
      <c r="E117" s="7"/>
      <c r="F117" s="7" t="s">
        <v>317</v>
      </c>
      <c r="G117" s="7" t="str">
        <f t="shared" si="3"/>
        <v>text</v>
      </c>
      <c r="H117" s="58"/>
      <c r="I117" s="23"/>
      <c r="J117" s="24" t="s">
        <v>544</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453</v>
      </c>
      <c r="D118" s="6" t="s">
        <v>499</v>
      </c>
      <c r="E118" s="8"/>
      <c r="F118" s="7" t="s">
        <v>317</v>
      </c>
      <c r="G118" s="7" t="str">
        <f t="shared" si="3"/>
        <v>text</v>
      </c>
      <c r="H118" s="26"/>
      <c r="I118" s="10"/>
      <c r="J118" s="11" t="s">
        <v>544</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374</v>
      </c>
      <c r="D119" s="13" t="s">
        <v>500</v>
      </c>
      <c r="E119" s="7"/>
      <c r="F119" s="7" t="s">
        <v>317</v>
      </c>
      <c r="G119" s="7" t="str">
        <f t="shared" si="3"/>
        <v>text</v>
      </c>
      <c r="H119" s="58"/>
      <c r="I119" s="23"/>
      <c r="J119" s="24" t="s">
        <v>544</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456</v>
      </c>
      <c r="D120" s="6" t="s">
        <v>501</v>
      </c>
      <c r="E120" s="8"/>
      <c r="F120" s="7" t="s">
        <v>317</v>
      </c>
      <c r="G120" s="7" t="str">
        <f t="shared" si="3"/>
        <v>text</v>
      </c>
      <c r="H120" s="26"/>
      <c r="I120" s="10"/>
      <c r="J120" s="11" t="s">
        <v>544</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68.75">
      <c r="A122" s="4"/>
      <c r="B122" s="21">
        <f t="shared" si="2"/>
        <v>110</v>
      </c>
      <c r="C122" s="6" t="s">
        <v>364</v>
      </c>
      <c r="D122" s="6" t="s">
        <v>503</v>
      </c>
      <c r="E122" s="8"/>
      <c r="F122" s="7" t="s">
        <v>317</v>
      </c>
      <c r="G122" s="7" t="str">
        <f t="shared" si="3"/>
        <v>text</v>
      </c>
      <c r="H122" s="26"/>
      <c r="I122" s="10"/>
      <c r="J122" s="11" t="s">
        <v>543</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31.5">
      <c r="A124" s="4"/>
      <c r="B124" s="21">
        <f t="shared" si="2"/>
        <v>112</v>
      </c>
      <c r="C124" s="13" t="s">
        <v>505</v>
      </c>
      <c r="D124" s="13" t="s">
        <v>506</v>
      </c>
      <c r="E124" s="7"/>
      <c r="F124" s="7" t="s">
        <v>317</v>
      </c>
      <c r="G124" s="7" t="str">
        <f t="shared" si="3"/>
        <v>text</v>
      </c>
      <c r="H124" s="58"/>
      <c r="I124" s="23"/>
      <c r="J124" s="24" t="s">
        <v>544</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370</v>
      </c>
      <c r="D126" s="13" t="s">
        <v>509</v>
      </c>
      <c r="E126" s="7"/>
      <c r="F126" s="7" t="s">
        <v>317</v>
      </c>
      <c r="G126" s="7" t="str">
        <f t="shared" si="3"/>
        <v>text</v>
      </c>
      <c r="H126" s="58"/>
      <c r="I126" s="23"/>
      <c r="J126" s="24" t="s">
        <v>544</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446</v>
      </c>
      <c r="D127" s="13" t="s">
        <v>510</v>
      </c>
      <c r="E127" s="7"/>
      <c r="F127" s="7" t="s">
        <v>317</v>
      </c>
      <c r="G127" s="7" t="str">
        <f t="shared" si="3"/>
        <v>text</v>
      </c>
      <c r="H127" s="58"/>
      <c r="I127" s="23"/>
      <c r="J127" s="24" t="s">
        <v>544</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c r="A128" s="4"/>
      <c r="B128" s="21">
        <f t="shared" si="2"/>
        <v>116</v>
      </c>
      <c r="C128" s="13" t="s">
        <v>448</v>
      </c>
      <c r="D128" s="13" t="s">
        <v>511</v>
      </c>
      <c r="E128" s="7"/>
      <c r="F128" s="7" t="s">
        <v>317</v>
      </c>
      <c r="G128" s="7" t="str">
        <f t="shared" si="3"/>
        <v>text</v>
      </c>
      <c r="H128" s="58"/>
      <c r="I128" s="23"/>
      <c r="J128" s="24" t="s">
        <v>544</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372</v>
      </c>
      <c r="D129" s="6" t="s">
        <v>512</v>
      </c>
      <c r="E129" s="8"/>
      <c r="F129" s="7" t="s">
        <v>317</v>
      </c>
      <c r="G129" s="7" t="str">
        <f t="shared" si="3"/>
        <v>text</v>
      </c>
      <c r="H129" s="26"/>
      <c r="I129" s="10"/>
      <c r="J129" s="11" t="s">
        <v>544</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451</v>
      </c>
      <c r="D130" s="13" t="s">
        <v>513</v>
      </c>
      <c r="E130" s="7"/>
      <c r="F130" s="7" t="s">
        <v>317</v>
      </c>
      <c r="G130" s="7" t="str">
        <f t="shared" si="3"/>
        <v>text</v>
      </c>
      <c r="H130" s="58"/>
      <c r="I130" s="23"/>
      <c r="J130" s="24" t="s">
        <v>544</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465</v>
      </c>
      <c r="D131" s="6" t="s">
        <v>514</v>
      </c>
      <c r="E131" s="8"/>
      <c r="F131" s="7" t="s">
        <v>317</v>
      </c>
      <c r="G131" s="7" t="str">
        <f t="shared" si="3"/>
        <v>text</v>
      </c>
      <c r="H131" s="26"/>
      <c r="I131" s="10"/>
      <c r="J131" s="11" t="s">
        <v>544</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374</v>
      </c>
      <c r="D132" s="13" t="s">
        <v>515</v>
      </c>
      <c r="E132" s="7"/>
      <c r="F132" s="7" t="s">
        <v>317</v>
      </c>
      <c r="G132" s="7" t="str">
        <f t="shared" si="3"/>
        <v>text</v>
      </c>
      <c r="H132" s="58"/>
      <c r="I132" s="23"/>
      <c r="J132" s="24" t="s">
        <v>544</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468</v>
      </c>
      <c r="D133" s="6" t="s">
        <v>516</v>
      </c>
      <c r="E133" s="8"/>
      <c r="F133" s="7" t="s">
        <v>317</v>
      </c>
      <c r="G133" s="7" t="str">
        <f t="shared" si="3"/>
        <v>text</v>
      </c>
      <c r="H133" s="26"/>
      <c r="I133" s="10"/>
      <c r="J133" s="11" t="s">
        <v>544</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7.5">
      <c r="A135" s="4"/>
      <c r="B135" s="21">
        <f t="shared" si="2"/>
        <v>123</v>
      </c>
      <c r="C135" s="6" t="s">
        <v>398</v>
      </c>
      <c r="D135" s="6" t="s">
        <v>518</v>
      </c>
      <c r="E135" s="8"/>
      <c r="F135" s="7" t="s">
        <v>317</v>
      </c>
      <c r="G135" s="7" t="str">
        <f t="shared" si="3"/>
        <v>text</v>
      </c>
      <c r="H135" s="26"/>
      <c r="I135" s="10"/>
      <c r="J135" s="11" t="s">
        <v>547</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c r="A139" s="4"/>
      <c r="B139" s="21">
        <f t="shared" si="2"/>
        <v>127</v>
      </c>
      <c r="C139" s="13" t="s">
        <v>406</v>
      </c>
      <c r="D139" s="13" t="s">
        <v>522</v>
      </c>
      <c r="E139" s="7"/>
      <c r="F139" s="7" t="s">
        <v>317</v>
      </c>
      <c r="G139" s="7" t="str">
        <f t="shared" si="3"/>
        <v>text</v>
      </c>
      <c r="H139" s="58"/>
      <c r="I139" s="23"/>
      <c r="J139" s="24" t="s">
        <v>548</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7.5">
      <c r="A142" s="4"/>
      <c r="B142" s="21">
        <f t="shared" si="2"/>
        <v>130</v>
      </c>
      <c r="C142" s="6" t="s">
        <v>398</v>
      </c>
      <c r="D142" s="6" t="s">
        <v>526</v>
      </c>
      <c r="E142" s="8"/>
      <c r="F142" s="7" t="s">
        <v>317</v>
      </c>
      <c r="G142" s="7" t="str">
        <f t="shared" si="3"/>
        <v>text</v>
      </c>
      <c r="H142" s="26"/>
      <c r="I142" s="10"/>
      <c r="J142" s="11" t="s">
        <v>547</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1.5">
      <c r="A144" s="4"/>
      <c r="B144" s="21">
        <f t="shared" si="2"/>
        <v>132</v>
      </c>
      <c r="C144" s="6" t="s">
        <v>415</v>
      </c>
      <c r="D144" s="6" t="s">
        <v>528</v>
      </c>
      <c r="E144" s="8"/>
      <c r="F144" s="7" t="s">
        <v>317</v>
      </c>
      <c r="G144" s="7" t="str">
        <f t="shared" si="3"/>
        <v>text</v>
      </c>
      <c r="H144" s="26"/>
      <c r="I144" s="10"/>
      <c r="J144" s="11" t="s">
        <v>553</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417</v>
      </c>
      <c r="D145" s="13" t="s">
        <v>529</v>
      </c>
      <c r="E145" s="7"/>
      <c r="F145" s="7" t="s">
        <v>317</v>
      </c>
      <c r="G145" s="7" t="str">
        <f t="shared" si="3"/>
        <v>text</v>
      </c>
      <c r="H145" s="58"/>
      <c r="I145" s="23"/>
      <c r="J145" s="24" t="s">
        <v>552</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419</v>
      </c>
      <c r="D146" s="6" t="s">
        <v>530</v>
      </c>
      <c r="E146" s="8"/>
      <c r="F146" s="7" t="s">
        <v>317</v>
      </c>
      <c r="G146" s="7" t="str">
        <f t="shared" si="3"/>
        <v>text</v>
      </c>
      <c r="H146" s="26"/>
      <c r="I146" s="10"/>
      <c r="J146" s="11" t="s">
        <v>552</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1.5">
      <c r="A150" s="4"/>
      <c r="B150" s="21">
        <f t="shared" si="2"/>
        <v>138</v>
      </c>
      <c r="C150" s="13" t="s">
        <v>425</v>
      </c>
      <c r="D150" s="13" t="s">
        <v>534</v>
      </c>
      <c r="E150" s="7"/>
      <c r="F150" s="7" t="s">
        <v>317</v>
      </c>
      <c r="G150" s="7" t="str">
        <f t="shared" si="3"/>
        <v>text</v>
      </c>
      <c r="H150" s="58"/>
      <c r="I150" s="23"/>
      <c r="J150" s="24" t="s">
        <v>554</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427</v>
      </c>
      <c r="D151" s="13" t="s">
        <v>535</v>
      </c>
      <c r="E151" s="7"/>
      <c r="F151" s="7" t="s">
        <v>317</v>
      </c>
      <c r="G151" s="7" t="str">
        <f t="shared" si="3"/>
        <v>text</v>
      </c>
      <c r="H151" s="58"/>
      <c r="I151" s="23"/>
      <c r="J151" s="24" t="s">
        <v>554</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429</v>
      </c>
      <c r="D152" s="13" t="s">
        <v>536</v>
      </c>
      <c r="E152" s="7"/>
      <c r="F152" s="7" t="s">
        <v>317</v>
      </c>
      <c r="G152" s="7" t="str">
        <f t="shared" si="3"/>
        <v>text</v>
      </c>
      <c r="H152" s="58"/>
      <c r="I152" s="23"/>
      <c r="J152" s="24" t="s">
        <v>554</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537</v>
      </c>
      <c r="D153" s="57" t="s">
        <v>538</v>
      </c>
      <c r="E153" s="56"/>
      <c r="F153" s="56" t="s">
        <v>317</v>
      </c>
      <c r="G153" s="56" t="str">
        <f t="shared" si="3"/>
        <v>text</v>
      </c>
      <c r="H153" s="59"/>
      <c r="I153" s="60"/>
      <c r="J153" s="61" t="s">
        <v>557</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ENT_01_C1-05</v>
      </c>
      <c r="E6" s="273"/>
      <c r="F6" s="273"/>
      <c r="G6" s="273"/>
      <c r="H6" s="273"/>
      <c r="I6" s="273"/>
      <c r="J6" s="274"/>
    </row>
    <row r="7" spans="1:45">
      <c r="B7" s="262" t="s">
        <v>115</v>
      </c>
      <c r="C7" s="263"/>
      <c r="D7" s="264" t="s">
        <v>181</v>
      </c>
      <c r="E7" s="265"/>
      <c r="F7" s="265"/>
      <c r="G7" s="265"/>
      <c r="H7" s="265"/>
      <c r="I7" s="265"/>
      <c r="J7" s="266"/>
    </row>
    <row r="8" spans="1:45">
      <c r="B8" s="262" t="s">
        <v>116</v>
      </c>
      <c r="C8" s="263"/>
      <c r="D8" s="264" t="str">
        <f>エンティティ一覧!AE2&amp;"_"&amp;D5&amp;"_merge_dpc_ff1"</f>
        <v>sny_202310_backup_merge_dpc_ff1</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milscm_2023_009.sny_202310_backup_merge_dpc_ff1;</v>
      </c>
      <c r="O10" s="76"/>
      <c r="P10" s="76"/>
      <c r="Q10" s="76"/>
      <c r="R10" s="76"/>
      <c r="S10" s="76"/>
      <c r="T10" s="76"/>
      <c r="AJ10" s="76" t="str">
        <f>"ALTER TABLE ONLY "&amp;エンティティ一覧!$O$2&amp;"."&amp;D$8</f>
        <v>ALTER TABLE ONLY milscm_2023_009.sny_202310_backup_merge_dpc_ff1</v>
      </c>
      <c r="AS10" s="76" t="str">
        <f>"ALTER TABLE "&amp;エンティティ一覧!$O$2&amp;"."&amp;D$8&amp;" OWNER TO pgmisgrp1;"</f>
        <v>ALTER TABLE milscm_2023_009.sny_202310_backup_merge_dpc_ff1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v>
      </c>
      <c r="O11" s="76"/>
      <c r="P11" s="76"/>
      <c r="Q11" s="76"/>
      <c r="R11" s="76"/>
      <c r="S11" s="76"/>
      <c r="T11" s="76"/>
      <c r="AJ11" s="76" t="str">
        <f>"ADD CONSTRAINT "&amp;D$8&amp;"_pkey PRIMARY KEY"</f>
        <v>ADD CONSTRAINT sny_202310_backup_merge_dpc_ff1_pkey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milscm_2023_009.sny_202310_backup_merge_dpc_ff1.facility_id IS '施設ID';</v>
      </c>
    </row>
    <row r="16" spans="1:45" s="25" customFormat="1" ht="93.75">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898</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808</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milscm_2023_009.sny_202310_backup_merge_dpc_ff1.a000020_shokai_flag IS '他院よりの紹介の有無';</v>
      </c>
    </row>
    <row r="31" spans="1:45" s="25" customFormat="1" ht="31.5">
      <c r="A31" s="4"/>
      <c r="B31" s="21">
        <f t="shared" si="2"/>
        <v>19</v>
      </c>
      <c r="C31" s="6" t="s">
        <v>578</v>
      </c>
      <c r="D31" s="6" t="s">
        <v>579</v>
      </c>
      <c r="E31" s="8"/>
      <c r="F31" s="7" t="s">
        <v>317</v>
      </c>
      <c r="G31" s="7" t="str">
        <f t="shared" si="3"/>
        <v>text</v>
      </c>
      <c r="H31" s="26"/>
      <c r="I31" s="10"/>
      <c r="J31" s="11" t="s">
        <v>813</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milscm_2023_009.sny_202310_backup_merge_dpc_ff1.a000020_hanso_flag IS '救急車による搬送の有無';</v>
      </c>
    </row>
    <row r="34" spans="1:52" s="25" customFormat="1" ht="31.5">
      <c r="A34" s="4"/>
      <c r="B34" s="21">
        <f t="shared" si="2"/>
        <v>22</v>
      </c>
      <c r="C34" s="13" t="s">
        <v>584</v>
      </c>
      <c r="D34" s="13" t="s">
        <v>585</v>
      </c>
      <c r="E34" s="7"/>
      <c r="F34" s="7" t="s">
        <v>317</v>
      </c>
      <c r="G34" s="7" t="str">
        <f t="shared" si="3"/>
        <v>text</v>
      </c>
      <c r="H34" s="58"/>
      <c r="I34" s="23"/>
      <c r="J34" s="24" t="s">
        <v>813</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milscm_2023_009.sny_202310_backup_merge_dpc_ff1.a000020_nyuin_homecare_flag IS '入院前の在宅医療の有無';</v>
      </c>
    </row>
    <row r="35" spans="1:52" s="25" customFormat="1" ht="206.25">
      <c r="A35" s="4"/>
      <c r="B35" s="21">
        <f t="shared" si="2"/>
        <v>23</v>
      </c>
      <c r="C35" s="6" t="s">
        <v>586</v>
      </c>
      <c r="D35" s="6" t="s">
        <v>587</v>
      </c>
      <c r="E35" s="8"/>
      <c r="F35" s="7" t="s">
        <v>317</v>
      </c>
      <c r="G35" s="7" t="str">
        <f t="shared" si="3"/>
        <v>text</v>
      </c>
      <c r="H35" s="26"/>
      <c r="I35" s="10"/>
      <c r="J35" s="11" t="s">
        <v>814</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milscm_2023_009.sny_202310_backup_merge_dpc_ff1.a000020_jisho_flag IS '自傷行為・自殺企図の有無';</v>
      </c>
    </row>
    <row r="36" spans="1:52" s="25" customFormat="1" ht="56.25">
      <c r="A36" s="4"/>
      <c r="B36" s="21">
        <f t="shared" si="2"/>
        <v>24</v>
      </c>
      <c r="C36" s="13" t="s">
        <v>588</v>
      </c>
      <c r="D36" s="13" t="s">
        <v>589</v>
      </c>
      <c r="E36" s="7"/>
      <c r="F36" s="7" t="s">
        <v>317</v>
      </c>
      <c r="G36" s="7" t="str">
        <f t="shared" si="3"/>
        <v>text</v>
      </c>
      <c r="H36" s="26"/>
      <c r="I36" s="10"/>
      <c r="J36" s="11" t="s">
        <v>815</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milscm_2023_009.sny_202310_backup_merge_dpc_ff1.a000030_taiin_tenki IS '退院時転帰';</v>
      </c>
    </row>
    <row r="40" spans="1:52" s="25" customFormat="1" ht="75">
      <c r="A40" s="4"/>
      <c r="B40" s="21">
        <f t="shared" si="2"/>
        <v>28</v>
      </c>
      <c r="C40" s="6" t="s">
        <v>595</v>
      </c>
      <c r="D40" s="6" t="s">
        <v>596</v>
      </c>
      <c r="E40" s="8"/>
      <c r="F40" s="7" t="s">
        <v>317</v>
      </c>
      <c r="G40" s="7" t="str">
        <f t="shared" si="3"/>
        <v>text</v>
      </c>
      <c r="H40" s="26"/>
      <c r="I40" s="10"/>
      <c r="J40" s="11" t="s">
        <v>816</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milscm_2023_009.sny_202310_backup_merge_dpc_ff1.a000030_death24_flag IS '24時間以内の死亡の有無';</v>
      </c>
    </row>
    <row r="41" spans="1:52" s="25" customFormat="1" ht="31.5">
      <c r="A41" s="4"/>
      <c r="B41" s="21">
        <f t="shared" si="2"/>
        <v>29</v>
      </c>
      <c r="C41" s="13" t="s">
        <v>597</v>
      </c>
      <c r="D41" s="13" t="s">
        <v>598</v>
      </c>
      <c r="E41" s="7"/>
      <c r="F41" s="7" t="s">
        <v>317</v>
      </c>
      <c r="G41" s="7" t="str">
        <f t="shared" si="3"/>
        <v>text</v>
      </c>
      <c r="H41" s="58"/>
      <c r="I41" s="23"/>
      <c r="J41" s="24" t="s">
        <v>817</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milscm_2023_009.sny_202310_backup_merge_dpc_ff1.a000031_ff1_end_ymd IS '様式1終了日';</v>
      </c>
    </row>
    <row r="44" spans="1:52" s="25" customFormat="1" ht="31.5">
      <c r="A44" s="4"/>
      <c r="B44" s="21">
        <f t="shared" si="2"/>
        <v>32</v>
      </c>
      <c r="C44" s="6" t="s">
        <v>603</v>
      </c>
      <c r="D44" s="6" t="s">
        <v>604</v>
      </c>
      <c r="E44" s="8"/>
      <c r="F44" s="7" t="s">
        <v>317</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milscm_2023_009.sny_202310_backup_merge_dpc_ff1.a000040_tenka_flag IS '転科の有無';</v>
      </c>
    </row>
    <row r="46" spans="1:52" s="25" customFormat="1" ht="31.5">
      <c r="A46" s="4"/>
      <c r="B46" s="21">
        <f t="shared" si="2"/>
        <v>34</v>
      </c>
      <c r="C46" s="6" t="s">
        <v>607</v>
      </c>
      <c r="D46" s="6" t="s">
        <v>608</v>
      </c>
      <c r="E46" s="8"/>
      <c r="F46" s="7" t="s">
        <v>317</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1.5">
      <c r="A47" s="4"/>
      <c r="B47" s="21">
        <f t="shared" si="2"/>
        <v>35</v>
      </c>
      <c r="C47" s="13" t="s">
        <v>609</v>
      </c>
      <c r="D47" s="13" t="s">
        <v>610</v>
      </c>
      <c r="E47" s="7"/>
      <c r="F47" s="7" t="s">
        <v>317</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1.5">
      <c r="A48" s="4"/>
      <c r="B48" s="21">
        <f t="shared" si="2"/>
        <v>36</v>
      </c>
      <c r="C48" s="13" t="s">
        <v>611</v>
      </c>
      <c r="D48" s="13" t="s">
        <v>612</v>
      </c>
      <c r="E48" s="7"/>
      <c r="F48" s="7" t="s">
        <v>317</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613</v>
      </c>
      <c r="D49" s="13" t="s">
        <v>614</v>
      </c>
      <c r="E49" s="7"/>
      <c r="F49" s="7" t="s">
        <v>317</v>
      </c>
      <c r="G49" s="7" t="str">
        <f t="shared" si="3"/>
        <v>text</v>
      </c>
      <c r="H49" s="58"/>
      <c r="I49" s="23"/>
      <c r="J49" s="24" t="s">
        <v>818</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1.5">
      <c r="A52" s="4"/>
      <c r="B52" s="21">
        <f t="shared" si="2"/>
        <v>40</v>
      </c>
      <c r="C52" s="6" t="s">
        <v>619</v>
      </c>
      <c r="D52" s="6" t="s">
        <v>620</v>
      </c>
      <c r="E52" s="8"/>
      <c r="F52" s="7" t="s">
        <v>317</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7.5">
      <c r="A60" s="4"/>
      <c r="B60" s="21">
        <f t="shared" si="2"/>
        <v>48</v>
      </c>
      <c r="C60" s="13" t="s">
        <v>633</v>
      </c>
      <c r="D60" s="13" t="s">
        <v>634</v>
      </c>
      <c r="E60" s="7"/>
      <c r="F60" s="7" t="s">
        <v>317</v>
      </c>
      <c r="G60" s="7" t="str">
        <f t="shared" si="3"/>
        <v>text</v>
      </c>
      <c r="H60" s="26"/>
      <c r="I60" s="10"/>
      <c r="J60" s="11" t="s">
        <v>823</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1.5">
      <c r="A66" s="4"/>
      <c r="B66" s="21">
        <f t="shared" si="2"/>
        <v>54</v>
      </c>
      <c r="C66" s="13" t="s">
        <v>645</v>
      </c>
      <c r="D66" s="13" t="s">
        <v>646</v>
      </c>
      <c r="E66" s="7"/>
      <c r="F66" s="7" t="s">
        <v>317</v>
      </c>
      <c r="G66" s="7" t="str">
        <f t="shared" si="3"/>
        <v>text</v>
      </c>
      <c r="H66" s="26"/>
      <c r="I66" s="10"/>
      <c r="J66" s="11" t="s">
        <v>828</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647</v>
      </c>
      <c r="D67" s="6" t="s">
        <v>648</v>
      </c>
      <c r="E67" s="8"/>
      <c r="F67" s="7" t="s">
        <v>317</v>
      </c>
      <c r="G67" s="7" t="str">
        <f t="shared" si="3"/>
        <v>text</v>
      </c>
      <c r="H67" s="58"/>
      <c r="I67" s="23"/>
      <c r="J67" s="24" t="s">
        <v>829</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1.5">
      <c r="A68" s="4"/>
      <c r="B68" s="21">
        <f t="shared" si="2"/>
        <v>56</v>
      </c>
      <c r="C68" s="13" t="s">
        <v>246</v>
      </c>
      <c r="D68" s="13" t="s">
        <v>649</v>
      </c>
      <c r="E68" s="7"/>
      <c r="F68" s="7" t="s">
        <v>317</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c r="A69" s="4"/>
      <c r="B69" s="21">
        <f t="shared" si="2"/>
        <v>57</v>
      </c>
      <c r="C69" s="6" t="s">
        <v>248</v>
      </c>
      <c r="D69" s="6" t="s">
        <v>650</v>
      </c>
      <c r="E69" s="8"/>
      <c r="F69" s="7" t="s">
        <v>317</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1.5">
      <c r="A70" s="4"/>
      <c r="B70" s="21">
        <f t="shared" si="2"/>
        <v>58</v>
      </c>
      <c r="C70" s="13" t="s">
        <v>651</v>
      </c>
      <c r="D70" s="13" t="s">
        <v>652</v>
      </c>
      <c r="E70" s="7"/>
      <c r="F70" s="7" t="s">
        <v>317</v>
      </c>
      <c r="G70" s="7" t="str">
        <f t="shared" si="3"/>
        <v>text</v>
      </c>
      <c r="H70" s="58"/>
      <c r="I70" s="23"/>
      <c r="J70" s="24" t="s">
        <v>830</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1.5">
      <c r="A71" s="4"/>
      <c r="B71" s="21">
        <f t="shared" si="2"/>
        <v>59</v>
      </c>
      <c r="C71" s="6" t="s">
        <v>653</v>
      </c>
      <c r="D71" s="6" t="s">
        <v>654</v>
      </c>
      <c r="E71" s="8"/>
      <c r="F71" s="7" t="s">
        <v>317</v>
      </c>
      <c r="G71" s="7" t="str">
        <f t="shared" si="3"/>
        <v>text</v>
      </c>
      <c r="H71" s="26"/>
      <c r="I71" s="10"/>
      <c r="J71" s="11" t="s">
        <v>830</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655</v>
      </c>
      <c r="D72" s="6" t="s">
        <v>656</v>
      </c>
      <c r="E72" s="8"/>
      <c r="F72" s="7" t="s">
        <v>317</v>
      </c>
      <c r="G72" s="7" t="str">
        <f t="shared" si="3"/>
        <v>text</v>
      </c>
      <c r="H72" s="26"/>
      <c r="I72" s="10"/>
      <c r="J72" s="11" t="s">
        <v>830</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1.5">
      <c r="A73" s="4"/>
      <c r="B73" s="21">
        <f t="shared" si="2"/>
        <v>61</v>
      </c>
      <c r="C73" s="13" t="s">
        <v>657</v>
      </c>
      <c r="D73" s="13" t="s">
        <v>658</v>
      </c>
      <c r="E73" s="7"/>
      <c r="F73" s="7" t="s">
        <v>317</v>
      </c>
      <c r="G73" s="7" t="str">
        <f t="shared" si="3"/>
        <v>text</v>
      </c>
      <c r="H73" s="58"/>
      <c r="I73" s="23"/>
      <c r="J73" s="24" t="s">
        <v>830</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659</v>
      </c>
      <c r="D74" s="6" t="s">
        <v>660</v>
      </c>
      <c r="E74" s="8"/>
      <c r="F74" s="7" t="s">
        <v>317</v>
      </c>
      <c r="G74" s="7" t="str">
        <f t="shared" si="3"/>
        <v>text</v>
      </c>
      <c r="H74" s="26"/>
      <c r="I74" s="10"/>
      <c r="J74" s="11" t="s">
        <v>831</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661</v>
      </c>
      <c r="D75" s="13" t="s">
        <v>662</v>
      </c>
      <c r="E75" s="7"/>
      <c r="F75" s="7" t="s">
        <v>317</v>
      </c>
      <c r="G75" s="7" t="str">
        <f t="shared" si="3"/>
        <v>text</v>
      </c>
      <c r="H75" s="58"/>
      <c r="I75" s="23"/>
      <c r="J75" s="24" t="s">
        <v>831</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c r="A78" s="4"/>
      <c r="B78" s="21">
        <f t="shared" si="2"/>
        <v>66</v>
      </c>
      <c r="C78" s="6" t="s">
        <v>667</v>
      </c>
      <c r="D78" s="6" t="s">
        <v>668</v>
      </c>
      <c r="E78" s="8"/>
      <c r="F78" s="7" t="s">
        <v>317</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c r="A79" s="4"/>
      <c r="B79" s="21">
        <f t="shared" si="2"/>
        <v>67</v>
      </c>
      <c r="C79" s="13" t="s">
        <v>669</v>
      </c>
      <c r="D79" s="13" t="s">
        <v>670</v>
      </c>
      <c r="E79" s="7"/>
      <c r="F79" s="7" t="s">
        <v>317</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c r="A80" s="4"/>
      <c r="B80" s="21">
        <f t="shared" si="2"/>
        <v>68</v>
      </c>
      <c r="C80" s="6" t="s">
        <v>671</v>
      </c>
      <c r="D80" s="6" t="s">
        <v>672</v>
      </c>
      <c r="E80" s="8"/>
      <c r="F80" s="7" t="s">
        <v>317</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c r="A81" s="4"/>
      <c r="B81" s="21">
        <f t="shared" si="2"/>
        <v>69</v>
      </c>
      <c r="C81" s="13" t="s">
        <v>673</v>
      </c>
      <c r="D81" s="13" t="s">
        <v>674</v>
      </c>
      <c r="E81" s="7"/>
      <c r="F81" s="7" t="s">
        <v>317</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1.5">
      <c r="A82" s="4"/>
      <c r="B82" s="21">
        <f t="shared" si="2"/>
        <v>70</v>
      </c>
      <c r="C82" s="13" t="s">
        <v>675</v>
      </c>
      <c r="D82" s="13" t="s">
        <v>676</v>
      </c>
      <c r="E82" s="7"/>
      <c r="F82" s="7" t="s">
        <v>317</v>
      </c>
      <c r="G82" s="7" t="str">
        <f t="shared" si="3"/>
        <v>text</v>
      </c>
      <c r="H82" s="58"/>
      <c r="I82" s="23"/>
      <c r="J82" s="24" t="s">
        <v>833</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c r="A85" s="4"/>
      <c r="B85" s="21">
        <f t="shared" si="2"/>
        <v>73</v>
      </c>
      <c r="C85" s="13" t="s">
        <v>667</v>
      </c>
      <c r="D85" s="13" t="s">
        <v>679</v>
      </c>
      <c r="E85" s="7"/>
      <c r="F85" s="7" t="s">
        <v>317</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c r="A86" s="4"/>
      <c r="B86" s="21">
        <f t="shared" si="2"/>
        <v>74</v>
      </c>
      <c r="C86" s="6" t="s">
        <v>669</v>
      </c>
      <c r="D86" s="6" t="s">
        <v>680</v>
      </c>
      <c r="E86" s="8"/>
      <c r="F86" s="7" t="s">
        <v>317</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c r="A87" s="4"/>
      <c r="B87" s="21">
        <f t="shared" si="2"/>
        <v>75</v>
      </c>
      <c r="C87" s="13" t="s">
        <v>671</v>
      </c>
      <c r="D87" s="13" t="s">
        <v>681</v>
      </c>
      <c r="E87" s="7"/>
      <c r="F87" s="7" t="s">
        <v>317</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c r="A88" s="4"/>
      <c r="B88" s="21">
        <f t="shared" si="2"/>
        <v>76</v>
      </c>
      <c r="C88" s="6" t="s">
        <v>673</v>
      </c>
      <c r="D88" s="6" t="s">
        <v>682</v>
      </c>
      <c r="E88" s="8"/>
      <c r="F88" s="7" t="s">
        <v>317</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1.5">
      <c r="A89" s="4"/>
      <c r="B89" s="21">
        <f t="shared" si="2"/>
        <v>77</v>
      </c>
      <c r="C89" s="6" t="s">
        <v>683</v>
      </c>
      <c r="D89" s="6" t="s">
        <v>684</v>
      </c>
      <c r="E89" s="8"/>
      <c r="F89" s="7" t="s">
        <v>317</v>
      </c>
      <c r="G89" s="7" t="str">
        <f t="shared" si="3"/>
        <v>text</v>
      </c>
      <c r="H89" s="58"/>
      <c r="I89" s="23"/>
      <c r="J89" s="24" t="s">
        <v>683</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7.5">
      <c r="A90" s="4"/>
      <c r="B90" s="21">
        <f t="shared" si="2"/>
        <v>78</v>
      </c>
      <c r="C90" s="13" t="s">
        <v>663</v>
      </c>
      <c r="D90" s="13" t="s">
        <v>685</v>
      </c>
      <c r="E90" s="7"/>
      <c r="F90" s="7" t="s">
        <v>317</v>
      </c>
      <c r="G90" s="7" t="str">
        <f t="shared" si="3"/>
        <v>text</v>
      </c>
      <c r="H90" s="26"/>
      <c r="I90" s="10"/>
      <c r="J90" s="11" t="s">
        <v>835</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1.5">
      <c r="A91" s="4"/>
      <c r="B91" s="21">
        <f t="shared" si="2"/>
        <v>79</v>
      </c>
      <c r="C91" s="6" t="s">
        <v>686</v>
      </c>
      <c r="D91" s="6" t="s">
        <v>687</v>
      </c>
      <c r="E91" s="8"/>
      <c r="F91" s="7" t="s">
        <v>317</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c r="A93" s="4"/>
      <c r="B93" s="21">
        <f t="shared" si="2"/>
        <v>81</v>
      </c>
      <c r="C93" s="6" t="s">
        <v>667</v>
      </c>
      <c r="D93" s="6" t="s">
        <v>689</v>
      </c>
      <c r="E93" s="8"/>
      <c r="F93" s="7" t="s">
        <v>317</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c r="A94" s="4"/>
      <c r="B94" s="21">
        <f t="shared" si="2"/>
        <v>82</v>
      </c>
      <c r="C94" s="13" t="s">
        <v>669</v>
      </c>
      <c r="D94" s="13" t="s">
        <v>690</v>
      </c>
      <c r="E94" s="7"/>
      <c r="F94" s="7" t="s">
        <v>317</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c r="A95" s="4"/>
      <c r="B95" s="21">
        <f t="shared" si="2"/>
        <v>83</v>
      </c>
      <c r="C95" s="6" t="s">
        <v>671</v>
      </c>
      <c r="D95" s="6" t="s">
        <v>691</v>
      </c>
      <c r="E95" s="8"/>
      <c r="F95" s="7" t="s">
        <v>317</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c r="A96" s="4"/>
      <c r="B96" s="21">
        <f t="shared" si="2"/>
        <v>84</v>
      </c>
      <c r="C96" s="13" t="s">
        <v>673</v>
      </c>
      <c r="D96" s="13" t="s">
        <v>692</v>
      </c>
      <c r="E96" s="7"/>
      <c r="F96" s="7" t="s">
        <v>317</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37.5">
      <c r="A97" s="4"/>
      <c r="B97" s="21">
        <f t="shared" si="2"/>
        <v>85</v>
      </c>
      <c r="C97" s="6" t="s">
        <v>693</v>
      </c>
      <c r="D97" s="6" t="s">
        <v>694</v>
      </c>
      <c r="E97" s="8"/>
      <c r="F97" s="7" t="s">
        <v>317</v>
      </c>
      <c r="G97" s="7" t="str">
        <f t="shared" si="3"/>
        <v>text</v>
      </c>
      <c r="H97" s="58"/>
      <c r="I97" s="23"/>
      <c r="J97" s="24" t="s">
        <v>836</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663</v>
      </c>
      <c r="D98" s="13" t="s">
        <v>695</v>
      </c>
      <c r="E98" s="7"/>
      <c r="F98" s="7" t="s">
        <v>317</v>
      </c>
      <c r="G98" s="7" t="str">
        <f t="shared" si="3"/>
        <v>text</v>
      </c>
      <c r="H98" s="26"/>
      <c r="I98" s="10"/>
      <c r="J98" s="11" t="s">
        <v>837</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c r="A100" s="4"/>
      <c r="B100" s="21">
        <f t="shared" si="2"/>
        <v>88</v>
      </c>
      <c r="C100" s="13" t="s">
        <v>667</v>
      </c>
      <c r="D100" s="13" t="s">
        <v>697</v>
      </c>
      <c r="E100" s="7"/>
      <c r="F100" s="7" t="s">
        <v>317</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c r="A101" s="4"/>
      <c r="B101" s="21">
        <f t="shared" si="2"/>
        <v>89</v>
      </c>
      <c r="C101" s="6" t="s">
        <v>669</v>
      </c>
      <c r="D101" s="6" t="s">
        <v>698</v>
      </c>
      <c r="E101" s="8"/>
      <c r="F101" s="7" t="s">
        <v>317</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c r="A102" s="4"/>
      <c r="B102" s="21">
        <f t="shared" si="2"/>
        <v>90</v>
      </c>
      <c r="C102" s="13" t="s">
        <v>671</v>
      </c>
      <c r="D102" s="13" t="s">
        <v>699</v>
      </c>
      <c r="E102" s="7"/>
      <c r="F102" s="7" t="s">
        <v>317</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c r="A103" s="4"/>
      <c r="B103" s="21">
        <f t="shared" si="2"/>
        <v>91</v>
      </c>
      <c r="C103" s="6" t="s">
        <v>673</v>
      </c>
      <c r="D103" s="6" t="s">
        <v>700</v>
      </c>
      <c r="E103" s="8"/>
      <c r="F103" s="7" t="s">
        <v>317</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1.5">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703</v>
      </c>
      <c r="D105" s="6" t="s">
        <v>704</v>
      </c>
      <c r="E105" s="8"/>
      <c r="F105" s="7" t="s">
        <v>317</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1.5">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707</v>
      </c>
      <c r="D107" s="13" t="s">
        <v>708</v>
      </c>
      <c r="E107" s="7"/>
      <c r="F107" s="7" t="s">
        <v>317</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1.5">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1.5">
      <c r="A118" s="4"/>
      <c r="B118" s="21">
        <f t="shared" si="2"/>
        <v>106</v>
      </c>
      <c r="C118" s="6" t="s">
        <v>729</v>
      </c>
      <c r="D118" s="6" t="s">
        <v>730</v>
      </c>
      <c r="E118" s="8"/>
      <c r="F118" s="7" t="s">
        <v>317</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75">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742</v>
      </c>
      <c r="D124" s="6" t="s">
        <v>743</v>
      </c>
      <c r="E124" s="8"/>
      <c r="F124" s="7" t="s">
        <v>317</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1.5">
      <c r="A126" s="4"/>
      <c r="B126" s="21">
        <f t="shared" si="2"/>
        <v>114</v>
      </c>
      <c r="C126" s="13" t="s">
        <v>746</v>
      </c>
      <c r="D126" s="13" t="s">
        <v>747</v>
      </c>
      <c r="E126" s="7"/>
      <c r="F126" s="7" t="s">
        <v>317</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c r="A129" s="4"/>
      <c r="B129" s="21">
        <f t="shared" si="2"/>
        <v>117</v>
      </c>
      <c r="C129" s="13" t="s">
        <v>752</v>
      </c>
      <c r="D129" s="13" t="s">
        <v>753</v>
      </c>
      <c r="E129" s="7"/>
      <c r="F129" s="7" t="s">
        <v>317</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1.5">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1.5">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93.75">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7.5">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75">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75">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7.5">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784</v>
      </c>
      <c r="D145" s="13" t="s">
        <v>785</v>
      </c>
      <c r="E145" s="7"/>
      <c r="F145" s="7" t="s">
        <v>317</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7.5">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ENT_01_C1-07</v>
      </c>
      <c r="E6" s="273"/>
      <c r="F6" s="273"/>
      <c r="G6" s="273"/>
      <c r="H6" s="273"/>
      <c r="I6" s="273"/>
      <c r="J6" s="274"/>
    </row>
    <row r="7" spans="1:45">
      <c r="B7" s="262" t="s">
        <v>115</v>
      </c>
      <c r="C7" s="263"/>
      <c r="D7" s="264" t="s">
        <v>314</v>
      </c>
      <c r="E7" s="265"/>
      <c r="F7" s="265"/>
      <c r="G7" s="265"/>
      <c r="H7" s="265"/>
      <c r="I7" s="265"/>
      <c r="J7" s="266"/>
    </row>
    <row r="8" spans="1:45">
      <c r="B8" s="262" t="s">
        <v>116</v>
      </c>
      <c r="C8" s="263"/>
      <c r="D8" s="264" t="str">
        <f>エンティティ一覧!AE2&amp;"_"&amp;D5&amp;"_merge_dpc_ff1_a006040"</f>
        <v>sny_202310_backup_merge_dpc_ff1_a006040</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milscm_2023_009.sny_202310_backup_merge_dpc_ff1_a006040;</v>
      </c>
      <c r="O10" s="76"/>
      <c r="P10" s="76"/>
      <c r="Q10" s="76"/>
      <c r="R10" s="76"/>
      <c r="S10" s="76"/>
      <c r="T10" s="76"/>
      <c r="AJ10" s="76" t="str">
        <f>"ALTER TABLE ONLY "&amp;エンティティ一覧!$O$2&amp;"."&amp;D$8</f>
        <v>ALTER TABLE ONLY milscm_2023_009.sny_202310_backup_merge_dpc_ff1_a006040</v>
      </c>
      <c r="AS10" s="76" t="str">
        <f>"ALTER TABLE "&amp;エンティティ一覧!$O$2&amp;"."&amp;D$8&amp;" OWNER TO pgmisgrp1;"</f>
        <v>ALTER TABLE milscm_2023_009.sny_202310_backup_merge_dpc_ff1_a006040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milscm_2023_009.sny_202310_backup_merge_dpc_ff1_a006040</v>
      </c>
      <c r="O11" s="76"/>
      <c r="P11" s="76"/>
      <c r="Q11" s="76"/>
      <c r="R11" s="76"/>
      <c r="S11" s="76"/>
      <c r="T11" s="76"/>
      <c r="AJ11" s="76" t="str">
        <f>"ADD CONSTRAINT "&amp;D$8&amp;"_pkey PRIMARY KEY"</f>
        <v>ADD CONSTRAINT sny_202310_backup_merge_dpc_ff1_a006040_pkey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milscm_2023_009.sny_202310_backup_merge_dpc_ff1_a006040.mil_karute_id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milscm_2023_009.sny_202310_backup_merge_dpc_ff1_a006040.facility_id IS '施設ID';</v>
      </c>
    </row>
    <row r="16" spans="1:45" s="25" customFormat="1" ht="93.75">
      <c r="B16" s="21">
        <f t="shared" si="2"/>
        <v>4</v>
      </c>
      <c r="C16" s="6" t="s">
        <v>866</v>
      </c>
      <c r="D16" s="6" t="s">
        <v>206</v>
      </c>
      <c r="E16" s="8" t="s">
        <v>127</v>
      </c>
      <c r="F16" s="7" t="s">
        <v>865</v>
      </c>
      <c r="G16" s="7" t="str">
        <f t="shared" si="3"/>
        <v>text</v>
      </c>
      <c r="H16" s="26"/>
      <c r="I16" s="10" t="s">
        <v>127</v>
      </c>
      <c r="J16" s="53" t="s">
        <v>898</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milscm_2023_009.sny_202310_backup_merge_dpc_ff1_a006040.shushoku_code4 IS '修飾語コード4';</v>
      </c>
    </row>
    <row r="31" spans="1:52" s="25" customFormat="1" ht="19.5" thickBot="1">
      <c r="A31" s="4"/>
      <c r="B31" s="27">
        <f>ROW()-12</f>
        <v>19</v>
      </c>
      <c r="C31" s="57" t="s">
        <v>877</v>
      </c>
      <c r="D31" s="57" t="s">
        <v>878</v>
      </c>
      <c r="E31" s="56"/>
      <c r="F31" s="56" t="s">
        <v>865</v>
      </c>
      <c r="G31" s="56" t="str">
        <f t="shared" si="3"/>
        <v>text</v>
      </c>
      <c r="H31" s="59"/>
      <c r="I31" s="60"/>
      <c r="J31" s="64" t="s">
        <v>882</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ENT_01_C1-08</v>
      </c>
      <c r="E6" s="273"/>
      <c r="F6" s="273"/>
      <c r="G6" s="273"/>
      <c r="H6" s="273"/>
      <c r="I6" s="273"/>
      <c r="J6" s="274"/>
    </row>
    <row r="7" spans="1:45">
      <c r="B7" s="262" t="s">
        <v>115</v>
      </c>
      <c r="C7" s="263"/>
      <c r="D7" s="264" t="s">
        <v>315</v>
      </c>
      <c r="E7" s="265"/>
      <c r="F7" s="265"/>
      <c r="G7" s="265"/>
      <c r="H7" s="265"/>
      <c r="I7" s="265"/>
      <c r="J7" s="266"/>
    </row>
    <row r="8" spans="1:45">
      <c r="B8" s="262" t="s">
        <v>116</v>
      </c>
      <c r="C8" s="263"/>
      <c r="D8" s="264" t="str">
        <f>エンティティ一覧!AE2&amp;"_"&amp;D5&amp;"_merge_dpc_ff1_a006050"</f>
        <v>sny_202310_backup_merge_dpc_ff1_a006050</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milscm_2023_009.sny_202310_backup_merge_dpc_ff1_a006050;</v>
      </c>
      <c r="O10" s="76"/>
      <c r="P10" s="76"/>
      <c r="Q10" s="76"/>
      <c r="R10" s="76"/>
      <c r="S10" s="76"/>
      <c r="T10" s="76"/>
      <c r="AJ10" s="76" t="str">
        <f>"ALTER TABLE ONLY "&amp;エンティティ一覧!$O$2&amp;"."&amp;D$8</f>
        <v>ALTER TABLE ONLY milscm_2023_009.sny_202310_backup_merge_dpc_ff1_a006050</v>
      </c>
      <c r="AS10" s="76" t="str">
        <f>"ALTER TABLE "&amp;エンティティ一覧!$O$2&amp;"."&amp;D$8&amp;" OWNER TO pgmisgrp1;"</f>
        <v>ALTER TABLE milscm_2023_009.sny_202310_backup_merge_dpc_ff1_a006050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milscm_2023_009.sny_202310_backup_merge_dpc_ff1_a006050</v>
      </c>
      <c r="O11" s="76"/>
      <c r="P11" s="76"/>
      <c r="Q11" s="76"/>
      <c r="R11" s="76"/>
      <c r="S11" s="76"/>
      <c r="T11" s="76"/>
      <c r="AJ11" s="76" t="str">
        <f>"ADD CONSTRAINT "&amp;D$8&amp;"_pkey PRIMARY KEY"</f>
        <v>ADD CONSTRAINT sny_202310_backup_merge_dpc_ff1_a006050_pkey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milscm_2023_009.sny_202310_backup_merge_dpc_ff1_a006050.mil_karute_id IS '千年カルテID';</v>
      </c>
    </row>
    <row r="15" spans="1:45" s="25" customFormat="1" ht="37.5">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milscm_2023_009.sny_202310_backup_merge_dpc_ff1_a006050.facility_id IS '施設ID';</v>
      </c>
    </row>
    <row r="16" spans="1:45" s="25" customFormat="1" ht="93.75">
      <c r="B16" s="21">
        <f t="shared" si="2"/>
        <v>4</v>
      </c>
      <c r="C16" s="6" t="s">
        <v>866</v>
      </c>
      <c r="D16" s="6" t="s">
        <v>884</v>
      </c>
      <c r="E16" s="8" t="s">
        <v>127</v>
      </c>
      <c r="F16" s="7" t="s">
        <v>865</v>
      </c>
      <c r="G16" s="7" t="str">
        <f t="shared" si="3"/>
        <v>text</v>
      </c>
      <c r="H16" s="26"/>
      <c r="I16" s="10" t="s">
        <v>127</v>
      </c>
      <c r="J16" s="53" t="s">
        <v>898</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milscm_2023_009.sny_202310_backup_merge_dpc_ff1_a006050.shushoku_code4 IS '修飾語コード4';</v>
      </c>
    </row>
    <row r="31" spans="1:52" s="25" customFormat="1" ht="19.5" thickBot="1">
      <c r="A31" s="4"/>
      <c r="B31" s="27">
        <f>ROW()-12</f>
        <v>19</v>
      </c>
      <c r="C31" s="57" t="s">
        <v>888</v>
      </c>
      <c r="D31" s="57" t="s">
        <v>889</v>
      </c>
      <c r="E31" s="56"/>
      <c r="F31" s="56" t="s">
        <v>865</v>
      </c>
      <c r="G31" s="56" t="str">
        <f t="shared" si="3"/>
        <v>text</v>
      </c>
      <c r="H31" s="59"/>
      <c r="I31" s="60"/>
      <c r="J31" s="61" t="s">
        <v>893</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ENT_01_C2-01</v>
      </c>
      <c r="E6" s="273"/>
      <c r="F6" s="273"/>
      <c r="G6" s="273"/>
      <c r="H6" s="273"/>
      <c r="I6" s="273"/>
      <c r="J6" s="274"/>
    </row>
    <row r="7" spans="1:45">
      <c r="B7" s="262" t="s">
        <v>115</v>
      </c>
      <c r="C7" s="263"/>
      <c r="D7" s="264" t="s">
        <v>903</v>
      </c>
      <c r="E7" s="265"/>
      <c r="F7" s="265"/>
      <c r="G7" s="265"/>
      <c r="H7" s="265"/>
      <c r="I7" s="265"/>
      <c r="J7" s="266"/>
    </row>
    <row r="8" spans="1:45">
      <c r="B8" s="262" t="s">
        <v>116</v>
      </c>
      <c r="C8" s="263"/>
      <c r="D8" s="264" t="str">
        <f>エンティティ一覧!AE2&amp;"_"&amp;D5&amp;"_merge_receiptc_ir"</f>
        <v>sny_202310_backup_merge_receiptc_ir</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milscm_2023_009.sny_202310_backup_merge_receiptc_ir;</v>
      </c>
      <c r="O10" s="76"/>
      <c r="P10" s="76"/>
      <c r="Q10" s="76"/>
      <c r="R10" s="76"/>
      <c r="S10" s="76"/>
      <c r="T10" s="76"/>
      <c r="AJ10" s="76" t="str">
        <f>"ALTER TABLE ONLY "&amp;エンティティ一覧!$O$2&amp;"."&amp;D$8</f>
        <v>ALTER TABLE ONLY milscm_2023_009.sny_202310_backup_merge_receiptc_ir</v>
      </c>
      <c r="AS10" s="76" t="str">
        <f>"ALTER TABLE "&amp;エンティティ一覧!$O$2&amp;"."&amp;D$8&amp;" OWNER TO pgmisgrp1;"</f>
        <v>ALTER TABLE milscm_2023_009.sny_202310_backup_merge_receiptc_ir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milscm_2023_009.sny_202310_backup_merge_receiptc_ir</v>
      </c>
      <c r="O11" s="76"/>
      <c r="P11" s="76"/>
      <c r="Q11" s="76"/>
      <c r="R11" s="76"/>
      <c r="S11" s="76"/>
      <c r="T11" s="76"/>
      <c r="AJ11" s="76" t="str">
        <f>"ADD CONSTRAINT "&amp;D$8&amp;"_pkey PRIMARY KEY"</f>
        <v>ADD CONSTRAINT sny_202310_backup_merge_receiptc_ir_pkey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milscm_2023_009.sny_202310_backup_merge_receiptc_ir.facility_id IS '施設ID';</v>
      </c>
    </row>
    <row r="16" spans="1:45" s="25" customFormat="1" ht="56.25">
      <c r="B16" s="21">
        <f t="shared" si="2"/>
        <v>4</v>
      </c>
      <c r="C16" s="6" t="s">
        <v>904</v>
      </c>
      <c r="D16" s="6" t="s">
        <v>905</v>
      </c>
      <c r="E16" s="8" t="s">
        <v>127</v>
      </c>
      <c r="F16" s="7" t="s">
        <v>865</v>
      </c>
      <c r="G16" s="7" t="str">
        <f t="shared" si="3"/>
        <v>text</v>
      </c>
      <c r="H16" s="26"/>
      <c r="I16" s="10" t="s">
        <v>127</v>
      </c>
      <c r="J16" s="53" t="s">
        <v>931</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milscm_2023_009.sny_202310_backup_merge_receiptc_ir.seikyu_ym IS '請求年月';</v>
      </c>
    </row>
    <row r="17" spans="1:52" s="25" customFormat="1" ht="75">
      <c r="B17" s="21">
        <f t="shared" si="2"/>
        <v>5</v>
      </c>
      <c r="C17" s="13" t="s">
        <v>866</v>
      </c>
      <c r="D17" s="13" t="s">
        <v>206</v>
      </c>
      <c r="E17" s="7" t="s">
        <v>127</v>
      </c>
      <c r="F17" s="7" t="s">
        <v>865</v>
      </c>
      <c r="G17" s="7" t="str">
        <f t="shared" si="3"/>
        <v>text</v>
      </c>
      <c r="H17" s="58"/>
      <c r="I17" s="23" t="s">
        <v>127</v>
      </c>
      <c r="J17" s="24" t="s">
        <v>937</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865</v>
      </c>
      <c r="G18" s="7" t="str">
        <f t="shared" si="3"/>
        <v>text</v>
      </c>
      <c r="H18" s="26" t="s">
        <v>932</v>
      </c>
      <c r="I18" s="10" t="s">
        <v>127</v>
      </c>
      <c r="J18" s="11"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milscm_2023_009.sny_202310_backup_merge_receiptc_ir.data_type IS 'データ種別';</v>
      </c>
    </row>
    <row r="19" spans="1:52" s="25" customFormat="1">
      <c r="B19" s="21">
        <f t="shared" si="2"/>
        <v>7</v>
      </c>
      <c r="C19" s="13" t="s">
        <v>906</v>
      </c>
      <c r="D19" s="13" t="s">
        <v>907</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908</v>
      </c>
      <c r="D20" s="6" t="s">
        <v>909</v>
      </c>
      <c r="E20" s="8"/>
      <c r="F20" s="7" t="s">
        <v>865</v>
      </c>
      <c r="G20" s="7" t="str">
        <f t="shared" si="3"/>
        <v>text</v>
      </c>
      <c r="H20" s="26" t="s">
        <v>934</v>
      </c>
      <c r="I20" s="10" t="s">
        <v>127</v>
      </c>
      <c r="J20" s="11" t="s">
        <v>935</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910</v>
      </c>
      <c r="D21" s="13" t="s">
        <v>911</v>
      </c>
      <c r="E21" s="7" t="s">
        <v>127</v>
      </c>
      <c r="F21" s="7" t="s">
        <v>204</v>
      </c>
      <c r="G21" s="7" t="str">
        <f t="shared" si="3"/>
        <v>integer</v>
      </c>
      <c r="H21" s="58">
        <v>0</v>
      </c>
      <c r="I21" s="23" t="s">
        <v>127</v>
      </c>
      <c r="J21" s="24" t="s">
        <v>936</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912</v>
      </c>
      <c r="D22" s="6" t="s">
        <v>913</v>
      </c>
      <c r="E22" s="8" t="s">
        <v>127</v>
      </c>
      <c r="F22" s="7" t="s">
        <v>204</v>
      </c>
      <c r="G22" s="7" t="str">
        <f t="shared" si="3"/>
        <v>integer</v>
      </c>
      <c r="H22" s="26">
        <v>0</v>
      </c>
      <c r="I22" s="10" t="s">
        <v>127</v>
      </c>
      <c r="J22" s="11" t="s">
        <v>936</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milscm_2023_009.sny_202310_backup_merge_receiptc_ir.gyo_no IS '行番号';</v>
      </c>
    </row>
    <row r="23" spans="1:52" s="25" customFormat="1">
      <c r="A23" s="4"/>
      <c r="B23" s="21">
        <f t="shared" si="2"/>
        <v>11</v>
      </c>
      <c r="C23" s="13" t="s">
        <v>914</v>
      </c>
      <c r="D23" s="13" t="s">
        <v>915</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916</v>
      </c>
      <c r="D24" s="6" t="s">
        <v>917</v>
      </c>
      <c r="E24" s="8"/>
      <c r="F24" s="7" t="s">
        <v>865</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918</v>
      </c>
      <c r="D25" s="13" t="s">
        <v>919</v>
      </c>
      <c r="E25" s="7"/>
      <c r="F25" s="7" t="s">
        <v>865</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milscm_2023_009.sny_202310_backup_merge_receiptc_ir.tensuhyo IS '点数表';</v>
      </c>
    </row>
    <row r="26" spans="1:52" s="25" customFormat="1">
      <c r="A26" s="4"/>
      <c r="B26" s="21">
        <f t="shared" si="2"/>
        <v>14</v>
      </c>
      <c r="C26" s="6" t="s">
        <v>920</v>
      </c>
      <c r="D26" s="6" t="s">
        <v>921</v>
      </c>
      <c r="E26" s="8"/>
      <c r="F26" s="7" t="s">
        <v>865</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922</v>
      </c>
      <c r="D27" s="6" t="s">
        <v>923</v>
      </c>
      <c r="E27" s="8"/>
      <c r="F27" s="7" t="s">
        <v>865</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milscm_2023_009.sny_202310_backup_merge_receiptc_ir.reserve1 IS '予備1';</v>
      </c>
    </row>
    <row r="28" spans="1:52" s="25" customFormat="1">
      <c r="A28" s="4"/>
      <c r="B28" s="21">
        <f t="shared" si="2"/>
        <v>16</v>
      </c>
      <c r="C28" s="13" t="s">
        <v>924</v>
      </c>
      <c r="D28" s="13" t="s">
        <v>925</v>
      </c>
      <c r="E28" s="7"/>
      <c r="F28" s="7" t="s">
        <v>865</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926</v>
      </c>
      <c r="D29" s="13" t="s">
        <v>927</v>
      </c>
      <c r="E29" s="7"/>
      <c r="F29" s="7" t="s">
        <v>865</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milscm_2023_009.sny_202310_backup_merge_receiptc_ir.multi_volume_shikibetsu IS 'マルチボリューム識別情報';</v>
      </c>
    </row>
    <row r="30" spans="1:52" s="25" customFormat="1" ht="19.5" thickBot="1">
      <c r="A30" s="4"/>
      <c r="B30" s="27">
        <f>ROW()-12</f>
        <v>18</v>
      </c>
      <c r="C30" s="57" t="s">
        <v>928</v>
      </c>
      <c r="D30" s="57" t="s">
        <v>929</v>
      </c>
      <c r="E30" s="56"/>
      <c r="F30" s="56" t="s">
        <v>865</v>
      </c>
      <c r="G30" s="56" t="str">
        <f t="shared" si="3"/>
        <v>text</v>
      </c>
      <c r="H30" s="59"/>
      <c r="I30" s="60"/>
      <c r="J30" s="64"/>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ENT_01_C2-02</v>
      </c>
      <c r="E6" s="273"/>
      <c r="F6" s="273"/>
      <c r="G6" s="273"/>
      <c r="H6" s="273"/>
      <c r="I6" s="273"/>
      <c r="J6" s="274"/>
    </row>
    <row r="7" spans="1:45">
      <c r="B7" s="262" t="s">
        <v>115</v>
      </c>
      <c r="C7" s="263"/>
      <c r="D7" s="264" t="s">
        <v>939</v>
      </c>
      <c r="E7" s="265"/>
      <c r="F7" s="265"/>
      <c r="G7" s="265"/>
      <c r="H7" s="265"/>
      <c r="I7" s="265"/>
      <c r="J7" s="266"/>
    </row>
    <row r="8" spans="1:45">
      <c r="B8" s="262" t="s">
        <v>116</v>
      </c>
      <c r="C8" s="263"/>
      <c r="D8" s="264" t="str">
        <f>エンティティ一覧!AE2&amp;"_"&amp;D5&amp;"_merge_receiptc_re"</f>
        <v>sny_202310_backup_merge_receiptc_re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milscm_2023_009.sny_202310_backup_merge_receiptc_re;</v>
      </c>
      <c r="O10" s="76"/>
      <c r="P10" s="76"/>
      <c r="Q10" s="76"/>
      <c r="R10" s="76"/>
      <c r="S10" s="76"/>
      <c r="T10" s="76"/>
      <c r="AJ10" s="76" t="str">
        <f>"ALTER TABLE ONLY "&amp;エンティティ一覧!$O$2&amp;"."&amp;D$8</f>
        <v>ALTER TABLE ONLY milscm_2023_009.sny_202310_backup_merge_receiptc_re</v>
      </c>
      <c r="AS10" s="76" t="str">
        <f>"ALTER TABLE "&amp;エンティティ一覧!$O$2&amp;"."&amp;D$8&amp;" OWNER TO pgmisgrp1;"</f>
        <v>ALTER TABLE milscm_2023_009.sny_202310_backup_merge_receiptc_re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milscm_2023_009.sny_202310_backup_merge_receiptc_re</v>
      </c>
      <c r="O11" s="76"/>
      <c r="P11" s="76"/>
      <c r="Q11" s="76"/>
      <c r="R11" s="76"/>
      <c r="S11" s="76"/>
      <c r="T11" s="76"/>
      <c r="AJ11" s="76" t="str">
        <f>"ADD CONSTRAINT "&amp;D$8&amp;"_pkey PRIMARY KEY"</f>
        <v>ADD CONSTRAINT sny_202310_backup_merge_receiptc_re_pkey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milscm_2023_009.sny_202310_backup_merge_receiptc_re.mil_karute_id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milscm_2023_009.sny_202310_backup_merge_receiptc_re.facility_id IS '施設ID';</v>
      </c>
    </row>
    <row r="16" spans="1:45" s="25" customFormat="1">
      <c r="B16" s="21">
        <f t="shared" si="2"/>
        <v>4</v>
      </c>
      <c r="C16" s="6" t="s">
        <v>904</v>
      </c>
      <c r="D16" s="6" t="s">
        <v>905</v>
      </c>
      <c r="E16" s="8" t="s">
        <v>127</v>
      </c>
      <c r="F16" s="7" t="s">
        <v>865</v>
      </c>
      <c r="G16" s="7" t="str">
        <f t="shared" si="3"/>
        <v>text</v>
      </c>
      <c r="H16" s="26"/>
      <c r="I16" s="10" t="s">
        <v>127</v>
      </c>
      <c r="J16" s="53" t="s">
        <v>1055</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milscm_2023_009.sny_202310_backup_merge_receiptc_re.seikyu_ym IS '請求年月';</v>
      </c>
    </row>
    <row r="17" spans="2:45" s="25" customFormat="1" ht="75">
      <c r="B17" s="21">
        <f t="shared" si="2"/>
        <v>5</v>
      </c>
      <c r="C17" s="13" t="s">
        <v>866</v>
      </c>
      <c r="D17" s="13" t="s">
        <v>206</v>
      </c>
      <c r="E17" s="7" t="s">
        <v>127</v>
      </c>
      <c r="F17" s="7" t="s">
        <v>865</v>
      </c>
      <c r="G17" s="7" t="str">
        <f t="shared" ref="G17:G80" si="7">IF(F17="フラグ","boolean",IF(F17="文字列","text",IF(F17="整数","integer",IF(F17="実数","numeric",""))))</f>
        <v>text</v>
      </c>
      <c r="H17" s="58"/>
      <c r="I17" s="23" t="s">
        <v>127</v>
      </c>
      <c r="J17" s="24" t="s">
        <v>1056</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865</v>
      </c>
      <c r="G18" s="7" t="str">
        <f t="shared" si="7"/>
        <v>text</v>
      </c>
      <c r="H18" s="58" t="s">
        <v>932</v>
      </c>
      <c r="I18" s="23" t="s">
        <v>127</v>
      </c>
      <c r="J18" s="24" t="s">
        <v>933</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milscm_2023_009.sny_202310_backup_merge_receiptc_re.data_type IS 'データ種別';</v>
      </c>
    </row>
    <row r="19" spans="2:45" s="25" customFormat="1">
      <c r="B19" s="21">
        <f t="shared" si="2"/>
        <v>7</v>
      </c>
      <c r="C19" s="13" t="s">
        <v>906</v>
      </c>
      <c r="D19" s="13" t="s">
        <v>907</v>
      </c>
      <c r="E19" s="7" t="s">
        <v>127</v>
      </c>
      <c r="F19" s="7" t="s">
        <v>865</v>
      </c>
      <c r="G19" s="7" t="str">
        <f t="shared" si="7"/>
        <v>text</v>
      </c>
      <c r="H19" s="58"/>
      <c r="I19" s="23" t="s">
        <v>127</v>
      </c>
      <c r="J19" s="24" t="s">
        <v>1057</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908</v>
      </c>
      <c r="D20" s="13" t="s">
        <v>909</v>
      </c>
      <c r="E20" s="7"/>
      <c r="F20" s="7" t="s">
        <v>865</v>
      </c>
      <c r="G20" s="7" t="str">
        <f t="shared" si="7"/>
        <v>text</v>
      </c>
      <c r="H20" s="58" t="s">
        <v>1058</v>
      </c>
      <c r="I20" s="23" t="s">
        <v>127</v>
      </c>
      <c r="J20" s="24" t="s">
        <v>1059</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910</v>
      </c>
      <c r="D21" s="13" t="s">
        <v>911</v>
      </c>
      <c r="E21" s="7" t="s">
        <v>127</v>
      </c>
      <c r="F21" s="7" t="s">
        <v>204</v>
      </c>
      <c r="G21" s="7" t="str">
        <f t="shared" si="7"/>
        <v>integer</v>
      </c>
      <c r="H21" s="58"/>
      <c r="I21" s="23" t="s">
        <v>127</v>
      </c>
      <c r="J21" s="24" t="s">
        <v>1060</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milscm_2023_009.sny_202310_backup_merge_receiptc_re.receipt_no IS 'レセプト番号';</v>
      </c>
    </row>
    <row r="22" spans="2:45" s="25" customFormat="1">
      <c r="B22" s="21">
        <f t="shared" si="2"/>
        <v>10</v>
      </c>
      <c r="C22" s="13" t="s">
        <v>912</v>
      </c>
      <c r="D22" s="13" t="s">
        <v>913</v>
      </c>
      <c r="E22" s="7" t="s">
        <v>127</v>
      </c>
      <c r="F22" s="7" t="s">
        <v>204</v>
      </c>
      <c r="G22" s="7" t="str">
        <f t="shared" si="7"/>
        <v>integer</v>
      </c>
      <c r="H22" s="58"/>
      <c r="I22" s="23" t="s">
        <v>127</v>
      </c>
      <c r="J22" s="24" t="s">
        <v>1061</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milscm_2023_009.sny_202310_backup_merge_receiptc_re.gyo_no IS '行番号';</v>
      </c>
    </row>
    <row r="23" spans="2:45" s="25" customFormat="1">
      <c r="B23" s="21">
        <f t="shared" si="2"/>
        <v>11</v>
      </c>
      <c r="C23" s="13" t="s">
        <v>914</v>
      </c>
      <c r="D23" s="13" t="s">
        <v>915</v>
      </c>
      <c r="E23" s="7"/>
      <c r="F23" s="7" t="s">
        <v>865</v>
      </c>
      <c r="G23" s="7" t="str">
        <f t="shared" si="7"/>
        <v>text</v>
      </c>
      <c r="H23" s="58"/>
      <c r="I23" s="23"/>
      <c r="J23" s="24" t="s">
        <v>1062</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940</v>
      </c>
      <c r="D24" s="13" t="s">
        <v>941</v>
      </c>
      <c r="E24" s="7"/>
      <c r="F24" s="7" t="s">
        <v>865</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942</v>
      </c>
      <c r="D25" s="13" t="s">
        <v>943</v>
      </c>
      <c r="E25" s="7"/>
      <c r="F25" s="7" t="s">
        <v>865</v>
      </c>
      <c r="G25" s="7" t="str">
        <f t="shared" si="7"/>
        <v>text</v>
      </c>
      <c r="H25" s="58"/>
      <c r="I25" s="23"/>
      <c r="J25" s="24" t="s">
        <v>1063</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milscm_2023_009.sny_202310_backup_merge_receiptc_re.name IS '氏名';</v>
      </c>
    </row>
    <row r="26" spans="2:45" s="25" customFormat="1">
      <c r="B26" s="21">
        <f t="shared" si="2"/>
        <v>14</v>
      </c>
      <c r="C26" s="13" t="s">
        <v>944</v>
      </c>
      <c r="D26" s="13" t="s">
        <v>945</v>
      </c>
      <c r="E26" s="7"/>
      <c r="F26" s="7" t="s">
        <v>865</v>
      </c>
      <c r="G26" s="7" t="str">
        <f t="shared" si="7"/>
        <v>text</v>
      </c>
      <c r="H26" s="58"/>
      <c r="I26" s="23"/>
      <c r="J26" s="24" t="s">
        <v>1064</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milscm_2023_009.sny_202310_backup_merge_receiptc_re.sex_kubun IS '男女区分';</v>
      </c>
    </row>
    <row r="27" spans="2:45" s="25" customFormat="1" ht="93.75">
      <c r="B27" s="21">
        <f t="shared" si="2"/>
        <v>15</v>
      </c>
      <c r="C27" s="13" t="s">
        <v>946</v>
      </c>
      <c r="D27" s="13" t="s">
        <v>322</v>
      </c>
      <c r="E27" s="7"/>
      <c r="F27" s="7" t="s">
        <v>865</v>
      </c>
      <c r="G27" s="7" t="str">
        <f t="shared" si="7"/>
        <v>text</v>
      </c>
      <c r="H27" s="58"/>
      <c r="I27" s="23"/>
      <c r="J27" s="24" t="s">
        <v>1065</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milscm_2023_009.sny_202310_backup_merge_receiptc_re.birthday IS '生年月日';</v>
      </c>
    </row>
    <row r="28" spans="2:45" s="25" customFormat="1">
      <c r="B28" s="21">
        <f t="shared" si="2"/>
        <v>16</v>
      </c>
      <c r="C28" s="13" t="s">
        <v>947</v>
      </c>
      <c r="D28" s="13" t="s">
        <v>948</v>
      </c>
      <c r="E28" s="7"/>
      <c r="F28" s="7" t="s">
        <v>204</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milscm_2023_009.sny_202310_backup_merge_receiptc_re.kyufu_wariai IS '給付割合';</v>
      </c>
    </row>
    <row r="29" spans="2:45" s="25" customFormat="1" ht="75">
      <c r="B29" s="21">
        <f t="shared" si="2"/>
        <v>17</v>
      </c>
      <c r="C29" s="13" t="s">
        <v>868</v>
      </c>
      <c r="D29" s="13" t="s">
        <v>156</v>
      </c>
      <c r="E29" s="7"/>
      <c r="F29" s="7" t="s">
        <v>865</v>
      </c>
      <c r="G29" s="7" t="str">
        <f t="shared" si="7"/>
        <v>text</v>
      </c>
      <c r="H29" s="58"/>
      <c r="I29" s="23"/>
      <c r="J29" s="24" t="s">
        <v>1066</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milscm_2023_009.sny_202310_backup_merge_receiptc_re.nyuin_ymd IS '入院年月日';</v>
      </c>
    </row>
    <row r="30" spans="2:45" s="25" customFormat="1">
      <c r="B30" s="21">
        <f t="shared" si="2"/>
        <v>18</v>
      </c>
      <c r="C30" s="13" t="s">
        <v>949</v>
      </c>
      <c r="D30" s="13" t="s">
        <v>950</v>
      </c>
      <c r="E30" s="7"/>
      <c r="F30" s="7" t="s">
        <v>865</v>
      </c>
      <c r="G30" s="7" t="str">
        <f t="shared" si="7"/>
        <v>text</v>
      </c>
      <c r="H30" s="58"/>
      <c r="I30" s="23"/>
      <c r="J30" s="24" t="s">
        <v>1067</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milscm_2023_009.sny_202310_backup_merge_receiptc_re.ward_kubun1 IS '病棟区分1';</v>
      </c>
    </row>
    <row r="31" spans="2:45" s="25" customFormat="1">
      <c r="B31" s="21">
        <f t="shared" si="2"/>
        <v>19</v>
      </c>
      <c r="C31" s="13" t="s">
        <v>951</v>
      </c>
      <c r="D31" s="13" t="s">
        <v>952</v>
      </c>
      <c r="E31" s="7"/>
      <c r="F31" s="7" t="s">
        <v>865</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milscm_2023_009.sny_202310_backup_merge_receiptc_re.ward_kubun2 IS '病棟区分2';</v>
      </c>
    </row>
    <row r="32" spans="2:45" s="25" customFormat="1">
      <c r="B32" s="21">
        <f t="shared" si="2"/>
        <v>20</v>
      </c>
      <c r="C32" s="13" t="s">
        <v>953</v>
      </c>
      <c r="D32" s="13" t="s">
        <v>954</v>
      </c>
      <c r="E32" s="7"/>
      <c r="F32" s="7" t="s">
        <v>865</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milscm_2023_009.sny_202310_backup_merge_receiptc_re.ward_kubun3 IS '病棟区分3';</v>
      </c>
    </row>
    <row r="33" spans="2:45" s="25" customFormat="1">
      <c r="B33" s="21">
        <f t="shared" si="2"/>
        <v>21</v>
      </c>
      <c r="C33" s="13" t="s">
        <v>955</v>
      </c>
      <c r="D33" s="13" t="s">
        <v>956</v>
      </c>
      <c r="E33" s="7"/>
      <c r="F33" s="7" t="s">
        <v>865</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milscm_2023_009.sny_202310_backup_merge_receiptc_re.ward_kubun4 IS '病棟区分4';</v>
      </c>
    </row>
    <row r="34" spans="2:45" s="25" customFormat="1" ht="31.5">
      <c r="B34" s="21">
        <f t="shared" si="2"/>
        <v>22</v>
      </c>
      <c r="C34" s="13" t="s">
        <v>957</v>
      </c>
      <c r="D34" s="13" t="s">
        <v>958</v>
      </c>
      <c r="E34" s="7"/>
      <c r="F34" s="7" t="s">
        <v>865</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959</v>
      </c>
      <c r="D35" s="13" t="s">
        <v>960</v>
      </c>
      <c r="E35" s="7"/>
      <c r="F35" s="7" t="s">
        <v>865</v>
      </c>
      <c r="G35" s="7" t="str">
        <f t="shared" si="7"/>
        <v>text</v>
      </c>
      <c r="H35" s="58"/>
      <c r="I35" s="23"/>
      <c r="J35" s="24" t="s">
        <v>1068</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961</v>
      </c>
      <c r="D36" s="13" t="s">
        <v>962</v>
      </c>
      <c r="E36" s="7"/>
      <c r="F36" s="7" t="s">
        <v>865</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963</v>
      </c>
      <c r="D37" s="13" t="s">
        <v>964</v>
      </c>
      <c r="E37" s="7"/>
      <c r="F37" s="7" t="s">
        <v>865</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965</v>
      </c>
      <c r="D38" s="13" t="s">
        <v>966</v>
      </c>
      <c r="E38" s="7"/>
      <c r="F38" s="7" t="s">
        <v>865</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967</v>
      </c>
      <c r="D39" s="13" t="s">
        <v>968</v>
      </c>
      <c r="E39" s="7"/>
      <c r="F39" s="7" t="s">
        <v>865</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969</v>
      </c>
      <c r="D40" s="13" t="s">
        <v>970</v>
      </c>
      <c r="E40" s="7"/>
      <c r="F40" s="7" t="s">
        <v>204</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milscm_2023_009.sny_202310_backup_merge_receiptc_re.bed_su IS '病床数';</v>
      </c>
    </row>
    <row r="41" spans="2:45" s="25" customFormat="1">
      <c r="B41" s="21">
        <f t="shared" si="2"/>
        <v>29</v>
      </c>
      <c r="C41" s="13" t="s">
        <v>971</v>
      </c>
      <c r="D41" s="13" t="s">
        <v>972</v>
      </c>
      <c r="E41" s="7"/>
      <c r="F41" s="7" t="s">
        <v>204</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922</v>
      </c>
      <c r="D42" s="13" t="s">
        <v>923</v>
      </c>
      <c r="E42" s="7"/>
      <c r="F42" s="7" t="s">
        <v>865</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milscm_2023_009.sny_202310_backup_merge_receiptc_re.reserve1 IS '予備1';</v>
      </c>
    </row>
    <row r="43" spans="2:45" s="25" customFormat="1">
      <c r="B43" s="21">
        <f t="shared" si="2"/>
        <v>31</v>
      </c>
      <c r="C43" s="13" t="s">
        <v>973</v>
      </c>
      <c r="D43" s="13" t="s">
        <v>974</v>
      </c>
      <c r="E43" s="7"/>
      <c r="F43" s="7" t="s">
        <v>865</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milscm_2023_009.sny_202310_backup_merge_receiptc_re.reserve2 IS '予備2';</v>
      </c>
    </row>
    <row r="44" spans="2:45" s="25" customFormat="1">
      <c r="B44" s="21">
        <f t="shared" si="2"/>
        <v>32</v>
      </c>
      <c r="C44" s="13" t="s">
        <v>975</v>
      </c>
      <c r="D44" s="13" t="s">
        <v>976</v>
      </c>
      <c r="E44" s="7"/>
      <c r="F44" s="7" t="s">
        <v>865</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milscm_2023_009.sny_202310_backup_merge_receiptc_re.reserve3 IS '予備3';</v>
      </c>
    </row>
    <row r="45" spans="2:45" s="25" customFormat="1">
      <c r="B45" s="21">
        <f t="shared" si="2"/>
        <v>33</v>
      </c>
      <c r="C45" s="13" t="s">
        <v>977</v>
      </c>
      <c r="D45" s="13" t="s">
        <v>978</v>
      </c>
      <c r="E45" s="7"/>
      <c r="F45" s="7" t="s">
        <v>865</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milscm_2023_009.sny_202310_backup_merge_receiptc_re.kensaku_no IS '検索番号';</v>
      </c>
    </row>
    <row r="46" spans="2:45" s="25" customFormat="1" ht="56.25">
      <c r="B46" s="21">
        <f t="shared" si="2"/>
        <v>34</v>
      </c>
      <c r="C46" s="13" t="s">
        <v>979</v>
      </c>
      <c r="D46" s="13" t="s">
        <v>980</v>
      </c>
      <c r="E46" s="7"/>
      <c r="F46" s="7" t="s">
        <v>865</v>
      </c>
      <c r="G46" s="7" t="str">
        <f t="shared" si="7"/>
        <v>text</v>
      </c>
      <c r="H46" s="58"/>
      <c r="I46" s="23"/>
      <c r="J46" s="24" t="s">
        <v>931</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981</v>
      </c>
      <c r="D47" s="13" t="s">
        <v>982</v>
      </c>
      <c r="E47" s="7"/>
      <c r="F47" s="7" t="s">
        <v>865</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milscm_2023_009.sny_202310_backup_merge_receiptc_re.seikyu_info IS '請求情報';</v>
      </c>
    </row>
    <row r="48" spans="2:45" s="25" customFormat="1">
      <c r="B48" s="21">
        <f t="shared" si="2"/>
        <v>36</v>
      </c>
      <c r="C48" s="13" t="s">
        <v>983</v>
      </c>
      <c r="D48" s="13" t="s">
        <v>984</v>
      </c>
      <c r="E48" s="7"/>
      <c r="F48" s="7" t="s">
        <v>865</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985</v>
      </c>
      <c r="D49" s="13" t="s">
        <v>986</v>
      </c>
      <c r="E49" s="7"/>
      <c r="F49" s="7" t="s">
        <v>865</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987</v>
      </c>
      <c r="D50" s="13" t="s">
        <v>988</v>
      </c>
      <c r="E50" s="7"/>
      <c r="F50" s="7" t="s">
        <v>865</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989</v>
      </c>
      <c r="D51" s="13" t="s">
        <v>990</v>
      </c>
      <c r="E51" s="7"/>
      <c r="F51" s="7" t="s">
        <v>865</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991</v>
      </c>
      <c r="D52" s="13" t="s">
        <v>992</v>
      </c>
      <c r="E52" s="7"/>
      <c r="F52" s="7" t="s">
        <v>865</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993</v>
      </c>
      <c r="D53" s="13" t="s">
        <v>994</v>
      </c>
      <c r="E53" s="7"/>
      <c r="F53" s="7" t="s">
        <v>865</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995</v>
      </c>
      <c r="D54" s="13" t="s">
        <v>996</v>
      </c>
      <c r="E54" s="7"/>
      <c r="F54" s="7" t="s">
        <v>865</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997</v>
      </c>
      <c r="D55" s="13" t="s">
        <v>998</v>
      </c>
      <c r="E55" s="7"/>
      <c r="F55" s="7" t="s">
        <v>865</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999</v>
      </c>
      <c r="D56" s="13" t="s">
        <v>1000</v>
      </c>
      <c r="E56" s="7"/>
      <c r="F56" s="7" t="s">
        <v>865</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1001</v>
      </c>
      <c r="D57" s="13" t="s">
        <v>1002</v>
      </c>
      <c r="E57" s="7"/>
      <c r="F57" s="7" t="s">
        <v>865</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1003</v>
      </c>
      <c r="D58" s="13" t="s">
        <v>1004</v>
      </c>
      <c r="E58" s="7"/>
      <c r="F58" s="7" t="s">
        <v>865</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1005</v>
      </c>
      <c r="D59" s="13" t="s">
        <v>1006</v>
      </c>
      <c r="E59" s="7"/>
      <c r="F59" s="7" t="s">
        <v>865</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1007</v>
      </c>
      <c r="D60" s="13" t="s">
        <v>1008</v>
      </c>
      <c r="E60" s="7"/>
      <c r="F60" s="7" t="s">
        <v>865</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1009</v>
      </c>
      <c r="D61" s="13" t="s">
        <v>1010</v>
      </c>
      <c r="E61" s="7"/>
      <c r="F61" s="7" t="s">
        <v>865</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1011</v>
      </c>
      <c r="D62" s="13" t="s">
        <v>1012</v>
      </c>
      <c r="E62" s="7"/>
      <c r="F62" s="7" t="s">
        <v>865</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1013</v>
      </c>
      <c r="D63" s="13" t="s">
        <v>1014</v>
      </c>
      <c r="E63" s="7"/>
      <c r="F63" s="7" t="s">
        <v>865</v>
      </c>
      <c r="G63" s="7" t="str">
        <f t="shared" si="7"/>
        <v>text</v>
      </c>
      <c r="H63" s="58"/>
      <c r="I63" s="23"/>
      <c r="J63" s="24" t="s">
        <v>1063</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1015</v>
      </c>
      <c r="D64" s="13" t="s">
        <v>1016</v>
      </c>
      <c r="E64" s="7"/>
      <c r="F64" s="7" t="s">
        <v>865</v>
      </c>
      <c r="G64" s="7" t="str">
        <f t="shared" si="7"/>
        <v>text</v>
      </c>
      <c r="H64" s="58"/>
      <c r="I64" s="23"/>
      <c r="J64" s="24" t="s">
        <v>1069</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1017</v>
      </c>
      <c r="D65" s="13" t="s">
        <v>1018</v>
      </c>
      <c r="E65" s="7"/>
      <c r="F65" s="7" t="s">
        <v>865</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1019</v>
      </c>
      <c r="D66" s="13" t="s">
        <v>1020</v>
      </c>
      <c r="E66" s="7"/>
      <c r="F66" s="7" t="s">
        <v>865</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1021</v>
      </c>
      <c r="D67" s="13" t="s">
        <v>1022</v>
      </c>
      <c r="E67" s="7"/>
      <c r="F67" s="7" t="s">
        <v>865</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1023</v>
      </c>
      <c r="D68" s="13" t="s">
        <v>1024</v>
      </c>
      <c r="E68" s="7"/>
      <c r="F68" s="7" t="s">
        <v>865</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1025</v>
      </c>
      <c r="D69" s="13" t="s">
        <v>1026</v>
      </c>
      <c r="E69" s="7"/>
      <c r="F69" s="7" t="s">
        <v>865</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1027</v>
      </c>
      <c r="D70" s="13" t="s">
        <v>1028</v>
      </c>
      <c r="E70" s="7"/>
      <c r="F70" s="7" t="s">
        <v>865</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1029</v>
      </c>
      <c r="D71" s="13" t="s">
        <v>1030</v>
      </c>
      <c r="E71" s="7"/>
      <c r="F71" s="7" t="s">
        <v>865</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1031</v>
      </c>
      <c r="D72" s="13" t="s">
        <v>1032</v>
      </c>
      <c r="E72" s="7"/>
      <c r="F72" s="7" t="s">
        <v>865</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1033</v>
      </c>
      <c r="D73" s="13" t="s">
        <v>1034</v>
      </c>
      <c r="E73" s="7"/>
      <c r="F73" s="7" t="s">
        <v>865</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1035</v>
      </c>
      <c r="D74" s="13" t="s">
        <v>1036</v>
      </c>
      <c r="E74" s="7"/>
      <c r="F74" s="7" t="s">
        <v>865</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1037</v>
      </c>
      <c r="D75" s="13" t="s">
        <v>1038</v>
      </c>
      <c r="E75" s="7"/>
      <c r="F75" s="7" t="s">
        <v>865</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1039</v>
      </c>
      <c r="D76" s="13" t="s">
        <v>1040</v>
      </c>
      <c r="E76" s="7"/>
      <c r="F76" s="7" t="s">
        <v>865</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1041</v>
      </c>
      <c r="D77" s="13" t="s">
        <v>1042</v>
      </c>
      <c r="E77" s="7"/>
      <c r="F77" s="7" t="s">
        <v>865</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1043</v>
      </c>
      <c r="D78" s="13" t="s">
        <v>1044</v>
      </c>
      <c r="E78" s="7"/>
      <c r="F78" s="7" t="s">
        <v>865</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1045</v>
      </c>
      <c r="D79" s="13" t="s">
        <v>1046</v>
      </c>
      <c r="E79" s="7"/>
      <c r="F79" s="7" t="s">
        <v>865</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1047</v>
      </c>
      <c r="D80" s="13" t="s">
        <v>1048</v>
      </c>
      <c r="E80" s="7"/>
      <c r="F80" s="7" t="s">
        <v>865</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1049</v>
      </c>
      <c r="D81" s="13" t="s">
        <v>1050</v>
      </c>
      <c r="E81" s="7"/>
      <c r="F81" s="7" t="s">
        <v>865</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1051</v>
      </c>
      <c r="D82" s="13" t="s">
        <v>1052</v>
      </c>
      <c r="E82" s="7"/>
      <c r="F82" s="7" t="s">
        <v>865</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milscm_2023_009.sny_202310_backup_merge_receiptc_re.patient_state19 IS '患者の状態19';</v>
      </c>
    </row>
    <row r="83" spans="1:52" s="25" customFormat="1" ht="19.5" thickBot="1">
      <c r="A83" s="4"/>
      <c r="B83" s="27">
        <f>ROW()-12</f>
        <v>71</v>
      </c>
      <c r="C83" s="57" t="s">
        <v>1053</v>
      </c>
      <c r="D83" s="57" t="s">
        <v>1054</v>
      </c>
      <c r="E83" s="56"/>
      <c r="F83" s="56" t="s">
        <v>865</v>
      </c>
      <c r="G83" s="56" t="str">
        <f t="shared" si="3"/>
        <v>text</v>
      </c>
      <c r="H83" s="59"/>
      <c r="I83" s="60"/>
      <c r="J83" s="64"/>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ENT_01_C2-06</v>
      </c>
      <c r="E6" s="273"/>
      <c r="F6" s="273"/>
      <c r="G6" s="273"/>
      <c r="H6" s="273"/>
      <c r="I6" s="273"/>
      <c r="J6" s="274"/>
    </row>
    <row r="7" spans="1:45">
      <c r="B7" s="262" t="s">
        <v>115</v>
      </c>
      <c r="C7" s="263"/>
      <c r="D7" s="264" t="s">
        <v>1071</v>
      </c>
      <c r="E7" s="265"/>
      <c r="F7" s="265"/>
      <c r="G7" s="265"/>
      <c r="H7" s="265"/>
      <c r="I7" s="265"/>
      <c r="J7" s="266"/>
    </row>
    <row r="8" spans="1:45">
      <c r="B8" s="262" t="s">
        <v>116</v>
      </c>
      <c r="C8" s="263"/>
      <c r="D8" s="264" t="str">
        <f>エンティティ一覧!AE2&amp;"_"&amp;D5&amp;"_merge_receiptc_sy"</f>
        <v>sny_202310_backup_merge_receiptc_sy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milscm_2023_009.sny_202310_backup_merge_receiptc_sy;</v>
      </c>
      <c r="O10" s="76"/>
      <c r="P10" s="76"/>
      <c r="Q10" s="76"/>
      <c r="R10" s="76"/>
      <c r="S10" s="76"/>
      <c r="T10" s="76"/>
      <c r="AJ10" s="76" t="str">
        <f>"ALTER TABLE ONLY "&amp;エンティティ一覧!$O$2&amp;"."&amp;D$8</f>
        <v>ALTER TABLE ONLY milscm_2023_009.sny_202310_backup_merge_receiptc_sy</v>
      </c>
      <c r="AS10" s="76" t="str">
        <f>"ALTER TABLE "&amp;エンティティ一覧!$O$2&amp;"."&amp;D$8&amp;" OWNER TO pgmisgrp1;"</f>
        <v>ALTER TABLE milscm_2023_009.sny_202310_backup_merge_receiptc_sy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milscm_2023_009.sny_202310_backup_merge_receiptc_sy</v>
      </c>
      <c r="O11" s="76"/>
      <c r="P11" s="76"/>
      <c r="Q11" s="76"/>
      <c r="R11" s="76"/>
      <c r="S11" s="76"/>
      <c r="T11" s="76"/>
      <c r="AJ11" s="76" t="str">
        <f>"ADD CONSTRAINT "&amp;D$8&amp;"_pkey PRIMARY KEY"</f>
        <v>ADD CONSTRAINT sny_202310_backup_merge_receiptc_sy_pkey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milscm_2023_009.sny_202310_backup_merge_receiptc_sy.facility_id IS '施設ID';</v>
      </c>
    </row>
    <row r="16" spans="1:45" s="25" customFormat="1">
      <c r="B16" s="21">
        <f t="shared" si="2"/>
        <v>4</v>
      </c>
      <c r="C16" s="6" t="s">
        <v>904</v>
      </c>
      <c r="D16" s="6" t="s">
        <v>905</v>
      </c>
      <c r="E16" s="8" t="s">
        <v>127</v>
      </c>
      <c r="F16" s="7" t="s">
        <v>865</v>
      </c>
      <c r="G16" s="7" t="str">
        <f t="shared" si="3"/>
        <v>text</v>
      </c>
      <c r="H16" s="26"/>
      <c r="I16" s="10" t="s">
        <v>127</v>
      </c>
      <c r="J16" s="53" t="s">
        <v>1055</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milscm_2023_009.sny_202310_backup_merge_receiptc_sy.seikyu_ym IS '請求年月';</v>
      </c>
    </row>
    <row r="17" spans="2:45" s="25" customFormat="1">
      <c r="B17" s="21">
        <f t="shared" si="2"/>
        <v>5</v>
      </c>
      <c r="C17" s="13" t="s">
        <v>866</v>
      </c>
      <c r="D17" s="13" t="s">
        <v>206</v>
      </c>
      <c r="E17" s="7" t="s">
        <v>127</v>
      </c>
      <c r="F17" s="7" t="s">
        <v>865</v>
      </c>
      <c r="G17" s="7" t="str">
        <f t="shared" si="3"/>
        <v>text</v>
      </c>
      <c r="H17" s="58"/>
      <c r="I17" s="23" t="s">
        <v>127</v>
      </c>
      <c r="J17" s="24" t="s">
        <v>1114</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865</v>
      </c>
      <c r="G18" s="7" t="str">
        <f t="shared" si="3"/>
        <v>text</v>
      </c>
      <c r="H18" s="58" t="s">
        <v>932</v>
      </c>
      <c r="I18" s="23" t="s">
        <v>127</v>
      </c>
      <c r="J18" s="24"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milscm_2023_009.sny_202310_backup_merge_receiptc_sy.data_type IS 'データ種別';</v>
      </c>
    </row>
    <row r="19" spans="2:45" s="25" customFormat="1">
      <c r="B19" s="21">
        <f t="shared" si="2"/>
        <v>7</v>
      </c>
      <c r="C19" s="13" t="s">
        <v>906</v>
      </c>
      <c r="D19" s="13" t="s">
        <v>907</v>
      </c>
      <c r="E19" s="7" t="s">
        <v>127</v>
      </c>
      <c r="F19" s="7" t="s">
        <v>865</v>
      </c>
      <c r="G19" s="7" t="str">
        <f t="shared" si="3"/>
        <v>text</v>
      </c>
      <c r="H19" s="58"/>
      <c r="I19" s="23" t="s">
        <v>127</v>
      </c>
      <c r="J19" s="24" t="s">
        <v>1057</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908</v>
      </c>
      <c r="D20" s="13" t="s">
        <v>909</v>
      </c>
      <c r="E20" s="7"/>
      <c r="F20" s="7" t="s">
        <v>865</v>
      </c>
      <c r="G20" s="7" t="str">
        <f t="shared" si="3"/>
        <v>text</v>
      </c>
      <c r="H20" s="58" t="s">
        <v>1115</v>
      </c>
      <c r="I20" s="23" t="s">
        <v>127</v>
      </c>
      <c r="J20" s="24" t="s">
        <v>1116</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910</v>
      </c>
      <c r="D21" s="13" t="s">
        <v>911</v>
      </c>
      <c r="E21" s="7" t="s">
        <v>127</v>
      </c>
      <c r="F21" s="7" t="s">
        <v>204</v>
      </c>
      <c r="G21" s="7" t="str">
        <f t="shared" si="3"/>
        <v>integer</v>
      </c>
      <c r="H21" s="58"/>
      <c r="I21" s="23" t="s">
        <v>127</v>
      </c>
      <c r="J21" s="24" t="s">
        <v>1060</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milscm_2023_009.sny_202310_backup_merge_receiptc_sy.receipt_no IS 'レセプト番号';</v>
      </c>
    </row>
    <row r="22" spans="2:45" s="25" customFormat="1">
      <c r="B22" s="21">
        <f t="shared" si="2"/>
        <v>10</v>
      </c>
      <c r="C22" s="13" t="s">
        <v>912</v>
      </c>
      <c r="D22" s="13" t="s">
        <v>913</v>
      </c>
      <c r="E22" s="7" t="s">
        <v>127</v>
      </c>
      <c r="F22" s="7" t="s">
        <v>204</v>
      </c>
      <c r="G22" s="7" t="str">
        <f t="shared" si="3"/>
        <v>integer</v>
      </c>
      <c r="H22" s="58"/>
      <c r="I22" s="23" t="s">
        <v>127</v>
      </c>
      <c r="J22" s="24" t="s">
        <v>1117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milscm_2023_009.sny_202310_backup_merge_receiptc_sy.gyo_no IS '行番号';</v>
      </c>
    </row>
    <row r="23" spans="2:45" s="25" customFormat="1">
      <c r="B23" s="21">
        <f t="shared" si="2"/>
        <v>11</v>
      </c>
      <c r="C23" s="13" t="s">
        <v>914</v>
      </c>
      <c r="D23" s="13" t="s">
        <v>915</v>
      </c>
      <c r="E23" s="7"/>
      <c r="F23" s="7" t="s">
        <v>865</v>
      </c>
      <c r="G23" s="7" t="str">
        <f t="shared" si="3"/>
        <v>text</v>
      </c>
      <c r="H23" s="58"/>
      <c r="I23" s="23"/>
      <c r="J23" s="24" t="s">
        <v>1062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665</v>
      </c>
      <c r="D24" s="13" t="s">
        <v>872</v>
      </c>
      <c r="E24" s="7"/>
      <c r="F24" s="7" t="s">
        <v>865</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milscm_2023_009.sny_202310_backup_merge_receiptc_sy.shobyo_code IS '傷病名コード';</v>
      </c>
    </row>
    <row r="25" spans="2:45" s="25" customFormat="1" ht="75">
      <c r="B25" s="21">
        <f t="shared" si="2"/>
        <v>13</v>
      </c>
      <c r="C25" s="13" t="s">
        <v>1072</v>
      </c>
      <c r="D25" s="13" t="s">
        <v>1073</v>
      </c>
      <c r="E25" s="7"/>
      <c r="F25" s="7" t="s">
        <v>865</v>
      </c>
      <c r="G25" s="7" t="str">
        <f t="shared" si="3"/>
        <v>text</v>
      </c>
      <c r="H25" s="58"/>
      <c r="I25" s="23"/>
      <c r="J25" s="24" t="s">
        <v>1066</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1074</v>
      </c>
      <c r="D26" s="13" t="s">
        <v>1075</v>
      </c>
      <c r="E26" s="7"/>
      <c r="F26" s="7" t="s">
        <v>865</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milscm_2023_009.sny_202310_backup_merge_receiptc_sy.tenki_kubun IS '転帰区分';</v>
      </c>
    </row>
    <row r="27" spans="2:45" s="25" customFormat="1">
      <c r="B27" s="21">
        <f t="shared" si="2"/>
        <v>15</v>
      </c>
      <c r="C27" s="13" t="s">
        <v>667</v>
      </c>
      <c r="D27" s="13" t="s">
        <v>873</v>
      </c>
      <c r="E27" s="7"/>
      <c r="F27" s="7" t="s">
        <v>865</v>
      </c>
      <c r="G27" s="7" t="str">
        <f t="shared" si="3"/>
        <v>text</v>
      </c>
      <c r="H27" s="58"/>
      <c r="I27" s="23"/>
      <c r="J27" s="24" t="s">
        <v>1118</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671</v>
      </c>
      <c r="D29" s="13" t="s">
        <v>875</v>
      </c>
      <c r="E29" s="7"/>
      <c r="F29" s="7" t="s">
        <v>865</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1076</v>
      </c>
      <c r="D31" s="13" t="s">
        <v>1077</v>
      </c>
      <c r="E31" s="7"/>
      <c r="F31" s="7" t="s">
        <v>865</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1078</v>
      </c>
      <c r="D32" s="13" t="s">
        <v>1079</v>
      </c>
      <c r="E32" s="7"/>
      <c r="F32" s="7" t="s">
        <v>865</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1080</v>
      </c>
      <c r="D33" s="13" t="s">
        <v>1081</v>
      </c>
      <c r="E33" s="7"/>
      <c r="F33" s="7" t="s">
        <v>865</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1082</v>
      </c>
      <c r="D34" s="13" t="s">
        <v>1083</v>
      </c>
      <c r="E34" s="7"/>
      <c r="F34" s="7" t="s">
        <v>865</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1084</v>
      </c>
      <c r="D35" s="13" t="s">
        <v>1085</v>
      </c>
      <c r="E35" s="7"/>
      <c r="F35" s="7" t="s">
        <v>865</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1086</v>
      </c>
      <c r="D36" s="13" t="s">
        <v>1087</v>
      </c>
      <c r="E36" s="7"/>
      <c r="F36" s="7" t="s">
        <v>865</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1088</v>
      </c>
      <c r="D37" s="13" t="s">
        <v>1089</v>
      </c>
      <c r="E37" s="7"/>
      <c r="F37" s="7" t="s">
        <v>865</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1090</v>
      </c>
      <c r="D38" s="13" t="s">
        <v>1091</v>
      </c>
      <c r="E38" s="7"/>
      <c r="F38" s="7" t="s">
        <v>865</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1092</v>
      </c>
      <c r="D39" s="13" t="s">
        <v>1093</v>
      </c>
      <c r="E39" s="7"/>
      <c r="F39" s="7" t="s">
        <v>865</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1094</v>
      </c>
      <c r="D40" s="13" t="s">
        <v>1095</v>
      </c>
      <c r="E40" s="7"/>
      <c r="F40" s="7" t="s">
        <v>865</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1096</v>
      </c>
      <c r="D41" s="13" t="s">
        <v>1097</v>
      </c>
      <c r="E41" s="7"/>
      <c r="F41" s="7" t="s">
        <v>865</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1098</v>
      </c>
      <c r="D42" s="13" t="s">
        <v>1099</v>
      </c>
      <c r="E42" s="7"/>
      <c r="F42" s="7" t="s">
        <v>865</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1100</v>
      </c>
      <c r="D43" s="13" t="s">
        <v>1101</v>
      </c>
      <c r="E43" s="7"/>
      <c r="F43" s="7" t="s">
        <v>865</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1102</v>
      </c>
      <c r="D44" s="13" t="s">
        <v>1103</v>
      </c>
      <c r="E44" s="7"/>
      <c r="F44" s="7" t="s">
        <v>865</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1104</v>
      </c>
      <c r="D45" s="13" t="s">
        <v>1105</v>
      </c>
      <c r="E45" s="7"/>
      <c r="F45" s="7" t="s">
        <v>865</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1106</v>
      </c>
      <c r="D46" s="13" t="s">
        <v>1107</v>
      </c>
      <c r="E46" s="7"/>
      <c r="F46" s="7" t="s">
        <v>865</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1108</v>
      </c>
      <c r="D47" s="13" t="s">
        <v>1109</v>
      </c>
      <c r="E47" s="7"/>
      <c r="F47" s="7" t="s">
        <v>865</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milscm_2023_009.sny_202310_backup_merge_receiptc_sy.shobyo_name IS '傷病名称';</v>
      </c>
    </row>
    <row r="48" spans="2:45" s="25" customFormat="1">
      <c r="B48" s="21">
        <f t="shared" si="2"/>
        <v>36</v>
      </c>
      <c r="C48" s="13" t="s">
        <v>1110</v>
      </c>
      <c r="D48" s="13" t="s">
        <v>1111</v>
      </c>
      <c r="E48" s="7"/>
      <c r="F48" s="7" t="s">
        <v>865</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milscm_2023_009.sny_202310_backup_merge_receiptc_sy.main_shobyo_code IS '主傷病';</v>
      </c>
    </row>
    <row r="49" spans="1:52" s="25" customFormat="1" ht="19.5" thickBot="1">
      <c r="A49" s="4"/>
      <c r="B49" s="27">
        <f>ROW()-12</f>
        <v>37</v>
      </c>
      <c r="C49" s="57" t="s">
        <v>1112</v>
      </c>
      <c r="D49" s="57" t="s">
        <v>1113</v>
      </c>
      <c r="E49" s="56"/>
      <c r="F49" s="56" t="s">
        <v>865</v>
      </c>
      <c r="G49" s="56" t="str">
        <f t="shared" si="3"/>
        <v>text</v>
      </c>
      <c r="H49" s="59"/>
      <c r="I49" s="60"/>
      <c r="J49" s="64"/>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ENT_01_C2-07</v>
      </c>
      <c r="E6" s="273"/>
      <c r="F6" s="273"/>
      <c r="G6" s="273"/>
      <c r="H6" s="273"/>
      <c r="I6" s="273"/>
      <c r="J6" s="274"/>
    </row>
    <row r="7" spans="1:45">
      <c r="B7" s="262" t="s">
        <v>115</v>
      </c>
      <c r="C7" s="263"/>
      <c r="D7" s="264" t="s">
        <v>1120</v>
      </c>
      <c r="E7" s="265"/>
      <c r="F7" s="265"/>
      <c r="G7" s="265"/>
      <c r="H7" s="265"/>
      <c r="I7" s="265"/>
      <c r="J7" s="266"/>
    </row>
    <row r="8" spans="1:45">
      <c r="B8" s="262" t="s">
        <v>116</v>
      </c>
      <c r="C8" s="263"/>
      <c r="D8" s="264" t="str">
        <f>エンティティ一覧!AE2&amp;"_"&amp;D5&amp;"_merge_receiptc_si"</f>
        <v>sny_202310_backup_merge_receiptc_si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milscm_2023_009.sny_202310_backup_merge_receiptc_si;</v>
      </c>
      <c r="O10" s="76"/>
      <c r="P10" s="76"/>
      <c r="Q10" s="76"/>
      <c r="R10" s="76"/>
      <c r="S10" s="76"/>
      <c r="T10" s="76"/>
      <c r="AJ10" s="76" t="str">
        <f>"ALTER TABLE ONLY "&amp;エンティティ一覧!$O$2&amp;"."&amp;D$8</f>
        <v>ALTER TABLE ONLY milscm_2023_009.sny_202310_backup_merge_receiptc_si</v>
      </c>
      <c r="AS10" s="76" t="str">
        <f>"ALTER TABLE "&amp;エンティティ一覧!$O$2&amp;"."&amp;D$8&amp;" OWNER TO pgmisgrp1;"</f>
        <v>ALTER TABLE milscm_2023_009.sny_202310_backup_merge_receiptc_si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milscm_2023_009.sny_202310_backup_merge_receiptc_si</v>
      </c>
      <c r="O11" s="76"/>
      <c r="P11" s="76"/>
      <c r="Q11" s="76"/>
      <c r="R11" s="76"/>
      <c r="S11" s="76"/>
      <c r="T11" s="76"/>
      <c r="AJ11" s="76" t="str">
        <f>"ADD CONSTRAINT "&amp;D$8&amp;"_pkey PRIMARY KEY"</f>
        <v>ADD CONSTRAINT sny_202310_backup_merge_receiptc_si_pkey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milscm_2023_009.sny_202310_backup_merge_receiptc_si.facility_id IS '施設ID';</v>
      </c>
    </row>
    <row r="16" spans="1:45" s="25" customFormat="1">
      <c r="B16" s="21">
        <f t="shared" si="2"/>
        <v>4</v>
      </c>
      <c r="C16" s="6" t="s">
        <v>904</v>
      </c>
      <c r="D16" s="6" t="s">
        <v>905</v>
      </c>
      <c r="E16" s="8" t="s">
        <v>127</v>
      </c>
      <c r="F16" s="7" t="s">
        <v>865</v>
      </c>
      <c r="G16" s="7" t="str">
        <f t="shared" si="3"/>
        <v>text</v>
      </c>
      <c r="H16" s="26"/>
      <c r="I16" s="10" t="s">
        <v>127</v>
      </c>
      <c r="J16" s="53" t="s">
        <v>1055</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milscm_2023_009.sny_202310_backup_merge_receiptc_si.seikyu_ym IS '請求年月';</v>
      </c>
    </row>
    <row r="17" spans="2:45" s="25" customFormat="1">
      <c r="B17" s="21">
        <f t="shared" si="2"/>
        <v>5</v>
      </c>
      <c r="C17" s="13" t="s">
        <v>866</v>
      </c>
      <c r="D17" s="13" t="s">
        <v>206</v>
      </c>
      <c r="E17" s="7" t="s">
        <v>127</v>
      </c>
      <c r="F17" s="7" t="s">
        <v>865</v>
      </c>
      <c r="G17" s="7" t="str">
        <f t="shared" si="3"/>
        <v>text</v>
      </c>
      <c r="H17" s="58"/>
      <c r="I17" s="23" t="s">
        <v>127</v>
      </c>
      <c r="J17" s="24" t="s">
        <v>1114</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865</v>
      </c>
      <c r="G18" s="7" t="str">
        <f t="shared" si="3"/>
        <v>text</v>
      </c>
      <c r="H18" s="58" t="s">
        <v>932</v>
      </c>
      <c r="I18" s="23" t="s">
        <v>127</v>
      </c>
      <c r="J18" s="24"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milscm_2023_009.sny_202310_backup_merge_receiptc_si.data_type IS 'データ種別';</v>
      </c>
    </row>
    <row r="19" spans="2:45" s="25" customFormat="1">
      <c r="B19" s="21">
        <f t="shared" si="2"/>
        <v>7</v>
      </c>
      <c r="C19" s="13" t="s">
        <v>906</v>
      </c>
      <c r="D19" s="13" t="s">
        <v>907</v>
      </c>
      <c r="E19" s="7" t="s">
        <v>127</v>
      </c>
      <c r="F19" s="7" t="s">
        <v>865</v>
      </c>
      <c r="G19" s="7" t="str">
        <f t="shared" si="3"/>
        <v>text</v>
      </c>
      <c r="H19" s="58"/>
      <c r="I19" s="23" t="s">
        <v>127</v>
      </c>
      <c r="J19" s="24" t="s">
        <v>1057</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908</v>
      </c>
      <c r="D20" s="13" t="s">
        <v>909</v>
      </c>
      <c r="E20" s="7"/>
      <c r="F20" s="7" t="s">
        <v>865</v>
      </c>
      <c r="G20" s="7" t="str">
        <f t="shared" si="3"/>
        <v>text</v>
      </c>
      <c r="H20" s="58" t="s">
        <v>1145</v>
      </c>
      <c r="I20" s="23" t="s">
        <v>127</v>
      </c>
      <c r="J20" s="24" t="s">
        <v>1146</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910</v>
      </c>
      <c r="D21" s="13" t="s">
        <v>911</v>
      </c>
      <c r="E21" s="7" t="s">
        <v>127</v>
      </c>
      <c r="F21" s="7" t="s">
        <v>204</v>
      </c>
      <c r="G21" s="7" t="str">
        <f t="shared" si="3"/>
        <v>integer</v>
      </c>
      <c r="H21" s="58"/>
      <c r="I21" s="23" t="s">
        <v>127</v>
      </c>
      <c r="J21" s="24" t="s">
        <v>1060</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milscm_2023_009.sny_202310_backup_merge_receiptc_si.receipt_no IS 'レセプト番号';</v>
      </c>
    </row>
    <row r="22" spans="2:45" s="25" customFormat="1">
      <c r="B22" s="21">
        <f t="shared" si="2"/>
        <v>10</v>
      </c>
      <c r="C22" s="13" t="s">
        <v>912</v>
      </c>
      <c r="D22" s="13" t="s">
        <v>913</v>
      </c>
      <c r="E22" s="7" t="s">
        <v>127</v>
      </c>
      <c r="F22" s="7" t="s">
        <v>204</v>
      </c>
      <c r="G22" s="7" t="str">
        <f t="shared" si="3"/>
        <v>integer</v>
      </c>
      <c r="H22" s="58"/>
      <c r="I22" s="23" t="s">
        <v>127</v>
      </c>
      <c r="J22" s="24" t="s">
        <v>1117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milscm_2023_009.sny_202310_backup_merge_receiptc_si.gyo_no IS '行番号';</v>
      </c>
    </row>
    <row r="23" spans="2:45" s="25" customFormat="1">
      <c r="B23" s="21">
        <f t="shared" si="2"/>
        <v>11</v>
      </c>
      <c r="C23" s="13" t="s">
        <v>914</v>
      </c>
      <c r="D23" s="13" t="s">
        <v>915</v>
      </c>
      <c r="E23" s="7"/>
      <c r="F23" s="7" t="s">
        <v>865</v>
      </c>
      <c r="G23" s="7" t="str">
        <f t="shared" si="3"/>
        <v>text</v>
      </c>
      <c r="H23" s="58"/>
      <c r="I23" s="23"/>
      <c r="J23" s="24" t="s">
        <v>1062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1121</v>
      </c>
      <c r="D24" s="13" t="s">
        <v>1122</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1123</v>
      </c>
      <c r="D25" s="13" t="s">
        <v>1124</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milscm_2023_009.sny_202310_backup_merge_receiptc_si.futan_kubun IS '負担区分';</v>
      </c>
    </row>
    <row r="26" spans="2:45" s="25" customFormat="1">
      <c r="B26" s="21">
        <f t="shared" si="2"/>
        <v>14</v>
      </c>
      <c r="C26" s="13" t="s">
        <v>1125</v>
      </c>
      <c r="D26" s="13" t="s">
        <v>1126</v>
      </c>
      <c r="E26" s="7"/>
      <c r="F26" s="7" t="s">
        <v>865</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1127</v>
      </c>
      <c r="D27" s="13" t="s">
        <v>1128</v>
      </c>
      <c r="E27" s="7"/>
      <c r="F27" s="7" t="s">
        <v>204</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milscm_2023_009.sny_202310_backup_merge_receiptc_si.suryo_data IS '数量データ';</v>
      </c>
    </row>
    <row r="28" spans="2:45" s="25" customFormat="1">
      <c r="B28" s="21">
        <f t="shared" si="2"/>
        <v>16</v>
      </c>
      <c r="C28" s="13" t="s">
        <v>1129</v>
      </c>
      <c r="D28" s="13" t="s">
        <v>1130</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milscm_2023_009.sny_202310_backup_merge_receiptc_si.tensu IS '点数';</v>
      </c>
    </row>
    <row r="29" spans="2:45" s="25" customFormat="1">
      <c r="B29" s="21">
        <f t="shared" si="2"/>
        <v>17</v>
      </c>
      <c r="C29" s="13" t="s">
        <v>1131</v>
      </c>
      <c r="D29" s="13" t="s">
        <v>1132</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milscm_2023_009.sny_202310_backup_merge_receiptc_si.times IS '回数';</v>
      </c>
    </row>
    <row r="30" spans="2:45" s="25" customFormat="1">
      <c r="B30" s="21">
        <f t="shared" si="2"/>
        <v>18</v>
      </c>
      <c r="C30" s="13" t="s">
        <v>1133</v>
      </c>
      <c r="D30" s="13" t="s">
        <v>1134</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1135</v>
      </c>
      <c r="D31" s="13" t="s">
        <v>1136</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1137</v>
      </c>
      <c r="D32" s="13" t="s">
        <v>1138</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1139</v>
      </c>
      <c r="D33" s="13" t="s">
        <v>1140</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1141</v>
      </c>
      <c r="D34" s="13" t="s">
        <v>1142</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milscm_2023_009.sny_202310_backup_merge_receiptc_si.comment_code3 IS 'コメントコード3';</v>
      </c>
    </row>
    <row r="35" spans="1:52" s="25" customFormat="1" ht="19.5" thickBot="1">
      <c r="A35" s="4"/>
      <c r="B35" s="27">
        <f>ROW()-12</f>
        <v>23</v>
      </c>
      <c r="C35" s="57" t="s">
        <v>1143</v>
      </c>
      <c r="D35" s="57" t="s">
        <v>1144</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ENT_01_C2-08</v>
      </c>
      <c r="E6" s="273"/>
      <c r="F6" s="273"/>
      <c r="G6" s="273"/>
      <c r="H6" s="273"/>
      <c r="I6" s="273"/>
      <c r="J6" s="274"/>
    </row>
    <row r="7" spans="1:45">
      <c r="B7" s="262" t="s">
        <v>115</v>
      </c>
      <c r="C7" s="263"/>
      <c r="D7" s="264" t="s">
        <v>1148</v>
      </c>
      <c r="E7" s="265"/>
      <c r="F7" s="265"/>
      <c r="G7" s="265"/>
      <c r="H7" s="265"/>
      <c r="I7" s="265"/>
      <c r="J7" s="266"/>
    </row>
    <row r="8" spans="1:45">
      <c r="B8" s="262" t="s">
        <v>116</v>
      </c>
      <c r="C8" s="263"/>
      <c r="D8" s="264" t="str">
        <f>エンティティ一覧!AE2&amp;"_"&amp;D5&amp;"_merge_receiptc_si_day"</f>
        <v>sny_202310_backup_merge_receiptc_si_day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milscm_2023_009.sny_202310_backup_merge_receiptc_si_day;</v>
      </c>
      <c r="O10" s="76"/>
      <c r="P10" s="76"/>
      <c r="Q10" s="76"/>
      <c r="R10" s="76"/>
      <c r="S10" s="76"/>
      <c r="T10" s="76"/>
      <c r="AJ10" s="76" t="str">
        <f>"ALTER TABLE ONLY "&amp;エンティティ一覧!$O$2&amp;"."&amp;D$8</f>
        <v>ALTER TABLE ONLY milscm_2023_009.sny_202310_backup_merge_receiptc_si_day</v>
      </c>
      <c r="AS10" s="76" t="str">
        <f>"ALTER TABLE "&amp;エンティティ一覧!$O$2&amp;"."&amp;D$8&amp;" OWNER TO pgmisgrp1;"</f>
        <v>ALTER TABLE milscm_2023_009.sny_202310_backup_merge_receiptc_si_day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milscm_2023_009.sny_202310_backup_merge_receiptc_si_day</v>
      </c>
      <c r="O11" s="76"/>
      <c r="P11" s="76"/>
      <c r="Q11" s="76"/>
      <c r="R11" s="76"/>
      <c r="S11" s="76"/>
      <c r="T11" s="76"/>
      <c r="AJ11" s="76" t="str">
        <f>"ADD CONSTRAINT "&amp;D$8&amp;"_pkey PRIMARY KEY"</f>
        <v>ADD CONSTRAINT sny_202310_backup_merge_receiptc_si_day_pkey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milscm_2023_009.sny_202310_backup_merge_receiptc_si_day.facility_id IS '施設ID';</v>
      </c>
    </row>
    <row r="16" spans="1:45" s="25" customFormat="1">
      <c r="B16" s="21">
        <f t="shared" si="2"/>
        <v>4</v>
      </c>
      <c r="C16" s="6" t="s">
        <v>904</v>
      </c>
      <c r="D16" s="6" t="s">
        <v>905</v>
      </c>
      <c r="E16" s="8" t="s">
        <v>127</v>
      </c>
      <c r="F16" s="7" t="s">
        <v>865</v>
      </c>
      <c r="G16" s="7" t="str">
        <f t="shared" si="3"/>
        <v>text</v>
      </c>
      <c r="H16" s="26"/>
      <c r="I16" s="10" t="s">
        <v>127</v>
      </c>
      <c r="J16" s="53" t="s">
        <v>1055</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milscm_2023_009.sny_202310_backup_merge_receiptc_si_day.seikyu_ym IS '請求年月';</v>
      </c>
    </row>
    <row r="17" spans="1:52" s="25" customFormat="1">
      <c r="B17" s="21">
        <f t="shared" si="2"/>
        <v>5</v>
      </c>
      <c r="C17" s="13" t="s">
        <v>866</v>
      </c>
      <c r="D17" s="13" t="s">
        <v>206</v>
      </c>
      <c r="E17" s="7" t="s">
        <v>127</v>
      </c>
      <c r="F17" s="7" t="s">
        <v>865</v>
      </c>
      <c r="G17" s="7" t="str">
        <f t="shared" si="3"/>
        <v>text</v>
      </c>
      <c r="H17" s="58"/>
      <c r="I17" s="23" t="s">
        <v>127</v>
      </c>
      <c r="J17" s="24" t="s">
        <v>1114</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865</v>
      </c>
      <c r="G18" s="7" t="str">
        <f t="shared" si="3"/>
        <v>text</v>
      </c>
      <c r="H18" s="58" t="s">
        <v>932</v>
      </c>
      <c r="I18" s="23" t="s">
        <v>127</v>
      </c>
      <c r="J18" s="24"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906</v>
      </c>
      <c r="D19" s="13" t="s">
        <v>907</v>
      </c>
      <c r="E19" s="7" t="s">
        <v>127</v>
      </c>
      <c r="F19" s="7" t="s">
        <v>865</v>
      </c>
      <c r="G19" s="7" t="str">
        <f t="shared" si="3"/>
        <v>text</v>
      </c>
      <c r="H19" s="58"/>
      <c r="I19" s="23" t="s">
        <v>127</v>
      </c>
      <c r="J19" s="24" t="s">
        <v>1057</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908</v>
      </c>
      <c r="D20" s="13" t="s">
        <v>909</v>
      </c>
      <c r="E20" s="7"/>
      <c r="F20" s="7" t="s">
        <v>865</v>
      </c>
      <c r="G20" s="7" t="str">
        <f t="shared" si="3"/>
        <v>text</v>
      </c>
      <c r="H20" s="58" t="s">
        <v>1145</v>
      </c>
      <c r="I20" s="23" t="s">
        <v>127</v>
      </c>
      <c r="J20" s="24" t="s">
        <v>1146</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910</v>
      </c>
      <c r="D21" s="13" t="s">
        <v>911</v>
      </c>
      <c r="E21" s="7" t="s">
        <v>127</v>
      </c>
      <c r="F21" s="7" t="s">
        <v>204</v>
      </c>
      <c r="G21" s="7" t="str">
        <f t="shared" si="3"/>
        <v>integer</v>
      </c>
      <c r="H21" s="58"/>
      <c r="I21" s="23" t="s">
        <v>127</v>
      </c>
      <c r="J21" s="24" t="s">
        <v>1060</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milscm_2023_009.sny_202310_backup_merge_receiptc_si_day.receipt_no IS 'レセプト番号';</v>
      </c>
    </row>
    <row r="22" spans="1:52" s="25" customFormat="1">
      <c r="B22" s="21">
        <f t="shared" si="2"/>
        <v>10</v>
      </c>
      <c r="C22" s="13" t="s">
        <v>912</v>
      </c>
      <c r="D22" s="13" t="s">
        <v>913</v>
      </c>
      <c r="E22" s="7" t="s">
        <v>127</v>
      </c>
      <c r="F22" s="7" t="s">
        <v>204</v>
      </c>
      <c r="G22" s="7" t="str">
        <f t="shared" si="3"/>
        <v>integer</v>
      </c>
      <c r="H22" s="58"/>
      <c r="I22" s="23" t="s">
        <v>127</v>
      </c>
      <c r="J22" s="24" t="s">
        <v>1117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milscm_2023_009.sny_202310_backup_merge_receiptc_si_day.gyo_no IS '行番号';</v>
      </c>
    </row>
    <row r="23" spans="1:52" s="25" customFormat="1">
      <c r="B23" s="21">
        <f t="shared" si="2"/>
        <v>11</v>
      </c>
      <c r="C23" s="13" t="s">
        <v>914</v>
      </c>
      <c r="D23" s="13" t="s">
        <v>915</v>
      </c>
      <c r="E23" s="7"/>
      <c r="F23" s="7" t="s">
        <v>865</v>
      </c>
      <c r="G23" s="7" t="str">
        <f t="shared" si="3"/>
        <v>text</v>
      </c>
      <c r="H23" s="58"/>
      <c r="I23" s="23"/>
      <c r="J23" s="24" t="s">
        <v>1062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1149</v>
      </c>
      <c r="D24" s="13" t="s">
        <v>1150</v>
      </c>
      <c r="E24" s="7" t="s">
        <v>127</v>
      </c>
      <c r="F24" s="7" t="s">
        <v>865</v>
      </c>
      <c r="G24" s="7" t="str">
        <f t="shared" si="3"/>
        <v>text</v>
      </c>
      <c r="H24" s="58"/>
      <c r="I24" s="23" t="s">
        <v>127</v>
      </c>
      <c r="J24" s="24" t="s">
        <v>1152</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milscm_2023_009.sny_202310_backup_merge_receiptc_si_day.santei_ymd IS '算定日';</v>
      </c>
    </row>
    <row r="25" spans="1:52" s="25" customFormat="1" ht="19.5" thickBot="1">
      <c r="A25" s="4"/>
      <c r="B25" s="27">
        <f>ROW()-12</f>
        <v>13</v>
      </c>
      <c r="C25" s="57" t="s">
        <v>1151</v>
      </c>
      <c r="D25" s="57" t="s">
        <v>1132</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ENT_01_C2-09</v>
      </c>
      <c r="E6" s="273"/>
      <c r="F6" s="273"/>
      <c r="G6" s="273"/>
      <c r="H6" s="273"/>
      <c r="I6" s="273"/>
      <c r="J6" s="274"/>
    </row>
    <row r="7" spans="1:45">
      <c r="B7" s="262" t="s">
        <v>115</v>
      </c>
      <c r="C7" s="263"/>
      <c r="D7" s="264" t="s">
        <v>1156</v>
      </c>
      <c r="E7" s="265"/>
      <c r="F7" s="265"/>
      <c r="G7" s="265"/>
      <c r="H7" s="265"/>
      <c r="I7" s="265"/>
      <c r="J7" s="266"/>
    </row>
    <row r="8" spans="1:45">
      <c r="B8" s="262" t="s">
        <v>116</v>
      </c>
      <c r="C8" s="263"/>
      <c r="D8" s="264" t="str">
        <f>エンティティ一覧!AE2&amp;"_"&amp;D5&amp;"_merge_receiptc_iy"</f>
        <v>sny_202310_backup_merge_receiptc_iy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milscm_2023_009.sny_202310_backup_merge_receiptc_iy;</v>
      </c>
      <c r="O10" s="76"/>
      <c r="P10" s="76"/>
      <c r="Q10" s="76"/>
      <c r="R10" s="76"/>
      <c r="S10" s="76"/>
      <c r="T10" s="76"/>
      <c r="AJ10" s="76" t="str">
        <f>"ALTER TABLE ONLY "&amp;エンティティ一覧!$O$2&amp;"."&amp;D$8</f>
        <v>ALTER TABLE ONLY milscm_2023_009.sny_202310_backup_merge_receiptc_iy</v>
      </c>
      <c r="AS10" s="76" t="str">
        <f>"ALTER TABLE "&amp;エンティティ一覧!$O$2&amp;"."&amp;D$8&amp;" OWNER TO pgmisgrp1;"</f>
        <v>ALTER TABLE milscm_2023_009.sny_202310_backup_merge_receiptc_iy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milscm_2023_009.sny_202310_backup_merge_receiptc_iy</v>
      </c>
      <c r="O11" s="76"/>
      <c r="P11" s="76"/>
      <c r="Q11" s="76"/>
      <c r="R11" s="76"/>
      <c r="S11" s="76"/>
      <c r="T11" s="76"/>
      <c r="AJ11" s="76" t="str">
        <f>"ADD CONSTRAINT "&amp;D$8&amp;"_pkey PRIMARY KEY"</f>
        <v>ADD CONSTRAINT sny_202310_backup_merge_receiptc_iy_pkey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milscm_2023_009.sny_202310_backup_merge_receiptc_iy.facility_id IS '施設ID';</v>
      </c>
    </row>
    <row r="16" spans="1:45" s="25" customFormat="1">
      <c r="B16" s="21">
        <f t="shared" si="2"/>
        <v>4</v>
      </c>
      <c r="C16" s="6" t="s">
        <v>904</v>
      </c>
      <c r="D16" s="6" t="s">
        <v>905</v>
      </c>
      <c r="E16" s="8" t="s">
        <v>127</v>
      </c>
      <c r="F16" s="7" t="s">
        <v>865</v>
      </c>
      <c r="G16" s="7" t="str">
        <f t="shared" si="3"/>
        <v>text</v>
      </c>
      <c r="H16" s="26"/>
      <c r="I16" s="10" t="s">
        <v>127</v>
      </c>
      <c r="J16" s="53" t="s">
        <v>1055</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milscm_2023_009.sny_202310_backup_merge_receiptc_iy.seikyu_ym IS '請求年月';</v>
      </c>
    </row>
    <row r="17" spans="2:45" s="25" customFormat="1">
      <c r="B17" s="21">
        <f t="shared" si="2"/>
        <v>5</v>
      </c>
      <c r="C17" s="13" t="s">
        <v>866</v>
      </c>
      <c r="D17" s="13" t="s">
        <v>206</v>
      </c>
      <c r="E17" s="7" t="s">
        <v>127</v>
      </c>
      <c r="F17" s="7" t="s">
        <v>865</v>
      </c>
      <c r="G17" s="7" t="str">
        <f t="shared" si="3"/>
        <v>text</v>
      </c>
      <c r="H17" s="58"/>
      <c r="I17" s="23" t="s">
        <v>127</v>
      </c>
      <c r="J17" s="24" t="s">
        <v>1114</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865</v>
      </c>
      <c r="G18" s="7" t="str">
        <f t="shared" si="3"/>
        <v>text</v>
      </c>
      <c r="H18" s="58" t="s">
        <v>932</v>
      </c>
      <c r="I18" s="23" t="s">
        <v>127</v>
      </c>
      <c r="J18" s="24"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milscm_2023_009.sny_202310_backup_merge_receiptc_iy.data_type IS 'データ種別';</v>
      </c>
    </row>
    <row r="19" spans="2:45" s="25" customFormat="1">
      <c r="B19" s="21">
        <f t="shared" si="2"/>
        <v>7</v>
      </c>
      <c r="C19" s="13" t="s">
        <v>906</v>
      </c>
      <c r="D19" s="13" t="s">
        <v>907</v>
      </c>
      <c r="E19" s="7" t="s">
        <v>127</v>
      </c>
      <c r="F19" s="7" t="s">
        <v>865</v>
      </c>
      <c r="G19" s="7" t="str">
        <f t="shared" si="3"/>
        <v>text</v>
      </c>
      <c r="H19" s="58"/>
      <c r="I19" s="23" t="s">
        <v>127</v>
      </c>
      <c r="J19" s="24" t="s">
        <v>1057</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908</v>
      </c>
      <c r="D20" s="13" t="s">
        <v>909</v>
      </c>
      <c r="E20" s="7"/>
      <c r="F20" s="7" t="s">
        <v>865</v>
      </c>
      <c r="G20" s="7" t="str">
        <f t="shared" si="3"/>
        <v>text</v>
      </c>
      <c r="H20" s="58" t="s">
        <v>1161</v>
      </c>
      <c r="I20" s="23" t="s">
        <v>127</v>
      </c>
      <c r="J20" s="24" t="s">
        <v>1162</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910</v>
      </c>
      <c r="D21" s="13" t="s">
        <v>911</v>
      </c>
      <c r="E21" s="7" t="s">
        <v>127</v>
      </c>
      <c r="F21" s="7" t="s">
        <v>204</v>
      </c>
      <c r="G21" s="7" t="str">
        <f t="shared" si="3"/>
        <v>integer</v>
      </c>
      <c r="H21" s="58"/>
      <c r="I21" s="23" t="s">
        <v>127</v>
      </c>
      <c r="J21" s="24" t="s">
        <v>1060</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milscm_2023_009.sny_202310_backup_merge_receiptc_iy.receipt_no IS 'レセプト番号';</v>
      </c>
    </row>
    <row r="22" spans="2:45" s="25" customFormat="1">
      <c r="B22" s="21">
        <f t="shared" si="2"/>
        <v>10</v>
      </c>
      <c r="C22" s="13" t="s">
        <v>912</v>
      </c>
      <c r="D22" s="13" t="s">
        <v>913</v>
      </c>
      <c r="E22" s="7" t="s">
        <v>127</v>
      </c>
      <c r="F22" s="7" t="s">
        <v>204</v>
      </c>
      <c r="G22" s="7" t="str">
        <f t="shared" si="3"/>
        <v>integer</v>
      </c>
      <c r="H22" s="58"/>
      <c r="I22" s="23" t="s">
        <v>127</v>
      </c>
      <c r="J22" s="24" t="s">
        <v>1117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milscm_2023_009.sny_202310_backup_merge_receiptc_iy.gyo_no IS '行番号';</v>
      </c>
    </row>
    <row r="23" spans="2:45" s="25" customFormat="1">
      <c r="B23" s="21">
        <f t="shared" si="2"/>
        <v>11</v>
      </c>
      <c r="C23" s="13" t="s">
        <v>914</v>
      </c>
      <c r="D23" s="13" t="s">
        <v>915</v>
      </c>
      <c r="E23" s="7"/>
      <c r="F23" s="7" t="s">
        <v>865</v>
      </c>
      <c r="G23" s="7" t="str">
        <f t="shared" si="3"/>
        <v>text</v>
      </c>
      <c r="H23" s="58"/>
      <c r="I23" s="23"/>
      <c r="J23" s="24" t="s">
        <v>1062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1121</v>
      </c>
      <c r="D24" s="13" t="s">
        <v>1122</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1123</v>
      </c>
      <c r="D25" s="13" t="s">
        <v>1124</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milscm_2023_009.sny_202310_backup_merge_receiptc_iy.futan_kubun IS '負担区分';</v>
      </c>
    </row>
    <row r="26" spans="2:45" s="25" customFormat="1">
      <c r="B26" s="21">
        <f t="shared" si="2"/>
        <v>14</v>
      </c>
      <c r="C26" s="13" t="s">
        <v>1157</v>
      </c>
      <c r="D26" s="13" t="s">
        <v>1158</v>
      </c>
      <c r="E26" s="7"/>
      <c r="F26" s="7" t="s">
        <v>865</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milscm_2023_009.sny_202310_backup_merge_receiptc_iy.iyakuhin_code IS '医薬品コード';</v>
      </c>
    </row>
    <row r="27" spans="2:45" s="25" customFormat="1" ht="37.5">
      <c r="B27" s="21">
        <f t="shared" si="2"/>
        <v>15</v>
      </c>
      <c r="C27" s="13" t="s">
        <v>1159</v>
      </c>
      <c r="D27" s="13" t="s">
        <v>129</v>
      </c>
      <c r="E27" s="7"/>
      <c r="F27" s="7" t="s">
        <v>1160</v>
      </c>
      <c r="G27" s="7" t="str">
        <f t="shared" si="3"/>
        <v>numeric</v>
      </c>
      <c r="H27" s="58"/>
      <c r="I27" s="23"/>
      <c r="J27" s="24" t="s">
        <v>1163</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milscm_2023_009.sny_202310_backup_merge_receiptc_iy.shiyoryo IS '使用量';</v>
      </c>
    </row>
    <row r="28" spans="2:45" s="25" customFormat="1">
      <c r="B28" s="21">
        <f t="shared" si="2"/>
        <v>16</v>
      </c>
      <c r="C28" s="13" t="s">
        <v>1129</v>
      </c>
      <c r="D28" s="13" t="s">
        <v>1130</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milscm_2023_009.sny_202310_backup_merge_receiptc_iy.tensu IS '点数';</v>
      </c>
    </row>
    <row r="29" spans="2:45" s="25" customFormat="1">
      <c r="B29" s="21">
        <f t="shared" si="2"/>
        <v>17</v>
      </c>
      <c r="C29" s="13" t="s">
        <v>1131</v>
      </c>
      <c r="D29" s="13" t="s">
        <v>1132</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milscm_2023_009.sny_202310_backup_merge_receiptc_iy.times IS '回数';</v>
      </c>
    </row>
    <row r="30" spans="2:45" s="25" customFormat="1">
      <c r="B30" s="21">
        <f t="shared" si="2"/>
        <v>18</v>
      </c>
      <c r="C30" s="13" t="s">
        <v>1133</v>
      </c>
      <c r="D30" s="13" t="s">
        <v>1134</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1135</v>
      </c>
      <c r="D31" s="13" t="s">
        <v>1136</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1137</v>
      </c>
      <c r="D32" s="13" t="s">
        <v>1138</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1139</v>
      </c>
      <c r="D33" s="13" t="s">
        <v>1140</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1141</v>
      </c>
      <c r="D34" s="13" t="s">
        <v>1142</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milscm_2023_009.sny_202310_backup_merge_receiptc_iy.comment_code3 IS 'コメントコード3';</v>
      </c>
    </row>
    <row r="35" spans="1:52" s="25" customFormat="1" ht="19.5" thickBot="1">
      <c r="A35" s="4"/>
      <c r="B35" s="27">
        <f>ROW()-12</f>
        <v>23</v>
      </c>
      <c r="C35" s="57" t="s">
        <v>1143</v>
      </c>
      <c r="D35" s="57" t="s">
        <v>1144</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ENT_01_C2-10</v>
      </c>
      <c r="E6" s="273"/>
      <c r="F6" s="273"/>
      <c r="G6" s="273"/>
      <c r="H6" s="273"/>
      <c r="I6" s="273"/>
      <c r="J6" s="274"/>
    </row>
    <row r="7" spans="1:45">
      <c r="B7" s="262" t="s">
        <v>115</v>
      </c>
      <c r="C7" s="263"/>
      <c r="D7" s="264" t="s">
        <v>1164</v>
      </c>
      <c r="E7" s="265"/>
      <c r="F7" s="265"/>
      <c r="G7" s="265"/>
      <c r="H7" s="265"/>
      <c r="I7" s="265"/>
      <c r="J7" s="266"/>
    </row>
    <row r="8" spans="1:45">
      <c r="B8" s="262" t="s">
        <v>116</v>
      </c>
      <c r="C8" s="263"/>
      <c r="D8" s="264" t="str">
        <f>エンティティ一覧!AE2&amp;"_"&amp;D5&amp;"_merge_receiptc_iy_day"</f>
        <v>sny_202310_backup_merge_receiptc_iy_day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milscm_2023_009.sny_202310_backup_merge_receiptc_iy_day;</v>
      </c>
      <c r="O10" s="76"/>
      <c r="P10" s="76"/>
      <c r="Q10" s="76"/>
      <c r="R10" s="76"/>
      <c r="S10" s="76"/>
      <c r="T10" s="76"/>
      <c r="AJ10" s="76" t="str">
        <f>"ALTER TABLE ONLY "&amp;エンティティ一覧!$O$2&amp;"."&amp;D$8</f>
        <v>ALTER TABLE ONLY milscm_2023_009.sny_202310_backup_merge_receiptc_iy_day</v>
      </c>
      <c r="AS10" s="76" t="str">
        <f>"ALTER TABLE "&amp;エンティティ一覧!$O$2&amp;"."&amp;D$8&amp;" OWNER TO pgmisgrp1;"</f>
        <v>ALTER TABLE milscm_2023_009.sny_202310_backup_merge_receiptc_iy_day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milscm_2023_009.sny_202310_backup_merge_receiptc_iy_day</v>
      </c>
      <c r="O11" s="76"/>
      <c r="P11" s="76"/>
      <c r="Q11" s="76"/>
      <c r="R11" s="76"/>
      <c r="S11" s="76"/>
      <c r="T11" s="76"/>
      <c r="AJ11" s="76" t="str">
        <f>"ADD CONSTRAINT "&amp;D$8&amp;"_pkey PRIMARY KEY"</f>
        <v>ADD CONSTRAINT sny_202310_backup_merge_receiptc_iy_day_pkey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milscm_2023_009.sny_202310_backup_merge_receiptc_iy_day.facility_id IS '施設ID';</v>
      </c>
    </row>
    <row r="16" spans="1:45" s="25" customFormat="1">
      <c r="B16" s="21">
        <f t="shared" si="2"/>
        <v>4</v>
      </c>
      <c r="C16" s="6" t="s">
        <v>904</v>
      </c>
      <c r="D16" s="6" t="s">
        <v>905</v>
      </c>
      <c r="E16" s="8" t="s">
        <v>127</v>
      </c>
      <c r="F16" s="7" t="s">
        <v>865</v>
      </c>
      <c r="G16" s="7" t="str">
        <f t="shared" si="3"/>
        <v>text</v>
      </c>
      <c r="H16" s="26"/>
      <c r="I16" s="10" t="s">
        <v>127</v>
      </c>
      <c r="J16" s="53" t="s">
        <v>1055</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milscm_2023_009.sny_202310_backup_merge_receiptc_iy_day.seikyu_ym IS '請求年月';</v>
      </c>
    </row>
    <row r="17" spans="1:52" s="25" customFormat="1">
      <c r="B17" s="21">
        <f t="shared" si="2"/>
        <v>5</v>
      </c>
      <c r="C17" s="13" t="s">
        <v>866</v>
      </c>
      <c r="D17" s="13" t="s">
        <v>206</v>
      </c>
      <c r="E17" s="7" t="s">
        <v>127</v>
      </c>
      <c r="F17" s="7" t="s">
        <v>865</v>
      </c>
      <c r="G17" s="7" t="str">
        <f t="shared" si="3"/>
        <v>text</v>
      </c>
      <c r="H17" s="58"/>
      <c r="I17" s="23" t="s">
        <v>127</v>
      </c>
      <c r="J17" s="24" t="s">
        <v>1114</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865</v>
      </c>
      <c r="G18" s="7" t="str">
        <f t="shared" si="3"/>
        <v>text</v>
      </c>
      <c r="H18" s="58" t="s">
        <v>932</v>
      </c>
      <c r="I18" s="23" t="s">
        <v>127</v>
      </c>
      <c r="J18" s="24"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906</v>
      </c>
      <c r="D19" s="13" t="s">
        <v>907</v>
      </c>
      <c r="E19" s="7" t="s">
        <v>127</v>
      </c>
      <c r="F19" s="7" t="s">
        <v>865</v>
      </c>
      <c r="G19" s="7" t="str">
        <f t="shared" si="3"/>
        <v>text</v>
      </c>
      <c r="H19" s="58"/>
      <c r="I19" s="23" t="s">
        <v>127</v>
      </c>
      <c r="J19" s="24" t="s">
        <v>1057</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908</v>
      </c>
      <c r="D20" s="13" t="s">
        <v>909</v>
      </c>
      <c r="E20" s="7"/>
      <c r="F20" s="7" t="s">
        <v>865</v>
      </c>
      <c r="G20" s="7" t="str">
        <f t="shared" si="3"/>
        <v>text</v>
      </c>
      <c r="H20" s="58" t="s">
        <v>1145</v>
      </c>
      <c r="I20" s="23" t="s">
        <v>127</v>
      </c>
      <c r="J20" s="24" t="s">
        <v>1146</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910</v>
      </c>
      <c r="D21" s="13" t="s">
        <v>911</v>
      </c>
      <c r="E21" s="7" t="s">
        <v>127</v>
      </c>
      <c r="F21" s="7" t="s">
        <v>204</v>
      </c>
      <c r="G21" s="7" t="str">
        <f t="shared" si="3"/>
        <v>integer</v>
      </c>
      <c r="H21" s="58"/>
      <c r="I21" s="23" t="s">
        <v>127</v>
      </c>
      <c r="J21" s="24" t="s">
        <v>1060</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milscm_2023_009.sny_202310_backup_merge_receiptc_iy_day.receipt_no IS 'レセプト番号';</v>
      </c>
    </row>
    <row r="22" spans="1:52" s="25" customFormat="1">
      <c r="B22" s="21">
        <f t="shared" si="2"/>
        <v>10</v>
      </c>
      <c r="C22" s="13" t="s">
        <v>912</v>
      </c>
      <c r="D22" s="13" t="s">
        <v>913</v>
      </c>
      <c r="E22" s="7" t="s">
        <v>127</v>
      </c>
      <c r="F22" s="7" t="s">
        <v>204</v>
      </c>
      <c r="G22" s="7" t="str">
        <f t="shared" si="3"/>
        <v>integer</v>
      </c>
      <c r="H22" s="58"/>
      <c r="I22" s="23" t="s">
        <v>127</v>
      </c>
      <c r="J22" s="24" t="s">
        <v>1117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milscm_2023_009.sny_202310_backup_merge_receiptc_iy_day.gyo_no IS '行番号';</v>
      </c>
    </row>
    <row r="23" spans="1:52" s="25" customFormat="1">
      <c r="B23" s="21">
        <f t="shared" si="2"/>
        <v>11</v>
      </c>
      <c r="C23" s="13" t="s">
        <v>914</v>
      </c>
      <c r="D23" s="13" t="s">
        <v>915</v>
      </c>
      <c r="E23" s="7"/>
      <c r="F23" s="7" t="s">
        <v>865</v>
      </c>
      <c r="G23" s="7" t="str">
        <f t="shared" si="3"/>
        <v>text</v>
      </c>
      <c r="H23" s="58"/>
      <c r="I23" s="23"/>
      <c r="J23" s="24" t="s">
        <v>1062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1149</v>
      </c>
      <c r="D24" s="13" t="s">
        <v>1150</v>
      </c>
      <c r="E24" s="7" t="s">
        <v>127</v>
      </c>
      <c r="F24" s="7" t="s">
        <v>865</v>
      </c>
      <c r="G24" s="7" t="str">
        <f t="shared" si="3"/>
        <v>text</v>
      </c>
      <c r="H24" s="58"/>
      <c r="I24" s="23" t="s">
        <v>127</v>
      </c>
      <c r="J24" s="24" t="s">
        <v>1152</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milscm_2023_009.sny_202310_backup_merge_receiptc_iy_day.santei_ymd IS '算定日';</v>
      </c>
    </row>
    <row r="25" spans="1:52" s="25" customFormat="1" ht="19.5" thickBot="1">
      <c r="A25" s="4"/>
      <c r="B25" s="27">
        <f>ROW()-12</f>
        <v>13</v>
      </c>
      <c r="C25" s="57" t="s">
        <v>1151</v>
      </c>
      <c r="D25" s="57" t="s">
        <v>1132</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ENT_01_C2-16</v>
      </c>
      <c r="E6" s="273"/>
      <c r="F6" s="273"/>
      <c r="G6" s="273"/>
      <c r="H6" s="273"/>
      <c r="I6" s="273"/>
      <c r="J6" s="274"/>
    </row>
    <row r="7" spans="1:45">
      <c r="B7" s="262" t="s">
        <v>115</v>
      </c>
      <c r="C7" s="263"/>
      <c r="D7" s="264" t="s">
        <v>1165</v>
      </c>
      <c r="E7" s="265"/>
      <c r="F7" s="265"/>
      <c r="G7" s="265"/>
      <c r="H7" s="265"/>
      <c r="I7" s="265"/>
      <c r="J7" s="266"/>
    </row>
    <row r="8" spans="1:45">
      <c r="B8" s="262" t="s">
        <v>116</v>
      </c>
      <c r="C8" s="263"/>
      <c r="D8" s="264" t="str">
        <f>エンティティ一覧!AE2&amp;"_"&amp;D5&amp;"_merge_receiptc_tr"</f>
        <v>sny_202310_backup_merge_receiptc_tr</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milscm_2023_009.sny_202310_backup_merge_receiptc_tr;</v>
      </c>
      <c r="O10" s="76"/>
      <c r="P10" s="76"/>
      <c r="Q10" s="76"/>
      <c r="R10" s="76"/>
      <c r="S10" s="76"/>
      <c r="T10" s="76"/>
      <c r="AJ10" s="76" t="str">
        <f>"ALTER TABLE ONLY "&amp;エンティティ一覧!$O$2&amp;"."&amp;D$8</f>
        <v>ALTER TABLE ONLY milscm_2023_009.sny_202310_backup_merge_receiptc_tr</v>
      </c>
      <c r="AS10" s="76" t="str">
        <f>"ALTER TABLE "&amp;エンティティ一覧!$O$2&amp;"."&amp;D$8&amp;" OWNER TO pgmisgrp1;"</f>
        <v>ALTER TABLE milscm_2023_009.sny_202310_backup_merge_receiptc_tr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milscm_2023_009.sny_202310_backup_merge_receiptc_tr</v>
      </c>
      <c r="O11" s="76"/>
      <c r="P11" s="76"/>
      <c r="Q11" s="76"/>
      <c r="R11" s="76"/>
      <c r="S11" s="76"/>
      <c r="T11" s="76"/>
      <c r="AJ11" s="76" t="str">
        <f>"ADD CONSTRAINT "&amp;D$8&amp;"_pkey PRIMARY KEY"</f>
        <v>ADD CONSTRAINT sny_202310_backup_merge_receiptc_tr_pkey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milscm_2023_009.sny_202310_backup_merge_receiptc_tr.mil_karute_id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milscm_2023_009.sny_202310_backup_merge_receiptc_tr.facility_id IS '施設ID';</v>
      </c>
    </row>
    <row r="16" spans="1:45" s="25" customFormat="1">
      <c r="B16" s="21">
        <f t="shared" si="2"/>
        <v>4</v>
      </c>
      <c r="C16" s="6" t="s">
        <v>904</v>
      </c>
      <c r="D16" s="6" t="s">
        <v>905</v>
      </c>
      <c r="E16" s="8" t="s">
        <v>127</v>
      </c>
      <c r="F16" s="7" t="s">
        <v>865</v>
      </c>
      <c r="G16" s="7" t="str">
        <f t="shared" si="3"/>
        <v>text</v>
      </c>
      <c r="H16" s="26"/>
      <c r="I16" s="10" t="s">
        <v>127</v>
      </c>
      <c r="J16" s="53" t="s">
        <v>1055</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milscm_2023_009.sny_202310_backup_merge_receiptc_tr.seikyu_ym IS '請求年月';</v>
      </c>
    </row>
    <row r="17" spans="2:45" s="25" customFormat="1">
      <c r="B17" s="21">
        <f t="shared" si="2"/>
        <v>5</v>
      </c>
      <c r="C17" s="13" t="s">
        <v>866</v>
      </c>
      <c r="D17" s="13" t="s">
        <v>206</v>
      </c>
      <c r="E17" s="7" t="s">
        <v>127</v>
      </c>
      <c r="F17" s="7" t="s">
        <v>865</v>
      </c>
      <c r="G17" s="7" t="str">
        <f t="shared" si="3"/>
        <v>text</v>
      </c>
      <c r="H17" s="58"/>
      <c r="I17" s="23" t="s">
        <v>127</v>
      </c>
      <c r="J17" s="24" t="s">
        <v>1114</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865</v>
      </c>
      <c r="G18" s="7" t="str">
        <f t="shared" si="3"/>
        <v>text</v>
      </c>
      <c r="H18" s="58" t="s">
        <v>932</v>
      </c>
      <c r="I18" s="23" t="s">
        <v>127</v>
      </c>
      <c r="J18" s="24"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milscm_2023_009.sny_202310_backup_merge_receiptc_tr.data_type IS 'データ種別';</v>
      </c>
    </row>
    <row r="19" spans="2:45" s="25" customFormat="1">
      <c r="B19" s="21">
        <f t="shared" si="2"/>
        <v>7</v>
      </c>
      <c r="C19" s="13" t="s">
        <v>906</v>
      </c>
      <c r="D19" s="13" t="s">
        <v>907</v>
      </c>
      <c r="E19" s="7" t="s">
        <v>127</v>
      </c>
      <c r="F19" s="7" t="s">
        <v>865</v>
      </c>
      <c r="G19" s="7" t="str">
        <f t="shared" si="3"/>
        <v>text</v>
      </c>
      <c r="H19" s="58"/>
      <c r="I19" s="23" t="s">
        <v>127</v>
      </c>
      <c r="J19" s="24" t="s">
        <v>1057</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908</v>
      </c>
      <c r="D20" s="13" t="s">
        <v>909</v>
      </c>
      <c r="E20" s="7"/>
      <c r="F20" s="7" t="s">
        <v>865</v>
      </c>
      <c r="G20" s="7" t="str">
        <f t="shared" si="3"/>
        <v>text</v>
      </c>
      <c r="H20" s="58" t="s">
        <v>1193</v>
      </c>
      <c r="I20" s="23" t="s">
        <v>127</v>
      </c>
      <c r="J20" s="24" t="s">
        <v>1194</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910</v>
      </c>
      <c r="D21" s="13" t="s">
        <v>911</v>
      </c>
      <c r="E21" s="7" t="s">
        <v>127</v>
      </c>
      <c r="F21" s="7" t="s">
        <v>204</v>
      </c>
      <c r="G21" s="7" t="str">
        <f t="shared" si="3"/>
        <v>integer</v>
      </c>
      <c r="H21" s="58"/>
      <c r="I21" s="23" t="s">
        <v>127</v>
      </c>
      <c r="J21" s="24" t="s">
        <v>1060</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milscm_2023_009.sny_202310_backup_merge_receiptc_tr.receipt_no IS 'レセプト番号';</v>
      </c>
    </row>
    <row r="22" spans="2:45" s="25" customFormat="1">
      <c r="B22" s="21">
        <f t="shared" si="2"/>
        <v>10</v>
      </c>
      <c r="C22" s="13" t="s">
        <v>912</v>
      </c>
      <c r="D22" s="13" t="s">
        <v>913</v>
      </c>
      <c r="E22" s="7" t="s">
        <v>127</v>
      </c>
      <c r="F22" s="7" t="s">
        <v>204</v>
      </c>
      <c r="G22" s="7" t="str">
        <f t="shared" si="3"/>
        <v>integer</v>
      </c>
      <c r="H22" s="58"/>
      <c r="I22" s="23" t="s">
        <v>127</v>
      </c>
      <c r="J22" s="24" t="s">
        <v>1117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milscm_2023_009.sny_202310_backup_merge_receiptc_tr.gyo_no IS '行番号';</v>
      </c>
    </row>
    <row r="23" spans="2:45" s="25" customFormat="1">
      <c r="B23" s="21">
        <f t="shared" si="2"/>
        <v>11</v>
      </c>
      <c r="C23" s="13" t="s">
        <v>914</v>
      </c>
      <c r="D23" s="13" t="s">
        <v>915</v>
      </c>
      <c r="E23" s="7"/>
      <c r="F23" s="7" t="s">
        <v>865</v>
      </c>
      <c r="G23" s="7" t="str">
        <f t="shared" si="3"/>
        <v>text</v>
      </c>
      <c r="H23" s="58"/>
      <c r="I23" s="23"/>
      <c r="J23" s="24" t="s">
        <v>1062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milscm_2023_009.sny_202310_backup_merge_receiptc_tr.karute_no IS 'カルテ番号等';</v>
      </c>
    </row>
    <row r="24" spans="2:45" s="25" customFormat="1" ht="31.5">
      <c r="B24" s="21">
        <f t="shared" si="2"/>
        <v>12</v>
      </c>
      <c r="C24" s="13" t="s">
        <v>1166</v>
      </c>
      <c r="D24" s="13" t="s">
        <v>1167</v>
      </c>
      <c r="E24" s="7"/>
      <c r="F24" s="7" t="s">
        <v>204</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1168</v>
      </c>
      <c r="D25" s="13" t="s">
        <v>1169</v>
      </c>
      <c r="E25" s="7"/>
      <c r="F25" s="7" t="s">
        <v>865</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milscm_2023_009.sny_202310_backup_merge_receiptc_tr.zoki_receipt_type IS '臓器提供者レセプト種別';</v>
      </c>
    </row>
    <row r="26" spans="2:45" s="25" customFormat="1" ht="56.25">
      <c r="B26" s="21">
        <f t="shared" si="2"/>
        <v>14</v>
      </c>
      <c r="C26" s="13" t="s">
        <v>1170</v>
      </c>
      <c r="D26" s="13" t="s">
        <v>1171</v>
      </c>
      <c r="E26" s="7"/>
      <c r="F26" s="7" t="s">
        <v>865</v>
      </c>
      <c r="G26" s="7" t="str">
        <f t="shared" si="3"/>
        <v>text</v>
      </c>
      <c r="H26" s="58"/>
      <c r="I26" s="23"/>
      <c r="J26" s="24" t="s">
        <v>931</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922</v>
      </c>
      <c r="D27" s="13" t="s">
        <v>923</v>
      </c>
      <c r="E27" s="7"/>
      <c r="F27" s="7" t="s">
        <v>865</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milscm_2023_009.sny_202310_backup_merge_receiptc_tr.reserve1 IS '予備1';</v>
      </c>
    </row>
    <row r="28" spans="2:45" s="25" customFormat="1">
      <c r="B28" s="21">
        <f t="shared" si="2"/>
        <v>16</v>
      </c>
      <c r="C28" s="13" t="s">
        <v>1172</v>
      </c>
      <c r="D28" s="13" t="s">
        <v>945</v>
      </c>
      <c r="E28" s="7"/>
      <c r="F28" s="7" t="s">
        <v>865</v>
      </c>
      <c r="G28" s="7" t="str">
        <f t="shared" si="3"/>
        <v>text</v>
      </c>
      <c r="H28" s="58"/>
      <c r="I28" s="23"/>
      <c r="J28" s="24" t="s">
        <v>1064</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milscm_2023_009.sny_202310_backup_merge_receiptc_tr.sex_kubun IS '男女区分';</v>
      </c>
    </row>
    <row r="29" spans="2:45" s="25" customFormat="1" ht="93.75">
      <c r="B29" s="21">
        <f t="shared" si="2"/>
        <v>17</v>
      </c>
      <c r="C29" s="13" t="s">
        <v>567</v>
      </c>
      <c r="D29" s="13" t="s">
        <v>322</v>
      </c>
      <c r="E29" s="7"/>
      <c r="F29" s="7" t="s">
        <v>865</v>
      </c>
      <c r="G29" s="7" t="str">
        <f t="shared" si="3"/>
        <v>text</v>
      </c>
      <c r="H29" s="58"/>
      <c r="I29" s="23"/>
      <c r="J29" s="24" t="s">
        <v>1195</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milscm_2023_009.sny_202310_backup_merge_receiptc_tr.birthday IS '生年月日';</v>
      </c>
    </row>
    <row r="30" spans="2:45" s="25" customFormat="1">
      <c r="B30" s="21">
        <f t="shared" si="2"/>
        <v>18</v>
      </c>
      <c r="C30" s="13" t="s">
        <v>973</v>
      </c>
      <c r="D30" s="13" t="s">
        <v>974</v>
      </c>
      <c r="E30" s="7"/>
      <c r="F30" s="7" t="s">
        <v>865</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milscm_2023_009.sny_202310_backup_merge_receiptc_tr.reserve2 IS '予備2';</v>
      </c>
    </row>
    <row r="31" spans="2:45" s="25" customFormat="1" ht="75">
      <c r="B31" s="21">
        <f t="shared" si="2"/>
        <v>19</v>
      </c>
      <c r="C31" s="13" t="s">
        <v>143</v>
      </c>
      <c r="D31" s="13" t="s">
        <v>156</v>
      </c>
      <c r="E31" s="7"/>
      <c r="F31" s="7" t="s">
        <v>865</v>
      </c>
      <c r="G31" s="7" t="str">
        <f t="shared" si="3"/>
        <v>text</v>
      </c>
      <c r="H31" s="58"/>
      <c r="I31" s="23"/>
      <c r="J31" s="24" t="s">
        <v>1066</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milscm_2023_009.sny_202310_backup_merge_receiptc_tr.nyuin_ymd IS '入院年月日';</v>
      </c>
    </row>
    <row r="32" spans="2:45" s="25" customFormat="1">
      <c r="B32" s="21">
        <f t="shared" si="2"/>
        <v>20</v>
      </c>
      <c r="C32" s="13" t="s">
        <v>1173</v>
      </c>
      <c r="D32" s="13" t="s">
        <v>950</v>
      </c>
      <c r="E32" s="7"/>
      <c r="F32" s="7" t="s">
        <v>865</v>
      </c>
      <c r="G32" s="7" t="str">
        <f t="shared" si="3"/>
        <v>text</v>
      </c>
      <c r="H32" s="58"/>
      <c r="I32" s="23"/>
      <c r="J32" s="24" t="s">
        <v>1067</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milscm_2023_009.sny_202310_backup_merge_receiptc_tr.ward_kubun1 IS '病棟区分1';</v>
      </c>
    </row>
    <row r="33" spans="1:52" s="25" customFormat="1">
      <c r="B33" s="21">
        <f t="shared" si="2"/>
        <v>21</v>
      </c>
      <c r="C33" s="13" t="s">
        <v>1174</v>
      </c>
      <c r="D33" s="13" t="s">
        <v>952</v>
      </c>
      <c r="E33" s="7"/>
      <c r="F33" s="7" t="s">
        <v>865</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milscm_2023_009.sny_202310_backup_merge_receiptc_tr.ward_kubun2 IS '病棟区分2';</v>
      </c>
    </row>
    <row r="34" spans="1:52" s="25" customFormat="1">
      <c r="B34" s="21">
        <f t="shared" si="2"/>
        <v>22</v>
      </c>
      <c r="C34" s="13" t="s">
        <v>1175</v>
      </c>
      <c r="D34" s="13" t="s">
        <v>954</v>
      </c>
      <c r="E34" s="7"/>
      <c r="F34" s="7" t="s">
        <v>865</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milscm_2023_009.sny_202310_backup_merge_receiptc_tr.ward_kubun3 IS '病棟区分3';</v>
      </c>
    </row>
    <row r="35" spans="1:52" s="25" customFormat="1">
      <c r="B35" s="21">
        <f t="shared" si="2"/>
        <v>23</v>
      </c>
      <c r="C35" s="13" t="s">
        <v>1176</v>
      </c>
      <c r="D35" s="13" t="s">
        <v>956</v>
      </c>
      <c r="E35" s="7"/>
      <c r="F35" s="7" t="s">
        <v>865</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milscm_2023_009.sny_202310_backup_merge_receiptc_tr.ward_kubun4 IS '病棟区分4';</v>
      </c>
    </row>
    <row r="36" spans="1:52" s="25" customFormat="1">
      <c r="B36" s="21">
        <f t="shared" si="2"/>
        <v>24</v>
      </c>
      <c r="C36" s="13" t="s">
        <v>975</v>
      </c>
      <c r="D36" s="13" t="s">
        <v>976</v>
      </c>
      <c r="E36" s="7"/>
      <c r="F36" s="7" t="s">
        <v>865</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milscm_2023_009.sny_202310_backup_merge_receiptc_tr.reserve3 IS '予備3';</v>
      </c>
    </row>
    <row r="37" spans="1:52" s="25" customFormat="1">
      <c r="B37" s="21">
        <f t="shared" si="2"/>
        <v>25</v>
      </c>
      <c r="C37" s="13" t="s">
        <v>1177</v>
      </c>
      <c r="D37" s="13" t="s">
        <v>960</v>
      </c>
      <c r="E37" s="7"/>
      <c r="F37" s="7" t="s">
        <v>865</v>
      </c>
      <c r="G37" s="7" t="str">
        <f t="shared" si="3"/>
        <v>text</v>
      </c>
      <c r="H37" s="58"/>
      <c r="I37" s="23"/>
      <c r="J37" s="24" t="s">
        <v>1068</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1178</v>
      </c>
      <c r="D38" s="13" t="s">
        <v>962</v>
      </c>
      <c r="E38" s="7"/>
      <c r="F38" s="7" t="s">
        <v>865</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1179</v>
      </c>
      <c r="D39" s="13" t="s">
        <v>964</v>
      </c>
      <c r="E39" s="7"/>
      <c r="F39" s="7" t="s">
        <v>865</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1180</v>
      </c>
      <c r="D40" s="13" t="s">
        <v>966</v>
      </c>
      <c r="E40" s="7"/>
      <c r="F40" s="7" t="s">
        <v>865</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1181</v>
      </c>
      <c r="D41" s="13" t="s">
        <v>968</v>
      </c>
      <c r="E41" s="7"/>
      <c r="F41" s="7" t="s">
        <v>865</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1182</v>
      </c>
      <c r="D42" s="13" t="s">
        <v>1183</v>
      </c>
      <c r="E42" s="7"/>
      <c r="F42" s="7" t="s">
        <v>865</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milscm_2023_009.sny_202310_backup_merge_receiptc_tr.reserve4 IS '予備4';</v>
      </c>
    </row>
    <row r="43" spans="1:52" s="25" customFormat="1" ht="31.5">
      <c r="B43" s="21">
        <f t="shared" si="2"/>
        <v>31</v>
      </c>
      <c r="C43" s="13" t="s">
        <v>1184</v>
      </c>
      <c r="D43" s="13" t="s">
        <v>1185</v>
      </c>
      <c r="E43" s="7"/>
      <c r="F43" s="7" t="s">
        <v>865</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1186</v>
      </c>
      <c r="D44" s="13" t="s">
        <v>972</v>
      </c>
      <c r="E44" s="7"/>
      <c r="F44" s="7" t="s">
        <v>204</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1187</v>
      </c>
      <c r="D45" s="13" t="s">
        <v>1188</v>
      </c>
      <c r="E45" s="7"/>
      <c r="F45" s="7" t="s">
        <v>865</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milscm_2023_009.sny_202310_backup_merge_receiptc_tr.reserve5 IS '予備5';</v>
      </c>
    </row>
    <row r="46" spans="1:52" s="25" customFormat="1">
      <c r="B46" s="21">
        <f t="shared" si="2"/>
        <v>34</v>
      </c>
      <c r="C46" s="13" t="s">
        <v>1189</v>
      </c>
      <c r="D46" s="13" t="s">
        <v>1190</v>
      </c>
      <c r="E46" s="7"/>
      <c r="F46" s="7" t="s">
        <v>865</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milscm_2023_009.sny_202310_backup_merge_receiptc_tr.reserve6 IS '予備6';</v>
      </c>
    </row>
    <row r="47" spans="1:52" s="25" customFormat="1" ht="19.5" thickBot="1">
      <c r="A47" s="4"/>
      <c r="B47" s="27">
        <f>ROW()-12</f>
        <v>35</v>
      </c>
      <c r="C47" s="57" t="s">
        <v>1191</v>
      </c>
      <c r="D47" s="57" t="s">
        <v>1192</v>
      </c>
      <c r="E47" s="56"/>
      <c r="F47" s="56" t="s">
        <v>865</v>
      </c>
      <c r="G47" s="56" t="str">
        <f t="shared" si="3"/>
        <v>text</v>
      </c>
      <c r="H47" s="59"/>
      <c r="I47" s="60"/>
      <c r="J47" s="64"/>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ENT_01_C3-01</v>
      </c>
      <c r="E6" s="273"/>
      <c r="F6" s="273"/>
      <c r="G6" s="273"/>
      <c r="H6" s="273"/>
      <c r="I6" s="273"/>
      <c r="J6" s="274"/>
    </row>
    <row r="7" spans="1:45">
      <c r="B7" s="262" t="s">
        <v>115</v>
      </c>
      <c r="C7" s="263"/>
      <c r="D7" s="264" t="s">
        <v>1197</v>
      </c>
      <c r="E7" s="265"/>
      <c r="F7" s="265"/>
      <c r="G7" s="265"/>
      <c r="H7" s="265"/>
      <c r="I7" s="265"/>
      <c r="J7" s="266"/>
    </row>
    <row r="8" spans="1:45">
      <c r="B8" s="262" t="s">
        <v>116</v>
      </c>
      <c r="C8" s="263"/>
      <c r="D8" s="264" t="str">
        <f>エンティティ一覧!AE2&amp;"_"&amp;D5&amp;"_merge_receiptd_ir"</f>
        <v>sny_202310_backup_merge_receiptd_ir</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milscm_2023_009.sny_202310_backup_merge_receiptd_ir;</v>
      </c>
      <c r="O10" s="76"/>
      <c r="P10" s="76"/>
      <c r="Q10" s="76"/>
      <c r="R10" s="76"/>
      <c r="S10" s="76"/>
      <c r="T10" s="76"/>
      <c r="AJ10" s="76" t="str">
        <f>"ALTER TABLE ONLY "&amp;エンティティ一覧!$O$2&amp;"."&amp;D$8</f>
        <v>ALTER TABLE ONLY milscm_2023_009.sny_202310_backup_merge_receiptd_ir</v>
      </c>
      <c r="AS10" s="76" t="str">
        <f>"ALTER TABLE "&amp;エンティティ一覧!$O$2&amp;"."&amp;D$8&amp;" OWNER TO pgmisgrp1;"</f>
        <v>ALTER TABLE milscm_2023_009.sny_202310_backup_merge_receiptd_ir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milscm_2023_009.sny_202310_backup_merge_receiptd_ir</v>
      </c>
      <c r="O11" s="76"/>
      <c r="P11" s="76"/>
      <c r="Q11" s="76"/>
      <c r="R11" s="76"/>
      <c r="S11" s="76"/>
      <c r="T11" s="76"/>
      <c r="AJ11" s="76" t="str">
        <f>"ADD CONSTRAINT "&amp;D$8&amp;"_pkey PRIMARY KEY"</f>
        <v>ADD CONSTRAINT sny_202310_backup_merge_receiptd_ir_pkey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milscm_2023_009.sny_202310_backup_merge_receiptd_ir.facility_id IS '施設ID';</v>
      </c>
    </row>
    <row r="16" spans="1:45" s="25" customFormat="1" ht="56.25">
      <c r="B16" s="21">
        <f t="shared" si="2"/>
        <v>4</v>
      </c>
      <c r="C16" s="6" t="s">
        <v>904</v>
      </c>
      <c r="D16" s="6" t="s">
        <v>905</v>
      </c>
      <c r="E16" s="8" t="s">
        <v>127</v>
      </c>
      <c r="F16" s="7" t="s">
        <v>865</v>
      </c>
      <c r="G16" s="7" t="str">
        <f t="shared" si="3"/>
        <v>text</v>
      </c>
      <c r="H16" s="26"/>
      <c r="I16" s="10" t="s">
        <v>127</v>
      </c>
      <c r="J16" s="53" t="s">
        <v>931</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milscm_2023_009.sny_202310_backup_merge_receiptd_ir.seikyu_ym IS '請求年月';</v>
      </c>
    </row>
    <row r="17" spans="1:52" s="25" customFormat="1" ht="75">
      <c r="B17" s="21">
        <f t="shared" si="2"/>
        <v>5</v>
      </c>
      <c r="C17" s="13" t="s">
        <v>866</v>
      </c>
      <c r="D17" s="13" t="s">
        <v>206</v>
      </c>
      <c r="E17" s="7" t="s">
        <v>127</v>
      </c>
      <c r="F17" s="7" t="s">
        <v>865</v>
      </c>
      <c r="G17" s="7" t="str">
        <f t="shared" si="3"/>
        <v>text</v>
      </c>
      <c r="H17" s="58"/>
      <c r="I17" s="23" t="s">
        <v>127</v>
      </c>
      <c r="J17" s="24" t="s">
        <v>937</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865</v>
      </c>
      <c r="G18" s="7" t="str">
        <f t="shared" si="3"/>
        <v>text</v>
      </c>
      <c r="H18" s="58" t="s">
        <v>932</v>
      </c>
      <c r="I18" s="23" t="s">
        <v>127</v>
      </c>
      <c r="J18" s="24"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milscm_2023_009.sny_202310_backup_merge_receiptd_ir.data_type IS 'データ種別';</v>
      </c>
    </row>
    <row r="19" spans="1:52" s="25" customFormat="1">
      <c r="B19" s="21">
        <f t="shared" si="2"/>
        <v>7</v>
      </c>
      <c r="C19" s="13" t="s">
        <v>906</v>
      </c>
      <c r="D19" s="13" t="s">
        <v>907</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908</v>
      </c>
      <c r="D20" s="13" t="s">
        <v>909</v>
      </c>
      <c r="E20" s="7"/>
      <c r="F20" s="7" t="s">
        <v>865</v>
      </c>
      <c r="G20" s="7" t="str">
        <f t="shared" si="3"/>
        <v>text</v>
      </c>
      <c r="H20" s="58" t="s">
        <v>934</v>
      </c>
      <c r="I20" s="23" t="s">
        <v>127</v>
      </c>
      <c r="J20" s="24" t="s">
        <v>935</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910</v>
      </c>
      <c r="D21" s="13" t="s">
        <v>911</v>
      </c>
      <c r="E21" s="7" t="s">
        <v>127</v>
      </c>
      <c r="F21" s="7" t="s">
        <v>204</v>
      </c>
      <c r="G21" s="7" t="str">
        <f t="shared" si="3"/>
        <v>integer</v>
      </c>
      <c r="H21" s="58">
        <v>0</v>
      </c>
      <c r="I21" s="23" t="s">
        <v>127</v>
      </c>
      <c r="J21" s="24" t="s">
        <v>936</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912</v>
      </c>
      <c r="D22" s="13" t="s">
        <v>913</v>
      </c>
      <c r="E22" s="7" t="s">
        <v>127</v>
      </c>
      <c r="F22" s="7" t="s">
        <v>204</v>
      </c>
      <c r="G22" s="7" t="str">
        <f t="shared" si="3"/>
        <v>integer</v>
      </c>
      <c r="H22" s="58">
        <v>0</v>
      </c>
      <c r="I22" s="23" t="s">
        <v>127</v>
      </c>
      <c r="J22" s="24" t="s">
        <v>936</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milscm_2023_009.sny_202310_backup_merge_receiptd_ir.gyo_no IS '行番号';</v>
      </c>
    </row>
    <row r="23" spans="1:52" s="25" customFormat="1">
      <c r="B23" s="21">
        <f t="shared" si="2"/>
        <v>11</v>
      </c>
      <c r="C23" s="13" t="s">
        <v>914</v>
      </c>
      <c r="D23" s="13" t="s">
        <v>915</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1198</v>
      </c>
      <c r="D24" s="13" t="s">
        <v>1199</v>
      </c>
      <c r="E24" s="7"/>
      <c r="F24" s="7" t="s">
        <v>865</v>
      </c>
      <c r="G24" s="7" t="str">
        <f t="shared" si="3"/>
        <v>text</v>
      </c>
      <c r="H24" s="58"/>
      <c r="I24" s="23"/>
      <c r="J24" s="24" t="s">
        <v>863</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916</v>
      </c>
      <c r="D25" s="13" t="s">
        <v>917</v>
      </c>
      <c r="E25" s="7"/>
      <c r="F25" s="7" t="s">
        <v>865</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milscm_2023_009.sny_202310_backup_merge_receiptd_ir.prefecture IS '都道府県';</v>
      </c>
    </row>
    <row r="26" spans="1:52" s="25" customFormat="1">
      <c r="B26" s="21">
        <f t="shared" si="2"/>
        <v>14</v>
      </c>
      <c r="C26" s="13" t="s">
        <v>918</v>
      </c>
      <c r="D26" s="13" t="s">
        <v>919</v>
      </c>
      <c r="E26" s="7"/>
      <c r="F26" s="7" t="s">
        <v>865</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milscm_2023_009.sny_202310_backup_merge_receiptd_ir.tensuhyo IS '点数表';</v>
      </c>
    </row>
    <row r="27" spans="1:52" s="25" customFormat="1">
      <c r="B27" s="21">
        <f t="shared" si="2"/>
        <v>15</v>
      </c>
      <c r="C27" s="13" t="s">
        <v>920</v>
      </c>
      <c r="D27" s="13" t="s">
        <v>921</v>
      </c>
      <c r="E27" s="7"/>
      <c r="F27" s="7" t="s">
        <v>865</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922</v>
      </c>
      <c r="D28" s="13" t="s">
        <v>923</v>
      </c>
      <c r="E28" s="7"/>
      <c r="F28" s="7" t="s">
        <v>865</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milscm_2023_009.sny_202310_backup_merge_receiptd_ir.reserve1 IS '予備1';</v>
      </c>
    </row>
    <row r="29" spans="1:52" s="25" customFormat="1">
      <c r="B29" s="21">
        <f t="shared" si="2"/>
        <v>17</v>
      </c>
      <c r="C29" s="13" t="s">
        <v>924</v>
      </c>
      <c r="D29" s="13" t="s">
        <v>925</v>
      </c>
      <c r="E29" s="7"/>
      <c r="F29" s="7" t="s">
        <v>865</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926</v>
      </c>
      <c r="D30" s="13" t="s">
        <v>927</v>
      </c>
      <c r="E30" s="7"/>
      <c r="F30" s="7" t="s">
        <v>865</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milscm_2023_009.sny_202310_backup_merge_receiptd_ir.multi_volume_shikibetsu IS 'マルチボリューム識別情報';</v>
      </c>
    </row>
    <row r="31" spans="1:52" s="25" customFormat="1" ht="19.5" thickBot="1">
      <c r="A31" s="4"/>
      <c r="B31" s="27">
        <f>ROW()-12</f>
        <v>19</v>
      </c>
      <c r="C31" s="57" t="s">
        <v>928</v>
      </c>
      <c r="D31" s="57" t="s">
        <v>929</v>
      </c>
      <c r="E31" s="56"/>
      <c r="F31" s="56" t="s">
        <v>865</v>
      </c>
      <c r="G31" s="56" t="str">
        <f t="shared" si="3"/>
        <v>text</v>
      </c>
      <c r="H31" s="59"/>
      <c r="I31" s="60"/>
      <c r="J31" s="64"/>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ENT_01_C3-02</v>
      </c>
      <c r="E6" s="273"/>
      <c r="F6" s="273"/>
      <c r="G6" s="273"/>
      <c r="H6" s="273"/>
      <c r="I6" s="273"/>
      <c r="J6" s="274"/>
    </row>
    <row r="7" spans="1:45">
      <c r="B7" s="262" t="s">
        <v>115</v>
      </c>
      <c r="C7" s="263"/>
      <c r="D7" s="264" t="s">
        <v>1202</v>
      </c>
      <c r="E7" s="265"/>
      <c r="F7" s="265"/>
      <c r="G7" s="265"/>
      <c r="H7" s="265"/>
      <c r="I7" s="265"/>
      <c r="J7" s="266"/>
    </row>
    <row r="8" spans="1:45">
      <c r="B8" s="262" t="s">
        <v>116</v>
      </c>
      <c r="C8" s="263"/>
      <c r="D8" s="264" t="str">
        <f>エンティティ一覧!AE2&amp;"_"&amp;D5&amp;"_merge_receiptd_re"</f>
        <v>sny_202310_backup_merge_receiptd_re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milscm_2023_009.sny_202310_backup_merge_receiptd_re;</v>
      </c>
      <c r="O10" s="76"/>
      <c r="P10" s="76"/>
      <c r="Q10" s="76"/>
      <c r="R10" s="76"/>
      <c r="S10" s="76"/>
      <c r="T10" s="76"/>
      <c r="AJ10" s="76" t="str">
        <f>"ALTER TABLE ONLY "&amp;エンティティ一覧!$O$2&amp;"."&amp;D$8</f>
        <v>ALTER TABLE ONLY milscm_2023_009.sny_202310_backup_merge_receiptd_re</v>
      </c>
      <c r="AS10" s="76" t="str">
        <f>"ALTER TABLE "&amp;エンティティ一覧!$O$2&amp;"."&amp;D$8&amp;" OWNER TO pgmisgrp1;"</f>
        <v>ALTER TABLE milscm_2023_009.sny_202310_backup_merge_receiptd_re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milscm_2023_009.sny_202310_backup_merge_receiptd_re</v>
      </c>
      <c r="O11" s="76"/>
      <c r="P11" s="76"/>
      <c r="Q11" s="76"/>
      <c r="R11" s="76"/>
      <c r="S11" s="76"/>
      <c r="T11" s="76"/>
      <c r="AJ11" s="76" t="str">
        <f>"ADD CONSTRAINT "&amp;D$8&amp;"_pkey PRIMARY KEY"</f>
        <v>ADD CONSTRAINT sny_202310_backup_merge_receiptd_re_pkey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milscm_2023_009.sny_202310_backup_merge_receiptd_re.mil_karute_id IS '千年カルテID';</v>
      </c>
    </row>
    <row r="15" spans="1:45" s="25" customFormat="1" ht="37.5">
      <c r="A15" s="4"/>
      <c r="B15" s="21">
        <f t="shared" si="2"/>
        <v>3</v>
      </c>
      <c r="C15" s="13" t="s">
        <v>137</v>
      </c>
      <c r="D15" s="13" t="s">
        <v>128</v>
      </c>
      <c r="E15" s="7" t="s">
        <v>127</v>
      </c>
      <c r="F15" s="7" t="s">
        <v>865</v>
      </c>
      <c r="G15" s="7" t="str">
        <f t="shared" ref="G15:G74" si="5">IF(F15="フラグ","boolean",IF(F15="文字列","text",IF(F15="整数","integer",IF(F15="実数","numeric",""))))</f>
        <v>text</v>
      </c>
      <c r="H15" s="58"/>
      <c r="I15" s="23" t="s">
        <v>127</v>
      </c>
      <c r="J15" s="24" t="s">
        <v>1200</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904</v>
      </c>
      <c r="D16" s="13" t="s">
        <v>905</v>
      </c>
      <c r="E16" s="7" t="s">
        <v>127</v>
      </c>
      <c r="F16" s="7" t="s">
        <v>865</v>
      </c>
      <c r="G16" s="7" t="str">
        <f t="shared" si="5"/>
        <v>text</v>
      </c>
      <c r="H16" s="58"/>
      <c r="I16" s="23" t="s">
        <v>127</v>
      </c>
      <c r="J16" s="24" t="s">
        <v>1055</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milscm_2023_009.sny_202310_backup_merge_receiptd_re.seikyu_ym IS '請求年月';</v>
      </c>
    </row>
    <row r="17" spans="1:45" s="25" customFormat="1" ht="75">
      <c r="A17" s="4"/>
      <c r="B17" s="21">
        <f t="shared" si="2"/>
        <v>5</v>
      </c>
      <c r="C17" s="13" t="s">
        <v>866</v>
      </c>
      <c r="D17" s="13" t="s">
        <v>206</v>
      </c>
      <c r="E17" s="7" t="s">
        <v>127</v>
      </c>
      <c r="F17" s="7" t="s">
        <v>865</v>
      </c>
      <c r="G17" s="7" t="str">
        <f t="shared" si="5"/>
        <v>text</v>
      </c>
      <c r="H17" s="58"/>
      <c r="I17" s="23" t="s">
        <v>127</v>
      </c>
      <c r="J17" s="24" t="s">
        <v>1056</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865</v>
      </c>
      <c r="G18" s="7" t="str">
        <f t="shared" si="5"/>
        <v>text</v>
      </c>
      <c r="H18" s="58" t="s">
        <v>932</v>
      </c>
      <c r="I18" s="23" t="s">
        <v>127</v>
      </c>
      <c r="J18" s="24" t="s">
        <v>933</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906</v>
      </c>
      <c r="D19" s="13" t="s">
        <v>907</v>
      </c>
      <c r="E19" s="7" t="s">
        <v>127</v>
      </c>
      <c r="F19" s="7" t="s">
        <v>865</v>
      </c>
      <c r="G19" s="7" t="str">
        <f t="shared" si="5"/>
        <v>text</v>
      </c>
      <c r="H19" s="58"/>
      <c r="I19" s="23" t="s">
        <v>127</v>
      </c>
      <c r="J19" s="24" t="s">
        <v>1057</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908</v>
      </c>
      <c r="D20" s="13" t="s">
        <v>909</v>
      </c>
      <c r="E20" s="7"/>
      <c r="F20" s="7" t="s">
        <v>865</v>
      </c>
      <c r="G20" s="7" t="str">
        <f t="shared" si="5"/>
        <v>text</v>
      </c>
      <c r="H20" s="58" t="s">
        <v>1058</v>
      </c>
      <c r="I20" s="23" t="s">
        <v>127</v>
      </c>
      <c r="J20" s="24" t="s">
        <v>1059</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910</v>
      </c>
      <c r="D21" s="13" t="s">
        <v>911</v>
      </c>
      <c r="E21" s="7" t="s">
        <v>127</v>
      </c>
      <c r="F21" s="7" t="s">
        <v>204</v>
      </c>
      <c r="G21" s="7" t="str">
        <f t="shared" si="5"/>
        <v>integer</v>
      </c>
      <c r="H21" s="58"/>
      <c r="I21" s="23" t="s">
        <v>127</v>
      </c>
      <c r="J21" s="24" t="s">
        <v>1060</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912</v>
      </c>
      <c r="D22" s="13" t="s">
        <v>913</v>
      </c>
      <c r="E22" s="7" t="s">
        <v>127</v>
      </c>
      <c r="F22" s="7" t="s">
        <v>204</v>
      </c>
      <c r="G22" s="7" t="str">
        <f t="shared" si="5"/>
        <v>integer</v>
      </c>
      <c r="H22" s="58"/>
      <c r="I22" s="23" t="s">
        <v>127</v>
      </c>
      <c r="J22" s="24" t="s">
        <v>1205</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milscm_2023_009.sny_202310_backup_merge_receiptd_re.gyo_no IS '行番号';</v>
      </c>
    </row>
    <row r="23" spans="1:45" s="25" customFormat="1">
      <c r="A23" s="4"/>
      <c r="B23" s="21">
        <f t="shared" si="2"/>
        <v>11</v>
      </c>
      <c r="C23" s="13" t="s">
        <v>914</v>
      </c>
      <c r="D23" s="13" t="s">
        <v>915</v>
      </c>
      <c r="E23" s="7"/>
      <c r="F23" s="7" t="s">
        <v>865</v>
      </c>
      <c r="G23" s="7" t="str">
        <f t="shared" si="5"/>
        <v>text</v>
      </c>
      <c r="H23" s="58"/>
      <c r="I23" s="23"/>
      <c r="J23" s="24" t="s">
        <v>1062</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1198</v>
      </c>
      <c r="D24" s="13" t="s">
        <v>1199</v>
      </c>
      <c r="E24" s="7"/>
      <c r="F24" s="7" t="s">
        <v>865</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940</v>
      </c>
      <c r="D25" s="13" t="s">
        <v>941</v>
      </c>
      <c r="E25" s="7"/>
      <c r="F25" s="7" t="s">
        <v>865</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942</v>
      </c>
      <c r="D26" s="13" t="s">
        <v>943</v>
      </c>
      <c r="E26" s="7"/>
      <c r="F26" s="7" t="s">
        <v>865</v>
      </c>
      <c r="G26" s="7" t="str">
        <f t="shared" si="5"/>
        <v>text</v>
      </c>
      <c r="H26" s="58"/>
      <c r="I26" s="23"/>
      <c r="J26" s="24" t="s">
        <v>1063</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milscm_2023_009.sny_202310_backup_merge_receiptd_re.name IS '氏名';</v>
      </c>
    </row>
    <row r="27" spans="1:45" s="25" customFormat="1">
      <c r="A27" s="4"/>
      <c r="B27" s="21">
        <f t="shared" si="2"/>
        <v>15</v>
      </c>
      <c r="C27" s="13" t="s">
        <v>944</v>
      </c>
      <c r="D27" s="13" t="s">
        <v>945</v>
      </c>
      <c r="E27" s="7"/>
      <c r="F27" s="7" t="s">
        <v>865</v>
      </c>
      <c r="G27" s="7" t="str">
        <f t="shared" si="5"/>
        <v>text</v>
      </c>
      <c r="H27" s="58"/>
      <c r="I27" s="23"/>
      <c r="J27" s="24" t="s">
        <v>1064</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milscm_2023_009.sny_202310_backup_merge_receiptd_re.sex_kubun IS '男女区分';</v>
      </c>
    </row>
    <row r="28" spans="1:45" s="25" customFormat="1" ht="93.75">
      <c r="A28" s="4"/>
      <c r="B28" s="21">
        <f t="shared" si="2"/>
        <v>16</v>
      </c>
      <c r="C28" s="13" t="s">
        <v>946</v>
      </c>
      <c r="D28" s="13" t="s">
        <v>322</v>
      </c>
      <c r="E28" s="7"/>
      <c r="F28" s="7" t="s">
        <v>865</v>
      </c>
      <c r="G28" s="7" t="str">
        <f t="shared" si="5"/>
        <v>text</v>
      </c>
      <c r="H28" s="58"/>
      <c r="I28" s="23"/>
      <c r="J28" s="24" t="s">
        <v>1195</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947</v>
      </c>
      <c r="D29" s="13" t="s">
        <v>948</v>
      </c>
      <c r="E29" s="7"/>
      <c r="F29" s="7" t="s">
        <v>204</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milscm_2023_009.sny_202310_backup_merge_receiptd_re.kyufu_wariai IS '給付割合';</v>
      </c>
    </row>
    <row r="30" spans="1:45" s="25" customFormat="1" ht="75">
      <c r="A30" s="4"/>
      <c r="B30" s="21">
        <f t="shared" si="2"/>
        <v>18</v>
      </c>
      <c r="C30" s="13" t="s">
        <v>868</v>
      </c>
      <c r="D30" s="13" t="s">
        <v>156</v>
      </c>
      <c r="E30" s="7"/>
      <c r="F30" s="7" t="s">
        <v>865</v>
      </c>
      <c r="G30" s="7" t="str">
        <f t="shared" si="5"/>
        <v>text</v>
      </c>
      <c r="H30" s="58"/>
      <c r="I30" s="23"/>
      <c r="J30" s="24" t="s">
        <v>1066</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949</v>
      </c>
      <c r="D31" s="13" t="s">
        <v>950</v>
      </c>
      <c r="E31" s="7"/>
      <c r="F31" s="7" t="s">
        <v>865</v>
      </c>
      <c r="G31" s="7" t="str">
        <f t="shared" si="5"/>
        <v>text</v>
      </c>
      <c r="H31" s="58"/>
      <c r="I31" s="23"/>
      <c r="J31" s="24" t="s">
        <v>1067</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951</v>
      </c>
      <c r="D32" s="13" t="s">
        <v>952</v>
      </c>
      <c r="E32" s="7"/>
      <c r="F32" s="7" t="s">
        <v>865</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953</v>
      </c>
      <c r="D33" s="13" t="s">
        <v>954</v>
      </c>
      <c r="E33" s="7"/>
      <c r="F33" s="7" t="s">
        <v>865</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955</v>
      </c>
      <c r="D34" s="13" t="s">
        <v>956</v>
      </c>
      <c r="E34" s="7"/>
      <c r="F34" s="7" t="s">
        <v>865</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milscm_2023_009.sny_202310_backup_merge_receiptd_re.ward_kubun4 IS '病棟区分4';</v>
      </c>
    </row>
    <row r="35" spans="1:45" s="25" customFormat="1" ht="31.5">
      <c r="A35" s="4"/>
      <c r="B35" s="21">
        <f t="shared" si="2"/>
        <v>23</v>
      </c>
      <c r="C35" s="13" t="s">
        <v>957</v>
      </c>
      <c r="D35" s="13" t="s">
        <v>958</v>
      </c>
      <c r="E35" s="7"/>
      <c r="F35" s="7" t="s">
        <v>865</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959</v>
      </c>
      <c r="D36" s="13" t="s">
        <v>960</v>
      </c>
      <c r="E36" s="7"/>
      <c r="F36" s="7" t="s">
        <v>865</v>
      </c>
      <c r="G36" s="7" t="str">
        <f t="shared" si="5"/>
        <v>text</v>
      </c>
      <c r="H36" s="58"/>
      <c r="I36" s="23"/>
      <c r="J36" s="24" t="s">
        <v>1068</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961</v>
      </c>
      <c r="D37" s="13" t="s">
        <v>962</v>
      </c>
      <c r="E37" s="7"/>
      <c r="F37" s="7" t="s">
        <v>865</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963</v>
      </c>
      <c r="D38" s="13" t="s">
        <v>964</v>
      </c>
      <c r="E38" s="7"/>
      <c r="F38" s="7" t="s">
        <v>865</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965</v>
      </c>
      <c r="D39" s="13" t="s">
        <v>966</v>
      </c>
      <c r="E39" s="7"/>
      <c r="F39" s="7" t="s">
        <v>865</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967</v>
      </c>
      <c r="D40" s="13" t="s">
        <v>968</v>
      </c>
      <c r="E40" s="7"/>
      <c r="F40" s="7" t="s">
        <v>865</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922</v>
      </c>
      <c r="D41" s="13" t="s">
        <v>923</v>
      </c>
      <c r="E41" s="7"/>
      <c r="F41" s="7" t="s">
        <v>865</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milscm_2023_009.sny_202310_backup_merge_receiptd_re.reserve1 IS '予備1';</v>
      </c>
    </row>
    <row r="42" spans="1:45" s="25" customFormat="1">
      <c r="A42" s="4"/>
      <c r="B42" s="21">
        <f t="shared" si="2"/>
        <v>30</v>
      </c>
      <c r="C42" s="13" t="s">
        <v>971</v>
      </c>
      <c r="D42" s="13" t="s">
        <v>972</v>
      </c>
      <c r="E42" s="7"/>
      <c r="F42" s="7" t="s">
        <v>204</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973</v>
      </c>
      <c r="D43" s="13" t="s">
        <v>974</v>
      </c>
      <c r="E43" s="7"/>
      <c r="F43" s="7" t="s">
        <v>865</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milscm_2023_009.sny_202310_backup_merge_receiptd_re.reserve2 IS '予備2';</v>
      </c>
    </row>
    <row r="44" spans="1:45" s="25" customFormat="1">
      <c r="A44" s="4"/>
      <c r="B44" s="21">
        <f t="shared" si="2"/>
        <v>32</v>
      </c>
      <c r="C44" s="13" t="s">
        <v>975</v>
      </c>
      <c r="D44" s="13" t="s">
        <v>976</v>
      </c>
      <c r="E44" s="7"/>
      <c r="F44" s="7" t="s">
        <v>865</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milscm_2023_009.sny_202310_backup_merge_receiptd_re.reserve3 IS '予備3';</v>
      </c>
    </row>
    <row r="45" spans="1:45" s="25" customFormat="1">
      <c r="A45" s="4"/>
      <c r="B45" s="21">
        <f t="shared" si="2"/>
        <v>33</v>
      </c>
      <c r="C45" s="13" t="s">
        <v>1182</v>
      </c>
      <c r="D45" s="13" t="s">
        <v>1183</v>
      </c>
      <c r="E45" s="7"/>
      <c r="F45" s="7" t="s">
        <v>865</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milscm_2023_009.sny_202310_backup_merge_receiptd_re.reserve4 IS '予備4';</v>
      </c>
    </row>
    <row r="46" spans="1:45" s="25" customFormat="1">
      <c r="A46" s="4"/>
      <c r="B46" s="21">
        <f t="shared" si="2"/>
        <v>34</v>
      </c>
      <c r="C46" s="13" t="s">
        <v>1203</v>
      </c>
      <c r="D46" s="13" t="s">
        <v>1204</v>
      </c>
      <c r="E46" s="7"/>
      <c r="F46" s="7" t="s">
        <v>204</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977</v>
      </c>
      <c r="D47" s="13" t="s">
        <v>978</v>
      </c>
      <c r="E47" s="7"/>
      <c r="F47" s="7" t="s">
        <v>865</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milscm_2023_009.sny_202310_backup_merge_receiptd_re.kensaku_no IS '検索番号';</v>
      </c>
    </row>
    <row r="48" spans="1:45" s="25" customFormat="1" ht="56.25">
      <c r="A48" s="4"/>
      <c r="B48" s="21">
        <f t="shared" si="2"/>
        <v>36</v>
      </c>
      <c r="C48" s="13" t="s">
        <v>979</v>
      </c>
      <c r="D48" s="13" t="s">
        <v>980</v>
      </c>
      <c r="E48" s="7"/>
      <c r="F48" s="7" t="s">
        <v>865</v>
      </c>
      <c r="G48" s="7" t="str">
        <f t="shared" si="5"/>
        <v>text</v>
      </c>
      <c r="H48" s="58"/>
      <c r="I48" s="23"/>
      <c r="J48" s="24" t="s">
        <v>931</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981</v>
      </c>
      <c r="D49" s="13" t="s">
        <v>982</v>
      </c>
      <c r="E49" s="7"/>
      <c r="F49" s="7" t="s">
        <v>865</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983</v>
      </c>
      <c r="D50" s="13" t="s">
        <v>984</v>
      </c>
      <c r="E50" s="7"/>
      <c r="F50" s="7" t="s">
        <v>865</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985</v>
      </c>
      <c r="D51" s="13" t="s">
        <v>986</v>
      </c>
      <c r="E51" s="7"/>
      <c r="F51" s="7" t="s">
        <v>865</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987</v>
      </c>
      <c r="D52" s="13" t="s">
        <v>988</v>
      </c>
      <c r="E52" s="7"/>
      <c r="F52" s="7" t="s">
        <v>865</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989</v>
      </c>
      <c r="D53" s="13" t="s">
        <v>990</v>
      </c>
      <c r="E53" s="7"/>
      <c r="F53" s="7" t="s">
        <v>865</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991</v>
      </c>
      <c r="D54" s="13" t="s">
        <v>992</v>
      </c>
      <c r="E54" s="7"/>
      <c r="F54" s="7" t="s">
        <v>865</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1013</v>
      </c>
      <c r="D55" s="13" t="s">
        <v>1014</v>
      </c>
      <c r="E55" s="7"/>
      <c r="F55" s="7" t="s">
        <v>865</v>
      </c>
      <c r="G55" s="7" t="str">
        <f t="shared" si="5"/>
        <v>text</v>
      </c>
      <c r="H55" s="58"/>
      <c r="I55" s="23"/>
      <c r="J55" s="24" t="s">
        <v>1063</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1015</v>
      </c>
      <c r="D56" s="13" t="s">
        <v>1016</v>
      </c>
      <c r="E56" s="7"/>
      <c r="F56" s="7" t="s">
        <v>865</v>
      </c>
      <c r="G56" s="7" t="str">
        <f t="shared" si="5"/>
        <v>text</v>
      </c>
      <c r="H56" s="58"/>
      <c r="I56" s="23"/>
      <c r="J56" s="24" t="s">
        <v>1069</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1017</v>
      </c>
      <c r="D57" s="13" t="s">
        <v>1018</v>
      </c>
      <c r="E57" s="7"/>
      <c r="F57" s="7" t="s">
        <v>865</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1019</v>
      </c>
      <c r="D58" s="13" t="s">
        <v>1020</v>
      </c>
      <c r="E58" s="7"/>
      <c r="F58" s="7" t="s">
        <v>865</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1021</v>
      </c>
      <c r="D59" s="13" t="s">
        <v>1022</v>
      </c>
      <c r="E59" s="7"/>
      <c r="F59" s="7" t="s">
        <v>865</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1023</v>
      </c>
      <c r="D60" s="13" t="s">
        <v>1024</v>
      </c>
      <c r="E60" s="7"/>
      <c r="F60" s="7" t="s">
        <v>865</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1025</v>
      </c>
      <c r="D61" s="13" t="s">
        <v>1026</v>
      </c>
      <c r="E61" s="7"/>
      <c r="F61" s="7" t="s">
        <v>865</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1027</v>
      </c>
      <c r="D62" s="13" t="s">
        <v>1028</v>
      </c>
      <c r="E62" s="7"/>
      <c r="F62" s="7" t="s">
        <v>865</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1029</v>
      </c>
      <c r="D63" s="13" t="s">
        <v>1030</v>
      </c>
      <c r="E63" s="7"/>
      <c r="F63" s="7" t="s">
        <v>865</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1031</v>
      </c>
      <c r="D64" s="13" t="s">
        <v>1032</v>
      </c>
      <c r="E64" s="7"/>
      <c r="F64" s="7" t="s">
        <v>865</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1033</v>
      </c>
      <c r="D65" s="13" t="s">
        <v>1034</v>
      </c>
      <c r="E65" s="7"/>
      <c r="F65" s="7" t="s">
        <v>865</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1035</v>
      </c>
      <c r="D66" s="13" t="s">
        <v>1036</v>
      </c>
      <c r="E66" s="7"/>
      <c r="F66" s="7" t="s">
        <v>865</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1037</v>
      </c>
      <c r="D67" s="13" t="s">
        <v>1038</v>
      </c>
      <c r="E67" s="7"/>
      <c r="F67" s="7" t="s">
        <v>865</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1039</v>
      </c>
      <c r="D68" s="13" t="s">
        <v>1040</v>
      </c>
      <c r="E68" s="7"/>
      <c r="F68" s="7" t="s">
        <v>865</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1041</v>
      </c>
      <c r="D69" s="13" t="s">
        <v>1042</v>
      </c>
      <c r="E69" s="7"/>
      <c r="F69" s="7" t="s">
        <v>865</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1043</v>
      </c>
      <c r="D70" s="13" t="s">
        <v>1044</v>
      </c>
      <c r="E70" s="7"/>
      <c r="F70" s="7" t="s">
        <v>865</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1045</v>
      </c>
      <c r="D71" s="13" t="s">
        <v>1046</v>
      </c>
      <c r="E71" s="7"/>
      <c r="F71" s="7" t="s">
        <v>865</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1047</v>
      </c>
      <c r="D72" s="13" t="s">
        <v>1048</v>
      </c>
      <c r="E72" s="7"/>
      <c r="F72" s="7" t="s">
        <v>865</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1049</v>
      </c>
      <c r="D73" s="13" t="s">
        <v>1050</v>
      </c>
      <c r="E73" s="7"/>
      <c r="F73" s="7" t="s">
        <v>865</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1051</v>
      </c>
      <c r="D74" s="13" t="s">
        <v>1052</v>
      </c>
      <c r="E74" s="7"/>
      <c r="F74" s="7" t="s">
        <v>865</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milscm_2023_009.sny_202310_backup_merge_receiptd_re.patient_state19 IS '患者の状態19';</v>
      </c>
    </row>
    <row r="75" spans="1:52" s="25" customFormat="1" ht="19.5" thickBot="1">
      <c r="A75" s="4"/>
      <c r="B75" s="27">
        <f>ROW()-12</f>
        <v>63</v>
      </c>
      <c r="C75" s="57" t="s">
        <v>1053</v>
      </c>
      <c r="D75" s="57" t="s">
        <v>1054</v>
      </c>
      <c r="E75" s="56"/>
      <c r="F75" s="56" t="s">
        <v>865</v>
      </c>
      <c r="G75" s="56" t="str">
        <f t="shared" si="3"/>
        <v>text</v>
      </c>
      <c r="H75" s="59"/>
      <c r="I75" s="60"/>
      <c r="J75" s="64"/>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ENT_01_C3-08</v>
      </c>
      <c r="E6" s="273"/>
      <c r="F6" s="273"/>
      <c r="G6" s="273"/>
      <c r="H6" s="273"/>
      <c r="I6" s="273"/>
      <c r="J6" s="274"/>
    </row>
    <row r="7" spans="1:45">
      <c r="B7" s="262" t="s">
        <v>115</v>
      </c>
      <c r="C7" s="263"/>
      <c r="D7" s="264" t="s">
        <v>1207</v>
      </c>
      <c r="E7" s="265"/>
      <c r="F7" s="265"/>
      <c r="G7" s="265"/>
      <c r="H7" s="265"/>
      <c r="I7" s="265"/>
      <c r="J7" s="266"/>
    </row>
    <row r="8" spans="1:45">
      <c r="B8" s="262" t="s">
        <v>116</v>
      </c>
      <c r="C8" s="263"/>
      <c r="D8" s="264" t="str">
        <f>エンティティ一覧!AE2&amp;"_"&amp;D5&amp;"_merge_receiptd_bu"</f>
        <v>sny_202310_backup_merge_receiptd_bu</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milscm_2023_009.sny_202310_backup_merge_receiptd_bu;</v>
      </c>
      <c r="O10" s="76"/>
      <c r="P10" s="76"/>
      <c r="Q10" s="76"/>
      <c r="R10" s="76"/>
      <c r="S10" s="76"/>
      <c r="T10" s="76"/>
      <c r="AJ10" s="76" t="str">
        <f>"ALTER TABLE ONLY "&amp;エンティティ一覧!$O$2&amp;"."&amp;D$8</f>
        <v>ALTER TABLE ONLY milscm_2023_009.sny_202310_backup_merge_receiptd_bu</v>
      </c>
      <c r="AS10" s="76" t="str">
        <f>"ALTER TABLE "&amp;エンティティ一覧!$O$2&amp;"."&amp;D$8&amp;" OWNER TO pgmisgrp1;"</f>
        <v>ALTER TABLE milscm_2023_009.sny_202310_backup_merge_receiptd_bu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milscm_2023_009.sny_202310_backup_merge_receiptd_bu</v>
      </c>
      <c r="O11" s="76"/>
      <c r="P11" s="76"/>
      <c r="Q11" s="76"/>
      <c r="R11" s="76"/>
      <c r="S11" s="76"/>
      <c r="T11" s="76"/>
      <c r="AJ11" s="76" t="str">
        <f>"ADD CONSTRAINT "&amp;D$8&amp;"_pkey PRIMARY KEY"</f>
        <v>ADD CONSTRAINT sny_202310_backup_merge_receiptd_bu_pkey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milscm_2023_009.sny_202310_backup_merge_receiptd_bu.mil_karute_id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1200</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milscm_2023_009.sny_202310_backup_merge_receiptd_bu.facility_id IS '施設ID';</v>
      </c>
    </row>
    <row r="16" spans="1:45" s="25" customFormat="1">
      <c r="B16" s="21">
        <f t="shared" si="2"/>
        <v>4</v>
      </c>
      <c r="C16" s="6" t="s">
        <v>904</v>
      </c>
      <c r="D16" s="6" t="s">
        <v>905</v>
      </c>
      <c r="E16" s="8" t="s">
        <v>127</v>
      </c>
      <c r="F16" s="7" t="s">
        <v>865</v>
      </c>
      <c r="G16" s="7" t="str">
        <f t="shared" si="3"/>
        <v>text</v>
      </c>
      <c r="H16" s="26"/>
      <c r="I16" s="10" t="s">
        <v>127</v>
      </c>
      <c r="J16" s="53" t="s">
        <v>1055</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milscm_2023_009.sny_202310_backup_merge_receiptd_bu.seikyu_ym IS '請求年月';</v>
      </c>
    </row>
    <row r="17" spans="1:52" s="25" customFormat="1">
      <c r="B17" s="21">
        <f t="shared" si="2"/>
        <v>5</v>
      </c>
      <c r="C17" s="13" t="s">
        <v>866</v>
      </c>
      <c r="D17" s="13" t="s">
        <v>206</v>
      </c>
      <c r="E17" s="7" t="s">
        <v>127</v>
      </c>
      <c r="F17" s="7" t="s">
        <v>865</v>
      </c>
      <c r="G17" s="7" t="str">
        <f t="shared" si="3"/>
        <v>text</v>
      </c>
      <c r="H17" s="58"/>
      <c r="I17" s="23" t="s">
        <v>127</v>
      </c>
      <c r="J17" s="24" t="s">
        <v>1114</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865</v>
      </c>
      <c r="G18" s="7" t="str">
        <f t="shared" si="3"/>
        <v>text</v>
      </c>
      <c r="H18" s="58" t="s">
        <v>932</v>
      </c>
      <c r="I18" s="23" t="s">
        <v>127</v>
      </c>
      <c r="J18" s="24" t="s">
        <v>933</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milscm_2023_009.sny_202310_backup_merge_receiptd_bu.data_type IS 'データ種別';</v>
      </c>
    </row>
    <row r="19" spans="1:52" s="25" customFormat="1">
      <c r="B19" s="21">
        <f t="shared" si="2"/>
        <v>7</v>
      </c>
      <c r="C19" s="13" t="s">
        <v>906</v>
      </c>
      <c r="D19" s="13" t="s">
        <v>907</v>
      </c>
      <c r="E19" s="7" t="s">
        <v>127</v>
      </c>
      <c r="F19" s="7" t="s">
        <v>865</v>
      </c>
      <c r="G19" s="7" t="str">
        <f t="shared" si="3"/>
        <v>text</v>
      </c>
      <c r="H19" s="58"/>
      <c r="I19" s="23" t="s">
        <v>127</v>
      </c>
      <c r="J19" s="24" t="s">
        <v>1057</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908</v>
      </c>
      <c r="D20" s="13" t="s">
        <v>909</v>
      </c>
      <c r="E20" s="7"/>
      <c r="F20" s="7" t="s">
        <v>865</v>
      </c>
      <c r="G20" s="7" t="str">
        <f t="shared" si="3"/>
        <v>text</v>
      </c>
      <c r="H20" s="58" t="s">
        <v>1218</v>
      </c>
      <c r="I20" s="23" t="s">
        <v>127</v>
      </c>
      <c r="J20" s="24" t="s">
        <v>1219</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910</v>
      </c>
      <c r="D21" s="13" t="s">
        <v>911</v>
      </c>
      <c r="E21" s="7" t="s">
        <v>127</v>
      </c>
      <c r="F21" s="7" t="s">
        <v>204</v>
      </c>
      <c r="G21" s="7" t="str">
        <f t="shared" si="3"/>
        <v>integer</v>
      </c>
      <c r="H21" s="58"/>
      <c r="I21" s="23" t="s">
        <v>127</v>
      </c>
      <c r="J21" s="24" t="s">
        <v>1060</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912</v>
      </c>
      <c r="D22" s="13" t="s">
        <v>913</v>
      </c>
      <c r="E22" s="7" t="s">
        <v>127</v>
      </c>
      <c r="F22" s="7" t="s">
        <v>204</v>
      </c>
      <c r="G22" s="7" t="str">
        <f t="shared" si="3"/>
        <v>integer</v>
      </c>
      <c r="H22" s="58"/>
      <c r="I22" s="23" t="s">
        <v>127</v>
      </c>
      <c r="J22" s="24" t="s">
        <v>1205</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milscm_2023_009.sny_202310_backup_merge_receiptd_bu.gyo_no IS '行番号';</v>
      </c>
    </row>
    <row r="23" spans="1:52" s="25" customFormat="1">
      <c r="B23" s="21">
        <f t="shared" si="2"/>
        <v>11</v>
      </c>
      <c r="C23" s="13" t="s">
        <v>914</v>
      </c>
      <c r="D23" s="13" t="s">
        <v>915</v>
      </c>
      <c r="E23" s="7"/>
      <c r="F23" s="7" t="s">
        <v>865</v>
      </c>
      <c r="G23" s="7" t="str">
        <f t="shared" si="3"/>
        <v>text</v>
      </c>
      <c r="H23" s="58"/>
      <c r="I23" s="23"/>
      <c r="J23" s="24" t="s">
        <v>1062</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milscm_2023_009.sny_202310_backup_merge_receiptd_bu.karute_no IS 'カルテ番号等';</v>
      </c>
    </row>
    <row r="24" spans="1:52" s="25" customFormat="1">
      <c r="B24" s="21">
        <f t="shared" si="2"/>
        <v>12</v>
      </c>
      <c r="C24" s="13" t="s">
        <v>1198</v>
      </c>
      <c r="D24" s="13" t="s">
        <v>1199</v>
      </c>
      <c r="E24" s="7"/>
      <c r="F24" s="7" t="s">
        <v>865</v>
      </c>
      <c r="G24" s="7" t="str">
        <f t="shared" si="3"/>
        <v>text</v>
      </c>
      <c r="H24" s="58"/>
      <c r="I24" s="23"/>
      <c r="J24" s="24" t="s">
        <v>1220</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1208</v>
      </c>
      <c r="D25" s="13" t="s">
        <v>1209</v>
      </c>
      <c r="E25" s="7"/>
      <c r="F25" s="7" t="s">
        <v>865</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milscm_2023_009.sny_202310_backup_merge_receiptd_bu.shindangun_no IS '診断群分類番号';</v>
      </c>
    </row>
    <row r="26" spans="1:52" s="25" customFormat="1" ht="75">
      <c r="B26" s="21">
        <f t="shared" si="2"/>
        <v>14</v>
      </c>
      <c r="C26" s="13" t="s">
        <v>1210</v>
      </c>
      <c r="D26" s="13" t="s">
        <v>1211</v>
      </c>
      <c r="E26" s="7"/>
      <c r="F26" s="7" t="s">
        <v>865</v>
      </c>
      <c r="G26" s="7" t="str">
        <f t="shared" si="3"/>
        <v>text</v>
      </c>
      <c r="H26" s="58"/>
      <c r="I26" s="23"/>
      <c r="J26" s="24" t="s">
        <v>1066</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milscm_2023_009.sny_202310_backup_merge_receiptd_bu.konnyuin_ymd IS '今回入院年月日 ';</v>
      </c>
    </row>
    <row r="27" spans="1:52" s="25" customFormat="1" ht="75">
      <c r="B27" s="21">
        <f t="shared" si="2"/>
        <v>15</v>
      </c>
      <c r="C27" s="13" t="s">
        <v>1212</v>
      </c>
      <c r="D27" s="13" t="s">
        <v>1213</v>
      </c>
      <c r="E27" s="7"/>
      <c r="F27" s="7" t="s">
        <v>865</v>
      </c>
      <c r="G27" s="7" t="str">
        <f t="shared" si="3"/>
        <v>text</v>
      </c>
      <c r="H27" s="58"/>
      <c r="I27" s="23"/>
      <c r="J27" s="24" t="s">
        <v>1066</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1214</v>
      </c>
      <c r="D28" s="13" t="s">
        <v>1215</v>
      </c>
      <c r="E28" s="7"/>
      <c r="F28" s="7" t="s">
        <v>865</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milscm_2023_009.sny_202310_backup_merge_receiptd_bu.dpc_tenki_code IS 'DPC転帰区分';</v>
      </c>
    </row>
    <row r="29" spans="1:52" s="25" customFormat="1" ht="19.5" thickBot="1">
      <c r="A29" s="4"/>
      <c r="B29" s="27">
        <f>ROW()-12</f>
        <v>17</v>
      </c>
      <c r="C29" s="57" t="s">
        <v>1216</v>
      </c>
      <c r="D29" s="57" t="s">
        <v>1217</v>
      </c>
      <c r="E29" s="56"/>
      <c r="F29" s="56" t="s">
        <v>865</v>
      </c>
      <c r="G29" s="56" t="str">
        <f t="shared" si="3"/>
        <v>text</v>
      </c>
      <c r="H29" s="59"/>
      <c r="I29" s="60"/>
      <c r="J29" s="64"/>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ENT_01_C3-09</v>
      </c>
      <c r="E6" s="273"/>
      <c r="F6" s="273"/>
      <c r="G6" s="273"/>
      <c r="H6" s="273"/>
      <c r="I6" s="273"/>
      <c r="J6" s="274"/>
    </row>
    <row r="7" spans="1:45">
      <c r="B7" s="262" t="s">
        <v>115</v>
      </c>
      <c r="C7" s="263"/>
      <c r="D7" s="264" t="s">
        <v>1222</v>
      </c>
      <c r="E7" s="265"/>
      <c r="F7" s="265"/>
      <c r="G7" s="265"/>
      <c r="H7" s="265"/>
      <c r="I7" s="265"/>
      <c r="J7" s="266"/>
    </row>
    <row r="8" spans="1:45">
      <c r="B8" s="262" t="s">
        <v>116</v>
      </c>
      <c r="C8" s="263"/>
      <c r="D8" s="264" t="str">
        <f>エンティティ一覧!AE2&amp;"_"&amp;D5&amp;"_merge_receiptd_sb"</f>
        <v>sny_202310_backup_merge_receiptd_sb</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milscm_2023_009.sny_202310_backup_merge_receiptd_sb;</v>
      </c>
      <c r="O10" s="76"/>
      <c r="P10" s="76"/>
      <c r="Q10" s="76"/>
      <c r="R10" s="76"/>
      <c r="S10" s="76"/>
      <c r="T10" s="76"/>
      <c r="AJ10" s="76" t="str">
        <f>"ALTER TABLE ONLY "&amp;エンティティ一覧!$O$2&amp;"."&amp;D$8</f>
        <v>ALTER TABLE ONLY milscm_2023_009.sny_202310_backup_merge_receiptd_sb</v>
      </c>
      <c r="AS10" s="76" t="str">
        <f>"ALTER TABLE "&amp;エンティティ一覧!$O$2&amp;"."&amp;D$8&amp;" OWNER TO pgmisgrp1;"</f>
        <v>ALTER TABLE milscm_2023_009.sny_202310_backup_merge_receiptd_sb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milscm_2023_009.sny_202310_backup_merge_receiptd_sb</v>
      </c>
      <c r="O11" s="76"/>
      <c r="P11" s="76"/>
      <c r="Q11" s="76"/>
      <c r="R11" s="76"/>
      <c r="S11" s="76"/>
      <c r="T11" s="76"/>
      <c r="AJ11" s="76" t="str">
        <f>"ADD CONSTRAINT "&amp;D$8&amp;"_pkey PRIMARY KEY"</f>
        <v>ADD CONSTRAINT sny_202310_backup_merge_receiptd_sb_pkey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milscm_2023_009.sny_202310_backup_merge_receiptd_sb.mil_karute_id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1200</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904</v>
      </c>
      <c r="D16" s="13" t="s">
        <v>905</v>
      </c>
      <c r="E16" s="7" t="s">
        <v>127</v>
      </c>
      <c r="F16" s="7" t="s">
        <v>865</v>
      </c>
      <c r="G16" s="7" t="str">
        <f t="shared" si="3"/>
        <v>text</v>
      </c>
      <c r="H16" s="58"/>
      <c r="I16" s="23" t="s">
        <v>127</v>
      </c>
      <c r="J16" s="24" t="s">
        <v>1055</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1114</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865</v>
      </c>
      <c r="G18" s="7" t="str">
        <f t="shared" si="3"/>
        <v>text</v>
      </c>
      <c r="H18" s="58" t="s">
        <v>932</v>
      </c>
      <c r="I18" s="23" t="s">
        <v>127</v>
      </c>
      <c r="J18" s="24" t="s">
        <v>933</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906</v>
      </c>
      <c r="D19" s="13" t="s">
        <v>907</v>
      </c>
      <c r="E19" s="7" t="s">
        <v>127</v>
      </c>
      <c r="F19" s="7" t="s">
        <v>865</v>
      </c>
      <c r="G19" s="7" t="str">
        <f t="shared" si="3"/>
        <v>text</v>
      </c>
      <c r="H19" s="58"/>
      <c r="I19" s="23" t="s">
        <v>127</v>
      </c>
      <c r="J19" s="24" t="s">
        <v>1057</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908</v>
      </c>
      <c r="D20" s="13" t="s">
        <v>909</v>
      </c>
      <c r="E20" s="7"/>
      <c r="F20" s="7" t="s">
        <v>865</v>
      </c>
      <c r="G20" s="7" t="str">
        <f t="shared" si="3"/>
        <v>text</v>
      </c>
      <c r="H20" s="58" t="s">
        <v>1225</v>
      </c>
      <c r="I20" s="23" t="s">
        <v>127</v>
      </c>
      <c r="J20" s="24" t="s">
        <v>1226</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910</v>
      </c>
      <c r="D21" s="13" t="s">
        <v>911</v>
      </c>
      <c r="E21" s="7" t="s">
        <v>127</v>
      </c>
      <c r="F21" s="7" t="s">
        <v>204</v>
      </c>
      <c r="G21" s="7" t="str">
        <f t="shared" si="3"/>
        <v>integer</v>
      </c>
      <c r="H21" s="58"/>
      <c r="I21" s="23" t="s">
        <v>127</v>
      </c>
      <c r="J21" s="24" t="s">
        <v>1060</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912</v>
      </c>
      <c r="D22" s="13" t="s">
        <v>913</v>
      </c>
      <c r="E22" s="7" t="s">
        <v>127</v>
      </c>
      <c r="F22" s="7" t="s">
        <v>204</v>
      </c>
      <c r="G22" s="7" t="str">
        <f t="shared" si="3"/>
        <v>integer</v>
      </c>
      <c r="H22" s="58"/>
      <c r="I22" s="23" t="s">
        <v>127</v>
      </c>
      <c r="J22" s="24" t="s">
        <v>1205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milscm_2023_009.sny_202310_backup_merge_receiptd_sb.gyo_no IS '行番号';</v>
      </c>
    </row>
    <row r="23" spans="1:45" s="25" customFormat="1">
      <c r="A23" s="4"/>
      <c r="B23" s="21">
        <f t="shared" si="2"/>
        <v>11</v>
      </c>
      <c r="C23" s="13" t="s">
        <v>914</v>
      </c>
      <c r="D23" s="13" t="s">
        <v>915</v>
      </c>
      <c r="E23" s="7"/>
      <c r="F23" s="7" t="s">
        <v>865</v>
      </c>
      <c r="G23" s="7" t="str">
        <f t="shared" si="3"/>
        <v>text</v>
      </c>
      <c r="H23" s="58"/>
      <c r="I23" s="23"/>
      <c r="J23" s="24" t="s">
        <v>1062</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milscm_2023_009.sny_202310_backup_merge_receiptd_sb.karute_no IS 'カルテ番号等';</v>
      </c>
    </row>
    <row r="24" spans="1:45" s="25" customFormat="1">
      <c r="A24" s="4"/>
      <c r="B24" s="21">
        <f t="shared" si="2"/>
        <v>12</v>
      </c>
      <c r="C24" s="13" t="s">
        <v>1198</v>
      </c>
      <c r="D24" s="13" t="s">
        <v>1199</v>
      </c>
      <c r="E24" s="7"/>
      <c r="F24" s="7" t="s">
        <v>865</v>
      </c>
      <c r="G24" s="7" t="str">
        <f t="shared" si="3"/>
        <v>text</v>
      </c>
      <c r="H24" s="58"/>
      <c r="I24" s="23"/>
      <c r="J24" s="24" t="s">
        <v>1220</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667</v>
      </c>
      <c r="D26" s="13" t="s">
        <v>873</v>
      </c>
      <c r="E26" s="7"/>
      <c r="F26" s="7" t="s">
        <v>865</v>
      </c>
      <c r="G26" s="7" t="str">
        <f t="shared" si="3"/>
        <v>text</v>
      </c>
      <c r="H26" s="58"/>
      <c r="I26" s="23"/>
      <c r="J26" s="24" t="s">
        <v>1118</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669</v>
      </c>
      <c r="D27" s="13" t="s">
        <v>874</v>
      </c>
      <c r="E27" s="7"/>
      <c r="F27" s="7" t="s">
        <v>865</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671</v>
      </c>
      <c r="D28" s="13" t="s">
        <v>875</v>
      </c>
      <c r="E28" s="7"/>
      <c r="F28" s="7" t="s">
        <v>865</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673</v>
      </c>
      <c r="D29" s="13" t="s">
        <v>876</v>
      </c>
      <c r="E29" s="7"/>
      <c r="F29" s="7" t="s">
        <v>865</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1076</v>
      </c>
      <c r="D30" s="13" t="s">
        <v>1077</v>
      </c>
      <c r="E30" s="7"/>
      <c r="F30" s="7" t="s">
        <v>865</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1078</v>
      </c>
      <c r="D31" s="13" t="s">
        <v>1079</v>
      </c>
      <c r="E31" s="7"/>
      <c r="F31" s="7" t="s">
        <v>865</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1080</v>
      </c>
      <c r="D32" s="13" t="s">
        <v>1081</v>
      </c>
      <c r="E32" s="7"/>
      <c r="F32" s="7" t="s">
        <v>865</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1082</v>
      </c>
      <c r="D33" s="13" t="s">
        <v>1083</v>
      </c>
      <c r="E33" s="7"/>
      <c r="F33" s="7" t="s">
        <v>865</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1084</v>
      </c>
      <c r="D34" s="13" t="s">
        <v>1085</v>
      </c>
      <c r="E34" s="7"/>
      <c r="F34" s="7" t="s">
        <v>865</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1086</v>
      </c>
      <c r="D35" s="13" t="s">
        <v>1087</v>
      </c>
      <c r="E35" s="7"/>
      <c r="F35" s="7" t="s">
        <v>865</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1088</v>
      </c>
      <c r="D36" s="13" t="s">
        <v>1089</v>
      </c>
      <c r="E36" s="7"/>
      <c r="F36" s="7" t="s">
        <v>865</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1090</v>
      </c>
      <c r="D37" s="13" t="s">
        <v>1091</v>
      </c>
      <c r="E37" s="7"/>
      <c r="F37" s="7" t="s">
        <v>865</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1092</v>
      </c>
      <c r="D38" s="13" t="s">
        <v>1093</v>
      </c>
      <c r="E38" s="7"/>
      <c r="F38" s="7" t="s">
        <v>865</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1094</v>
      </c>
      <c r="D39" s="13" t="s">
        <v>1095</v>
      </c>
      <c r="E39" s="7"/>
      <c r="F39" s="7" t="s">
        <v>865</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1096</v>
      </c>
      <c r="D40" s="13" t="s">
        <v>1097</v>
      </c>
      <c r="E40" s="7"/>
      <c r="F40" s="7" t="s">
        <v>865</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1098</v>
      </c>
      <c r="D41" s="13" t="s">
        <v>1099</v>
      </c>
      <c r="E41" s="7"/>
      <c r="F41" s="7" t="s">
        <v>865</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1100</v>
      </c>
      <c r="D42" s="13" t="s">
        <v>1101</v>
      </c>
      <c r="E42" s="7"/>
      <c r="F42" s="7" t="s">
        <v>865</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1102</v>
      </c>
      <c r="D43" s="13" t="s">
        <v>1103</v>
      </c>
      <c r="E43" s="7"/>
      <c r="F43" s="7" t="s">
        <v>865</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1104</v>
      </c>
      <c r="D44" s="13" t="s">
        <v>1105</v>
      </c>
      <c r="E44" s="7"/>
      <c r="F44" s="7" t="s">
        <v>865</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1106</v>
      </c>
      <c r="D45" s="13" t="s">
        <v>1107</v>
      </c>
      <c r="E45" s="7"/>
      <c r="F45" s="7" t="s">
        <v>865</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1108</v>
      </c>
      <c r="D46" s="13" t="s">
        <v>1109</v>
      </c>
      <c r="E46" s="7"/>
      <c r="F46" s="7" t="s">
        <v>865</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663</v>
      </c>
      <c r="D47" s="13" t="s">
        <v>871</v>
      </c>
      <c r="E47" s="7"/>
      <c r="F47" s="7" t="s">
        <v>865</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1223</v>
      </c>
      <c r="D48" s="13" t="s">
        <v>1224</v>
      </c>
      <c r="E48" s="7"/>
      <c r="F48" s="7" t="s">
        <v>865</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1216</v>
      </c>
      <c r="D49" s="13" t="s">
        <v>1217</v>
      </c>
      <c r="E49" s="7"/>
      <c r="F49" s="7" t="s">
        <v>865</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milscm_2023_009.sny_202310_backup_merge_receiptd_sb.death_cause IS '死因';</v>
      </c>
    </row>
    <row r="50" spans="1:52" s="25" customFormat="1" ht="19.5" thickBot="1">
      <c r="A50" s="4"/>
      <c r="B50" s="27">
        <f>ROW()-12</f>
        <v>38</v>
      </c>
      <c r="C50" s="57" t="s">
        <v>1112</v>
      </c>
      <c r="D50" s="57" t="s">
        <v>1113</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ENT_01_C3-10</v>
      </c>
      <c r="E6" s="273"/>
      <c r="F6" s="273"/>
      <c r="G6" s="273"/>
      <c r="H6" s="273"/>
      <c r="I6" s="273"/>
      <c r="J6" s="274"/>
    </row>
    <row r="7" spans="1:45">
      <c r="B7" s="262" t="s">
        <v>115</v>
      </c>
      <c r="C7" s="263"/>
      <c r="D7" s="264" t="s">
        <v>1228</v>
      </c>
      <c r="E7" s="265"/>
      <c r="F7" s="265"/>
      <c r="G7" s="265"/>
      <c r="H7" s="265"/>
      <c r="I7" s="265"/>
      <c r="J7" s="266"/>
    </row>
    <row r="8" spans="1:45">
      <c r="B8" s="262" t="s">
        <v>116</v>
      </c>
      <c r="C8" s="263"/>
      <c r="D8" s="264" t="str">
        <f>エンティティ一覧!AE2&amp;"_"&amp;D5&amp;"_merge_receiptd_sy"</f>
        <v>sny_202310_backup_merge_receiptd_sy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milscm_2023_009.sny_202310_backup_merge_receiptd_sy;</v>
      </c>
      <c r="O10" s="76"/>
      <c r="P10" s="76"/>
      <c r="Q10" s="76"/>
      <c r="R10" s="76"/>
      <c r="S10" s="76"/>
      <c r="T10" s="76"/>
      <c r="AJ10" s="76" t="str">
        <f>"ALTER TABLE ONLY "&amp;エンティティ一覧!$O$2&amp;"."&amp;D$8</f>
        <v>ALTER TABLE ONLY milscm_2023_009.sny_202310_backup_merge_receiptd_sy</v>
      </c>
      <c r="AS10" s="76" t="str">
        <f>"ALTER TABLE "&amp;エンティティ一覧!$O$2&amp;"."&amp;D$8&amp;" OWNER TO pgmisgrp1;"</f>
        <v>ALTER TABLE milscm_2023_009.sny_202310_backup_merge_receiptd_sy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milscm_2023_009.sny_202310_backup_merge_receiptd_sy</v>
      </c>
      <c r="O11" s="76"/>
      <c r="P11" s="76"/>
      <c r="Q11" s="76"/>
      <c r="R11" s="76"/>
      <c r="S11" s="76"/>
      <c r="T11" s="76"/>
      <c r="AJ11" s="76" t="str">
        <f>"ADD CONSTRAINT "&amp;D$8&amp;"_pkey PRIMARY KEY"</f>
        <v>ADD CONSTRAINT sny_202310_backup_merge_receiptd_sy_pkey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1200</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904</v>
      </c>
      <c r="D16" s="13" t="s">
        <v>905</v>
      </c>
      <c r="E16" s="7" t="s">
        <v>127</v>
      </c>
      <c r="F16" s="7" t="s">
        <v>865</v>
      </c>
      <c r="G16" s="7" t="str">
        <f t="shared" si="3"/>
        <v>text</v>
      </c>
      <c r="H16" s="58"/>
      <c r="I16" s="23" t="s">
        <v>127</v>
      </c>
      <c r="J16" s="24" t="s">
        <v>1055</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1114</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865</v>
      </c>
      <c r="G18" s="7" t="str">
        <f t="shared" si="3"/>
        <v>text</v>
      </c>
      <c r="H18" s="58" t="s">
        <v>932</v>
      </c>
      <c r="I18" s="23" t="s">
        <v>127</v>
      </c>
      <c r="J18" s="24" t="s">
        <v>933</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906</v>
      </c>
      <c r="D19" s="13" t="s">
        <v>907</v>
      </c>
      <c r="E19" s="7" t="s">
        <v>127</v>
      </c>
      <c r="F19" s="7" t="s">
        <v>865</v>
      </c>
      <c r="G19" s="7" t="str">
        <f t="shared" si="3"/>
        <v>text</v>
      </c>
      <c r="H19" s="58"/>
      <c r="I19" s="23" t="s">
        <v>127</v>
      </c>
      <c r="J19" s="24" t="s">
        <v>1057</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908</v>
      </c>
      <c r="D20" s="13" t="s">
        <v>909</v>
      </c>
      <c r="E20" s="7"/>
      <c r="F20" s="7" t="s">
        <v>865</v>
      </c>
      <c r="G20" s="7" t="str">
        <f t="shared" si="3"/>
        <v>text</v>
      </c>
      <c r="H20" s="58" t="s">
        <v>1115</v>
      </c>
      <c r="I20" s="23" t="s">
        <v>127</v>
      </c>
      <c r="J20" s="24" t="s">
        <v>1116</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910</v>
      </c>
      <c r="D21" s="13" t="s">
        <v>911</v>
      </c>
      <c r="E21" s="7" t="s">
        <v>127</v>
      </c>
      <c r="F21" s="7" t="s">
        <v>204</v>
      </c>
      <c r="G21" s="7" t="str">
        <f t="shared" si="3"/>
        <v>integer</v>
      </c>
      <c r="H21" s="58"/>
      <c r="I21" s="23" t="s">
        <v>127</v>
      </c>
      <c r="J21" s="24" t="s">
        <v>1060</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912</v>
      </c>
      <c r="D22" s="13" t="s">
        <v>913</v>
      </c>
      <c r="E22" s="7" t="s">
        <v>127</v>
      </c>
      <c r="F22" s="7" t="s">
        <v>204</v>
      </c>
      <c r="G22" s="7" t="str">
        <f t="shared" si="3"/>
        <v>integer</v>
      </c>
      <c r="H22" s="58"/>
      <c r="I22" s="23" t="s">
        <v>127</v>
      </c>
      <c r="J22" s="24" t="s">
        <v>1205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milscm_2023_009.sny_202310_backup_merge_receiptd_sy.gyo_no IS '行番号';</v>
      </c>
    </row>
    <row r="23" spans="1:45" s="25" customFormat="1">
      <c r="A23" s="4"/>
      <c r="B23" s="21">
        <f t="shared" si="2"/>
        <v>11</v>
      </c>
      <c r="C23" s="13" t="s">
        <v>914</v>
      </c>
      <c r="D23" s="13" t="s">
        <v>915</v>
      </c>
      <c r="E23" s="7"/>
      <c r="F23" s="7" t="s">
        <v>865</v>
      </c>
      <c r="G23" s="7" t="str">
        <f t="shared" si="3"/>
        <v>text</v>
      </c>
      <c r="H23" s="58"/>
      <c r="I23" s="23"/>
      <c r="J23" s="24" t="s">
        <v>1062</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milscm_2023_009.sny_202310_backup_merge_receiptd_sy.karute_no IS 'カルテ番号等';</v>
      </c>
    </row>
    <row r="24" spans="1:45" s="25" customFormat="1">
      <c r="A24" s="4"/>
      <c r="B24" s="21">
        <f t="shared" si="2"/>
        <v>12</v>
      </c>
      <c r="C24" s="13" t="s">
        <v>1198</v>
      </c>
      <c r="D24" s="13" t="s">
        <v>1199</v>
      </c>
      <c r="E24" s="7"/>
      <c r="F24" s="7" t="s">
        <v>865</v>
      </c>
      <c r="G24" s="7" t="str">
        <f t="shared" si="3"/>
        <v>text</v>
      </c>
      <c r="H24" s="58"/>
      <c r="I24" s="23"/>
      <c r="J24" s="24" t="s">
        <v>1220</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milscm_2023_009.sny_202310_backup_merge_receiptd_sy.shobyo_code IS '傷病名コード';</v>
      </c>
    </row>
    <row r="26" spans="1:45" s="25" customFormat="1" ht="75">
      <c r="A26" s="4"/>
      <c r="B26" s="21">
        <f t="shared" si="2"/>
        <v>14</v>
      </c>
      <c r="C26" s="13" t="s">
        <v>1072</v>
      </c>
      <c r="D26" s="13" t="s">
        <v>1073</v>
      </c>
      <c r="E26" s="7"/>
      <c r="F26" s="7" t="s">
        <v>865</v>
      </c>
      <c r="G26" s="7" t="str">
        <f t="shared" si="3"/>
        <v>text</v>
      </c>
      <c r="H26" s="58"/>
      <c r="I26" s="23"/>
      <c r="J26" s="24" t="s">
        <v>1066</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1074</v>
      </c>
      <c r="D27" s="13" t="s">
        <v>1075</v>
      </c>
      <c r="E27" s="7"/>
      <c r="F27" s="7" t="s">
        <v>865</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667</v>
      </c>
      <c r="D28" s="13" t="s">
        <v>873</v>
      </c>
      <c r="E28" s="7"/>
      <c r="F28" s="7" t="s">
        <v>865</v>
      </c>
      <c r="G28" s="7" t="str">
        <f t="shared" si="3"/>
        <v>text</v>
      </c>
      <c r="H28" s="58"/>
      <c r="I28" s="23"/>
      <c r="J28" s="24" t="s">
        <v>1118</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669</v>
      </c>
      <c r="D29" s="13" t="s">
        <v>874</v>
      </c>
      <c r="E29" s="7"/>
      <c r="F29" s="7" t="s">
        <v>865</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671</v>
      </c>
      <c r="D30" s="13" t="s">
        <v>875</v>
      </c>
      <c r="E30" s="7"/>
      <c r="F30" s="7" t="s">
        <v>865</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673</v>
      </c>
      <c r="D31" s="13" t="s">
        <v>876</v>
      </c>
      <c r="E31" s="7"/>
      <c r="F31" s="7" t="s">
        <v>865</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1076</v>
      </c>
      <c r="D32" s="13" t="s">
        <v>1077</v>
      </c>
      <c r="E32" s="7"/>
      <c r="F32" s="7" t="s">
        <v>865</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1078</v>
      </c>
      <c r="D33" s="13" t="s">
        <v>1079</v>
      </c>
      <c r="E33" s="7"/>
      <c r="F33" s="7" t="s">
        <v>865</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1080</v>
      </c>
      <c r="D34" s="13" t="s">
        <v>1081</v>
      </c>
      <c r="E34" s="7"/>
      <c r="F34" s="7" t="s">
        <v>865</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1082</v>
      </c>
      <c r="D35" s="13" t="s">
        <v>1083</v>
      </c>
      <c r="E35" s="7"/>
      <c r="F35" s="7" t="s">
        <v>865</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1084</v>
      </c>
      <c r="D36" s="13" t="s">
        <v>1085</v>
      </c>
      <c r="E36" s="7"/>
      <c r="F36" s="7" t="s">
        <v>865</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1086</v>
      </c>
      <c r="D37" s="13" t="s">
        <v>1087</v>
      </c>
      <c r="E37" s="7"/>
      <c r="F37" s="7" t="s">
        <v>865</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1088</v>
      </c>
      <c r="D38" s="13" t="s">
        <v>1089</v>
      </c>
      <c r="E38" s="7"/>
      <c r="F38" s="7" t="s">
        <v>865</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1090</v>
      </c>
      <c r="D39" s="13" t="s">
        <v>1091</v>
      </c>
      <c r="E39" s="7"/>
      <c r="F39" s="7" t="s">
        <v>865</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1092</v>
      </c>
      <c r="D40" s="13" t="s">
        <v>1093</v>
      </c>
      <c r="E40" s="7"/>
      <c r="F40" s="7" t="s">
        <v>865</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1094</v>
      </c>
      <c r="D41" s="13" t="s">
        <v>1095</v>
      </c>
      <c r="E41" s="7"/>
      <c r="F41" s="7" t="s">
        <v>865</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1096</v>
      </c>
      <c r="D42" s="13" t="s">
        <v>1097</v>
      </c>
      <c r="E42" s="7"/>
      <c r="F42" s="7" t="s">
        <v>865</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1098</v>
      </c>
      <c r="D43" s="13" t="s">
        <v>1099</v>
      </c>
      <c r="E43" s="7"/>
      <c r="F43" s="7" t="s">
        <v>865</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1100</v>
      </c>
      <c r="D44" s="13" t="s">
        <v>1101</v>
      </c>
      <c r="E44" s="7"/>
      <c r="F44" s="7" t="s">
        <v>865</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1102</v>
      </c>
      <c r="D45" s="13" t="s">
        <v>1103</v>
      </c>
      <c r="E45" s="7"/>
      <c r="F45" s="7" t="s">
        <v>865</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1104</v>
      </c>
      <c r="D46" s="13" t="s">
        <v>1105</v>
      </c>
      <c r="E46" s="7"/>
      <c r="F46" s="7" t="s">
        <v>865</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1106</v>
      </c>
      <c r="D47" s="13" t="s">
        <v>1107</v>
      </c>
      <c r="E47" s="7"/>
      <c r="F47" s="7" t="s">
        <v>865</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1108</v>
      </c>
      <c r="D48" s="13" t="s">
        <v>1109</v>
      </c>
      <c r="E48" s="7"/>
      <c r="F48" s="7" t="s">
        <v>865</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1110</v>
      </c>
      <c r="D49" s="13" t="s">
        <v>1111</v>
      </c>
      <c r="E49" s="7"/>
      <c r="F49" s="7" t="s">
        <v>865</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milscm_2023_009.sny_202310_backup_merge_receiptd_sy.main_shobyo_code IS '主傷病';</v>
      </c>
    </row>
    <row r="50" spans="1:52" s="25" customFormat="1" ht="19.5" thickBot="1">
      <c r="A50" s="4"/>
      <c r="B50" s="27">
        <f>ROW()-12</f>
        <v>38</v>
      </c>
      <c r="C50" s="57" t="s">
        <v>1112</v>
      </c>
      <c r="D50" s="57" t="s">
        <v>1113</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ENT_01_C3-16</v>
      </c>
      <c r="E6" s="273"/>
      <c r="F6" s="273"/>
      <c r="G6" s="273"/>
      <c r="H6" s="273"/>
      <c r="I6" s="273"/>
      <c r="J6" s="274"/>
    </row>
    <row r="7" spans="1:45">
      <c r="B7" s="262" t="s">
        <v>115</v>
      </c>
      <c r="C7" s="263"/>
      <c r="D7" s="264" t="s">
        <v>1230</v>
      </c>
      <c r="E7" s="265"/>
      <c r="F7" s="265"/>
      <c r="G7" s="265"/>
      <c r="H7" s="265"/>
      <c r="I7" s="265"/>
      <c r="J7" s="266"/>
    </row>
    <row r="8" spans="1:45">
      <c r="B8" s="262" t="s">
        <v>116</v>
      </c>
      <c r="C8" s="263"/>
      <c r="D8" s="264" t="str">
        <f>エンティティ一覧!AE2&amp;"_"&amp;D5&amp;"_merge_receiptd_si"</f>
        <v>sny_202310_backup_merge_receiptd_si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milscm_2023_009.sny_202310_backup_merge_receiptd_si;</v>
      </c>
      <c r="O10" s="76"/>
      <c r="P10" s="76"/>
      <c r="Q10" s="76"/>
      <c r="R10" s="76"/>
      <c r="S10" s="76"/>
      <c r="T10" s="76"/>
      <c r="AJ10" s="76" t="str">
        <f>"ALTER TABLE ONLY "&amp;エンティティ一覧!$O$2&amp;"."&amp;D$8</f>
        <v>ALTER TABLE ONLY milscm_2023_009.sny_202310_backup_merge_receiptd_si</v>
      </c>
      <c r="AS10" s="76" t="str">
        <f>"ALTER TABLE "&amp;エンティティ一覧!$O$2&amp;"."&amp;D$8&amp;" OWNER TO pgmisgrp1;"</f>
        <v>ALTER TABLE milscm_2023_009.sny_202310_backup_merge_receiptd_si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milscm_2023_009.sny_202310_backup_merge_receiptd_si</v>
      </c>
      <c r="O11" s="76"/>
      <c r="P11" s="76"/>
      <c r="Q11" s="76"/>
      <c r="R11" s="76"/>
      <c r="S11" s="76"/>
      <c r="T11" s="76"/>
      <c r="AJ11" s="76" t="str">
        <f>"ADD CONSTRAINT "&amp;D$8&amp;"_pkey PRIMARY KEY"</f>
        <v>ADD CONSTRAINT sny_202310_backup_merge_receiptd_si_pkey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1200</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904</v>
      </c>
      <c r="D16" s="13" t="s">
        <v>905</v>
      </c>
      <c r="E16" s="7" t="s">
        <v>127</v>
      </c>
      <c r="F16" s="7" t="s">
        <v>865</v>
      </c>
      <c r="G16" s="7" t="str">
        <f t="shared" si="3"/>
        <v>text</v>
      </c>
      <c r="H16" s="58"/>
      <c r="I16" s="23" t="s">
        <v>127</v>
      </c>
      <c r="J16" s="24" t="s">
        <v>1055</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1114</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865</v>
      </c>
      <c r="G18" s="7" t="str">
        <f t="shared" si="3"/>
        <v>text</v>
      </c>
      <c r="H18" s="58" t="s">
        <v>932</v>
      </c>
      <c r="I18" s="23" t="s">
        <v>127</v>
      </c>
      <c r="J18" s="24" t="s">
        <v>933</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906</v>
      </c>
      <c r="D19" s="13" t="s">
        <v>907</v>
      </c>
      <c r="E19" s="7" t="s">
        <v>127</v>
      </c>
      <c r="F19" s="7" t="s">
        <v>865</v>
      </c>
      <c r="G19" s="7" t="str">
        <f t="shared" si="3"/>
        <v>text</v>
      </c>
      <c r="H19" s="58"/>
      <c r="I19" s="23" t="s">
        <v>127</v>
      </c>
      <c r="J19" s="24" t="s">
        <v>1057</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908</v>
      </c>
      <c r="D20" s="13" t="s">
        <v>909</v>
      </c>
      <c r="E20" s="7"/>
      <c r="F20" s="7" t="s">
        <v>865</v>
      </c>
      <c r="G20" s="7" t="str">
        <f t="shared" si="3"/>
        <v>text</v>
      </c>
      <c r="H20" s="58" t="s">
        <v>1145</v>
      </c>
      <c r="I20" s="23" t="s">
        <v>127</v>
      </c>
      <c r="J20" s="24" t="s">
        <v>1146</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910</v>
      </c>
      <c r="D21" s="13" t="s">
        <v>911</v>
      </c>
      <c r="E21" s="7" t="s">
        <v>127</v>
      </c>
      <c r="F21" s="7" t="s">
        <v>204</v>
      </c>
      <c r="G21" s="7" t="str">
        <f t="shared" si="3"/>
        <v>integer</v>
      </c>
      <c r="H21" s="58"/>
      <c r="I21" s="23" t="s">
        <v>127</v>
      </c>
      <c r="J21" s="24" t="s">
        <v>1060</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912</v>
      </c>
      <c r="D22" s="13" t="s">
        <v>913</v>
      </c>
      <c r="E22" s="7" t="s">
        <v>127</v>
      </c>
      <c r="F22" s="7" t="s">
        <v>204</v>
      </c>
      <c r="G22" s="7" t="str">
        <f t="shared" si="3"/>
        <v>integer</v>
      </c>
      <c r="H22" s="58"/>
      <c r="I22" s="23" t="s">
        <v>127</v>
      </c>
      <c r="J22" s="24" t="s">
        <v>1205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milscm_2023_009.sny_202310_backup_merge_receiptd_si.gyo_no IS '行番号';</v>
      </c>
    </row>
    <row r="23" spans="1:45" s="25" customFormat="1">
      <c r="A23" s="4"/>
      <c r="B23" s="21">
        <f t="shared" si="2"/>
        <v>11</v>
      </c>
      <c r="C23" s="13" t="s">
        <v>914</v>
      </c>
      <c r="D23" s="13" t="s">
        <v>915</v>
      </c>
      <c r="E23" s="7"/>
      <c r="F23" s="7" t="s">
        <v>865</v>
      </c>
      <c r="G23" s="7" t="str">
        <f t="shared" si="3"/>
        <v>text</v>
      </c>
      <c r="H23" s="58"/>
      <c r="I23" s="23"/>
      <c r="J23" s="24" t="s">
        <v>1062</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milscm_2023_009.sny_202310_backup_merge_receiptd_si.karute_no IS 'カルテ番号等';</v>
      </c>
    </row>
    <row r="24" spans="1:45" s="25" customFormat="1">
      <c r="A24" s="4"/>
      <c r="B24" s="21">
        <f t="shared" si="2"/>
        <v>12</v>
      </c>
      <c r="C24" s="13" t="s">
        <v>1198</v>
      </c>
      <c r="D24" s="13" t="s">
        <v>1199</v>
      </c>
      <c r="E24" s="7"/>
      <c r="F24" s="7" t="s">
        <v>865</v>
      </c>
      <c r="G24" s="7" t="str">
        <f t="shared" si="3"/>
        <v>text</v>
      </c>
      <c r="H24" s="58"/>
      <c r="I24" s="23"/>
      <c r="J24" s="24" t="s">
        <v>1220</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1121</v>
      </c>
      <c r="D25" s="13" t="s">
        <v>1122</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1123</v>
      </c>
      <c r="D26" s="13" t="s">
        <v>1124</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1125</v>
      </c>
      <c r="D27" s="13" t="s">
        <v>1126</v>
      </c>
      <c r="E27" s="7"/>
      <c r="F27" s="7" t="s">
        <v>865</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1127</v>
      </c>
      <c r="D28" s="13" t="s">
        <v>1128</v>
      </c>
      <c r="E28" s="7"/>
      <c r="F28" s="7" t="s">
        <v>204</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1129</v>
      </c>
      <c r="D29" s="13" t="s">
        <v>1130</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milscm_2023_009.sny_202310_backup_merge_receiptd_si.tensu IS '点数';</v>
      </c>
    </row>
    <row r="30" spans="1:45" s="25" customFormat="1">
      <c r="A30" s="4"/>
      <c r="B30" s="21">
        <f t="shared" si="2"/>
        <v>18</v>
      </c>
      <c r="C30" s="13" t="s">
        <v>1131</v>
      </c>
      <c r="D30" s="13" t="s">
        <v>1132</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milscm_2023_009.sny_202310_backup_merge_receiptd_si.times IS '回数';</v>
      </c>
    </row>
    <row r="31" spans="1:45" s="25" customFormat="1">
      <c r="A31" s="4"/>
      <c r="B31" s="21">
        <f t="shared" si="2"/>
        <v>19</v>
      </c>
      <c r="C31" s="13" t="s">
        <v>1133</v>
      </c>
      <c r="D31" s="13" t="s">
        <v>1134</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1135</v>
      </c>
      <c r="D32" s="13" t="s">
        <v>1136</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1137</v>
      </c>
      <c r="D33" s="13" t="s">
        <v>1138</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1139</v>
      </c>
      <c r="D34" s="13" t="s">
        <v>1140</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1141</v>
      </c>
      <c r="D35" s="13" t="s">
        <v>1142</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milscm_2023_009.sny_202310_backup_merge_receiptd_si.comment_code3 IS 'コメントコード3';</v>
      </c>
    </row>
    <row r="36" spans="1:52" s="25" customFormat="1" ht="19.5" thickBot="1">
      <c r="A36" s="4"/>
      <c r="B36" s="27">
        <f>ROW()-12</f>
        <v>24</v>
      </c>
      <c r="C36" s="57" t="s">
        <v>1143</v>
      </c>
      <c r="D36" s="57" t="s">
        <v>1144</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ENT_01_C3-17</v>
      </c>
      <c r="E6" s="273"/>
      <c r="F6" s="273"/>
      <c r="G6" s="273"/>
      <c r="H6" s="273"/>
      <c r="I6" s="273"/>
      <c r="J6" s="274"/>
    </row>
    <row r="7" spans="1:45">
      <c r="B7" s="262" t="s">
        <v>115</v>
      </c>
      <c r="C7" s="263"/>
      <c r="D7" s="264" t="s">
        <v>1232</v>
      </c>
      <c r="E7" s="265"/>
      <c r="F7" s="265"/>
      <c r="G7" s="265"/>
      <c r="H7" s="265"/>
      <c r="I7" s="265"/>
      <c r="J7" s="266"/>
    </row>
    <row r="8" spans="1:45">
      <c r="B8" s="262" t="s">
        <v>116</v>
      </c>
      <c r="C8" s="263"/>
      <c r="D8" s="264" t="str">
        <f>エンティティ一覧!AE2&amp;"_"&amp;D5&amp;"_merge_receiptd_si_day"</f>
        <v>sny_202310_backup_merge_receiptd_si_day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milscm_2023_009.sny_202310_backup_merge_receiptd_si_day;</v>
      </c>
      <c r="O10" s="76"/>
      <c r="P10" s="76"/>
      <c r="Q10" s="76"/>
      <c r="R10" s="76"/>
      <c r="S10" s="76"/>
      <c r="T10" s="76"/>
      <c r="AJ10" s="76" t="str">
        <f>"ALTER TABLE ONLY "&amp;エンティティ一覧!$O$2&amp;"."&amp;D$8</f>
        <v>ALTER TABLE ONLY milscm_2023_009.sny_202310_backup_merge_receiptd_si_day</v>
      </c>
      <c r="AS10" s="76" t="str">
        <f>"ALTER TABLE "&amp;エンティティ一覧!$O$2&amp;"."&amp;D$8&amp;" OWNER TO pgmisgrp1;"</f>
        <v>ALTER TABLE milscm_2023_009.sny_202310_backup_merge_receiptd_si_day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milscm_2023_009.sny_202310_backup_merge_receiptd_si_day</v>
      </c>
      <c r="O11" s="76"/>
      <c r="P11" s="76"/>
      <c r="Q11" s="76"/>
      <c r="R11" s="76"/>
      <c r="S11" s="76"/>
      <c r="T11" s="76"/>
      <c r="AJ11" s="76" t="str">
        <f>"ADD CONSTRAINT "&amp;D$8&amp;"_pkey PRIMARY KEY"</f>
        <v>ADD CONSTRAINT sny_202310_backup_merge_receiptd_si_day_pkey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904</v>
      </c>
      <c r="D16" s="13" t="s">
        <v>905</v>
      </c>
      <c r="E16" s="7" t="s">
        <v>127</v>
      </c>
      <c r="F16" s="7" t="s">
        <v>865</v>
      </c>
      <c r="G16" s="7" t="str">
        <f t="shared" si="3"/>
        <v>text</v>
      </c>
      <c r="H16" s="58"/>
      <c r="I16" s="23" t="s">
        <v>127</v>
      </c>
      <c r="J16" s="24" t="s">
        <v>1055</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1114</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865</v>
      </c>
      <c r="G18" s="7" t="str">
        <f t="shared" si="3"/>
        <v>text</v>
      </c>
      <c r="H18" s="58" t="s">
        <v>932</v>
      </c>
      <c r="I18" s="23" t="s">
        <v>127</v>
      </c>
      <c r="J18" s="24" t="s">
        <v>933</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906</v>
      </c>
      <c r="D19" s="13" t="s">
        <v>907</v>
      </c>
      <c r="E19" s="7" t="s">
        <v>127</v>
      </c>
      <c r="F19" s="7" t="s">
        <v>865</v>
      </c>
      <c r="G19" s="7" t="str">
        <f t="shared" si="3"/>
        <v>text</v>
      </c>
      <c r="H19" s="58"/>
      <c r="I19" s="23" t="s">
        <v>127</v>
      </c>
      <c r="J19" s="24" t="s">
        <v>1057</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908</v>
      </c>
      <c r="D20" s="13" t="s">
        <v>909</v>
      </c>
      <c r="E20" s="7"/>
      <c r="F20" s="7" t="s">
        <v>865</v>
      </c>
      <c r="G20" s="7" t="str">
        <f t="shared" si="3"/>
        <v>text</v>
      </c>
      <c r="H20" s="58" t="s">
        <v>1145</v>
      </c>
      <c r="I20" s="23" t="s">
        <v>127</v>
      </c>
      <c r="J20" s="24" t="s">
        <v>1146</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910</v>
      </c>
      <c r="D21" s="13" t="s">
        <v>911</v>
      </c>
      <c r="E21" s="7" t="s">
        <v>127</v>
      </c>
      <c r="F21" s="7" t="s">
        <v>204</v>
      </c>
      <c r="G21" s="7" t="str">
        <f t="shared" si="3"/>
        <v>integer</v>
      </c>
      <c r="H21" s="58"/>
      <c r="I21" s="23" t="s">
        <v>127</v>
      </c>
      <c r="J21" s="24" t="s">
        <v>1060</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milscm_2023_009.sny_202310_backup_merge_receiptd_si_day.receipt_no IS 'レセプト番号';</v>
      </c>
    </row>
    <row r="22" spans="1:52" s="25" customFormat="1">
      <c r="A22" s="4"/>
      <c r="B22" s="21">
        <f t="shared" si="2"/>
        <v>10</v>
      </c>
      <c r="C22" s="13" t="s">
        <v>912</v>
      </c>
      <c r="D22" s="13" t="s">
        <v>913</v>
      </c>
      <c r="E22" s="7" t="s">
        <v>127</v>
      </c>
      <c r="F22" s="7" t="s">
        <v>204</v>
      </c>
      <c r="G22" s="7" t="str">
        <f t="shared" si="3"/>
        <v>integer</v>
      </c>
      <c r="H22" s="58"/>
      <c r="I22" s="23" t="s">
        <v>127</v>
      </c>
      <c r="J22" s="24" t="s">
        <v>1117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914</v>
      </c>
      <c r="D23" s="13" t="s">
        <v>915</v>
      </c>
      <c r="E23" s="7"/>
      <c r="F23" s="7" t="s">
        <v>865</v>
      </c>
      <c r="G23" s="7" t="str">
        <f t="shared" si="3"/>
        <v>text</v>
      </c>
      <c r="H23" s="58"/>
      <c r="I23" s="23"/>
      <c r="J23" s="24" t="s">
        <v>1062</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milscm_2023_009.sny_202310_backup_merge_receiptd_si_day.karute_no IS 'カルテ番号等';</v>
      </c>
    </row>
    <row r="24" spans="1:52" s="25" customFormat="1">
      <c r="A24" s="4"/>
      <c r="B24" s="21">
        <f t="shared" si="2"/>
        <v>12</v>
      </c>
      <c r="C24" s="13" t="s">
        <v>1198</v>
      </c>
      <c r="D24" s="13" t="s">
        <v>1199</v>
      </c>
      <c r="E24" s="7"/>
      <c r="F24" s="7" t="s">
        <v>865</v>
      </c>
      <c r="G24" s="7" t="str">
        <f t="shared" si="3"/>
        <v>text</v>
      </c>
      <c r="H24" s="58"/>
      <c r="I24" s="23"/>
      <c r="J24" s="24" t="s">
        <v>1233</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1149</v>
      </c>
      <c r="D25" s="13" t="s">
        <v>1150</v>
      </c>
      <c r="E25" s="7" t="s">
        <v>127</v>
      </c>
      <c r="F25" s="7" t="s">
        <v>865</v>
      </c>
      <c r="G25" s="7" t="str">
        <f t="shared" si="3"/>
        <v>text</v>
      </c>
      <c r="H25" s="58"/>
      <c r="I25" s="23" t="s">
        <v>127</v>
      </c>
      <c r="J25" s="24" t="s">
        <v>1152</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milscm_2023_009.sny_202310_backup_merge_receiptd_si_day.santei_ymd IS '算定日';</v>
      </c>
    </row>
    <row r="26" spans="1:52" s="25" customFormat="1" ht="19.5" thickBot="1">
      <c r="A26" s="4"/>
      <c r="B26" s="27">
        <f>ROW()-12</f>
        <v>14</v>
      </c>
      <c r="C26" s="57" t="s">
        <v>1151</v>
      </c>
      <c r="D26" s="57" t="s">
        <v>1132</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ENT_01_C3-18</v>
      </c>
      <c r="E6" s="273"/>
      <c r="F6" s="273"/>
      <c r="G6" s="273"/>
      <c r="H6" s="273"/>
      <c r="I6" s="273"/>
      <c r="J6" s="274"/>
    </row>
    <row r="7" spans="1:45">
      <c r="B7" s="262" t="s">
        <v>115</v>
      </c>
      <c r="C7" s="263"/>
      <c r="D7" s="264" t="s">
        <v>1235</v>
      </c>
      <c r="E7" s="265"/>
      <c r="F7" s="265"/>
      <c r="G7" s="265"/>
      <c r="H7" s="265"/>
      <c r="I7" s="265"/>
      <c r="J7" s="266"/>
    </row>
    <row r="8" spans="1:45">
      <c r="B8" s="262" t="s">
        <v>116</v>
      </c>
      <c r="C8" s="263"/>
      <c r="D8" s="264" t="str">
        <f>エンティティ一覧!AE2&amp;"_"&amp;D5&amp;"_merge_receiptd_iy"</f>
        <v>sny_202310_backup_merge_receiptd_iy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milscm_2023_009.sny_202310_backup_merge_receiptd_iy;</v>
      </c>
      <c r="O10" s="76"/>
      <c r="P10" s="76"/>
      <c r="Q10" s="76"/>
      <c r="R10" s="76"/>
      <c r="S10" s="76"/>
      <c r="T10" s="76"/>
      <c r="AJ10" s="76" t="str">
        <f>"ALTER TABLE ONLY "&amp;エンティティ一覧!$O$2&amp;"."&amp;D$8</f>
        <v>ALTER TABLE ONLY milscm_2023_009.sny_202310_backup_merge_receiptd_iy</v>
      </c>
      <c r="AS10" s="76" t="str">
        <f>"ALTER TABLE "&amp;エンティティ一覧!$O$2&amp;"."&amp;D$8&amp;" OWNER TO pgmisgrp1;"</f>
        <v>ALTER TABLE milscm_2023_009.sny_202310_backup_merge_receiptd_iy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milscm_2023_009.sny_202310_backup_merge_receiptd_iy</v>
      </c>
      <c r="O11" s="76"/>
      <c r="P11" s="76"/>
      <c r="Q11" s="76"/>
      <c r="R11" s="76"/>
      <c r="S11" s="76"/>
      <c r="T11" s="76"/>
      <c r="AJ11" s="76" t="str">
        <f>"ADD CONSTRAINT "&amp;D$8&amp;"_pkey PRIMARY KEY"</f>
        <v>ADD CONSTRAINT sny_202310_backup_merge_receiptd_iy_pkey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1200</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904</v>
      </c>
      <c r="D16" s="13" t="s">
        <v>905</v>
      </c>
      <c r="E16" s="7" t="s">
        <v>127</v>
      </c>
      <c r="F16" s="7" t="s">
        <v>865</v>
      </c>
      <c r="G16" s="7" t="str">
        <f t="shared" si="3"/>
        <v>text</v>
      </c>
      <c r="H16" s="58"/>
      <c r="I16" s="23" t="s">
        <v>127</v>
      </c>
      <c r="J16" s="24" t="s">
        <v>1055</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1114</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865</v>
      </c>
      <c r="G18" s="7" t="str">
        <f t="shared" si="3"/>
        <v>text</v>
      </c>
      <c r="H18" s="58" t="s">
        <v>932</v>
      </c>
      <c r="I18" s="23" t="s">
        <v>127</v>
      </c>
      <c r="J18" s="24" t="s">
        <v>933</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906</v>
      </c>
      <c r="D19" s="13" t="s">
        <v>907</v>
      </c>
      <c r="E19" s="7" t="s">
        <v>127</v>
      </c>
      <c r="F19" s="7" t="s">
        <v>865</v>
      </c>
      <c r="G19" s="7" t="str">
        <f t="shared" si="3"/>
        <v>text</v>
      </c>
      <c r="H19" s="58"/>
      <c r="I19" s="23" t="s">
        <v>127</v>
      </c>
      <c r="J19" s="24" t="s">
        <v>1057</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908</v>
      </c>
      <c r="D20" s="13" t="s">
        <v>909</v>
      </c>
      <c r="E20" s="7"/>
      <c r="F20" s="7" t="s">
        <v>865</v>
      </c>
      <c r="G20" s="7" t="str">
        <f t="shared" si="3"/>
        <v>text</v>
      </c>
      <c r="H20" s="58" t="s">
        <v>1161</v>
      </c>
      <c r="I20" s="23" t="s">
        <v>127</v>
      </c>
      <c r="J20" s="24" t="s">
        <v>1162</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910</v>
      </c>
      <c r="D21" s="13" t="s">
        <v>911</v>
      </c>
      <c r="E21" s="7" t="s">
        <v>127</v>
      </c>
      <c r="F21" s="7" t="s">
        <v>204</v>
      </c>
      <c r="G21" s="7" t="str">
        <f t="shared" si="3"/>
        <v>integer</v>
      </c>
      <c r="H21" s="58"/>
      <c r="I21" s="23" t="s">
        <v>127</v>
      </c>
      <c r="J21" s="24" t="s">
        <v>1060</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912</v>
      </c>
      <c r="D22" s="13" t="s">
        <v>913</v>
      </c>
      <c r="E22" s="7" t="s">
        <v>127</v>
      </c>
      <c r="F22" s="7" t="s">
        <v>204</v>
      </c>
      <c r="G22" s="7" t="str">
        <f t="shared" si="3"/>
        <v>integer</v>
      </c>
      <c r="H22" s="58"/>
      <c r="I22" s="23" t="s">
        <v>127</v>
      </c>
      <c r="J22" s="24" t="s">
        <v>1205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milscm_2023_009.sny_202310_backup_merge_receiptd_iy.gyo_no IS '行番号';</v>
      </c>
    </row>
    <row r="23" spans="1:45" s="25" customFormat="1">
      <c r="A23" s="4"/>
      <c r="B23" s="21">
        <f t="shared" si="2"/>
        <v>11</v>
      </c>
      <c r="C23" s="13" t="s">
        <v>914</v>
      </c>
      <c r="D23" s="13" t="s">
        <v>915</v>
      </c>
      <c r="E23" s="7"/>
      <c r="F23" s="7" t="s">
        <v>865</v>
      </c>
      <c r="G23" s="7" t="str">
        <f t="shared" si="3"/>
        <v>text</v>
      </c>
      <c r="H23" s="58"/>
      <c r="I23" s="23"/>
      <c r="J23" s="24" t="s">
        <v>1062</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milscm_2023_009.sny_202310_backup_merge_receiptd_iy.karute_no IS 'カルテ番号等';</v>
      </c>
    </row>
    <row r="24" spans="1:45" s="25" customFormat="1">
      <c r="A24" s="4"/>
      <c r="B24" s="21">
        <f t="shared" si="2"/>
        <v>12</v>
      </c>
      <c r="C24" s="13" t="s">
        <v>1198</v>
      </c>
      <c r="D24" s="13" t="s">
        <v>1199</v>
      </c>
      <c r="E24" s="7"/>
      <c r="F24" s="7" t="s">
        <v>865</v>
      </c>
      <c r="G24" s="7" t="str">
        <f t="shared" si="3"/>
        <v>text</v>
      </c>
      <c r="H24" s="58"/>
      <c r="I24" s="23"/>
      <c r="J24" s="24" t="s">
        <v>1220</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1121</v>
      </c>
      <c r="D25" s="13" t="s">
        <v>1122</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1123</v>
      </c>
      <c r="D26" s="13" t="s">
        <v>1124</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1157</v>
      </c>
      <c r="D27" s="13" t="s">
        <v>1158</v>
      </c>
      <c r="E27" s="7"/>
      <c r="F27" s="7" t="s">
        <v>865</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milscm_2023_009.sny_202310_backup_merge_receiptd_iy.iyakuhin_code IS '医薬品コード';</v>
      </c>
    </row>
    <row r="28" spans="1:45" s="25" customFormat="1" ht="37.5">
      <c r="A28" s="4"/>
      <c r="B28" s="21">
        <f t="shared" si="2"/>
        <v>16</v>
      </c>
      <c r="C28" s="13" t="s">
        <v>1159</v>
      </c>
      <c r="D28" s="13" t="s">
        <v>129</v>
      </c>
      <c r="E28" s="7"/>
      <c r="F28" s="7" t="s">
        <v>1160</v>
      </c>
      <c r="G28" s="7" t="str">
        <f t="shared" si="3"/>
        <v>numeric</v>
      </c>
      <c r="H28" s="58"/>
      <c r="I28" s="23"/>
      <c r="J28" s="24" t="s">
        <v>1163</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1129</v>
      </c>
      <c r="D29" s="13" t="s">
        <v>1130</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milscm_2023_009.sny_202310_backup_merge_receiptd_iy.tensu IS '点数';</v>
      </c>
    </row>
    <row r="30" spans="1:45" s="25" customFormat="1">
      <c r="A30" s="4"/>
      <c r="B30" s="21">
        <f t="shared" si="2"/>
        <v>18</v>
      </c>
      <c r="C30" s="13" t="s">
        <v>1131</v>
      </c>
      <c r="D30" s="13" t="s">
        <v>1132</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milscm_2023_009.sny_202310_backup_merge_receiptd_iy.times IS '回数';</v>
      </c>
    </row>
    <row r="31" spans="1:45" s="25" customFormat="1">
      <c r="A31" s="4"/>
      <c r="B31" s="21">
        <f t="shared" si="2"/>
        <v>19</v>
      </c>
      <c r="C31" s="13" t="s">
        <v>1133</v>
      </c>
      <c r="D31" s="13" t="s">
        <v>1134</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1135</v>
      </c>
      <c r="D32" s="13" t="s">
        <v>1136</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1137</v>
      </c>
      <c r="D33" s="13" t="s">
        <v>1138</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1139</v>
      </c>
      <c r="D34" s="13" t="s">
        <v>1140</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1141</v>
      </c>
      <c r="D35" s="13" t="s">
        <v>1142</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milscm_2023_009.sny_202310_backup_merge_receiptd_iy.comment_code3 IS 'コメントコード3';</v>
      </c>
    </row>
    <row r="36" spans="1:52" s="25" customFormat="1" ht="19.5" thickBot="1">
      <c r="A36" s="4"/>
      <c r="B36" s="27">
        <f>ROW()-12</f>
        <v>24</v>
      </c>
      <c r="C36" s="57" t="s">
        <v>1143</v>
      </c>
      <c r="D36" s="57" t="s">
        <v>1144</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ENT_01_C3-19</v>
      </c>
      <c r="E6" s="273"/>
      <c r="F6" s="273"/>
      <c r="G6" s="273"/>
      <c r="H6" s="273"/>
      <c r="I6" s="273"/>
      <c r="J6" s="274"/>
    </row>
    <row r="7" spans="1:45">
      <c r="B7" s="262" t="s">
        <v>115</v>
      </c>
      <c r="C7" s="263"/>
      <c r="D7" s="264" t="s">
        <v>1237</v>
      </c>
      <c r="E7" s="265"/>
      <c r="F7" s="265"/>
      <c r="G7" s="265"/>
      <c r="H7" s="265"/>
      <c r="I7" s="265"/>
      <c r="J7" s="266"/>
    </row>
    <row r="8" spans="1:45">
      <c r="B8" s="262" t="s">
        <v>116</v>
      </c>
      <c r="C8" s="263"/>
      <c r="D8" s="264" t="str">
        <f>エンティティ一覧!AE2&amp;"_"&amp;D5&amp;"_merge_receiptd_iy_day"</f>
        <v>sny_202310_backup_merge_receiptd_iy_day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milscm_2023_009.sny_202310_backup_merge_receiptd_iy_day;</v>
      </c>
      <c r="O10" s="76"/>
      <c r="P10" s="76"/>
      <c r="Q10" s="76"/>
      <c r="R10" s="76"/>
      <c r="S10" s="76"/>
      <c r="T10" s="76"/>
      <c r="AJ10" s="76" t="str">
        <f>"ALTER TABLE ONLY "&amp;エンティティ一覧!$O$2&amp;"."&amp;D$8</f>
        <v>ALTER TABLE ONLY milscm_2023_009.sny_202310_backup_merge_receiptd_iy_day</v>
      </c>
      <c r="AS10" s="76" t="str">
        <f>"ALTER TABLE "&amp;エンティティ一覧!$O$2&amp;"."&amp;D$8&amp;" OWNER TO pgmisgrp1;"</f>
        <v>ALTER TABLE milscm_2023_009.sny_202310_backup_merge_receiptd_iy_day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milscm_2023_009.sny_202310_backup_merge_receiptd_iy_day</v>
      </c>
      <c r="O11" s="76"/>
      <c r="P11" s="76"/>
      <c r="Q11" s="76"/>
      <c r="R11" s="76"/>
      <c r="S11" s="76"/>
      <c r="T11" s="76"/>
      <c r="AJ11" s="76" t="str">
        <f>"ADD CONSTRAINT "&amp;D$8&amp;"_pkey PRIMARY KEY"</f>
        <v>ADD CONSTRAINT sny_202310_backup_merge_receiptd_iy_day_pkey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930</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904</v>
      </c>
      <c r="D16" s="13" t="s">
        <v>905</v>
      </c>
      <c r="E16" s="7" t="s">
        <v>127</v>
      </c>
      <c r="F16" s="7" t="s">
        <v>865</v>
      </c>
      <c r="G16" s="7" t="str">
        <f t="shared" si="3"/>
        <v>text</v>
      </c>
      <c r="H16" s="58"/>
      <c r="I16" s="23" t="s">
        <v>127</v>
      </c>
      <c r="J16" s="24" t="s">
        <v>1055</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1114</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865</v>
      </c>
      <c r="G18" s="7" t="str">
        <f t="shared" si="3"/>
        <v>text</v>
      </c>
      <c r="H18" s="58" t="s">
        <v>932</v>
      </c>
      <c r="I18" s="23" t="s">
        <v>127</v>
      </c>
      <c r="J18" s="24" t="s">
        <v>933</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906</v>
      </c>
      <c r="D19" s="13" t="s">
        <v>907</v>
      </c>
      <c r="E19" s="7" t="s">
        <v>127</v>
      </c>
      <c r="F19" s="7" t="s">
        <v>865</v>
      </c>
      <c r="G19" s="7" t="str">
        <f t="shared" si="3"/>
        <v>text</v>
      </c>
      <c r="H19" s="58"/>
      <c r="I19" s="23" t="s">
        <v>127</v>
      </c>
      <c r="J19" s="24" t="s">
        <v>1057</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908</v>
      </c>
      <c r="D20" s="13" t="s">
        <v>909</v>
      </c>
      <c r="E20" s="7"/>
      <c r="F20" s="7" t="s">
        <v>865</v>
      </c>
      <c r="G20" s="7" t="str">
        <f t="shared" si="3"/>
        <v>text</v>
      </c>
      <c r="H20" s="58" t="s">
        <v>1161</v>
      </c>
      <c r="I20" s="23" t="s">
        <v>127</v>
      </c>
      <c r="J20" s="24" t="s">
        <v>1162</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910</v>
      </c>
      <c r="D21" s="13" t="s">
        <v>911</v>
      </c>
      <c r="E21" s="7" t="s">
        <v>127</v>
      </c>
      <c r="F21" s="7" t="s">
        <v>204</v>
      </c>
      <c r="G21" s="7" t="str">
        <f t="shared" si="3"/>
        <v>integer</v>
      </c>
      <c r="H21" s="58"/>
      <c r="I21" s="23" t="s">
        <v>127</v>
      </c>
      <c r="J21" s="24" t="s">
        <v>1060</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milscm_2023_009.sny_202310_backup_merge_receiptd_iy_day.receipt_no IS 'レセプト番号';</v>
      </c>
    </row>
    <row r="22" spans="1:52" s="25" customFormat="1">
      <c r="A22" s="4"/>
      <c r="B22" s="21">
        <f t="shared" si="2"/>
        <v>10</v>
      </c>
      <c r="C22" s="13" t="s">
        <v>912</v>
      </c>
      <c r="D22" s="13" t="s">
        <v>913</v>
      </c>
      <c r="E22" s="7" t="s">
        <v>127</v>
      </c>
      <c r="F22" s="7" t="s">
        <v>204</v>
      </c>
      <c r="G22" s="7" t="str">
        <f t="shared" si="3"/>
        <v>integer</v>
      </c>
      <c r="H22" s="58"/>
      <c r="I22" s="23" t="s">
        <v>127</v>
      </c>
      <c r="J22" s="24" t="s">
        <v>1117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914</v>
      </c>
      <c r="D23" s="13" t="s">
        <v>915</v>
      </c>
      <c r="E23" s="7"/>
      <c r="F23" s="7" t="s">
        <v>865</v>
      </c>
      <c r="G23" s="7" t="str">
        <f t="shared" si="3"/>
        <v>text</v>
      </c>
      <c r="H23" s="58"/>
      <c r="I23" s="23"/>
      <c r="J23" s="24" t="s">
        <v>1062</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milscm_2023_009.sny_202310_backup_merge_receiptd_iy_day.karute_no IS 'カルテ番号等';</v>
      </c>
    </row>
    <row r="24" spans="1:52" s="25" customFormat="1">
      <c r="A24" s="4"/>
      <c r="B24" s="21">
        <f t="shared" si="2"/>
        <v>12</v>
      </c>
      <c r="C24" s="13" t="s">
        <v>1198</v>
      </c>
      <c r="D24" s="13" t="s">
        <v>1199</v>
      </c>
      <c r="E24" s="7"/>
      <c r="F24" s="7" t="s">
        <v>865</v>
      </c>
      <c r="G24" s="7" t="str">
        <f t="shared" si="3"/>
        <v>text</v>
      </c>
      <c r="H24" s="58"/>
      <c r="I24" s="23"/>
      <c r="J24" s="24" t="s">
        <v>1233</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1149</v>
      </c>
      <c r="D25" s="13" t="s">
        <v>1150</v>
      </c>
      <c r="E25" s="7" t="s">
        <v>127</v>
      </c>
      <c r="F25" s="7" t="s">
        <v>865</v>
      </c>
      <c r="G25" s="7" t="str">
        <f t="shared" si="3"/>
        <v>text</v>
      </c>
      <c r="H25" s="58"/>
      <c r="I25" s="23" t="s">
        <v>127</v>
      </c>
      <c r="J25" s="24" t="s">
        <v>1152</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milscm_2023_009.sny_202310_backup_merge_receiptd_iy_day.santei_ymd IS '算定日';</v>
      </c>
    </row>
    <row r="26" spans="1:52" s="25" customFormat="1" ht="19.5" thickBot="1">
      <c r="A26" s="4"/>
      <c r="B26" s="27">
        <f>ROW()-12</f>
        <v>14</v>
      </c>
      <c r="C26" s="57" t="s">
        <v>1151</v>
      </c>
      <c r="D26" s="57" t="s">
        <v>1132</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ENT_01_C3-24</v>
      </c>
      <c r="E6" s="273"/>
      <c r="F6" s="273"/>
      <c r="G6" s="273"/>
      <c r="H6" s="273"/>
      <c r="I6" s="273"/>
      <c r="J6" s="274"/>
    </row>
    <row r="7" spans="1:45">
      <c r="B7" s="262" t="s">
        <v>115</v>
      </c>
      <c r="C7" s="263"/>
      <c r="D7" s="264" t="s">
        <v>1239</v>
      </c>
      <c r="E7" s="265"/>
      <c r="F7" s="265"/>
      <c r="G7" s="265"/>
      <c r="H7" s="265"/>
      <c r="I7" s="265"/>
      <c r="J7" s="266"/>
    </row>
    <row r="8" spans="1:45">
      <c r="B8" s="262" t="s">
        <v>116</v>
      </c>
      <c r="C8" s="263"/>
      <c r="D8" s="264" t="str">
        <f>エンティティ一覧!AE2&amp;"_"&amp;D5&amp;"_merge_receiptd_tr"</f>
        <v>sny_202310_backup_merge_receiptd_tr</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milscm_2023_009.sny_202310_backup_merge_receiptd_tr;</v>
      </c>
      <c r="O10" s="76"/>
      <c r="P10" s="76"/>
      <c r="Q10" s="76"/>
      <c r="R10" s="76"/>
      <c r="S10" s="76"/>
      <c r="T10" s="76"/>
      <c r="AJ10" s="76" t="str">
        <f>"ALTER TABLE ONLY "&amp;エンティティ一覧!$O$2&amp;"."&amp;D$8</f>
        <v>ALTER TABLE ONLY milscm_2023_009.sny_202310_backup_merge_receiptd_tr</v>
      </c>
      <c r="AS10" s="76" t="str">
        <f>"ALTER TABLE "&amp;エンティティ一覧!$O$2&amp;"."&amp;D$8&amp;" OWNER TO pgmisgrp1;"</f>
        <v>ALTER TABLE milscm_2023_009.sny_202310_backup_merge_receiptd_tr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milscm_2023_009.sny_202310_backup_merge_receiptd_tr</v>
      </c>
      <c r="O11" s="76"/>
      <c r="P11" s="76"/>
      <c r="Q11" s="76"/>
      <c r="R11" s="76"/>
      <c r="S11" s="76"/>
      <c r="T11" s="76"/>
      <c r="AJ11" s="76" t="str">
        <f>"ADD CONSTRAINT "&amp;D$8&amp;"_pkey PRIMARY KEY"</f>
        <v>ADD CONSTRAINT sny_202310_backup_merge_receiptd_tr_pkey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milscm_2023_009.sny_202310_backup_merge_receiptd_tr.mil_karute_id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1200</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904</v>
      </c>
      <c r="D16" s="13" t="s">
        <v>905</v>
      </c>
      <c r="E16" s="7" t="s">
        <v>127</v>
      </c>
      <c r="F16" s="7" t="s">
        <v>865</v>
      </c>
      <c r="G16" s="7" t="str">
        <f t="shared" si="3"/>
        <v>text</v>
      </c>
      <c r="H16" s="58"/>
      <c r="I16" s="23" t="s">
        <v>127</v>
      </c>
      <c r="J16" s="24" t="s">
        <v>1055</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1114</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865</v>
      </c>
      <c r="G18" s="7" t="str">
        <f t="shared" si="3"/>
        <v>text</v>
      </c>
      <c r="H18" s="58" t="s">
        <v>932</v>
      </c>
      <c r="I18" s="23" t="s">
        <v>127</v>
      </c>
      <c r="J18" s="24" t="s">
        <v>933</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906</v>
      </c>
      <c r="D19" s="13" t="s">
        <v>907</v>
      </c>
      <c r="E19" s="7" t="s">
        <v>127</v>
      </c>
      <c r="F19" s="7" t="s">
        <v>865</v>
      </c>
      <c r="G19" s="7" t="str">
        <f t="shared" si="3"/>
        <v>text</v>
      </c>
      <c r="H19" s="58"/>
      <c r="I19" s="23" t="s">
        <v>127</v>
      </c>
      <c r="J19" s="24" t="s">
        <v>1057</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908</v>
      </c>
      <c r="D20" s="13" t="s">
        <v>909</v>
      </c>
      <c r="E20" s="7"/>
      <c r="F20" s="7" t="s">
        <v>865</v>
      </c>
      <c r="G20" s="7" t="str">
        <f t="shared" si="3"/>
        <v>text</v>
      </c>
      <c r="H20" s="58" t="s">
        <v>1193</v>
      </c>
      <c r="I20" s="23" t="s">
        <v>127</v>
      </c>
      <c r="J20" s="24" t="s">
        <v>1194</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910</v>
      </c>
      <c r="D21" s="13" t="s">
        <v>911</v>
      </c>
      <c r="E21" s="7" t="s">
        <v>127</v>
      </c>
      <c r="F21" s="7" t="s">
        <v>204</v>
      </c>
      <c r="G21" s="7" t="str">
        <f t="shared" si="3"/>
        <v>integer</v>
      </c>
      <c r="H21" s="58"/>
      <c r="I21" s="23" t="s">
        <v>127</v>
      </c>
      <c r="J21" s="24" t="s">
        <v>1060</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912</v>
      </c>
      <c r="D22" s="13" t="s">
        <v>913</v>
      </c>
      <c r="E22" s="7" t="s">
        <v>127</v>
      </c>
      <c r="F22" s="7" t="s">
        <v>204</v>
      </c>
      <c r="G22" s="7" t="str">
        <f t="shared" si="3"/>
        <v>integer</v>
      </c>
      <c r="H22" s="58"/>
      <c r="I22" s="23" t="s">
        <v>127</v>
      </c>
      <c r="J22" s="24" t="s">
        <v>1205</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milscm_2023_009.sny_202310_backup_merge_receiptd_tr.gyo_no IS '行番号';</v>
      </c>
    </row>
    <row r="23" spans="1:45" s="25" customFormat="1">
      <c r="A23" s="4"/>
      <c r="B23" s="21">
        <f t="shared" si="2"/>
        <v>11</v>
      </c>
      <c r="C23" s="13" t="s">
        <v>914</v>
      </c>
      <c r="D23" s="13" t="s">
        <v>915</v>
      </c>
      <c r="E23" s="7"/>
      <c r="F23" s="7" t="s">
        <v>865</v>
      </c>
      <c r="G23" s="7" t="str">
        <f t="shared" si="3"/>
        <v>text</v>
      </c>
      <c r="H23" s="58"/>
      <c r="I23" s="23"/>
      <c r="J23" s="24" t="s">
        <v>1062</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milscm_2023_009.sny_202310_backup_merge_receiptd_tr.karute_no IS 'カルテ番号等';</v>
      </c>
    </row>
    <row r="24" spans="1:45" s="25" customFormat="1">
      <c r="A24" s="4"/>
      <c r="B24" s="21">
        <f t="shared" si="2"/>
        <v>12</v>
      </c>
      <c r="C24" s="13" t="s">
        <v>1198</v>
      </c>
      <c r="D24" s="13" t="s">
        <v>1199</v>
      </c>
      <c r="E24" s="7"/>
      <c r="F24" s="7" t="s">
        <v>865</v>
      </c>
      <c r="G24" s="7" t="str">
        <f t="shared" si="3"/>
        <v>text</v>
      </c>
      <c r="H24" s="58"/>
      <c r="I24" s="23"/>
      <c r="J24" s="24" t="s">
        <v>1220</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milscm_2023_009.sny_202310_backup_merge_receiptd_tr.receipt_sokatsu_kubun IS 'レセプト総括区分';</v>
      </c>
    </row>
    <row r="25" spans="1:45" s="25" customFormat="1" ht="31.5">
      <c r="A25" s="4"/>
      <c r="B25" s="21">
        <f t="shared" si="2"/>
        <v>13</v>
      </c>
      <c r="C25" s="13" t="s">
        <v>1166</v>
      </c>
      <c r="D25" s="13" t="s">
        <v>1167</v>
      </c>
      <c r="E25" s="7"/>
      <c r="F25" s="7" t="s">
        <v>204</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1168</v>
      </c>
      <c r="D26" s="13" t="s">
        <v>1169</v>
      </c>
      <c r="E26" s="7"/>
      <c r="F26" s="7" t="s">
        <v>865</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milscm_2023_009.sny_202310_backup_merge_receiptd_tr.zoki_receipt_type IS '臓器提供者レセプト種別';</v>
      </c>
    </row>
    <row r="27" spans="1:45" s="25" customFormat="1" ht="56.25">
      <c r="A27" s="4"/>
      <c r="B27" s="21">
        <f t="shared" si="2"/>
        <v>15</v>
      </c>
      <c r="C27" s="13" t="s">
        <v>1170</v>
      </c>
      <c r="D27" s="13" t="s">
        <v>1171</v>
      </c>
      <c r="E27" s="7"/>
      <c r="F27" s="7" t="s">
        <v>865</v>
      </c>
      <c r="G27" s="7" t="str">
        <f t="shared" si="3"/>
        <v>text</v>
      </c>
      <c r="H27" s="58"/>
      <c r="I27" s="23"/>
      <c r="J27" s="24" t="s">
        <v>931</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922</v>
      </c>
      <c r="D28" s="13" t="s">
        <v>923</v>
      </c>
      <c r="E28" s="7"/>
      <c r="F28" s="7" t="s">
        <v>865</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milscm_2023_009.sny_202310_backup_merge_receiptd_tr.reserve1 IS '予備1';</v>
      </c>
    </row>
    <row r="29" spans="1:45" s="25" customFormat="1">
      <c r="A29" s="4"/>
      <c r="B29" s="21">
        <f t="shared" si="2"/>
        <v>17</v>
      </c>
      <c r="C29" s="13" t="s">
        <v>1172</v>
      </c>
      <c r="D29" s="13" t="s">
        <v>945</v>
      </c>
      <c r="E29" s="7"/>
      <c r="F29" s="7" t="s">
        <v>865</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milscm_2023_009.sny_202310_backup_merge_receiptd_tr.sex_kubun IS '男女区分';</v>
      </c>
    </row>
    <row r="30" spans="1:45" s="25" customFormat="1" ht="93.75">
      <c r="A30" s="4"/>
      <c r="B30" s="21">
        <f t="shared" si="2"/>
        <v>18</v>
      </c>
      <c r="C30" s="13" t="s">
        <v>567</v>
      </c>
      <c r="D30" s="13" t="s">
        <v>322</v>
      </c>
      <c r="E30" s="7"/>
      <c r="F30" s="7" t="s">
        <v>865</v>
      </c>
      <c r="G30" s="7" t="str">
        <f t="shared" si="3"/>
        <v>text</v>
      </c>
      <c r="H30" s="58"/>
      <c r="I30" s="23"/>
      <c r="J30" s="24" t="s">
        <v>1195</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973</v>
      </c>
      <c r="D31" s="13" t="s">
        <v>974</v>
      </c>
      <c r="E31" s="7"/>
      <c r="F31" s="7" t="s">
        <v>865</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milscm_2023_009.sny_202310_backup_merge_receiptd_tr.reserve2 IS '予備2';</v>
      </c>
    </row>
    <row r="32" spans="1:45" s="25" customFormat="1" ht="75">
      <c r="A32" s="4"/>
      <c r="B32" s="21">
        <f t="shared" si="2"/>
        <v>20</v>
      </c>
      <c r="C32" s="13" t="s">
        <v>143</v>
      </c>
      <c r="D32" s="13" t="s">
        <v>156</v>
      </c>
      <c r="E32" s="7"/>
      <c r="F32" s="7" t="s">
        <v>865</v>
      </c>
      <c r="G32" s="7" t="str">
        <f t="shared" si="3"/>
        <v>text</v>
      </c>
      <c r="H32" s="58"/>
      <c r="I32" s="23"/>
      <c r="J32" s="24" t="s">
        <v>1066</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1173</v>
      </c>
      <c r="D33" s="13" t="s">
        <v>950</v>
      </c>
      <c r="E33" s="7"/>
      <c r="F33" s="7" t="s">
        <v>865</v>
      </c>
      <c r="G33" s="7" t="str">
        <f t="shared" si="3"/>
        <v>text</v>
      </c>
      <c r="H33" s="58"/>
      <c r="I33" s="23"/>
      <c r="J33" s="24" t="s">
        <v>1067</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1174</v>
      </c>
      <c r="D34" s="13" t="s">
        <v>952</v>
      </c>
      <c r="E34" s="7"/>
      <c r="F34" s="7" t="s">
        <v>865</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1175</v>
      </c>
      <c r="D35" s="13" t="s">
        <v>954</v>
      </c>
      <c r="E35" s="7"/>
      <c r="F35" s="7" t="s">
        <v>865</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1176</v>
      </c>
      <c r="D36" s="13" t="s">
        <v>956</v>
      </c>
      <c r="E36" s="7"/>
      <c r="F36" s="7" t="s">
        <v>865</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975</v>
      </c>
      <c r="D37" s="13" t="s">
        <v>976</v>
      </c>
      <c r="E37" s="7"/>
      <c r="F37" s="7" t="s">
        <v>865</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milscm_2023_009.sny_202310_backup_merge_receiptd_tr.reserve3 IS '予備3';</v>
      </c>
    </row>
    <row r="38" spans="1:45" s="25" customFormat="1">
      <c r="A38" s="4"/>
      <c r="B38" s="21">
        <f t="shared" si="2"/>
        <v>26</v>
      </c>
      <c r="C38" s="13" t="s">
        <v>1177</v>
      </c>
      <c r="D38" s="13" t="s">
        <v>960</v>
      </c>
      <c r="E38" s="7"/>
      <c r="F38" s="7" t="s">
        <v>865</v>
      </c>
      <c r="G38" s="7" t="str">
        <f t="shared" si="3"/>
        <v>text</v>
      </c>
      <c r="H38" s="58"/>
      <c r="I38" s="23"/>
      <c r="J38" s="24" t="s">
        <v>1068</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1178</v>
      </c>
      <c r="D39" s="13" t="s">
        <v>962</v>
      </c>
      <c r="E39" s="7"/>
      <c r="F39" s="7" t="s">
        <v>865</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1179</v>
      </c>
      <c r="D40" s="13" t="s">
        <v>964</v>
      </c>
      <c r="E40" s="7"/>
      <c r="F40" s="7" t="s">
        <v>865</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1180</v>
      </c>
      <c r="D41" s="13" t="s">
        <v>966</v>
      </c>
      <c r="E41" s="7"/>
      <c r="F41" s="7" t="s">
        <v>865</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1181</v>
      </c>
      <c r="D42" s="13" t="s">
        <v>968</v>
      </c>
      <c r="E42" s="7"/>
      <c r="F42" s="7" t="s">
        <v>865</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1182</v>
      </c>
      <c r="D43" s="13" t="s">
        <v>1183</v>
      </c>
      <c r="E43" s="7"/>
      <c r="F43" s="7" t="s">
        <v>865</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milscm_2023_009.sny_202310_backup_merge_receiptd_tr.reserve4 IS '予備4';</v>
      </c>
    </row>
    <row r="44" spans="1:45" s="25" customFormat="1" ht="31.5">
      <c r="A44" s="4"/>
      <c r="B44" s="21">
        <f t="shared" si="2"/>
        <v>32</v>
      </c>
      <c r="C44" s="13" t="s">
        <v>1184</v>
      </c>
      <c r="D44" s="13" t="s">
        <v>1185</v>
      </c>
      <c r="E44" s="7"/>
      <c r="F44" s="7" t="s">
        <v>865</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1186</v>
      </c>
      <c r="D45" s="13" t="s">
        <v>972</v>
      </c>
      <c r="E45" s="7"/>
      <c r="F45" s="7" t="s">
        <v>204</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1187</v>
      </c>
      <c r="D46" s="13" t="s">
        <v>1188</v>
      </c>
      <c r="E46" s="7"/>
      <c r="F46" s="7" t="s">
        <v>865</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milscm_2023_009.sny_202310_backup_merge_receiptd_tr.reserve5 IS '予備5';</v>
      </c>
    </row>
    <row r="47" spans="1:45" s="25" customFormat="1">
      <c r="A47" s="4"/>
      <c r="B47" s="21">
        <f t="shared" si="2"/>
        <v>35</v>
      </c>
      <c r="C47" s="13" t="s">
        <v>1189</v>
      </c>
      <c r="D47" s="13" t="s">
        <v>1190</v>
      </c>
      <c r="E47" s="7"/>
      <c r="F47" s="7" t="s">
        <v>865</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milscm_2023_009.sny_202310_backup_merge_receiptd_tr.reserve6 IS '予備6';</v>
      </c>
    </row>
    <row r="48" spans="1:45" s="25" customFormat="1" ht="19.5" thickBot="1">
      <c r="A48" s="4"/>
      <c r="B48" s="27">
        <f>ROW()-12</f>
        <v>36</v>
      </c>
      <c r="C48" s="57" t="s">
        <v>1191</v>
      </c>
      <c r="D48" s="57" t="s">
        <v>1192</v>
      </c>
      <c r="E48" s="56"/>
      <c r="F48" s="56" t="s">
        <v>865</v>
      </c>
      <c r="G48" s="56" t="str">
        <f t="shared" si="3"/>
        <v>text</v>
      </c>
      <c r="H48" s="59"/>
      <c r="I48" s="60"/>
      <c r="J48" s="64"/>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ENT_01_C4-01</v>
      </c>
      <c r="E6" s="273"/>
      <c r="F6" s="273"/>
      <c r="G6" s="273"/>
      <c r="H6" s="273"/>
      <c r="I6" s="273"/>
      <c r="J6" s="274"/>
    </row>
    <row r="7" spans="1:45">
      <c r="B7" s="262" t="s">
        <v>115</v>
      </c>
      <c r="C7" s="263"/>
      <c r="D7" s="264" t="s">
        <v>1241</v>
      </c>
      <c r="E7" s="265"/>
      <c r="F7" s="265"/>
      <c r="G7" s="265"/>
      <c r="H7" s="265"/>
      <c r="I7" s="265"/>
      <c r="J7" s="266"/>
    </row>
    <row r="8" spans="1:45">
      <c r="B8" s="262" t="s">
        <v>116</v>
      </c>
      <c r="C8" s="263"/>
      <c r="D8" s="264" t="str">
        <f>エンティティ一覧!AE2&amp;"_"&amp;D5&amp;"_merge_mml_pi_master"</f>
        <v>sny_202310_backup_merge_mml_pi_master</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milscm_2023_009.sny_202310_backup_merge_mml_pi_master;</v>
      </c>
      <c r="O10" s="76"/>
      <c r="P10" s="76"/>
      <c r="Q10" s="76"/>
      <c r="R10" s="76"/>
      <c r="S10" s="76"/>
      <c r="T10" s="76"/>
      <c r="AJ10" s="76" t="str">
        <f>"ALTER TABLE ONLY "&amp;エンティティ一覧!$O$2&amp;"."&amp;D$8</f>
        <v>ALTER TABLE ONLY milscm_2023_009.sny_202310_backup_merge_mml_pi_master</v>
      </c>
      <c r="AS10" s="76" t="str">
        <f>"ALTER TABLE "&amp;エンティティ一覧!$O$2&amp;"."&amp;D$8&amp;" OWNER TO pgmisgrp1;"</f>
        <v>ALTER TABLE milscm_2023_009.sny_202310_backup_merge_mml_pi_master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milscm_2023_009.sny_202310_backup_merge_mml_pi_master</v>
      </c>
      <c r="O11" s="76"/>
      <c r="P11" s="76"/>
      <c r="Q11" s="76"/>
      <c r="R11" s="76"/>
      <c r="S11" s="76"/>
      <c r="T11" s="76"/>
      <c r="AJ11" s="76" t="str">
        <f>"ADD CONSTRAINT "&amp;D$8&amp;"_pkey PRIMARY KEY"</f>
        <v>ADD CONSTRAINT sny_202310_backup_merge_mml_pi_master_pkey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1282</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milscm_2023_009.sny_202310_backup_merge_mml_pi_master.mil_karute_id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milscm_2023_009.sny_202310_backup_merge_mml_pi_master.facility_id IS '施設ID';</v>
      </c>
    </row>
    <row r="16" spans="1:45" s="25" customFormat="1" ht="75">
      <c r="A16" s="4"/>
      <c r="B16" s="21">
        <f t="shared" si="2"/>
        <v>4</v>
      </c>
      <c r="C16" s="13" t="s">
        <v>1242</v>
      </c>
      <c r="D16" s="13" t="s">
        <v>1243</v>
      </c>
      <c r="E16" s="7"/>
      <c r="F16" s="7" t="s">
        <v>865</v>
      </c>
      <c r="G16" s="7" t="str">
        <f t="shared" si="3"/>
        <v>text</v>
      </c>
      <c r="H16" s="58"/>
      <c r="I16" s="23" t="s">
        <v>127</v>
      </c>
      <c r="J16" s="24" t="s">
        <v>1284</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1244</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milscm_2023_009.sny_202310_backup_merge_mml_pi_master.data_type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milscm_2023_009.sny_202310_backup_merge_mml_pi_master.master_id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1249</v>
      </c>
      <c r="D20" s="13" t="s">
        <v>1250</v>
      </c>
      <c r="E20" s="7" t="s">
        <v>127</v>
      </c>
      <c r="F20" s="7" t="s">
        <v>204</v>
      </c>
      <c r="G20" s="7" t="str">
        <f t="shared" si="3"/>
        <v>integer</v>
      </c>
      <c r="H20" s="58"/>
      <c r="I20" s="23" t="s">
        <v>127</v>
      </c>
      <c r="J20" s="24" t="s">
        <v>1289</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1251</v>
      </c>
      <c r="D21" s="13" t="s">
        <v>1252</v>
      </c>
      <c r="E21" s="7"/>
      <c r="F21" s="7" t="s">
        <v>865</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milscm_2023_009.sny_202310_backup_merge_mml_pi_master.main_id IS '主ID';</v>
      </c>
    </row>
    <row r="22" spans="1:45" s="25" customFormat="1">
      <c r="A22" s="4"/>
      <c r="B22" s="21">
        <f t="shared" si="2"/>
        <v>10</v>
      </c>
      <c r="C22" s="13" t="s">
        <v>1253</v>
      </c>
      <c r="D22" s="13" t="s">
        <v>1254</v>
      </c>
      <c r="E22" s="7"/>
      <c r="F22" s="7" t="s">
        <v>865</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1255</v>
      </c>
      <c r="D23" s="13" t="s">
        <v>1256</v>
      </c>
      <c r="E23" s="7"/>
      <c r="F23" s="7" t="s">
        <v>865</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1257</v>
      </c>
      <c r="D24" s="13" t="s">
        <v>1258</v>
      </c>
      <c r="E24" s="7"/>
      <c r="F24" s="7" t="s">
        <v>865</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milscm_2023_009.sny_202310_backup_merge_mml_pi_master.main_id_check_digit IS '主IDチェックディジット';</v>
      </c>
    </row>
    <row r="25" spans="1:45" s="25" customFormat="1" ht="56.25">
      <c r="A25" s="4"/>
      <c r="B25" s="21">
        <f t="shared" si="2"/>
        <v>13</v>
      </c>
      <c r="C25" s="13" t="s">
        <v>1259</v>
      </c>
      <c r="D25" s="13" t="s">
        <v>1260</v>
      </c>
      <c r="E25" s="7"/>
      <c r="F25" s="7" t="s">
        <v>865</v>
      </c>
      <c r="G25" s="7" t="str">
        <f t="shared" si="3"/>
        <v>text</v>
      </c>
      <c r="H25" s="58"/>
      <c r="I25" s="23"/>
      <c r="J25" s="24" t="s">
        <v>1290</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milscm_2023_009.sny_202310_backup_merge_mml_pi_master.main_id_check_digit_system IS '主IDチェックディジット方式';</v>
      </c>
    </row>
    <row r="26" spans="1:45" s="25" customFormat="1" ht="37.5">
      <c r="A26" s="4"/>
      <c r="B26" s="21">
        <f t="shared" si="2"/>
        <v>14</v>
      </c>
      <c r="C26" s="13" t="s">
        <v>567</v>
      </c>
      <c r="D26" s="13" t="s">
        <v>322</v>
      </c>
      <c r="E26" s="7"/>
      <c r="F26" s="7" t="s">
        <v>865</v>
      </c>
      <c r="G26" s="7" t="str">
        <f t="shared" si="3"/>
        <v>text</v>
      </c>
      <c r="H26" s="58"/>
      <c r="I26" s="23"/>
      <c r="J26" s="24" t="s">
        <v>1291</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milscm_2023_009.sny_202310_backup_merge_mml_pi_master.birthday IS '生年月日';</v>
      </c>
    </row>
    <row r="27" spans="1:45" s="25" customFormat="1" ht="37.5">
      <c r="A27" s="4"/>
      <c r="B27" s="21">
        <f t="shared" si="2"/>
        <v>15</v>
      </c>
      <c r="C27" s="13" t="s">
        <v>569</v>
      </c>
      <c r="D27" s="13" t="s">
        <v>1261</v>
      </c>
      <c r="E27" s="7"/>
      <c r="F27" s="7" t="s">
        <v>865</v>
      </c>
      <c r="G27" s="7" t="str">
        <f t="shared" si="3"/>
        <v>text</v>
      </c>
      <c r="H27" s="58"/>
      <c r="I27" s="23"/>
      <c r="J27" s="24" t="s">
        <v>1292</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milscm_2023_009.sny_202310_backup_merge_mml_pi_master.sex IS '性別';</v>
      </c>
    </row>
    <row r="28" spans="1:45" s="25" customFormat="1">
      <c r="A28" s="4"/>
      <c r="B28" s="21">
        <f t="shared" si="2"/>
        <v>16</v>
      </c>
      <c r="C28" s="13" t="s">
        <v>944</v>
      </c>
      <c r="D28" s="13" t="s">
        <v>945</v>
      </c>
      <c r="E28" s="7"/>
      <c r="F28" s="7" t="s">
        <v>865</v>
      </c>
      <c r="G28" s="7" t="str">
        <f t="shared" si="3"/>
        <v>text</v>
      </c>
      <c r="H28" s="58"/>
      <c r="I28" s="23"/>
      <c r="J28" s="24" t="s">
        <v>1293</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milscm_2023_009.sny_202310_backup_merge_mml_pi_master.sex_kubun IS '男女区分';</v>
      </c>
    </row>
    <row r="29" spans="1:45" s="25" customFormat="1" ht="37.5">
      <c r="A29" s="4"/>
      <c r="B29" s="21">
        <f t="shared" si="2"/>
        <v>17</v>
      </c>
      <c r="C29" s="13" t="s">
        <v>1262</v>
      </c>
      <c r="D29" s="13" t="s">
        <v>1263</v>
      </c>
      <c r="E29" s="7"/>
      <c r="F29" s="7" t="s">
        <v>865</v>
      </c>
      <c r="G29" s="7" t="str">
        <f t="shared" si="3"/>
        <v>text</v>
      </c>
      <c r="H29" s="58"/>
      <c r="I29" s="23"/>
      <c r="J29" s="24" t="s">
        <v>1294</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1264</v>
      </c>
      <c r="D30" s="13" t="s">
        <v>1265</v>
      </c>
      <c r="E30" s="7"/>
      <c r="F30" s="7" t="s">
        <v>865</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1266</v>
      </c>
      <c r="D31" s="13" t="s">
        <v>1267</v>
      </c>
      <c r="E31" s="7"/>
      <c r="F31" s="7" t="s">
        <v>865</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1268</v>
      </c>
      <c r="D32" s="13" t="s">
        <v>1269</v>
      </c>
      <c r="E32" s="7"/>
      <c r="F32" s="7" t="s">
        <v>865</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1270</v>
      </c>
      <c r="D33" s="13" t="s">
        <v>1271</v>
      </c>
      <c r="E33" s="7"/>
      <c r="F33" s="7" t="s">
        <v>865</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milscm_2023_009.sny_202310_backup_merge_mml_pi_master.race_code_id IS '人種、民族使用テーブル';</v>
      </c>
    </row>
    <row r="34" spans="1:52" s="25" customFormat="1" ht="37.5">
      <c r="A34" s="4"/>
      <c r="B34" s="21">
        <f t="shared" si="2"/>
        <v>22</v>
      </c>
      <c r="C34" s="13" t="s">
        <v>1272</v>
      </c>
      <c r="D34" s="13" t="s">
        <v>1273</v>
      </c>
      <c r="E34" s="7"/>
      <c r="F34" s="7" t="s">
        <v>865</v>
      </c>
      <c r="G34" s="7" t="str">
        <f t="shared" si="3"/>
        <v>text</v>
      </c>
      <c r="H34" s="58"/>
      <c r="I34" s="23"/>
      <c r="J34" s="24" t="s">
        <v>1295</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1274</v>
      </c>
      <c r="D35" s="13" t="s">
        <v>1275</v>
      </c>
      <c r="E35" s="7"/>
      <c r="F35" s="7" t="s">
        <v>865</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1276</v>
      </c>
      <c r="D36" s="13" t="s">
        <v>1277</v>
      </c>
      <c r="E36" s="7"/>
      <c r="F36" s="7" t="s">
        <v>865</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1278</v>
      </c>
      <c r="D37" s="13" t="s">
        <v>1279</v>
      </c>
      <c r="E37" s="7"/>
      <c r="F37" s="7" t="s">
        <v>865</v>
      </c>
      <c r="G37" s="7" t="str">
        <f t="shared" si="3"/>
        <v>text</v>
      </c>
      <c r="H37" s="58"/>
      <c r="I37" s="23"/>
      <c r="J37" s="24" t="s">
        <v>1296</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milscm_2023_009.sny_202310_backup_merge_mml_pi_master.death_flag IS '死亡フラグ';</v>
      </c>
    </row>
    <row r="38" spans="1:52" s="25" customFormat="1" ht="19.5" thickBot="1">
      <c r="A38" s="4"/>
      <c r="B38" s="27">
        <f>ROW()-12</f>
        <v>26</v>
      </c>
      <c r="C38" s="57" t="s">
        <v>1280</v>
      </c>
      <c r="D38" s="57" t="s">
        <v>1281</v>
      </c>
      <c r="E38" s="56"/>
      <c r="F38" s="56" t="s">
        <v>865</v>
      </c>
      <c r="G38" s="56" t="str">
        <f t="shared" si="3"/>
        <v>text</v>
      </c>
      <c r="H38" s="59"/>
      <c r="I38" s="60"/>
      <c r="J38" s="64" t="s">
        <v>1297</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ENT_01_C4-03</v>
      </c>
      <c r="E6" s="273"/>
      <c r="F6" s="273"/>
      <c r="G6" s="273"/>
      <c r="H6" s="273"/>
      <c r="I6" s="273"/>
      <c r="J6" s="274"/>
    </row>
    <row r="7" spans="1:45">
      <c r="B7" s="262" t="s">
        <v>115</v>
      </c>
      <c r="C7" s="263"/>
      <c r="D7" s="264" t="s">
        <v>1299</v>
      </c>
      <c r="E7" s="265"/>
      <c r="F7" s="265"/>
      <c r="G7" s="265"/>
      <c r="H7" s="265"/>
      <c r="I7" s="265"/>
      <c r="J7" s="266"/>
    </row>
    <row r="8" spans="1:45">
      <c r="B8" s="262" t="s">
        <v>116</v>
      </c>
      <c r="C8" s="263"/>
      <c r="D8" s="264" t="str">
        <f>エンティティ一覧!AE2&amp;"_"&amp;D5&amp;"_merge_mml_rd_register"</f>
        <v>sny_202310_backup_merge_mml_rd_register</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milscm_2023_009.sny_202310_backup_merge_mml_rd_register;</v>
      </c>
      <c r="O10" s="76"/>
      <c r="P10" s="76"/>
      <c r="Q10" s="76"/>
      <c r="R10" s="76"/>
      <c r="S10" s="76"/>
      <c r="T10" s="76"/>
      <c r="AJ10" s="76" t="str">
        <f>"ALTER TABLE ONLY "&amp;エンティティ一覧!$O$2&amp;"."&amp;D$8</f>
        <v>ALTER TABLE ONLY milscm_2023_009.sny_202310_backup_merge_mml_rd_register</v>
      </c>
      <c r="AS10" s="76" t="str">
        <f>"ALTER TABLE "&amp;エンティティ一覧!$O$2&amp;"."&amp;D$8&amp;" OWNER TO pgmisgrp1;"</f>
        <v>ALTER TABLE milscm_2023_009.sny_202310_backup_merge_mml_rd_register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milscm_2023_009.sny_202310_backup_merge_mml_rd_register</v>
      </c>
      <c r="O11" s="76"/>
      <c r="P11" s="76"/>
      <c r="Q11" s="76"/>
      <c r="R11" s="76"/>
      <c r="S11" s="76"/>
      <c r="T11" s="76"/>
      <c r="AJ11" s="76" t="str">
        <f>"ADD CONSTRAINT "&amp;D$8&amp;"_pkey PRIMARY KEY"</f>
        <v>ADD CONSTRAINT sny_202310_backup_merge_mml_rd_register_pkey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1282</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milscm_2023_009.sny_202310_backup_merge_mml_rd_register.mil_karute_id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milscm_2023_009.sny_202310_backup_merge_mml_rd_register.facility_id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milscm_2023_009.sny_202310_backup_merge_mml_rd_register.data_type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milscm_2023_009.sny_202310_backup_merge_mml_rd_register.master_id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milscm_2023_009.sny_202310_backup_merge_mml_rd_register.uid IS '文書ユニークID';</v>
      </c>
    </row>
    <row r="20" spans="1:52" s="25" customFormat="1" ht="37.5">
      <c r="A20" s="4"/>
      <c r="B20" s="21">
        <f t="shared" si="2"/>
        <v>8</v>
      </c>
      <c r="C20" s="13" t="s">
        <v>1301</v>
      </c>
      <c r="D20" s="13" t="s">
        <v>1302</v>
      </c>
      <c r="E20" s="7" t="s">
        <v>127</v>
      </c>
      <c r="F20" s="7" t="s">
        <v>204</v>
      </c>
      <c r="G20" s="7" t="str">
        <f t="shared" si="3"/>
        <v>integer</v>
      </c>
      <c r="H20" s="58"/>
      <c r="I20" s="23" t="s">
        <v>127</v>
      </c>
      <c r="J20" s="24" t="s">
        <v>1312</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1303</v>
      </c>
      <c r="D21" s="13" t="s">
        <v>1304</v>
      </c>
      <c r="E21" s="7"/>
      <c r="F21" s="7" t="s">
        <v>865</v>
      </c>
      <c r="G21" s="7" t="str">
        <f t="shared" si="3"/>
        <v>text</v>
      </c>
      <c r="H21" s="58"/>
      <c r="I21" s="23"/>
      <c r="J21" s="24" t="s">
        <v>1313</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1305</v>
      </c>
      <c r="D22" s="13" t="s">
        <v>1306</v>
      </c>
      <c r="E22" s="7"/>
      <c r="F22" s="7" t="s">
        <v>865</v>
      </c>
      <c r="G22" s="7" t="str">
        <f t="shared" si="3"/>
        <v>text</v>
      </c>
      <c r="H22" s="58"/>
      <c r="I22" s="23"/>
      <c r="J22" s="24" t="s">
        <v>1314</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1307</v>
      </c>
      <c r="D23" s="13" t="s">
        <v>1308</v>
      </c>
      <c r="E23" s="7"/>
      <c r="F23" s="7" t="s">
        <v>865</v>
      </c>
      <c r="G23" s="7" t="str">
        <f t="shared" si="3"/>
        <v>text</v>
      </c>
      <c r="H23" s="58"/>
      <c r="I23" s="23"/>
      <c r="J23" s="24" t="s">
        <v>1315</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milscm_2023_009.sny_202310_backup_merge_mml_rd_register.tenki IS '転帰';</v>
      </c>
    </row>
    <row r="24" spans="1:52" s="25" customFormat="1" ht="19.5" thickBot="1">
      <c r="A24" s="4"/>
      <c r="B24" s="27">
        <f>ROW()-12</f>
        <v>12</v>
      </c>
      <c r="C24" s="57" t="s">
        <v>1309</v>
      </c>
      <c r="D24" s="57" t="s">
        <v>1310</v>
      </c>
      <c r="E24" s="56"/>
      <c r="F24" s="56" t="s">
        <v>865</v>
      </c>
      <c r="G24" s="56" t="str">
        <f t="shared" si="3"/>
        <v>text</v>
      </c>
      <c r="H24" s="59"/>
      <c r="I24" s="60"/>
      <c r="J24" s="64" t="s">
        <v>1316</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ENT_01_C4-04</v>
      </c>
      <c r="E6" s="273"/>
      <c r="F6" s="273"/>
      <c r="G6" s="273"/>
      <c r="H6" s="273"/>
      <c r="I6" s="273"/>
      <c r="J6" s="274"/>
    </row>
    <row r="7" spans="1:45">
      <c r="B7" s="262" t="s">
        <v>115</v>
      </c>
      <c r="C7" s="263"/>
      <c r="D7" s="264" t="s">
        <v>1318</v>
      </c>
      <c r="E7" s="265"/>
      <c r="F7" s="265"/>
      <c r="G7" s="265"/>
      <c r="H7" s="265"/>
      <c r="I7" s="265"/>
      <c r="J7" s="266"/>
    </row>
    <row r="8" spans="1:45">
      <c r="B8" s="262" t="s">
        <v>116</v>
      </c>
      <c r="C8" s="263"/>
      <c r="D8" s="264" t="str">
        <f>エンティティ一覧!AE2&amp;"_"&amp;D5&amp;"_merge_mml_rd_byomei"</f>
        <v>sny_202310_backup_merge_mml_rd_byomei</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milscm_2023_009.sny_202310_backup_merge_mml_rd_byomei;</v>
      </c>
      <c r="O10" s="76"/>
      <c r="P10" s="76"/>
      <c r="Q10" s="76"/>
      <c r="R10" s="76"/>
      <c r="S10" s="76"/>
      <c r="T10" s="76"/>
      <c r="AJ10" s="76" t="str">
        <f>"ALTER TABLE ONLY "&amp;エンティティ一覧!$O$2&amp;"."&amp;D$8</f>
        <v>ALTER TABLE ONLY milscm_2023_009.sny_202310_backup_merge_mml_rd_byomei</v>
      </c>
      <c r="AS10" s="76" t="str">
        <f>"ALTER TABLE "&amp;エンティティ一覧!$O$2&amp;"."&amp;D$8&amp;" OWNER TO pgmisgrp1;"</f>
        <v>ALTER TABLE milscm_2023_009.sny_202310_backup_merge_mml_rd_byomei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milscm_2023_009.sny_202310_backup_merge_mml_rd_byomei</v>
      </c>
      <c r="O11" s="76"/>
      <c r="P11" s="76"/>
      <c r="Q11" s="76"/>
      <c r="R11" s="76"/>
      <c r="S11" s="76"/>
      <c r="T11" s="76"/>
      <c r="AJ11" s="76" t="str">
        <f>"ADD CONSTRAINT "&amp;D$8&amp;"_pkey PRIMARY KEY"</f>
        <v>ADD CONSTRAINT sny_202310_backup_merge_mml_rd_byomei_pkey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1282</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milscm_2023_009.sny_202310_backup_merge_mml_rd_byomei.mil_karute_id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milscm_2023_009.sny_202310_backup_merge_mml_rd_byomei.facility_id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milscm_2023_009.sny_202310_backup_merge_mml_rd_byomei.data_type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milscm_2023_009.sny_202310_backup_merge_mml_rd_byomei.master_id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milscm_2023_009.sny_202310_backup_merge_mml_rd_byomei.uid IS '文書ユニークID';</v>
      </c>
    </row>
    <row r="20" spans="1:52" s="25" customFormat="1" ht="37.5">
      <c r="A20" s="4"/>
      <c r="B20" s="21">
        <f t="shared" si="2"/>
        <v>8</v>
      </c>
      <c r="C20" s="13" t="s">
        <v>1301</v>
      </c>
      <c r="D20" s="13" t="s">
        <v>1302</v>
      </c>
      <c r="E20" s="7" t="s">
        <v>127</v>
      </c>
      <c r="F20" s="7" t="s">
        <v>204</v>
      </c>
      <c r="G20" s="7" t="str">
        <f t="shared" si="3"/>
        <v>integer</v>
      </c>
      <c r="H20" s="58"/>
      <c r="I20" s="23" t="s">
        <v>127</v>
      </c>
      <c r="J20" s="24" t="s">
        <v>1312</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1319</v>
      </c>
      <c r="D21" s="13" t="s">
        <v>1320</v>
      </c>
      <c r="E21" s="7" t="s">
        <v>127</v>
      </c>
      <c r="F21" s="7" t="s">
        <v>204</v>
      </c>
      <c r="G21" s="7" t="str">
        <f t="shared" si="3"/>
        <v>integer</v>
      </c>
      <c r="H21" s="58"/>
      <c r="I21" s="23" t="s">
        <v>127</v>
      </c>
      <c r="J21" s="24" t="s">
        <v>1327</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1321</v>
      </c>
      <c r="D22" s="13" t="s">
        <v>1322</v>
      </c>
      <c r="E22" s="7"/>
      <c r="F22" s="7" t="s">
        <v>865</v>
      </c>
      <c r="G22" s="7" t="str">
        <f t="shared" si="3"/>
        <v>text</v>
      </c>
      <c r="H22" s="58"/>
      <c r="I22" s="23"/>
      <c r="J22" s="24" t="s">
        <v>1328</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milscm_2023_009.sny_202310_backup_merge_mml_rd_byomei.byomei IS '病名';</v>
      </c>
    </row>
    <row r="23" spans="1:52" s="25" customFormat="1">
      <c r="A23" s="4"/>
      <c r="B23" s="21">
        <f t="shared" si="2"/>
        <v>11</v>
      </c>
      <c r="C23" s="13" t="s">
        <v>1323</v>
      </c>
      <c r="D23" s="13" t="s">
        <v>1324</v>
      </c>
      <c r="E23" s="7"/>
      <c r="F23" s="7" t="s">
        <v>865</v>
      </c>
      <c r="G23" s="7" t="str">
        <f t="shared" si="3"/>
        <v>text</v>
      </c>
      <c r="H23" s="58"/>
      <c r="I23" s="23"/>
      <c r="J23" s="24" t="s">
        <v>1329</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milscm_2023_009.sny_202310_backup_merge_mml_rd_byomei.byomei_code IS '病名コード値';</v>
      </c>
    </row>
    <row r="24" spans="1:52" s="25" customFormat="1" ht="19.5" thickBot="1">
      <c r="A24" s="4"/>
      <c r="B24" s="27">
        <f>ROW()-12</f>
        <v>12</v>
      </c>
      <c r="C24" s="57" t="s">
        <v>1325</v>
      </c>
      <c r="D24" s="57" t="s">
        <v>1326</v>
      </c>
      <c r="E24" s="56"/>
      <c r="F24" s="56" t="s">
        <v>865</v>
      </c>
      <c r="G24" s="56" t="str">
        <f t="shared" si="3"/>
        <v>text</v>
      </c>
      <c r="H24" s="59"/>
      <c r="I24" s="60"/>
      <c r="J24" s="64" t="s">
        <v>1330</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ENT_01_C4-05</v>
      </c>
      <c r="E6" s="273"/>
      <c r="F6" s="273"/>
      <c r="G6" s="273"/>
      <c r="H6" s="273"/>
      <c r="I6" s="273"/>
      <c r="J6" s="274"/>
    </row>
    <row r="7" spans="1:45">
      <c r="B7" s="262" t="s">
        <v>115</v>
      </c>
      <c r="C7" s="263"/>
      <c r="D7" s="264" t="s">
        <v>1332</v>
      </c>
      <c r="E7" s="265"/>
      <c r="F7" s="265"/>
      <c r="G7" s="265"/>
      <c r="H7" s="265"/>
      <c r="I7" s="265"/>
      <c r="J7" s="266"/>
    </row>
    <row r="8" spans="1:45">
      <c r="B8" s="262" t="s">
        <v>116</v>
      </c>
      <c r="C8" s="263"/>
      <c r="D8" s="264" t="str">
        <f>エンティティ一覧!AE2&amp;"_"&amp;D5&amp;"_merge_mml_rd_category"</f>
        <v>sny_202310_backup_merge_mml_rd_category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milscm_2023_009.sny_202310_backup_merge_mml_rd_category;</v>
      </c>
      <c r="O10" s="76"/>
      <c r="P10" s="76"/>
      <c r="Q10" s="76"/>
      <c r="R10" s="76"/>
      <c r="S10" s="76"/>
      <c r="T10" s="76"/>
      <c r="AJ10" s="76" t="str">
        <f>"ALTER TABLE ONLY "&amp;エンティティ一覧!$O$2&amp;"."&amp;D$8</f>
        <v>ALTER TABLE ONLY milscm_2023_009.sny_202310_backup_merge_mml_rd_category</v>
      </c>
      <c r="AS10" s="76" t="str">
        <f>"ALTER TABLE "&amp;エンティティ一覧!$O$2&amp;"."&amp;D$8&amp;" OWNER TO pgmisgrp1;"</f>
        <v>ALTER TABLE milscm_2023_009.sny_202310_backup_merge_mml_rd_category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milscm_2023_009.sny_202310_backup_merge_mml_rd_category</v>
      </c>
      <c r="O11" s="76"/>
      <c r="P11" s="76"/>
      <c r="Q11" s="76"/>
      <c r="R11" s="76"/>
      <c r="S11" s="76"/>
      <c r="T11" s="76"/>
      <c r="AJ11" s="76" t="str">
        <f>"ADD CONSTRAINT "&amp;D$8&amp;"_pkey PRIMARY KEY"</f>
        <v>ADD CONSTRAINT sny_202310_backup_merge_mml_rd_category_pkey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1282</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milscm_2023_009.sny_202310_backup_merge_mml_rd_category.mil_karute_id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milscm_2023_009.sny_202310_backup_merge_mml_rd_category.facility_id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milscm_2023_009.sny_202310_backup_merge_mml_rd_category.data_type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milscm_2023_009.sny_202310_backup_merge_mml_rd_category.master_id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milscm_2023_009.sny_202310_backup_merge_mml_rd_category.uid IS '文書ユニークID';</v>
      </c>
    </row>
    <row r="20" spans="1:52" s="25" customFormat="1" ht="37.5">
      <c r="A20" s="4"/>
      <c r="B20" s="21">
        <f t="shared" si="2"/>
        <v>8</v>
      </c>
      <c r="C20" s="13" t="s">
        <v>1301</v>
      </c>
      <c r="D20" s="13" t="s">
        <v>1302</v>
      </c>
      <c r="E20" s="7" t="s">
        <v>127</v>
      </c>
      <c r="F20" s="7" t="s">
        <v>204</v>
      </c>
      <c r="G20" s="7" t="str">
        <f t="shared" si="3"/>
        <v>integer</v>
      </c>
      <c r="H20" s="58"/>
      <c r="I20" s="23" t="s">
        <v>127</v>
      </c>
      <c r="J20" s="24" t="s">
        <v>1312</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1333</v>
      </c>
      <c r="D21" s="13" t="s">
        <v>1334</v>
      </c>
      <c r="E21" s="7" t="s">
        <v>127</v>
      </c>
      <c r="F21" s="7" t="s">
        <v>204</v>
      </c>
      <c r="G21" s="7" t="str">
        <f t="shared" si="3"/>
        <v>integer</v>
      </c>
      <c r="H21" s="58"/>
      <c r="I21" s="23" t="s">
        <v>127</v>
      </c>
      <c r="J21" s="24" t="s">
        <v>1339</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1335</v>
      </c>
      <c r="D22" s="13" t="s">
        <v>1336</v>
      </c>
      <c r="E22" s="7"/>
      <c r="F22" s="7" t="s">
        <v>865</v>
      </c>
      <c r="G22" s="7" t="str">
        <f t="shared" si="3"/>
        <v>text</v>
      </c>
      <c r="H22" s="58"/>
      <c r="I22" s="23"/>
      <c r="J22" s="24" t="s">
        <v>1340</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milscm_2023_009.sny_202310_backup_merge_mml_rd_category.bunrui_name IS '分類名';</v>
      </c>
    </row>
    <row r="23" spans="1:52" s="25" customFormat="1" ht="94.5" thickBot="1">
      <c r="A23" s="4"/>
      <c r="B23" s="27">
        <f>ROW()-12</f>
        <v>11</v>
      </c>
      <c r="C23" s="57" t="s">
        <v>1337</v>
      </c>
      <c r="D23" s="57" t="s">
        <v>1338</v>
      </c>
      <c r="E23" s="56"/>
      <c r="F23" s="56" t="s">
        <v>865</v>
      </c>
      <c r="G23" s="56" t="str">
        <f t="shared" si="3"/>
        <v>text</v>
      </c>
      <c r="H23" s="59"/>
      <c r="I23" s="60"/>
      <c r="J23" s="64" t="s">
        <v>1341</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ENT_01_C4-06</v>
      </c>
      <c r="E6" s="273"/>
      <c r="F6" s="273"/>
      <c r="G6" s="273"/>
      <c r="H6" s="273"/>
      <c r="I6" s="273"/>
      <c r="J6" s="274"/>
    </row>
    <row r="7" spans="1:45">
      <c r="B7" s="262" t="s">
        <v>115</v>
      </c>
      <c r="C7" s="263"/>
      <c r="D7" s="264" t="s">
        <v>1343</v>
      </c>
      <c r="E7" s="265"/>
      <c r="F7" s="265"/>
      <c r="G7" s="265"/>
      <c r="H7" s="265"/>
      <c r="I7" s="265"/>
      <c r="J7" s="266"/>
    </row>
    <row r="8" spans="1:45">
      <c r="B8" s="262" t="s">
        <v>116</v>
      </c>
      <c r="C8" s="263"/>
      <c r="D8" s="264" t="str">
        <f>エンティティ一覧!AE2&amp;"_"&amp;D5&amp;"_merge_mml_pc_progress_course"</f>
        <v>sny_202310_backup_merge_mml_pc_progress_course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milscm_2023_009.sny_202310_backup_merge_mml_pc_progress_course;</v>
      </c>
      <c r="O10" s="76"/>
      <c r="P10" s="76"/>
      <c r="Q10" s="76"/>
      <c r="R10" s="76"/>
      <c r="S10" s="76"/>
      <c r="T10" s="76"/>
      <c r="AJ10" s="76" t="str">
        <f>"ALTER TABLE ONLY "&amp;エンティティ一覧!$O$2&amp;"."&amp;D$8</f>
        <v>ALTER TABLE ONLY milscm_2023_009.sny_202310_backup_merge_mml_pc_progress_course</v>
      </c>
      <c r="AS10" s="76" t="str">
        <f>"ALTER TABLE "&amp;エンティティ一覧!$O$2&amp;"."&amp;D$8&amp;" OWNER TO pgmisgrp1;"</f>
        <v>ALTER TABLE milscm_2023_009.sny_202310_backup_merge_mml_pc_progress_course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milscm_2023_009.sny_202310_backup_merge_mml_pc_progress_course</v>
      </c>
      <c r="O11" s="76"/>
      <c r="P11" s="76"/>
      <c r="Q11" s="76"/>
      <c r="R11" s="76"/>
      <c r="S11" s="76"/>
      <c r="T11" s="76"/>
      <c r="AJ11" s="76" t="str">
        <f>"ADD CONSTRAINT "&amp;D$8&amp;"_pkey PRIMARY KEY"</f>
        <v>ADD CONSTRAINT sny_202310_backup_merge_mml_pc_progress_course_pkey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1282</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milscm_2023_009.sny_202310_backup_merge_mml_pc_progress_course.mil_karute_id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milscm_2023_009.sny_202310_backup_merge_mml_pc_progress_course.facility_id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milscm_2023_009.sny_202310_backup_merge_mml_pc_progress_course.data_type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milscm_2023_009.sny_202310_backup_merge_mml_pc_progress_course.master_id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milscm_2023_009.sny_202310_backup_merge_mml_pc_progress_course.uid IS '文書ユニークID';</v>
      </c>
    </row>
    <row r="20" spans="1:52"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milscm_2023_009.sny_202310_backup_merge_mml_pc_progress_course.keika_seq IS '経過記録SEQ';</v>
      </c>
    </row>
    <row r="21" spans="1:52" s="25" customFormat="1" ht="38.25" thickBot="1">
      <c r="A21" s="4"/>
      <c r="B21" s="27">
        <f>ROW()-12</f>
        <v>9</v>
      </c>
      <c r="C21" s="57" t="s">
        <v>1346</v>
      </c>
      <c r="D21" s="57" t="s">
        <v>1347</v>
      </c>
      <c r="E21" s="56"/>
      <c r="F21" s="56" t="s">
        <v>865</v>
      </c>
      <c r="G21" s="56" t="str">
        <f t="shared" si="3"/>
        <v>text</v>
      </c>
      <c r="H21" s="59"/>
      <c r="I21" s="60"/>
      <c r="J21" s="64" t="s">
        <v>1349</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ENT_01_C4-07</v>
      </c>
      <c r="E6" s="273"/>
      <c r="F6" s="273"/>
      <c r="G6" s="273"/>
      <c r="H6" s="273"/>
      <c r="I6" s="273"/>
      <c r="J6" s="274"/>
    </row>
    <row r="7" spans="1:45">
      <c r="B7" s="262" t="s">
        <v>115</v>
      </c>
      <c r="C7" s="263"/>
      <c r="D7" s="264" t="s">
        <v>1351</v>
      </c>
      <c r="E7" s="265"/>
      <c r="F7" s="265"/>
      <c r="G7" s="265"/>
      <c r="H7" s="265"/>
      <c r="I7" s="265"/>
      <c r="J7" s="266"/>
    </row>
    <row r="8" spans="1:45">
      <c r="B8" s="262" t="s">
        <v>116</v>
      </c>
      <c r="C8" s="263"/>
      <c r="D8" s="264" t="str">
        <f>エンティティ一覧!AE2&amp;"_"&amp;D5&amp;"_merge_mml_pc_problem"</f>
        <v>sny_202310_backup_merge_mml_pc_problem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milscm_2023_009.sny_202310_backup_merge_mml_pc_problem;</v>
      </c>
      <c r="O10" s="76"/>
      <c r="P10" s="76"/>
      <c r="Q10" s="76"/>
      <c r="R10" s="76"/>
      <c r="S10" s="76"/>
      <c r="T10" s="76"/>
      <c r="AJ10" s="76" t="str">
        <f>"ALTER TABLE ONLY "&amp;エンティティ一覧!$O$2&amp;"."&amp;D$8</f>
        <v>ALTER TABLE ONLY milscm_2023_009.sny_202310_backup_merge_mml_pc_problem</v>
      </c>
      <c r="AS10" s="76" t="str">
        <f>"ALTER TABLE "&amp;エンティティ一覧!$O$2&amp;"."&amp;D$8&amp;" OWNER TO pgmisgrp1;"</f>
        <v>ALTER TABLE milscm_2023_009.sny_202310_backup_merge_mml_pc_problem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milscm_2023_009.sny_202310_backup_merge_mml_pc_problem</v>
      </c>
      <c r="O11" s="76"/>
      <c r="P11" s="76"/>
      <c r="Q11" s="76"/>
      <c r="R11" s="76"/>
      <c r="S11" s="76"/>
      <c r="T11" s="76"/>
      <c r="AJ11" s="76" t="str">
        <f>"ADD CONSTRAINT "&amp;D$8&amp;"_pkey PRIMARY KEY"</f>
        <v>ADD CONSTRAINT sny_202310_backup_merge_mml_pc_problem_pkey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1282</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milscm_2023_009.sny_202310_backup_merge_mml_pc_problem.mil_karute_id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milscm_2023_009.sny_202310_backup_merge_mml_pc_problem.facility_id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milscm_2023_009.sny_202310_backup_merge_mml_pc_problem.data_type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milscm_2023_009.sny_202310_backup_merge_mml_pc_problem.master_id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milscm_2023_009.sny_202310_backup_merge_mml_pc_problem.uid IS '文書ユニークID';</v>
      </c>
    </row>
    <row r="20" spans="1:45"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1352</v>
      </c>
      <c r="D21" s="13" t="s">
        <v>1353</v>
      </c>
      <c r="E21" s="7" t="s">
        <v>127</v>
      </c>
      <c r="F21" s="7" t="s">
        <v>204</v>
      </c>
      <c r="G21" s="7" t="str">
        <f t="shared" si="3"/>
        <v>integer</v>
      </c>
      <c r="H21" s="58"/>
      <c r="I21" s="23" t="s">
        <v>127</v>
      </c>
      <c r="J21" s="24" t="s">
        <v>1376</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milscm_2023_009.sny_202310_backup_merge_mml_pc_problem.problem_seq IS 'プロブレムSEQ';</v>
      </c>
    </row>
    <row r="22" spans="1:45" s="25" customFormat="1" ht="37.5">
      <c r="A22" s="4"/>
      <c r="B22" s="21">
        <f t="shared" si="2"/>
        <v>10</v>
      </c>
      <c r="C22" s="13" t="s">
        <v>1354</v>
      </c>
      <c r="D22" s="13" t="s">
        <v>1355</v>
      </c>
      <c r="E22" s="7"/>
      <c r="F22" s="7" t="s">
        <v>865</v>
      </c>
      <c r="G22" s="7" t="str">
        <f t="shared" si="3"/>
        <v>text</v>
      </c>
      <c r="H22" s="58"/>
      <c r="I22" s="23"/>
      <c r="J22" s="24" t="s">
        <v>1377</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milscm_2023_009.sny_202310_backup_merge_mml_pc_problem.problem_shippei_name IS 'プロブレム名（疾病名）';</v>
      </c>
    </row>
    <row r="23" spans="1:45" s="25" customFormat="1" ht="56.25">
      <c r="A23" s="4"/>
      <c r="B23" s="21">
        <f t="shared" si="2"/>
        <v>11</v>
      </c>
      <c r="C23" s="13" t="s">
        <v>1356</v>
      </c>
      <c r="D23" s="13" t="s">
        <v>1357</v>
      </c>
      <c r="E23" s="7"/>
      <c r="F23" s="7" t="s">
        <v>865</v>
      </c>
      <c r="G23" s="7" t="str">
        <f t="shared" si="3"/>
        <v>text</v>
      </c>
      <c r="H23" s="58"/>
      <c r="I23" s="23"/>
      <c r="J23" s="24" t="s">
        <v>1378</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milscm_2023_009.sny_202310_backup_merge_mml_pc_problem.shindan_name_uid IS '診断名のuid';</v>
      </c>
    </row>
    <row r="24" spans="1:45" s="25" customFormat="1" ht="37.5">
      <c r="A24" s="4"/>
      <c r="B24" s="21">
        <f t="shared" si="2"/>
        <v>12</v>
      </c>
      <c r="C24" s="13" t="s">
        <v>1358</v>
      </c>
      <c r="D24" s="13" t="s">
        <v>1359</v>
      </c>
      <c r="E24" s="7"/>
      <c r="F24" s="7" t="s">
        <v>865</v>
      </c>
      <c r="G24" s="7" t="str">
        <f t="shared" si="3"/>
        <v>text</v>
      </c>
      <c r="H24" s="58"/>
      <c r="I24" s="23"/>
      <c r="J24" s="24" t="s">
        <v>1379</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milscm_2023_009.sny_202310_backup_merge_mml_pc_problem.free_note IS '自由文章表現';</v>
      </c>
    </row>
    <row r="25" spans="1:45" s="25" customFormat="1" ht="37.5">
      <c r="A25" s="4"/>
      <c r="B25" s="21">
        <f t="shared" si="2"/>
        <v>13</v>
      </c>
      <c r="C25" s="13" t="s">
        <v>1360</v>
      </c>
      <c r="D25" s="13" t="s">
        <v>1361</v>
      </c>
      <c r="E25" s="7"/>
      <c r="F25" s="7" t="s">
        <v>865</v>
      </c>
      <c r="G25" s="7" t="str">
        <f t="shared" si="3"/>
        <v>text</v>
      </c>
      <c r="H25" s="58"/>
      <c r="I25" s="23"/>
      <c r="J25" s="24" t="s">
        <v>1380</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milscm_2023_009.sny_202310_backup_merge_mml_pc_problem.free_expression_objective IS '客観的自由記載';</v>
      </c>
    </row>
    <row r="26" spans="1:45" s="25" customFormat="1" ht="37.5">
      <c r="A26" s="4"/>
      <c r="B26" s="21">
        <f t="shared" si="2"/>
        <v>14</v>
      </c>
      <c r="C26" s="13" t="s">
        <v>1362</v>
      </c>
      <c r="D26" s="13" t="s">
        <v>1363</v>
      </c>
      <c r="E26" s="7"/>
      <c r="F26" s="7" t="s">
        <v>865</v>
      </c>
      <c r="G26" s="7" t="str">
        <f t="shared" si="3"/>
        <v>text</v>
      </c>
      <c r="H26" s="58"/>
      <c r="I26" s="23"/>
      <c r="J26" s="24" t="s">
        <v>1381</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milscm_2023_009.sny_202310_backup_merge_mml_pc_problem.test_result IS '検査結果';</v>
      </c>
    </row>
    <row r="27" spans="1:45" s="25" customFormat="1" ht="37.5">
      <c r="A27" s="4"/>
      <c r="B27" s="21">
        <f t="shared" si="2"/>
        <v>15</v>
      </c>
      <c r="C27" s="13" t="s">
        <v>1364</v>
      </c>
      <c r="D27" s="13" t="s">
        <v>1365</v>
      </c>
      <c r="E27" s="7"/>
      <c r="F27" s="7" t="s">
        <v>865</v>
      </c>
      <c r="G27" s="7" t="str">
        <f t="shared" si="3"/>
        <v>text</v>
      </c>
      <c r="H27" s="58"/>
      <c r="I27" s="23"/>
      <c r="J27" s="24" t="s">
        <v>1382</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milscm_2023_009.sny_202310_backup_merge_mml_pc_problem.shohou_jisshi_kiroku IS '処方実施記録';</v>
      </c>
    </row>
    <row r="28" spans="1:45" s="25" customFormat="1" ht="37.5">
      <c r="A28" s="4"/>
      <c r="B28" s="21">
        <f t="shared" si="2"/>
        <v>16</v>
      </c>
      <c r="C28" s="13" t="s">
        <v>1366</v>
      </c>
      <c r="D28" s="13" t="s">
        <v>1367</v>
      </c>
      <c r="E28" s="7"/>
      <c r="F28" s="7" t="s">
        <v>865</v>
      </c>
      <c r="G28" s="7" t="str">
        <f t="shared" si="3"/>
        <v>text</v>
      </c>
      <c r="H28" s="58"/>
      <c r="I28" s="23"/>
      <c r="J28" s="24" t="s">
        <v>1383</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milscm_2023_009.sny_202310_backup_merge_mml_pc_problem.shochi_jisshi_kiroku IS '処置実施記録';</v>
      </c>
    </row>
    <row r="29" spans="1:45" s="25" customFormat="1" ht="37.5">
      <c r="A29" s="4"/>
      <c r="B29" s="21">
        <f t="shared" si="2"/>
        <v>17</v>
      </c>
      <c r="C29" s="13" t="s">
        <v>1368</v>
      </c>
      <c r="D29" s="13" t="s">
        <v>1369</v>
      </c>
      <c r="E29" s="7"/>
      <c r="F29" s="7" t="s">
        <v>865</v>
      </c>
      <c r="G29" s="7" t="str">
        <f t="shared" si="3"/>
        <v>text</v>
      </c>
      <c r="H29" s="58"/>
      <c r="I29" s="23"/>
      <c r="J29" s="24" t="s">
        <v>1384</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milscm_2023_009.sny_202310_backup_merge_mml_pc_problem.kensa_order IS '検査オーダー';</v>
      </c>
    </row>
    <row r="30" spans="1:45" s="25" customFormat="1" ht="37.5">
      <c r="A30" s="4"/>
      <c r="B30" s="21">
        <f t="shared" si="2"/>
        <v>18</v>
      </c>
      <c r="C30" s="13" t="s">
        <v>1370</v>
      </c>
      <c r="D30" s="13" t="s">
        <v>1371</v>
      </c>
      <c r="E30" s="7"/>
      <c r="F30" s="7" t="s">
        <v>865</v>
      </c>
      <c r="G30" s="7" t="str">
        <f t="shared" si="3"/>
        <v>text</v>
      </c>
      <c r="H30" s="58"/>
      <c r="I30" s="23"/>
      <c r="J30" s="24" t="s">
        <v>1385</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milscm_2023_009.sny_202310_backup_merge_mml_pc_problem.shohou_order IS '処方オーダー';</v>
      </c>
    </row>
    <row r="31" spans="1:45" s="25" customFormat="1" ht="37.5">
      <c r="A31" s="4"/>
      <c r="B31" s="21">
        <f t="shared" si="2"/>
        <v>19</v>
      </c>
      <c r="C31" s="13" t="s">
        <v>1372</v>
      </c>
      <c r="D31" s="13" t="s">
        <v>1373</v>
      </c>
      <c r="E31" s="7"/>
      <c r="F31" s="7" t="s">
        <v>865</v>
      </c>
      <c r="G31" s="7" t="str">
        <f t="shared" si="3"/>
        <v>text</v>
      </c>
      <c r="H31" s="58"/>
      <c r="I31" s="23"/>
      <c r="J31" s="24" t="s">
        <v>1386</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milscm_2023_009.sny_202310_backup_merge_mml_pc_problem.chiryo_order IS '治療処置オーダー';</v>
      </c>
    </row>
    <row r="32" spans="1:45" s="25" customFormat="1" ht="38.25" thickBot="1">
      <c r="A32" s="4"/>
      <c r="B32" s="27">
        <f>ROW()-12</f>
        <v>20</v>
      </c>
      <c r="C32" s="57" t="s">
        <v>1374</v>
      </c>
      <c r="D32" s="57" t="s">
        <v>1375</v>
      </c>
      <c r="E32" s="56"/>
      <c r="F32" s="56" t="s">
        <v>865</v>
      </c>
      <c r="G32" s="56" t="str">
        <f t="shared" si="3"/>
        <v>text</v>
      </c>
      <c r="H32" s="59"/>
      <c r="I32" s="60"/>
      <c r="J32" s="64" t="s">
        <v>1387</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ENT_01_C4-08</v>
      </c>
      <c r="E6" s="273"/>
      <c r="F6" s="273"/>
      <c r="G6" s="273"/>
      <c r="H6" s="273"/>
      <c r="I6" s="273"/>
      <c r="J6" s="274"/>
    </row>
    <row r="7" spans="1:45">
      <c r="B7" s="262" t="s">
        <v>115</v>
      </c>
      <c r="C7" s="263"/>
      <c r="D7" s="264" t="s">
        <v>1389</v>
      </c>
      <c r="E7" s="265"/>
      <c r="F7" s="265"/>
      <c r="G7" s="265"/>
      <c r="H7" s="265"/>
      <c r="I7" s="265"/>
      <c r="J7" s="266"/>
    </row>
    <row r="8" spans="1:45">
      <c r="B8" s="262" t="s">
        <v>116</v>
      </c>
      <c r="C8" s="263"/>
      <c r="D8" s="264" t="str">
        <f>エンティティ一覧!AE2&amp;"_"&amp;D5&amp;"_merge_mml_pc_physical_exam"</f>
        <v>sny_202310_backup_merge_mml_pc_physical_exam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milscm_2023_009.sny_202310_backup_merge_mml_pc_physical_exam;</v>
      </c>
      <c r="O10" s="76"/>
      <c r="P10" s="76"/>
      <c r="Q10" s="76"/>
      <c r="R10" s="76"/>
      <c r="S10" s="76"/>
      <c r="T10" s="76"/>
      <c r="AJ10" s="76" t="str">
        <f>"ALTER TABLE ONLY "&amp;エンティティ一覧!$O$2&amp;"."&amp;D$8</f>
        <v>ALTER TABLE ONLY milscm_2023_009.sny_202310_backup_merge_mml_pc_physical_exam</v>
      </c>
      <c r="AS10" s="76" t="str">
        <f>"ALTER TABLE "&amp;エンティティ一覧!$O$2&amp;"."&amp;D$8&amp;" OWNER TO pgmisgrp1;"</f>
        <v>ALTER TABLE milscm_2023_009.sny_202310_backup_merge_mml_pc_physical_exam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milscm_2023_009.sny_202310_backup_merge_mml_pc_physical_exam</v>
      </c>
      <c r="O11" s="76"/>
      <c r="P11" s="76"/>
      <c r="Q11" s="76"/>
      <c r="R11" s="76"/>
      <c r="S11" s="76"/>
      <c r="T11" s="76"/>
      <c r="AJ11" s="76" t="str">
        <f>"ADD CONSTRAINT "&amp;D$8&amp;"_pkey PRIMARY KEY"</f>
        <v>ADD CONSTRAINT sny_202310_backup_merge_mml_pc_physical_exam_pkey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1282</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milscm_2023_009.sny_202310_backup_merge_mml_pc_physical_exam.mil_karute_id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milscm_2023_009.sny_202310_backup_merge_mml_pc_physical_exam.facility_id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milscm_2023_009.sny_202310_backup_merge_mml_pc_physical_exam.data_type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milscm_2023_009.sny_202310_backup_merge_mml_pc_physical_exam.master_id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milscm_2023_009.sny_202310_backup_merge_mml_pc_physical_exam.uid IS '文書ユニークID';</v>
      </c>
    </row>
    <row r="20" spans="1:52"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1352</v>
      </c>
      <c r="D21" s="13" t="s">
        <v>1353</v>
      </c>
      <c r="E21" s="7" t="s">
        <v>127</v>
      </c>
      <c r="F21" s="7" t="s">
        <v>204</v>
      </c>
      <c r="G21" s="7" t="str">
        <f t="shared" si="3"/>
        <v>integer</v>
      </c>
      <c r="H21" s="58"/>
      <c r="I21" s="23" t="s">
        <v>127</v>
      </c>
      <c r="J21" s="24" t="s">
        <v>1376</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1390</v>
      </c>
      <c r="D22" s="13" t="s">
        <v>1391</v>
      </c>
      <c r="E22" s="7" t="s">
        <v>127</v>
      </c>
      <c r="F22" s="7" t="s">
        <v>204</v>
      </c>
      <c r="G22" s="7" t="str">
        <f t="shared" si="3"/>
        <v>integer</v>
      </c>
      <c r="H22" s="58"/>
      <c r="I22" s="23" t="s">
        <v>127</v>
      </c>
      <c r="J22" s="24" t="s">
        <v>1398</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1392</v>
      </c>
      <c r="D23" s="13" t="s">
        <v>1393</v>
      </c>
      <c r="E23" s="7"/>
      <c r="F23" s="7" t="s">
        <v>865</v>
      </c>
      <c r="G23" s="7" t="str">
        <f t="shared" si="3"/>
        <v>text</v>
      </c>
      <c r="H23" s="58"/>
      <c r="I23" s="23"/>
      <c r="J23" s="24" t="s">
        <v>1399</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1394</v>
      </c>
      <c r="D24" s="13" t="s">
        <v>1395</v>
      </c>
      <c r="E24" s="7"/>
      <c r="F24" s="7" t="s">
        <v>865</v>
      </c>
      <c r="G24" s="7" t="str">
        <f t="shared" si="3"/>
        <v>text</v>
      </c>
      <c r="H24" s="58"/>
      <c r="I24" s="23"/>
      <c r="J24" s="24" t="s">
        <v>1400</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milscm_2023_009.sny_202310_backup_merge_mml_pc_physical_exam.syoken_value IS '身体所見結果';</v>
      </c>
    </row>
    <row r="25" spans="1:52" s="25" customFormat="1" ht="38.25" thickBot="1">
      <c r="A25" s="4"/>
      <c r="B25" s="27">
        <f>ROW()-12</f>
        <v>13</v>
      </c>
      <c r="C25" s="57" t="s">
        <v>1396</v>
      </c>
      <c r="D25" s="57" t="s">
        <v>1397</v>
      </c>
      <c r="E25" s="56"/>
      <c r="F25" s="56" t="s">
        <v>865</v>
      </c>
      <c r="G25" s="56" t="str">
        <f t="shared" si="3"/>
        <v>text</v>
      </c>
      <c r="H25" s="59"/>
      <c r="I25" s="60"/>
      <c r="J25" s="64" t="s">
        <v>1401</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ENT_01_C4-15</v>
      </c>
      <c r="E6" s="273"/>
      <c r="F6" s="273"/>
      <c r="G6" s="273"/>
      <c r="H6" s="273"/>
      <c r="I6" s="273"/>
      <c r="J6" s="274"/>
    </row>
    <row r="7" spans="1:45">
      <c r="B7" s="262" t="s">
        <v>115</v>
      </c>
      <c r="C7" s="263"/>
      <c r="D7" s="264" t="s">
        <v>1403</v>
      </c>
      <c r="E7" s="265"/>
      <c r="F7" s="265"/>
      <c r="G7" s="265"/>
      <c r="H7" s="265"/>
      <c r="I7" s="265"/>
      <c r="J7" s="266"/>
    </row>
    <row r="8" spans="1:45">
      <c r="B8" s="262" t="s">
        <v>116</v>
      </c>
      <c r="C8" s="263"/>
      <c r="D8" s="264" t="str">
        <f>エンティティ一覧!AE2&amp;"_"&amp;D5&amp;"_merge_mml_pc_assessment"</f>
        <v>sny_202310_backup_merge_mml_pc_assessment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milscm_2023_009.sny_202310_backup_merge_mml_pc_assessment;</v>
      </c>
      <c r="O10" s="76"/>
      <c r="P10" s="76"/>
      <c r="Q10" s="76"/>
      <c r="R10" s="76"/>
      <c r="S10" s="76"/>
      <c r="T10" s="76"/>
      <c r="AJ10" s="76" t="str">
        <f>"ALTER TABLE ONLY "&amp;エンティティ一覧!$O$2&amp;"."&amp;D$8</f>
        <v>ALTER TABLE ONLY milscm_2023_009.sny_202310_backup_merge_mml_pc_assessment</v>
      </c>
      <c r="AS10" s="76" t="str">
        <f>"ALTER TABLE "&amp;エンティティ一覧!$O$2&amp;"."&amp;D$8&amp;" OWNER TO pgmisgrp1;"</f>
        <v>ALTER TABLE milscm_2023_009.sny_202310_backup_merge_mml_pc_assessment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milscm_2023_009.sny_202310_backup_merge_mml_pc_assessment</v>
      </c>
      <c r="O11" s="76"/>
      <c r="P11" s="76"/>
      <c r="Q11" s="76"/>
      <c r="R11" s="76"/>
      <c r="S11" s="76"/>
      <c r="T11" s="76"/>
      <c r="AJ11" s="76" t="str">
        <f>"ADD CONSTRAINT "&amp;D$8&amp;"_pkey PRIMARY KEY"</f>
        <v>ADD CONSTRAINT sny_202310_backup_merge_mml_pc_assessment_pkey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1282</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milscm_2023_009.sny_202310_backup_merge_mml_pc_assessment.mil_karute_id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milscm_2023_009.sny_202310_backup_merge_mml_pc_assessment.facility_id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milscm_2023_009.sny_202310_backup_merge_mml_pc_assessment.data_type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milscm_2023_009.sny_202310_backup_merge_mml_pc_assessment.master_id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milscm_2023_009.sny_202310_backup_merge_mml_pc_assessment.uid IS '文書ユニークID';</v>
      </c>
    </row>
    <row r="20" spans="1:52"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1352</v>
      </c>
      <c r="D21" s="13" t="s">
        <v>1353</v>
      </c>
      <c r="E21" s="7" t="s">
        <v>127</v>
      </c>
      <c r="F21" s="7" t="s">
        <v>204</v>
      </c>
      <c r="G21" s="7" t="str">
        <f t="shared" si="3"/>
        <v>integer</v>
      </c>
      <c r="H21" s="58"/>
      <c r="I21" s="23" t="s">
        <v>127</v>
      </c>
      <c r="J21" s="24" t="s">
        <v>1376</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1404</v>
      </c>
      <c r="D22" s="13" t="s">
        <v>1405</v>
      </c>
      <c r="E22" s="7" t="s">
        <v>127</v>
      </c>
      <c r="F22" s="7" t="s">
        <v>204</v>
      </c>
      <c r="G22" s="7" t="str">
        <f t="shared" si="3"/>
        <v>integer</v>
      </c>
      <c r="H22" s="58"/>
      <c r="I22" s="23" t="s">
        <v>127</v>
      </c>
      <c r="J22" s="24" t="s">
        <v>1408</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milscm_2023_009.sny_202310_backup_merge_mml_pc_assessment.assessment_item_seq IS 'アセスメントSEQ';</v>
      </c>
    </row>
    <row r="23" spans="1:52" s="25" customFormat="1" ht="38.25" thickBot="1">
      <c r="A23" s="4"/>
      <c r="B23" s="27">
        <f>ROW()-12</f>
        <v>11</v>
      </c>
      <c r="C23" s="57" t="s">
        <v>1406</v>
      </c>
      <c r="D23" s="57" t="s">
        <v>1407</v>
      </c>
      <c r="E23" s="56"/>
      <c r="F23" s="56" t="s">
        <v>865</v>
      </c>
      <c r="G23" s="56" t="str">
        <f t="shared" si="3"/>
        <v>text</v>
      </c>
      <c r="H23" s="59"/>
      <c r="I23" s="60"/>
      <c r="J23" s="64" t="s">
        <v>1409</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ENT_01_C4-22</v>
      </c>
      <c r="E6" s="273"/>
      <c r="F6" s="273"/>
      <c r="G6" s="273"/>
      <c r="H6" s="273"/>
      <c r="I6" s="273"/>
      <c r="J6" s="274"/>
    </row>
    <row r="7" spans="1:45">
      <c r="B7" s="262" t="s">
        <v>115</v>
      </c>
      <c r="C7" s="263"/>
      <c r="D7" s="264" t="s">
        <v>1411</v>
      </c>
      <c r="E7" s="265"/>
      <c r="F7" s="265"/>
      <c r="G7" s="265"/>
      <c r="H7" s="265"/>
      <c r="I7" s="265"/>
      <c r="J7" s="266"/>
    </row>
    <row r="8" spans="1:45">
      <c r="B8" s="262" t="s">
        <v>116</v>
      </c>
      <c r="C8" s="263"/>
      <c r="D8" s="264" t="str">
        <f>エンティティ一覧!AE2&amp;"_"&amp;D5&amp;"_merge_mml_pc_external_reference"</f>
        <v>sny_202310_backup_merge_mml_pc_external_reference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milscm_2023_009.sny_202310_backup_merge_mml_pc_external_reference;</v>
      </c>
      <c r="O10" s="76"/>
      <c r="P10" s="76"/>
      <c r="Q10" s="76"/>
      <c r="R10" s="76"/>
      <c r="S10" s="76"/>
      <c r="T10" s="76"/>
      <c r="AJ10" s="76" t="str">
        <f>"ALTER TABLE ONLY "&amp;エンティティ一覧!$O$2&amp;"."&amp;D$8</f>
        <v>ALTER TABLE ONLY milscm_2023_009.sny_202310_backup_merge_mml_pc_external_reference</v>
      </c>
      <c r="AS10" s="76" t="str">
        <f>"ALTER TABLE "&amp;エンティティ一覧!$O$2&amp;"."&amp;D$8&amp;" OWNER TO pgmisgrp1;"</f>
        <v>ALTER TABLE milscm_2023_009.sny_202310_backup_merge_mml_pc_external_reference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milscm_2023_009.sny_202310_backup_merge_mml_pc_external_reference</v>
      </c>
      <c r="O11" s="76"/>
      <c r="P11" s="76"/>
      <c r="Q11" s="76"/>
      <c r="R11" s="76"/>
      <c r="S11" s="76"/>
      <c r="T11" s="76"/>
      <c r="AJ11" s="76" t="str">
        <f>"ADD CONSTRAINT "&amp;D$8&amp;"_pkey PRIMARY KEY"</f>
        <v>ADD CONSTRAINT sny_202310_backup_merge_mml_pc_external_reference_pkey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1282</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milscm_2023_009.sny_202310_backup_merge_mml_pc_external_reference.mil_karute_id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milscm_2023_009.sny_202310_backup_merge_mml_pc_external_reference.facility_id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milscm_2023_009.sny_202310_backup_merge_mml_pc_external_reference.data_type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milscm_2023_009.sny_202310_backup_merge_mml_pc_external_reference.master_id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milscm_2023_009.sny_202310_backup_merge_mml_pc_external_reference.uid IS '文書ユニークID';</v>
      </c>
    </row>
    <row r="20" spans="1:52"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milscm_2023_009.sny_202310_backup_merge_mml_pc_external_reference.keika_seq IS '経過記録SEQ';</v>
      </c>
    </row>
    <row r="21" spans="1:52" s="25" customFormat="1" ht="187.5">
      <c r="A21" s="4"/>
      <c r="B21" s="21">
        <f t="shared" si="2"/>
        <v>9</v>
      </c>
      <c r="C21" s="13" t="s">
        <v>1412</v>
      </c>
      <c r="D21" s="13" t="s">
        <v>1413</v>
      </c>
      <c r="E21" s="7" t="s">
        <v>127</v>
      </c>
      <c r="F21" s="7" t="s">
        <v>865</v>
      </c>
      <c r="G21" s="7" t="str">
        <f t="shared" si="3"/>
        <v>text</v>
      </c>
      <c r="H21" s="58"/>
      <c r="I21" s="23" t="s">
        <v>127</v>
      </c>
      <c r="J21" s="24" t="s">
        <v>1426</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1414</v>
      </c>
      <c r="D22" s="13" t="s">
        <v>1415</v>
      </c>
      <c r="E22" s="7" t="s">
        <v>127</v>
      </c>
      <c r="F22" s="7" t="s">
        <v>204</v>
      </c>
      <c r="G22" s="7" t="str">
        <f t="shared" si="3"/>
        <v>integer</v>
      </c>
      <c r="H22" s="58"/>
      <c r="I22" s="23" t="s">
        <v>127</v>
      </c>
      <c r="J22" s="24" t="s">
        <v>1427</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1416</v>
      </c>
      <c r="D23" s="13" t="s">
        <v>1417</v>
      </c>
      <c r="E23" s="7"/>
      <c r="F23" s="7" t="s">
        <v>865</v>
      </c>
      <c r="G23" s="7" t="str">
        <f t="shared" si="3"/>
        <v>text</v>
      </c>
      <c r="H23" s="58"/>
      <c r="I23" s="23"/>
      <c r="J23" s="24" t="s">
        <v>1428</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milscm_2023_009.sny_202310_backup_merge_mml_pc_external_reference.content_type IS 'コンテンツ種別';</v>
      </c>
    </row>
    <row r="24" spans="1:52" s="25" customFormat="1" ht="37.5">
      <c r="A24" s="4"/>
      <c r="B24" s="21">
        <f t="shared" si="2"/>
        <v>12</v>
      </c>
      <c r="C24" s="13" t="s">
        <v>1418</v>
      </c>
      <c r="D24" s="13" t="s">
        <v>1419</v>
      </c>
      <c r="E24" s="7"/>
      <c r="F24" s="7" t="s">
        <v>865</v>
      </c>
      <c r="G24" s="7" t="str">
        <f t="shared" si="3"/>
        <v>text</v>
      </c>
      <c r="H24" s="58"/>
      <c r="I24" s="23"/>
      <c r="J24" s="24" t="s">
        <v>1429</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1420</v>
      </c>
      <c r="D25" s="13" t="s">
        <v>1421</v>
      </c>
      <c r="E25" s="7"/>
      <c r="F25" s="7" t="s">
        <v>865</v>
      </c>
      <c r="G25" s="7" t="str">
        <f t="shared" si="3"/>
        <v>text</v>
      </c>
      <c r="H25" s="58"/>
      <c r="I25" s="23"/>
      <c r="J25" s="24" t="s">
        <v>1430</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1422</v>
      </c>
      <c r="D26" s="13" t="s">
        <v>1423</v>
      </c>
      <c r="E26" s="7"/>
      <c r="F26" s="7" t="s">
        <v>865</v>
      </c>
      <c r="G26" s="7" t="str">
        <f t="shared" si="3"/>
        <v>text</v>
      </c>
      <c r="H26" s="58"/>
      <c r="I26" s="23"/>
      <c r="J26" s="24" t="s">
        <v>1431</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milscm_2023_009.sny_202310_backup_merge_mml_pc_external_reference.gaibu_sansyo_saki IS '外部参照先';</v>
      </c>
    </row>
    <row r="27" spans="1:52" s="25" customFormat="1" ht="19.5" thickBot="1">
      <c r="A27" s="4"/>
      <c r="B27" s="27">
        <f>ROW()-12</f>
        <v>15</v>
      </c>
      <c r="C27" s="57" t="s">
        <v>1424</v>
      </c>
      <c r="D27" s="57" t="s">
        <v>1425</v>
      </c>
      <c r="E27" s="56"/>
      <c r="F27" s="56" t="s">
        <v>865</v>
      </c>
      <c r="G27" s="56" t="str">
        <f t="shared" si="3"/>
        <v>text</v>
      </c>
      <c r="H27" s="59"/>
      <c r="I27" s="60"/>
      <c r="J27" s="64" t="s">
        <v>1432</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ENT_01_C4-23</v>
      </c>
      <c r="E6" s="273"/>
      <c r="F6" s="273"/>
      <c r="G6" s="273"/>
      <c r="H6" s="273"/>
      <c r="I6" s="273"/>
      <c r="J6" s="274"/>
    </row>
    <row r="7" spans="1:45">
      <c r="B7" s="262" t="s">
        <v>115</v>
      </c>
      <c r="C7" s="263"/>
      <c r="D7" s="264" t="s">
        <v>1434</v>
      </c>
      <c r="E7" s="265"/>
      <c r="F7" s="265"/>
      <c r="G7" s="265"/>
      <c r="H7" s="265"/>
      <c r="I7" s="265"/>
      <c r="J7" s="266"/>
    </row>
    <row r="8" spans="1:45">
      <c r="B8" s="262" t="s">
        <v>116</v>
      </c>
      <c r="C8" s="263"/>
      <c r="D8" s="264" t="str">
        <f>エンティティ一覧!AE2&amp;"_"&amp;D5&amp;"_merge_mml_sm_summary"</f>
        <v>sny_202310_backup_merge_mml_sm_summary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milscm_2023_009.sny_202310_backup_merge_mml_sm_summary;</v>
      </c>
      <c r="O10" s="76"/>
      <c r="P10" s="76"/>
      <c r="Q10" s="76"/>
      <c r="R10" s="76"/>
      <c r="S10" s="76"/>
      <c r="T10" s="76"/>
      <c r="AJ10" s="76" t="str">
        <f>"ALTER TABLE ONLY "&amp;エンティティ一覧!$O$2&amp;"."&amp;D$8</f>
        <v>ALTER TABLE ONLY milscm_2023_009.sny_202310_backup_merge_mml_sm_summary</v>
      </c>
      <c r="AS10" s="76" t="str">
        <f>"ALTER TABLE "&amp;エンティティ一覧!$O$2&amp;"."&amp;D$8&amp;" OWNER TO pgmisgrp1;"</f>
        <v>ALTER TABLE milscm_2023_009.sny_202310_backup_merge_mml_sm_summary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milscm_2023_009.sny_202310_backup_merge_mml_sm_summary</v>
      </c>
      <c r="O11" s="76"/>
      <c r="P11" s="76"/>
      <c r="Q11" s="76"/>
      <c r="R11" s="76"/>
      <c r="S11" s="76"/>
      <c r="T11" s="76"/>
      <c r="AJ11" s="76" t="str">
        <f>"ADD CONSTRAINT "&amp;D$8&amp;"_pkey PRIMARY KEY"</f>
        <v>ADD CONSTRAINT sny_202310_backup_merge_mml_sm_summary_pkey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1282</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milscm_2023_009.sny_202310_backup_merge_mml_sm_summary.mil_karute_id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milscm_2023_009.sny_202310_backup_merge_mml_sm_summary.facility_id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milscm_2023_009.sny_202310_backup_merge_mml_sm_summary.data_type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milscm_2023_009.sny_202310_backup_merge_mml_sm_summary.master_id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milscm_2023_009.sny_202310_backup_merge_mml_sm_summary.summary_seq IS '臨床サマリーSEQ';</v>
      </c>
    </row>
    <row r="21" spans="1:45" s="25" customFormat="1" ht="37.5">
      <c r="A21" s="4"/>
      <c r="B21" s="21">
        <f t="shared" si="2"/>
        <v>9</v>
      </c>
      <c r="C21" s="13" t="s">
        <v>1437</v>
      </c>
      <c r="D21" s="13" t="s">
        <v>1438</v>
      </c>
      <c r="E21" s="7"/>
      <c r="F21" s="7" t="s">
        <v>865</v>
      </c>
      <c r="G21" s="7" t="str">
        <f t="shared" si="3"/>
        <v>text</v>
      </c>
      <c r="H21" s="58"/>
      <c r="I21" s="23"/>
      <c r="J21" s="24" t="s">
        <v>1462</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milscm_2023_009.sny_202310_backup_merge_mml_sm_summary.history_start_ymd IS 'サマリー対象期間の開始日';</v>
      </c>
    </row>
    <row r="22" spans="1:45" s="25" customFormat="1" ht="37.5">
      <c r="A22" s="4"/>
      <c r="B22" s="21">
        <f t="shared" si="2"/>
        <v>10</v>
      </c>
      <c r="C22" s="13" t="s">
        <v>1439</v>
      </c>
      <c r="D22" s="13" t="s">
        <v>1440</v>
      </c>
      <c r="E22" s="7"/>
      <c r="F22" s="7" t="s">
        <v>865</v>
      </c>
      <c r="G22" s="7" t="str">
        <f t="shared" si="3"/>
        <v>text</v>
      </c>
      <c r="H22" s="58"/>
      <c r="I22" s="23"/>
      <c r="J22" s="24" t="s">
        <v>1463</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1441</v>
      </c>
      <c r="D23" s="13" t="s">
        <v>1442</v>
      </c>
      <c r="E23" s="7"/>
      <c r="F23" s="7" t="s">
        <v>865</v>
      </c>
      <c r="G23" s="7" t="str">
        <f t="shared" si="3"/>
        <v>text</v>
      </c>
      <c r="H23" s="58"/>
      <c r="I23" s="23"/>
      <c r="J23" s="24" t="s">
        <v>1464</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milscm_2023_009.sny_202310_backup_merge_mml_sm_summary.death_info IS '死亡関連情報';</v>
      </c>
    </row>
    <row r="24" spans="1:45" s="25" customFormat="1" ht="37.5">
      <c r="A24" s="4"/>
      <c r="B24" s="21">
        <f t="shared" si="2"/>
        <v>12</v>
      </c>
      <c r="C24" s="13" t="s">
        <v>1280</v>
      </c>
      <c r="D24" s="13" t="s">
        <v>1281</v>
      </c>
      <c r="E24" s="7"/>
      <c r="F24" s="7" t="s">
        <v>865</v>
      </c>
      <c r="G24" s="7" t="str">
        <f t="shared" si="3"/>
        <v>text</v>
      </c>
      <c r="H24" s="58"/>
      <c r="I24" s="23"/>
      <c r="J24" s="24" t="s">
        <v>1465</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milscm_2023_009.sny_202310_backup_merge_mml_sm_summary.death_date IS '死亡日時';</v>
      </c>
    </row>
    <row r="25" spans="1:45" s="25" customFormat="1" ht="37.5">
      <c r="A25" s="4"/>
      <c r="B25" s="21">
        <f t="shared" si="2"/>
        <v>13</v>
      </c>
      <c r="C25" s="13" t="s">
        <v>1443</v>
      </c>
      <c r="D25" s="13" t="s">
        <v>1444</v>
      </c>
      <c r="E25" s="7"/>
      <c r="F25" s="7" t="s">
        <v>865</v>
      </c>
      <c r="G25" s="7" t="str">
        <f t="shared" si="3"/>
        <v>text</v>
      </c>
      <c r="H25" s="58"/>
      <c r="I25" s="23"/>
      <c r="J25" s="24" t="s">
        <v>1466</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milscm_2023_009.sny_202310_backup_merge_mml_sm_summary.death_autopsy_flag IS '剖検の有無';</v>
      </c>
    </row>
    <row r="26" spans="1:45" s="25" customFormat="1" ht="37.5">
      <c r="A26" s="4"/>
      <c r="B26" s="21">
        <f t="shared" si="2"/>
        <v>14</v>
      </c>
      <c r="C26" s="13" t="s">
        <v>1445</v>
      </c>
      <c r="D26" s="13" t="s">
        <v>1446</v>
      </c>
      <c r="E26" s="7"/>
      <c r="F26" s="7" t="s">
        <v>865</v>
      </c>
      <c r="G26" s="7" t="str">
        <f t="shared" si="3"/>
        <v>text</v>
      </c>
      <c r="H26" s="58"/>
      <c r="I26" s="23"/>
      <c r="J26" s="24" t="s">
        <v>1467</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milscm_2023_009.sny_202310_backup_merge_mml_sm_summary.chief_complaints IS '主訴';</v>
      </c>
    </row>
    <row r="27" spans="1:45" s="25" customFormat="1" ht="37.5">
      <c r="A27" s="4"/>
      <c r="B27" s="21">
        <f t="shared" si="2"/>
        <v>15</v>
      </c>
      <c r="C27" s="13" t="s">
        <v>1447</v>
      </c>
      <c r="D27" s="13" t="s">
        <v>1448</v>
      </c>
      <c r="E27" s="7"/>
      <c r="F27" s="7" t="s">
        <v>865</v>
      </c>
      <c r="G27" s="7" t="str">
        <f t="shared" si="3"/>
        <v>text</v>
      </c>
      <c r="H27" s="58"/>
      <c r="I27" s="23"/>
      <c r="J27" s="24" t="s">
        <v>1468</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milscm_2023_009.sny_202310_backup_merge_mml_sm_summary.patient_profile IS '患者プロフィール';</v>
      </c>
    </row>
    <row r="28" spans="1:45" s="25" customFormat="1" ht="37.5">
      <c r="A28" s="4"/>
      <c r="B28" s="21">
        <f t="shared" si="2"/>
        <v>16</v>
      </c>
      <c r="C28" s="13" t="s">
        <v>1449</v>
      </c>
      <c r="D28" s="13" t="s">
        <v>1450</v>
      </c>
      <c r="E28" s="7"/>
      <c r="F28" s="7" t="s">
        <v>865</v>
      </c>
      <c r="G28" s="7" t="str">
        <f t="shared" si="3"/>
        <v>text</v>
      </c>
      <c r="H28" s="58"/>
      <c r="I28" s="23"/>
      <c r="J28" s="24" t="s">
        <v>1469</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milscm_2023_009.sny_202310_backup_merge_mml_sm_summary.nyuin_history IS '入院までの経過';</v>
      </c>
    </row>
    <row r="29" spans="1:45" s="25" customFormat="1" ht="37.5">
      <c r="A29" s="4"/>
      <c r="B29" s="21">
        <f t="shared" si="2"/>
        <v>17</v>
      </c>
      <c r="C29" s="13" t="s">
        <v>1451</v>
      </c>
      <c r="D29" s="13" t="s">
        <v>1452</v>
      </c>
      <c r="E29" s="7"/>
      <c r="F29" s="7" t="s">
        <v>865</v>
      </c>
      <c r="G29" s="7" t="str">
        <f t="shared" si="3"/>
        <v>text</v>
      </c>
      <c r="H29" s="58"/>
      <c r="I29" s="23"/>
      <c r="J29" s="24" t="s">
        <v>1470</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milscm_2023_009.sny_202310_backup_merge_mml_sm_summary.nyuin_physical_exam IS '入院時理学所見';</v>
      </c>
    </row>
    <row r="30" spans="1:45" s="25" customFormat="1" ht="37.5">
      <c r="A30" s="4"/>
      <c r="B30" s="21">
        <f t="shared" si="2"/>
        <v>18</v>
      </c>
      <c r="C30" s="13" t="s">
        <v>1453</v>
      </c>
      <c r="D30" s="13" t="s">
        <v>1454</v>
      </c>
      <c r="E30" s="7"/>
      <c r="F30" s="7" t="s">
        <v>865</v>
      </c>
      <c r="G30" s="7" t="str">
        <f t="shared" si="3"/>
        <v>text</v>
      </c>
      <c r="H30" s="58"/>
      <c r="I30" s="23"/>
      <c r="J30" s="24" t="s">
        <v>1471</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milscm_2023_009.sny_202310_backup_merge_mml_sm_summary.taiin_findings IS '退院時所見';</v>
      </c>
    </row>
    <row r="31" spans="1:45" s="25" customFormat="1" ht="37.5">
      <c r="A31" s="4"/>
      <c r="B31" s="21">
        <f t="shared" si="2"/>
        <v>19</v>
      </c>
      <c r="C31" s="13" t="s">
        <v>1455</v>
      </c>
      <c r="D31" s="13" t="s">
        <v>1456</v>
      </c>
      <c r="E31" s="7"/>
      <c r="F31" s="7" t="s">
        <v>865</v>
      </c>
      <c r="G31" s="7" t="str">
        <f t="shared" si="3"/>
        <v>text</v>
      </c>
      <c r="H31" s="58"/>
      <c r="I31" s="23"/>
      <c r="J31" s="24" t="s">
        <v>1472</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milscm_2023_009.sny_202310_backup_merge_mml_sm_summary.taiin_medication IS '退院時処方';</v>
      </c>
    </row>
    <row r="32" spans="1:45" s="25" customFormat="1" ht="37.5">
      <c r="A32" s="4"/>
      <c r="B32" s="21">
        <f t="shared" si="2"/>
        <v>20</v>
      </c>
      <c r="C32" s="13" t="s">
        <v>1457</v>
      </c>
      <c r="D32" s="13" t="s">
        <v>1458</v>
      </c>
      <c r="E32" s="7"/>
      <c r="F32" s="7" t="s">
        <v>865</v>
      </c>
      <c r="G32" s="7" t="str">
        <f t="shared" si="3"/>
        <v>text</v>
      </c>
      <c r="H32" s="58"/>
      <c r="I32" s="23"/>
      <c r="J32" s="24" t="s">
        <v>1473</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milscm_2023_009.sny_202310_backup_merge_mml_sm_summary.taiin_chiryo_plan IS '退院後治療方針';</v>
      </c>
    </row>
    <row r="33" spans="1:52" s="25" customFormat="1" ht="38.25" thickBot="1">
      <c r="A33" s="4"/>
      <c r="B33" s="27">
        <f>ROW()-12</f>
        <v>21</v>
      </c>
      <c r="C33" s="57" t="s">
        <v>1459</v>
      </c>
      <c r="D33" s="57" t="s">
        <v>1460</v>
      </c>
      <c r="E33" s="56"/>
      <c r="F33" s="56" t="s">
        <v>865</v>
      </c>
      <c r="G33" s="56" t="str">
        <f t="shared" si="3"/>
        <v>text</v>
      </c>
      <c r="H33" s="59"/>
      <c r="I33" s="60"/>
      <c r="J33" s="64" t="s">
        <v>1474</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ENT_01_C4-24</v>
      </c>
      <c r="E6" s="273"/>
      <c r="F6" s="273"/>
      <c r="G6" s="273"/>
      <c r="H6" s="273"/>
      <c r="I6" s="273"/>
      <c r="J6" s="274"/>
    </row>
    <row r="7" spans="1:45">
      <c r="B7" s="262" t="s">
        <v>115</v>
      </c>
      <c r="C7" s="263"/>
      <c r="D7" s="264" t="s">
        <v>1476</v>
      </c>
      <c r="E7" s="265"/>
      <c r="F7" s="265"/>
      <c r="G7" s="265"/>
      <c r="H7" s="265"/>
      <c r="I7" s="265"/>
      <c r="J7" s="266"/>
    </row>
    <row r="8" spans="1:45">
      <c r="B8" s="262" t="s">
        <v>116</v>
      </c>
      <c r="C8" s="263"/>
      <c r="D8" s="264" t="str">
        <f>エンティティ一覧!AE2&amp;"_"&amp;D5&amp;"_merge_mml_sm_out_patient"</f>
        <v>sny_202310_backup_merge_mml_sm_out_patient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milscm_2023_009.sny_202310_backup_merge_mml_sm_out_patient;</v>
      </c>
      <c r="O10" s="76"/>
      <c r="P10" s="76"/>
      <c r="Q10" s="76"/>
      <c r="R10" s="76"/>
      <c r="S10" s="76"/>
      <c r="T10" s="76"/>
      <c r="AJ10" s="76" t="str">
        <f>"ALTER TABLE ONLY "&amp;エンティティ一覧!$O$2&amp;"."&amp;D$8</f>
        <v>ALTER TABLE ONLY milscm_2023_009.sny_202310_backup_merge_mml_sm_out_patient</v>
      </c>
      <c r="AS10" s="76" t="str">
        <f>"ALTER TABLE "&amp;エンティティ一覧!$O$2&amp;"."&amp;D$8&amp;" OWNER TO pgmisgrp1;"</f>
        <v>ALTER TABLE milscm_2023_009.sny_202310_backup_merge_mml_sm_out_patient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milscm_2023_009.sny_202310_backup_merge_mml_sm_out_patient</v>
      </c>
      <c r="O11" s="76"/>
      <c r="P11" s="76"/>
      <c r="Q11" s="76"/>
      <c r="R11" s="76"/>
      <c r="S11" s="76"/>
      <c r="T11" s="76"/>
      <c r="AJ11" s="76" t="str">
        <f>"ADD CONSTRAINT "&amp;D$8&amp;"_pkey PRIMARY KEY"</f>
        <v>ADD CONSTRAINT sny_202310_backup_merge_mml_sm_out_patient_pkey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1282</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milscm_2023_009.sny_202310_backup_merge_mml_sm_out_patient.mil_karute_id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milscm_2023_009.sny_202310_backup_merge_mml_sm_out_patient.facility_id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milscm_2023_009.sny_202310_backup_merge_mml_sm_out_patient.data_type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milscm_2023_009.sny_202310_backup_merge_mml_sm_out_patient.master_id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1477</v>
      </c>
      <c r="D21" s="13" t="s">
        <v>1478</v>
      </c>
      <c r="E21" s="7" t="s">
        <v>127</v>
      </c>
      <c r="F21" s="7" t="s">
        <v>204</v>
      </c>
      <c r="G21" s="7" t="str">
        <f t="shared" si="3"/>
        <v>integer</v>
      </c>
      <c r="H21" s="58"/>
      <c r="I21" s="23" t="s">
        <v>127</v>
      </c>
      <c r="J21" s="24" t="s">
        <v>1487</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milscm_2023_009.sny_202310_backup_merge_mml_sm_out_patient.gairai_seq IS '個々の外来受診歴SEQ';</v>
      </c>
    </row>
    <row r="22" spans="1:52" s="25" customFormat="1" ht="37.5">
      <c r="A22" s="4"/>
      <c r="B22" s="21">
        <f t="shared" si="2"/>
        <v>10</v>
      </c>
      <c r="C22" s="13" t="s">
        <v>1479</v>
      </c>
      <c r="D22" s="13" t="s">
        <v>1480</v>
      </c>
      <c r="E22" s="7"/>
      <c r="F22" s="7" t="s">
        <v>865</v>
      </c>
      <c r="G22" s="7" t="str">
        <f t="shared" si="3"/>
        <v>text</v>
      </c>
      <c r="H22" s="58"/>
      <c r="I22" s="23"/>
      <c r="J22" s="24" t="s">
        <v>1488</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1481</v>
      </c>
      <c r="D23" s="13" t="s">
        <v>1482</v>
      </c>
      <c r="E23" s="7"/>
      <c r="F23" s="7" t="s">
        <v>865</v>
      </c>
      <c r="G23" s="7" t="str">
        <f t="shared" si="3"/>
        <v>text</v>
      </c>
      <c r="H23" s="58"/>
      <c r="I23" s="23"/>
      <c r="J23" s="24" t="s">
        <v>1489</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milscm_2023_009.sny_202310_backup_merge_mml_sm_out_patient.gairai_state IS '外来受診状態';</v>
      </c>
    </row>
    <row r="24" spans="1:52" s="25" customFormat="1" ht="37.5">
      <c r="A24" s="4"/>
      <c r="B24" s="21">
        <f t="shared" si="2"/>
        <v>12</v>
      </c>
      <c r="C24" s="13" t="s">
        <v>1483</v>
      </c>
      <c r="D24" s="13" t="s">
        <v>1484</v>
      </c>
      <c r="E24" s="7"/>
      <c r="F24" s="7" t="s">
        <v>865</v>
      </c>
      <c r="G24" s="7" t="str">
        <f t="shared" si="3"/>
        <v>text</v>
      </c>
      <c r="H24" s="58"/>
      <c r="I24" s="23"/>
      <c r="J24" s="24" t="s">
        <v>1490</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milscm_2023_009.sny_202310_backup_merge_mml_sm_out_patient.first_flag IS '初診フラグ';</v>
      </c>
    </row>
    <row r="25" spans="1:52" s="25" customFormat="1" ht="57" thickBot="1">
      <c r="A25" s="4"/>
      <c r="B25" s="27">
        <f>ROW()-12</f>
        <v>13</v>
      </c>
      <c r="C25" s="57" t="s">
        <v>1485</v>
      </c>
      <c r="D25" s="57" t="s">
        <v>1486</v>
      </c>
      <c r="E25" s="56"/>
      <c r="F25" s="56" t="s">
        <v>865</v>
      </c>
      <c r="G25" s="56" t="str">
        <f t="shared" si="3"/>
        <v>text</v>
      </c>
      <c r="H25" s="59"/>
      <c r="I25" s="60"/>
      <c r="J25" s="64" t="s">
        <v>1491</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ENT_01_C4-25</v>
      </c>
      <c r="E6" s="273"/>
      <c r="F6" s="273"/>
      <c r="G6" s="273"/>
      <c r="H6" s="273"/>
      <c r="I6" s="273"/>
      <c r="J6" s="274"/>
    </row>
    <row r="7" spans="1:45">
      <c r="B7" s="262" t="s">
        <v>115</v>
      </c>
      <c r="C7" s="263"/>
      <c r="D7" s="264" t="s">
        <v>1493</v>
      </c>
      <c r="E7" s="265"/>
      <c r="F7" s="265"/>
      <c r="G7" s="265"/>
      <c r="H7" s="265"/>
      <c r="I7" s="265"/>
      <c r="J7" s="266"/>
    </row>
    <row r="8" spans="1:45">
      <c r="B8" s="262" t="s">
        <v>116</v>
      </c>
      <c r="C8" s="263"/>
      <c r="D8" s="264" t="str">
        <f>エンティティ一覧!AE2&amp;"_"&amp;D5&amp;"_merge_mml_sm_in_patient"</f>
        <v>sny_202310_backup_merge_mml_sm_in_patient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milscm_2023_009.sny_202310_backup_merge_mml_sm_in_patient;</v>
      </c>
      <c r="O10" s="76"/>
      <c r="P10" s="76"/>
      <c r="Q10" s="76"/>
      <c r="R10" s="76"/>
      <c r="S10" s="76"/>
      <c r="T10" s="76"/>
      <c r="AJ10" s="76" t="str">
        <f>"ALTER TABLE ONLY "&amp;エンティティ一覧!$O$2&amp;"."&amp;D$8</f>
        <v>ALTER TABLE ONLY milscm_2023_009.sny_202310_backup_merge_mml_sm_in_patient</v>
      </c>
      <c r="AS10" s="76" t="str">
        <f>"ALTER TABLE "&amp;エンティティ一覧!$O$2&amp;"."&amp;D$8&amp;" OWNER TO pgmisgrp1;"</f>
        <v>ALTER TABLE milscm_2023_009.sny_202310_backup_merge_mml_sm_in_patient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milscm_2023_009.sny_202310_backup_merge_mml_sm_in_patient</v>
      </c>
      <c r="O11" s="76"/>
      <c r="P11" s="76"/>
      <c r="Q11" s="76"/>
      <c r="R11" s="76"/>
      <c r="S11" s="76"/>
      <c r="T11" s="76"/>
      <c r="AJ11" s="76" t="str">
        <f>"ADD CONSTRAINT "&amp;D$8&amp;"_pkey PRIMARY KEY"</f>
        <v>ADD CONSTRAINT sny_202310_backup_merge_mml_sm_in_patient_pkey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1282</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milscm_2023_009.sny_202310_backup_merge_mml_sm_in_patient.mil_karute_id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milscm_2023_009.sny_202310_backup_merge_mml_sm_in_patient.facility_id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milscm_2023_009.sny_202310_backup_merge_mml_sm_in_patient.data_type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milscm_2023_009.sny_202310_backup_merge_mml_sm_in_patient.master_id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1494</v>
      </c>
      <c r="D21" s="13" t="s">
        <v>1495</v>
      </c>
      <c r="E21" s="7" t="s">
        <v>127</v>
      </c>
      <c r="F21" s="7" t="s">
        <v>204</v>
      </c>
      <c r="G21" s="7" t="str">
        <f t="shared" si="3"/>
        <v>integer</v>
      </c>
      <c r="H21" s="58"/>
      <c r="I21" s="23" t="s">
        <v>127</v>
      </c>
      <c r="J21" s="24" t="s">
        <v>1509</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milscm_2023_009.sny_202310_backup_merge_mml_sm_in_patient.nyuin_seq IS '個々の入院歴SEQ';</v>
      </c>
    </row>
    <row r="22" spans="1:52" s="25" customFormat="1" ht="37.5">
      <c r="A22" s="4"/>
      <c r="B22" s="21">
        <f t="shared" si="2"/>
        <v>10</v>
      </c>
      <c r="C22" s="13" t="s">
        <v>1496</v>
      </c>
      <c r="D22" s="13" t="s">
        <v>156</v>
      </c>
      <c r="E22" s="7"/>
      <c r="F22" s="7" t="s">
        <v>865</v>
      </c>
      <c r="G22" s="7" t="str">
        <f t="shared" si="3"/>
        <v>text</v>
      </c>
      <c r="H22" s="58"/>
      <c r="I22" s="23"/>
      <c r="J22" s="24" t="s">
        <v>1510</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milscm_2023_009.sny_202310_backup_merge_mml_sm_in_patient.nyuin_ymd IS '入院（転入）日';</v>
      </c>
    </row>
    <row r="23" spans="1:52" s="25" customFormat="1" ht="37.5">
      <c r="A23" s="4"/>
      <c r="B23" s="21">
        <f t="shared" si="2"/>
        <v>11</v>
      </c>
      <c r="C23" s="13" t="s">
        <v>1497</v>
      </c>
      <c r="D23" s="13" t="s">
        <v>1498</v>
      </c>
      <c r="E23" s="7"/>
      <c r="F23" s="7" t="s">
        <v>865</v>
      </c>
      <c r="G23" s="7" t="str">
        <f t="shared" si="3"/>
        <v>text</v>
      </c>
      <c r="H23" s="58"/>
      <c r="I23" s="23"/>
      <c r="J23" s="24" t="s">
        <v>1511</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milscm_2023_009.sny_202310_backup_merge_mml_sm_in_patient.nyuin_state IS '入院時状態';</v>
      </c>
    </row>
    <row r="24" spans="1:52" s="25" customFormat="1" ht="56.25">
      <c r="A24" s="4"/>
      <c r="B24" s="21">
        <f t="shared" si="2"/>
        <v>12</v>
      </c>
      <c r="C24" s="13" t="s">
        <v>1499</v>
      </c>
      <c r="D24" s="13" t="s">
        <v>1500</v>
      </c>
      <c r="E24" s="7"/>
      <c r="F24" s="7" t="s">
        <v>865</v>
      </c>
      <c r="G24" s="7" t="str">
        <f t="shared" si="3"/>
        <v>text</v>
      </c>
      <c r="H24" s="58"/>
      <c r="I24" s="23"/>
      <c r="J24" s="24" t="s">
        <v>1512</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milscm_2023_009.sny_202310_backup_merge_mml_sm_in_patient.emergency_nyuin_flag IS '緊急入院フラグ';</v>
      </c>
    </row>
    <row r="25" spans="1:52" s="25" customFormat="1" ht="93.75">
      <c r="A25" s="4"/>
      <c r="B25" s="21">
        <f t="shared" si="2"/>
        <v>13</v>
      </c>
      <c r="C25" s="13" t="s">
        <v>1501</v>
      </c>
      <c r="D25" s="13" t="s">
        <v>1502</v>
      </c>
      <c r="E25" s="7"/>
      <c r="F25" s="7" t="s">
        <v>865</v>
      </c>
      <c r="G25" s="7" t="str">
        <f t="shared" si="3"/>
        <v>text</v>
      </c>
      <c r="H25" s="58"/>
      <c r="I25" s="23"/>
      <c r="J25" s="24" t="s">
        <v>1517</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milscm_2023_009.sny_202310_backup_merge_mml_sm_in_patient.shokai_moto_facility IS '紹介元施設';</v>
      </c>
    </row>
    <row r="26" spans="1:52" s="25" customFormat="1" ht="37.5">
      <c r="A26" s="4"/>
      <c r="B26" s="21">
        <f t="shared" si="2"/>
        <v>14</v>
      </c>
      <c r="C26" s="13" t="s">
        <v>1503</v>
      </c>
      <c r="D26" s="13" t="s">
        <v>212</v>
      </c>
      <c r="E26" s="7"/>
      <c r="F26" s="7" t="s">
        <v>865</v>
      </c>
      <c r="G26" s="7" t="str">
        <f t="shared" si="3"/>
        <v>text</v>
      </c>
      <c r="H26" s="58"/>
      <c r="I26" s="23"/>
      <c r="J26" s="24" t="s">
        <v>1513</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milscm_2023_009.sny_202310_backup_merge_mml_sm_in_patient.taiin_ymd IS '退院（転出）日';</v>
      </c>
    </row>
    <row r="27" spans="1:52" s="25" customFormat="1" ht="37.5">
      <c r="A27" s="4"/>
      <c r="B27" s="21">
        <f t="shared" si="2"/>
        <v>15</v>
      </c>
      <c r="C27" s="13" t="s">
        <v>1504</v>
      </c>
      <c r="D27" s="13" t="s">
        <v>1505</v>
      </c>
      <c r="E27" s="7"/>
      <c r="F27" s="7" t="s">
        <v>865</v>
      </c>
      <c r="G27" s="7" t="str">
        <f t="shared" si="3"/>
        <v>text</v>
      </c>
      <c r="H27" s="58"/>
      <c r="I27" s="23"/>
      <c r="J27" s="24" t="s">
        <v>1514</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milscm_2023_009.sny_202310_backup_merge_mml_sm_in_patient.taiin_state IS '退院時状態';</v>
      </c>
    </row>
    <row r="28" spans="1:52" s="25" customFormat="1" ht="56.25">
      <c r="A28" s="4"/>
      <c r="B28" s="21">
        <f t="shared" si="2"/>
        <v>16</v>
      </c>
      <c r="C28" s="13" t="s">
        <v>593</v>
      </c>
      <c r="D28" s="13" t="s">
        <v>1506</v>
      </c>
      <c r="E28" s="7"/>
      <c r="F28" s="7" t="s">
        <v>865</v>
      </c>
      <c r="G28" s="7" t="str">
        <f t="shared" si="3"/>
        <v>text</v>
      </c>
      <c r="H28" s="58"/>
      <c r="I28" s="23"/>
      <c r="J28" s="24" t="s">
        <v>1515</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milscm_2023_009.sny_202310_backup_merge_mml_sm_in_patient.taiin_tenki IS '退院時転帰';</v>
      </c>
    </row>
    <row r="29" spans="1:52" s="25" customFormat="1" ht="94.5" thickBot="1">
      <c r="A29" s="4"/>
      <c r="B29" s="27">
        <f>ROW()-12</f>
        <v>17</v>
      </c>
      <c r="C29" s="57" t="s">
        <v>1507</v>
      </c>
      <c r="D29" s="57" t="s">
        <v>1508</v>
      </c>
      <c r="E29" s="56"/>
      <c r="F29" s="56" t="s">
        <v>865</v>
      </c>
      <c r="G29" s="56" t="str">
        <f t="shared" si="3"/>
        <v>text</v>
      </c>
      <c r="H29" s="59"/>
      <c r="I29" s="60"/>
      <c r="J29" s="64" t="s">
        <v>1516</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ENT_01_C4-29</v>
      </c>
      <c r="E6" s="273"/>
      <c r="F6" s="273"/>
      <c r="G6" s="273"/>
      <c r="H6" s="273"/>
      <c r="I6" s="273"/>
      <c r="J6" s="274"/>
    </row>
    <row r="7" spans="1:45">
      <c r="B7" s="262" t="s">
        <v>115</v>
      </c>
      <c r="C7" s="263"/>
      <c r="D7" s="264" t="s">
        <v>1519</v>
      </c>
      <c r="E7" s="265"/>
      <c r="F7" s="265"/>
      <c r="G7" s="265"/>
      <c r="H7" s="265"/>
      <c r="I7" s="265"/>
      <c r="J7" s="266"/>
    </row>
    <row r="8" spans="1:45">
      <c r="B8" s="262" t="s">
        <v>116</v>
      </c>
      <c r="C8" s="263"/>
      <c r="D8" s="264" t="str">
        <f>エンティティ一覧!AE2&amp;"_"&amp;D5&amp;"_merge_mml_sm_clinical_course"</f>
        <v>sny_202310_backup_merge_mml_sm_clinical_course</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milscm_2023_009.sny_202310_backup_merge_mml_sm_clinical_course;</v>
      </c>
      <c r="O10" s="76"/>
      <c r="P10" s="76"/>
      <c r="Q10" s="76"/>
      <c r="R10" s="76"/>
      <c r="S10" s="76"/>
      <c r="T10" s="76"/>
      <c r="AJ10" s="76" t="str">
        <f>"ALTER TABLE ONLY "&amp;エンティティ一覧!$O$2&amp;"."&amp;D$8</f>
        <v>ALTER TABLE ONLY milscm_2023_009.sny_202310_backup_merge_mml_sm_clinical_course</v>
      </c>
      <c r="AS10" s="76" t="str">
        <f>"ALTER TABLE "&amp;エンティティ一覧!$O$2&amp;"."&amp;D$8&amp;" OWNER TO pgmisgrp1;"</f>
        <v>ALTER TABLE milscm_2023_009.sny_202310_backup_merge_mml_sm_clinical_course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milscm_2023_009.sny_202310_backup_merge_mml_sm_clinical_course</v>
      </c>
      <c r="O11" s="76"/>
      <c r="P11" s="76"/>
      <c r="Q11" s="76"/>
      <c r="R11" s="76"/>
      <c r="S11" s="76"/>
      <c r="T11" s="76"/>
      <c r="AJ11" s="76" t="str">
        <f>"ADD CONSTRAINT "&amp;D$8&amp;"_pkey PRIMARY KEY"</f>
        <v>ADD CONSTRAINT sny_202310_backup_merge_mml_sm_clinical_course_pkey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1282</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milscm_2023_009.sny_202310_backup_merge_mml_sm_clinical_course.mil_karute_id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milscm_2023_009.sny_202310_backup_merge_mml_sm_clinical_course.facility_id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milscm_2023_009.sny_202310_backup_merge_mml_sm_clinical_course.data_type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milscm_2023_009.sny_202310_backup_merge_mml_sm_clinical_course.master_id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1344</v>
      </c>
      <c r="D21" s="13" t="s">
        <v>1345</v>
      </c>
      <c r="E21" s="7" t="s">
        <v>127</v>
      </c>
      <c r="F21" s="7" t="s">
        <v>204</v>
      </c>
      <c r="G21" s="7" t="str">
        <f t="shared" si="3"/>
        <v>integer</v>
      </c>
      <c r="H21" s="58"/>
      <c r="I21" s="23" t="s">
        <v>127</v>
      </c>
      <c r="J21" s="24" t="s">
        <v>1528</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milscm_2023_009.sny_202310_backup_merge_mml_sm_clinical_course.keika_seq IS '経過記録SEQ';</v>
      </c>
    </row>
    <row r="22" spans="1:52" s="25" customFormat="1" ht="37.5">
      <c r="A22" s="4"/>
      <c r="B22" s="21">
        <f t="shared" si="2"/>
        <v>10</v>
      </c>
      <c r="C22" s="13" t="s">
        <v>1520</v>
      </c>
      <c r="D22" s="13" t="s">
        <v>1521</v>
      </c>
      <c r="E22" s="7"/>
      <c r="F22" s="7" t="s">
        <v>865</v>
      </c>
      <c r="G22" s="7" t="str">
        <f t="shared" si="3"/>
        <v>text</v>
      </c>
      <c r="H22" s="58"/>
      <c r="I22" s="23"/>
      <c r="J22" s="24" t="s">
        <v>1529</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milscm_2023_009.sny_202310_backup_merge_mml_sm_clinical_course.keika_kiroku IS '経過記録';</v>
      </c>
    </row>
    <row r="23" spans="1:52" s="25" customFormat="1" ht="37.5">
      <c r="A23" s="4"/>
      <c r="B23" s="21">
        <f t="shared" si="2"/>
        <v>11</v>
      </c>
      <c r="C23" s="13" t="s">
        <v>1522</v>
      </c>
      <c r="D23" s="13" t="s">
        <v>1523</v>
      </c>
      <c r="E23" s="7"/>
      <c r="F23" s="7" t="s">
        <v>865</v>
      </c>
      <c r="G23" s="7" t="str">
        <f t="shared" si="3"/>
        <v>text</v>
      </c>
      <c r="H23" s="58"/>
      <c r="I23" s="23"/>
      <c r="J23" s="24" t="s">
        <v>1530</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milscm_2023_009.sny_202310_backup_merge_mml_sm_clinical_course.event_date IS 'イベント発生日時';</v>
      </c>
    </row>
    <row r="24" spans="1:52" s="25" customFormat="1" ht="37.5">
      <c r="A24" s="4"/>
      <c r="B24" s="21">
        <f t="shared" si="2"/>
        <v>12</v>
      </c>
      <c r="C24" s="13" t="s">
        <v>1524</v>
      </c>
      <c r="D24" s="13" t="s">
        <v>1525</v>
      </c>
      <c r="E24" s="7"/>
      <c r="F24" s="7" t="s">
        <v>865</v>
      </c>
      <c r="G24" s="7" t="str">
        <f t="shared" si="3"/>
        <v>text</v>
      </c>
      <c r="H24" s="58"/>
      <c r="I24" s="23"/>
      <c r="J24" s="24" t="s">
        <v>1531</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milscm_2023_009.sny_202310_backup_merge_mml_sm_clinical_course.kanren_doc_uid IS '関連文書のuid';</v>
      </c>
    </row>
    <row r="25" spans="1:52" s="25" customFormat="1" ht="75.75" thickBot="1">
      <c r="A25" s="4"/>
      <c r="B25" s="27">
        <f>ROW()-12</f>
        <v>13</v>
      </c>
      <c r="C25" s="57" t="s">
        <v>1526</v>
      </c>
      <c r="D25" s="57" t="s">
        <v>1527</v>
      </c>
      <c r="E25" s="56"/>
      <c r="F25" s="56" t="s">
        <v>865</v>
      </c>
      <c r="G25" s="56" t="str">
        <f t="shared" si="3"/>
        <v>text</v>
      </c>
      <c r="H25" s="59"/>
      <c r="I25" s="60"/>
      <c r="J25" s="64" t="s">
        <v>1532</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ENT_01_C4-30</v>
      </c>
      <c r="E6" s="273"/>
      <c r="F6" s="273"/>
      <c r="G6" s="273"/>
      <c r="H6" s="273"/>
      <c r="I6" s="273"/>
      <c r="J6" s="274"/>
    </row>
    <row r="7" spans="1:45">
      <c r="B7" s="262" t="s">
        <v>115</v>
      </c>
      <c r="C7" s="263"/>
      <c r="D7" s="264" t="s">
        <v>1534</v>
      </c>
      <c r="E7" s="265"/>
      <c r="F7" s="265"/>
      <c r="G7" s="265"/>
      <c r="H7" s="265"/>
      <c r="I7" s="265"/>
      <c r="J7" s="266"/>
    </row>
    <row r="8" spans="1:45">
      <c r="B8" s="262" t="s">
        <v>116</v>
      </c>
      <c r="C8" s="263"/>
      <c r="D8" s="264" t="str">
        <f>エンティティ一覧!AE2&amp;"_"&amp;D5&amp;"_merge_mml_sm_test_results"</f>
        <v>sny_202310_backup_merge_mml_sm_test_results</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milscm_2023_009.sny_202310_backup_merge_mml_sm_test_results;</v>
      </c>
      <c r="O10" s="76"/>
      <c r="P10" s="76"/>
      <c r="Q10" s="76"/>
      <c r="R10" s="76"/>
      <c r="S10" s="76"/>
      <c r="T10" s="76"/>
      <c r="AJ10" s="76" t="str">
        <f>"ALTER TABLE ONLY "&amp;エンティティ一覧!$O$2&amp;"."&amp;D$8</f>
        <v>ALTER TABLE ONLY milscm_2023_009.sny_202310_backup_merge_mml_sm_test_results</v>
      </c>
      <c r="AS10" s="76" t="str">
        <f>"ALTER TABLE "&amp;エンティティ一覧!$O$2&amp;"."&amp;D$8&amp;" OWNER TO pgmisgrp1;"</f>
        <v>ALTER TABLE milscm_2023_009.sny_202310_backup_merge_mml_sm_test_results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milscm_2023_009.sny_202310_backup_merge_mml_sm_test_results</v>
      </c>
      <c r="O11" s="76"/>
      <c r="P11" s="76"/>
      <c r="Q11" s="76"/>
      <c r="R11" s="76"/>
      <c r="S11" s="76"/>
      <c r="T11" s="76"/>
      <c r="AJ11" s="76" t="str">
        <f>"ADD CONSTRAINT "&amp;D$8&amp;"_pkey PRIMARY KEY"</f>
        <v>ADD CONSTRAINT sny_202310_backup_merge_mml_sm_test_results_pkey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1282</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milscm_2023_009.sny_202310_backup_merge_mml_sm_test_results.mil_karute_id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milscm_2023_009.sny_202310_backup_merge_mml_sm_test_results.facility_id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milscm_2023_009.sny_202310_backup_merge_mml_sm_test_results.data_type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milscm_2023_009.sny_202310_backup_merge_mml_sm_test_results.master_id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1536</v>
      </c>
      <c r="D21" s="13" t="s">
        <v>1537</v>
      </c>
      <c r="E21" s="7" t="s">
        <v>127</v>
      </c>
      <c r="F21" s="7" t="s">
        <v>204</v>
      </c>
      <c r="G21" s="7" t="str">
        <f t="shared" si="3"/>
        <v>integer</v>
      </c>
      <c r="H21" s="58"/>
      <c r="I21" s="23" t="s">
        <v>127</v>
      </c>
      <c r="J21" s="24" t="s">
        <v>1540</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milscm_2023_009.sny_202310_backup_merge_mml_sm_test_results.kensa_seq IS '個々の検査結果SEQ';</v>
      </c>
    </row>
    <row r="22" spans="1:52" s="25" customFormat="1" ht="37.5">
      <c r="A22" s="4"/>
      <c r="B22" s="21">
        <f t="shared" si="2"/>
        <v>10</v>
      </c>
      <c r="C22" s="13" t="s">
        <v>1538</v>
      </c>
      <c r="D22" s="13" t="s">
        <v>1539</v>
      </c>
      <c r="E22" s="7"/>
      <c r="F22" s="7" t="s">
        <v>865</v>
      </c>
      <c r="G22" s="7" t="str">
        <f t="shared" si="3"/>
        <v>text</v>
      </c>
      <c r="H22" s="58"/>
      <c r="I22" s="23"/>
      <c r="J22" s="24" t="s">
        <v>1541</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milscm_2023_009.sny_202310_backup_merge_mml_sm_test_results.kensa_result_value IS '個々の検査結果';</v>
      </c>
    </row>
    <row r="23" spans="1:52" s="25" customFormat="1" ht="38.25" thickBot="1">
      <c r="A23" s="4"/>
      <c r="B23" s="27">
        <f>ROW()-12</f>
        <v>11</v>
      </c>
      <c r="C23" s="57" t="s">
        <v>1522</v>
      </c>
      <c r="D23" s="57" t="s">
        <v>1523</v>
      </c>
      <c r="E23" s="56"/>
      <c r="F23" s="56" t="s">
        <v>865</v>
      </c>
      <c r="G23" s="56" t="str">
        <f t="shared" si="3"/>
        <v>text</v>
      </c>
      <c r="H23" s="59"/>
      <c r="I23" s="60"/>
      <c r="J23" s="64" t="s">
        <v>1542</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ENT_01_C4-31</v>
      </c>
      <c r="E6" s="273"/>
      <c r="F6" s="273"/>
      <c r="G6" s="273"/>
      <c r="H6" s="273"/>
      <c r="I6" s="273"/>
      <c r="J6" s="274"/>
    </row>
    <row r="7" spans="1:45">
      <c r="B7" s="262" t="s">
        <v>115</v>
      </c>
      <c r="C7" s="263"/>
      <c r="D7" s="264" t="s">
        <v>1543</v>
      </c>
      <c r="E7" s="265"/>
      <c r="F7" s="265"/>
      <c r="G7" s="265"/>
      <c r="H7" s="265"/>
      <c r="I7" s="265"/>
      <c r="J7" s="266"/>
    </row>
    <row r="8" spans="1:45">
      <c r="B8" s="262" t="s">
        <v>116</v>
      </c>
      <c r="C8" s="263"/>
      <c r="D8" s="264" t="str">
        <f>エンティティ一覧!AE2&amp;"_"&amp;D5&amp;"_merge_mml_lb_test"</f>
        <v>sny_202310_backup_merge_mml_lb_test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milscm_2023_009.sny_202310_backup_merge_mml_lb_test;</v>
      </c>
      <c r="O10" s="76"/>
      <c r="P10" s="76"/>
      <c r="Q10" s="76"/>
      <c r="R10" s="76"/>
      <c r="S10" s="76"/>
      <c r="T10" s="76"/>
      <c r="AJ10" s="76" t="str">
        <f>"ALTER TABLE ONLY "&amp;エンティティ一覧!$O$2&amp;"."&amp;D$8</f>
        <v>ALTER TABLE ONLY milscm_2023_009.sny_202310_backup_merge_mml_lb_test</v>
      </c>
      <c r="AS10" s="76" t="str">
        <f>"ALTER TABLE "&amp;エンティティ一覧!$O$2&amp;"."&amp;D$8&amp;" OWNER TO pgmisgrp1;"</f>
        <v>ALTER TABLE milscm_2023_009.sny_202310_backup_merge_mml_lb_test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milscm_2023_009.sny_202310_backup_merge_mml_lb_test</v>
      </c>
      <c r="O11" s="76"/>
      <c r="P11" s="76"/>
      <c r="Q11" s="76"/>
      <c r="R11" s="76"/>
      <c r="S11" s="76"/>
      <c r="T11" s="76"/>
      <c r="AJ11" s="76" t="str">
        <f>"ADD CONSTRAINT "&amp;D$8&amp;"_pkey PRIMARY KEY"</f>
        <v>ADD CONSTRAINT sny_202310_backup_merge_mml_lb_test_pkey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milscm_2023_009.sny_202310_backup_merge_mml_lb_test.mil_karute_id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milscm_2023_009.sny_202310_backup_merge_mml_lb_test.facility_id IS '施設ID';</v>
      </c>
    </row>
    <row r="16" spans="1:45" s="25" customFormat="1" ht="75">
      <c r="A16" s="4"/>
      <c r="B16" s="21">
        <f t="shared" si="2"/>
        <v>4</v>
      </c>
      <c r="C16" s="13" t="s">
        <v>1242</v>
      </c>
      <c r="D16" s="13" t="s">
        <v>1243</v>
      </c>
      <c r="E16" s="7"/>
      <c r="F16" s="7" t="s">
        <v>865</v>
      </c>
      <c r="G16" s="7" t="str">
        <f t="shared" ref="G16:G20" si="7">IF(F16="フラグ","boolean",IF(F16="文字列","text",IF(F16="整数","integer",IF(F16="実数","numeric",""))))</f>
        <v>text</v>
      </c>
      <c r="H16" s="58"/>
      <c r="I16" s="23" t="s">
        <v>127</v>
      </c>
      <c r="J16" s="24" t="s">
        <v>1311</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1300</v>
      </c>
      <c r="D17" s="13" t="s">
        <v>208</v>
      </c>
      <c r="E17" s="7"/>
      <c r="F17" s="7" t="s">
        <v>865</v>
      </c>
      <c r="G17" s="7" t="str">
        <f t="shared" si="7"/>
        <v>text</v>
      </c>
      <c r="H17" s="58" t="s">
        <v>1285</v>
      </c>
      <c r="I17" s="23" t="s">
        <v>127</v>
      </c>
      <c r="J17" s="24" t="s">
        <v>1286</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milscm_2023_009.sny_202310_backup_merge_mml_lb_test.data_type IS 'データ種別';</v>
      </c>
    </row>
    <row r="18" spans="1:45" s="25" customFormat="1" ht="37.5">
      <c r="A18" s="4"/>
      <c r="B18" s="21">
        <f t="shared" si="2"/>
        <v>6</v>
      </c>
      <c r="C18" s="13" t="s">
        <v>1245</v>
      </c>
      <c r="D18" s="13" t="s">
        <v>1246</v>
      </c>
      <c r="E18" s="7" t="s">
        <v>127</v>
      </c>
      <c r="F18" s="7" t="s">
        <v>865</v>
      </c>
      <c r="G18" s="7" t="str">
        <f t="shared" si="7"/>
        <v>text</v>
      </c>
      <c r="H18" s="58"/>
      <c r="I18" s="23" t="s">
        <v>127</v>
      </c>
      <c r="J18" s="24" t="s">
        <v>1287</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milscm_2023_009.sny_202310_backup_merge_mml_lb_test.master_id IS '患者ID';</v>
      </c>
    </row>
    <row r="19" spans="1:45" s="25" customFormat="1" ht="37.5">
      <c r="A19" s="4"/>
      <c r="B19" s="21">
        <f t="shared" si="2"/>
        <v>7</v>
      </c>
      <c r="C19" s="13" t="s">
        <v>1247</v>
      </c>
      <c r="D19" s="13" t="s">
        <v>1248</v>
      </c>
      <c r="E19" s="7" t="s">
        <v>127</v>
      </c>
      <c r="F19" s="7" t="s">
        <v>865</v>
      </c>
      <c r="G19" s="7" t="str">
        <f t="shared" si="7"/>
        <v>text</v>
      </c>
      <c r="H19" s="58"/>
      <c r="I19" s="23" t="s">
        <v>127</v>
      </c>
      <c r="J19" s="24" t="s">
        <v>1288</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1544</v>
      </c>
      <c r="D20" s="13" t="s">
        <v>1545</v>
      </c>
      <c r="E20" s="7" t="s">
        <v>127</v>
      </c>
      <c r="F20" s="7" t="s">
        <v>204</v>
      </c>
      <c r="G20" s="7" t="str">
        <f t="shared" si="7"/>
        <v>integer</v>
      </c>
      <c r="H20" s="58"/>
      <c r="I20" s="23" t="s">
        <v>127</v>
      </c>
      <c r="J20" s="24" t="s">
        <v>1582</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1546</v>
      </c>
      <c r="D21" s="13" t="s">
        <v>1547</v>
      </c>
      <c r="E21" s="7"/>
      <c r="F21" s="7" t="s">
        <v>865</v>
      </c>
      <c r="G21" s="7" t="str">
        <f t="shared" si="3"/>
        <v>text</v>
      </c>
      <c r="H21" s="58"/>
      <c r="I21" s="23"/>
      <c r="J21" s="24" t="s">
        <v>1583</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milscm_2023_009.sny_202310_backup_merge_mml_lb_test.irai_id IS '依頼ID';</v>
      </c>
    </row>
    <row r="22" spans="1:45" s="25" customFormat="1" ht="37.5">
      <c r="A22" s="4"/>
      <c r="B22" s="21">
        <f t="shared" si="2"/>
        <v>10</v>
      </c>
      <c r="C22" s="13" t="s">
        <v>1548</v>
      </c>
      <c r="D22" s="13" t="s">
        <v>1549</v>
      </c>
      <c r="E22" s="7"/>
      <c r="F22" s="7" t="s">
        <v>865</v>
      </c>
      <c r="G22" s="7" t="str">
        <f t="shared" si="3"/>
        <v>text</v>
      </c>
      <c r="H22" s="58"/>
      <c r="I22" s="23"/>
      <c r="J22" s="24" t="s">
        <v>1584</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milscm_2023_009.sny_202310_backup_merge_mml_lb_test.sample_time IS '採取日時';</v>
      </c>
    </row>
    <row r="23" spans="1:45" s="25" customFormat="1" ht="37.5">
      <c r="A23" s="4"/>
      <c r="B23" s="21">
        <f t="shared" si="2"/>
        <v>11</v>
      </c>
      <c r="C23" s="13" t="s">
        <v>1550</v>
      </c>
      <c r="D23" s="13" t="s">
        <v>1551</v>
      </c>
      <c r="E23" s="7"/>
      <c r="F23" s="7" t="s">
        <v>865</v>
      </c>
      <c r="G23" s="7" t="str">
        <f t="shared" si="3"/>
        <v>text</v>
      </c>
      <c r="H23" s="58"/>
      <c r="I23" s="23"/>
      <c r="J23" s="24" t="s">
        <v>1585</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milscm_2023_009.sny_202310_backup_merge_mml_lb_test.uketsuke_time IS '受付日時';</v>
      </c>
    </row>
    <row r="24" spans="1:45" s="25" customFormat="1" ht="37.5">
      <c r="A24" s="4"/>
      <c r="B24" s="21">
        <f t="shared" si="2"/>
        <v>12</v>
      </c>
      <c r="C24" s="13" t="s">
        <v>1552</v>
      </c>
      <c r="D24" s="13" t="s">
        <v>1553</v>
      </c>
      <c r="E24" s="7"/>
      <c r="F24" s="7" t="s">
        <v>865</v>
      </c>
      <c r="G24" s="7" t="str">
        <f t="shared" si="3"/>
        <v>text</v>
      </c>
      <c r="H24" s="58"/>
      <c r="I24" s="23"/>
      <c r="J24" s="24" t="s">
        <v>1586</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1554</v>
      </c>
      <c r="D25" s="13" t="s">
        <v>1555</v>
      </c>
      <c r="E25" s="7"/>
      <c r="F25" s="7" t="s">
        <v>865</v>
      </c>
      <c r="G25" s="7" t="str">
        <f t="shared" si="3"/>
        <v>text</v>
      </c>
      <c r="H25" s="58"/>
      <c r="I25" s="23"/>
      <c r="J25" s="24" t="s">
        <v>1587</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milscm_2023_009.sny_202310_backup_merge_mml_lb_test.status IS '報告状態';</v>
      </c>
    </row>
    <row r="26" spans="1:45" s="25" customFormat="1" ht="56.25">
      <c r="A26" s="4"/>
      <c r="B26" s="21">
        <f t="shared" si="2"/>
        <v>14</v>
      </c>
      <c r="C26" s="13" t="s">
        <v>1556</v>
      </c>
      <c r="D26" s="13" t="s">
        <v>1557</v>
      </c>
      <c r="E26" s="7"/>
      <c r="F26" s="7" t="s">
        <v>865</v>
      </c>
      <c r="G26" s="7" t="str">
        <f t="shared" si="3"/>
        <v>text</v>
      </c>
      <c r="H26" s="58"/>
      <c r="I26" s="23"/>
      <c r="J26" s="24" t="s">
        <v>1588</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1558</v>
      </c>
      <c r="D27" s="13" t="s">
        <v>1559</v>
      </c>
      <c r="E27" s="7"/>
      <c r="F27" s="7" t="s">
        <v>865</v>
      </c>
      <c r="G27" s="7" t="str">
        <f t="shared" si="3"/>
        <v>text</v>
      </c>
      <c r="H27" s="58"/>
      <c r="I27" s="23"/>
      <c r="J27" s="24" t="s">
        <v>1589</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milscm_2023_009.sny_202310_backup_merge_mml_lb_test.set_name IS 'セット名';</v>
      </c>
    </row>
    <row r="28" spans="1:45" s="25" customFormat="1" ht="37.5">
      <c r="A28" s="4"/>
      <c r="B28" s="21">
        <f t="shared" si="2"/>
        <v>16</v>
      </c>
      <c r="C28" s="13" t="s">
        <v>1560</v>
      </c>
      <c r="D28" s="13" t="s">
        <v>1561</v>
      </c>
      <c r="E28" s="7"/>
      <c r="F28" s="7" t="s">
        <v>865</v>
      </c>
      <c r="G28" s="7" t="str">
        <f t="shared" si="3"/>
        <v>text</v>
      </c>
      <c r="H28" s="58"/>
      <c r="I28" s="23"/>
      <c r="J28" s="24" t="s">
        <v>1590</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milscm_2023_009.sny_202310_backup_merge_mml_lb_test.set_name_code IS 'セット名コード';</v>
      </c>
    </row>
    <row r="29" spans="1:45" s="25" customFormat="1" ht="37.5">
      <c r="A29" s="4"/>
      <c r="B29" s="21">
        <f t="shared" si="2"/>
        <v>17</v>
      </c>
      <c r="C29" s="13" t="s">
        <v>1562</v>
      </c>
      <c r="D29" s="13" t="s">
        <v>1563</v>
      </c>
      <c r="E29" s="7"/>
      <c r="F29" s="7" t="s">
        <v>865</v>
      </c>
      <c r="G29" s="7" t="str">
        <f t="shared" si="3"/>
        <v>text</v>
      </c>
      <c r="H29" s="58"/>
      <c r="I29" s="23"/>
      <c r="J29" s="24" t="s">
        <v>1591</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1564</v>
      </c>
      <c r="D30" s="13" t="s">
        <v>1565</v>
      </c>
      <c r="E30" s="7"/>
      <c r="F30" s="7" t="s">
        <v>865</v>
      </c>
      <c r="G30" s="7" t="str">
        <f t="shared" si="3"/>
        <v>text</v>
      </c>
      <c r="H30" s="58"/>
      <c r="I30" s="23"/>
      <c r="J30" s="24" t="s">
        <v>1592</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1566</v>
      </c>
      <c r="D31" s="13" t="s">
        <v>1567</v>
      </c>
      <c r="E31" s="7"/>
      <c r="F31" s="7" t="s">
        <v>865</v>
      </c>
      <c r="G31" s="7" t="str">
        <f t="shared" si="3"/>
        <v>text</v>
      </c>
      <c r="H31" s="58"/>
      <c r="I31" s="23"/>
      <c r="J31" s="24" t="s">
        <v>1593</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milscm_2023_009.sny_202310_backup_merge_mml_lb_test.irai_facility_code IS '依頼施設コード';</v>
      </c>
    </row>
    <row r="32" spans="1:45" s="25" customFormat="1" ht="37.5">
      <c r="A32" s="4"/>
      <c r="B32" s="21">
        <f t="shared" si="2"/>
        <v>20</v>
      </c>
      <c r="C32" s="13" t="s">
        <v>1568</v>
      </c>
      <c r="D32" s="13" t="s">
        <v>1569</v>
      </c>
      <c r="E32" s="7"/>
      <c r="F32" s="7" t="s">
        <v>865</v>
      </c>
      <c r="G32" s="7" t="str">
        <f t="shared" si="3"/>
        <v>text</v>
      </c>
      <c r="H32" s="58"/>
      <c r="I32" s="23"/>
      <c r="J32" s="24" t="s">
        <v>1594</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1570</v>
      </c>
      <c r="D33" s="13" t="s">
        <v>1571</v>
      </c>
      <c r="E33" s="7"/>
      <c r="F33" s="7" t="s">
        <v>865</v>
      </c>
      <c r="G33" s="7" t="str">
        <f t="shared" si="3"/>
        <v>text</v>
      </c>
      <c r="H33" s="58"/>
      <c r="I33" s="23"/>
      <c r="J33" s="24" t="s">
        <v>1595</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milscm_2023_009.sny_202310_backup_merge_mml_lb_test.irai_department IS '依頼診療科';</v>
      </c>
    </row>
    <row r="34" spans="1:52" s="25" customFormat="1" ht="37.5">
      <c r="A34" s="4"/>
      <c r="B34" s="21">
        <f t="shared" si="2"/>
        <v>22</v>
      </c>
      <c r="C34" s="13" t="s">
        <v>1572</v>
      </c>
      <c r="D34" s="13" t="s">
        <v>1573</v>
      </c>
      <c r="E34" s="7"/>
      <c r="F34" s="7" t="s">
        <v>865</v>
      </c>
      <c r="G34" s="7" t="str">
        <f t="shared" si="3"/>
        <v>text</v>
      </c>
      <c r="H34" s="58"/>
      <c r="I34" s="23"/>
      <c r="J34" s="24" t="s">
        <v>1596</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1574</v>
      </c>
      <c r="D35" s="13" t="s">
        <v>1575</v>
      </c>
      <c r="E35" s="7"/>
      <c r="F35" s="7" t="s">
        <v>865</v>
      </c>
      <c r="G35" s="7" t="str">
        <f t="shared" si="3"/>
        <v>text</v>
      </c>
      <c r="H35" s="58"/>
      <c r="I35" s="23"/>
      <c r="J35" s="24" t="s">
        <v>1597</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milscm_2023_009.sny_202310_backup_merge_mml_lb_test.irai_ward IS '依頼病棟';</v>
      </c>
    </row>
    <row r="36" spans="1:52" s="25" customFormat="1" ht="37.5">
      <c r="A36" s="4"/>
      <c r="B36" s="21">
        <f t="shared" si="2"/>
        <v>24</v>
      </c>
      <c r="C36" s="13" t="s">
        <v>1576</v>
      </c>
      <c r="D36" s="13" t="s">
        <v>1577</v>
      </c>
      <c r="E36" s="7"/>
      <c r="F36" s="7" t="s">
        <v>865</v>
      </c>
      <c r="G36" s="7" t="str">
        <f t="shared" si="3"/>
        <v>text</v>
      </c>
      <c r="H36" s="58"/>
      <c r="I36" s="23"/>
      <c r="J36" s="24" t="s">
        <v>1598</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milscm_2023_009.sny_202310_backup_merge_mml_lb_test.irai_ward_code IS '依頼病棟コード';</v>
      </c>
    </row>
    <row r="37" spans="1:52" s="25" customFormat="1" ht="37.5">
      <c r="A37" s="4"/>
      <c r="B37" s="21">
        <f t="shared" si="2"/>
        <v>25</v>
      </c>
      <c r="C37" s="13" t="s">
        <v>1578</v>
      </c>
      <c r="D37" s="13" t="s">
        <v>1579</v>
      </c>
      <c r="E37" s="7"/>
      <c r="F37" s="7" t="s">
        <v>865</v>
      </c>
      <c r="G37" s="7" t="str">
        <f t="shared" si="3"/>
        <v>text</v>
      </c>
      <c r="H37" s="58"/>
      <c r="I37" s="23"/>
      <c r="J37" s="24" t="s">
        <v>1599</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milscm_2023_009.sny_202310_backup_merge_mml_lb_test.irai_ward_code_id IS '依頼病棟コードID';</v>
      </c>
    </row>
    <row r="38" spans="1:52" s="25" customFormat="1" ht="19.5" thickBot="1">
      <c r="A38" s="4"/>
      <c r="B38" s="27">
        <f>ROW()-12</f>
        <v>26</v>
      </c>
      <c r="C38" s="57" t="s">
        <v>1580</v>
      </c>
      <c r="D38" s="57" t="s">
        <v>1581</v>
      </c>
      <c r="E38" s="56"/>
      <c r="F38" s="56" t="s">
        <v>865</v>
      </c>
      <c r="G38" s="56" t="str">
        <f t="shared" si="3"/>
        <v>text</v>
      </c>
      <c r="H38" s="59"/>
      <c r="I38" s="60"/>
      <c r="J38" s="64" t="s">
        <v>1600</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ENT_01_C4-33</v>
      </c>
      <c r="E6" s="273"/>
      <c r="F6" s="273"/>
      <c r="G6" s="273"/>
      <c r="H6" s="273"/>
      <c r="I6" s="273"/>
      <c r="J6" s="274"/>
    </row>
    <row r="7" spans="1:45">
      <c r="B7" s="262" t="s">
        <v>115</v>
      </c>
      <c r="C7" s="263"/>
      <c r="D7" s="264" t="s">
        <v>1601</v>
      </c>
      <c r="E7" s="265"/>
      <c r="F7" s="265"/>
      <c r="G7" s="265"/>
      <c r="H7" s="265"/>
      <c r="I7" s="265"/>
      <c r="J7" s="266"/>
    </row>
    <row r="8" spans="1:45">
      <c r="B8" s="262" t="s">
        <v>116</v>
      </c>
      <c r="C8" s="263"/>
      <c r="D8" s="264" t="str">
        <f>エンティティ一覧!AE2&amp;"_"&amp;D5&amp;"_merge_mml_lb_specimen"</f>
        <v>sny_202310_backup_merge_mml_lb_specimen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milscm_2023_009.sny_202310_backup_merge_mml_lb_specimen;</v>
      </c>
      <c r="O10" s="76"/>
      <c r="P10" s="76"/>
      <c r="Q10" s="76"/>
      <c r="R10" s="76"/>
      <c r="S10" s="76"/>
      <c r="T10" s="76"/>
      <c r="AJ10" s="76" t="str">
        <f>"ALTER TABLE ONLY "&amp;エンティティ一覧!$O$2&amp;"."&amp;D$8</f>
        <v>ALTER TABLE ONLY milscm_2023_009.sny_202310_backup_merge_mml_lb_specimen</v>
      </c>
      <c r="AS10" s="76" t="str">
        <f>"ALTER TABLE "&amp;エンティティ一覧!$O$2&amp;"."&amp;D$8&amp;" OWNER TO pgmisgrp1;"</f>
        <v>ALTER TABLE milscm_2023_009.sny_202310_backup_merge_mml_lb_specimen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milscm_2023_009.sny_202310_backup_merge_mml_lb_specimen</v>
      </c>
      <c r="O11" s="76"/>
      <c r="P11" s="76"/>
      <c r="Q11" s="76"/>
      <c r="R11" s="76"/>
      <c r="S11" s="76"/>
      <c r="T11" s="76"/>
      <c r="AJ11" s="76" t="str">
        <f>"ADD CONSTRAINT "&amp;D$8&amp;"_pkey PRIMARY KEY"</f>
        <v>ADD CONSTRAINT sny_202310_backup_merge_mml_lb_specimen_pkey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1282</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milscm_2023_009.sny_202310_backup_merge_mml_lb_specimen.mil_karute_id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milscm_2023_009.sny_202310_backup_merge_mml_lb_specimen.facility_id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milscm_2023_009.sny_202310_backup_merge_mml_lb_specimen.data_type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milscm_2023_009.sny_202310_backup_merge_mml_lb_specimen.master_id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1544</v>
      </c>
      <c r="D20" s="13" t="s">
        <v>1545</v>
      </c>
      <c r="E20" s="7" t="s">
        <v>127</v>
      </c>
      <c r="F20" s="7" t="s">
        <v>204</v>
      </c>
      <c r="G20" s="7" t="str">
        <f t="shared" si="3"/>
        <v>integer</v>
      </c>
      <c r="H20" s="58"/>
      <c r="I20" s="23" t="s">
        <v>127</v>
      </c>
      <c r="J20" s="24" t="s">
        <v>1582</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1602</v>
      </c>
      <c r="D21" s="13" t="s">
        <v>1603</v>
      </c>
      <c r="E21" s="7" t="s">
        <v>127</v>
      </c>
      <c r="F21" s="7" t="s">
        <v>204</v>
      </c>
      <c r="G21" s="7" t="str">
        <f t="shared" si="3"/>
        <v>integer</v>
      </c>
      <c r="H21" s="58"/>
      <c r="I21" s="23" t="s">
        <v>127</v>
      </c>
      <c r="J21" s="24" t="s">
        <v>1614</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milscm_2023_009.sny_202310_backup_merge_mml_lb_specimen.labo_test_seq IS '検体結果情報SEQ';</v>
      </c>
    </row>
    <row r="22" spans="1:52" s="25" customFormat="1" ht="75">
      <c r="A22" s="4"/>
      <c r="B22" s="21">
        <f t="shared" si="2"/>
        <v>10</v>
      </c>
      <c r="C22" s="13" t="s">
        <v>1604</v>
      </c>
      <c r="D22" s="13" t="s">
        <v>1605</v>
      </c>
      <c r="E22" s="7" t="s">
        <v>127</v>
      </c>
      <c r="F22" s="7" t="s">
        <v>204</v>
      </c>
      <c r="G22" s="7" t="str">
        <f t="shared" si="3"/>
        <v>integer</v>
      </c>
      <c r="H22" s="58">
        <v>1</v>
      </c>
      <c r="I22" s="23" t="s">
        <v>127</v>
      </c>
      <c r="J22" s="24" t="s">
        <v>1615</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1606</v>
      </c>
      <c r="D23" s="13" t="s">
        <v>1607</v>
      </c>
      <c r="E23" s="7"/>
      <c r="F23" s="7" t="s">
        <v>865</v>
      </c>
      <c r="G23" s="7" t="str">
        <f t="shared" si="3"/>
        <v>text</v>
      </c>
      <c r="H23" s="58"/>
      <c r="I23" s="23"/>
      <c r="J23" s="24" t="s">
        <v>1616</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milscm_2023_009.sny_202310_backup_merge_mml_lb_specimen.specimen_name IS '検体材料';</v>
      </c>
    </row>
    <row r="24" spans="1:52" s="25" customFormat="1" ht="37.5">
      <c r="A24" s="4"/>
      <c r="B24" s="21">
        <f t="shared" si="2"/>
        <v>12</v>
      </c>
      <c r="C24" s="13" t="s">
        <v>1608</v>
      </c>
      <c r="D24" s="13" t="s">
        <v>1609</v>
      </c>
      <c r="E24" s="7"/>
      <c r="F24" s="7" t="s">
        <v>865</v>
      </c>
      <c r="G24" s="7" t="str">
        <f t="shared" si="3"/>
        <v>text</v>
      </c>
      <c r="H24" s="58"/>
      <c r="I24" s="23"/>
      <c r="J24" s="24" t="s">
        <v>1617</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milscm_2023_009.sny_202310_backup_merge_mml_lb_specimen.sp_code IS '検体材料コード';</v>
      </c>
    </row>
    <row r="25" spans="1:52" s="25" customFormat="1" ht="37.5">
      <c r="A25" s="4"/>
      <c r="B25" s="21">
        <f t="shared" si="2"/>
        <v>13</v>
      </c>
      <c r="C25" s="13" t="s">
        <v>1610</v>
      </c>
      <c r="D25" s="13" t="s">
        <v>1611</v>
      </c>
      <c r="E25" s="7"/>
      <c r="F25" s="7" t="s">
        <v>865</v>
      </c>
      <c r="G25" s="7" t="str">
        <f t="shared" si="3"/>
        <v>text</v>
      </c>
      <c r="H25" s="58"/>
      <c r="I25" s="23"/>
      <c r="J25" s="24" t="s">
        <v>1618</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milscm_2023_009.sny_202310_backup_merge_mml_lb_specimen.sp_code_id IS '検体材料コードのテーブル名';</v>
      </c>
    </row>
    <row r="26" spans="1:52" s="25" customFormat="1" ht="19.5" thickBot="1">
      <c r="A26" s="4"/>
      <c r="B26" s="27">
        <f>ROW()-12</f>
        <v>14</v>
      </c>
      <c r="C26" s="57" t="s">
        <v>1612</v>
      </c>
      <c r="D26" s="57" t="s">
        <v>1613</v>
      </c>
      <c r="E26" s="56"/>
      <c r="F26" s="56" t="s">
        <v>865</v>
      </c>
      <c r="G26" s="56" t="str">
        <f t="shared" si="3"/>
        <v>text</v>
      </c>
      <c r="H26" s="59"/>
      <c r="I26" s="60"/>
      <c r="J26" s="64" t="s">
        <v>1619</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ENT_01_C4-35</v>
      </c>
      <c r="E6" s="273"/>
      <c r="F6" s="273"/>
      <c r="G6" s="273"/>
      <c r="H6" s="273"/>
      <c r="I6" s="273"/>
      <c r="J6" s="274"/>
    </row>
    <row r="7" spans="1:45">
      <c r="B7" s="262" t="s">
        <v>115</v>
      </c>
      <c r="C7" s="263"/>
      <c r="D7" s="264" t="s">
        <v>1620</v>
      </c>
      <c r="E7" s="265"/>
      <c r="F7" s="265"/>
      <c r="G7" s="265"/>
      <c r="H7" s="265"/>
      <c r="I7" s="265"/>
      <c r="J7" s="266"/>
    </row>
    <row r="8" spans="1:45">
      <c r="B8" s="262" t="s">
        <v>116</v>
      </c>
      <c r="C8" s="263"/>
      <c r="D8" s="264" t="str">
        <f>エンティティ一覧!AE2&amp;"_"&amp;D5&amp;"_merge_mml_lb_item"</f>
        <v>sny_202310_backup_merge_mml_lb_item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milscm_2023_009.sny_202310_backup_merge_mml_lb_item;</v>
      </c>
      <c r="O10" s="76"/>
      <c r="P10" s="76"/>
      <c r="Q10" s="76"/>
      <c r="R10" s="76"/>
      <c r="S10" s="76"/>
      <c r="T10" s="76"/>
      <c r="AJ10" s="76" t="str">
        <f>"ALTER TABLE ONLY "&amp;エンティティ一覧!$O$2&amp;"."&amp;D$8</f>
        <v>ALTER TABLE ONLY milscm_2023_009.sny_202310_backup_merge_mml_lb_item</v>
      </c>
      <c r="AS10" s="76" t="str">
        <f>"ALTER TABLE "&amp;エンティティ一覧!$O$2&amp;"."&amp;D$8&amp;" OWNER TO pgmisgrp1;"</f>
        <v>ALTER TABLE milscm_2023_009.sny_202310_backup_merge_mml_lb_item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milscm_2023_009.sny_202310_backup_merge_mml_lb_item</v>
      </c>
      <c r="O11" s="76"/>
      <c r="P11" s="76"/>
      <c r="Q11" s="76"/>
      <c r="R11" s="76"/>
      <c r="S11" s="76"/>
      <c r="T11" s="76"/>
      <c r="AJ11" s="76" t="str">
        <f>"ADD CONSTRAINT "&amp;D$8&amp;"_pkey PRIMARY KEY"</f>
        <v>ADD CONSTRAINT sny_202310_backup_merge_mml_lb_item_pkey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1282</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milscm_2023_009.sny_202310_backup_merge_mml_lb_item.facility_id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milscm_2023_009.sny_202310_backup_merge_mml_lb_item.data_type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milscm_2023_009.sny_202310_backup_merge_mml_lb_item.master_id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1544</v>
      </c>
      <c r="D20" s="13" t="s">
        <v>1545</v>
      </c>
      <c r="E20" s="7" t="s">
        <v>127</v>
      </c>
      <c r="F20" s="7" t="s">
        <v>204</v>
      </c>
      <c r="G20" s="7" t="str">
        <f t="shared" si="3"/>
        <v>integer</v>
      </c>
      <c r="H20" s="58"/>
      <c r="I20" s="23" t="s">
        <v>127</v>
      </c>
      <c r="J20" s="24" t="s">
        <v>1582</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1602</v>
      </c>
      <c r="D21" s="13" t="s">
        <v>1603</v>
      </c>
      <c r="E21" s="7" t="s">
        <v>127</v>
      </c>
      <c r="F21" s="7" t="s">
        <v>204</v>
      </c>
      <c r="G21" s="7" t="str">
        <f t="shared" si="3"/>
        <v>integer</v>
      </c>
      <c r="H21" s="58"/>
      <c r="I21" s="23" t="s">
        <v>127</v>
      </c>
      <c r="J21" s="24" t="s">
        <v>1658</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1621</v>
      </c>
      <c r="D22" s="13" t="s">
        <v>1622</v>
      </c>
      <c r="E22" s="7" t="s">
        <v>127</v>
      </c>
      <c r="F22" s="7" t="s">
        <v>204</v>
      </c>
      <c r="G22" s="7" t="str">
        <f t="shared" si="3"/>
        <v>integer</v>
      </c>
      <c r="H22" s="58"/>
      <c r="I22" s="23" t="s">
        <v>127</v>
      </c>
      <c r="J22" s="24" t="s">
        <v>1659</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1623</v>
      </c>
      <c r="D23" s="13" t="s">
        <v>1624</v>
      </c>
      <c r="E23" s="7"/>
      <c r="F23" s="7" t="s">
        <v>865</v>
      </c>
      <c r="G23" s="7" t="str">
        <f t="shared" si="3"/>
        <v>text</v>
      </c>
      <c r="H23" s="58"/>
      <c r="I23" s="23"/>
      <c r="J23" s="24" t="s">
        <v>1660</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1625</v>
      </c>
      <c r="D24" s="13" t="s">
        <v>1626</v>
      </c>
      <c r="E24" s="7"/>
      <c r="F24" s="7" t="s">
        <v>865</v>
      </c>
      <c r="G24" s="7" t="str">
        <f t="shared" si="3"/>
        <v>text</v>
      </c>
      <c r="H24" s="58"/>
      <c r="I24" s="23"/>
      <c r="J24" s="24" t="s">
        <v>1661</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1627</v>
      </c>
      <c r="D25" s="13" t="s">
        <v>1628</v>
      </c>
      <c r="E25" s="7"/>
      <c r="F25" s="7" t="s">
        <v>865</v>
      </c>
      <c r="G25" s="7" t="str">
        <f t="shared" si="3"/>
        <v>text</v>
      </c>
      <c r="H25" s="58"/>
      <c r="I25" s="23"/>
      <c r="J25" s="24" t="s">
        <v>1662</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1629</v>
      </c>
      <c r="D26" s="13" t="s">
        <v>1630</v>
      </c>
      <c r="E26" s="7"/>
      <c r="F26" s="7" t="s">
        <v>865</v>
      </c>
      <c r="G26" s="7" t="str">
        <f t="shared" si="3"/>
        <v>text</v>
      </c>
      <c r="H26" s="58"/>
      <c r="I26" s="23"/>
      <c r="J26" s="24" t="s">
        <v>1663</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1631</v>
      </c>
      <c r="D27" s="13" t="s">
        <v>1632</v>
      </c>
      <c r="E27" s="7"/>
      <c r="F27" s="7" t="s">
        <v>865</v>
      </c>
      <c r="G27" s="7" t="str">
        <f t="shared" si="3"/>
        <v>text</v>
      </c>
      <c r="H27" s="58"/>
      <c r="I27" s="23"/>
      <c r="J27" s="24" t="s">
        <v>1664</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1633</v>
      </c>
      <c r="D28" s="13" t="s">
        <v>1634</v>
      </c>
      <c r="E28" s="7"/>
      <c r="F28" s="7" t="s">
        <v>865</v>
      </c>
      <c r="G28" s="7" t="str">
        <f t="shared" si="3"/>
        <v>text</v>
      </c>
      <c r="H28" s="58"/>
      <c r="I28" s="23"/>
      <c r="J28" s="24" t="s">
        <v>1665</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1635</v>
      </c>
      <c r="D29" s="13" t="s">
        <v>1636</v>
      </c>
      <c r="E29" s="7"/>
      <c r="F29" s="7" t="s">
        <v>865</v>
      </c>
      <c r="G29" s="7" t="str">
        <f t="shared" si="3"/>
        <v>text</v>
      </c>
      <c r="H29" s="58"/>
      <c r="I29" s="23"/>
      <c r="J29" s="24" t="s">
        <v>1666</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1637</v>
      </c>
      <c r="D30" s="13" t="s">
        <v>1638</v>
      </c>
      <c r="E30" s="7"/>
      <c r="F30" s="7" t="s">
        <v>865</v>
      </c>
      <c r="G30" s="7" t="str">
        <f t="shared" si="3"/>
        <v>text</v>
      </c>
      <c r="H30" s="58"/>
      <c r="I30" s="23"/>
      <c r="J30" s="24" t="s">
        <v>1667</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1639</v>
      </c>
      <c r="D31" s="13" t="s">
        <v>1640</v>
      </c>
      <c r="E31" s="7"/>
      <c r="F31" s="7" t="s">
        <v>865</v>
      </c>
      <c r="G31" s="7" t="str">
        <f t="shared" si="3"/>
        <v>text</v>
      </c>
      <c r="H31" s="58"/>
      <c r="I31" s="23"/>
      <c r="J31" s="24" t="s">
        <v>1668</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1641</v>
      </c>
      <c r="D32" s="13" t="s">
        <v>1642</v>
      </c>
      <c r="E32" s="7"/>
      <c r="F32" s="7" t="s">
        <v>865</v>
      </c>
      <c r="G32" s="7" t="str">
        <f t="shared" si="3"/>
        <v>text</v>
      </c>
      <c r="H32" s="58"/>
      <c r="I32" s="23"/>
      <c r="J32" s="24" t="s">
        <v>1669</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1643</v>
      </c>
      <c r="D33" s="13" t="s">
        <v>1644</v>
      </c>
      <c r="E33" s="7"/>
      <c r="F33" s="7" t="s">
        <v>865</v>
      </c>
      <c r="G33" s="7" t="str">
        <f t="shared" si="3"/>
        <v>text</v>
      </c>
      <c r="H33" s="58"/>
      <c r="I33" s="23"/>
      <c r="J33" s="24" t="s">
        <v>1670</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1645</v>
      </c>
      <c r="D34" s="13" t="s">
        <v>1646</v>
      </c>
      <c r="E34" s="7"/>
      <c r="F34" s="7" t="s">
        <v>865</v>
      </c>
      <c r="G34" s="7" t="str">
        <f t="shared" si="3"/>
        <v>text</v>
      </c>
      <c r="H34" s="58"/>
      <c r="I34" s="23"/>
      <c r="J34" s="24" t="s">
        <v>1671</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1647</v>
      </c>
      <c r="D35" s="13" t="s">
        <v>1648</v>
      </c>
      <c r="E35" s="7"/>
      <c r="F35" s="7" t="s">
        <v>865</v>
      </c>
      <c r="G35" s="7" t="str">
        <f t="shared" si="3"/>
        <v>text</v>
      </c>
      <c r="H35" s="58"/>
      <c r="I35" s="23"/>
      <c r="J35" s="24" t="s">
        <v>1672</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milscm_2023_009.sny_202310_backup_merge_mml_lb_item.normal_value IS '文字列で示す基準値';</v>
      </c>
    </row>
    <row r="36" spans="1:52" s="25" customFormat="1" ht="56.25">
      <c r="A36" s="4"/>
      <c r="B36" s="21">
        <f t="shared" si="2"/>
        <v>24</v>
      </c>
      <c r="C36" s="13" t="s">
        <v>1649</v>
      </c>
      <c r="D36" s="13" t="s">
        <v>1650</v>
      </c>
      <c r="E36" s="7"/>
      <c r="F36" s="7" t="s">
        <v>865</v>
      </c>
      <c r="G36" s="7" t="str">
        <f t="shared" ref="G36:G37" si="7">IF(F36="フラグ","boolean",IF(F36="文字列","text",IF(F36="整数","integer",IF(F36="実数","numeric",""))))</f>
        <v>text</v>
      </c>
      <c r="H36" s="58"/>
      <c r="I36" s="23"/>
      <c r="J36" s="24" t="s">
        <v>1673</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1651</v>
      </c>
      <c r="D37" s="13" t="s">
        <v>276</v>
      </c>
      <c r="E37" s="7"/>
      <c r="F37" s="7" t="s">
        <v>865</v>
      </c>
      <c r="G37" s="7" t="str">
        <f t="shared" si="7"/>
        <v>text</v>
      </c>
      <c r="H37" s="58"/>
      <c r="I37" s="23"/>
      <c r="J37" s="24" t="s">
        <v>1674</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milscm_2023_009.sny_202310_backup_merge_mml_lb_item.unit IS '単位';</v>
      </c>
    </row>
    <row r="38" spans="1:52" s="25" customFormat="1" ht="37.5">
      <c r="A38" s="4"/>
      <c r="B38" s="21">
        <f t="shared" si="2"/>
        <v>26</v>
      </c>
      <c r="C38" s="13" t="s">
        <v>1652</v>
      </c>
      <c r="D38" s="13" t="s">
        <v>1653</v>
      </c>
      <c r="E38" s="7"/>
      <c r="F38" s="7" t="s">
        <v>865</v>
      </c>
      <c r="G38" s="7" t="str">
        <f t="shared" si="3"/>
        <v>text</v>
      </c>
      <c r="H38" s="58"/>
      <c r="I38" s="23"/>
      <c r="J38" s="24" t="s">
        <v>1675</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milscm_2023_009.sny_202310_backup_merge_mml_lb_item.unit_code IS '単位コード';</v>
      </c>
    </row>
    <row r="39" spans="1:52" s="25" customFormat="1" ht="37.5">
      <c r="A39" s="4"/>
      <c r="B39" s="21">
        <f t="shared" si="2"/>
        <v>27</v>
      </c>
      <c r="C39" s="13" t="s">
        <v>1654</v>
      </c>
      <c r="D39" s="13" t="s">
        <v>1655</v>
      </c>
      <c r="E39" s="7"/>
      <c r="F39" s="7" t="s">
        <v>865</v>
      </c>
      <c r="G39" s="7" t="str">
        <f t="shared" si="3"/>
        <v>text</v>
      </c>
      <c r="H39" s="58"/>
      <c r="I39" s="23"/>
      <c r="J39" s="24" t="s">
        <v>1676</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milscm_2023_009.sny_202310_backup_merge_mml_lb_item.unit_code_id IS '単位コードID';</v>
      </c>
    </row>
    <row r="40" spans="1:52" s="25" customFormat="1" ht="19.5" thickBot="1">
      <c r="A40" s="4"/>
      <c r="B40" s="27">
        <f>ROW()-12</f>
        <v>28</v>
      </c>
      <c r="C40" s="57" t="s">
        <v>1656</v>
      </c>
      <c r="D40" s="57" t="s">
        <v>1657</v>
      </c>
      <c r="E40" s="56"/>
      <c r="F40" s="56" t="s">
        <v>865</v>
      </c>
      <c r="G40" s="56" t="str">
        <f t="shared" si="3"/>
        <v>text</v>
      </c>
      <c r="H40" s="59"/>
      <c r="I40" s="60"/>
      <c r="J40" s="64" t="s">
        <v>1677</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ENT_01_C4-37</v>
      </c>
      <c r="E6" s="273"/>
      <c r="F6" s="273"/>
      <c r="G6" s="273"/>
      <c r="H6" s="273"/>
      <c r="I6" s="273"/>
      <c r="J6" s="274"/>
    </row>
    <row r="7" spans="1:45">
      <c r="B7" s="262" t="s">
        <v>115</v>
      </c>
      <c r="C7" s="263"/>
      <c r="D7" s="264" t="s">
        <v>1678</v>
      </c>
      <c r="E7" s="265"/>
      <c r="F7" s="265"/>
      <c r="G7" s="265"/>
      <c r="H7" s="265"/>
      <c r="I7" s="265"/>
      <c r="J7" s="266"/>
    </row>
    <row r="8" spans="1:45">
      <c r="B8" s="262" t="s">
        <v>116</v>
      </c>
      <c r="C8" s="263"/>
      <c r="D8" s="264" t="str">
        <f>エンティティ一覧!AE2&amp;"_"&amp;D5&amp;"_merge_mml_vs_vitalsign"</f>
        <v>sny_202310_backup_merge_mml_vs_vitalsign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milscm_2023_009.sny_202310_backup_merge_mml_vs_vitalsign;</v>
      </c>
      <c r="O10" s="76"/>
      <c r="P10" s="76"/>
      <c r="Q10" s="76"/>
      <c r="R10" s="76"/>
      <c r="S10" s="76"/>
      <c r="T10" s="76"/>
      <c r="AJ10" s="76" t="str">
        <f>"ALTER TABLE ONLY "&amp;エンティティ一覧!$O$2&amp;"."&amp;D$8</f>
        <v>ALTER TABLE ONLY milscm_2023_009.sny_202310_backup_merge_mml_vs_vitalsign</v>
      </c>
      <c r="AS10" s="76" t="str">
        <f>"ALTER TABLE "&amp;エンティティ一覧!$O$2&amp;"."&amp;D$8&amp;" OWNER TO pgmisgrp1;"</f>
        <v>ALTER TABLE milscm_2023_009.sny_202310_backup_merge_mml_vs_vitalsign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milscm_2023_009.sny_202310_backup_merge_mml_vs_vitalsign</v>
      </c>
      <c r="O11" s="76"/>
      <c r="P11" s="76"/>
      <c r="Q11" s="76"/>
      <c r="R11" s="76"/>
      <c r="S11" s="76"/>
      <c r="T11" s="76"/>
      <c r="AJ11" s="76" t="str">
        <f>"ADD CONSTRAINT "&amp;D$8&amp;"_pkey PRIMARY KEY"</f>
        <v>ADD CONSTRAINT sny_202310_backup_merge_mml_vs_vitalsign_pkey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1282</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milscm_2023_009.sny_202310_backup_merge_mml_vs_vitalsign.facility_id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milscm_2023_009.sny_202310_backup_merge_mml_vs_vitalsign.data_type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milscm_2023_009.sny_202310_backup_merge_mml_vs_vitalsign.master_id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1679</v>
      </c>
      <c r="D20" s="13" t="s">
        <v>1680</v>
      </c>
      <c r="E20" s="7" t="s">
        <v>127</v>
      </c>
      <c r="F20" s="7" t="s">
        <v>204</v>
      </c>
      <c r="G20" s="7" t="str">
        <f t="shared" si="3"/>
        <v>integer</v>
      </c>
      <c r="H20" s="58"/>
      <c r="I20" s="23" t="s">
        <v>127</v>
      </c>
      <c r="J20" s="24" t="s">
        <v>1702</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1681</v>
      </c>
      <c r="D21" s="13" t="s">
        <v>1682</v>
      </c>
      <c r="E21" s="7"/>
      <c r="F21" s="7" t="s">
        <v>865</v>
      </c>
      <c r="G21" s="7" t="str">
        <f t="shared" si="3"/>
        <v>text</v>
      </c>
      <c r="H21" s="58"/>
      <c r="I21" s="23"/>
      <c r="J21" s="24" t="s">
        <v>1703</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milscm_2023_009.sny_202310_backup_merge_mml_vs_vitalsign.department_name IS '診療科名';</v>
      </c>
    </row>
    <row r="22" spans="1:45" s="25" customFormat="1" ht="37.5">
      <c r="A22" s="4"/>
      <c r="B22" s="21">
        <f t="shared" si="2"/>
        <v>10</v>
      </c>
      <c r="C22" s="13" t="s">
        <v>603</v>
      </c>
      <c r="D22" s="13" t="s">
        <v>1683</v>
      </c>
      <c r="E22" s="7"/>
      <c r="F22" s="7" t="s">
        <v>865</v>
      </c>
      <c r="G22" s="7" t="str">
        <f t="shared" si="3"/>
        <v>text</v>
      </c>
      <c r="H22" s="58"/>
      <c r="I22" s="23"/>
      <c r="J22" s="24" t="s">
        <v>1704</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1684</v>
      </c>
      <c r="D23" s="13" t="s">
        <v>1685</v>
      </c>
      <c r="E23" s="7"/>
      <c r="F23" s="7" t="s">
        <v>865</v>
      </c>
      <c r="G23" s="7" t="str">
        <f t="shared" si="3"/>
        <v>text</v>
      </c>
      <c r="H23" s="58"/>
      <c r="I23" s="23"/>
      <c r="J23" s="24" t="s">
        <v>1705</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milscm_2023_009.sny_202310_backup_merge_mml_vs_vitalsign.ward IS '病棟';</v>
      </c>
    </row>
    <row r="24" spans="1:45" s="25" customFormat="1" ht="37.5">
      <c r="A24" s="4"/>
      <c r="B24" s="21">
        <f t="shared" si="2"/>
        <v>12</v>
      </c>
      <c r="C24" s="13" t="s">
        <v>238</v>
      </c>
      <c r="D24" s="13" t="s">
        <v>239</v>
      </c>
      <c r="E24" s="7"/>
      <c r="F24" s="7" t="s">
        <v>865</v>
      </c>
      <c r="G24" s="7" t="str">
        <f t="shared" si="3"/>
        <v>text</v>
      </c>
      <c r="H24" s="58"/>
      <c r="I24" s="23"/>
      <c r="J24" s="24" t="s">
        <v>1706</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milscm_2023_009.sny_202310_backup_merge_mml_vs_vitalsign.ward_code IS '病棟コード';</v>
      </c>
    </row>
    <row r="25" spans="1:45" s="25" customFormat="1" ht="37.5">
      <c r="A25" s="4"/>
      <c r="B25" s="21">
        <f t="shared" si="2"/>
        <v>13</v>
      </c>
      <c r="C25" s="13" t="s">
        <v>1686</v>
      </c>
      <c r="D25" s="13" t="s">
        <v>1687</v>
      </c>
      <c r="E25" s="7"/>
      <c r="F25" s="7" t="s">
        <v>865</v>
      </c>
      <c r="G25" s="7" t="str">
        <f t="shared" si="3"/>
        <v>text</v>
      </c>
      <c r="H25" s="58"/>
      <c r="I25" s="23"/>
      <c r="J25" s="24" t="s">
        <v>1707</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milscm_2023_009.sny_202310_backup_merge_mml_vs_vitalsign.ward_code_id IS '病棟コードID';</v>
      </c>
    </row>
    <row r="26" spans="1:45" s="25" customFormat="1" ht="37.5">
      <c r="A26" s="4"/>
      <c r="B26" s="21">
        <f t="shared" si="2"/>
        <v>14</v>
      </c>
      <c r="C26" s="13" t="s">
        <v>1688</v>
      </c>
      <c r="D26" s="13" t="s">
        <v>1689</v>
      </c>
      <c r="E26" s="7"/>
      <c r="F26" s="7" t="s">
        <v>865</v>
      </c>
      <c r="G26" s="7" t="str">
        <f t="shared" si="3"/>
        <v>text</v>
      </c>
      <c r="H26" s="58"/>
      <c r="I26" s="23"/>
      <c r="J26" s="24" t="s">
        <v>1708</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1690</v>
      </c>
      <c r="D27" s="13" t="s">
        <v>1691</v>
      </c>
      <c r="E27" s="7"/>
      <c r="F27" s="7" t="s">
        <v>865</v>
      </c>
      <c r="G27" s="7" t="str">
        <f t="shared" si="3"/>
        <v>text</v>
      </c>
      <c r="H27" s="58"/>
      <c r="I27" s="23"/>
      <c r="J27" s="24" t="s">
        <v>1709</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1692</v>
      </c>
      <c r="D28" s="13" t="s">
        <v>1693</v>
      </c>
      <c r="E28" s="7"/>
      <c r="F28" s="7" t="s">
        <v>865</v>
      </c>
      <c r="G28" s="7" t="str">
        <f t="shared" si="3"/>
        <v>text</v>
      </c>
      <c r="H28" s="58"/>
      <c r="I28" s="23"/>
      <c r="J28" s="24" t="s">
        <v>1710</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1694</v>
      </c>
      <c r="D29" s="13" t="s">
        <v>1695</v>
      </c>
      <c r="E29" s="7"/>
      <c r="F29" s="7" t="s">
        <v>865</v>
      </c>
      <c r="G29" s="7" t="str">
        <f t="shared" si="3"/>
        <v>text</v>
      </c>
      <c r="H29" s="58"/>
      <c r="I29" s="23"/>
      <c r="J29" s="24" t="s">
        <v>1711</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1696</v>
      </c>
      <c r="D30" s="13" t="s">
        <v>1697</v>
      </c>
      <c r="E30" s="7"/>
      <c r="F30" s="7" t="s">
        <v>865</v>
      </c>
      <c r="G30" s="7" t="str">
        <f t="shared" si="3"/>
        <v>text</v>
      </c>
      <c r="H30" s="58"/>
      <c r="I30" s="23"/>
      <c r="J30" s="24" t="s">
        <v>1712</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milscm_2023_009.sny_202310_backup_merge_mml_vs_vitalsign.keisoku_position IS '計測時体位';</v>
      </c>
    </row>
    <row r="31" spans="1:45" s="25" customFormat="1" ht="31.5">
      <c r="A31" s="4"/>
      <c r="B31" s="21">
        <f t="shared" si="2"/>
        <v>19</v>
      </c>
      <c r="C31" s="13" t="s">
        <v>1698</v>
      </c>
      <c r="D31" s="13" t="s">
        <v>1699</v>
      </c>
      <c r="E31" s="7"/>
      <c r="F31" s="7" t="s">
        <v>865</v>
      </c>
      <c r="G31" s="7" t="str">
        <f t="shared" si="3"/>
        <v>text</v>
      </c>
      <c r="H31" s="58"/>
      <c r="I31" s="23"/>
      <c r="J31" s="24" t="s">
        <v>1713</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milscm_2023_009.sny_202310_backup_merge_mml_vs_vitalsign.keisoku_method_comment IS '計測方法コメント';</v>
      </c>
    </row>
    <row r="32" spans="1:45" s="25" customFormat="1" ht="19.5" thickBot="1">
      <c r="A32" s="4"/>
      <c r="B32" s="27">
        <f>ROW()-12</f>
        <v>20</v>
      </c>
      <c r="C32" s="57" t="s">
        <v>1700</v>
      </c>
      <c r="D32" s="57" t="s">
        <v>1701</v>
      </c>
      <c r="E32" s="56"/>
      <c r="F32" s="56" t="s">
        <v>865</v>
      </c>
      <c r="G32" s="56" t="str">
        <f t="shared" si="3"/>
        <v>text</v>
      </c>
      <c r="H32" s="59"/>
      <c r="I32" s="60"/>
      <c r="J32" s="64" t="s">
        <v>1714</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ENT_01_C4-38</v>
      </c>
      <c r="E6" s="273"/>
      <c r="F6" s="273"/>
      <c r="G6" s="273"/>
      <c r="H6" s="273"/>
      <c r="I6" s="273"/>
      <c r="J6" s="274"/>
    </row>
    <row r="7" spans="1:45">
      <c r="B7" s="262" t="s">
        <v>115</v>
      </c>
      <c r="C7" s="263"/>
      <c r="D7" s="264" t="s">
        <v>1715</v>
      </c>
      <c r="E7" s="265"/>
      <c r="F7" s="265"/>
      <c r="G7" s="265"/>
      <c r="H7" s="265"/>
      <c r="I7" s="265"/>
      <c r="J7" s="266"/>
    </row>
    <row r="8" spans="1:45">
      <c r="B8" s="262" t="s">
        <v>116</v>
      </c>
      <c r="C8" s="263"/>
      <c r="D8" s="264" t="str">
        <f>エンティティ一覧!AE2&amp;"_"&amp;D5&amp;"_merge_mml_vs_item"</f>
        <v>sny_202310_backup_merge_mml_vs_item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milscm_2023_009.sny_202310_backup_merge_mml_vs_item;</v>
      </c>
      <c r="O10" s="76"/>
      <c r="P10" s="76"/>
      <c r="Q10" s="76"/>
      <c r="R10" s="76"/>
      <c r="S10" s="76"/>
      <c r="T10" s="76"/>
      <c r="AJ10" s="76" t="str">
        <f>"ALTER TABLE ONLY "&amp;エンティティ一覧!$O$2&amp;"."&amp;D$8</f>
        <v>ALTER TABLE ONLY milscm_2023_009.sny_202310_backup_merge_mml_vs_item</v>
      </c>
      <c r="AS10" s="76" t="str">
        <f>"ALTER TABLE "&amp;エンティティ一覧!$O$2&amp;"."&amp;D$8&amp;" OWNER TO pgmisgrp1;"</f>
        <v>ALTER TABLE milscm_2023_009.sny_202310_backup_merge_mml_vs_item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milscm_2023_009.sny_202310_backup_merge_mml_vs_item</v>
      </c>
      <c r="O11" s="76"/>
      <c r="P11" s="76"/>
      <c r="Q11" s="76"/>
      <c r="R11" s="76"/>
      <c r="S11" s="76"/>
      <c r="T11" s="76"/>
      <c r="AJ11" s="76" t="str">
        <f>"ADD CONSTRAINT "&amp;D$8&amp;"_pkey PRIMARY KEY"</f>
        <v>ADD CONSTRAINT sny_202310_backup_merge_mml_vs_item_pkey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1282</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milscm_2023_009.sny_202310_backup_merge_mml_vs_item.facility_id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milscm_2023_009.sny_202310_backup_merge_mml_vs_item.data_type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milscm_2023_009.sny_202310_backup_merge_mml_vs_item.master_id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1679</v>
      </c>
      <c r="D20" s="13" t="s">
        <v>1680</v>
      </c>
      <c r="E20" s="7" t="s">
        <v>127</v>
      </c>
      <c r="F20" s="7" t="s">
        <v>204</v>
      </c>
      <c r="G20" s="7" t="str">
        <f t="shared" si="3"/>
        <v>integer</v>
      </c>
      <c r="H20" s="58"/>
      <c r="I20" s="23" t="s">
        <v>127</v>
      </c>
      <c r="J20" s="24" t="s">
        <v>1702</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1716</v>
      </c>
      <c r="D21" s="13" t="s">
        <v>1717</v>
      </c>
      <c r="E21" s="7" t="s">
        <v>127</v>
      </c>
      <c r="F21" s="7" t="s">
        <v>204</v>
      </c>
      <c r="G21" s="7" t="str">
        <f t="shared" si="3"/>
        <v>integer</v>
      </c>
      <c r="H21" s="58"/>
      <c r="I21" s="23" t="s">
        <v>127</v>
      </c>
      <c r="J21" s="24" t="s">
        <v>1724</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milscm_2023_009.sny_202310_backup_merge_mml_vs_item.item_seq IS '項目SEQ';</v>
      </c>
    </row>
    <row r="22" spans="1:52" s="25" customFormat="1" ht="37.5">
      <c r="A22" s="4"/>
      <c r="B22" s="21">
        <f t="shared" si="2"/>
        <v>10</v>
      </c>
      <c r="C22" s="13" t="s">
        <v>1623</v>
      </c>
      <c r="D22" s="13" t="s">
        <v>1624</v>
      </c>
      <c r="E22" s="7"/>
      <c r="F22" s="7" t="s">
        <v>865</v>
      </c>
      <c r="G22" s="7" t="str">
        <f t="shared" si="3"/>
        <v>text</v>
      </c>
      <c r="H22" s="58"/>
      <c r="I22" s="23"/>
      <c r="J22" s="24" t="s">
        <v>1725</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milscm_2023_009.sny_202310_backup_merge_mml_vs_item.item_name IS '項目名';</v>
      </c>
    </row>
    <row r="23" spans="1:52" s="25" customFormat="1" ht="31.5">
      <c r="A23" s="4"/>
      <c r="B23" s="21">
        <f t="shared" si="2"/>
        <v>11</v>
      </c>
      <c r="C23" s="13" t="s">
        <v>1718</v>
      </c>
      <c r="D23" s="13" t="s">
        <v>1719</v>
      </c>
      <c r="E23" s="7"/>
      <c r="F23" s="7" t="s">
        <v>865</v>
      </c>
      <c r="G23" s="7" t="str">
        <f t="shared" si="3"/>
        <v>text</v>
      </c>
      <c r="H23" s="58"/>
      <c r="I23" s="23"/>
      <c r="J23" s="24" t="s">
        <v>1726</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milscm_2023_009.sny_202310_backup_merge_mml_vs_item.vital_sign_value IS '文字列で表記されるバイタルサインの値';</v>
      </c>
    </row>
    <row r="24" spans="1:52" s="25" customFormat="1">
      <c r="A24" s="4"/>
      <c r="B24" s="21">
        <f t="shared" si="2"/>
        <v>12</v>
      </c>
      <c r="C24" s="13" t="s">
        <v>1720</v>
      </c>
      <c r="D24" s="13" t="s">
        <v>1721</v>
      </c>
      <c r="E24" s="7"/>
      <c r="F24" s="7" t="s">
        <v>865</v>
      </c>
      <c r="G24" s="7" t="str">
        <f t="shared" si="3"/>
        <v>text</v>
      </c>
      <c r="H24" s="58"/>
      <c r="I24" s="23"/>
      <c r="J24" s="24" t="s">
        <v>1727</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milscm_2023_009.sny_202310_backup_merge_mml_vs_item.vital_sign_num_value IS '数値で表記されるバイタルサインの値';</v>
      </c>
    </row>
    <row r="25" spans="1:52" s="25" customFormat="1" ht="38.25" thickBot="1">
      <c r="A25" s="4"/>
      <c r="B25" s="27">
        <f>ROW()-12</f>
        <v>13</v>
      </c>
      <c r="C25" s="57" t="s">
        <v>1722</v>
      </c>
      <c r="D25" s="57" t="s">
        <v>1723</v>
      </c>
      <c r="E25" s="56"/>
      <c r="F25" s="56" t="s">
        <v>865</v>
      </c>
      <c r="G25" s="56" t="str">
        <f t="shared" si="3"/>
        <v>text</v>
      </c>
      <c r="H25" s="59"/>
      <c r="I25" s="60"/>
      <c r="J25" s="64" t="s">
        <v>1728</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ENT_01_C4-40</v>
      </c>
      <c r="E6" s="273"/>
      <c r="F6" s="273"/>
      <c r="G6" s="273"/>
      <c r="H6" s="273"/>
      <c r="I6" s="273"/>
      <c r="J6" s="274"/>
    </row>
    <row r="7" spans="1:45">
      <c r="B7" s="262" t="s">
        <v>115</v>
      </c>
      <c r="C7" s="263"/>
      <c r="D7" s="264" t="s">
        <v>1729</v>
      </c>
      <c r="E7" s="265"/>
      <c r="F7" s="265"/>
      <c r="G7" s="265"/>
      <c r="H7" s="265"/>
      <c r="I7" s="265"/>
      <c r="J7" s="266"/>
    </row>
    <row r="8" spans="1:45">
      <c r="B8" s="262" t="s">
        <v>116</v>
      </c>
      <c r="C8" s="263"/>
      <c r="D8" s="264" t="str">
        <f>エンティティ一覧!AE2&amp;"_"&amp;D5&amp;"_merge_mml_fs_vitalsign"</f>
        <v>sny_202310_backup_merge_mml_fs_vitalsign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milscm_2023_009.sny_202310_backup_merge_mml_fs_vitalsign;</v>
      </c>
      <c r="O10" s="76"/>
      <c r="P10" s="76"/>
      <c r="Q10" s="76"/>
      <c r="R10" s="76"/>
      <c r="S10" s="76"/>
      <c r="T10" s="76"/>
      <c r="AJ10" s="76" t="str">
        <f>"ALTER TABLE ONLY "&amp;エンティティ一覧!$O$2&amp;"."&amp;D$8</f>
        <v>ALTER TABLE ONLY milscm_2023_009.sny_202310_backup_merge_mml_fs_vitalsign</v>
      </c>
      <c r="AS10" s="76" t="str">
        <f>"ALTER TABLE "&amp;エンティティ一覧!$O$2&amp;"."&amp;D$8&amp;" OWNER TO pgmisgrp1;"</f>
        <v>ALTER TABLE milscm_2023_009.sny_202310_backup_merge_mml_fs_vitalsign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milscm_2023_009.sny_202310_backup_merge_mml_fs_vitalsign</v>
      </c>
      <c r="O11" s="76"/>
      <c r="P11" s="76"/>
      <c r="Q11" s="76"/>
      <c r="R11" s="76"/>
      <c r="S11" s="76"/>
      <c r="T11" s="76"/>
      <c r="AJ11" s="76" t="str">
        <f>"ADD CONSTRAINT "&amp;D$8&amp;"_pkey PRIMARY KEY"</f>
        <v>ADD CONSTRAINT sny_202310_backup_merge_mml_fs_vitalsign_pkey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1282</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milscm_2023_009.sny_202310_backup_merge_mml_fs_vitalsign.facility_id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milscm_2023_009.sny_202310_backup_merge_mml_fs_vitalsign.data_type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milscm_2023_009.sny_202310_backup_merge_mml_fs_vitalsign.master_id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1730</v>
      </c>
      <c r="D20" s="13" t="s">
        <v>1731</v>
      </c>
      <c r="E20" s="7" t="s">
        <v>127</v>
      </c>
      <c r="F20" s="7" t="s">
        <v>204</v>
      </c>
      <c r="G20" s="7" t="str">
        <f t="shared" si="3"/>
        <v>integer</v>
      </c>
      <c r="H20" s="58"/>
      <c r="I20" s="23" t="s">
        <v>127</v>
      </c>
      <c r="J20" s="24" t="s">
        <v>1732</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1679</v>
      </c>
      <c r="D21" s="13" t="s">
        <v>1680</v>
      </c>
      <c r="E21" s="7" t="s">
        <v>127</v>
      </c>
      <c r="F21" s="7" t="s">
        <v>204</v>
      </c>
      <c r="G21" s="7" t="str">
        <f t="shared" si="3"/>
        <v>integer</v>
      </c>
      <c r="H21" s="58"/>
      <c r="I21" s="23" t="s">
        <v>127</v>
      </c>
      <c r="J21" s="24" t="s">
        <v>1702</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1681</v>
      </c>
      <c r="D22" s="13" t="s">
        <v>1682</v>
      </c>
      <c r="E22" s="7"/>
      <c r="F22" s="7" t="s">
        <v>865</v>
      </c>
      <c r="G22" s="7" t="str">
        <f t="shared" si="3"/>
        <v>text</v>
      </c>
      <c r="H22" s="58"/>
      <c r="I22" s="23"/>
      <c r="J22" s="24" t="s">
        <v>1703</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milscm_2023_009.sny_202310_backup_merge_mml_fs_vitalsign.department_name IS '診療科名';</v>
      </c>
    </row>
    <row r="23" spans="1:45" s="25" customFormat="1" ht="37.5">
      <c r="A23" s="4"/>
      <c r="B23" s="21">
        <f t="shared" si="2"/>
        <v>11</v>
      </c>
      <c r="C23" s="13" t="s">
        <v>603</v>
      </c>
      <c r="D23" s="13" t="s">
        <v>1683</v>
      </c>
      <c r="E23" s="7"/>
      <c r="F23" s="7" t="s">
        <v>865</v>
      </c>
      <c r="G23" s="7" t="str">
        <f t="shared" si="3"/>
        <v>text</v>
      </c>
      <c r="H23" s="58"/>
      <c r="I23" s="23"/>
      <c r="J23" s="24" t="s">
        <v>1704</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1684</v>
      </c>
      <c r="D24" s="13" t="s">
        <v>1685</v>
      </c>
      <c r="E24" s="7"/>
      <c r="F24" s="7" t="s">
        <v>865</v>
      </c>
      <c r="G24" s="7" t="str">
        <f t="shared" si="3"/>
        <v>text</v>
      </c>
      <c r="H24" s="58"/>
      <c r="I24" s="23"/>
      <c r="J24" s="24" t="s">
        <v>1705</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milscm_2023_009.sny_202310_backup_merge_mml_fs_vitalsign.ward IS '病棟';</v>
      </c>
    </row>
    <row r="25" spans="1:45" s="25" customFormat="1" ht="37.5">
      <c r="A25" s="4"/>
      <c r="B25" s="21">
        <f t="shared" si="2"/>
        <v>13</v>
      </c>
      <c r="C25" s="13" t="s">
        <v>238</v>
      </c>
      <c r="D25" s="13" t="s">
        <v>239</v>
      </c>
      <c r="E25" s="7"/>
      <c r="F25" s="7" t="s">
        <v>865</v>
      </c>
      <c r="G25" s="7" t="str">
        <f t="shared" si="3"/>
        <v>text</v>
      </c>
      <c r="H25" s="58"/>
      <c r="I25" s="23"/>
      <c r="J25" s="24" t="s">
        <v>1706</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milscm_2023_009.sny_202310_backup_merge_mml_fs_vitalsign.ward_code IS '病棟コード';</v>
      </c>
    </row>
    <row r="26" spans="1:45" s="25" customFormat="1" ht="37.5">
      <c r="A26" s="4"/>
      <c r="B26" s="21">
        <f t="shared" si="2"/>
        <v>14</v>
      </c>
      <c r="C26" s="13" t="s">
        <v>1686</v>
      </c>
      <c r="D26" s="13" t="s">
        <v>1687</v>
      </c>
      <c r="E26" s="7"/>
      <c r="F26" s="7" t="s">
        <v>865</v>
      </c>
      <c r="G26" s="7" t="str">
        <f t="shared" si="3"/>
        <v>text</v>
      </c>
      <c r="H26" s="58"/>
      <c r="I26" s="23"/>
      <c r="J26" s="24" t="s">
        <v>1707</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1688</v>
      </c>
      <c r="D27" s="13" t="s">
        <v>1689</v>
      </c>
      <c r="E27" s="7"/>
      <c r="F27" s="7" t="s">
        <v>865</v>
      </c>
      <c r="G27" s="7" t="str">
        <f t="shared" si="3"/>
        <v>text</v>
      </c>
      <c r="H27" s="58"/>
      <c r="I27" s="23"/>
      <c r="J27" s="24" t="s">
        <v>1297</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1690</v>
      </c>
      <c r="D28" s="13" t="s">
        <v>1691</v>
      </c>
      <c r="E28" s="7"/>
      <c r="F28" s="7" t="s">
        <v>865</v>
      </c>
      <c r="G28" s="7" t="str">
        <f t="shared" si="3"/>
        <v>text</v>
      </c>
      <c r="H28" s="58"/>
      <c r="I28" s="23"/>
      <c r="J28" s="24" t="s">
        <v>1709</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1692</v>
      </c>
      <c r="D29" s="13" t="s">
        <v>1693</v>
      </c>
      <c r="E29" s="7"/>
      <c r="F29" s="7" t="s">
        <v>865</v>
      </c>
      <c r="G29" s="7" t="str">
        <f t="shared" si="3"/>
        <v>text</v>
      </c>
      <c r="H29" s="58"/>
      <c r="I29" s="23"/>
      <c r="J29" s="24" t="s">
        <v>1710</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1694</v>
      </c>
      <c r="D30" s="13" t="s">
        <v>1695</v>
      </c>
      <c r="E30" s="7"/>
      <c r="F30" s="7" t="s">
        <v>865</v>
      </c>
      <c r="G30" s="7" t="str">
        <f t="shared" si="3"/>
        <v>text</v>
      </c>
      <c r="H30" s="58"/>
      <c r="I30" s="23"/>
      <c r="J30" s="24" t="s">
        <v>1711</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1696</v>
      </c>
      <c r="D31" s="13" t="s">
        <v>1697</v>
      </c>
      <c r="E31" s="7"/>
      <c r="F31" s="7" t="s">
        <v>865</v>
      </c>
      <c r="G31" s="7" t="str">
        <f t="shared" si="3"/>
        <v>text</v>
      </c>
      <c r="H31" s="58"/>
      <c r="I31" s="23"/>
      <c r="J31" s="24" t="s">
        <v>1712</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milscm_2023_009.sny_202310_backup_merge_mml_fs_vitalsign.keisoku_position IS '計測時体位';</v>
      </c>
    </row>
    <row r="32" spans="1:45" s="25" customFormat="1" ht="31.5">
      <c r="A32" s="4"/>
      <c r="B32" s="21">
        <f t="shared" si="2"/>
        <v>20</v>
      </c>
      <c r="C32" s="13" t="s">
        <v>1698</v>
      </c>
      <c r="D32" s="13" t="s">
        <v>1699</v>
      </c>
      <c r="E32" s="7"/>
      <c r="F32" s="7" t="s">
        <v>865</v>
      </c>
      <c r="G32" s="7" t="str">
        <f t="shared" si="3"/>
        <v>text</v>
      </c>
      <c r="H32" s="58"/>
      <c r="I32" s="23"/>
      <c r="J32" s="24" t="s">
        <v>1713</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milscm_2023_009.sny_202310_backup_merge_mml_fs_vitalsign.keisoku_method_comment IS '計測方法コメント';</v>
      </c>
    </row>
    <row r="33" spans="1:52" s="25" customFormat="1" ht="19.5" thickBot="1">
      <c r="A33" s="4"/>
      <c r="B33" s="27">
        <f>ROW()-12</f>
        <v>21</v>
      </c>
      <c r="C33" s="57" t="s">
        <v>1700</v>
      </c>
      <c r="D33" s="57" t="s">
        <v>1701</v>
      </c>
      <c r="E33" s="56"/>
      <c r="F33" s="56" t="s">
        <v>865</v>
      </c>
      <c r="G33" s="56" t="str">
        <f t="shared" si="3"/>
        <v>text</v>
      </c>
      <c r="H33" s="59"/>
      <c r="I33" s="60"/>
      <c r="J33" s="64" t="s">
        <v>1714</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01</v>
      </c>
      <c r="E4" s="249"/>
      <c r="F4" s="249"/>
      <c r="G4" s="249"/>
      <c r="H4" s="249"/>
      <c r="I4" s="249"/>
      <c r="J4" s="250"/>
    </row>
    <row r="5" spans="1:45">
      <c r="B5" s="262" t="s">
        <v>3702</v>
      </c>
      <c r="C5" s="263"/>
      <c r="D5" s="272" t="str">
        <f>VLOOKUP(D7,エンティティ一覧!A1:'エンティティ一覧'!AM10204,7,FALSE)</f>
        <v>backup</v>
      </c>
      <c r="E5" s="273"/>
      <c r="F5" s="273"/>
      <c r="G5" s="273"/>
      <c r="H5" s="273"/>
      <c r="I5" s="273"/>
      <c r="J5" s="274"/>
    </row>
    <row r="6" spans="1:45">
      <c r="B6" s="262" t="s">
        <v>3703</v>
      </c>
      <c r="C6" s="263"/>
      <c r="D6" s="272" t="str">
        <f>VLOOKUP(D7,エンティティ一覧!A1:'エンティティ一覧'!AM10204,15,FALSE)</f>
        <v>ENT_01_C4-41</v>
      </c>
      <c r="E6" s="273"/>
      <c r="F6" s="273"/>
      <c r="G6" s="273"/>
      <c r="H6" s="273"/>
      <c r="I6" s="273"/>
      <c r="J6" s="274"/>
    </row>
    <row r="7" spans="1:45">
      <c r="B7" s="262" t="s">
        <v>115</v>
      </c>
      <c r="C7" s="263"/>
      <c r="D7" s="264" t="s">
        <v>1733</v>
      </c>
      <c r="E7" s="265"/>
      <c r="F7" s="265"/>
      <c r="G7" s="265"/>
      <c r="H7" s="265"/>
      <c r="I7" s="265"/>
      <c r="J7" s="266"/>
    </row>
    <row r="8" spans="1:45">
      <c r="B8" s="262" t="s">
        <v>116</v>
      </c>
      <c r="C8" s="263"/>
      <c r="D8" s="264" t="str">
        <f>エンティティ一覧!AE2&amp;"_"&amp;D5&amp;"_merge_mml_fs_item"</f>
        <v>sny_202310_backup_merge_mml_fs_item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milscm_2023_009.sny_202310_backup_merge_mml_fs_item;</v>
      </c>
      <c r="O10" s="76"/>
      <c r="P10" s="76"/>
      <c r="Q10" s="76"/>
      <c r="R10" s="76"/>
      <c r="S10" s="76"/>
      <c r="T10" s="76"/>
      <c r="AJ10" s="76" t="str">
        <f>"ALTER TABLE ONLY "&amp;エンティティ一覧!$O$2&amp;"."&amp;D$8</f>
        <v>ALTER TABLE ONLY milscm_2023_009.sny_202310_backup_merge_mml_fs_item</v>
      </c>
      <c r="AS10" s="76" t="str">
        <f>"ALTER TABLE "&amp;エンティティ一覧!$O$2&amp;"."&amp;D$8&amp;" OWNER TO pgmisgrp1;"</f>
        <v>ALTER TABLE milscm_2023_009.sny_202310_backup_merge_mml_fs_item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milscm_2023_009.sny_202310_backup_merge_mml_fs_item</v>
      </c>
      <c r="O11" s="76"/>
      <c r="P11" s="76"/>
      <c r="Q11" s="76"/>
      <c r="R11" s="76"/>
      <c r="S11" s="76"/>
      <c r="T11" s="76"/>
      <c r="AJ11" s="76" t="str">
        <f>"ADD CONSTRAINT "&amp;D$8&amp;"_pkey PRIMARY KEY"</f>
        <v>ADD CONSTRAINT sny_202310_backup_merge_mml_fs_item_pkey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1282</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milscm_2023_009.sny_202310_backup_merge_mml_fs_item.facility_id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milscm_2023_009.sny_202310_backup_merge_mml_fs_item.data_type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milscm_2023_009.sny_202310_backup_merge_mml_fs_item.master_id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1730</v>
      </c>
      <c r="D20" s="13" t="s">
        <v>1731</v>
      </c>
      <c r="E20" s="7" t="s">
        <v>127</v>
      </c>
      <c r="F20" s="7" t="s">
        <v>204</v>
      </c>
      <c r="G20" s="7" t="str">
        <f t="shared" si="3"/>
        <v>integer</v>
      </c>
      <c r="H20" s="58"/>
      <c r="I20" s="23" t="s">
        <v>127</v>
      </c>
      <c r="J20" s="24" t="s">
        <v>1732</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1679</v>
      </c>
      <c r="D21" s="13" t="s">
        <v>1680</v>
      </c>
      <c r="E21" s="7" t="s">
        <v>127</v>
      </c>
      <c r="F21" s="7" t="s">
        <v>204</v>
      </c>
      <c r="G21" s="7" t="str">
        <f t="shared" si="3"/>
        <v>integer</v>
      </c>
      <c r="H21" s="58"/>
      <c r="I21" s="23" t="s">
        <v>127</v>
      </c>
      <c r="J21" s="24" t="s">
        <v>1702</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1734</v>
      </c>
      <c r="D22" s="13" t="s">
        <v>1717</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1623</v>
      </c>
      <c r="D23" s="13" t="s">
        <v>1624</v>
      </c>
      <c r="E23" s="7"/>
      <c r="F23" s="7" t="s">
        <v>865</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milscm_2023_009.sny_202310_backup_merge_mml_fs_item.item_name IS '項目名';</v>
      </c>
    </row>
    <row r="24" spans="1:52" s="25" customFormat="1" ht="31.5">
      <c r="A24" s="4"/>
      <c r="B24" s="21">
        <f t="shared" si="2"/>
        <v>12</v>
      </c>
      <c r="C24" s="13" t="s">
        <v>1718</v>
      </c>
      <c r="D24" s="13" t="s">
        <v>1719</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milscm_2023_009.sny_202310_backup_merge_mml_fs_item.vital_sign_value IS '文字列で表記されるバイタルサインの値';</v>
      </c>
    </row>
    <row r="25" spans="1:52" s="25" customFormat="1">
      <c r="A25" s="4"/>
      <c r="B25" s="21">
        <f t="shared" si="2"/>
        <v>13</v>
      </c>
      <c r="C25" s="13" t="s">
        <v>1720</v>
      </c>
      <c r="D25" s="13" t="s">
        <v>1721</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milscm_2023_009.sny_202310_backup_merge_mml_fs_item.vital_sign_num_value IS '数値で表記されるバイタルサインの値';</v>
      </c>
    </row>
    <row r="26" spans="1:52" s="25" customFormat="1" ht="19.5" thickBot="1">
      <c r="A26" s="4"/>
      <c r="B26" s="27">
        <f>ROW()-12</f>
        <v>14</v>
      </c>
      <c r="C26" s="57" t="s">
        <v>1722</v>
      </c>
      <c r="D26" s="57" t="s">
        <v>1723</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11</v>
      </c>
      <c r="E4" s="249"/>
      <c r="F4" s="249"/>
      <c r="G4" s="249"/>
      <c r="H4" s="249"/>
      <c r="I4" s="249"/>
      <c r="J4" s="250"/>
    </row>
    <row r="5" spans="1:45">
      <c r="B5" s="262" t="s">
        <v>3702</v>
      </c>
      <c r="C5" s="263"/>
      <c r="D5" s="272" t="str">
        <f>VLOOKUP(D7,エンティティ一覧!A1:'エンティティ一覧'!AM10204,7,FALSE)</f>
        <v>enroll</v>
      </c>
      <c r="E5" s="273"/>
      <c r="F5" s="273"/>
      <c r="G5" s="273"/>
      <c r="H5" s="273"/>
      <c r="I5" s="273"/>
      <c r="J5" s="274"/>
    </row>
    <row r="6" spans="1:45">
      <c r="B6" s="262" t="s">
        <v>3703</v>
      </c>
      <c r="C6" s="263"/>
      <c r="D6" s="272" t="str">
        <f>VLOOKUP(D7,エンティティ一覧!A1:'エンティティ一覧'!AM10204,15,FALSE)</f>
        <v>ENT_11_01</v>
      </c>
      <c r="E6" s="273"/>
      <c r="F6" s="273"/>
      <c r="G6" s="273"/>
      <c r="H6" s="273"/>
      <c r="I6" s="273"/>
      <c r="J6" s="274"/>
    </row>
    <row r="7" spans="1:45">
      <c r="B7" s="262" t="s">
        <v>115</v>
      </c>
      <c r="C7" s="263"/>
      <c r="D7" s="264" t="s">
        <v>3822</v>
      </c>
      <c r="E7" s="265"/>
      <c r="F7" s="265"/>
      <c r="G7" s="265"/>
      <c r="H7" s="265"/>
      <c r="I7" s="265"/>
      <c r="J7" s="266"/>
    </row>
    <row r="8" spans="1:45">
      <c r="B8" s="262" t="s">
        <v>116</v>
      </c>
      <c r="C8" s="263"/>
      <c r="D8" s="264" t="str">
        <f>エンティティ一覧!AE2&amp;"_"&amp;D5&amp;"_shisetsu"</f>
        <v>sny_202310_enroll_shisetsu</v>
      </c>
      <c r="E8" s="265"/>
      <c r="F8" s="265"/>
      <c r="G8" s="265"/>
      <c r="H8" s="265"/>
      <c r="I8" s="265"/>
      <c r="J8" s="266"/>
    </row>
    <row r="9" spans="1:45" ht="19.5" customHeight="1" thickBot="1">
      <c r="B9" s="267" t="s">
        <v>117</v>
      </c>
      <c r="C9" s="268"/>
      <c r="D9" s="269" t="s">
        <v>3986</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milscm_2023_009.sny_202310_enroll_shisetsu;</v>
      </c>
      <c r="O10" s="76"/>
      <c r="P10" s="76"/>
      <c r="Q10" s="76"/>
      <c r="R10" s="76"/>
      <c r="S10" s="76"/>
      <c r="T10" s="76"/>
      <c r="AJ10" s="76" t="str">
        <f>"ALTER TABLE ONLY "&amp;エンティティ一覧!$O$2&amp;"."&amp;D$8</f>
        <v>ALTER TABLE ONLY milscm_2023_009.sny_202310_enroll_shisetsu</v>
      </c>
      <c r="AS10" s="76" t="str">
        <f>"ALTER TABLE "&amp;エンティティ一覧!$O$2&amp;"."&amp;D$8&amp;" OWNER TO pgmisgrp1;"</f>
        <v>ALTER TABLE milscm_2023_009.sny_202310_enroll_shisetsu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milscm_2023_009.sny_202310_enroll_shisetsu</v>
      </c>
      <c r="O11" s="76"/>
      <c r="P11" s="76"/>
      <c r="Q11" s="76"/>
      <c r="R11" s="76"/>
      <c r="S11" s="76"/>
      <c r="T11" s="76"/>
      <c r="AJ11" s="76" t="str">
        <f>"ADD CONSTRAINT "&amp;D$8&amp;"_pkey PRIMARY KEY"</f>
        <v>ADD CONSTRAINT sny_202310_enroll_shisetsu_pkey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3815</v>
      </c>
      <c r="G13" s="7" t="str">
        <f>IF(F13="フラグ","boolean",IF(F13="文字列","text",IF(F13="整数","integer",IF(F13="実数","numeric",""))))</f>
        <v>text</v>
      </c>
      <c r="H13" s="9"/>
      <c r="I13" s="10" t="s">
        <v>127</v>
      </c>
      <c r="J13" s="24"/>
      <c r="M13" s="4"/>
      <c r="N13" s="76"/>
      <c r="O13" s="76"/>
      <c r="P13" s="76" t="str">
        <f>IF(B13&lt;&gt;1,","&amp;D13,D13)</f>
        <v>facility_id</v>
      </c>
      <c r="Q13" s="76" t="str">
        <f t="shared" ref="Q13:Q18" si="0">UPPER(G13)</f>
        <v>TEXT</v>
      </c>
      <c r="R13" s="76" t="str">
        <f t="shared" ref="R13:R18" si="1">IF(H13&lt;&gt;"","default "&amp;IF(G13="text","'"&amp;H13&amp;"'",H13),"")</f>
        <v/>
      </c>
      <c r="S13" s="76" t="str">
        <f t="shared" ref="S13:S20" si="2">IF(I13="○","NOT NULL","")</f>
        <v>NOT NULL</v>
      </c>
      <c r="T13" s="76" t="str">
        <f t="shared" ref="T13:T20" si="3">"--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milscm_2023_009.sny_202310_enroll_shisetsu.facility_id IS '施設ID';</v>
      </c>
    </row>
    <row r="14" spans="1:45" s="25" customFormat="1">
      <c r="A14" s="4"/>
      <c r="B14" s="21">
        <f>ROW()-12</f>
        <v>2</v>
      </c>
      <c r="C14" s="13" t="s">
        <v>2402</v>
      </c>
      <c r="D14" s="13" t="s">
        <v>2403</v>
      </c>
      <c r="E14" s="7"/>
      <c r="F14" s="7" t="s">
        <v>3816</v>
      </c>
      <c r="G14" s="7" t="str">
        <f>IF(F14="フラグ","boolean",IF(F14="文字列","text",IF(F14="整数","integer",IF(F14="実数","numeric",""))))</f>
        <v>text</v>
      </c>
      <c r="H14" s="9"/>
      <c r="I14" s="10"/>
      <c r="J14" s="24"/>
      <c r="M14" s="4"/>
      <c r="N14" s="76"/>
      <c r="O14" s="76"/>
      <c r="P14" s="76" t="str">
        <f>IF(B14&lt;&gt;1,","&amp;D14,D14)</f>
        <v>,facility_id_mml</v>
      </c>
      <c r="Q14" s="76" t="str">
        <f t="shared" si="0"/>
        <v>TEXT</v>
      </c>
      <c r="R14" s="76" t="str">
        <f t="shared" si="1"/>
        <v/>
      </c>
      <c r="S14" s="76" t="str">
        <f t="shared" si="2"/>
        <v/>
      </c>
      <c r="T14" s="76" t="str">
        <f t="shared" si="3"/>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milscm_2023_009.sny_202310_enroll_shisetsu.facility_id_mml IS '施設ID（MML）';</v>
      </c>
    </row>
    <row r="15" spans="1:45" s="25" customFormat="1">
      <c r="A15" s="4"/>
      <c r="B15" s="21">
        <f t="shared" ref="B15:B20" si="4">ROW()-12</f>
        <v>3</v>
      </c>
      <c r="C15" s="6" t="s">
        <v>3817</v>
      </c>
      <c r="D15" s="6" t="s">
        <v>2405</v>
      </c>
      <c r="E15" s="8"/>
      <c r="F15" s="7" t="s">
        <v>3818</v>
      </c>
      <c r="G15" s="7" t="str">
        <f t="shared" ref="G15" si="5">IF(F15="フラグ","boolean",IF(F15="文字列","text",IF(F15="整数","integer",IF(F15="実数","numeric",""))))</f>
        <v>text</v>
      </c>
      <c r="H15" s="58"/>
      <c r="I15" s="23" t="s">
        <v>127</v>
      </c>
      <c r="J15" s="24"/>
      <c r="M15" s="4"/>
      <c r="N15" s="76"/>
      <c r="O15" s="76"/>
      <c r="P15" s="76" t="str">
        <f t="shared" ref="P15" si="6">IF(B15&lt;&gt;1,","&amp;D15,D15)</f>
        <v>,facility_name</v>
      </c>
      <c r="Q15" s="76" t="str">
        <f t="shared" si="0"/>
        <v>TEXT</v>
      </c>
      <c r="R15" s="76" t="str">
        <f t="shared" si="1"/>
        <v/>
      </c>
      <c r="S15" s="76" t="str">
        <f t="shared" si="2"/>
        <v>NOT NULL</v>
      </c>
      <c r="T15" s="76" t="str">
        <f t="shared" si="3"/>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milscm_2023_009.sny_202310_enroll_shisetsu.facility_name IS '施設名';</v>
      </c>
    </row>
    <row r="16" spans="1:45" s="25" customFormat="1">
      <c r="A16" s="4"/>
      <c r="B16" s="21">
        <f>ROW()-12</f>
        <v>4</v>
      </c>
      <c r="C16" s="13" t="s">
        <v>3819</v>
      </c>
      <c r="D16" s="13" t="s">
        <v>2411</v>
      </c>
      <c r="E16" s="7"/>
      <c r="F16" s="7" t="s">
        <v>3816</v>
      </c>
      <c r="G16" s="7" t="str">
        <f>IF(F16="フラグ","boolean",IF(F16="文字列","text",IF(F16="整数","integer",IF(F16="実数","numeric",""))))</f>
        <v>text</v>
      </c>
      <c r="H16" s="9"/>
      <c r="I16" s="10"/>
      <c r="J16" s="24"/>
      <c r="M16" s="4"/>
      <c r="N16" s="76"/>
      <c r="O16" s="76"/>
      <c r="P16" s="76" t="str">
        <f>IF(B16&lt;&gt;1,","&amp;D16,D16)</f>
        <v>,facility_contract_start</v>
      </c>
      <c r="Q16" s="76" t="str">
        <f t="shared" ref="Q16" si="7">UPPER(G16)</f>
        <v>TEXT</v>
      </c>
      <c r="R16" s="76" t="str">
        <f t="shared" ref="R16" si="8">IF(H16&lt;&gt;"","default "&amp;IF(G16="text","'"&amp;H16&amp;"'",H16),"")</f>
        <v/>
      </c>
      <c r="S16" s="76" t="str">
        <f t="shared" si="2"/>
        <v/>
      </c>
      <c r="T16" s="76" t="str">
        <f t="shared" si="3"/>
        <v>-- 施設データ提供開始日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3820</v>
      </c>
      <c r="D17" s="6" t="s">
        <v>2413</v>
      </c>
      <c r="E17" s="8"/>
      <c r="F17" s="7" t="s">
        <v>3816</v>
      </c>
      <c r="G17" s="7" t="str">
        <f t="shared" ref="G17" si="9">IF(F17="フラグ","boolean",IF(F17="文字列","text",IF(F17="整数","integer",IF(F17="実数","numeric",""))))</f>
        <v>text</v>
      </c>
      <c r="H17" s="58"/>
      <c r="I17" s="23"/>
      <c r="J17" s="24"/>
      <c r="M17" s="4"/>
      <c r="N17" s="76"/>
      <c r="O17" s="76"/>
      <c r="P17" s="76" t="str">
        <f t="shared" ref="P17" si="10">IF(B17&lt;&gt;1,","&amp;D17,D17)</f>
        <v>,facility_contract_end</v>
      </c>
      <c r="Q17" s="76" t="str">
        <f t="shared" si="0"/>
        <v>TEXT</v>
      </c>
      <c r="R17" s="76" t="str">
        <f t="shared" si="1"/>
        <v/>
      </c>
      <c r="S17" s="76" t="str">
        <f t="shared" si="2"/>
        <v/>
      </c>
      <c r="T17" s="76" t="str">
        <f t="shared" si="3"/>
        <v>-- 施設データ提供終了日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milscm_2023_009.sny_202310_enroll_shisetsu.facility_contract_end IS '施設データ提供終了日';</v>
      </c>
    </row>
    <row r="18" spans="1:52" s="25" customFormat="1">
      <c r="A18" s="4"/>
      <c r="B18" s="21">
        <f>ROW()-12</f>
        <v>6</v>
      </c>
      <c r="C18" s="13" t="s">
        <v>3821</v>
      </c>
      <c r="D18" s="13" t="s">
        <v>2415</v>
      </c>
      <c r="E18" s="7"/>
      <c r="F18" s="7" t="s">
        <v>204</v>
      </c>
      <c r="G18" s="7" t="str">
        <f>IF(F18="フラグ","boolean",IF(F18="文字列","text",IF(F18="整数","integer",IF(F18="実数","numeric",""))))</f>
        <v>integer</v>
      </c>
      <c r="H18" s="9"/>
      <c r="I18" s="10"/>
      <c r="J18" s="24"/>
      <c r="M18" s="4"/>
      <c r="N18" s="76"/>
      <c r="O18" s="76"/>
      <c r="P18" s="76" t="str">
        <f>IF(B18&lt;&gt;1,","&amp;D18,D18)</f>
        <v>,size</v>
      </c>
      <c r="Q18" s="76" t="str">
        <f t="shared" si="0"/>
        <v>INTEGER</v>
      </c>
      <c r="R18" s="76" t="str">
        <f t="shared" si="1"/>
        <v/>
      </c>
      <c r="S18" s="76" t="str">
        <f t="shared" ref="S18:S19" si="11">IF(I18="○","NOT NULL","")</f>
        <v/>
      </c>
      <c r="T18" s="76" t="str">
        <f t="shared" ref="T18:T19" si="12">"-- "&amp;C18</f>
        <v>-- 施設規模</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milscm_2023_009.sny_202310_enroll_shisetsu.size IS '施設規模';</v>
      </c>
    </row>
    <row r="19" spans="1:52" s="25" customFormat="1">
      <c r="A19" s="4"/>
      <c r="B19" s="21">
        <f t="shared" si="4"/>
        <v>7</v>
      </c>
      <c r="C19" s="6" t="s">
        <v>4063</v>
      </c>
      <c r="D19" s="6" t="s">
        <v>4017</v>
      </c>
      <c r="E19" s="8"/>
      <c r="F19" s="7" t="s">
        <v>3816</v>
      </c>
      <c r="G19" s="7" t="str">
        <f t="shared" ref="G19" si="13">IF(F19="フラグ","boolean",IF(F19="文字列","text",IF(F19="整数","integer",IF(F19="実数","numeric",""))))</f>
        <v>text</v>
      </c>
      <c r="H19" s="58"/>
      <c r="I19" s="23"/>
      <c r="J19" s="24" t="s">
        <v>4062</v>
      </c>
      <c r="M19" s="4"/>
      <c r="N19" s="76"/>
      <c r="O19" s="76"/>
      <c r="P19" s="76" t="str">
        <f t="shared" ref="P19" si="14">IF(B19&lt;&gt;1,","&amp;D19,D19)</f>
        <v>,usage_start</v>
      </c>
      <c r="Q19" s="76" t="str">
        <f t="shared" ref="Q19" si="15">UPPER(G19)</f>
        <v>TEXT</v>
      </c>
      <c r="R19" s="76" t="str">
        <f t="shared" ref="R19" si="16">IF(H19&lt;&gt;"","default "&amp;IF(G19="text","'"&amp;H19&amp;"'",H19),"")</f>
        <v/>
      </c>
      <c r="S19" s="76" t="str">
        <f t="shared" si="11"/>
        <v/>
      </c>
      <c r="T19" s="76" t="str">
        <f t="shared" si="12"/>
        <v>-- データ利用開始年月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milscm_2023_009.sny_202310_enroll_shisetsu.usage_start IS 'データ利用開始年月';</v>
      </c>
    </row>
    <row r="20" spans="1:52" s="25" customFormat="1" ht="19.5" thickBot="1">
      <c r="A20" s="4"/>
      <c r="B20" s="70">
        <f t="shared" si="4"/>
        <v>8</v>
      </c>
      <c r="C20" s="71" t="s">
        <v>4064</v>
      </c>
      <c r="D20" s="71" t="s">
        <v>4018</v>
      </c>
      <c r="E20" s="74"/>
      <c r="F20" s="72" t="s">
        <v>3816</v>
      </c>
      <c r="G20" s="72" t="str">
        <f t="shared" ref="G20" si="17">IF(F20="フラグ","boolean",IF(F20="文字列","text",IF(F20="整数","integer",IF(F20="実数","numeric",""))))</f>
        <v>text</v>
      </c>
      <c r="H20" s="73"/>
      <c r="I20" s="74"/>
      <c r="J20" s="75" t="s">
        <v>4062</v>
      </c>
      <c r="M20" s="4"/>
      <c r="N20" s="76"/>
      <c r="O20" s="76"/>
      <c r="P20" s="76" t="str">
        <f t="shared" ref="P20" si="18">IF(B20&lt;&gt;1,","&amp;D20,D20)</f>
        <v>,usage_end</v>
      </c>
      <c r="Q20" s="76" t="str">
        <f t="shared" ref="Q20" si="19">UPPER(G20)</f>
        <v>TEXT</v>
      </c>
      <c r="R20" s="76" t="str">
        <f t="shared" ref="R20" si="20">IF(H20&lt;&gt;"","default "&amp;IF(G20="text","'"&amp;H20&amp;"'",H20),"")</f>
        <v/>
      </c>
      <c r="S20" s="76" t="str">
        <f t="shared" si="2"/>
        <v/>
      </c>
      <c r="T20" s="76" t="str">
        <f t="shared" si="3"/>
        <v>-- データ利用終了年月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milscm_2023_009.sny_202310_enroll_shisetsu.usage_end IS 'データ利用終了年月';</v>
      </c>
    </row>
    <row r="21" spans="1:52">
      <c r="L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11</v>
      </c>
      <c r="E4" s="249"/>
      <c r="F4" s="249"/>
      <c r="G4" s="249"/>
      <c r="H4" s="249"/>
      <c r="I4" s="249"/>
      <c r="J4" s="250"/>
    </row>
    <row r="5" spans="1:45">
      <c r="B5" s="262" t="s">
        <v>3702</v>
      </c>
      <c r="C5" s="263"/>
      <c r="D5" s="272" t="str">
        <f>VLOOKUP(D7,エンティティ一覧!A1:'エンティティ一覧'!AM10204,7,FALSE)</f>
        <v>enroll</v>
      </c>
      <c r="E5" s="273"/>
      <c r="F5" s="273"/>
      <c r="G5" s="273"/>
      <c r="H5" s="273"/>
      <c r="I5" s="273"/>
      <c r="J5" s="274"/>
    </row>
    <row r="6" spans="1:45">
      <c r="B6" s="262" t="s">
        <v>3703</v>
      </c>
      <c r="C6" s="263"/>
      <c r="D6" s="272" t="str">
        <f>VLOOKUP(D7,エンティティ一覧!A1:'エンティティ一覧'!AM10204,15,FALSE)</f>
        <v>ENT_11_02</v>
      </c>
      <c r="E6" s="273"/>
      <c r="F6" s="273"/>
      <c r="G6" s="273"/>
      <c r="H6" s="273"/>
      <c r="I6" s="273"/>
      <c r="J6" s="274"/>
    </row>
    <row r="7" spans="1:45">
      <c r="B7" s="262" t="s">
        <v>115</v>
      </c>
      <c r="C7" s="263"/>
      <c r="D7" s="264" t="s">
        <v>3825</v>
      </c>
      <c r="E7" s="265"/>
      <c r="F7" s="265"/>
      <c r="G7" s="265"/>
      <c r="H7" s="265"/>
      <c r="I7" s="265"/>
      <c r="J7" s="266"/>
    </row>
    <row r="8" spans="1:45">
      <c r="B8" s="262" t="s">
        <v>116</v>
      </c>
      <c r="C8" s="263"/>
      <c r="D8" s="264" t="str">
        <f>エンティティ一覧!AE2&amp;"_"&amp;D5&amp;"_shikkan"</f>
        <v>sny_202310_enroll_shikkan</v>
      </c>
      <c r="E8" s="265"/>
      <c r="F8" s="265"/>
      <c r="G8" s="265"/>
      <c r="H8" s="265"/>
      <c r="I8" s="265"/>
      <c r="J8" s="266"/>
    </row>
    <row r="9" spans="1:45" ht="19.5" customHeight="1" thickBot="1">
      <c r="B9" s="267" t="s">
        <v>117</v>
      </c>
      <c r="C9" s="268"/>
      <c r="D9" s="269" t="s">
        <v>3989</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milscm_2023_009.sny_202310_enroll_shikkan;</v>
      </c>
      <c r="O10" s="76"/>
      <c r="P10" s="76"/>
      <c r="Q10" s="76"/>
      <c r="R10" s="76"/>
      <c r="S10" s="76"/>
      <c r="T10" s="76"/>
      <c r="AJ10" s="76" t="str">
        <f>"ALTER TABLE ONLY "&amp;エンティティ一覧!$O$2&amp;"."&amp;D$8</f>
        <v>ALTER TABLE ONLY milscm_2023_009.sny_202310_enroll_shikkan</v>
      </c>
      <c r="AS10" s="76" t="str">
        <f>"ALTER TABLE "&amp;エンティティ一覧!$O$2&amp;"."&amp;D$8&amp;" OWNER TO pgmisgrp1;"</f>
        <v>ALTER TABLE milscm_2023_009.sny_202310_enroll_shikkan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milscm_2023_009.sny_202310_enroll_shikkan</v>
      </c>
      <c r="O11" s="76"/>
      <c r="P11" s="76"/>
      <c r="Q11" s="76"/>
      <c r="R11" s="76"/>
      <c r="S11" s="76"/>
      <c r="T11" s="76"/>
      <c r="AJ11" s="76" t="str">
        <f>"ADD CONSTRAINT "&amp;D$8&amp;"_pkey PRIMARY KEY"</f>
        <v>ADD CONSTRAINT sny_202310_enroll_shikkan_pkey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milscm_2023_009.sny_202310_enroll_shikkan.facility_id IS '施設ID';</v>
      </c>
    </row>
    <row r="14" spans="1:45" s="25" customFormat="1">
      <c r="A14" s="4"/>
      <c r="B14" s="21">
        <f>ROW()-12</f>
        <v>2</v>
      </c>
      <c r="C14" s="13" t="s">
        <v>2788</v>
      </c>
      <c r="D14" s="13" t="s">
        <v>1246</v>
      </c>
      <c r="E14" s="7" t="s">
        <v>127</v>
      </c>
      <c r="F14" s="7" t="s">
        <v>737</v>
      </c>
      <c r="G14" s="7" t="str">
        <f>IF(F14="フラグ","boolean",IF(F14="文字列","text",IF(F14="整数","integer",IF(F14="実数","numeric",""))))</f>
        <v>text</v>
      </c>
      <c r="H14" s="9"/>
      <c r="I14" s="10" t="s">
        <v>127</v>
      </c>
      <c r="J14" s="24"/>
      <c r="M14" s="4"/>
      <c r="N14" s="76"/>
      <c r="O14" s="76"/>
      <c r="P14" s="76" t="str">
        <f>IF(B14&lt;&gt;1,","&amp;D14,D14)</f>
        <v>,master_id</v>
      </c>
      <c r="Q14" s="76" t="str">
        <f t="shared" ref="Q14" si="2">UPPER(G14)</f>
        <v>TEXT</v>
      </c>
      <c r="R14" s="76" t="str">
        <f t="shared" ref="R14" si="3">IF(H14&lt;&gt;"","default "&amp;IF(G14="text","'"&amp;H14&amp;"'",H14),"")</f>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milscm_2023_009.sny_202310_enroll_shikkan.master_id IS '患者ID';</v>
      </c>
    </row>
    <row r="15" spans="1:45" s="25" customFormat="1">
      <c r="A15" s="4"/>
      <c r="B15" s="21">
        <f>ROW()-12</f>
        <v>3</v>
      </c>
      <c r="C15" s="13" t="s">
        <v>1321</v>
      </c>
      <c r="D15" s="13" t="s">
        <v>1322</v>
      </c>
      <c r="E15" s="7" t="s">
        <v>127</v>
      </c>
      <c r="F15" s="7" t="s">
        <v>737</v>
      </c>
      <c r="G15" s="7" t="str">
        <f>IF(F15="フラグ","boolean",IF(F15="文字列","text",IF(F15="整数","integer",IF(F15="実数","numeric",""))))</f>
        <v>text</v>
      </c>
      <c r="H15" s="9"/>
      <c r="I15" s="10" t="s">
        <v>127</v>
      </c>
      <c r="J15" s="24"/>
      <c r="M15" s="4"/>
      <c r="N15" s="76"/>
      <c r="O15" s="76"/>
      <c r="P15" s="76" t="str">
        <f>IF(B15&lt;&gt;1,","&amp;D15,D15)</f>
        <v>,byomei</v>
      </c>
      <c r="Q15" s="76" t="str">
        <f t="shared" ref="Q15" si="4">UPPER(G15)</f>
        <v>TEXT</v>
      </c>
      <c r="R15" s="76" t="str">
        <f t="shared" ref="R15" si="5">IF(H15&lt;&gt;"","default "&amp;IF(G15="text","'"&amp;H15&amp;"'",H15),"")</f>
        <v/>
      </c>
      <c r="S15" s="76" t="str">
        <f>IF(I15="○","NOT NULL","")</f>
        <v>NOT NULL</v>
      </c>
      <c r="T15" s="76" t="str">
        <f>"--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milscm_2023_009.sny_202310_enroll_shikkan.byomei IS '病名';</v>
      </c>
    </row>
    <row r="16" spans="1:45" s="25" customFormat="1" ht="19.5" thickBot="1">
      <c r="A16" s="4"/>
      <c r="B16" s="66">
        <f t="shared" ref="B16" si="6">ROW()-12</f>
        <v>4</v>
      </c>
      <c r="C16" s="28" t="s">
        <v>3826</v>
      </c>
      <c r="D16" s="28" t="s">
        <v>1324</v>
      </c>
      <c r="E16" s="29" t="s">
        <v>127</v>
      </c>
      <c r="F16" s="56" t="s">
        <v>737</v>
      </c>
      <c r="G16" s="56" t="str">
        <f t="shared" ref="G16" si="7">IF(F16="フラグ","boolean",IF(F16="文字列","text",IF(F16="整数","integer",IF(F16="実数","numeric",""))))</f>
        <v>text</v>
      </c>
      <c r="H16" s="59"/>
      <c r="I16" s="60" t="s">
        <v>127</v>
      </c>
      <c r="J16" s="61"/>
      <c r="M16" s="4"/>
      <c r="N16" s="76"/>
      <c r="O16" s="76"/>
      <c r="P16" s="76" t="str">
        <f t="shared" ref="P16" si="8">IF(B16&lt;&gt;1,","&amp;D16,D16)</f>
        <v>,byomei_code</v>
      </c>
      <c r="Q16" s="76" t="str">
        <f t="shared" si="0"/>
        <v>TEXT</v>
      </c>
      <c r="R16" s="76" t="str">
        <f t="shared" si="1"/>
        <v/>
      </c>
      <c r="S16" s="76" t="str">
        <f>IF(I16="○","NOT NULL","")</f>
        <v>NOT NULL</v>
      </c>
      <c r="T16" s="76" t="str">
        <f>"-- "&amp;C16</f>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milscm_2023_009.sny_202310_enroll_shikkan.byomei_code IS '病名コード値';</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11</v>
      </c>
      <c r="E4" s="249"/>
      <c r="F4" s="249"/>
      <c r="G4" s="249"/>
      <c r="H4" s="249"/>
      <c r="I4" s="249"/>
      <c r="J4" s="250"/>
    </row>
    <row r="5" spans="1:45">
      <c r="B5" s="262" t="s">
        <v>3702</v>
      </c>
      <c r="C5" s="263"/>
      <c r="D5" s="272" t="str">
        <f>VLOOKUP(D7,エンティティ一覧!A1:'エンティティ一覧'!AM10204,7,FALSE)</f>
        <v>enroll</v>
      </c>
      <c r="E5" s="273"/>
      <c r="F5" s="273"/>
      <c r="G5" s="273"/>
      <c r="H5" s="273"/>
      <c r="I5" s="273"/>
      <c r="J5" s="274"/>
    </row>
    <row r="6" spans="1:45">
      <c r="B6" s="262" t="s">
        <v>3703</v>
      </c>
      <c r="C6" s="263"/>
      <c r="D6" s="272" t="str">
        <f>VLOOKUP(D7,エンティティ一覧!A1:'エンティティ一覧'!AM10204,15,FALSE)</f>
        <v>ENT_11_03</v>
      </c>
      <c r="E6" s="273"/>
      <c r="F6" s="273"/>
      <c r="G6" s="273"/>
      <c r="H6" s="273"/>
      <c r="I6" s="273"/>
      <c r="J6" s="274"/>
    </row>
    <row r="7" spans="1:45">
      <c r="B7" s="262" t="s">
        <v>115</v>
      </c>
      <c r="C7" s="263"/>
      <c r="D7" s="264" t="s">
        <v>3827</v>
      </c>
      <c r="E7" s="265"/>
      <c r="F7" s="265"/>
      <c r="G7" s="265"/>
      <c r="H7" s="265"/>
      <c r="I7" s="265"/>
      <c r="J7" s="266"/>
    </row>
    <row r="8" spans="1:45">
      <c r="B8" s="262" t="s">
        <v>116</v>
      </c>
      <c r="C8" s="263"/>
      <c r="D8" s="264" t="str">
        <f>エンティティ一覧!AE2&amp;"_"&amp;D5&amp;"_shinryou_koui"</f>
        <v>sny_202310_enroll_shinryou_koui</v>
      </c>
      <c r="E8" s="265"/>
      <c r="F8" s="265"/>
      <c r="G8" s="265"/>
      <c r="H8" s="265"/>
      <c r="I8" s="265"/>
      <c r="J8" s="266"/>
    </row>
    <row r="9" spans="1:45" ht="19.5" customHeight="1" thickBot="1">
      <c r="B9" s="267" t="s">
        <v>117</v>
      </c>
      <c r="C9" s="268"/>
      <c r="D9" s="269" t="s">
        <v>3990</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milscm_2023_009.sny_202310_enroll_shinryou_koui;</v>
      </c>
      <c r="O10" s="76"/>
      <c r="P10" s="76"/>
      <c r="Q10" s="76"/>
      <c r="R10" s="76"/>
      <c r="S10" s="76"/>
      <c r="T10" s="76"/>
      <c r="AJ10" s="76" t="str">
        <f>"ALTER TABLE ONLY "&amp;エンティティ一覧!$O$2&amp;"."&amp;D$8</f>
        <v>ALTER TABLE ONLY milscm_2023_009.sny_202310_enroll_shinryou_koui</v>
      </c>
      <c r="AS10" s="76" t="str">
        <f>"ALTER TABLE "&amp;エンティティ一覧!$O$2&amp;"."&amp;D$8&amp;" OWNER TO pgmisgrp1;"</f>
        <v>ALTER TABLE milscm_2023_009.sny_202310_enroll_shinryou_koui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milscm_2023_009.sny_202310_enroll_shinryou_koui</v>
      </c>
      <c r="O11" s="76"/>
      <c r="P11" s="76"/>
      <c r="Q11" s="76"/>
      <c r="R11" s="76"/>
      <c r="S11" s="76"/>
      <c r="T11" s="76"/>
      <c r="AJ11" s="76" t="str">
        <f>"ADD CONSTRAINT "&amp;D$8&amp;"_pkey PRIMARY KEY"</f>
        <v>ADD CONSTRAINT sny_202310_enroll_shinryou_koui_pkey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milscm_2023_009.sny_202310_enroll_shinryou_koui.facility_id IS '施設ID';</v>
      </c>
    </row>
    <row r="14" spans="1:45" s="25" customFormat="1">
      <c r="A14" s="4"/>
      <c r="B14" s="21">
        <f>ROW()-12</f>
        <v>2</v>
      </c>
      <c r="C14" s="13" t="s">
        <v>1736</v>
      </c>
      <c r="D14" s="13" t="s">
        <v>210</v>
      </c>
      <c r="E14" s="7" t="s">
        <v>127</v>
      </c>
      <c r="F14" s="7" t="s">
        <v>737</v>
      </c>
      <c r="G14" s="7" t="str">
        <f>IF(F14="フラグ","boolean",IF(F14="文字列","text",IF(F14="整数","integer",IF(F14="実数","numeric",""))))</f>
        <v>text</v>
      </c>
      <c r="H14" s="9"/>
      <c r="I14" s="10" t="s">
        <v>127</v>
      </c>
      <c r="J14" s="24"/>
      <c r="M14" s="4"/>
      <c r="N14" s="76"/>
      <c r="O14" s="76"/>
      <c r="P14" s="76" t="str">
        <f>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737</v>
      </c>
      <c r="G15" s="7" t="str">
        <f>IF(F15="フラグ","boolean",IF(F15="文字列","text",IF(F15="整数","integer",IF(F15="実数","numeric",""))))</f>
        <v>text</v>
      </c>
      <c r="H15" s="9"/>
      <c r="I15" s="10" t="s">
        <v>127</v>
      </c>
      <c r="J15" s="24"/>
      <c r="M15" s="4"/>
      <c r="N15" s="76"/>
      <c r="O15" s="76"/>
      <c r="P15" s="76" t="str">
        <f>IF(B15&lt;&gt;1,","&amp;D15,D15)</f>
        <v>,receipt_densan_code</v>
      </c>
      <c r="Q15" s="76" t="str">
        <f t="shared" si="0"/>
        <v>TEXT</v>
      </c>
      <c r="R15" s="76" t="str">
        <f t="shared" si="1"/>
        <v/>
      </c>
      <c r="S15" s="76" t="str">
        <f>IF(I15="○","NOT NULL","")</f>
        <v>NOT NULL</v>
      </c>
      <c r="T15" s="76" t="str">
        <f>"-- "&amp;C15</f>
        <v>-- レセプト電算処理システム用コード</v>
      </c>
      <c r="U15" s="4"/>
      <c r="AA15" s="4"/>
      <c r="AB15" s="4"/>
      <c r="AC15" s="4"/>
      <c r="AD15" s="4"/>
      <c r="AE15" s="4"/>
      <c r="AF15" s="4"/>
      <c r="AG15" s="4"/>
      <c r="AH15" s="4"/>
      <c r="AI15" s="4"/>
      <c r="AJ15" s="76" t="str">
        <f>IF(E15="○",IF(COUNTA(E$13:E15)=1,"",",")&amp;D15,"")</f>
        <v>,receipt_densan_code</v>
      </c>
      <c r="AK15" s="4"/>
      <c r="AL15" s="4"/>
      <c r="AM15" s="4"/>
      <c r="AN15" s="4"/>
      <c r="AO15" s="4"/>
      <c r="AP15" s="4"/>
      <c r="AQ15" s="4"/>
      <c r="AR15" s="4"/>
      <c r="AS15" s="76" t="str">
        <f>"COMMENT ON COLUMN "&amp;エンティティ一覧!$O$2&amp;"."&amp;D$8&amp;"."&amp;D15&amp;" IS '"&amp;C15&amp;"';"</f>
        <v>COMMENT ON COLUMN milscm_2023_009.sny_202310_enroll_shinryou_koui.receipt_densan_code IS 'レセプト電算処理システム用コード';</v>
      </c>
    </row>
    <row r="16" spans="1:45" s="25" customFormat="1" ht="19.5" thickBot="1">
      <c r="A16" s="4"/>
      <c r="B16" s="66">
        <f t="shared" ref="B16" si="2">ROW()-12</f>
        <v>4</v>
      </c>
      <c r="C16" s="28" t="s">
        <v>149</v>
      </c>
      <c r="D16" s="28" t="s">
        <v>155</v>
      </c>
      <c r="E16" s="29" t="s">
        <v>127</v>
      </c>
      <c r="F16" s="56" t="s">
        <v>737</v>
      </c>
      <c r="G16" s="56" t="str">
        <f t="shared" ref="G16" si="3">IF(F16="フラグ","boolean",IF(F16="文字列","text",IF(F16="整数","integer",IF(F16="実数","numeric",""))))</f>
        <v>text</v>
      </c>
      <c r="H16" s="59"/>
      <c r="I16" s="60" t="s">
        <v>127</v>
      </c>
      <c r="J16" s="61"/>
      <c r="M16" s="4"/>
      <c r="N16" s="76"/>
      <c r="O16" s="76"/>
      <c r="P16" s="76" t="str">
        <f t="shared" ref="P16" si="4">IF(B16&lt;&gt;1,","&amp;D16,D16)</f>
        <v>,jisshi_ymd</v>
      </c>
      <c r="Q16" s="76" t="str">
        <f t="shared" si="0"/>
        <v>TEXT</v>
      </c>
      <c r="R16" s="76" t="str">
        <f t="shared" si="1"/>
        <v/>
      </c>
      <c r="S16" s="76" t="str">
        <f>IF(I16="○","NOT NULL","")</f>
        <v>NOT NULL</v>
      </c>
      <c r="T16" s="76" t="str">
        <f>"-- "&amp;C16</f>
        <v>-- 実施年月日</v>
      </c>
      <c r="U16" s="4"/>
      <c r="AA16" s="4"/>
      <c r="AB16" s="4"/>
      <c r="AC16" s="4"/>
      <c r="AD16" s="4"/>
      <c r="AE16" s="4"/>
      <c r="AF16" s="4"/>
      <c r="AG16" s="4"/>
      <c r="AH16" s="4"/>
      <c r="AI16" s="4"/>
      <c r="AJ16" s="76" t="str">
        <f>IF(E16="○",IF(COUNTA(E$13:E16)=1,"",",")&amp;D16,"")</f>
        <v>,jisshi_ymd</v>
      </c>
      <c r="AK16" s="4"/>
      <c r="AL16" s="4"/>
      <c r="AM16" s="4"/>
      <c r="AN16" s="4"/>
      <c r="AO16" s="4"/>
      <c r="AP16" s="4"/>
      <c r="AQ16" s="4"/>
      <c r="AR16" s="4"/>
      <c r="AS16" s="76" t="str">
        <f>"COMMENT ON COLUMN "&amp;エンティティ一覧!$O$2&amp;"."&amp;D$8&amp;"."&amp;D16&amp;" IS '"&amp;C16&amp;"';"</f>
        <v>COMMENT ON COLUMN milscm_2023_009.sny_202310_enroll_shinryou_koui.jisshi_ymd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11</v>
      </c>
      <c r="E4" s="249"/>
      <c r="F4" s="249"/>
      <c r="G4" s="249"/>
      <c r="H4" s="249"/>
      <c r="I4" s="249"/>
      <c r="J4" s="250"/>
    </row>
    <row r="5" spans="1:45">
      <c r="B5" s="262" t="s">
        <v>3702</v>
      </c>
      <c r="C5" s="263"/>
      <c r="D5" s="272" t="str">
        <f>VLOOKUP(D7,エンティティ一覧!A1:'エンティティ一覧'!AM10204,7,FALSE)</f>
        <v>enroll</v>
      </c>
      <c r="E5" s="273"/>
      <c r="F5" s="273"/>
      <c r="G5" s="273"/>
      <c r="H5" s="273"/>
      <c r="I5" s="273"/>
      <c r="J5" s="274"/>
    </row>
    <row r="6" spans="1:45">
      <c r="B6" s="262" t="s">
        <v>3703</v>
      </c>
      <c r="C6" s="263"/>
      <c r="D6" s="272" t="str">
        <f>VLOOKUP(D7,エンティティ一覧!A1:'エンティティ一覧'!AM10204,15,FALSE)</f>
        <v>ENT_11_04</v>
      </c>
      <c r="E6" s="273"/>
      <c r="F6" s="273"/>
      <c r="G6" s="273"/>
      <c r="H6" s="273"/>
      <c r="I6" s="273"/>
      <c r="J6" s="274"/>
    </row>
    <row r="7" spans="1:45">
      <c r="B7" s="262" t="s">
        <v>115</v>
      </c>
      <c r="C7" s="263"/>
      <c r="D7" s="264" t="s">
        <v>3829</v>
      </c>
      <c r="E7" s="265"/>
      <c r="F7" s="265"/>
      <c r="G7" s="265"/>
      <c r="H7" s="265"/>
      <c r="I7" s="265"/>
      <c r="J7" s="266"/>
    </row>
    <row r="8" spans="1:45">
      <c r="B8" s="262" t="s">
        <v>116</v>
      </c>
      <c r="C8" s="263"/>
      <c r="D8" s="264" t="str">
        <f>エンティティ一覧!AE2&amp;"_"&amp;D5&amp;"_mt_kensa"</f>
        <v>sny_202310_enroll_mt_kensa</v>
      </c>
      <c r="E8" s="265"/>
      <c r="F8" s="265"/>
      <c r="G8" s="265"/>
      <c r="H8" s="265"/>
      <c r="I8" s="265"/>
      <c r="J8" s="266"/>
    </row>
    <row r="9" spans="1:45" ht="19.5" customHeight="1" thickBot="1">
      <c r="B9" s="267" t="s">
        <v>117</v>
      </c>
      <c r="C9" s="268"/>
      <c r="D9" s="269" t="s">
        <v>3987</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milscm_2023_009.sny_202310_enroll_mt_kensa;</v>
      </c>
      <c r="O10" s="76"/>
      <c r="P10" s="76"/>
      <c r="Q10" s="76"/>
      <c r="R10" s="76"/>
      <c r="S10" s="76"/>
      <c r="T10" s="76"/>
      <c r="AJ10" s="76" t="str">
        <f>"ALTER TABLE ONLY "&amp;エンティティ一覧!$O$2&amp;"."&amp;D$8</f>
        <v>ALTER TABLE ONLY milscm_2023_009.sny_202310_enroll_mt_kensa</v>
      </c>
      <c r="AS10" s="76" t="str">
        <f>"ALTER TABLE "&amp;エンティティ一覧!$O$2&amp;"."&amp;D$8&amp;" OWNER TO pgmisgrp1;"</f>
        <v>ALTER TABLE milscm_2023_009.sny_202310_enroll_mt_kensa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milscm_2023_009.sny_202310_enroll_mt_kensa</v>
      </c>
      <c r="O11" s="76"/>
      <c r="P11" s="76"/>
      <c r="Q11" s="76"/>
      <c r="R11" s="76"/>
      <c r="S11" s="76"/>
      <c r="T11" s="76"/>
      <c r="AJ11" s="76" t="str">
        <f>"ADD CONSTRAINT "&amp;D$8&amp;"_pkey PRIMARY KEY"</f>
        <v>ADD CONSTRAINT sny_202310_enroll_mt_kensa_pkey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milscm_2023_009.sny_202310_enroll_mt_kensa IS '組入れ_検体検査マスタ';</v>
      </c>
    </row>
    <row r="13" spans="1:45" s="25" customFormat="1">
      <c r="A13" s="4"/>
      <c r="B13" s="21">
        <f t="shared" ref="B13:B21" si="0">ROW()-12</f>
        <v>1</v>
      </c>
      <c r="C13" s="6" t="s">
        <v>3831</v>
      </c>
      <c r="D13" s="6" t="s">
        <v>883</v>
      </c>
      <c r="E13" s="8" t="s">
        <v>127</v>
      </c>
      <c r="F13" s="8" t="s">
        <v>3818</v>
      </c>
      <c r="G13" s="7" t="str">
        <f t="shared" ref="G13:G21" si="1">IF(F13="フラグ","boolean",IF(F13="文字列","text",IF(F13="整数","integer",IF(F13="実数","numeric",""))))</f>
        <v>text</v>
      </c>
      <c r="H13" s="67"/>
      <c r="I13" s="8" t="s">
        <v>127</v>
      </c>
      <c r="J13" s="11"/>
      <c r="M13" s="4"/>
      <c r="N13" s="76"/>
      <c r="O13" s="76"/>
      <c r="P13" s="76" t="str">
        <f t="shared" ref="P13:P21" si="2">IF(B13&lt;&gt;1,","&amp;D13,D13)</f>
        <v>facility_id</v>
      </c>
      <c r="Q13" s="76" t="str">
        <f t="shared" ref="Q13:Q21" si="3">UPPER(G13)</f>
        <v>TEXT</v>
      </c>
      <c r="R13" s="76" t="str">
        <f t="shared" ref="R13:R21"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milscm_2023_009.sny_202310_enroll_mt_kensa.facility_id IS '施設ID';</v>
      </c>
    </row>
    <row r="14" spans="1:45" s="25" customFormat="1">
      <c r="A14" s="4"/>
      <c r="B14" s="21">
        <f t="shared" si="0"/>
        <v>2</v>
      </c>
      <c r="C14" s="98" t="s">
        <v>1606</v>
      </c>
      <c r="D14" s="98" t="s">
        <v>1607</v>
      </c>
      <c r="E14" s="99" t="s">
        <v>127</v>
      </c>
      <c r="F14" s="99" t="s">
        <v>3818</v>
      </c>
      <c r="G14" s="7" t="str">
        <f t="shared" si="1"/>
        <v>text</v>
      </c>
      <c r="H14" s="67"/>
      <c r="I14" s="8" t="s">
        <v>127</v>
      </c>
      <c r="J14" s="11"/>
      <c r="M14" s="4"/>
      <c r="N14" s="76"/>
      <c r="O14" s="76"/>
      <c r="P14" s="76" t="str">
        <f t="shared" si="2"/>
        <v>,specimen_name</v>
      </c>
      <c r="Q14" s="76" t="str">
        <f t="shared" si="3"/>
        <v>TEXT</v>
      </c>
      <c r="R14" s="76" t="str">
        <f t="shared" si="4"/>
        <v/>
      </c>
      <c r="S14" s="76" t="str">
        <f>IF(I14="○","NOT NULL","")</f>
        <v>NOT NULL</v>
      </c>
      <c r="T14" s="76" t="str">
        <f>"--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milscm_2023_009.sny_202310_enroll_mt_kensa.specimen_name IS '検体材料';</v>
      </c>
    </row>
    <row r="15" spans="1:45" s="25" customFormat="1">
      <c r="A15" s="4"/>
      <c r="B15" s="21">
        <f t="shared" si="0"/>
        <v>3</v>
      </c>
      <c r="C15" s="98" t="s">
        <v>1608</v>
      </c>
      <c r="D15" s="98" t="s">
        <v>1609</v>
      </c>
      <c r="E15" s="99" t="s">
        <v>127</v>
      </c>
      <c r="F15" s="99" t="s">
        <v>3818</v>
      </c>
      <c r="G15" s="7" t="str">
        <f t="shared" si="1"/>
        <v>text</v>
      </c>
      <c r="H15" s="67"/>
      <c r="I15" s="8" t="s">
        <v>127</v>
      </c>
      <c r="J15" s="11"/>
      <c r="N15" s="76"/>
      <c r="O15" s="76"/>
      <c r="P15" s="76" t="str">
        <f t="shared" si="2"/>
        <v>,sp_code</v>
      </c>
      <c r="Q15" s="76" t="str">
        <f t="shared" si="3"/>
        <v>TEXT</v>
      </c>
      <c r="R15" s="76" t="str">
        <f t="shared" si="4"/>
        <v/>
      </c>
      <c r="S15" s="76" t="str">
        <f t="shared" ref="S15:S21" si="5">IF(I15="○","NOT NULL","")</f>
        <v>NOT NULL</v>
      </c>
      <c r="T15" s="76" t="str">
        <f t="shared" ref="T15:T21" si="6">"-- "&amp;C15</f>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milscm_2023_009.sny_202310_enroll_mt_kensa.sp_code IS '検体材料コード';</v>
      </c>
    </row>
    <row r="16" spans="1:45" s="25" customFormat="1">
      <c r="A16" s="4"/>
      <c r="B16" s="21">
        <f t="shared" si="0"/>
        <v>4</v>
      </c>
      <c r="C16" s="6" t="s">
        <v>3832</v>
      </c>
      <c r="D16" s="6" t="s">
        <v>1624</v>
      </c>
      <c r="E16" s="8" t="s">
        <v>127</v>
      </c>
      <c r="F16" s="7" t="s">
        <v>3818</v>
      </c>
      <c r="G16" s="7" t="str">
        <f t="shared" si="1"/>
        <v>text</v>
      </c>
      <c r="H16" s="67"/>
      <c r="I16" s="8" t="s">
        <v>127</v>
      </c>
      <c r="J16" s="11"/>
      <c r="N16" s="76"/>
      <c r="O16" s="76"/>
      <c r="P16" s="76" t="str">
        <f t="shared" si="2"/>
        <v>,item_name</v>
      </c>
      <c r="Q16" s="76" t="str">
        <f t="shared" si="3"/>
        <v>TEXT</v>
      </c>
      <c r="R16" s="76" t="str">
        <f t="shared" si="4"/>
        <v/>
      </c>
      <c r="S16" s="76" t="str">
        <f t="shared" si="5"/>
        <v>NOT NULL</v>
      </c>
      <c r="T16" s="76" t="str">
        <f t="shared" si="6"/>
        <v>-- 検査名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milscm_2023_009.sny_202310_enroll_mt_kensa.item_name IS '検査名';</v>
      </c>
    </row>
    <row r="17" spans="1:52" s="25" customFormat="1">
      <c r="A17" s="4"/>
      <c r="B17" s="21">
        <f t="shared" si="0"/>
        <v>5</v>
      </c>
      <c r="C17" s="6" t="s">
        <v>3833</v>
      </c>
      <c r="D17" s="6" t="s">
        <v>3834</v>
      </c>
      <c r="E17" s="8" t="s">
        <v>127</v>
      </c>
      <c r="F17" s="7" t="s">
        <v>3818</v>
      </c>
      <c r="G17" s="7" t="str">
        <f t="shared" si="1"/>
        <v>text</v>
      </c>
      <c r="H17" s="67"/>
      <c r="I17" s="8" t="s">
        <v>127</v>
      </c>
      <c r="J17" s="11"/>
      <c r="N17" s="76"/>
      <c r="O17" s="76"/>
      <c r="P17" s="76" t="str">
        <f t="shared" si="2"/>
        <v>,item_code</v>
      </c>
      <c r="Q17" s="76" t="str">
        <f t="shared" si="3"/>
        <v>TEXT</v>
      </c>
      <c r="R17" s="76" t="str">
        <f t="shared" si="4"/>
        <v/>
      </c>
      <c r="S17" s="76" t="str">
        <f t="shared" si="5"/>
        <v>NOT NULL</v>
      </c>
      <c r="T17" s="76" t="str">
        <f t="shared" si="6"/>
        <v>-- 検査名_施設固有コード</v>
      </c>
      <c r="U17" s="4"/>
      <c r="AA17" s="4"/>
      <c r="AB17" s="4"/>
      <c r="AC17" s="4"/>
      <c r="AD17" s="4"/>
      <c r="AE17" s="4"/>
      <c r="AF17" s="4"/>
      <c r="AG17" s="4"/>
      <c r="AH17" s="4"/>
      <c r="AI17" s="4"/>
      <c r="AJ17" s="76" t="str">
        <f>IF(E17="○",IF(COUNTA(E$13:E17)=1,"",",")&amp;D17,"")</f>
        <v>,item_code</v>
      </c>
      <c r="AK17" s="4"/>
      <c r="AL17" s="4"/>
      <c r="AM17" s="4"/>
      <c r="AN17" s="4"/>
      <c r="AO17" s="4"/>
      <c r="AP17" s="4"/>
      <c r="AQ17" s="4"/>
      <c r="AR17" s="4"/>
      <c r="AS17" s="76" t="str">
        <f>"COMMENT ON COLUMN "&amp;エンティティ一覧!$O$2&amp;"."&amp;D$8&amp;"."&amp;D17&amp;" IS '"&amp;C17&amp;"';"</f>
        <v>COMMENT ON COLUMN milscm_2023_009.sny_202310_enroll_mt_kensa.item_code IS '検査名_施設固有コード';</v>
      </c>
    </row>
    <row r="18" spans="1:52" s="25" customFormat="1">
      <c r="A18" s="4"/>
      <c r="B18" s="21">
        <f t="shared" si="0"/>
        <v>6</v>
      </c>
      <c r="C18" s="6" t="s">
        <v>3840</v>
      </c>
      <c r="D18" s="6" t="s">
        <v>3841</v>
      </c>
      <c r="E18" s="8" t="s">
        <v>127</v>
      </c>
      <c r="F18" s="7" t="s">
        <v>3276</v>
      </c>
      <c r="G18" s="7" t="str">
        <f t="shared" si="1"/>
        <v>text</v>
      </c>
      <c r="H18" s="67"/>
      <c r="I18" s="8" t="s">
        <v>127</v>
      </c>
      <c r="J18" s="11"/>
      <c r="N18" s="76"/>
      <c r="O18" s="76"/>
      <c r="P18" s="76" t="str">
        <f t="shared" si="2"/>
        <v>,unit</v>
      </c>
      <c r="Q18" s="76" t="str">
        <f t="shared" si="3"/>
        <v>TEXT</v>
      </c>
      <c r="R18" s="76" t="str">
        <f t="shared" si="4"/>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milscm_2023_009.sny_202310_enroll_mt_kensa.unit IS '単位';</v>
      </c>
    </row>
    <row r="19" spans="1:52" s="25" customFormat="1">
      <c r="A19" s="4"/>
      <c r="B19" s="21">
        <f t="shared" si="0"/>
        <v>7</v>
      </c>
      <c r="C19" s="6" t="s">
        <v>3835</v>
      </c>
      <c r="D19" s="6" t="s">
        <v>3836</v>
      </c>
      <c r="E19" s="8"/>
      <c r="F19" s="7" t="s">
        <v>3276</v>
      </c>
      <c r="G19" s="7" t="str">
        <f t="shared" si="1"/>
        <v>text</v>
      </c>
      <c r="H19" s="67"/>
      <c r="I19" s="8" t="s">
        <v>127</v>
      </c>
      <c r="J19" s="11"/>
      <c r="N19" s="76"/>
      <c r="O19" s="76"/>
      <c r="P19" s="76" t="str">
        <f t="shared" si="2"/>
        <v>,m_unit</v>
      </c>
      <c r="Q19" s="76" t="str">
        <f t="shared" si="3"/>
        <v>TEXT</v>
      </c>
      <c r="R19" s="76" t="str">
        <f t="shared" si="4"/>
        <v/>
      </c>
      <c r="S19" s="76" t="str">
        <f t="shared" si="5"/>
        <v>NOT NULL</v>
      </c>
      <c r="T19" s="76" t="str">
        <f t="shared" si="6"/>
        <v>-- 一般単位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milscm_2023_009.sny_202310_enroll_mt_kensa.m_unit IS '一般単位';</v>
      </c>
    </row>
    <row r="20" spans="1:52" s="25" customFormat="1">
      <c r="A20" s="4"/>
      <c r="B20" s="21">
        <f t="shared" si="0"/>
        <v>8</v>
      </c>
      <c r="C20" s="6" t="s">
        <v>3842</v>
      </c>
      <c r="D20" s="6" t="s">
        <v>3843</v>
      </c>
      <c r="E20" s="8"/>
      <c r="F20" s="7" t="s">
        <v>3818</v>
      </c>
      <c r="G20" s="7" t="str">
        <f t="shared" si="1"/>
        <v>text</v>
      </c>
      <c r="H20" s="67"/>
      <c r="I20" s="8" t="s">
        <v>127</v>
      </c>
      <c r="J20" s="11"/>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milscm_2023_009.sny_202310_enroll_mt_kensa.disp_name IS '表示名';</v>
      </c>
    </row>
    <row r="21" spans="1:52" s="25" customFormat="1" ht="19.5" thickBot="1">
      <c r="A21" s="4"/>
      <c r="B21" s="66">
        <f t="shared" si="0"/>
        <v>9</v>
      </c>
      <c r="C21" s="28" t="s">
        <v>3837</v>
      </c>
      <c r="D21" s="28" t="s">
        <v>3838</v>
      </c>
      <c r="E21" s="29"/>
      <c r="F21" s="56" t="s">
        <v>3839</v>
      </c>
      <c r="G21" s="56" t="str">
        <f t="shared" si="1"/>
        <v>numeric</v>
      </c>
      <c r="H21" s="68"/>
      <c r="I21" s="29"/>
      <c r="J21" s="69"/>
      <c r="N21" s="76"/>
      <c r="O21" s="76"/>
      <c r="P21" s="76" t="str">
        <f t="shared" si="2"/>
        <v>,rate</v>
      </c>
      <c r="Q21" s="76" t="str">
        <f t="shared" si="3"/>
        <v>NUMERIC</v>
      </c>
      <c r="R21" s="76" t="str">
        <f t="shared" si="4"/>
        <v/>
      </c>
      <c r="S21" s="76" t="str">
        <f t="shared" si="5"/>
        <v/>
      </c>
      <c r="T21" s="76" t="str">
        <f t="shared" si="6"/>
        <v>-- 換算率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milscm_2023_009.sny_202310_enroll_mt_kensa.rate IS '換算率';</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B9:C9"/>
    <mergeCell ref="D9:J9"/>
    <mergeCell ref="D8:J8"/>
    <mergeCell ref="B5:C5"/>
    <mergeCell ref="D5:J5"/>
    <mergeCell ref="B6:C6"/>
    <mergeCell ref="D6:J6"/>
    <mergeCell ref="B7:C7"/>
    <mergeCell ref="D7:J7"/>
  </mergeCells>
  <phoneticPr fontId="8"/>
  <conditionalFormatting sqref="D14">
    <cfRule type="duplicateValues" dxfId="14" priority="4"/>
  </conditionalFormatting>
  <conditionalFormatting sqref="D15">
    <cfRule type="duplicateValues" dxfId="13" priority="3"/>
  </conditionalFormatting>
  <conditionalFormatting sqref="D13">
    <cfRule type="duplicateValues" dxfId="12" priority="2"/>
  </conditionalFormatting>
  <conditionalFormatting sqref="D14">
    <cfRule type="duplicateValues" dxfId="11"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11</v>
      </c>
      <c r="E4" s="249"/>
      <c r="F4" s="249"/>
      <c r="G4" s="249"/>
      <c r="H4" s="249"/>
      <c r="I4" s="249"/>
      <c r="J4" s="250"/>
    </row>
    <row r="5" spans="1:45">
      <c r="B5" s="262" t="s">
        <v>3702</v>
      </c>
      <c r="C5" s="263"/>
      <c r="D5" s="272" t="str">
        <f>VLOOKUP(D7,エンティティ一覧!A1:'エンティティ一覧'!AM10204,7,FALSE)</f>
        <v>enroll</v>
      </c>
      <c r="E5" s="273"/>
      <c r="F5" s="273"/>
      <c r="G5" s="273"/>
      <c r="H5" s="273"/>
      <c r="I5" s="273"/>
      <c r="J5" s="274"/>
    </row>
    <row r="6" spans="1:45">
      <c r="B6" s="262" t="s">
        <v>3703</v>
      </c>
      <c r="C6" s="263"/>
      <c r="D6" s="272" t="str">
        <f>VLOOKUP(D7,エンティティ一覧!A1:'エンティティ一覧'!AM10204,15,FALSE)</f>
        <v>ENT_11_05</v>
      </c>
      <c r="E6" s="273"/>
      <c r="F6" s="273"/>
      <c r="G6" s="273"/>
      <c r="H6" s="273"/>
      <c r="I6" s="273"/>
      <c r="J6" s="274"/>
    </row>
    <row r="7" spans="1:45">
      <c r="B7" s="262" t="s">
        <v>115</v>
      </c>
      <c r="C7" s="263"/>
      <c r="D7" s="264" t="s">
        <v>3828</v>
      </c>
      <c r="E7" s="265"/>
      <c r="F7" s="265"/>
      <c r="G7" s="265"/>
      <c r="H7" s="265"/>
      <c r="I7" s="265"/>
      <c r="J7" s="266"/>
    </row>
    <row r="8" spans="1:45">
      <c r="B8" s="262" t="s">
        <v>116</v>
      </c>
      <c r="C8" s="263"/>
      <c r="D8" s="264" t="str">
        <f>エンティティ一覧!AE2&amp;"_"&amp;D5&amp;"_kensa"</f>
        <v>sny_202310_enroll_kensa</v>
      </c>
      <c r="E8" s="265"/>
      <c r="F8" s="265"/>
      <c r="G8" s="265"/>
      <c r="H8" s="265"/>
      <c r="I8" s="265"/>
      <c r="J8" s="266"/>
    </row>
    <row r="9" spans="1:45" ht="19.5" customHeight="1" thickBot="1">
      <c r="B9" s="267" t="s">
        <v>117</v>
      </c>
      <c r="C9" s="268"/>
      <c r="D9" s="269" t="s">
        <v>3845</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milscm_2023_009.sny_202310_enroll_kensa;</v>
      </c>
      <c r="O10" s="76"/>
      <c r="P10" s="76"/>
      <c r="Q10" s="76"/>
      <c r="R10" s="76"/>
      <c r="S10" s="76"/>
      <c r="T10" s="76"/>
      <c r="AJ10" s="76" t="str">
        <f>"ALTER TABLE ONLY "&amp;エンティティ一覧!$O$2&amp;"."&amp;D$8</f>
        <v>ALTER TABLE ONLY milscm_2023_009.sny_202310_enroll_kensa</v>
      </c>
      <c r="AS10" s="76" t="str">
        <f>"ALTER TABLE "&amp;エンティティ一覧!$O$2&amp;"."&amp;D$8&amp;" OWNER TO pgmisgrp1;"</f>
        <v>ALTER TABLE milscm_2023_009.sny_202310_enroll_kensa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milscm_2023_009.sny_202310_enroll_kensa</v>
      </c>
      <c r="O11" s="76"/>
      <c r="P11" s="76"/>
      <c r="Q11" s="76"/>
      <c r="R11" s="76"/>
      <c r="S11" s="76"/>
      <c r="T11" s="76"/>
      <c r="AJ11" s="76" t="str">
        <f>"ADD CONSTRAINT "&amp;D$8&amp;"_pkey PRIMARY KEY"</f>
        <v>ADD CONSTRAINT sny_202310_enroll_kensa_pkey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0"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milscm_2023_009.sny_202310_enroll_kensa.facility_id IS '施設ID';</v>
      </c>
    </row>
    <row r="14" spans="1:45" s="25" customFormat="1">
      <c r="A14" s="4"/>
      <c r="B14" s="21">
        <f t="shared" si="0"/>
        <v>2</v>
      </c>
      <c r="C14" s="13" t="s">
        <v>1245</v>
      </c>
      <c r="D14" s="13" t="s">
        <v>1246</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milscm_2023_009.sny_202310_enroll_kensa.master_id IS '患者ID';</v>
      </c>
    </row>
    <row r="15" spans="1:45" s="25" customFormat="1">
      <c r="A15" s="4"/>
      <c r="B15" s="21">
        <f t="shared" si="0"/>
        <v>3</v>
      </c>
      <c r="C15" s="13" t="s">
        <v>1606</v>
      </c>
      <c r="D15" s="13" t="s">
        <v>1607</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milscm_2023_009.sny_202310_enroll_kensa.specimen_name IS '検体材料';</v>
      </c>
    </row>
    <row r="16" spans="1:45" s="25" customFormat="1">
      <c r="A16" s="4"/>
      <c r="B16" s="21">
        <f t="shared" si="0"/>
        <v>4</v>
      </c>
      <c r="C16" s="13" t="s">
        <v>1608</v>
      </c>
      <c r="D16" s="13" t="s">
        <v>1609</v>
      </c>
      <c r="E16" s="7" t="s">
        <v>127</v>
      </c>
      <c r="F16" s="7" t="s">
        <v>865</v>
      </c>
      <c r="G16" s="7" t="str">
        <f t="shared" si="1"/>
        <v>text</v>
      </c>
      <c r="H16" s="9"/>
      <c r="I16" s="10" t="s">
        <v>127</v>
      </c>
      <c r="J16" s="24"/>
      <c r="M16" s="4"/>
      <c r="N16" s="76"/>
      <c r="O16" s="76"/>
      <c r="P16" s="76" t="str">
        <f t="shared" si="2"/>
        <v>,sp_code</v>
      </c>
      <c r="Q16" s="76" t="str">
        <f t="shared" ref="Q16:Q19" si="7">UPPER(G16)</f>
        <v>TEXT</v>
      </c>
      <c r="R16" s="76" t="str">
        <f t="shared" ref="R16:R19" si="8">IF(H16&lt;&gt;"","default "&amp;IF(G16="text","'"&amp;H16&amp;"'",H16),"")</f>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milscm_2023_009.sny_202310_enroll_kensa.sp_code IS '検体材料コード';</v>
      </c>
    </row>
    <row r="17" spans="1:52" s="25" customFormat="1">
      <c r="A17" s="4"/>
      <c r="B17" s="21">
        <f t="shared" si="0"/>
        <v>5</v>
      </c>
      <c r="C17" s="13" t="s">
        <v>1623</v>
      </c>
      <c r="D17" s="13" t="s">
        <v>1624</v>
      </c>
      <c r="E17" s="7" t="s">
        <v>127</v>
      </c>
      <c r="F17" s="7" t="s">
        <v>865</v>
      </c>
      <c r="G17" s="7" t="str">
        <f t="shared" ref="G17" si="9">IF(F17="フラグ","boolean",IF(F17="文字列","text",IF(F17="整数","integer",IF(F17="実数","numeric",""))))</f>
        <v>text</v>
      </c>
      <c r="H17" s="9"/>
      <c r="I17" s="10" t="s">
        <v>127</v>
      </c>
      <c r="J17" s="24"/>
      <c r="M17" s="4"/>
      <c r="N17" s="76"/>
      <c r="O17" s="76"/>
      <c r="P17" s="76" t="str">
        <f t="shared" ref="P17" si="10">IF(B17&lt;&gt;1,","&amp;D17,D17)</f>
        <v>,item_name</v>
      </c>
      <c r="Q17" s="76" t="str">
        <f t="shared" ref="Q17" si="11">UPPER(G17)</f>
        <v>TEXT</v>
      </c>
      <c r="R17" s="76" t="str">
        <f t="shared" ref="R17" si="12">IF(H17&lt;&gt;"","default "&amp;IF(G17="text","'"&amp;H17&amp;"'",H17),"")</f>
        <v/>
      </c>
      <c r="S17" s="76" t="str">
        <f t="shared" ref="S17" si="13">IF(I17="○","NOT NULL","")</f>
        <v>NOT NULL</v>
      </c>
      <c r="T17" s="76" t="str">
        <f t="shared" ref="T17" si="14">"-- "&amp;C17</f>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milscm_2023_009.sny_202310_enroll_kensa.item_name IS '項目名';</v>
      </c>
    </row>
    <row r="18" spans="1:52" s="25" customFormat="1">
      <c r="A18" s="4"/>
      <c r="B18" s="21">
        <f t="shared" si="0"/>
        <v>6</v>
      </c>
      <c r="C18" s="13" t="s">
        <v>1625</v>
      </c>
      <c r="D18" s="13" t="s">
        <v>1626</v>
      </c>
      <c r="E18" s="7" t="s">
        <v>127</v>
      </c>
      <c r="F18" s="7" t="s">
        <v>865</v>
      </c>
      <c r="G18" s="7" t="str">
        <f t="shared" si="1"/>
        <v>text</v>
      </c>
      <c r="H18" s="9"/>
      <c r="I18" s="10" t="s">
        <v>127</v>
      </c>
      <c r="J18" s="24"/>
      <c r="M18" s="4"/>
      <c r="N18" s="76"/>
      <c r="O18" s="76"/>
      <c r="P18" s="76" t="str">
        <f t="shared" si="2"/>
        <v>,facility_it_code</v>
      </c>
      <c r="Q18" s="76" t="str">
        <f t="shared" si="7"/>
        <v>TEXT</v>
      </c>
      <c r="R18" s="76" t="str">
        <f t="shared" si="8"/>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milscm_2023_009.sny_202310_enroll_kensa.facility_it_code IS '施設固有コード';</v>
      </c>
    </row>
    <row r="19" spans="1:52" s="25" customFormat="1">
      <c r="A19" s="4"/>
      <c r="B19" s="21">
        <f t="shared" si="0"/>
        <v>7</v>
      </c>
      <c r="C19" s="13" t="s">
        <v>1651</v>
      </c>
      <c r="D19" s="13" t="s">
        <v>276</v>
      </c>
      <c r="E19" s="7" t="s">
        <v>127</v>
      </c>
      <c r="F19" s="7" t="s">
        <v>865</v>
      </c>
      <c r="G19" s="7" t="str">
        <f t="shared" si="1"/>
        <v>text</v>
      </c>
      <c r="H19" s="9"/>
      <c r="I19" s="10" t="s">
        <v>127</v>
      </c>
      <c r="J19" s="24"/>
      <c r="M19" s="4"/>
      <c r="N19" s="76"/>
      <c r="O19" s="76"/>
      <c r="P19" s="76" t="str">
        <f t="shared" si="2"/>
        <v>,unit</v>
      </c>
      <c r="Q19" s="76" t="str">
        <f t="shared" si="7"/>
        <v>TEXT</v>
      </c>
      <c r="R19" s="76" t="str">
        <f t="shared" si="8"/>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milscm_2023_009.sny_202310_enroll_kensa.unit IS '単位';</v>
      </c>
    </row>
    <row r="20" spans="1:52" s="25" customFormat="1">
      <c r="A20" s="4"/>
      <c r="B20" s="21">
        <f t="shared" si="0"/>
        <v>8</v>
      </c>
      <c r="C20" s="13" t="s">
        <v>3844</v>
      </c>
      <c r="D20" s="13" t="s">
        <v>3843</v>
      </c>
      <c r="E20" s="7"/>
      <c r="F20" s="7" t="s">
        <v>865</v>
      </c>
      <c r="G20" s="7" t="str">
        <f t="shared" si="1"/>
        <v>text</v>
      </c>
      <c r="H20" s="9"/>
      <c r="I20" s="10" t="s">
        <v>127</v>
      </c>
      <c r="J20" s="24"/>
      <c r="M20" s="4"/>
      <c r="N20" s="76"/>
      <c r="O20" s="76"/>
      <c r="P20" s="76" t="str">
        <f t="shared" si="2"/>
        <v>,disp_name</v>
      </c>
      <c r="Q20" s="76" t="str">
        <f t="shared" ref="Q20" si="15">UPPER(G20)</f>
        <v>TEXT</v>
      </c>
      <c r="R20" s="76" t="str">
        <f t="shared" ref="R20" si="16">IF(H20&lt;&gt;"","default "&amp;IF(G20="text","'"&amp;H20&amp;"'",H20),"")</f>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milscm_2023_009.sny_202310_enroll_kensa.disp_name IS '表示名';</v>
      </c>
    </row>
    <row r="21" spans="1:52" s="25" customFormat="1" ht="19.5" thickBot="1">
      <c r="A21" s="4"/>
      <c r="B21" s="66">
        <f t="shared" ref="B21" si="17">ROW()-12</f>
        <v>9</v>
      </c>
      <c r="C21" s="28" t="s">
        <v>1548</v>
      </c>
      <c r="D21" s="28" t="s">
        <v>1549</v>
      </c>
      <c r="E21" s="29" t="s">
        <v>127</v>
      </c>
      <c r="F21" s="56" t="s">
        <v>865</v>
      </c>
      <c r="G21" s="56" t="str">
        <f t="shared" ref="G21" si="18">IF(F21="フラグ","boolean",IF(F21="文字列","text",IF(F21="整数","integer",IF(F21="実数","numeric",""))))</f>
        <v>text</v>
      </c>
      <c r="H21" s="59"/>
      <c r="I21" s="60" t="s">
        <v>127</v>
      </c>
      <c r="J21" s="61"/>
      <c r="M21" s="4"/>
      <c r="N21" s="76"/>
      <c r="O21" s="76"/>
      <c r="P21" s="76" t="str">
        <f t="shared" ref="P21" si="19">IF(B21&lt;&gt;1,","&amp;D21,D21)</f>
        <v>,sample_time</v>
      </c>
      <c r="Q21" s="76" t="str">
        <f t="shared" si="3"/>
        <v>TEXT</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11</v>
      </c>
      <c r="E4" s="249"/>
      <c r="F4" s="249"/>
      <c r="G4" s="249"/>
      <c r="H4" s="249"/>
      <c r="I4" s="249"/>
      <c r="J4" s="250"/>
    </row>
    <row r="5" spans="1:45">
      <c r="B5" s="262" t="s">
        <v>3702</v>
      </c>
      <c r="C5" s="263"/>
      <c r="D5" s="272" t="str">
        <f>VLOOKUP(D7,エンティティ一覧!A1:'エンティティ一覧'!AM10204,7,FALSE)</f>
        <v>enroll</v>
      </c>
      <c r="E5" s="273"/>
      <c r="F5" s="273"/>
      <c r="G5" s="273"/>
      <c r="H5" s="273"/>
      <c r="I5" s="273"/>
      <c r="J5" s="274"/>
    </row>
    <row r="6" spans="1:45">
      <c r="B6" s="262" t="s">
        <v>3703</v>
      </c>
      <c r="C6" s="263"/>
      <c r="D6" s="272" t="str">
        <f>VLOOKUP(D7,エンティティ一覧!A1:'エンティティ一覧'!AM10204,15,FALSE)</f>
        <v>ENT_11_06</v>
      </c>
      <c r="E6" s="273"/>
      <c r="F6" s="273"/>
      <c r="G6" s="273"/>
      <c r="H6" s="273"/>
      <c r="I6" s="273"/>
      <c r="J6" s="274"/>
    </row>
    <row r="7" spans="1:45">
      <c r="B7" s="262" t="s">
        <v>115</v>
      </c>
      <c r="C7" s="263"/>
      <c r="D7" s="264" t="s">
        <v>4022</v>
      </c>
      <c r="E7" s="265"/>
      <c r="F7" s="265"/>
      <c r="G7" s="265"/>
      <c r="H7" s="265"/>
      <c r="I7" s="265"/>
      <c r="J7" s="266"/>
    </row>
    <row r="8" spans="1:45">
      <c r="B8" s="262" t="s">
        <v>116</v>
      </c>
      <c r="C8" s="263"/>
      <c r="D8" s="264" t="str">
        <f>エンティティ一覧!AE2&amp;"_"&amp;D5&amp;"_kensa_kanja"</f>
        <v>sny_202310_enroll_kensa_kanja</v>
      </c>
      <c r="E8" s="265"/>
      <c r="F8" s="265"/>
      <c r="G8" s="265"/>
      <c r="H8" s="265"/>
      <c r="I8" s="265"/>
      <c r="J8" s="266"/>
    </row>
    <row r="9" spans="1:45" ht="19.5" customHeight="1" thickBot="1">
      <c r="B9" s="267" t="s">
        <v>117</v>
      </c>
      <c r="C9" s="268"/>
      <c r="D9" s="269" t="s">
        <v>4024</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milscm_2023_009.sny_202310_enroll_kensa_kanja;</v>
      </c>
      <c r="O10" s="76"/>
      <c r="P10" s="76"/>
      <c r="Q10" s="76"/>
      <c r="R10" s="76"/>
      <c r="S10" s="76"/>
      <c r="T10" s="76"/>
      <c r="AJ10" s="76" t="str">
        <f>"ALTER TABLE ONLY "&amp;エンティティ一覧!$O$2&amp;"."&amp;D$8</f>
        <v>ALTER TABLE ONLY milscm_2023_009.sny_202310_enroll_kensa_kanja</v>
      </c>
      <c r="AS10" s="76" t="str">
        <f>"ALTER TABLE "&amp;エンティティ一覧!$O$2&amp;"."&amp;D$8&amp;" OWNER TO pgmisgrp1;"</f>
        <v>ALTER TABLE milscm_2023_009.sny_202310_enroll_kensa_kanja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milscm_2023_009.sny_202310_enroll_kensa_kanja</v>
      </c>
      <c r="O11" s="76"/>
      <c r="P11" s="76"/>
      <c r="Q11" s="76"/>
      <c r="R11" s="76"/>
      <c r="S11" s="76"/>
      <c r="T11" s="76"/>
      <c r="AJ11" s="76" t="str">
        <f>"ADD CONSTRAINT "&amp;D$8&amp;"_pkey PRIMARY KEY"</f>
        <v>ADD CONSTRAINT sny_202310_enroll_kensa_kanja_pkey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milscm_2023_009.sny_202310_enroll_kensa_kanja IS '組入れ_対象検体検査_対象患者';</v>
      </c>
    </row>
    <row r="13" spans="1:45" s="25" customFormat="1">
      <c r="A13" s="4"/>
      <c r="B13" s="21">
        <f t="shared" ref="B13:B21"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1"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milscm_2023_009.sny_202310_enroll_kensa_kanja.facility_id IS '施設ID';</v>
      </c>
    </row>
    <row r="14" spans="1:45" s="25" customFormat="1">
      <c r="A14" s="4"/>
      <c r="B14" s="21">
        <f t="shared" si="0"/>
        <v>2</v>
      </c>
      <c r="C14" s="13" t="s">
        <v>1245</v>
      </c>
      <c r="D14" s="13" t="s">
        <v>1246</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milscm_2023_009.sny_202310_enroll_kensa_kanja.master_id IS '患者ID';</v>
      </c>
    </row>
    <row r="15" spans="1:45" s="25" customFormat="1">
      <c r="A15" s="4"/>
      <c r="B15" s="21">
        <f t="shared" si="0"/>
        <v>3</v>
      </c>
      <c r="C15" s="13" t="s">
        <v>1606</v>
      </c>
      <c r="D15" s="13" t="s">
        <v>1607</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milscm_2023_009.sny_202310_enroll_kensa_kanja.specimen_name IS '検体材料';</v>
      </c>
    </row>
    <row r="16" spans="1:45" s="25" customFormat="1">
      <c r="A16" s="4"/>
      <c r="B16" s="21">
        <f t="shared" si="0"/>
        <v>4</v>
      </c>
      <c r="C16" s="13" t="s">
        <v>1608</v>
      </c>
      <c r="D16" s="13" t="s">
        <v>1609</v>
      </c>
      <c r="E16" s="7" t="s">
        <v>127</v>
      </c>
      <c r="F16" s="7" t="s">
        <v>865</v>
      </c>
      <c r="G16" s="7" t="str">
        <f t="shared" si="1"/>
        <v>text</v>
      </c>
      <c r="H16" s="9"/>
      <c r="I16" s="10" t="s">
        <v>127</v>
      </c>
      <c r="J16" s="24"/>
      <c r="M16" s="4"/>
      <c r="N16" s="76"/>
      <c r="O16" s="76"/>
      <c r="P16" s="76" t="str">
        <f t="shared" si="2"/>
        <v>,sp_code</v>
      </c>
      <c r="Q16" s="76" t="str">
        <f t="shared" si="3"/>
        <v>TEXT</v>
      </c>
      <c r="R16" s="76" t="str">
        <f t="shared" si="4"/>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milscm_2023_009.sny_202310_enroll_kensa_kanja.sp_code IS '検体材料コード';</v>
      </c>
    </row>
    <row r="17" spans="1:52" s="25" customFormat="1">
      <c r="A17" s="4"/>
      <c r="B17" s="21">
        <f t="shared" si="0"/>
        <v>5</v>
      </c>
      <c r="C17" s="13" t="s">
        <v>1623</v>
      </c>
      <c r="D17" s="13" t="s">
        <v>1624</v>
      </c>
      <c r="E17" s="7" t="s">
        <v>127</v>
      </c>
      <c r="F17" s="7" t="s">
        <v>865</v>
      </c>
      <c r="G17" s="7" t="str">
        <f t="shared" si="1"/>
        <v>text</v>
      </c>
      <c r="H17" s="9"/>
      <c r="I17" s="10" t="s">
        <v>127</v>
      </c>
      <c r="J17" s="24"/>
      <c r="M17" s="4"/>
      <c r="N17" s="76"/>
      <c r="O17" s="76"/>
      <c r="P17" s="76" t="str">
        <f t="shared" si="2"/>
        <v>,item_name</v>
      </c>
      <c r="Q17" s="76" t="str">
        <f t="shared" si="3"/>
        <v>TEXT</v>
      </c>
      <c r="R17" s="76" t="str">
        <f t="shared" si="4"/>
        <v/>
      </c>
      <c r="S17" s="76" t="str">
        <f t="shared" si="5"/>
        <v>NOT NULL</v>
      </c>
      <c r="T17" s="76" t="str">
        <f t="shared" si="6"/>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milscm_2023_009.sny_202310_enroll_kensa_kanja.item_name IS '項目名';</v>
      </c>
    </row>
    <row r="18" spans="1:52" s="25" customFormat="1">
      <c r="A18" s="4"/>
      <c r="B18" s="21">
        <f t="shared" si="0"/>
        <v>6</v>
      </c>
      <c r="C18" s="13" t="s">
        <v>1625</v>
      </c>
      <c r="D18" s="13" t="s">
        <v>1626</v>
      </c>
      <c r="E18" s="7" t="s">
        <v>127</v>
      </c>
      <c r="F18" s="7" t="s">
        <v>865</v>
      </c>
      <c r="G18" s="7" t="str">
        <f t="shared" si="1"/>
        <v>text</v>
      </c>
      <c r="H18" s="9"/>
      <c r="I18" s="10" t="s">
        <v>127</v>
      </c>
      <c r="J18" s="24"/>
      <c r="M18" s="4"/>
      <c r="N18" s="76"/>
      <c r="O18" s="76"/>
      <c r="P18" s="76" t="str">
        <f t="shared" si="2"/>
        <v>,facility_it_code</v>
      </c>
      <c r="Q18" s="76" t="str">
        <f t="shared" si="3"/>
        <v>TEXT</v>
      </c>
      <c r="R18" s="76" t="str">
        <f t="shared" si="4"/>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milscm_2023_009.sny_202310_enroll_kensa_kanja.facility_it_code IS '施設固有コード';</v>
      </c>
    </row>
    <row r="19" spans="1:52" s="25" customFormat="1">
      <c r="A19" s="4"/>
      <c r="B19" s="21">
        <f t="shared" si="0"/>
        <v>7</v>
      </c>
      <c r="C19" s="13" t="s">
        <v>1651</v>
      </c>
      <c r="D19" s="13" t="s">
        <v>276</v>
      </c>
      <c r="E19" s="7" t="s">
        <v>127</v>
      </c>
      <c r="F19" s="7" t="s">
        <v>865</v>
      </c>
      <c r="G19" s="7" t="str">
        <f t="shared" si="1"/>
        <v>text</v>
      </c>
      <c r="H19" s="9"/>
      <c r="I19" s="10" t="s">
        <v>127</v>
      </c>
      <c r="J19" s="24"/>
      <c r="M19" s="4"/>
      <c r="N19" s="76"/>
      <c r="O19" s="76"/>
      <c r="P19" s="76" t="str">
        <f t="shared" si="2"/>
        <v>,unit</v>
      </c>
      <c r="Q19" s="76" t="str">
        <f t="shared" si="3"/>
        <v>TEXT</v>
      </c>
      <c r="R19" s="76" t="str">
        <f t="shared" si="4"/>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milscm_2023_009.sny_202310_enroll_kensa_kanja.unit IS '単位';</v>
      </c>
    </row>
    <row r="20" spans="1:52" s="25" customFormat="1">
      <c r="A20" s="4"/>
      <c r="B20" s="21">
        <f t="shared" si="0"/>
        <v>8</v>
      </c>
      <c r="C20" s="13" t="s">
        <v>3844</v>
      </c>
      <c r="D20" s="13" t="s">
        <v>3843</v>
      </c>
      <c r="E20" s="7"/>
      <c r="F20" s="7" t="s">
        <v>865</v>
      </c>
      <c r="G20" s="7" t="str">
        <f t="shared" si="1"/>
        <v>text</v>
      </c>
      <c r="H20" s="9"/>
      <c r="I20" s="10" t="s">
        <v>127</v>
      </c>
      <c r="J20" s="24"/>
      <c r="M20" s="4"/>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milscm_2023_009.sny_202310_enroll_kensa_kanja.disp_name IS '表示名';</v>
      </c>
    </row>
    <row r="21" spans="1:52" s="25" customFormat="1" ht="19.5" thickBot="1">
      <c r="A21" s="4"/>
      <c r="B21" s="66">
        <f t="shared" si="0"/>
        <v>9</v>
      </c>
      <c r="C21" s="28" t="s">
        <v>1548</v>
      </c>
      <c r="D21" s="28" t="s">
        <v>1549</v>
      </c>
      <c r="E21" s="29" t="s">
        <v>127</v>
      </c>
      <c r="F21" s="56" t="s">
        <v>4025</v>
      </c>
      <c r="G21" s="56" t="s">
        <v>99</v>
      </c>
      <c r="H21" s="59"/>
      <c r="I21" s="60" t="s">
        <v>127</v>
      </c>
      <c r="J21" s="61"/>
      <c r="M21" s="4"/>
      <c r="N21" s="76"/>
      <c r="O21" s="76"/>
      <c r="P21" s="76" t="str">
        <f t="shared" si="2"/>
        <v>,sample_time</v>
      </c>
      <c r="Q21" s="76" t="str">
        <f t="shared" si="3"/>
        <v>DATE</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milscm_2023_009.sny_202310_enroll_kensa_kanja.sample_time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11</v>
      </c>
      <c r="E4" s="249"/>
      <c r="F4" s="249"/>
      <c r="G4" s="249"/>
      <c r="H4" s="249"/>
      <c r="I4" s="249"/>
      <c r="J4" s="250"/>
    </row>
    <row r="5" spans="1:52">
      <c r="B5" s="262" t="s">
        <v>3702</v>
      </c>
      <c r="C5" s="263"/>
      <c r="D5" s="272" t="str">
        <f>VLOOKUP(D7,エンティティ一覧!A1:'エンティティ一覧'!AM10204,7,FALSE)</f>
        <v>enroll</v>
      </c>
      <c r="E5" s="273"/>
      <c r="F5" s="273"/>
      <c r="G5" s="273"/>
      <c r="H5" s="273"/>
      <c r="I5" s="273"/>
      <c r="J5" s="274"/>
    </row>
    <row r="6" spans="1:52">
      <c r="B6" s="262" t="s">
        <v>3703</v>
      </c>
      <c r="C6" s="263"/>
      <c r="D6" s="272" t="str">
        <f>VLOOKUP(D7,エンティティ一覧!A1:'エンティティ一覧'!AM10204,15,FALSE)</f>
        <v>ENT_11_07</v>
      </c>
      <c r="E6" s="273"/>
      <c r="F6" s="273"/>
      <c r="G6" s="273"/>
      <c r="H6" s="273"/>
      <c r="I6" s="273"/>
      <c r="J6" s="274"/>
    </row>
    <row r="7" spans="1:52">
      <c r="B7" s="262" t="s">
        <v>115</v>
      </c>
      <c r="C7" s="263"/>
      <c r="D7" s="264" t="s">
        <v>304</v>
      </c>
      <c r="E7" s="265"/>
      <c r="F7" s="265"/>
      <c r="G7" s="265"/>
      <c r="H7" s="265"/>
      <c r="I7" s="265"/>
      <c r="J7" s="266"/>
    </row>
    <row r="8" spans="1:52">
      <c r="B8" s="262" t="s">
        <v>116</v>
      </c>
      <c r="C8" s="263"/>
      <c r="D8" s="264" t="str">
        <f>エンティティ一覧!AE2&amp;"_"&amp;D5&amp;"_kanja"</f>
        <v>sny_202310_enroll_kanja</v>
      </c>
      <c r="E8" s="265"/>
      <c r="F8" s="265"/>
      <c r="G8" s="265"/>
      <c r="H8" s="265"/>
      <c r="I8" s="265"/>
      <c r="J8" s="266"/>
    </row>
    <row r="9" spans="1:52" ht="19.5" customHeight="1" thickBot="1">
      <c r="B9" s="267" t="s">
        <v>117</v>
      </c>
      <c r="C9" s="268"/>
      <c r="D9" s="269" t="s">
        <v>3991</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milscm_2023_009.sny_202310_enroll_kanja;</v>
      </c>
      <c r="O10" s="76"/>
      <c r="P10" s="76"/>
      <c r="Q10" s="76"/>
      <c r="R10" s="76"/>
      <c r="S10" s="76"/>
      <c r="T10" s="76"/>
      <c r="AJ10" s="76" t="str">
        <f>"ALTER TABLE ONLY "&amp;エンティティ一覧!$O$2&amp;"."&amp;D$8</f>
        <v>ALTER TABLE ONLY milscm_2023_009.sny_202310_enroll_kanja</v>
      </c>
      <c r="AS10" s="76" t="str">
        <f>"ALTER TABLE "&amp;エンティティ一覧!$O$2&amp;"."&amp;D$8&amp;" OWNER TO pgmisgrp1;"</f>
        <v>ALTER TABLE milscm_2023_009.sny_202310_enroll_kanja OWNER TO pgmisgrp1;</v>
      </c>
    </row>
    <row r="11" spans="1:52" ht="19.5" thickBot="1">
      <c r="B11" s="20" t="s">
        <v>118</v>
      </c>
      <c r="C11" s="19"/>
      <c r="D11" s="5"/>
      <c r="E11" s="5"/>
      <c r="F11" s="5"/>
      <c r="G11" s="5"/>
      <c r="H11" s="5"/>
      <c r="I11" s="5"/>
      <c r="J11" s="18"/>
      <c r="N11" s="76" t="str">
        <f>"CREATE TABLE  "&amp;エンティティ一覧!$O$2&amp;"."&amp;D$8</f>
        <v>CREATE TABLE  milscm_2023_009.sny_202310_enroll_kanja</v>
      </c>
      <c r="O11" s="76"/>
      <c r="P11" s="76"/>
      <c r="Q11" s="76"/>
      <c r="R11" s="76"/>
      <c r="S11" s="76"/>
      <c r="T11" s="76"/>
      <c r="AJ11" s="76" t="str">
        <f>"ADD CONSTRAINT "&amp;D$8&amp;"_pkey PRIMARY KEY"</f>
        <v>ADD CONSTRAINT sny_202310_enroll_kanja_pkey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milscm_2023_009.sny_202310_enroll_kanja.facility_id IS '施設ID';</v>
      </c>
    </row>
    <row r="14" spans="1:52" s="25" customFormat="1" ht="19.5" thickBot="1">
      <c r="A14" s="4"/>
      <c r="B14" s="70">
        <f t="shared" ref="B14" si="2">ROW()-12</f>
        <v>2</v>
      </c>
      <c r="C14" s="28" t="s">
        <v>3823</v>
      </c>
      <c r="D14" s="28" t="s">
        <v>1845</v>
      </c>
      <c r="E14" s="29" t="s">
        <v>127</v>
      </c>
      <c r="F14" s="72" t="s">
        <v>317</v>
      </c>
      <c r="G14" s="72" t="str">
        <f t="shared" ref="G14" si="3">IF(F14="フラグ","boolean",IF(F14="文字列","text",IF(F14="整数","integer",IF(F14="実数","numeric",""))))</f>
        <v>text</v>
      </c>
      <c r="H14" s="73"/>
      <c r="I14" s="74" t="s">
        <v>127</v>
      </c>
      <c r="J14" s="75"/>
      <c r="M14" s="4"/>
      <c r="N14" s="76"/>
      <c r="O14" s="76"/>
      <c r="P14" s="76" t="str">
        <f t="shared" ref="P14" si="4">IF(B14&lt;&gt;1,","&amp;D14,D14)</f>
        <v>,himoduke_id</v>
      </c>
      <c r="Q14" s="76" t="str">
        <f t="shared" si="0"/>
        <v>TEXT</v>
      </c>
      <c r="R14" s="76" t="str">
        <f t="shared" si="1"/>
        <v/>
      </c>
      <c r="S14" s="76" t="str">
        <f>IF(I14="○","NOT NULL","")</f>
        <v>NOT NULL</v>
      </c>
      <c r="T14" s="76" t="str">
        <f>"--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milscm_2023_009.sny_202310_enroll_kanja.himoduke_id IS '紐付けID';</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4087</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21</v>
      </c>
      <c r="E4" s="249"/>
      <c r="F4" s="249"/>
      <c r="G4" s="249"/>
      <c r="H4" s="249"/>
      <c r="I4" s="249"/>
      <c r="J4" s="250"/>
    </row>
    <row r="5" spans="1:45">
      <c r="B5" s="262" t="s">
        <v>3702</v>
      </c>
      <c r="C5" s="263"/>
      <c r="D5" s="272" t="str">
        <f>VLOOKUP(D7,エンティティ一覧!A1:'エンティティ一覧'!AM10204,7,FALSE)</f>
        <v>mt</v>
      </c>
      <c r="E5" s="273"/>
      <c r="F5" s="273"/>
      <c r="G5" s="273"/>
      <c r="H5" s="273"/>
      <c r="I5" s="273"/>
      <c r="J5" s="274"/>
    </row>
    <row r="6" spans="1:45">
      <c r="B6" s="262" t="s">
        <v>3703</v>
      </c>
      <c r="C6" s="263"/>
      <c r="D6" s="272" t="str">
        <f>VLOOKUP(D7,エンティティ一覧!A1:'エンティティ一覧'!AM10204,15,FALSE)</f>
        <v>ENT_21_01</v>
      </c>
      <c r="E6" s="273"/>
      <c r="F6" s="273"/>
      <c r="G6" s="273"/>
      <c r="H6" s="273"/>
      <c r="I6" s="273"/>
      <c r="J6" s="274"/>
    </row>
    <row r="7" spans="1:45">
      <c r="B7" s="262" t="s">
        <v>115</v>
      </c>
      <c r="C7" s="263"/>
      <c r="D7" s="264" t="s">
        <v>3852</v>
      </c>
      <c r="E7" s="265"/>
      <c r="F7" s="265"/>
      <c r="G7" s="265"/>
      <c r="H7" s="265"/>
      <c r="I7" s="265"/>
      <c r="J7" s="266"/>
    </row>
    <row r="8" spans="1:45">
      <c r="B8" s="262" t="s">
        <v>116</v>
      </c>
      <c r="C8" s="263"/>
      <c r="D8" s="264" t="str">
        <f>エンティティ一覧!AE2&amp;"_"&amp;D5&amp;"_kanja_list"</f>
        <v>sny_202310_mt_kanja_list</v>
      </c>
      <c r="E8" s="265"/>
      <c r="F8" s="265"/>
      <c r="G8" s="265"/>
      <c r="H8" s="265"/>
      <c r="I8" s="265"/>
      <c r="J8" s="266"/>
    </row>
    <row r="9" spans="1:45" ht="19.5" customHeight="1" thickBot="1">
      <c r="B9" s="267" t="s">
        <v>117</v>
      </c>
      <c r="C9" s="268"/>
      <c r="D9" s="269" t="str">
        <f>D7&amp;"情報を格納するテーブル"</f>
        <v>患者ID一覧マスタ情報を格納するテーブル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milscm_2023_009.sny_202310_mt_kanja_list;</v>
      </c>
      <c r="O10" s="76"/>
      <c r="P10" s="76"/>
      <c r="Q10" s="76"/>
      <c r="R10" s="76"/>
      <c r="S10" s="76"/>
      <c r="T10" s="76"/>
      <c r="AJ10" s="76" t="str">
        <f>"ALTER TABLE ONLY "&amp;エンティティ一覧!$O$2&amp;"."&amp;D$8</f>
        <v>ALTER TABLE ONLY milscm_2023_009.sny_202310_mt_kanja_list</v>
      </c>
      <c r="AS10" s="76" t="str">
        <f>"ALTER TABLE "&amp;エンティティ一覧!$O$2&amp;"."&amp;D$8&amp;" OWNER TO pgmisgrp1;"</f>
        <v>ALTER TABLE milscm_2023_009.sny_202310_mt_kanja_list OWNER TO pgmisgrp1;</v>
      </c>
    </row>
    <row r="11" spans="1:45" ht="19.5" thickBot="1">
      <c r="B11" s="20" t="s">
        <v>118</v>
      </c>
      <c r="C11" s="19"/>
      <c r="D11" s="5"/>
      <c r="E11" s="5"/>
      <c r="F11" s="5"/>
      <c r="G11" s="5"/>
      <c r="H11" s="5"/>
      <c r="I11" s="5"/>
      <c r="J11" s="18"/>
      <c r="N11" s="76" t="str">
        <f>"CREATE TABLE  "&amp;エンティティ一覧!$O$2&amp;"."&amp;D$8</f>
        <v>CREATE TABLE  milscm_2023_009.sny_202310_mt_kanja_list</v>
      </c>
      <c r="O11" s="76"/>
      <c r="P11" s="76"/>
      <c r="Q11" s="76"/>
      <c r="R11" s="76"/>
      <c r="S11" s="76"/>
      <c r="T11" s="76"/>
      <c r="AJ11" s="76" t="str">
        <f>"ADD CONSTRAINT "&amp;D$8&amp;"_pkey PRIMARY KEY"</f>
        <v>ADD CONSTRAINT sny_202310_mt_kanja_list_pkey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milscm_2023_009.sny_202310_mt_kanja_list IS '患者ID一覧マスタ';</v>
      </c>
    </row>
    <row r="13" spans="1:45" s="25" customFormat="1">
      <c r="A13" s="4"/>
      <c r="B13" s="21">
        <f>ROW()-12</f>
        <v>1</v>
      </c>
      <c r="C13" s="6" t="s">
        <v>1843</v>
      </c>
      <c r="D13" s="6" t="s">
        <v>128</v>
      </c>
      <c r="E13" s="8" t="s">
        <v>127</v>
      </c>
      <c r="F13" s="8" t="s">
        <v>1828</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2787</v>
      </c>
      <c r="D14" s="6" t="s">
        <v>2403</v>
      </c>
      <c r="E14" s="8"/>
      <c r="F14" s="7" t="s">
        <v>1821</v>
      </c>
      <c r="G14" s="7" t="str">
        <f t="shared" ref="G14:G17" si="3">IF(F14="フラグ","boolean",IF(F14="文字列","text",IF(F14="整数","integer",IF(F14="実数","numeric",""))))</f>
        <v>text</v>
      </c>
      <c r="H14" s="26"/>
      <c r="I14" s="10" t="s">
        <v>127</v>
      </c>
      <c r="J14" s="11"/>
      <c r="M14" s="4"/>
      <c r="N14" s="76"/>
      <c r="O14" s="76"/>
      <c r="P14" s="76" t="str">
        <f t="shared" ref="P14:P17" si="4">IF(B14&lt;&gt;1,","&amp;D14,D14)</f>
        <v>,facility_id_mml</v>
      </c>
      <c r="Q14" s="76" t="str">
        <f t="shared" si="0"/>
        <v>TEXT</v>
      </c>
      <c r="R14" s="76" t="str">
        <f t="shared" si="1"/>
        <v/>
      </c>
      <c r="S14" s="76" t="str">
        <f t="shared" ref="S14:S17" si="5">IF(I14="○","NOT NULL","")</f>
        <v>NOT NULL</v>
      </c>
      <c r="T14" s="76" t="str">
        <f t="shared" ref="T14:T17"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milscm_2023_009.sny_202310_mt_kanja_list.facility_id_mml IS '施設ID（MML）';</v>
      </c>
    </row>
    <row r="15" spans="1:45" s="25" customFormat="1">
      <c r="A15" s="4"/>
      <c r="B15" s="21">
        <f t="shared" si="2"/>
        <v>3</v>
      </c>
      <c r="C15" s="6" t="s">
        <v>1844</v>
      </c>
      <c r="D15" s="6" t="s">
        <v>1845</v>
      </c>
      <c r="E15" s="8" t="s">
        <v>127</v>
      </c>
      <c r="F15" s="7" t="s">
        <v>1828</v>
      </c>
      <c r="G15" s="7" t="str">
        <f t="shared" si="3"/>
        <v>text</v>
      </c>
      <c r="H15" s="26"/>
      <c r="I15" s="10" t="s">
        <v>127</v>
      </c>
      <c r="J15" s="11"/>
      <c r="M15" s="4"/>
      <c r="N15" s="76"/>
      <c r="O15" s="76"/>
      <c r="P15" s="76" t="str">
        <f t="shared" si="4"/>
        <v>,himoduke_id</v>
      </c>
      <c r="Q15" s="76" t="str">
        <f t="shared" si="0"/>
        <v>TEXT</v>
      </c>
      <c r="R15" s="76" t="str">
        <f t="shared" si="1"/>
        <v/>
      </c>
      <c r="S15" s="76" t="str">
        <f t="shared" si="5"/>
        <v>NOT NULL</v>
      </c>
      <c r="T15" s="76" t="str">
        <f t="shared" si="6"/>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milscm_2023_009.sny_202310_mt_kanja_list.himoduke_id IS '紐付けID';</v>
      </c>
    </row>
    <row r="16" spans="1:45" s="25" customFormat="1">
      <c r="A16" s="4"/>
      <c r="B16" s="21">
        <f t="shared" si="2"/>
        <v>4</v>
      </c>
      <c r="C16" s="6" t="s">
        <v>1820</v>
      </c>
      <c r="D16" s="6" t="s">
        <v>208</v>
      </c>
      <c r="E16" s="8" t="s">
        <v>127</v>
      </c>
      <c r="F16" s="7" t="s">
        <v>1821</v>
      </c>
      <c r="G16" s="7" t="str">
        <f t="shared" si="3"/>
        <v>text</v>
      </c>
      <c r="H16" s="26"/>
      <c r="I16" s="10" t="s">
        <v>127</v>
      </c>
      <c r="J16" s="11"/>
      <c r="M16" s="4"/>
      <c r="N16" s="76"/>
      <c r="O16" s="76"/>
      <c r="P16" s="76" t="str">
        <f t="shared" si="4"/>
        <v>,data_type</v>
      </c>
      <c r="Q16" s="76" t="str">
        <f t="shared" si="0"/>
        <v>TEXT</v>
      </c>
      <c r="R16" s="76" t="str">
        <f t="shared" si="1"/>
        <v/>
      </c>
      <c r="S16" s="76" t="str">
        <f t="shared" si="5"/>
        <v>NOT NULL</v>
      </c>
      <c r="T16" s="76" t="str">
        <f t="shared" si="6"/>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milscm_2023_009.sny_202310_mt_kanja_list.data_type IS 'データ種別';</v>
      </c>
    </row>
    <row r="17" spans="1:52" s="25" customFormat="1" ht="19.5" thickBot="1">
      <c r="A17" s="4"/>
      <c r="B17" s="27">
        <f>ROW()-12</f>
        <v>5</v>
      </c>
      <c r="C17" s="57" t="s">
        <v>1822</v>
      </c>
      <c r="D17" s="57" t="s">
        <v>1823</v>
      </c>
      <c r="E17" s="56" t="s">
        <v>127</v>
      </c>
      <c r="F17" s="56" t="s">
        <v>1737</v>
      </c>
      <c r="G17" s="56" t="str">
        <f t="shared" si="3"/>
        <v>text</v>
      </c>
      <c r="H17" s="59"/>
      <c r="I17" s="60" t="s">
        <v>127</v>
      </c>
      <c r="J17" s="64"/>
      <c r="N17" s="76"/>
      <c r="O17" s="76"/>
      <c r="P17" s="76" t="str">
        <f t="shared" si="4"/>
        <v>,patient_id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milscm_2023_009.sny_202310_mt_kanja_list.patient_id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4285</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21</v>
      </c>
      <c r="E4" s="249"/>
      <c r="F4" s="249"/>
      <c r="G4" s="249"/>
      <c r="H4" s="249"/>
      <c r="I4" s="249"/>
      <c r="J4" s="250"/>
    </row>
    <row r="5" spans="1:45">
      <c r="B5" s="262" t="s">
        <v>3702</v>
      </c>
      <c r="C5" s="263"/>
      <c r="D5" s="272" t="str">
        <f>VLOOKUP(D7,エンティティ一覧!A1:'エンティティ一覧'!AM10204,7,FALSE)</f>
        <v>mt</v>
      </c>
      <c r="E5" s="273"/>
      <c r="F5" s="273"/>
      <c r="G5" s="273"/>
      <c r="H5" s="273"/>
      <c r="I5" s="273"/>
      <c r="J5" s="274"/>
    </row>
    <row r="6" spans="1:45">
      <c r="B6" s="262" t="s">
        <v>3703</v>
      </c>
      <c r="C6" s="263"/>
      <c r="D6" s="272" t="str">
        <f>VLOOKUP(D7,エンティティ一覧!A1:'エンティティ一覧'!AM10204,15,FALSE)</f>
        <v>ENT_21_02</v>
      </c>
      <c r="E6" s="273"/>
      <c r="F6" s="273"/>
      <c r="G6" s="273"/>
      <c r="H6" s="273"/>
      <c r="I6" s="273"/>
      <c r="J6" s="274"/>
    </row>
    <row r="7" spans="1:45">
      <c r="B7" s="262" t="s">
        <v>115</v>
      </c>
      <c r="C7" s="263"/>
      <c r="D7" s="264" t="s">
        <v>3846</v>
      </c>
      <c r="E7" s="265"/>
      <c r="F7" s="265"/>
      <c r="G7" s="265"/>
      <c r="H7" s="265"/>
      <c r="I7" s="265"/>
      <c r="J7" s="266"/>
    </row>
    <row r="8" spans="1:45">
      <c r="B8" s="262" t="s">
        <v>116</v>
      </c>
      <c r="C8" s="263"/>
      <c r="D8" s="264" t="str">
        <f>エンティティ一覧!AE2&amp;"_"&amp;D5&amp;"_shisetsu"</f>
        <v>sny_202310_mt_shisetsu</v>
      </c>
      <c r="E8" s="265"/>
      <c r="F8" s="265"/>
      <c r="G8" s="265"/>
      <c r="H8" s="265"/>
      <c r="I8" s="265"/>
      <c r="J8" s="266"/>
    </row>
    <row r="9" spans="1:45" ht="19.5" customHeight="1" thickBot="1">
      <c r="B9" s="267" t="s">
        <v>117</v>
      </c>
      <c r="C9" s="268"/>
      <c r="D9" s="269" t="s">
        <v>4069</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milscm_2023_009.sny_202310_mt_shisetsu;</v>
      </c>
      <c r="O10" s="76"/>
      <c r="P10" s="76"/>
      <c r="Q10" s="76"/>
      <c r="R10" s="76"/>
      <c r="S10" s="76"/>
      <c r="T10" s="76"/>
      <c r="AJ10" s="76" t="str">
        <f>"ALTER TABLE ONLY "&amp;エンティティ一覧!$O$2&amp;"."&amp;D$8</f>
        <v>ALTER TABLE ONLY milscm_2023_009.sny_202310_mt_shisetsu</v>
      </c>
      <c r="AS10" s="76" t="str">
        <f>"ALTER TABLE "&amp;エンティティ一覧!$O$2&amp;"."&amp;D$8&amp;" OWNER TO pgmisgrp1;"</f>
        <v>ALTER TABLE milscm_2023_009.sny_202310_mt_shisetsu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milscm_2023_009.sny_202310_mt_shisetsu</v>
      </c>
      <c r="O11" s="76"/>
      <c r="P11" s="76"/>
      <c r="Q11" s="76"/>
      <c r="R11" s="76"/>
      <c r="S11" s="76"/>
      <c r="T11" s="76"/>
      <c r="AJ11" s="76" t="str">
        <f>"ADD CONSTRAINT "&amp;D$8&amp;"_pkey PRIMARY KEY"</f>
        <v>ADD CONSTRAINT sny_202310_mt_shisetsu_pkey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milscm_2023_009.sny_202310_mt_shisetsu IS '施設マスタ';</v>
      </c>
    </row>
    <row r="13" spans="1:45" s="25" customFormat="1">
      <c r="A13" s="4"/>
      <c r="B13" s="21">
        <f>ROW()-12</f>
        <v>1</v>
      </c>
      <c r="C13" s="13" t="s">
        <v>4067</v>
      </c>
      <c r="D13" s="13" t="s">
        <v>4068</v>
      </c>
      <c r="E13" s="7" t="s">
        <v>127</v>
      </c>
      <c r="F13" s="7" t="s">
        <v>3815</v>
      </c>
      <c r="G13" s="7" t="str">
        <f>IF(F13="フラグ","boolean",IF(F13="文字列","text",IF(F13="整数","integer",IF(F13="実数","numeric",""))))</f>
        <v>text</v>
      </c>
      <c r="H13" s="9"/>
      <c r="I13" s="10" t="s">
        <v>127</v>
      </c>
      <c r="J13" s="24"/>
      <c r="M13" s="4"/>
      <c r="N13" s="76"/>
      <c r="O13" s="76"/>
      <c r="P13" s="76" t="str">
        <f>IF(B13&lt;&gt;1,","&amp;D13,D13)</f>
        <v>facility_mask_id</v>
      </c>
      <c r="Q13" s="76" t="str">
        <f t="shared" ref="Q13:Q21" si="0">UPPER(G13)</f>
        <v>TEXT</v>
      </c>
      <c r="R13" s="76" t="str">
        <f t="shared" ref="R13:R21" si="1">IF(H13&lt;&gt;"","default "&amp;IF(G13="text","'"&amp;H13&amp;"'",H13),"")</f>
        <v/>
      </c>
      <c r="S13" s="76" t="str">
        <f t="shared" ref="S13:S21" si="2">IF(I13="○","NOT NULL","")</f>
        <v>NOT NULL</v>
      </c>
      <c r="T13" s="76" t="str">
        <f t="shared" ref="T13:T21" si="3">"-- "&amp;C13</f>
        <v>-- 施設マスクID</v>
      </c>
      <c r="U13" s="4"/>
      <c r="AA13" s="4"/>
      <c r="AB13" s="4"/>
      <c r="AC13" s="4"/>
      <c r="AD13" s="4"/>
      <c r="AE13" s="4"/>
      <c r="AF13" s="4"/>
      <c r="AG13" s="4"/>
      <c r="AH13" s="4"/>
      <c r="AI13" s="4"/>
      <c r="AJ13" s="76" t="str">
        <f>IF(E13="○",IF(COUNTA(E$13:E13)=1,"",",")&amp;D13,"")</f>
        <v>facility_mask_id</v>
      </c>
      <c r="AK13" s="4"/>
      <c r="AL13" s="4"/>
      <c r="AM13" s="4"/>
      <c r="AN13" s="4"/>
      <c r="AO13" s="4"/>
      <c r="AP13" s="4"/>
      <c r="AQ13" s="4"/>
      <c r="AR13" s="4"/>
      <c r="AS13" s="76" t="str">
        <f>"COMMENT ON COLUMN "&amp;エンティティ一覧!$O$2&amp;"."&amp;D$8&amp;"."&amp;D13&amp;" IS '"&amp;C13&amp;"';"</f>
        <v>COMMENT ON COLUMN milscm_2023_009.sny_202310_mt_shisetsu.facility_mask_id IS '施設マスクID';</v>
      </c>
    </row>
    <row r="14" spans="1:45" s="25" customFormat="1">
      <c r="A14" s="4"/>
      <c r="B14" s="21">
        <f>ROW()-12</f>
        <v>2</v>
      </c>
      <c r="C14" s="13" t="s">
        <v>137</v>
      </c>
      <c r="D14" s="13" t="s">
        <v>128</v>
      </c>
      <c r="E14" s="7"/>
      <c r="F14" s="7" t="s">
        <v>3815</v>
      </c>
      <c r="G14" s="7" t="str">
        <f>IF(F14="フラグ","boolean",IF(F14="文字列","text",IF(F14="整数","integer",IF(F14="実数","numeric",""))))</f>
        <v>text</v>
      </c>
      <c r="H14" s="9"/>
      <c r="I14" s="10" t="s">
        <v>127</v>
      </c>
      <c r="J14" s="24"/>
      <c r="M14" s="4"/>
      <c r="N14" s="76"/>
      <c r="O14" s="76"/>
      <c r="P14" s="76" t="str">
        <f>IF(B14&lt;&gt;1,","&amp;D14,D14)</f>
        <v>,facility_id</v>
      </c>
      <c r="Q14" s="76" t="str">
        <f t="shared" ref="Q14" si="4">UPPER(G14)</f>
        <v>TEXT</v>
      </c>
      <c r="R14" s="76" t="str">
        <f t="shared" ref="R14" si="5">IF(H14&lt;&gt;"","default "&amp;IF(G14="text","'"&amp;H14&amp;"'",H14),"")</f>
        <v/>
      </c>
      <c r="S14" s="76" t="str">
        <f t="shared" ref="S14" si="6">IF(I14="○","NOT NULL","")</f>
        <v>NOT NULL</v>
      </c>
      <c r="T14" s="76" t="str">
        <f t="shared" ref="T14" si="7">"--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milscm_2023_009.sny_202310_mt_shisetsu.facility_id IS '施設ID';</v>
      </c>
    </row>
    <row r="15" spans="1:45" s="25" customFormat="1">
      <c r="A15" s="4"/>
      <c r="B15" s="21">
        <f>ROW()-12</f>
        <v>3</v>
      </c>
      <c r="C15" s="13" t="s">
        <v>2402</v>
      </c>
      <c r="D15" s="13" t="s">
        <v>2403</v>
      </c>
      <c r="E15" s="7"/>
      <c r="F15" s="7" t="s">
        <v>3816</v>
      </c>
      <c r="G15" s="7" t="str">
        <f>IF(F15="フラグ","boolean",IF(F15="文字列","text",IF(F15="整数","integer",IF(F15="実数","numeric",""))))</f>
        <v>text</v>
      </c>
      <c r="H15" s="9"/>
      <c r="I15" s="10"/>
      <c r="J15" s="24"/>
      <c r="M15" s="4"/>
      <c r="N15" s="76"/>
      <c r="O15" s="76"/>
      <c r="P15" s="76" t="str">
        <f>IF(B15&lt;&gt;1,","&amp;D15,D15)</f>
        <v>,facility_id_mml</v>
      </c>
      <c r="Q15" s="76" t="str">
        <f t="shared" si="0"/>
        <v>TEXT</v>
      </c>
      <c r="R15" s="76" t="str">
        <f t="shared" si="1"/>
        <v/>
      </c>
      <c r="S15" s="76" t="str">
        <f t="shared" si="2"/>
        <v/>
      </c>
      <c r="T15" s="76" t="str">
        <f t="shared" si="3"/>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milscm_2023_009.sny_202310_mt_shisetsu.facility_id_mml IS '施設ID（MML）';</v>
      </c>
    </row>
    <row r="16" spans="1:45" s="25" customFormat="1">
      <c r="A16" s="4"/>
      <c r="B16" s="21">
        <f t="shared" ref="B16:B21" si="8">ROW()-12</f>
        <v>4</v>
      </c>
      <c r="C16" s="6" t="s">
        <v>3817</v>
      </c>
      <c r="D16" s="6" t="s">
        <v>2405</v>
      </c>
      <c r="E16" s="8"/>
      <c r="F16" s="7" t="s">
        <v>3818</v>
      </c>
      <c r="G16" s="7" t="str">
        <f t="shared" ref="G16" si="9">IF(F16="フラグ","boolean",IF(F16="文字列","text",IF(F16="整数","integer",IF(F16="実数","numeric",""))))</f>
        <v>text</v>
      </c>
      <c r="H16" s="58"/>
      <c r="I16" s="23" t="s">
        <v>127</v>
      </c>
      <c r="J16" s="24"/>
      <c r="M16" s="4"/>
      <c r="N16" s="76"/>
      <c r="O16" s="76"/>
      <c r="P16" s="76" t="str">
        <f t="shared" ref="P16" si="10">IF(B16&lt;&gt;1,","&amp;D16,D16)</f>
        <v>,facility_name</v>
      </c>
      <c r="Q16" s="76" t="str">
        <f t="shared" si="0"/>
        <v>TEXT</v>
      </c>
      <c r="R16" s="76" t="str">
        <f t="shared" si="1"/>
        <v/>
      </c>
      <c r="S16" s="76" t="str">
        <f t="shared" si="2"/>
        <v>NOT NULL</v>
      </c>
      <c r="T16" s="76" t="str">
        <f t="shared" si="3"/>
        <v>-- 施設名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milscm_2023_009.sny_202310_mt_shisetsu.facility_name IS '施設名';</v>
      </c>
    </row>
    <row r="17" spans="1:52" s="25" customFormat="1">
      <c r="A17" s="4"/>
      <c r="B17" s="21">
        <f>ROW()-12</f>
        <v>5</v>
      </c>
      <c r="C17" s="13" t="s">
        <v>3819</v>
      </c>
      <c r="D17" s="13" t="s">
        <v>2411</v>
      </c>
      <c r="E17" s="7"/>
      <c r="F17" s="7" t="s">
        <v>3816</v>
      </c>
      <c r="G17" s="7" t="str">
        <f>IF(F17="フラグ","boolean",IF(F17="文字列","text",IF(F17="整数","integer",IF(F17="実数","numeric",""))))</f>
        <v>text</v>
      </c>
      <c r="H17" s="9"/>
      <c r="I17" s="10"/>
      <c r="J17" s="24"/>
      <c r="M17" s="4"/>
      <c r="N17" s="76"/>
      <c r="O17" s="76"/>
      <c r="P17" s="76" t="str">
        <f>IF(B17&lt;&gt;1,","&amp;D17,D17)</f>
        <v>,facility_contract_start</v>
      </c>
      <c r="Q17" s="76" t="str">
        <f t="shared" si="0"/>
        <v>TEXT</v>
      </c>
      <c r="R17" s="76" t="str">
        <f t="shared" si="1"/>
        <v/>
      </c>
      <c r="S17" s="76" t="str">
        <f t="shared" si="2"/>
        <v/>
      </c>
      <c r="T17" s="76" t="str">
        <f t="shared" si="3"/>
        <v>-- 施設データ提供開始日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milscm_2023_009.sny_202310_mt_shisetsu.facility_contract_start IS '施設データ提供開始日';</v>
      </c>
    </row>
    <row r="18" spans="1:52" s="25" customFormat="1">
      <c r="A18" s="4"/>
      <c r="B18" s="21">
        <f t="shared" si="8"/>
        <v>6</v>
      </c>
      <c r="C18" s="6" t="s">
        <v>3820</v>
      </c>
      <c r="D18" s="6" t="s">
        <v>2413</v>
      </c>
      <c r="E18" s="8"/>
      <c r="F18" s="7" t="s">
        <v>3816</v>
      </c>
      <c r="G18" s="7" t="str">
        <f t="shared" ref="G18:G21" si="11">IF(F18="フラグ","boolean",IF(F18="文字列","text",IF(F18="整数","integer",IF(F18="実数","numeric",""))))</f>
        <v>text</v>
      </c>
      <c r="H18" s="58"/>
      <c r="I18" s="23"/>
      <c r="J18" s="24"/>
      <c r="M18" s="4"/>
      <c r="N18" s="76"/>
      <c r="O18" s="76"/>
      <c r="P18" s="76" t="str">
        <f t="shared" ref="P18:P21" si="12">IF(B18&lt;&gt;1,","&amp;D18,D18)</f>
        <v>,facility_contract_end</v>
      </c>
      <c r="Q18" s="76" t="str">
        <f t="shared" si="0"/>
        <v>TEXT</v>
      </c>
      <c r="R18" s="76" t="str">
        <f t="shared" si="1"/>
        <v/>
      </c>
      <c r="S18" s="76" t="str">
        <f t="shared" si="2"/>
        <v/>
      </c>
      <c r="T18" s="76" t="str">
        <f t="shared" si="3"/>
        <v>-- 施設データ提供終了日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milscm_2023_009.sny_202310_mt_shisetsu.facility_contract_end IS '施設データ提供終了日';</v>
      </c>
    </row>
    <row r="19" spans="1:52" s="25" customFormat="1">
      <c r="A19" s="4"/>
      <c r="B19" s="21">
        <f>ROW()-12</f>
        <v>7</v>
      </c>
      <c r="C19" s="13" t="s">
        <v>3821</v>
      </c>
      <c r="D19" s="13" t="s">
        <v>2415</v>
      </c>
      <c r="E19" s="7"/>
      <c r="F19" s="7" t="s">
        <v>204</v>
      </c>
      <c r="G19" s="7" t="str">
        <f>IF(F19="フラグ","boolean",IF(F19="文字列","text",IF(F19="整数","integer",IF(F19="実数","numeric",""))))</f>
        <v>integer</v>
      </c>
      <c r="H19" s="9"/>
      <c r="I19" s="10"/>
      <c r="J19" s="24"/>
      <c r="M19" s="4"/>
      <c r="N19" s="76"/>
      <c r="O19" s="76"/>
      <c r="P19" s="76" t="str">
        <f>IF(B19&lt;&gt;1,","&amp;D19,D19)</f>
        <v>,size</v>
      </c>
      <c r="Q19" s="76" t="str">
        <f t="shared" si="0"/>
        <v>INTEGER</v>
      </c>
      <c r="R19" s="76" t="str">
        <f t="shared" si="1"/>
        <v/>
      </c>
      <c r="S19" s="76" t="str">
        <f t="shared" si="2"/>
        <v/>
      </c>
      <c r="T19" s="76" t="str">
        <f t="shared" si="3"/>
        <v>-- 施設規模</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milscm_2023_009.sny_202310_mt_shisetsu.size IS '施設規模';</v>
      </c>
    </row>
    <row r="20" spans="1:52" s="25" customFormat="1">
      <c r="A20" s="4"/>
      <c r="B20" s="21">
        <f>ROW()-12</f>
        <v>8</v>
      </c>
      <c r="C20" s="13" t="s">
        <v>3847</v>
      </c>
      <c r="D20" s="13" t="s">
        <v>3849</v>
      </c>
      <c r="E20" s="7"/>
      <c r="F20" s="7" t="s">
        <v>3816</v>
      </c>
      <c r="G20" s="7" t="str">
        <f>IF(F20="フラグ","boolean",IF(F20="文字列","text",IF(F20="整数","integer",IF(F20="実数","numeric",""))))</f>
        <v>text</v>
      </c>
      <c r="H20" s="9"/>
      <c r="I20" s="10"/>
      <c r="J20" s="24"/>
      <c r="M20" s="4"/>
      <c r="N20" s="76"/>
      <c r="O20" s="76"/>
      <c r="P20" s="76" t="str">
        <f>IF(B20&lt;&gt;1,","&amp;D20,D20)</f>
        <v>,facility_riyo_start</v>
      </c>
      <c r="Q20" s="76" t="str">
        <f t="shared" ref="Q20" si="13">UPPER(G20)</f>
        <v>TEXT</v>
      </c>
      <c r="R20" s="76" t="str">
        <f t="shared" ref="R20" si="14">IF(H20&lt;&gt;"","default "&amp;IF(G20="text","'"&amp;H20&amp;"'",H20),"")</f>
        <v/>
      </c>
      <c r="S20" s="76" t="str">
        <f t="shared" si="2"/>
        <v/>
      </c>
      <c r="T20" s="76" t="str">
        <f t="shared" si="3"/>
        <v>-- 施設データ利用可能開始日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milscm_2023_009.sny_202310_mt_shisetsu.facility_riyo_start IS '施設データ利用可能開始日';</v>
      </c>
    </row>
    <row r="21" spans="1:52" s="25" customFormat="1" ht="19.5" thickBot="1">
      <c r="A21" s="4"/>
      <c r="B21" s="70">
        <f t="shared" si="8"/>
        <v>9</v>
      </c>
      <c r="C21" s="71" t="s">
        <v>3848</v>
      </c>
      <c r="D21" s="71" t="s">
        <v>3850</v>
      </c>
      <c r="E21" s="74"/>
      <c r="F21" s="72" t="s">
        <v>3816</v>
      </c>
      <c r="G21" s="72" t="str">
        <f t="shared" si="11"/>
        <v>text</v>
      </c>
      <c r="H21" s="73"/>
      <c r="I21" s="74"/>
      <c r="J21" s="75"/>
      <c r="M21" s="4"/>
      <c r="N21" s="76"/>
      <c r="O21" s="76"/>
      <c r="P21" s="76" t="str">
        <f t="shared" si="12"/>
        <v>,facility_riyo_end</v>
      </c>
      <c r="Q21" s="76" t="str">
        <f t="shared" si="0"/>
        <v>TEXT</v>
      </c>
      <c r="R21" s="76" t="str">
        <f t="shared" si="1"/>
        <v/>
      </c>
      <c r="S21" s="76" t="str">
        <f t="shared" si="2"/>
        <v/>
      </c>
      <c r="T21" s="76" t="str">
        <f t="shared" si="3"/>
        <v>-- 施設データ利用可能終了日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milscm_2023_009.sny_202310_mt_shisetsu.facility_riyo_end IS '施設データ利用可能終了日';</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21</v>
      </c>
      <c r="E4" s="249"/>
      <c r="F4" s="249"/>
      <c r="G4" s="249"/>
      <c r="H4" s="249"/>
      <c r="I4" s="249"/>
      <c r="J4" s="250"/>
    </row>
    <row r="5" spans="1:45">
      <c r="B5" s="262" t="s">
        <v>3702</v>
      </c>
      <c r="C5" s="263"/>
      <c r="D5" s="272" t="str">
        <f>VLOOKUP(D7,エンティティ一覧!A1:'エンティティ一覧'!AM10204,7,FALSE)</f>
        <v>mt</v>
      </c>
      <c r="E5" s="273"/>
      <c r="F5" s="273"/>
      <c r="G5" s="273"/>
      <c r="H5" s="273"/>
      <c r="I5" s="273"/>
      <c r="J5" s="274"/>
    </row>
    <row r="6" spans="1:45">
      <c r="B6" s="262" t="s">
        <v>3703</v>
      </c>
      <c r="C6" s="263"/>
      <c r="D6" s="272" t="str">
        <f>VLOOKUP(D7,エンティティ一覧!A1:'エンティティ一覧'!AM10204,15,FALSE)</f>
        <v>ENT_21_03</v>
      </c>
      <c r="E6" s="273"/>
      <c r="F6" s="273"/>
      <c r="G6" s="273"/>
      <c r="H6" s="273"/>
      <c r="I6" s="273"/>
      <c r="J6" s="274"/>
    </row>
    <row r="7" spans="1:45">
      <c r="B7" s="262" t="s">
        <v>115</v>
      </c>
      <c r="C7" s="263"/>
      <c r="D7" s="264" t="s">
        <v>306</v>
      </c>
      <c r="E7" s="265"/>
      <c r="F7" s="265"/>
      <c r="G7" s="265"/>
      <c r="H7" s="265"/>
      <c r="I7" s="265"/>
      <c r="J7" s="266"/>
    </row>
    <row r="8" spans="1:45">
      <c r="B8" s="262" t="s">
        <v>116</v>
      </c>
      <c r="C8" s="263"/>
      <c r="D8" s="264" t="str">
        <f>エンティティ一覧!AE2&amp;"_"&amp;D5&amp;"_kanja"</f>
        <v>sny_202310_mt_kanja</v>
      </c>
      <c r="E8" s="265"/>
      <c r="F8" s="265"/>
      <c r="G8" s="265"/>
      <c r="H8" s="265"/>
      <c r="I8" s="265"/>
      <c r="J8" s="266"/>
    </row>
    <row r="9" spans="1:45" ht="19.5" customHeight="1" thickBot="1">
      <c r="B9" s="267" t="s">
        <v>117</v>
      </c>
      <c r="C9" s="268"/>
      <c r="D9" s="269" t="s">
        <v>4070</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milscm_2023_009.sny_202310_mt_kanja;</v>
      </c>
      <c r="O10" s="76"/>
      <c r="P10" s="76"/>
      <c r="Q10" s="76"/>
      <c r="R10" s="76"/>
      <c r="S10" s="76"/>
      <c r="T10" s="76"/>
      <c r="AJ10" s="76" t="str">
        <f>"ALTER TABLE ONLY "&amp;エンティティ一覧!$O$2&amp;"."&amp;D$8</f>
        <v>ALTER TABLE ONLY milscm_2023_009.sny_202310_mt_kanja</v>
      </c>
      <c r="AS10" s="76" t="str">
        <f>"ALTER TABLE "&amp;エンティティ一覧!$O$2&amp;"."&amp;D$8&amp;" OWNER TO pgmisgrp1;"</f>
        <v>ALTER TABLE milscm_2023_009.sny_202310_mt_kanja OWNER TO pgmisgrp1;</v>
      </c>
    </row>
    <row r="11" spans="1:45" ht="19.5" thickBot="1">
      <c r="B11" s="20" t="s">
        <v>118</v>
      </c>
      <c r="C11" s="19"/>
      <c r="D11" s="5"/>
      <c r="E11" s="5"/>
      <c r="F11" s="5"/>
      <c r="G11" s="5"/>
      <c r="H11" s="5"/>
      <c r="I11" s="5"/>
      <c r="J11" s="18"/>
      <c r="N11" s="76" t="str">
        <f>"CREATE TABLE  "&amp;エンティティ一覧!$O$2&amp;"."&amp;D$8</f>
        <v>CREATE TABLE  milscm_2023_009.sny_202310_mt_kanja</v>
      </c>
      <c r="O11" s="76"/>
      <c r="P11" s="76"/>
      <c r="Q11" s="76"/>
      <c r="R11" s="76"/>
      <c r="S11" s="76"/>
      <c r="T11" s="76"/>
      <c r="AJ11" s="76" t="str">
        <f>"ADD CONSTRAINT "&amp;D$8&amp;"_pkey PRIMARY KEY"</f>
        <v>ADD CONSTRAINT sny_202310_mt_kanja_pkey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 IS '患者マスタ';</v>
      </c>
    </row>
    <row r="13" spans="1:45" s="25" customFormat="1" ht="37.5">
      <c r="A13" s="4"/>
      <c r="B13" s="21">
        <f>ROW()-12</f>
        <v>1</v>
      </c>
      <c r="C13" s="13" t="s">
        <v>4071</v>
      </c>
      <c r="D13" s="13" t="s">
        <v>4072</v>
      </c>
      <c r="E13" s="7" t="s">
        <v>127</v>
      </c>
      <c r="F13" s="7" t="s">
        <v>201</v>
      </c>
      <c r="G13" s="7" t="str">
        <f>IF(F13="フラグ","boolean",IF(F13="文字列","text",IF(F13="整数","integer",IF(F13="実数","numeric",""))))</f>
        <v>text</v>
      </c>
      <c r="H13" s="9"/>
      <c r="I13" s="10" t="s">
        <v>127</v>
      </c>
      <c r="J13" s="24" t="s">
        <v>4074</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milscm_2023_009.sny_202310_mt_kanja.mask_id IS 'マスクID';</v>
      </c>
    </row>
    <row r="14" spans="1:45" s="25" customFormat="1">
      <c r="A14" s="4"/>
      <c r="B14" s="21">
        <f t="shared" ref="B14:B16" si="2">ROW()-12</f>
        <v>2</v>
      </c>
      <c r="C14" s="6" t="s">
        <v>137</v>
      </c>
      <c r="D14" s="6" t="s">
        <v>128</v>
      </c>
      <c r="E14" s="8"/>
      <c r="F14" s="7" t="s">
        <v>201</v>
      </c>
      <c r="G14" s="7" t="str">
        <f t="shared" ref="G14" si="3">IF(F14="フラグ","boolean",IF(F14="文字列","text",IF(F14="整数","integer",IF(F14="実数","numeric",""))))</f>
        <v>text</v>
      </c>
      <c r="H14" s="58"/>
      <c r="I14" s="23" t="s">
        <v>127</v>
      </c>
      <c r="J14" s="24"/>
      <c r="M14" s="4"/>
      <c r="N14" s="76"/>
      <c r="O14" s="76"/>
      <c r="P14" s="76" t="str">
        <f t="shared" ref="P14:P1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milscm_2023_009.sny_202310_mt_kanja.facility_id IS '施設ID';</v>
      </c>
    </row>
    <row r="15" spans="1:45" s="25" customFormat="1">
      <c r="A15" s="4"/>
      <c r="B15" s="21">
        <f t="shared" si="2"/>
        <v>3</v>
      </c>
      <c r="C15" s="6" t="s">
        <v>2402</v>
      </c>
      <c r="D15" s="6" t="s">
        <v>2403</v>
      </c>
      <c r="E15" s="8"/>
      <c r="F15" s="7" t="s">
        <v>201</v>
      </c>
      <c r="G15" s="7" t="str">
        <f t="shared" ref="G15" si="5">IF(F15="フラグ","boolean",IF(F15="文字列","text",IF(F15="整数","integer",IF(F15="実数","numeric",""))))</f>
        <v>text</v>
      </c>
      <c r="H15" s="58"/>
      <c r="I15" s="23"/>
      <c r="J15" s="24"/>
      <c r="M15" s="4"/>
      <c r="N15" s="76"/>
      <c r="O15" s="76"/>
      <c r="P15" s="76" t="str">
        <f t="shared" ref="P15" si="6">IF(B15&lt;&gt;1,","&amp;D15,D15)</f>
        <v>,facility_id_mml</v>
      </c>
      <c r="Q15" s="76" t="str">
        <f t="shared" ref="Q15" si="7">UPPER(G15)</f>
        <v>TEXT</v>
      </c>
      <c r="R15" s="76" t="str">
        <f t="shared" ref="R15" si="8">IF(H15&lt;&gt;"","default "&amp;IF(G15="text","'"&amp;H15&amp;"'",H15),"")</f>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milscm_2023_009.sny_202310_mt_kanja.facility_id_mml IS '施設ID（MML）';</v>
      </c>
    </row>
    <row r="16" spans="1:45" s="25" customFormat="1" ht="19.5" thickBot="1">
      <c r="A16" s="4"/>
      <c r="B16" s="70">
        <f t="shared" si="2"/>
        <v>4</v>
      </c>
      <c r="C16" s="71" t="s">
        <v>4073</v>
      </c>
      <c r="D16" s="71" t="s">
        <v>1845</v>
      </c>
      <c r="E16" s="74"/>
      <c r="F16" s="72" t="s">
        <v>201</v>
      </c>
      <c r="G16" s="72" t="str">
        <f t="shared" ref="G16" si="9">IF(F16="フラグ","boolean",IF(F16="文字列","text",IF(F16="整数","integer",IF(F16="実数","numeric",""))))</f>
        <v>text</v>
      </c>
      <c r="H16" s="73"/>
      <c r="I16" s="74" t="s">
        <v>127</v>
      </c>
      <c r="J16" s="75"/>
      <c r="M16" s="4"/>
      <c r="N16" s="76"/>
      <c r="O16" s="76"/>
      <c r="P16" s="76" t="str">
        <f t="shared" si="4"/>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21</v>
      </c>
      <c r="E4" s="249"/>
      <c r="F4" s="249"/>
      <c r="G4" s="249"/>
      <c r="H4" s="249"/>
      <c r="I4" s="249"/>
      <c r="J4" s="250"/>
    </row>
    <row r="5" spans="1:45">
      <c r="B5" s="262" t="s">
        <v>3702</v>
      </c>
      <c r="C5" s="263"/>
      <c r="D5" s="272" t="str">
        <f>VLOOKUP(D7,エンティティ一覧!A1:'エンティティ一覧'!AM10204,7,FALSE)</f>
        <v>mt</v>
      </c>
      <c r="E5" s="273"/>
      <c r="F5" s="273"/>
      <c r="G5" s="273"/>
      <c r="H5" s="273"/>
      <c r="I5" s="273"/>
      <c r="J5" s="274"/>
    </row>
    <row r="6" spans="1:45">
      <c r="B6" s="262" t="s">
        <v>3703</v>
      </c>
      <c r="C6" s="263"/>
      <c r="D6" s="272" t="str">
        <f>VLOOKUP(D7,エンティティ一覧!A1:'エンティティ一覧'!AM10204,15,FALSE)</f>
        <v>ENT_21_04</v>
      </c>
      <c r="E6" s="273"/>
      <c r="F6" s="273"/>
      <c r="G6" s="273"/>
      <c r="H6" s="273"/>
      <c r="I6" s="273"/>
      <c r="J6" s="274"/>
    </row>
    <row r="7" spans="1:45">
      <c r="B7" s="262" t="s">
        <v>115</v>
      </c>
      <c r="C7" s="263"/>
      <c r="D7" s="264" t="s">
        <v>307</v>
      </c>
      <c r="E7" s="265"/>
      <c r="F7" s="265"/>
      <c r="G7" s="265"/>
      <c r="H7" s="265"/>
      <c r="I7" s="265"/>
      <c r="J7" s="266"/>
    </row>
    <row r="8" spans="1:45">
      <c r="B8" s="262" t="s">
        <v>116</v>
      </c>
      <c r="C8" s="263"/>
      <c r="D8" s="264" t="str">
        <f>エンティティ一覧!AE2&amp;"_"&amp;D5&amp;"_shikkan"</f>
        <v>sny_202310_mt_shikkan</v>
      </c>
      <c r="E8" s="265"/>
      <c r="F8" s="265"/>
      <c r="G8" s="265"/>
      <c r="H8" s="265"/>
      <c r="I8" s="265"/>
      <c r="J8" s="266"/>
    </row>
    <row r="9" spans="1:45" ht="19.5" customHeight="1" thickBot="1">
      <c r="B9" s="267" t="s">
        <v>117</v>
      </c>
      <c r="C9" s="268"/>
      <c r="D9" s="269" t="str">
        <f>D7&amp;"情報を格納するテーブル"</f>
        <v>疾患マスタ情報を格納するテーブル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milscm_2023_009.sny_202310_mt_shikkan;</v>
      </c>
      <c r="O10" s="76"/>
      <c r="P10" s="76"/>
      <c r="Q10" s="76"/>
      <c r="R10" s="76"/>
      <c r="S10" s="76"/>
      <c r="T10" s="76"/>
      <c r="AJ10" s="76" t="str">
        <f>"ALTER TABLE ONLY "&amp;エンティティ一覧!$O$2&amp;"."&amp;D$8</f>
        <v>ALTER TABLE ONLY milscm_2023_009.sny_202310_mt_shikkan</v>
      </c>
      <c r="AS10" s="76" t="str">
        <f>"ALTER TABLE "&amp;エンティティ一覧!$O$2&amp;"."&amp;D$8&amp;" OWNER TO pgmisgrp1;"</f>
        <v>ALTER TABLE milscm_2023_009.sny_202310_mt_shikkan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milscm_2023_009.sny_202310_mt_shikkan</v>
      </c>
      <c r="O11" s="76"/>
      <c r="P11" s="76"/>
      <c r="Q11" s="76"/>
      <c r="R11" s="76"/>
      <c r="S11" s="76"/>
      <c r="T11" s="76"/>
      <c r="AJ11" s="76" t="str">
        <f>"ADD CONSTRAINT "&amp;D$8&amp;"_pkey PRIMARY KEY"</f>
        <v>ADD CONSTRAINT sny_202310_mt_shikkan_pkey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milscm_2023_009.sny_202310_mt_shikkan IS '疾患マスタ';</v>
      </c>
    </row>
    <row r="13" spans="1:45" s="25" customFormat="1">
      <c r="A13" s="4"/>
      <c r="B13" s="21">
        <f>ROW()-12</f>
        <v>1</v>
      </c>
      <c r="C13" s="6" t="s">
        <v>3789</v>
      </c>
      <c r="D13" s="6" t="s">
        <v>3790</v>
      </c>
      <c r="E13" s="8"/>
      <c r="F13" s="7" t="s">
        <v>737</v>
      </c>
      <c r="G13" s="7" t="str">
        <f>IF(F13="フラグ","boolean",IF(F13="文字列","text",IF(F13="整数","integer",IF(F13="実数","numeric",""))))</f>
        <v>text</v>
      </c>
      <c r="H13" s="67"/>
      <c r="I13" s="8" t="s">
        <v>127</v>
      </c>
      <c r="J13" s="11"/>
      <c r="M13" s="4"/>
      <c r="N13" s="76"/>
      <c r="O13" s="76"/>
      <c r="P13" s="76" t="str">
        <f t="shared" ref="P13:P18" si="0">IF(B13&lt;&gt;1,","&amp;D13,D13)</f>
        <v>disp_name</v>
      </c>
      <c r="Q13" s="76" t="str">
        <f t="shared" ref="Q13:Q18" si="1">UPPER(G13)</f>
        <v>TEXT</v>
      </c>
      <c r="R13" s="76" t="str">
        <f t="shared" ref="R13:R18" si="2">IF(H13&lt;&gt;"","default "&amp;IF(G13="text","'"&amp;H13&amp;"'",H13),"")</f>
        <v/>
      </c>
      <c r="S13" s="76" t="str">
        <f t="shared" ref="S13:S18" si="3">IF(I13="○","NOT NULL","")</f>
        <v>NOT NULL</v>
      </c>
      <c r="T13" s="76" t="str">
        <f t="shared" ref="T13:T18" si="4">"-- "&amp;C13</f>
        <v>-- 表示名</v>
      </c>
      <c r="U13" s="4"/>
      <c r="AA13" s="4"/>
      <c r="AB13" s="4"/>
      <c r="AC13" s="4"/>
      <c r="AD13" s="4"/>
      <c r="AE13" s="4"/>
      <c r="AF13" s="4"/>
      <c r="AG13" s="4"/>
      <c r="AH13" s="4"/>
      <c r="AI13" s="4"/>
      <c r="AJ13" s="76" t="str">
        <f>IF(E13="○",IF(COUNTA(E13:E$18)=1,"",",")&amp;D13,"")</f>
        <v/>
      </c>
      <c r="AK13" s="4"/>
      <c r="AL13" s="4"/>
      <c r="AM13" s="4"/>
      <c r="AN13" s="4"/>
      <c r="AO13" s="4"/>
      <c r="AP13" s="4"/>
      <c r="AQ13" s="4"/>
      <c r="AR13" s="4"/>
      <c r="AS13" s="76" t="str">
        <f>"COMMENT ON COLUMN "&amp;エンティティ一覧!$O$2&amp;"."&amp;D$8&amp;"."&amp;D13&amp;" IS '"&amp;C13&amp;"';"</f>
        <v>COMMENT ON COLUMN milscm_2023_009.sny_202310_mt_shikkan.disp_name IS '表示名';</v>
      </c>
    </row>
    <row r="14" spans="1:45" s="25" customFormat="1">
      <c r="A14" s="4"/>
      <c r="B14" s="21">
        <f>ROW()-12</f>
        <v>2</v>
      </c>
      <c r="C14" s="6" t="s">
        <v>897</v>
      </c>
      <c r="D14" s="6" t="s">
        <v>894</v>
      </c>
      <c r="E14" s="8"/>
      <c r="F14" s="7" t="s">
        <v>737</v>
      </c>
      <c r="G14" s="7" t="str">
        <f t="shared" ref="G14:G17" si="5">IF(F14="フラグ","boolean",IF(F14="文字列","text",IF(F14="整数","integer",IF(F14="実数","numeric",""))))</f>
        <v>text</v>
      </c>
      <c r="H14" s="67"/>
      <c r="I14" s="8" t="s">
        <v>127</v>
      </c>
      <c r="J14" s="11"/>
      <c r="M14" s="4"/>
      <c r="N14" s="76"/>
      <c r="O14" s="76"/>
      <c r="P14" s="76" t="str">
        <f t="shared" si="0"/>
        <v>,icd10_s_cd</v>
      </c>
      <c r="Q14" s="76" t="str">
        <f t="shared" si="1"/>
        <v>TEXT</v>
      </c>
      <c r="R14" s="76" t="str">
        <f t="shared" si="2"/>
        <v/>
      </c>
      <c r="S14" s="76" t="str">
        <f t="shared" si="3"/>
        <v>NOT NULL</v>
      </c>
      <c r="T14" s="76" t="str">
        <f t="shared" si="4"/>
        <v>-- ICD10小区分</v>
      </c>
      <c r="U14" s="4"/>
      <c r="AA14" s="4"/>
      <c r="AB14" s="4"/>
      <c r="AC14" s="4"/>
      <c r="AD14" s="4"/>
      <c r="AE14" s="4"/>
      <c r="AF14" s="4"/>
      <c r="AG14" s="4"/>
      <c r="AH14" s="4"/>
      <c r="AI14" s="4"/>
      <c r="AJ14" s="76" t="str">
        <f>IF(E14="○",IF(COUNTA(E$14:E14)=1,"",",")&amp;D14,"")</f>
        <v/>
      </c>
      <c r="AK14" s="4"/>
      <c r="AL14" s="4"/>
      <c r="AM14" s="4"/>
      <c r="AN14" s="4"/>
      <c r="AO14" s="4"/>
      <c r="AP14" s="4"/>
      <c r="AQ14" s="4"/>
      <c r="AR14" s="4"/>
      <c r="AS14" s="76" t="str">
        <f>"COMMENT ON COLUMN "&amp;エンティティ一覧!$O$2&amp;"."&amp;D$8&amp;"."&amp;D14&amp;" IS '"&amp;C14&amp;"';"</f>
        <v>COMMENT ON COLUMN milscm_2023_009.sny_202310_mt_shikkan.icd10_s_cd IS 'ICD10小区分';</v>
      </c>
    </row>
    <row r="15" spans="1:45" s="25" customFormat="1">
      <c r="A15" s="4"/>
      <c r="B15" s="21">
        <f t="shared" ref="B15:B19" si="6">ROW()-12</f>
        <v>3</v>
      </c>
      <c r="C15" s="6" t="s">
        <v>896</v>
      </c>
      <c r="D15" s="6" t="s">
        <v>895</v>
      </c>
      <c r="E15" s="8"/>
      <c r="F15" s="7" t="s">
        <v>737</v>
      </c>
      <c r="G15" s="7" t="str">
        <f t="shared" si="5"/>
        <v>text</v>
      </c>
      <c r="H15" s="67"/>
      <c r="I15" s="8" t="s">
        <v>127</v>
      </c>
      <c r="J15" s="11"/>
      <c r="M15" s="4"/>
      <c r="N15" s="76"/>
      <c r="O15" s="76"/>
      <c r="P15" s="76" t="str">
        <f t="shared" si="0"/>
        <v>,icd10_s_name</v>
      </c>
      <c r="Q15" s="76" t="str">
        <f t="shared" si="1"/>
        <v>TEXT</v>
      </c>
      <c r="R15" s="76" t="str">
        <f t="shared" si="2"/>
        <v/>
      </c>
      <c r="S15" s="76" t="str">
        <f t="shared" si="3"/>
        <v>NOT NULL</v>
      </c>
      <c r="T15" s="76" t="str">
        <f t="shared" si="4"/>
        <v>-- ICD10小区分名称</v>
      </c>
      <c r="U15" s="4"/>
      <c r="AA15" s="4"/>
      <c r="AB15" s="4"/>
      <c r="AC15" s="4"/>
      <c r="AD15" s="4"/>
      <c r="AE15" s="4"/>
      <c r="AF15" s="4"/>
      <c r="AG15" s="4"/>
      <c r="AH15" s="4"/>
      <c r="AI15" s="4"/>
      <c r="AJ15" s="76" t="str">
        <f>IF(E15="○",IF(COUNTA(E$14:E15)=1,"",",")&amp;D15,"")</f>
        <v/>
      </c>
      <c r="AK15" s="4"/>
      <c r="AL15" s="4"/>
      <c r="AM15" s="4"/>
      <c r="AN15" s="4"/>
      <c r="AO15" s="4"/>
      <c r="AP15" s="4"/>
      <c r="AQ15" s="4"/>
      <c r="AR15" s="4"/>
      <c r="AS15" s="76" t="str">
        <f>"COMMENT ON COLUMN "&amp;エンティティ一覧!$O$2&amp;"."&amp;D$8&amp;"."&amp;D15&amp;" IS '"&amp;C15&amp;"';"</f>
        <v>COMMENT ON COLUMN milscm_2023_009.sny_202310_mt_shikkan.icd10_s_name IS 'ICD10小区分名称';</v>
      </c>
    </row>
    <row r="16" spans="1:45" s="25" customFormat="1">
      <c r="A16" s="4"/>
      <c r="B16" s="21">
        <f t="shared" si="6"/>
        <v>4</v>
      </c>
      <c r="C16" s="6" t="s">
        <v>3853</v>
      </c>
      <c r="D16" s="6" t="s">
        <v>3854</v>
      </c>
      <c r="E16" s="8" t="s">
        <v>127</v>
      </c>
      <c r="F16" s="7" t="s">
        <v>737</v>
      </c>
      <c r="G16" s="7" t="str">
        <f t="shared" si="5"/>
        <v>text</v>
      </c>
      <c r="H16" s="67"/>
      <c r="I16" s="8" t="s">
        <v>127</v>
      </c>
      <c r="J16" s="11"/>
      <c r="M16" s="4"/>
      <c r="N16" s="76"/>
      <c r="O16" s="76"/>
      <c r="P16" s="76" t="str">
        <f t="shared" si="0"/>
        <v>,icd10_ss_cd</v>
      </c>
      <c r="Q16" s="76" t="str">
        <f t="shared" si="1"/>
        <v>TEXT</v>
      </c>
      <c r="R16" s="76" t="str">
        <f t="shared" si="2"/>
        <v/>
      </c>
      <c r="S16" s="76" t="str">
        <f t="shared" si="3"/>
        <v>NOT NULL</v>
      </c>
      <c r="T16" s="76" t="str">
        <f t="shared" si="4"/>
        <v>-- ICD10細区分</v>
      </c>
      <c r="U16" s="4"/>
      <c r="AA16" s="4"/>
      <c r="AB16" s="4"/>
      <c r="AC16" s="4"/>
      <c r="AD16" s="4"/>
      <c r="AE16" s="4"/>
      <c r="AF16" s="4"/>
      <c r="AG16" s="4"/>
      <c r="AH16" s="4"/>
      <c r="AI16" s="4"/>
      <c r="AJ16" s="76" t="str">
        <f>IF(E16="○",IF(COUNTA(E$15:E16)=1,"",",")&amp;D16,"")</f>
        <v>icd10_ss_cd</v>
      </c>
      <c r="AK16" s="4"/>
      <c r="AL16" s="4"/>
      <c r="AM16" s="4"/>
      <c r="AN16" s="4"/>
      <c r="AO16" s="4"/>
      <c r="AP16" s="4"/>
      <c r="AQ16" s="4"/>
      <c r="AR16" s="4"/>
      <c r="AS16" s="76" t="str">
        <f>"COMMENT ON COLUMN "&amp;エンティティ一覧!$O$2&amp;"."&amp;D$8&amp;"."&amp;D16&amp;" IS '"&amp;C16&amp;"';"</f>
        <v>COMMENT ON COLUMN milscm_2023_009.sny_202310_mt_shikkan.icd10_ss_cd IS 'ICD10細区分';</v>
      </c>
    </row>
    <row r="17" spans="1:52" s="25" customFormat="1">
      <c r="A17" s="4"/>
      <c r="B17" s="21">
        <f t="shared" si="6"/>
        <v>5</v>
      </c>
      <c r="C17" s="6" t="s">
        <v>4075</v>
      </c>
      <c r="D17" s="6" t="s">
        <v>3855</v>
      </c>
      <c r="E17" s="8"/>
      <c r="F17" s="7" t="s">
        <v>737</v>
      </c>
      <c r="G17" s="7" t="str">
        <f t="shared" si="5"/>
        <v>text</v>
      </c>
      <c r="H17" s="67"/>
      <c r="I17" s="8" t="s">
        <v>127</v>
      </c>
      <c r="J17" s="11"/>
      <c r="M17" s="4"/>
      <c r="N17" s="76"/>
      <c r="O17" s="76"/>
      <c r="P17" s="76" t="str">
        <f t="shared" si="0"/>
        <v>,icd10_ss_name</v>
      </c>
      <c r="Q17" s="76" t="str">
        <f t="shared" si="1"/>
        <v>TEXT</v>
      </c>
      <c r="R17" s="76" t="str">
        <f t="shared" si="2"/>
        <v/>
      </c>
      <c r="S17" s="76" t="str">
        <f t="shared" si="3"/>
        <v>NOT NULL</v>
      </c>
      <c r="T17" s="76" t="str">
        <f t="shared" si="4"/>
        <v>-- ICD10細区分名称</v>
      </c>
      <c r="U17" s="4"/>
      <c r="AA17" s="4"/>
      <c r="AB17" s="4"/>
      <c r="AC17" s="4"/>
      <c r="AD17" s="4"/>
      <c r="AE17" s="4"/>
      <c r="AF17" s="4"/>
      <c r="AG17" s="4"/>
      <c r="AH17" s="4"/>
      <c r="AI17" s="4"/>
      <c r="AJ17" s="76" t="str">
        <f>IF(E17="○",IF(COUNTA(E$15:E17)=1,"",",")&amp;D17,"")</f>
        <v/>
      </c>
      <c r="AK17" s="4"/>
      <c r="AL17" s="4"/>
      <c r="AM17" s="4"/>
      <c r="AN17" s="4"/>
      <c r="AO17" s="4"/>
      <c r="AP17" s="4"/>
      <c r="AQ17" s="4"/>
      <c r="AR17" s="4"/>
      <c r="AS17" s="76" t="str">
        <f>"COMMENT ON COLUMN "&amp;エンティティ一覧!$O$2&amp;"."&amp;D$8&amp;"."&amp;D17&amp;" IS '"&amp;C17&amp;"';"</f>
        <v>COMMENT ON COLUMN milscm_2023_009.sny_202310_mt_shikkan.icd10_ss_name IS 'ICD10細区分名称';</v>
      </c>
    </row>
    <row r="18" spans="1:52" s="25" customFormat="1">
      <c r="A18" s="4"/>
      <c r="B18" s="21">
        <f>ROW()-12</f>
        <v>6</v>
      </c>
      <c r="C18" s="6" t="s">
        <v>3789</v>
      </c>
      <c r="D18" s="6" t="s">
        <v>3790</v>
      </c>
      <c r="E18" s="8"/>
      <c r="F18" s="7" t="s">
        <v>737</v>
      </c>
      <c r="G18" s="7" t="str">
        <f>IF(F18="フラグ","boolean",IF(F18="文字列","text",IF(F18="整数","integer",IF(F18="実数","numeric",""))))</f>
        <v>text</v>
      </c>
      <c r="H18" s="67"/>
      <c r="I18" s="8" t="s">
        <v>127</v>
      </c>
      <c r="J18" s="11"/>
      <c r="M18" s="4"/>
      <c r="N18" s="76"/>
      <c r="O18" s="76"/>
      <c r="P18" s="76" t="str">
        <f t="shared" si="0"/>
        <v>,disp_name</v>
      </c>
      <c r="Q18" s="76" t="str">
        <f t="shared" si="1"/>
        <v>TEXT</v>
      </c>
      <c r="R18" s="76" t="str">
        <f t="shared" si="2"/>
        <v/>
      </c>
      <c r="S18" s="76" t="str">
        <f t="shared" si="3"/>
        <v>NOT NULL</v>
      </c>
      <c r="T18" s="76" t="str">
        <f t="shared" si="4"/>
        <v>-- 表示名</v>
      </c>
      <c r="U18" s="4"/>
      <c r="AA18" s="4"/>
      <c r="AB18" s="4"/>
      <c r="AC18" s="4"/>
      <c r="AD18" s="4"/>
      <c r="AE18" s="4"/>
      <c r="AF18" s="4"/>
      <c r="AG18" s="4"/>
      <c r="AH18" s="4"/>
      <c r="AI18" s="4"/>
      <c r="AJ18" s="76" t="str">
        <f>IF(E18="○",IF(COUNTA(E$18:E18)=1,"",",")&amp;D18,"")</f>
        <v/>
      </c>
      <c r="AK18" s="4"/>
      <c r="AL18" s="4"/>
      <c r="AM18" s="4"/>
      <c r="AN18" s="4"/>
      <c r="AO18" s="4"/>
      <c r="AP18" s="4"/>
      <c r="AQ18" s="4"/>
      <c r="AR18" s="4"/>
      <c r="AS18" s="76" t="str">
        <f>"COMMENT ON COLUMN "&amp;エンティティ一覧!$O$2&amp;"."&amp;D$8&amp;"."&amp;D18&amp;" IS '"&amp;C18&amp;"';"</f>
        <v>COMMENT ON COLUMN milscm_2023_009.sny_202310_mt_shikkan.disp_name IS '表示名';</v>
      </c>
    </row>
    <row r="19" spans="1:52" s="25" customFormat="1" ht="19.5" thickBot="1">
      <c r="A19" s="4"/>
      <c r="B19" s="66">
        <f t="shared" si="6"/>
        <v>7</v>
      </c>
      <c r="C19" s="28" t="s">
        <v>4076</v>
      </c>
      <c r="D19" s="28" t="s">
        <v>4077</v>
      </c>
      <c r="E19" s="29"/>
      <c r="F19" s="56" t="s">
        <v>4663</v>
      </c>
      <c r="G19" s="56" t="str">
        <f t="shared" ref="G19" si="7">IF(F19="フラグ","boolean",IF(F19="文字列","text",IF(F19="整数","integer",IF(F19="実数","numeric",""))))</f>
        <v>boolean</v>
      </c>
      <c r="H19" s="68"/>
      <c r="I19" s="29" t="s">
        <v>127</v>
      </c>
      <c r="J19" s="69" t="s">
        <v>4662</v>
      </c>
      <c r="N19" s="76"/>
      <c r="O19" s="76"/>
      <c r="P19" s="76" t="str">
        <f t="shared" ref="P19" si="8">IF(B19&lt;&gt;1,","&amp;D19,D19)</f>
        <v>,main_f</v>
      </c>
      <c r="Q19" s="76" t="str">
        <f t="shared" ref="Q19" si="9">UPPER(G19)</f>
        <v>BOOLEAN</v>
      </c>
      <c r="R19" s="76" t="str">
        <f t="shared" ref="R19" si="10">IF(H19&lt;&gt;"","default "&amp;IF(G19="text","'"&amp;H19&amp;"'",H19),"")</f>
        <v/>
      </c>
      <c r="S19" s="76" t="str">
        <f t="shared" ref="S19" si="11">IF(I19="○","NOT NULL","")</f>
        <v>NOT NULL</v>
      </c>
      <c r="T19" s="76" t="str">
        <f t="shared" ref="T19" si="12">"-- "&amp;C19</f>
        <v>-- 主傷病フラグ</v>
      </c>
      <c r="U19" s="4"/>
      <c r="AA19" s="4"/>
      <c r="AB19" s="4"/>
      <c r="AC19" s="4"/>
      <c r="AD19" s="4"/>
      <c r="AE19" s="4"/>
      <c r="AF19" s="4"/>
      <c r="AG19" s="4"/>
      <c r="AH19" s="4"/>
      <c r="AI19" s="4"/>
      <c r="AJ19" s="76" t="str">
        <f>IF(E19="○",IF(COUNTA(E$14:E19)=1,"",",")&amp;D19,"")</f>
        <v/>
      </c>
      <c r="AK19" s="4"/>
      <c r="AL19" s="4"/>
      <c r="AM19" s="4"/>
      <c r="AN19" s="4"/>
      <c r="AO19" s="4"/>
      <c r="AP19" s="4"/>
      <c r="AQ19" s="4"/>
      <c r="AR19" s="4"/>
      <c r="AS19" s="76" t="str">
        <f>"COMMENT ON COLUMN "&amp;エンティティ一覧!$O$2&amp;"."&amp;D$8&amp;"."&amp;D19&amp;" IS '"&amp;C19&amp;"';"</f>
        <v>COMMENT ON COLUMN milscm_2023_009.sny_202310_mt_shikkan.main_f IS '主傷病フラグ';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21</v>
      </c>
      <c r="E4" s="249"/>
      <c r="F4" s="249"/>
      <c r="G4" s="249"/>
      <c r="H4" s="249"/>
      <c r="I4" s="249"/>
      <c r="J4" s="250"/>
    </row>
    <row r="5" spans="1:45">
      <c r="B5" s="262" t="s">
        <v>3702</v>
      </c>
      <c r="C5" s="263"/>
      <c r="D5" s="272" t="str">
        <f>VLOOKUP(D7,エンティティ一覧!A1:'エンティティ一覧'!AM10204,7,FALSE)</f>
        <v>mt</v>
      </c>
      <c r="E5" s="273"/>
      <c r="F5" s="273"/>
      <c r="G5" s="273"/>
      <c r="H5" s="273"/>
      <c r="I5" s="273"/>
      <c r="J5" s="274"/>
    </row>
    <row r="6" spans="1:45">
      <c r="B6" s="262" t="s">
        <v>3703</v>
      </c>
      <c r="C6" s="263"/>
      <c r="D6" s="272" t="str">
        <f>VLOOKUP(D7,エンティティ一覧!A1:'エンティティ一覧'!AM10204,15,FALSE)</f>
        <v>ENT_21_05</v>
      </c>
      <c r="E6" s="273"/>
      <c r="F6" s="273"/>
      <c r="G6" s="273"/>
      <c r="H6" s="273"/>
      <c r="I6" s="273"/>
      <c r="J6" s="274"/>
    </row>
    <row r="7" spans="1:45">
      <c r="B7" s="262" t="s">
        <v>115</v>
      </c>
      <c r="C7" s="263"/>
      <c r="D7" s="264" t="s">
        <v>4086</v>
      </c>
      <c r="E7" s="265"/>
      <c r="F7" s="265"/>
      <c r="G7" s="265"/>
      <c r="H7" s="265"/>
      <c r="I7" s="265"/>
      <c r="J7" s="266"/>
    </row>
    <row r="8" spans="1:45">
      <c r="B8" s="262" t="s">
        <v>116</v>
      </c>
      <c r="C8" s="263"/>
      <c r="D8" s="264" t="str">
        <f>エンティティ一覧!AE2&amp;"_"&amp;D5&amp;"_yakuzai"</f>
        <v>sny_202310_mt_yakuzai</v>
      </c>
      <c r="E8" s="265"/>
      <c r="F8" s="265"/>
      <c r="G8" s="265"/>
      <c r="H8" s="265"/>
      <c r="I8" s="265"/>
      <c r="J8" s="266"/>
    </row>
    <row r="9" spans="1:45" ht="19.5" customHeight="1" thickBot="1">
      <c r="B9" s="267" t="s">
        <v>117</v>
      </c>
      <c r="C9" s="268"/>
      <c r="D9" s="269" t="str">
        <f>D7&amp;"情報を格納するテーブル"</f>
        <v>薬剤マスタ情報を格納するテーブル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milscm_2023_009.sny_202310_mt_yakuzai;</v>
      </c>
      <c r="O10" s="76"/>
      <c r="P10" s="76"/>
      <c r="Q10" s="76"/>
      <c r="R10" s="76"/>
      <c r="S10" s="76"/>
      <c r="T10" s="76"/>
      <c r="AJ10" s="76" t="str">
        <f>"ALTER TABLE ONLY "&amp;エンティティ一覧!$O$2&amp;"."&amp;D$8</f>
        <v>ALTER TABLE ONLY milscm_2023_009.sny_202310_mt_yakuzai</v>
      </c>
      <c r="AS10" s="76" t="str">
        <f>"ALTER TABLE "&amp;エンティティ一覧!$O$2&amp;"."&amp;D$8&amp;" OWNER TO pgmisgrp1;"</f>
        <v>ALTER TABLE milscm_2023_009.sny_202310_mt_yakuzai OWNER TO pgmisgrp1;</v>
      </c>
    </row>
    <row r="11" spans="1:45" ht="19.5" thickBot="1">
      <c r="B11" s="20" t="s">
        <v>118</v>
      </c>
      <c r="C11" s="19"/>
      <c r="D11" s="5"/>
      <c r="E11" s="5"/>
      <c r="F11" s="5"/>
      <c r="G11" s="5"/>
      <c r="H11" s="5"/>
      <c r="I11" s="5"/>
      <c r="J11" s="18"/>
      <c r="N11" s="76" t="str">
        <f>"CREATE TABLE  "&amp;エンティティ一覧!$O$2&amp;"."&amp;D$8</f>
        <v>CREATE TABLE  milscm_2023_009.sny_202310_mt_yakuzai</v>
      </c>
      <c r="O11" s="76"/>
      <c r="P11" s="76"/>
      <c r="Q11" s="76"/>
      <c r="R11" s="76"/>
      <c r="S11" s="76"/>
      <c r="T11" s="76"/>
      <c r="AJ11" s="76" t="str">
        <f>"ADD CONSTRAINT "&amp;D$8&amp;"_pkey PRIMARY KEY"</f>
        <v>ADD CONSTRAINT sny_202310_mt_yakuzai_pkey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milscm_2023_009.sny_202310_mt_yakuzai IS '薬剤マスタ';</v>
      </c>
    </row>
    <row r="13" spans="1:45" s="25" customFormat="1">
      <c r="A13" s="4"/>
      <c r="B13" s="21">
        <f t="shared" ref="B13:B22" si="0">ROW()-12</f>
        <v>1</v>
      </c>
      <c r="C13" s="6" t="s">
        <v>1157</v>
      </c>
      <c r="D13" s="6" t="s">
        <v>4078</v>
      </c>
      <c r="E13" s="8" t="s">
        <v>127</v>
      </c>
      <c r="F13" s="8" t="s">
        <v>737</v>
      </c>
      <c r="G13" s="7" t="str">
        <f t="shared" ref="G13:G22" si="1">IF(F13="フラグ","boolean",IF(F13="文字列","text",IF(F13="整数","integer",IF(F13="実数","numeric",""))))</f>
        <v>text</v>
      </c>
      <c r="H13" s="67"/>
      <c r="I13" s="8" t="s">
        <v>127</v>
      </c>
      <c r="J13" s="11"/>
      <c r="M13" s="4"/>
      <c r="N13" s="76"/>
      <c r="O13" s="76"/>
      <c r="P13" s="76" t="str">
        <f t="shared" ref="P13:P22" si="2">IF(B13&lt;&gt;1,","&amp;D13,D13)</f>
        <v>iyakuhin_cd</v>
      </c>
      <c r="Q13" s="76" t="str">
        <f t="shared" ref="Q13:Q22" si="3">UPPER(G13)</f>
        <v>TEXT</v>
      </c>
      <c r="R13" s="76" t="str">
        <f t="shared" ref="R13:R22" si="4">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milscm_2023_009.sny_202310_mt_yakuzai.iyakuhin_cd IS '医薬品コード';</v>
      </c>
    </row>
    <row r="14" spans="1:45" s="25" customFormat="1">
      <c r="A14" s="4"/>
      <c r="B14" s="21">
        <f t="shared" si="0"/>
        <v>2</v>
      </c>
      <c r="C14" s="98" t="s">
        <v>4079</v>
      </c>
      <c r="D14" s="98" t="s">
        <v>4080</v>
      </c>
      <c r="E14" s="99"/>
      <c r="F14" s="99" t="s">
        <v>3816</v>
      </c>
      <c r="G14" s="7" t="str">
        <f t="shared" si="1"/>
        <v>text</v>
      </c>
      <c r="H14" s="67"/>
      <c r="I14" s="8" t="s">
        <v>127</v>
      </c>
      <c r="J14" s="11"/>
      <c r="M14" s="4"/>
      <c r="N14" s="76"/>
      <c r="O14" s="76"/>
      <c r="P14" s="76" t="str">
        <f t="shared" si="2"/>
        <v>,iyakuhin_name</v>
      </c>
      <c r="Q14" s="76" t="str">
        <f t="shared" si="3"/>
        <v>TEXT</v>
      </c>
      <c r="R14" s="76" t="str">
        <f t="shared" si="4"/>
        <v/>
      </c>
      <c r="S14" s="76" t="str">
        <f>IF(I14="○","NOT NULL","")</f>
        <v>NOT NULL</v>
      </c>
      <c r="T14" s="76" t="str">
        <f>"-- "&amp;C14</f>
        <v>-- 医薬品名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milscm_2023_009.sny_202310_mt_yakuzai.iyakuhin_name IS '医薬品名';</v>
      </c>
    </row>
    <row r="15" spans="1:45" s="25" customFormat="1">
      <c r="A15" s="4"/>
      <c r="B15" s="21">
        <f t="shared" si="0"/>
        <v>3</v>
      </c>
      <c r="C15" s="98" t="s">
        <v>4342</v>
      </c>
      <c r="D15" s="98" t="s">
        <v>4343</v>
      </c>
      <c r="E15" s="99"/>
      <c r="F15" s="99" t="s">
        <v>3816</v>
      </c>
      <c r="G15" s="7" t="str">
        <f t="shared" ref="G15" si="5">IF(F15="フラグ","boolean",IF(F15="文字列","text",IF(F15="整数","integer",IF(F15="実数","numeric",""))))</f>
        <v>text</v>
      </c>
      <c r="H15" s="67"/>
      <c r="I15" s="8" t="s">
        <v>127</v>
      </c>
      <c r="J15" s="11"/>
      <c r="M15" s="4"/>
      <c r="N15" s="76"/>
      <c r="O15" s="76"/>
      <c r="P15" s="76" t="str">
        <f t="shared" ref="P15" si="6">IF(B15&lt;&gt;1,","&amp;D15,D15)</f>
        <v>,iyakuhin_ippan_name</v>
      </c>
      <c r="Q15" s="76" t="str">
        <f t="shared" ref="Q15" si="7">UPPER(G15)</f>
        <v>TEXT</v>
      </c>
      <c r="R15" s="76" t="str">
        <f t="shared" ref="R15" si="8">IF(H15&lt;&gt;"","default "&amp;IF(G15="text","'"&amp;H15&amp;"'",H15),"")</f>
        <v/>
      </c>
      <c r="S15" s="76" t="str">
        <f>IF(I15="○","NOT NULL","")</f>
        <v>NOT NULL</v>
      </c>
      <c r="T15" s="76" t="str">
        <f>"-- "&amp;C15</f>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milscm_2023_009.sny_202310_mt_yakuzai.iyakuhin_ippan_name IS '医薬品一般名';</v>
      </c>
    </row>
    <row r="16" spans="1:45" s="25" customFormat="1">
      <c r="A16" s="4"/>
      <c r="B16" s="21">
        <f t="shared" si="0"/>
        <v>4</v>
      </c>
      <c r="C16" s="98" t="s">
        <v>4081</v>
      </c>
      <c r="D16" s="98" t="s">
        <v>4082</v>
      </c>
      <c r="E16" s="99"/>
      <c r="F16" s="99" t="s">
        <v>3816</v>
      </c>
      <c r="G16" s="7" t="str">
        <f t="shared" si="1"/>
        <v>text</v>
      </c>
      <c r="H16" s="67"/>
      <c r="I16" s="8" t="s">
        <v>127</v>
      </c>
      <c r="J16" s="11"/>
      <c r="N16" s="76"/>
      <c r="O16" s="76"/>
      <c r="P16" s="76" t="str">
        <f t="shared" si="2"/>
        <v>,disp_name</v>
      </c>
      <c r="Q16" s="76" t="str">
        <f t="shared" si="3"/>
        <v>TEXT</v>
      </c>
      <c r="R16" s="76" t="str">
        <f t="shared" si="4"/>
        <v/>
      </c>
      <c r="S16" s="76" t="str">
        <f t="shared" ref="S16:S22" si="9">IF(I16="○","NOT NULL","")</f>
        <v>NOT NULL</v>
      </c>
      <c r="T16" s="76" t="str">
        <f t="shared" ref="T16:T22" si="10">"-- "&amp;C16</f>
        <v>-- 表示名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milscm_2023_009.sny_202310_mt_yakuzai.disp_name IS '表示名';</v>
      </c>
    </row>
    <row r="17" spans="1:52" s="25" customFormat="1">
      <c r="A17" s="4"/>
      <c r="B17" s="21">
        <f t="shared" si="0"/>
        <v>5</v>
      </c>
      <c r="C17" s="6" t="s">
        <v>2030</v>
      </c>
      <c r="D17" s="6" t="s">
        <v>2031</v>
      </c>
      <c r="E17" s="8"/>
      <c r="F17" s="7" t="s">
        <v>4083</v>
      </c>
      <c r="G17" s="7" t="str">
        <f t="shared" si="1"/>
        <v>text</v>
      </c>
      <c r="H17" s="67"/>
      <c r="I17" s="8" t="s">
        <v>127</v>
      </c>
      <c r="J17" s="11"/>
      <c r="N17" s="76"/>
      <c r="O17" s="76"/>
      <c r="P17" s="76" t="str">
        <f t="shared" si="2"/>
        <v>,haigozai_f</v>
      </c>
      <c r="Q17" s="76" t="str">
        <f t="shared" si="3"/>
        <v>TEXT</v>
      </c>
      <c r="R17" s="76" t="str">
        <f t="shared" si="4"/>
        <v/>
      </c>
      <c r="S17" s="76" t="str">
        <f t="shared" si="9"/>
        <v>NOT NULL</v>
      </c>
      <c r="T17" s="76" t="str">
        <f t="shared" si="10"/>
        <v>-- 配合剤フラグ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milscm_2023_009.sny_202310_mt_yakuzai.haigozai_f IS '配合剤フラグ';</v>
      </c>
    </row>
    <row r="18" spans="1:52" s="25" customFormat="1">
      <c r="A18" s="4"/>
      <c r="B18" s="21">
        <f t="shared" si="0"/>
        <v>6</v>
      </c>
      <c r="C18" s="6" t="s">
        <v>2034</v>
      </c>
      <c r="D18" s="6" t="s">
        <v>2682</v>
      </c>
      <c r="E18" s="8" t="s">
        <v>127</v>
      </c>
      <c r="F18" s="7" t="s">
        <v>4083</v>
      </c>
      <c r="G18" s="7" t="str">
        <f t="shared" si="1"/>
        <v>text</v>
      </c>
      <c r="H18" s="67"/>
      <c r="I18" s="8" t="s">
        <v>127</v>
      </c>
      <c r="J18" s="11"/>
      <c r="N18" s="76"/>
      <c r="O18" s="76"/>
      <c r="P18" s="76" t="str">
        <f t="shared" si="2"/>
        <v>,seibun_cd</v>
      </c>
      <c r="Q18" s="76" t="str">
        <f t="shared" si="3"/>
        <v>TEXT</v>
      </c>
      <c r="R18" s="76" t="str">
        <f t="shared" si="4"/>
        <v/>
      </c>
      <c r="S18" s="76" t="str">
        <f t="shared" si="9"/>
        <v>NOT NULL</v>
      </c>
      <c r="T18" s="76" t="str">
        <f t="shared" si="10"/>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milscm_2023_009.sny_202310_mt_yakuzai.seibun_cd IS '成分コード';</v>
      </c>
    </row>
    <row r="19" spans="1:52" s="25" customFormat="1">
      <c r="A19" s="4"/>
      <c r="B19" s="21">
        <f t="shared" si="0"/>
        <v>7</v>
      </c>
      <c r="C19" s="6" t="s">
        <v>2059</v>
      </c>
      <c r="D19" s="6" t="s">
        <v>2060</v>
      </c>
      <c r="E19" s="8"/>
      <c r="F19" s="7" t="s">
        <v>4083</v>
      </c>
      <c r="G19" s="7" t="str">
        <f t="shared" si="1"/>
        <v>text</v>
      </c>
      <c r="H19" s="67"/>
      <c r="I19" s="8" t="s">
        <v>127</v>
      </c>
      <c r="J19" s="11"/>
      <c r="N19" s="76"/>
      <c r="O19" s="76"/>
      <c r="P19" s="76" t="str">
        <f t="shared" si="2"/>
        <v>,seibun_name</v>
      </c>
      <c r="Q19" s="76" t="str">
        <f t="shared" si="3"/>
        <v>TEXT</v>
      </c>
      <c r="R19" s="76" t="str">
        <f t="shared" si="4"/>
        <v/>
      </c>
      <c r="S19" s="76" t="str">
        <f t="shared" si="9"/>
        <v>NOT NULL</v>
      </c>
      <c r="T19" s="76" t="str">
        <f t="shared" si="10"/>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milscm_2023_009.sny_202310_mt_yakuzai.seibun_name IS '成分名';</v>
      </c>
    </row>
    <row r="20" spans="1:52" s="25" customFormat="1">
      <c r="A20" s="4"/>
      <c r="B20" s="21">
        <f t="shared" si="0"/>
        <v>8</v>
      </c>
      <c r="C20" s="6" t="s">
        <v>2036</v>
      </c>
      <c r="D20" s="6" t="s">
        <v>2037</v>
      </c>
      <c r="E20" s="8"/>
      <c r="F20" s="7" t="s">
        <v>3839</v>
      </c>
      <c r="G20" s="7" t="str">
        <f t="shared" si="1"/>
        <v>numeric</v>
      </c>
      <c r="H20" s="67"/>
      <c r="I20" s="8"/>
      <c r="J20" s="11"/>
      <c r="N20" s="76"/>
      <c r="O20" s="76"/>
      <c r="P20" s="76" t="str">
        <f t="shared" si="2"/>
        <v>,seibunryo</v>
      </c>
      <c r="Q20" s="76" t="str">
        <f t="shared" si="3"/>
        <v>NUMERIC</v>
      </c>
      <c r="R20" s="76" t="str">
        <f t="shared" si="4"/>
        <v/>
      </c>
      <c r="S20" s="76" t="str">
        <f t="shared" si="9"/>
        <v/>
      </c>
      <c r="T20" s="76" t="str">
        <f t="shared" si="10"/>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milscm_2023_009.sny_202310_mt_yakuzai.seibunryo IS '成分量';</v>
      </c>
    </row>
    <row r="21" spans="1:52" s="25" customFormat="1">
      <c r="A21" s="4"/>
      <c r="B21" s="21">
        <f t="shared" si="0"/>
        <v>9</v>
      </c>
      <c r="C21" s="6" t="s">
        <v>2038</v>
      </c>
      <c r="D21" s="6" t="s">
        <v>2683</v>
      </c>
      <c r="E21" s="8"/>
      <c r="F21" s="7" t="s">
        <v>4083</v>
      </c>
      <c r="G21" s="7" t="str">
        <f t="shared" si="1"/>
        <v>text</v>
      </c>
      <c r="H21" s="67"/>
      <c r="I21" s="8"/>
      <c r="J21" s="11"/>
      <c r="N21" s="76"/>
      <c r="O21" s="76"/>
      <c r="P21" s="76" t="str">
        <f t="shared" si="2"/>
        <v>,seibun_unit_cd</v>
      </c>
      <c r="Q21" s="76" t="str">
        <f t="shared" si="3"/>
        <v>TEXT</v>
      </c>
      <c r="R21" s="76" t="str">
        <f t="shared" si="4"/>
        <v/>
      </c>
      <c r="S21" s="76" t="str">
        <f t="shared" si="9"/>
        <v/>
      </c>
      <c r="T21" s="76" t="str">
        <f t="shared" si="10"/>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milscm_2023_009.sny_202310_mt_yakuzai.seibun_unit_cd IS '成分単位コード';</v>
      </c>
    </row>
    <row r="22" spans="1:52" s="25" customFormat="1" ht="19.5" thickBot="1">
      <c r="A22" s="4"/>
      <c r="B22" s="66">
        <f t="shared" si="0"/>
        <v>10</v>
      </c>
      <c r="C22" s="28" t="s">
        <v>2684</v>
      </c>
      <c r="D22" s="28" t="s">
        <v>2685</v>
      </c>
      <c r="E22" s="29"/>
      <c r="F22" s="56" t="s">
        <v>4083</v>
      </c>
      <c r="G22" s="56" t="str">
        <f t="shared" si="1"/>
        <v>text</v>
      </c>
      <c r="H22" s="68"/>
      <c r="I22" s="29"/>
      <c r="J22" s="69"/>
      <c r="N22" s="76"/>
      <c r="O22" s="76"/>
      <c r="P22" s="76" t="str">
        <f t="shared" si="2"/>
        <v>,seibun_unit_name</v>
      </c>
      <c r="Q22" s="76" t="str">
        <f t="shared" si="3"/>
        <v>TEXT</v>
      </c>
      <c r="R22" s="76" t="str">
        <f t="shared" si="4"/>
        <v/>
      </c>
      <c r="S22" s="76" t="str">
        <f t="shared" si="9"/>
        <v/>
      </c>
      <c r="T22" s="76" t="str">
        <f t="shared" si="10"/>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milscm_2023_009.sny_202310_mt_yakuzai.seibun_unit_name IS '成分単位名称';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conditionalFormatting sqref="D14">
    <cfRule type="duplicateValues" dxfId="10" priority="6"/>
  </conditionalFormatting>
  <conditionalFormatting sqref="D16">
    <cfRule type="duplicateValues" dxfId="9" priority="5"/>
  </conditionalFormatting>
  <conditionalFormatting sqref="D13">
    <cfRule type="duplicateValues" dxfId="8" priority="4"/>
  </conditionalFormatting>
  <conditionalFormatting sqref="D14">
    <cfRule type="duplicateValues" dxfId="7" priority="3"/>
  </conditionalFormatting>
  <conditionalFormatting sqref="D15">
    <cfRule type="duplicateValues" dxfId="6" priority="2"/>
  </conditionalFormatting>
  <conditionalFormatting sqref="D15">
    <cfRule type="duplicateValues" dxfId="5"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21</v>
      </c>
      <c r="E4" s="249"/>
      <c r="F4" s="249"/>
      <c r="G4" s="249"/>
      <c r="H4" s="249"/>
      <c r="I4" s="249"/>
      <c r="J4" s="250"/>
    </row>
    <row r="5" spans="1:45">
      <c r="B5" s="262" t="s">
        <v>3702</v>
      </c>
      <c r="C5" s="263"/>
      <c r="D5" s="272" t="str">
        <f>VLOOKUP(D7,エンティティ一覧!A1:'エンティティ一覧'!AM10204,7,FALSE)</f>
        <v>mt</v>
      </c>
      <c r="E5" s="273"/>
      <c r="F5" s="273"/>
      <c r="G5" s="273"/>
      <c r="H5" s="273"/>
      <c r="I5" s="273"/>
      <c r="J5" s="274"/>
    </row>
    <row r="6" spans="1:45">
      <c r="B6" s="262" t="s">
        <v>3703</v>
      </c>
      <c r="C6" s="263"/>
      <c r="D6" s="272" t="str">
        <f>VLOOKUP(D7,エンティティ一覧!A1:'エンティティ一覧'!AM10204,15,FALSE)</f>
        <v>ENT_21_06</v>
      </c>
      <c r="E6" s="273"/>
      <c r="F6" s="273"/>
      <c r="G6" s="273"/>
      <c r="H6" s="273"/>
      <c r="I6" s="273"/>
      <c r="J6" s="274"/>
    </row>
    <row r="7" spans="1:45">
      <c r="B7" s="262" t="s">
        <v>115</v>
      </c>
      <c r="C7" s="263"/>
      <c r="D7" s="264" t="s">
        <v>4066</v>
      </c>
      <c r="E7" s="265"/>
      <c r="F7" s="265"/>
      <c r="G7" s="265"/>
      <c r="H7" s="265"/>
      <c r="I7" s="265"/>
      <c r="J7" s="266"/>
    </row>
    <row r="8" spans="1:45">
      <c r="B8" s="262" t="s">
        <v>116</v>
      </c>
      <c r="C8" s="263"/>
      <c r="D8" s="264" t="str">
        <f>エンティティ一覧!AE2&amp;"_"&amp;D5&amp;"_kensa"</f>
        <v>sny_202310_mt_kensa</v>
      </c>
      <c r="E8" s="265"/>
      <c r="F8" s="265"/>
      <c r="G8" s="265"/>
      <c r="H8" s="265"/>
      <c r="I8" s="265"/>
      <c r="J8" s="266"/>
    </row>
    <row r="9" spans="1:45" ht="19.5" customHeight="1" thickBot="1">
      <c r="B9" s="267" t="s">
        <v>117</v>
      </c>
      <c r="C9" s="268"/>
      <c r="D9" s="269" t="str">
        <f>D7&amp;"情報を格納するテーブル"</f>
        <v>検体検査マスタ情報を格納するテーブル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milscm_2023_009.sny_202310_mt_kensa;</v>
      </c>
      <c r="O10" s="76"/>
      <c r="P10" s="76"/>
      <c r="Q10" s="76"/>
      <c r="R10" s="76"/>
      <c r="S10" s="76"/>
      <c r="T10" s="76"/>
      <c r="AJ10" s="76" t="str">
        <f>"ALTER TABLE ONLY "&amp;エンティティ一覧!$O$2&amp;"."&amp;D$8</f>
        <v>ALTER TABLE ONLY milscm_2023_009.sny_202310_mt_kensa</v>
      </c>
      <c r="AS10" s="76" t="str">
        <f>"ALTER TABLE "&amp;エンティティ一覧!$O$2&amp;"."&amp;D$8&amp;" OWNER TO pgmisgrp1;"</f>
        <v>ALTER TABLE milscm_2023_009.sny_202310_mt_kensa OWNER TO pgmisgrp1;</v>
      </c>
    </row>
    <row r="11" spans="1:45" ht="19.5" thickBot="1">
      <c r="B11" s="20" t="s">
        <v>118</v>
      </c>
      <c r="C11" s="19"/>
      <c r="D11" s="5"/>
      <c r="E11" s="5"/>
      <c r="F11" s="5"/>
      <c r="G11" s="5"/>
      <c r="H11" s="5"/>
      <c r="I11" s="5"/>
      <c r="J11" s="18"/>
      <c r="N11" s="76" t="str">
        <f>"CREATE TABLE  "&amp;エンティティ一覧!$O$2&amp;"."&amp;D$8</f>
        <v>CREATE TABLE  milscm_2023_009.sny_202310_mt_kensa</v>
      </c>
      <c r="O11" s="76"/>
      <c r="P11" s="76"/>
      <c r="Q11" s="76"/>
      <c r="R11" s="76"/>
      <c r="S11" s="76"/>
      <c r="T11" s="76"/>
      <c r="AJ11" s="76" t="str">
        <f>"ADD CONSTRAINT "&amp;D$8&amp;"_pkey PRIMARY KEY"</f>
        <v>ADD CONSTRAINT sny_202310_mt_kensa_pkey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milscm_2023_009.sny_202310_mt_kensa IS '検体検査マスタ';</v>
      </c>
    </row>
    <row r="13" spans="1:45" s="25" customFormat="1">
      <c r="A13" s="4"/>
      <c r="B13" s="21">
        <f t="shared" ref="B13:B22" si="0">ROW()-12</f>
        <v>1</v>
      </c>
      <c r="C13" s="6" t="s">
        <v>3831</v>
      </c>
      <c r="D13" s="6" t="s">
        <v>883</v>
      </c>
      <c r="E13" s="8" t="s">
        <v>127</v>
      </c>
      <c r="F13" s="8" t="s">
        <v>3818</v>
      </c>
      <c r="G13" s="7" t="str">
        <f t="shared" ref="G13:G22" si="1">IF(F13="フラグ","boolean",IF(F13="文字列","text",IF(F13="整数","integer",IF(F13="実数","numeric",""))))</f>
        <v>text</v>
      </c>
      <c r="H13" s="67"/>
      <c r="I13" s="8" t="s">
        <v>127</v>
      </c>
      <c r="J13" s="11"/>
      <c r="M13" s="4"/>
      <c r="N13" s="76"/>
      <c r="O13" s="76"/>
      <c r="P13" s="76" t="str">
        <f t="shared" ref="P13:P22" si="2">IF(B13&lt;&gt;1,","&amp;D13,D13)</f>
        <v>facility_id</v>
      </c>
      <c r="Q13" s="76" t="str">
        <f t="shared" ref="Q13:Q22" si="3">UPPER(G13)</f>
        <v>TEXT</v>
      </c>
      <c r="R13" s="76" t="str">
        <f t="shared" ref="R13:R22"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milscm_2023_009.sny_202310_mt_kensa.facility_id IS '施設ID';</v>
      </c>
    </row>
    <row r="14" spans="1:45" s="25" customFormat="1">
      <c r="A14" s="4"/>
      <c r="B14" s="21">
        <f t="shared" si="0"/>
        <v>2</v>
      </c>
      <c r="C14" s="13" t="s">
        <v>2402</v>
      </c>
      <c r="D14" s="13" t="s">
        <v>2403</v>
      </c>
      <c r="E14" s="99"/>
      <c r="F14" s="99" t="s">
        <v>3818</v>
      </c>
      <c r="G14" s="7" t="str">
        <f t="shared" si="1"/>
        <v>text</v>
      </c>
      <c r="H14" s="67"/>
      <c r="I14" s="8" t="s">
        <v>127</v>
      </c>
      <c r="J14" s="11"/>
      <c r="M14" s="4"/>
      <c r="N14" s="76"/>
      <c r="O14" s="76"/>
      <c r="P14" s="76" t="str">
        <f t="shared" si="2"/>
        <v>,facility_id_mml</v>
      </c>
      <c r="Q14" s="76" t="str">
        <f t="shared" si="3"/>
        <v>TEXT</v>
      </c>
      <c r="R14" s="76" t="str">
        <f t="shared" si="4"/>
        <v/>
      </c>
      <c r="S14" s="76" t="str">
        <f>IF(I14="○","NOT NULL","")</f>
        <v>NOT NULL</v>
      </c>
      <c r="T14" s="76" t="str">
        <f>"--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milscm_2023_009.sny_202310_mt_kensa.facility_id_mml IS '施設ID（MML）';</v>
      </c>
    </row>
    <row r="15" spans="1:45" s="25" customFormat="1">
      <c r="A15" s="4"/>
      <c r="B15" s="21">
        <f t="shared" si="0"/>
        <v>3</v>
      </c>
      <c r="C15" s="98" t="s">
        <v>1606</v>
      </c>
      <c r="D15" s="98" t="s">
        <v>1607</v>
      </c>
      <c r="E15" s="99" t="s">
        <v>127</v>
      </c>
      <c r="F15" s="99" t="s">
        <v>3818</v>
      </c>
      <c r="G15" s="7" t="str">
        <f t="shared" ref="G15" si="5">IF(F15="フラグ","boolean",IF(F15="文字列","text",IF(F15="整数","integer",IF(F15="実数","numeric",""))))</f>
        <v>text</v>
      </c>
      <c r="H15" s="67"/>
      <c r="I15" s="8" t="s">
        <v>127</v>
      </c>
      <c r="J15" s="11"/>
      <c r="M15" s="4"/>
      <c r="N15" s="76"/>
      <c r="O15" s="76"/>
      <c r="P15" s="76" t="str">
        <f t="shared" ref="P15" si="6">IF(B15&lt;&gt;1,","&amp;D15,D15)</f>
        <v>,specimen_name</v>
      </c>
      <c r="Q15" s="76" t="str">
        <f t="shared" ref="Q15" si="7">UPPER(G15)</f>
        <v>TEXT</v>
      </c>
      <c r="R15" s="76" t="str">
        <f t="shared" ref="R15" si="8">IF(H15&lt;&gt;"","default "&amp;IF(G15="text","'"&amp;H15&amp;"'",H15),"")</f>
        <v/>
      </c>
      <c r="S15" s="76" t="str">
        <f>IF(I15="○","NOT NULL","")</f>
        <v>NOT NULL</v>
      </c>
      <c r="T15" s="76" t="str">
        <f>"-- "&amp;C15</f>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milscm_2023_009.sny_202310_mt_kensa.specimen_name IS '検体材料';</v>
      </c>
    </row>
    <row r="16" spans="1:45" s="25" customFormat="1">
      <c r="A16" s="4"/>
      <c r="B16" s="21">
        <f t="shared" si="0"/>
        <v>4</v>
      </c>
      <c r="C16" s="98" t="s">
        <v>1608</v>
      </c>
      <c r="D16" s="98" t="s">
        <v>1609</v>
      </c>
      <c r="E16" s="99" t="s">
        <v>127</v>
      </c>
      <c r="F16" s="99" t="s">
        <v>3818</v>
      </c>
      <c r="G16" s="7" t="str">
        <f t="shared" si="1"/>
        <v>text</v>
      </c>
      <c r="H16" s="67"/>
      <c r="I16" s="8" t="s">
        <v>127</v>
      </c>
      <c r="J16" s="11"/>
      <c r="N16" s="76"/>
      <c r="O16" s="76"/>
      <c r="P16" s="76" t="str">
        <f t="shared" si="2"/>
        <v>,sp_code</v>
      </c>
      <c r="Q16" s="76" t="str">
        <f t="shared" si="3"/>
        <v>TEXT</v>
      </c>
      <c r="R16" s="76" t="str">
        <f t="shared" si="4"/>
        <v/>
      </c>
      <c r="S16" s="76" t="str">
        <f t="shared" ref="S16:S22" si="9">IF(I16="○","NOT NULL","")</f>
        <v>NOT NULL</v>
      </c>
      <c r="T16" s="76" t="str">
        <f t="shared" ref="T16:T22" si="10">"-- "&amp;C16</f>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milscm_2023_009.sny_202310_mt_kensa.sp_code IS '検体材料コード';</v>
      </c>
    </row>
    <row r="17" spans="1:52" s="25" customFormat="1">
      <c r="A17" s="4"/>
      <c r="B17" s="21">
        <f t="shared" si="0"/>
        <v>5</v>
      </c>
      <c r="C17" s="6" t="s">
        <v>3832</v>
      </c>
      <c r="D17" s="6" t="s">
        <v>1624</v>
      </c>
      <c r="E17" s="8" t="s">
        <v>127</v>
      </c>
      <c r="F17" s="7" t="s">
        <v>3818</v>
      </c>
      <c r="G17" s="7" t="str">
        <f t="shared" si="1"/>
        <v>text</v>
      </c>
      <c r="H17" s="67"/>
      <c r="I17" s="8" t="s">
        <v>127</v>
      </c>
      <c r="J17" s="11"/>
      <c r="N17" s="76"/>
      <c r="O17" s="76"/>
      <c r="P17" s="76" t="str">
        <f t="shared" si="2"/>
        <v>,item_name</v>
      </c>
      <c r="Q17" s="76" t="str">
        <f t="shared" si="3"/>
        <v>TEXT</v>
      </c>
      <c r="R17" s="76" t="str">
        <f t="shared" si="4"/>
        <v/>
      </c>
      <c r="S17" s="76" t="str">
        <f t="shared" si="9"/>
        <v>NOT NULL</v>
      </c>
      <c r="T17" s="76" t="str">
        <f t="shared" si="10"/>
        <v>-- 検査名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milscm_2023_009.sny_202310_mt_kensa.item_name IS '検査名';</v>
      </c>
    </row>
    <row r="18" spans="1:52" s="25" customFormat="1">
      <c r="A18" s="4"/>
      <c r="B18" s="21">
        <f t="shared" si="0"/>
        <v>6</v>
      </c>
      <c r="C18" s="6" t="s">
        <v>3833</v>
      </c>
      <c r="D18" s="6" t="s">
        <v>3834</v>
      </c>
      <c r="E18" s="8" t="s">
        <v>127</v>
      </c>
      <c r="F18" s="7" t="s">
        <v>3818</v>
      </c>
      <c r="G18" s="7" t="str">
        <f t="shared" si="1"/>
        <v>text</v>
      </c>
      <c r="H18" s="67"/>
      <c r="I18" s="8" t="s">
        <v>127</v>
      </c>
      <c r="J18" s="11"/>
      <c r="N18" s="76"/>
      <c r="O18" s="76"/>
      <c r="P18" s="76" t="str">
        <f t="shared" si="2"/>
        <v>,item_code</v>
      </c>
      <c r="Q18" s="76" t="str">
        <f t="shared" si="3"/>
        <v>TEXT</v>
      </c>
      <c r="R18" s="76" t="str">
        <f t="shared" si="4"/>
        <v/>
      </c>
      <c r="S18" s="76" t="str">
        <f t="shared" si="9"/>
        <v>NOT NULL</v>
      </c>
      <c r="T18" s="76" t="str">
        <f t="shared" si="10"/>
        <v>-- 検査名_施設固有コード</v>
      </c>
      <c r="U18" s="4"/>
      <c r="AA18" s="4"/>
      <c r="AB18" s="4"/>
      <c r="AC18" s="4"/>
      <c r="AD18" s="4"/>
      <c r="AE18" s="4"/>
      <c r="AF18" s="4"/>
      <c r="AG18" s="4"/>
      <c r="AH18" s="4"/>
      <c r="AI18" s="4"/>
      <c r="AJ18" s="76" t="str">
        <f>IF(E18="○",IF(COUNTA(E$13:E18)=1,"",",")&amp;D18,"")</f>
        <v>,item_code</v>
      </c>
      <c r="AK18" s="4"/>
      <c r="AL18" s="4"/>
      <c r="AM18" s="4"/>
      <c r="AN18" s="4"/>
      <c r="AO18" s="4"/>
      <c r="AP18" s="4"/>
      <c r="AQ18" s="4"/>
      <c r="AR18" s="4"/>
      <c r="AS18" s="76" t="str">
        <f>"COMMENT ON COLUMN "&amp;エンティティ一覧!$O$2&amp;"."&amp;D$8&amp;"."&amp;D18&amp;" IS '"&amp;C18&amp;"';"</f>
        <v>COMMENT ON COLUMN milscm_2023_009.sny_202310_mt_kensa.item_code IS '検査名_施設固有コード';</v>
      </c>
    </row>
    <row r="19" spans="1:52" s="25" customFormat="1">
      <c r="A19" s="4"/>
      <c r="B19" s="21">
        <f t="shared" si="0"/>
        <v>7</v>
      </c>
      <c r="C19" s="6" t="s">
        <v>3840</v>
      </c>
      <c r="D19" s="6" t="s">
        <v>3841</v>
      </c>
      <c r="E19" s="8" t="s">
        <v>127</v>
      </c>
      <c r="F19" s="7" t="s">
        <v>3276</v>
      </c>
      <c r="G19" s="7" t="str">
        <f t="shared" si="1"/>
        <v>text</v>
      </c>
      <c r="H19" s="67"/>
      <c r="I19" s="8" t="s">
        <v>127</v>
      </c>
      <c r="J19" s="11"/>
      <c r="N19" s="76"/>
      <c r="O19" s="76"/>
      <c r="P19" s="76" t="str">
        <f t="shared" si="2"/>
        <v>,unit</v>
      </c>
      <c r="Q19" s="76" t="str">
        <f t="shared" si="3"/>
        <v>TEXT</v>
      </c>
      <c r="R19" s="76" t="str">
        <f t="shared" si="4"/>
        <v/>
      </c>
      <c r="S19" s="76" t="str">
        <f t="shared" si="9"/>
        <v>NOT NULL</v>
      </c>
      <c r="T19" s="76" t="str">
        <f t="shared" si="10"/>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milscm_2023_009.sny_202310_mt_kensa.unit IS '単位';</v>
      </c>
    </row>
    <row r="20" spans="1:52" s="25" customFormat="1">
      <c r="A20" s="4"/>
      <c r="B20" s="21">
        <f t="shared" si="0"/>
        <v>8</v>
      </c>
      <c r="C20" s="6" t="s">
        <v>3835</v>
      </c>
      <c r="D20" s="6" t="s">
        <v>3836</v>
      </c>
      <c r="E20" s="8"/>
      <c r="F20" s="7" t="s">
        <v>3276</v>
      </c>
      <c r="G20" s="7" t="str">
        <f t="shared" si="1"/>
        <v>text</v>
      </c>
      <c r="H20" s="67"/>
      <c r="I20" s="8" t="s">
        <v>127</v>
      </c>
      <c r="J20" s="11"/>
      <c r="N20" s="76"/>
      <c r="O20" s="76"/>
      <c r="P20" s="76" t="str">
        <f t="shared" si="2"/>
        <v>,m_unit</v>
      </c>
      <c r="Q20" s="76" t="str">
        <f t="shared" si="3"/>
        <v>TEXT</v>
      </c>
      <c r="R20" s="76" t="str">
        <f t="shared" si="4"/>
        <v/>
      </c>
      <c r="S20" s="76" t="str">
        <f t="shared" si="9"/>
        <v>NOT NULL</v>
      </c>
      <c r="T20" s="76" t="str">
        <f t="shared" si="10"/>
        <v>-- 一般単位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milscm_2023_009.sny_202310_mt_kensa.m_unit IS '一般単位';</v>
      </c>
    </row>
    <row r="21" spans="1:52" s="25" customFormat="1">
      <c r="A21" s="4"/>
      <c r="B21" s="21">
        <f t="shared" si="0"/>
        <v>9</v>
      </c>
      <c r="C21" s="6" t="s">
        <v>3842</v>
      </c>
      <c r="D21" s="6" t="s">
        <v>3843</v>
      </c>
      <c r="E21" s="8"/>
      <c r="F21" s="7" t="s">
        <v>3818</v>
      </c>
      <c r="G21" s="7" t="str">
        <f t="shared" si="1"/>
        <v>text</v>
      </c>
      <c r="H21" s="67"/>
      <c r="I21" s="8" t="s">
        <v>127</v>
      </c>
      <c r="J21" s="11"/>
      <c r="N21" s="76"/>
      <c r="O21" s="76"/>
      <c r="P21" s="76" t="str">
        <f t="shared" si="2"/>
        <v>,disp_name</v>
      </c>
      <c r="Q21" s="76" t="str">
        <f t="shared" si="3"/>
        <v>TEXT</v>
      </c>
      <c r="R21" s="76" t="str">
        <f t="shared" si="4"/>
        <v/>
      </c>
      <c r="S21" s="76" t="str">
        <f t="shared" si="9"/>
        <v>NOT NULL</v>
      </c>
      <c r="T21" s="76" t="str">
        <f t="shared" si="10"/>
        <v>-- 表示名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milscm_2023_009.sny_202310_mt_kensa.disp_name IS '表示名';</v>
      </c>
    </row>
    <row r="22" spans="1:52" s="25" customFormat="1" ht="19.5" thickBot="1">
      <c r="A22" s="4"/>
      <c r="B22" s="66">
        <f t="shared" si="0"/>
        <v>10</v>
      </c>
      <c r="C22" s="28" t="s">
        <v>3837</v>
      </c>
      <c r="D22" s="28" t="s">
        <v>3838</v>
      </c>
      <c r="E22" s="29"/>
      <c r="F22" s="56" t="s">
        <v>3839</v>
      </c>
      <c r="G22" s="56" t="str">
        <f t="shared" si="1"/>
        <v>numeric</v>
      </c>
      <c r="H22" s="68"/>
      <c r="I22" s="29"/>
      <c r="J22" s="69"/>
      <c r="N22" s="76"/>
      <c r="O22" s="76"/>
      <c r="P22" s="76" t="str">
        <f t="shared" si="2"/>
        <v>,rate</v>
      </c>
      <c r="Q22" s="76" t="str">
        <f t="shared" si="3"/>
        <v>NUMERIC</v>
      </c>
      <c r="R22" s="76" t="str">
        <f t="shared" si="4"/>
        <v/>
      </c>
      <c r="S22" s="76" t="str">
        <f t="shared" si="9"/>
        <v/>
      </c>
      <c r="T22" s="76" t="str">
        <f t="shared" si="10"/>
        <v>-- 換算率</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milscm_2023_009.sny_202310_mt_kensa.rate IS '換算率';</v>
      </c>
    </row>
    <row r="23" spans="1:52">
      <c r="L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conditionalFormatting sqref="D16">
    <cfRule type="duplicateValues" dxfId="4" priority="6"/>
  </conditionalFormatting>
  <conditionalFormatting sqref="D13">
    <cfRule type="duplicateValues" dxfId="3" priority="5"/>
  </conditionalFormatting>
  <conditionalFormatting sqref="D15">
    <cfRule type="duplicateValues" dxfId="2" priority="3"/>
  </conditionalFormatting>
  <conditionalFormatting sqref="D15">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21</v>
      </c>
      <c r="E4" s="249"/>
      <c r="F4" s="249"/>
      <c r="G4" s="249"/>
      <c r="H4" s="249"/>
      <c r="I4" s="249"/>
      <c r="J4" s="250"/>
    </row>
    <row r="5" spans="1:45">
      <c r="B5" s="262" t="s">
        <v>3702</v>
      </c>
      <c r="C5" s="263"/>
      <c r="D5" s="272" t="str">
        <f>VLOOKUP(D7,エンティティ一覧!A1:'エンティティ一覧'!AM10204,7,FALSE)</f>
        <v>mt</v>
      </c>
      <c r="E5" s="273"/>
      <c r="F5" s="273"/>
      <c r="G5" s="273"/>
      <c r="H5" s="273"/>
      <c r="I5" s="273"/>
      <c r="J5" s="274"/>
    </row>
    <row r="6" spans="1:45">
      <c r="B6" s="262" t="s">
        <v>3703</v>
      </c>
      <c r="C6" s="263"/>
      <c r="D6" s="272" t="str">
        <f>VLOOKUP(D7,エンティティ一覧!A1:'エンティティ一覧'!AM10204,15,FALSE)</f>
        <v>ENT_21_07</v>
      </c>
      <c r="E6" s="273"/>
      <c r="F6" s="273"/>
      <c r="G6" s="273"/>
      <c r="H6" s="273"/>
      <c r="I6" s="273"/>
      <c r="J6" s="274"/>
    </row>
    <row r="7" spans="1:45">
      <c r="B7" s="262" t="s">
        <v>115</v>
      </c>
      <c r="C7" s="263"/>
      <c r="D7" s="264" t="s">
        <v>4084</v>
      </c>
      <c r="E7" s="265"/>
      <c r="F7" s="265"/>
      <c r="G7" s="265"/>
      <c r="H7" s="265"/>
      <c r="I7" s="265"/>
      <c r="J7" s="266"/>
    </row>
    <row r="8" spans="1:45">
      <c r="B8" s="262" t="s">
        <v>116</v>
      </c>
      <c r="C8" s="263"/>
      <c r="D8" s="264" t="str">
        <f>エンティティ一覧!AE2&amp;"_"&amp;D5&amp;"_shinryo_koi"</f>
        <v>sny_202310_mt_shinryo_koi</v>
      </c>
      <c r="E8" s="265"/>
      <c r="F8" s="265"/>
      <c r="G8" s="265"/>
      <c r="H8" s="265"/>
      <c r="I8" s="265"/>
      <c r="J8" s="266"/>
    </row>
    <row r="9" spans="1:45" ht="19.5" customHeight="1" thickBot="1">
      <c r="B9" s="267" t="s">
        <v>117</v>
      </c>
      <c r="C9" s="268"/>
      <c r="D9" s="269" t="str">
        <f>D7&amp;"情報を格納するテーブル"</f>
        <v>診療行為マスタ情報を格納するテーブル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milscm_2023_009.sny_202310_mt_shinryo_koi;</v>
      </c>
      <c r="O10" s="76"/>
      <c r="P10" s="76"/>
      <c r="Q10" s="76"/>
      <c r="R10" s="76"/>
      <c r="S10" s="76"/>
      <c r="T10" s="76"/>
      <c r="AJ10" s="76" t="str">
        <f>"ALTER TABLE ONLY "&amp;エンティティ一覧!$O$2&amp;"."&amp;D$8</f>
        <v>ALTER TABLE ONLY milscm_2023_009.sny_202310_mt_shinryo_koi</v>
      </c>
      <c r="AS10" s="76" t="str">
        <f>"ALTER TABLE "&amp;エンティティ一覧!$O$2&amp;"."&amp;D$8&amp;" OWNER TO pgmisgrp1;"</f>
        <v>ALTER TABLE milscm_2023_009.sny_202310_mt_shinryo_koi OWNER TO pgmisgrp1;</v>
      </c>
    </row>
    <row r="11" spans="1:45" ht="19.5" thickBot="1">
      <c r="B11" s="20" t="s">
        <v>118</v>
      </c>
      <c r="C11" s="19"/>
      <c r="D11" s="5"/>
      <c r="E11" s="5"/>
      <c r="F11" s="5"/>
      <c r="G11" s="5"/>
      <c r="H11" s="5"/>
      <c r="I11" s="5"/>
      <c r="J11" s="18"/>
      <c r="N11" s="76" t="str">
        <f>"CREATE TABLE  "&amp;エンティティ一覧!$O$2&amp;"."&amp;D$8</f>
        <v>CREATE TABLE  milscm_2023_009.sny_202310_mt_shinryo_koi</v>
      </c>
      <c r="O11" s="76"/>
      <c r="P11" s="76"/>
      <c r="Q11" s="76"/>
      <c r="R11" s="76"/>
      <c r="S11" s="76"/>
      <c r="T11" s="76"/>
      <c r="AJ11" s="76" t="str">
        <f>"ADD CONSTRAINT "&amp;D$8&amp;"_pkey PRIMARY KEY"</f>
        <v>ADD CONSTRAINT sny_202310_mt_shinryo_koi_pkey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milscm_2023_009.sny_202310_mt_shinryo_koi IS '診療行為マスタ';</v>
      </c>
    </row>
    <row r="13" spans="1:45" s="25" customFormat="1">
      <c r="A13" s="4"/>
      <c r="B13" s="21">
        <f t="shared" ref="B13:B17" si="0">ROW()-12</f>
        <v>1</v>
      </c>
      <c r="C13" s="6" t="s">
        <v>1125</v>
      </c>
      <c r="D13" s="6" t="s">
        <v>2610</v>
      </c>
      <c r="E13" s="8" t="s">
        <v>127</v>
      </c>
      <c r="F13" s="7" t="s">
        <v>737</v>
      </c>
      <c r="G13" s="7" t="str">
        <f t="shared" ref="G13:G17" si="1">IF(F13="フラグ","boolean",IF(F13="文字列","text",IF(F13="整数","integer",IF(F13="実数","numeric",""))))</f>
        <v>text</v>
      </c>
      <c r="H13" s="67"/>
      <c r="I13" s="8" t="s">
        <v>127</v>
      </c>
      <c r="J13" s="11"/>
      <c r="M13" s="4"/>
      <c r="N13" s="76"/>
      <c r="O13" s="76"/>
      <c r="P13" s="76" t="str">
        <f t="shared" ref="P13:P17" si="2">IF(B13&lt;&gt;1,","&amp;D13,D13)</f>
        <v>shinryo_koi_cd</v>
      </c>
      <c r="Q13" s="76" t="str">
        <f t="shared" ref="Q13:Q17" si="3">UPPER(G13)</f>
        <v>TEXT</v>
      </c>
      <c r="R13" s="76" t="str">
        <f t="shared" ref="R13:R17" si="4">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milscm_2023_009.sny_202310_mt_shinryo_koi.shinryo_koi_cd IS '診療行為コード';</v>
      </c>
    </row>
    <row r="14" spans="1:45" s="25" customFormat="1">
      <c r="A14" s="4"/>
      <c r="B14" s="21">
        <f t="shared" si="0"/>
        <v>2</v>
      </c>
      <c r="C14" s="6" t="s">
        <v>4280</v>
      </c>
      <c r="D14" s="6" t="s">
        <v>4286</v>
      </c>
      <c r="E14" s="8"/>
      <c r="F14" s="7" t="s">
        <v>737</v>
      </c>
      <c r="G14" s="7" t="str">
        <f>IF(F14="フラグ","boolean",IF(F14="文字列","text",IF(F14="整数","integer",IF(F14="実数","numeric",""))))</f>
        <v>text</v>
      </c>
      <c r="H14" s="67"/>
      <c r="I14" s="8" t="s">
        <v>127</v>
      </c>
      <c r="J14" s="11"/>
      <c r="M14" s="4"/>
      <c r="N14" s="76"/>
      <c r="O14" s="76"/>
      <c r="P14" s="76" t="str">
        <f t="shared" si="2"/>
        <v>,kubun_no</v>
      </c>
      <c r="Q14" s="76" t="str">
        <f t="shared" si="3"/>
        <v>TEXT</v>
      </c>
      <c r="R14" s="76" t="str">
        <f t="shared" si="4"/>
        <v/>
      </c>
      <c r="S14" s="76" t="str">
        <f t="shared" ref="S14:S17" si="5">IF(I14="○","NOT NULL","")</f>
        <v>NOT NULL</v>
      </c>
      <c r="T14" s="76" t="str">
        <f t="shared" ref="T14:T17" si="6">"-- "&amp;C14</f>
        <v>-- 点数表区分番号</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milscm_2023_009.sny_202310_mt_shinryo_koi.kubun_no IS '点数表区分番号';</v>
      </c>
    </row>
    <row r="15" spans="1:45" s="25" customFormat="1">
      <c r="A15" s="4"/>
      <c r="B15" s="21">
        <f>ROW()-12</f>
        <v>3</v>
      </c>
      <c r="C15" s="6" t="s">
        <v>2619</v>
      </c>
      <c r="D15" s="6" t="s">
        <v>222</v>
      </c>
      <c r="E15" s="8"/>
      <c r="F15" s="7" t="s">
        <v>737</v>
      </c>
      <c r="G15" s="7" t="str">
        <f>IF(F15="フラグ","boolean",IF(F15="文字列","text",IF(F15="整数","integer",IF(F15="実数","numeric",""))))</f>
        <v>text</v>
      </c>
      <c r="H15" s="67"/>
      <c r="I15" s="8" t="s">
        <v>127</v>
      </c>
      <c r="J15" s="11"/>
      <c r="M15" s="4"/>
      <c r="N15" s="76"/>
      <c r="O15" s="76"/>
      <c r="P15" s="76" t="str">
        <f>IF(B15&lt;&gt;1,","&amp;D15,D15)</f>
        <v>,shinryo_koi_name</v>
      </c>
      <c r="Q15" s="76" t="str">
        <f>UPPER(G15)</f>
        <v>TEXT</v>
      </c>
      <c r="R15" s="76" t="str">
        <f>IF(H15&lt;&gt;"","default "&amp;IF(G15="text","'"&amp;H15&amp;"'",H15),"")</f>
        <v/>
      </c>
      <c r="S15" s="76" t="str">
        <f>IF(I15="○","NOT NULL","")</f>
        <v>NOT NULL</v>
      </c>
      <c r="T15" s="76" t="str">
        <f>"-- "&amp;C15</f>
        <v>-- 診療行為省略名</v>
      </c>
      <c r="U15" s="4"/>
      <c r="AA15" s="4"/>
      <c r="AB15" s="4"/>
      <c r="AC15" s="4"/>
      <c r="AD15" s="4"/>
      <c r="AE15" s="4"/>
      <c r="AF15" s="4"/>
      <c r="AG15" s="4"/>
      <c r="AH15" s="4"/>
      <c r="AI15" s="4"/>
      <c r="AJ15" s="76" t="str">
        <f>IF(E15="○",IF(COUNTA(E$15:E15)=1,"",",")&amp;D15,"")</f>
        <v/>
      </c>
      <c r="AK15" s="4"/>
      <c r="AL15" s="4"/>
      <c r="AM15" s="4"/>
      <c r="AN15" s="4"/>
      <c r="AO15" s="4"/>
      <c r="AP15" s="4"/>
      <c r="AQ15" s="4"/>
      <c r="AR15" s="4"/>
      <c r="AS15" s="76" t="str">
        <f>"COMMENT ON COLUMN "&amp;エンティティ一覧!$O$2&amp;"."&amp;D$8&amp;"."&amp;D15&amp;" IS '"&amp;C15&amp;"';"</f>
        <v>COMMENT ON COLUMN milscm_2023_009.sny_202310_mt_shinryo_koi.shinryo_koi_name IS '診療行為省略名';</v>
      </c>
    </row>
    <row r="16" spans="1:45" s="25" customFormat="1">
      <c r="A16" s="4"/>
      <c r="B16" s="21">
        <f t="shared" si="0"/>
        <v>4</v>
      </c>
      <c r="C16" s="6" t="s">
        <v>2620</v>
      </c>
      <c r="D16" s="6" t="s">
        <v>2621</v>
      </c>
      <c r="E16" s="8"/>
      <c r="F16" s="7" t="s">
        <v>737</v>
      </c>
      <c r="G16" s="7" t="str">
        <f>IF(F16="フラグ","boolean",IF(F16="文字列","text",IF(F16="整数","integer",IF(F16="実数","numeric",""))))</f>
        <v>text</v>
      </c>
      <c r="H16" s="67"/>
      <c r="I16" s="8" t="s">
        <v>127</v>
      </c>
      <c r="J16" s="11"/>
      <c r="M16" s="4"/>
      <c r="N16" s="76"/>
      <c r="O16" s="76"/>
      <c r="P16" s="76" t="str">
        <f>IF(B16&lt;&gt;1,","&amp;D16,D16)</f>
        <v>,shinryo_koi_kihonname</v>
      </c>
      <c r="Q16" s="76" t="str">
        <f>UPPER(G16)</f>
        <v>TEXT</v>
      </c>
      <c r="R16" s="76" t="str">
        <f>IF(H16&lt;&gt;"","default "&amp;IF(G16="text","'"&amp;H16&amp;"'",H16),"")</f>
        <v/>
      </c>
      <c r="S16" s="76" t="str">
        <f>IF(I16="○","NOT NULL","")</f>
        <v>NOT NULL</v>
      </c>
      <c r="T16" s="76" t="str">
        <f>"-- "&amp;C16</f>
        <v>-- 診療行為名</v>
      </c>
      <c r="U16" s="4"/>
      <c r="AA16" s="4"/>
      <c r="AB16" s="4"/>
      <c r="AC16" s="4"/>
      <c r="AD16" s="4"/>
      <c r="AE16" s="4"/>
      <c r="AF16" s="4"/>
      <c r="AG16" s="4"/>
      <c r="AH16" s="4"/>
      <c r="AI16" s="4"/>
      <c r="AJ16" s="76" t="str">
        <f>IF(E16="○",IF(COUNTA(E$15:E16)=1,"",",")&amp;D16,"")</f>
        <v/>
      </c>
      <c r="AK16" s="4"/>
      <c r="AL16" s="4"/>
      <c r="AM16" s="4"/>
      <c r="AN16" s="4"/>
      <c r="AO16" s="4"/>
      <c r="AP16" s="4"/>
      <c r="AQ16" s="4"/>
      <c r="AR16" s="4"/>
      <c r="AS16" s="76" t="str">
        <f>"COMMENT ON COLUMN "&amp;エンティティ一覧!$O$2&amp;"."&amp;D$8&amp;"."&amp;D16&amp;" IS '"&amp;C16&amp;"';"</f>
        <v>COMMENT ON COLUMN milscm_2023_009.sny_202310_mt_shinryo_koi.shinryo_koi_kihonname IS '診療行為名';</v>
      </c>
    </row>
    <row r="17" spans="1:52" s="25" customFormat="1" ht="19.5" thickBot="1">
      <c r="A17" s="4"/>
      <c r="B17" s="66">
        <f t="shared" si="0"/>
        <v>5</v>
      </c>
      <c r="C17" s="28" t="s">
        <v>4282</v>
      </c>
      <c r="D17" s="28" t="s">
        <v>4283</v>
      </c>
      <c r="E17" s="29"/>
      <c r="F17" s="56" t="s">
        <v>4281</v>
      </c>
      <c r="G17" s="56" t="str">
        <f t="shared" si="1"/>
        <v>boolean</v>
      </c>
      <c r="H17" s="68"/>
      <c r="I17" s="29" t="s">
        <v>127</v>
      </c>
      <c r="J17" s="69" t="s">
        <v>4284</v>
      </c>
      <c r="N17" s="76"/>
      <c r="O17" s="76"/>
      <c r="P17" s="76" t="str">
        <f t="shared" si="2"/>
        <v>,enroll_f</v>
      </c>
      <c r="Q17" s="76" t="str">
        <f t="shared" si="3"/>
        <v>BOOLEAN</v>
      </c>
      <c r="R17" s="76" t="str">
        <f t="shared" si="4"/>
        <v/>
      </c>
      <c r="S17" s="76" t="str">
        <f t="shared" si="5"/>
        <v>NOT NULL</v>
      </c>
      <c r="T17" s="76" t="str">
        <f t="shared" si="6"/>
        <v>-- 組入れ対象フラグ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milscm_2023_009.sny_202310_mt_shinryo_koi.enroll_f IS '組入れ対象フラグ';</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ENT_31_A1-02</v>
      </c>
      <c r="E6" s="273"/>
      <c r="F6" s="273"/>
      <c r="G6" s="273"/>
      <c r="H6" s="273"/>
      <c r="I6" s="273"/>
      <c r="J6" s="274"/>
    </row>
    <row r="7" spans="1:45">
      <c r="B7" s="262" t="s">
        <v>115</v>
      </c>
      <c r="C7" s="263"/>
      <c r="D7" s="264" t="s">
        <v>3691</v>
      </c>
      <c r="E7" s="265"/>
      <c r="F7" s="265"/>
      <c r="G7" s="265"/>
      <c r="H7" s="265"/>
      <c r="I7" s="265"/>
      <c r="J7" s="266"/>
    </row>
    <row r="8" spans="1:45">
      <c r="B8" s="262" t="s">
        <v>116</v>
      </c>
      <c r="C8" s="263"/>
      <c r="D8" s="264" t="str">
        <f>エンティティ一覧!AE2&amp;"_"&amp;D5&amp;"_mart_shohou"</f>
        <v>sny_202310_base_mart_shohou</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バックアップ_処方データテーブルから対象患者で絞り込んだ結果を格納するテーブル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milscm_2023_009.sny_202310_base_mart_shohou;</v>
      </c>
      <c r="O10" s="76"/>
      <c r="P10" s="76"/>
      <c r="Q10" s="76"/>
      <c r="R10" s="76"/>
      <c r="S10" s="76"/>
      <c r="T10" s="76"/>
      <c r="AJ10" s="76" t="str">
        <f>"ALTER TABLE ONLY "&amp;エンティティ一覧!$O$2&amp;"."&amp;D$8</f>
        <v>ALTER TABLE ONLY milscm_2023_009.sny_202310_base_mart_shohou</v>
      </c>
      <c r="AS10" s="76" t="str">
        <f>"ALTER TABLE "&amp;エンティティ一覧!$O$2&amp;"."&amp;D$8&amp;" OWNER TO pgmisgrp1;"</f>
        <v>ALTER TABLE milscm_2023_009.sny_202310_base_mart_shohou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milscm_2023_009.sny_202310_base_mart_shohou</v>
      </c>
      <c r="O11" s="76"/>
      <c r="P11" s="76"/>
      <c r="Q11" s="76"/>
      <c r="R11" s="76"/>
      <c r="S11" s="76"/>
      <c r="T11" s="76"/>
      <c r="AJ11" s="76" t="str">
        <f>"ADD CONSTRAINT "&amp;D$8&amp;"_pkey PRIMARY KEY"</f>
        <v>ADD CONSTRAINT sny_202310_base_mart_shohou_pkey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milscm_2023_009.sny_202310_base_mart_shohou IS 'ベース_処方データ';</v>
      </c>
    </row>
    <row r="13" spans="1:45" s="25" customFormat="1">
      <c r="A13" s="4"/>
      <c r="B13" s="21">
        <f>ROW()-12</f>
        <v>1</v>
      </c>
      <c r="C13" s="6" t="s">
        <v>1736</v>
      </c>
      <c r="D13" s="6" t="s">
        <v>210</v>
      </c>
      <c r="E13" s="8" t="s">
        <v>127</v>
      </c>
      <c r="F13" s="8" t="s">
        <v>1737</v>
      </c>
      <c r="G13" s="7" t="str">
        <f>IF(F13="フラグ","boolean",IF(F13="文字列","text",IF(F13="整数","integer",IF(F13="実数","numeric",""))))</f>
        <v>text</v>
      </c>
      <c r="H13" s="9"/>
      <c r="I13" s="10" t="s">
        <v>127</v>
      </c>
      <c r="J13" s="11" t="s">
        <v>1756</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1737</v>
      </c>
      <c r="G14" s="7" t="str">
        <f t="shared" ref="G14:G32" si="3">IF(F14="フラグ","boolean",IF(F14="文字列","text",IF(F14="整数","integer",IF(F14="実数","numeric",""))))</f>
        <v>text</v>
      </c>
      <c r="H14" s="26"/>
      <c r="I14" s="10" t="s">
        <v>127</v>
      </c>
      <c r="J14" s="11" t="s">
        <v>1756</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milscm_2023_009.sny_202310_base_mart_shohou.facility_id IS '施設ID';</v>
      </c>
    </row>
    <row r="15" spans="1:45" s="25" customFormat="1">
      <c r="A15" s="4"/>
      <c r="B15" s="21">
        <f t="shared" si="2"/>
        <v>3</v>
      </c>
      <c r="C15" s="13" t="s">
        <v>1738</v>
      </c>
      <c r="D15" s="13" t="s">
        <v>206</v>
      </c>
      <c r="E15" s="7" t="s">
        <v>127</v>
      </c>
      <c r="F15" s="7" t="s">
        <v>1737</v>
      </c>
      <c r="G15" s="7" t="str">
        <f t="shared" si="3"/>
        <v>text</v>
      </c>
      <c r="H15" s="58"/>
      <c r="I15" s="23" t="s">
        <v>127</v>
      </c>
      <c r="J15" s="24" t="s">
        <v>1756</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milscm_2023_009.sny_202310_base_mart_shohou.shinryo_ym IS '診療年月';</v>
      </c>
    </row>
    <row r="16" spans="1:45" s="25" customFormat="1">
      <c r="A16" s="4"/>
      <c r="B16" s="21">
        <f t="shared" si="2"/>
        <v>4</v>
      </c>
      <c r="C16" s="13" t="s">
        <v>1739</v>
      </c>
      <c r="D16" s="13" t="s">
        <v>214</v>
      </c>
      <c r="E16" s="7" t="s">
        <v>127</v>
      </c>
      <c r="F16" s="7" t="s">
        <v>1737</v>
      </c>
      <c r="G16" s="7" t="str">
        <f t="shared" si="3"/>
        <v>text</v>
      </c>
      <c r="H16" s="58"/>
      <c r="I16" s="23" t="s">
        <v>127</v>
      </c>
      <c r="J16" s="24" t="s">
        <v>1756</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1740</v>
      </c>
      <c r="D17" s="13" t="s">
        <v>216</v>
      </c>
      <c r="E17" s="7" t="s">
        <v>127</v>
      </c>
      <c r="F17" s="7" t="s">
        <v>1737</v>
      </c>
      <c r="G17" s="7" t="str">
        <f t="shared" si="3"/>
        <v>text</v>
      </c>
      <c r="H17" s="58"/>
      <c r="I17" s="23" t="s">
        <v>127</v>
      </c>
      <c r="J17" s="24" t="s">
        <v>1756</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milscm_2023_009.sny_202310_base_mart_shohou.junjo_no IS '順序番号';</v>
      </c>
    </row>
    <row r="18" spans="1:45" s="25" customFormat="1" ht="37.5">
      <c r="A18" s="4"/>
      <c r="B18" s="21">
        <f t="shared" si="2"/>
        <v>6</v>
      </c>
      <c r="C18" s="13" t="s">
        <v>1741</v>
      </c>
      <c r="D18" s="13" t="s">
        <v>153</v>
      </c>
      <c r="E18" s="7" t="s">
        <v>127</v>
      </c>
      <c r="F18" s="7" t="s">
        <v>1737</v>
      </c>
      <c r="G18" s="7" t="str">
        <f t="shared" si="3"/>
        <v>text</v>
      </c>
      <c r="H18" s="58"/>
      <c r="I18" s="23" t="s">
        <v>127</v>
      </c>
      <c r="J18" s="24" t="s">
        <v>1757</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milscm_2023_009.sny_202310_base_mart_shohou.koi_meisai_no IS '行為明細番号';</v>
      </c>
    </row>
    <row r="19" spans="1:45" s="25" customFormat="1" ht="37.5">
      <c r="A19" s="4"/>
      <c r="B19" s="21">
        <f t="shared" si="2"/>
        <v>7</v>
      </c>
      <c r="C19" s="13" t="s">
        <v>145</v>
      </c>
      <c r="D19" s="13" t="s">
        <v>154</v>
      </c>
      <c r="E19" s="7"/>
      <c r="F19" s="7" t="s">
        <v>1737</v>
      </c>
      <c r="G19" s="7" t="str">
        <f t="shared" si="3"/>
        <v>text</v>
      </c>
      <c r="H19" s="58"/>
      <c r="I19" s="23"/>
      <c r="J19" s="24" t="s">
        <v>1758</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1742</v>
      </c>
      <c r="D20" s="13" t="s">
        <v>220</v>
      </c>
      <c r="E20" s="7"/>
      <c r="F20" s="7" t="s">
        <v>1737</v>
      </c>
      <c r="G20" s="7" t="str">
        <f t="shared" si="3"/>
        <v>text</v>
      </c>
      <c r="H20" s="58"/>
      <c r="I20" s="23"/>
      <c r="J20" s="24" t="s">
        <v>1756</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milscm_2023_009.sny_202310_base_mart_shohou.kaishaku_no IS '解釈番号';</v>
      </c>
    </row>
    <row r="21" spans="1:45" s="25" customFormat="1">
      <c r="A21" s="4"/>
      <c r="B21" s="21">
        <f t="shared" si="2"/>
        <v>9</v>
      </c>
      <c r="C21" s="13" t="s">
        <v>1743</v>
      </c>
      <c r="D21" s="13" t="s">
        <v>129</v>
      </c>
      <c r="E21" s="7"/>
      <c r="F21" s="7" t="s">
        <v>1744</v>
      </c>
      <c r="G21" s="7" t="str">
        <f t="shared" si="3"/>
        <v>numeric</v>
      </c>
      <c r="H21" s="58"/>
      <c r="I21" s="23"/>
      <c r="J21" s="24" t="s">
        <v>1756</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milscm_2023_009.sny_202310_base_mart_shohou.shiyoryo IS '使用量';</v>
      </c>
    </row>
    <row r="22" spans="1:45" s="25" customFormat="1">
      <c r="A22" s="4"/>
      <c r="B22" s="21">
        <f t="shared" si="2"/>
        <v>10</v>
      </c>
      <c r="C22" s="13" t="s">
        <v>1745</v>
      </c>
      <c r="D22" s="13" t="s">
        <v>276</v>
      </c>
      <c r="E22" s="7"/>
      <c r="F22" s="7" t="s">
        <v>1737</v>
      </c>
      <c r="G22" s="7" t="str">
        <f t="shared" si="3"/>
        <v>text</v>
      </c>
      <c r="H22" s="58"/>
      <c r="I22" s="23"/>
      <c r="J22" s="24" t="s">
        <v>1756</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milscm_2023_009.sny_202310_base_mart_shohou.unit IS '基準単位';</v>
      </c>
    </row>
    <row r="23" spans="1:45" s="25" customFormat="1">
      <c r="A23" s="4"/>
      <c r="B23" s="21">
        <f t="shared" si="2"/>
        <v>11</v>
      </c>
      <c r="C23" s="13" t="s">
        <v>1746</v>
      </c>
      <c r="D23" s="13" t="s">
        <v>130</v>
      </c>
      <c r="E23" s="7"/>
      <c r="F23" s="7" t="s">
        <v>1744</v>
      </c>
      <c r="G23" s="7" t="str">
        <f t="shared" si="3"/>
        <v>numeric</v>
      </c>
      <c r="H23" s="58"/>
      <c r="I23" s="23"/>
      <c r="J23" s="24" t="s">
        <v>1756</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milscm_2023_009.sny_202310_base_mart_shohou.meisai_tensu IS '明細点数・金額';</v>
      </c>
    </row>
    <row r="24" spans="1:45" s="25" customFormat="1" ht="37.5">
      <c r="A24" s="4"/>
      <c r="B24" s="21">
        <f t="shared" si="2"/>
        <v>12</v>
      </c>
      <c r="C24" s="13" t="s">
        <v>1747</v>
      </c>
      <c r="D24" s="13" t="s">
        <v>131</v>
      </c>
      <c r="E24" s="7"/>
      <c r="F24" s="7" t="s">
        <v>1737</v>
      </c>
      <c r="G24" s="7" t="str">
        <f t="shared" si="3"/>
        <v>text</v>
      </c>
      <c r="H24" s="58"/>
      <c r="I24" s="23"/>
      <c r="J24" s="24" t="s">
        <v>1759</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milscm_2023_009.sny_202310_base_mart_shohou.ten_kubun IS '円・点区分';</v>
      </c>
    </row>
    <row r="25" spans="1:45" s="25" customFormat="1">
      <c r="A25" s="4"/>
      <c r="B25" s="21">
        <f t="shared" si="2"/>
        <v>13</v>
      </c>
      <c r="C25" s="13" t="s">
        <v>1748</v>
      </c>
      <c r="D25" s="13" t="s">
        <v>132</v>
      </c>
      <c r="E25" s="7"/>
      <c r="F25" s="7" t="s">
        <v>1737</v>
      </c>
      <c r="G25" s="7" t="str">
        <f t="shared" si="3"/>
        <v>text</v>
      </c>
      <c r="H25" s="58"/>
      <c r="I25" s="23"/>
      <c r="J25" s="24" t="s">
        <v>1756</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1749</v>
      </c>
      <c r="D26" s="13" t="s">
        <v>133</v>
      </c>
      <c r="E26" s="7"/>
      <c r="F26" s="7" t="s">
        <v>1744</v>
      </c>
      <c r="G26" s="7" t="str">
        <f t="shared" si="3"/>
        <v>numeric</v>
      </c>
      <c r="H26" s="58"/>
      <c r="I26" s="23"/>
      <c r="J26" s="24" t="s">
        <v>1756</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milscm_2023_009.sny_202310_base_mart_shohou.koi_times IS '行為回数';</v>
      </c>
    </row>
    <row r="27" spans="1:45" s="25" customFormat="1">
      <c r="A27" s="4"/>
      <c r="B27" s="21">
        <f t="shared" si="2"/>
        <v>15</v>
      </c>
      <c r="C27" s="13" t="s">
        <v>1750</v>
      </c>
      <c r="D27" s="13" t="s">
        <v>233</v>
      </c>
      <c r="E27" s="7"/>
      <c r="F27" s="7" t="s">
        <v>1737</v>
      </c>
      <c r="G27" s="7" t="str">
        <f t="shared" si="3"/>
        <v>text</v>
      </c>
      <c r="H27" s="58"/>
      <c r="I27" s="23"/>
      <c r="J27" s="24" t="s">
        <v>1756</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1751</v>
      </c>
      <c r="D28" s="13" t="s">
        <v>155</v>
      </c>
      <c r="E28" s="7" t="s">
        <v>127</v>
      </c>
      <c r="F28" s="7" t="s">
        <v>1737</v>
      </c>
      <c r="G28" s="7" t="str">
        <f t="shared" si="3"/>
        <v>text</v>
      </c>
      <c r="H28" s="58"/>
      <c r="I28" s="23" t="s">
        <v>127</v>
      </c>
      <c r="J28" s="24" t="s">
        <v>1756</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1752</v>
      </c>
      <c r="D29" s="13" t="s">
        <v>235</v>
      </c>
      <c r="E29" s="7"/>
      <c r="F29" s="7" t="s">
        <v>1737</v>
      </c>
      <c r="G29" s="7" t="str">
        <f t="shared" si="3"/>
        <v>text</v>
      </c>
      <c r="H29" s="58"/>
      <c r="I29" s="23"/>
      <c r="J29" s="24" t="s">
        <v>1756</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1737</v>
      </c>
      <c r="G30" s="7" t="str">
        <f t="shared" si="3"/>
        <v>text</v>
      </c>
      <c r="H30" s="58"/>
      <c r="I30" s="23"/>
      <c r="J30" s="24" t="s">
        <v>1756</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milscm_2023_009.sny_202310_base_mart_shohou.department_kubun IS '診療科区分';</v>
      </c>
    </row>
    <row r="31" spans="1:45" s="25" customFormat="1" ht="37.5">
      <c r="A31" s="4"/>
      <c r="B31" s="21">
        <f t="shared" si="2"/>
        <v>19</v>
      </c>
      <c r="C31" s="13" t="s">
        <v>1753</v>
      </c>
      <c r="D31" s="13" t="s">
        <v>243</v>
      </c>
      <c r="E31" s="7"/>
      <c r="F31" s="7" t="s">
        <v>1737</v>
      </c>
      <c r="G31" s="7" t="str">
        <f t="shared" si="3"/>
        <v>text</v>
      </c>
      <c r="H31" s="58"/>
      <c r="I31" s="23"/>
      <c r="J31" s="24" t="s">
        <v>1760</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milscm_2023_009.sny_202310_base_mart_shohou.nyugai_kubun IS '入外区分';</v>
      </c>
    </row>
    <row r="32" spans="1:45" s="25" customFormat="1" ht="19.5" thickBot="1">
      <c r="A32" s="4"/>
      <c r="B32" s="27">
        <f>ROW()-12</f>
        <v>20</v>
      </c>
      <c r="C32" s="57" t="s">
        <v>1754</v>
      </c>
      <c r="D32" s="57" t="s">
        <v>1755</v>
      </c>
      <c r="E32" s="56" t="s">
        <v>127</v>
      </c>
      <c r="F32" s="56" t="s">
        <v>204</v>
      </c>
      <c r="G32" s="56" t="str">
        <f t="shared" si="3"/>
        <v>integer</v>
      </c>
      <c r="H32" s="59"/>
      <c r="I32" s="60"/>
      <c r="J32" s="64" t="s">
        <v>1761</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ENT_31_A1-03</v>
      </c>
      <c r="E6" s="273"/>
      <c r="F6" s="273"/>
      <c r="G6" s="273"/>
      <c r="H6" s="273"/>
      <c r="I6" s="273"/>
      <c r="J6" s="274"/>
    </row>
    <row r="7" spans="1:45">
      <c r="B7" s="262" t="s">
        <v>115</v>
      </c>
      <c r="C7" s="263"/>
      <c r="D7" s="264" t="s">
        <v>3692</v>
      </c>
      <c r="E7" s="265"/>
      <c r="F7" s="265"/>
      <c r="G7" s="265"/>
      <c r="H7" s="265"/>
      <c r="I7" s="265"/>
      <c r="J7" s="266"/>
    </row>
    <row r="8" spans="1:45">
      <c r="B8" s="262" t="s">
        <v>116</v>
      </c>
      <c r="C8" s="263"/>
      <c r="D8" s="264" t="str">
        <f>エンティティ一覧!AE2&amp;"_"&amp;D5&amp;"_mart_shinryou_koui"</f>
        <v>sny_202310_base_mart_shinryou_koui</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バックアップ_診療行為データテーブルから対象患者で絞り込んだ結果を格納するテーブル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milscm_2023_009.sny_202310_base_mart_shinryou_koui;</v>
      </c>
      <c r="O10" s="76"/>
      <c r="P10" s="76"/>
      <c r="Q10" s="76"/>
      <c r="R10" s="76"/>
      <c r="S10" s="76"/>
      <c r="T10" s="76"/>
      <c r="AJ10" s="76" t="str">
        <f>"ALTER TABLE ONLY "&amp;エンティティ一覧!$O$2&amp;"."&amp;D$8</f>
        <v>ALTER TABLE ONLY milscm_2023_009.sny_202310_base_mart_shinryou_koui</v>
      </c>
      <c r="AS10" s="76" t="str">
        <f>"ALTER TABLE "&amp;エンティティ一覧!$O$2&amp;"."&amp;D$8&amp;" OWNER TO pgmisgrp1;"</f>
        <v>ALTER TABLE milscm_2023_009.sny_202310_base_mart_shinryou_koui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milscm_2023_009.sny_202310_base_mart_shinryou_koui</v>
      </c>
      <c r="O11" s="76"/>
      <c r="P11" s="76"/>
      <c r="Q11" s="76"/>
      <c r="R11" s="76"/>
      <c r="S11" s="76"/>
      <c r="T11" s="76"/>
      <c r="AJ11" s="76" t="str">
        <f>"ADD CONSTRAINT "&amp;D$8&amp;"_pkey PRIMARY KEY"</f>
        <v>ADD CONSTRAINT sny_202310_base_mart_shinryou_koui_pkey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milscm_2023_009.sny_202310_base_mart_shinryou_koui IS 'ベース_診療行為データ';</v>
      </c>
    </row>
    <row r="13" spans="1:45" s="25" customFormat="1">
      <c r="A13" s="4"/>
      <c r="B13" s="21">
        <f>ROW()-12</f>
        <v>1</v>
      </c>
      <c r="C13" s="6" t="s">
        <v>1736</v>
      </c>
      <c r="D13" s="6" t="s">
        <v>210</v>
      </c>
      <c r="E13" s="8" t="s">
        <v>127</v>
      </c>
      <c r="F13" s="8" t="s">
        <v>1737</v>
      </c>
      <c r="G13" s="7" t="str">
        <f>IF(F13="フラグ","boolean",IF(F13="文字列","text",IF(F13="整数","integer",IF(F13="実数","numeric",""))))</f>
        <v>text</v>
      </c>
      <c r="H13" s="9"/>
      <c r="I13" s="10" t="s">
        <v>127</v>
      </c>
      <c r="J13" s="11" t="s">
        <v>1756</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1737</v>
      </c>
      <c r="G14" s="7" t="str">
        <f t="shared" ref="G14:G36" si="3">IF(F14="フラグ","boolean",IF(F14="文字列","text",IF(F14="整数","integer",IF(F14="実数","numeric",""))))</f>
        <v>text</v>
      </c>
      <c r="H14" s="26"/>
      <c r="I14" s="10" t="s">
        <v>127</v>
      </c>
      <c r="J14" s="11" t="s">
        <v>1756</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1738</v>
      </c>
      <c r="D15" s="13" t="s">
        <v>206</v>
      </c>
      <c r="E15" s="7" t="s">
        <v>127</v>
      </c>
      <c r="F15" s="7" t="s">
        <v>1737</v>
      </c>
      <c r="G15" s="7" t="str">
        <f t="shared" si="3"/>
        <v>text</v>
      </c>
      <c r="H15" s="58"/>
      <c r="I15" s="23" t="s">
        <v>127</v>
      </c>
      <c r="J15" s="24" t="s">
        <v>1756</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1739</v>
      </c>
      <c r="D16" s="13" t="s">
        <v>214</v>
      </c>
      <c r="E16" s="7" t="s">
        <v>127</v>
      </c>
      <c r="F16" s="7" t="s">
        <v>1737</v>
      </c>
      <c r="G16" s="7" t="str">
        <f t="shared" si="3"/>
        <v>text</v>
      </c>
      <c r="H16" s="58"/>
      <c r="I16" s="23" t="s">
        <v>127</v>
      </c>
      <c r="J16" s="24" t="s">
        <v>1756</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1740</v>
      </c>
      <c r="D17" s="13" t="s">
        <v>216</v>
      </c>
      <c r="E17" s="7" t="s">
        <v>127</v>
      </c>
      <c r="F17" s="7" t="s">
        <v>1737</v>
      </c>
      <c r="G17" s="7" t="str">
        <f t="shared" si="3"/>
        <v>text</v>
      </c>
      <c r="H17" s="58"/>
      <c r="I17" s="23" t="s">
        <v>127</v>
      </c>
      <c r="J17" s="24" t="s">
        <v>1756</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milscm_2023_009.sny_202310_base_mart_shinryou_koui.junjo_no IS '順序番号';</v>
      </c>
    </row>
    <row r="18" spans="1:45" s="25" customFormat="1" ht="37.5">
      <c r="A18" s="4"/>
      <c r="B18" s="21">
        <f t="shared" si="2"/>
        <v>6</v>
      </c>
      <c r="C18" s="13" t="s">
        <v>1741</v>
      </c>
      <c r="D18" s="13" t="s">
        <v>153</v>
      </c>
      <c r="E18" s="7" t="s">
        <v>127</v>
      </c>
      <c r="F18" s="7" t="s">
        <v>1737</v>
      </c>
      <c r="G18" s="7" t="str">
        <f t="shared" si="3"/>
        <v>text</v>
      </c>
      <c r="H18" s="58"/>
      <c r="I18" s="23" t="s">
        <v>127</v>
      </c>
      <c r="J18" s="24" t="s">
        <v>1757</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milscm_2023_009.sny_202310_base_mart_shinryou_koui.koi_meisai_no IS '行為明細番号';</v>
      </c>
    </row>
    <row r="19" spans="1:45" s="25" customFormat="1" ht="37.5">
      <c r="A19" s="4"/>
      <c r="B19" s="21">
        <f t="shared" si="2"/>
        <v>7</v>
      </c>
      <c r="C19" s="13" t="s">
        <v>145</v>
      </c>
      <c r="D19" s="13" t="s">
        <v>154</v>
      </c>
      <c r="E19" s="7"/>
      <c r="F19" s="7" t="s">
        <v>1737</v>
      </c>
      <c r="G19" s="7" t="str">
        <f t="shared" si="3"/>
        <v>text</v>
      </c>
      <c r="H19" s="58"/>
      <c r="I19" s="23"/>
      <c r="J19" s="24" t="s">
        <v>1767</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1742</v>
      </c>
      <c r="D20" s="13" t="s">
        <v>220</v>
      </c>
      <c r="E20" s="7"/>
      <c r="F20" s="7" t="s">
        <v>1737</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milscm_2023_009.sny_202310_base_mart_shinryou_koui.kaishaku_no IS '解釈番号';</v>
      </c>
    </row>
    <row r="21" spans="1:45" s="25" customFormat="1" ht="37.5">
      <c r="A21" s="4"/>
      <c r="B21" s="21">
        <f t="shared" si="2"/>
        <v>9</v>
      </c>
      <c r="C21" s="13" t="s">
        <v>1743</v>
      </c>
      <c r="D21" s="13" t="s">
        <v>129</v>
      </c>
      <c r="E21" s="7"/>
      <c r="F21" s="7" t="s">
        <v>1744</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1745</v>
      </c>
      <c r="D22" s="13" t="s">
        <v>276</v>
      </c>
      <c r="E22" s="7"/>
      <c r="F22" s="7" t="s">
        <v>1737</v>
      </c>
      <c r="G22" s="7" t="str">
        <f t="shared" si="3"/>
        <v>text</v>
      </c>
      <c r="H22" s="58"/>
      <c r="I22" s="23"/>
      <c r="J22" s="24" t="s">
        <v>1768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milscm_2023_009.sny_202310_base_mart_shinryou_koui.unit IS '基準単位';</v>
      </c>
    </row>
    <row r="23" spans="1:45" s="25" customFormat="1">
      <c r="A23" s="4"/>
      <c r="B23" s="21">
        <f t="shared" si="2"/>
        <v>11</v>
      </c>
      <c r="C23" s="13" t="s">
        <v>1746</v>
      </c>
      <c r="D23" s="13" t="s">
        <v>130</v>
      </c>
      <c r="E23" s="7"/>
      <c r="F23" s="7" t="s">
        <v>1744</v>
      </c>
      <c r="G23" s="7" t="str">
        <f t="shared" si="3"/>
        <v>numeric</v>
      </c>
      <c r="H23" s="58"/>
      <c r="I23" s="23"/>
      <c r="J23" s="24" t="s">
        <v>1768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milscm_2023_009.sny_202310_base_mart_shinryou_koui.meisai_tensu IS '明細点数・金額';</v>
      </c>
    </row>
    <row r="24" spans="1:45" s="25" customFormat="1" ht="37.5">
      <c r="A24" s="4"/>
      <c r="B24" s="21">
        <f t="shared" si="2"/>
        <v>12</v>
      </c>
      <c r="C24" s="13" t="s">
        <v>1747</v>
      </c>
      <c r="D24" s="13" t="s">
        <v>131</v>
      </c>
      <c r="E24" s="7"/>
      <c r="F24" s="7" t="s">
        <v>1737</v>
      </c>
      <c r="G24" s="7" t="str">
        <f t="shared" si="3"/>
        <v>text</v>
      </c>
      <c r="H24" s="58"/>
      <c r="I24" s="23"/>
      <c r="J24" s="24" t="s">
        <v>1759</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1763</v>
      </c>
      <c r="D25" s="13" t="s">
        <v>280</v>
      </c>
      <c r="E25" s="7"/>
      <c r="F25" s="7" t="s">
        <v>1744</v>
      </c>
      <c r="G25" s="7" t="str">
        <f t="shared" si="3"/>
        <v>numeric</v>
      </c>
      <c r="H25" s="58"/>
      <c r="I25" s="23"/>
      <c r="J25" s="24" t="s">
        <v>1768</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milscm_2023_009.sny_202310_base_mart_shinryou_koui.dekidaka_tensu IS '出来高実績点数';</v>
      </c>
    </row>
    <row r="26" spans="1:45" s="25" customFormat="1" ht="56.25">
      <c r="A26" s="4"/>
      <c r="B26" s="21">
        <f t="shared" si="2"/>
        <v>14</v>
      </c>
      <c r="C26" s="13" t="s">
        <v>1748</v>
      </c>
      <c r="D26" s="13" t="s">
        <v>132</v>
      </c>
      <c r="E26" s="7"/>
      <c r="F26" s="7" t="s">
        <v>1737</v>
      </c>
      <c r="G26" s="7" t="str">
        <f t="shared" si="3"/>
        <v>text</v>
      </c>
      <c r="H26" s="58"/>
      <c r="I26" s="23"/>
      <c r="J26" s="24" t="s">
        <v>1769</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milscm_2023_009.sny_202310_base_mart_shinryou_koui.koi_meisai_kubun IS '行為明細区分情報';</v>
      </c>
    </row>
    <row r="27" spans="1:45" s="25" customFormat="1" ht="37.5">
      <c r="A27" s="4"/>
      <c r="B27" s="21">
        <f t="shared" si="2"/>
        <v>15</v>
      </c>
      <c r="C27" s="13" t="s">
        <v>1764</v>
      </c>
      <c r="D27" s="13" t="s">
        <v>224</v>
      </c>
      <c r="E27" s="7"/>
      <c r="F27" s="7" t="s">
        <v>1744</v>
      </c>
      <c r="G27" s="7" t="str">
        <f t="shared" si="3"/>
        <v>numeric</v>
      </c>
      <c r="H27" s="58"/>
      <c r="I27" s="23"/>
      <c r="J27" s="24" t="s">
        <v>1770</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1765</v>
      </c>
      <c r="D28" s="13" t="s">
        <v>227</v>
      </c>
      <c r="E28" s="7"/>
      <c r="F28" s="7" t="s">
        <v>1744</v>
      </c>
      <c r="G28" s="7" t="str">
        <f t="shared" si="3"/>
        <v>numeric</v>
      </c>
      <c r="H28" s="58"/>
      <c r="I28" s="23"/>
      <c r="J28" s="24" t="s">
        <v>1768</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1766</v>
      </c>
      <c r="D29" s="13" t="s">
        <v>229</v>
      </c>
      <c r="E29" s="7"/>
      <c r="F29" s="7" t="s">
        <v>1744</v>
      </c>
      <c r="G29" s="7" t="str">
        <f t="shared" si="3"/>
        <v>numeric</v>
      </c>
      <c r="H29" s="58"/>
      <c r="I29" s="23"/>
      <c r="J29" s="24" t="s">
        <v>1768</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1749</v>
      </c>
      <c r="D30" s="13" t="s">
        <v>133</v>
      </c>
      <c r="E30" s="7"/>
      <c r="F30" s="7" t="s">
        <v>1744</v>
      </c>
      <c r="G30" s="7" t="str">
        <f t="shared" si="3"/>
        <v>numeric</v>
      </c>
      <c r="H30" s="58"/>
      <c r="I30" s="23"/>
      <c r="J30" s="24" t="s">
        <v>1768</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1750</v>
      </c>
      <c r="D31" s="13" t="s">
        <v>233</v>
      </c>
      <c r="E31" s="7"/>
      <c r="F31" s="7" t="s">
        <v>1737</v>
      </c>
      <c r="G31" s="7" t="str">
        <f t="shared" si="3"/>
        <v>text</v>
      </c>
      <c r="H31" s="58"/>
      <c r="I31" s="23"/>
      <c r="J31" s="24" t="s">
        <v>1768</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1751</v>
      </c>
      <c r="D32" s="13" t="s">
        <v>155</v>
      </c>
      <c r="E32" s="7" t="s">
        <v>127</v>
      </c>
      <c r="F32" s="7" t="s">
        <v>1737</v>
      </c>
      <c r="G32" s="7" t="str">
        <f t="shared" si="3"/>
        <v>text</v>
      </c>
      <c r="H32" s="58"/>
      <c r="I32" s="23" t="s">
        <v>127</v>
      </c>
      <c r="J32" s="24" t="s">
        <v>1768</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1752</v>
      </c>
      <c r="D33" s="13" t="s">
        <v>235</v>
      </c>
      <c r="E33" s="7"/>
      <c r="F33" s="7" t="s">
        <v>1737</v>
      </c>
      <c r="G33" s="7" t="str">
        <f t="shared" si="3"/>
        <v>text</v>
      </c>
      <c r="H33" s="58"/>
      <c r="I33" s="23"/>
      <c r="J33" s="24" t="s">
        <v>1768</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1737</v>
      </c>
      <c r="G34" s="7" t="str">
        <f t="shared" si="3"/>
        <v>text</v>
      </c>
      <c r="H34" s="58"/>
      <c r="I34" s="23"/>
      <c r="J34" s="24" t="s">
        <v>1768</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milscm_2023_009.sny_202310_base_mart_shinryou_koui.department_kubun IS '診療科区分';</v>
      </c>
    </row>
    <row r="35" spans="1:52" s="25" customFormat="1" ht="37.5">
      <c r="A35" s="4"/>
      <c r="B35" s="21">
        <f t="shared" si="2"/>
        <v>23</v>
      </c>
      <c r="C35" s="13" t="s">
        <v>1753</v>
      </c>
      <c r="D35" s="13" t="s">
        <v>243</v>
      </c>
      <c r="E35" s="7"/>
      <c r="F35" s="7" t="s">
        <v>1737</v>
      </c>
      <c r="G35" s="7" t="str">
        <f t="shared" si="3"/>
        <v>text</v>
      </c>
      <c r="H35" s="58"/>
      <c r="I35" s="23"/>
      <c r="J35" s="24" t="s">
        <v>1760</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milscm_2023_009.sny_202310_base_mart_shinryou_koui.nyugai_kubun IS '入外区分';</v>
      </c>
    </row>
    <row r="36" spans="1:52" s="25" customFormat="1" ht="19.5" thickBot="1">
      <c r="A36" s="4"/>
      <c r="B36" s="27">
        <f>ROW()-12</f>
        <v>24</v>
      </c>
      <c r="C36" s="57" t="s">
        <v>1754</v>
      </c>
      <c r="D36" s="57" t="s">
        <v>1755</v>
      </c>
      <c r="E36" s="56" t="s">
        <v>127</v>
      </c>
      <c r="F36" s="56" t="s">
        <v>204</v>
      </c>
      <c r="G36" s="56" t="str">
        <f t="shared" si="3"/>
        <v>integer</v>
      </c>
      <c r="H36" s="59"/>
      <c r="I36" s="60"/>
      <c r="J36" s="64" t="s">
        <v>1761</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ENT_31_A1-06</v>
      </c>
      <c r="E6" s="273"/>
      <c r="F6" s="273"/>
      <c r="G6" s="273"/>
      <c r="H6" s="273"/>
      <c r="I6" s="273"/>
      <c r="J6" s="274"/>
    </row>
    <row r="7" spans="1:45">
      <c r="B7" s="262" t="s">
        <v>115</v>
      </c>
      <c r="C7" s="263"/>
      <c r="D7" s="264" t="s">
        <v>3693</v>
      </c>
      <c r="E7" s="265"/>
      <c r="F7" s="265"/>
      <c r="G7" s="265"/>
      <c r="H7" s="265"/>
      <c r="I7" s="265"/>
      <c r="J7" s="266"/>
    </row>
    <row r="8" spans="1:45">
      <c r="B8" s="262" t="s">
        <v>116</v>
      </c>
      <c r="C8" s="263"/>
      <c r="D8" s="264" t="str">
        <f>エンティティ一覧!AE2&amp;"_"&amp;D5&amp;"_mart_nyu_tai_in"</f>
        <v>sny_202310_base_mart_nyu_tai_in</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バックアップ_入院退院データテーブルから対象患者で絞り込んだ結果を格納するテーブル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milscm_2023_009.sny_202310_base_mart_nyu_tai_in;</v>
      </c>
      <c r="O10" s="76"/>
      <c r="P10" s="76"/>
      <c r="Q10" s="76"/>
      <c r="R10" s="76"/>
      <c r="S10" s="76"/>
      <c r="T10" s="76"/>
      <c r="AJ10" s="76" t="str">
        <f>"ALTER TABLE ONLY "&amp;エンティティ一覧!$O$2&amp;"."&amp;D$8</f>
        <v>ALTER TABLE ONLY milscm_2023_009.sny_202310_base_mart_nyu_tai_in</v>
      </c>
      <c r="AS10" s="76" t="str">
        <f>"ALTER TABLE "&amp;エンティティ一覧!$O$2&amp;"."&amp;D$8&amp;" OWNER TO pgmisgrp1;"</f>
        <v>ALTER TABLE milscm_2023_009.sny_202310_base_mart_nyu_tai_in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milscm_2023_009.sny_202310_base_mart_nyu_tai_in</v>
      </c>
      <c r="O11" s="76"/>
      <c r="P11" s="76"/>
      <c r="Q11" s="76"/>
      <c r="R11" s="76"/>
      <c r="S11" s="76"/>
      <c r="T11" s="76"/>
      <c r="AJ11" s="76" t="str">
        <f>"ADD CONSTRAINT "&amp;D$8&amp;"_pkey PRIMARY KEY"</f>
        <v>ADD CONSTRAINT sny_202310_base_mart_nyu_tai_in_pkey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milscm_2023_009.sny_202310_base_mart_nyu_tai_in IS 'ベース_入院退院データ';</v>
      </c>
    </row>
    <row r="13" spans="1:45" s="25" customFormat="1">
      <c r="A13" s="4"/>
      <c r="B13" s="21">
        <f>ROW()-12</f>
        <v>1</v>
      </c>
      <c r="C13" s="6" t="s">
        <v>1736</v>
      </c>
      <c r="D13" s="6" t="s">
        <v>210</v>
      </c>
      <c r="E13" s="8" t="s">
        <v>127</v>
      </c>
      <c r="F13" s="8" t="s">
        <v>1737</v>
      </c>
      <c r="G13" s="7" t="str">
        <f>IF(F13="フラグ","boolean",IF(F13="文字列","text",IF(F13="整数","integer",IF(F13="実数","numeric",""))))</f>
        <v>text</v>
      </c>
      <c r="H13" s="9"/>
      <c r="I13" s="10" t="s">
        <v>127</v>
      </c>
      <c r="J13" s="11" t="s">
        <v>1815</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t="s">
        <v>1815</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milscm_2023_009.sny_202310_base_mart_nyu_tai_in.facility_id IS '施設ID';</v>
      </c>
    </row>
    <row r="15" spans="1:45" s="25" customFormat="1">
      <c r="A15" s="4"/>
      <c r="B15" s="21">
        <f t="shared" si="2"/>
        <v>3</v>
      </c>
      <c r="C15" s="6" t="s">
        <v>1807</v>
      </c>
      <c r="D15" s="6" t="s">
        <v>1808</v>
      </c>
      <c r="E15" s="8"/>
      <c r="F15" s="7" t="s">
        <v>1737</v>
      </c>
      <c r="G15" s="7" t="str">
        <f t="shared" si="3"/>
        <v>text</v>
      </c>
      <c r="H15" s="26"/>
      <c r="I15" s="10" t="s">
        <v>127</v>
      </c>
      <c r="J15" s="11" t="s">
        <v>1816</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milscm_2023_009.sny_202310_base_mart_nyu_tai_in.nyuin_ym IS '入院年月';</v>
      </c>
    </row>
    <row r="16" spans="1:45" s="25" customFormat="1">
      <c r="A16" s="4"/>
      <c r="B16" s="21">
        <f t="shared" si="2"/>
        <v>4</v>
      </c>
      <c r="C16" s="6" t="s">
        <v>1809</v>
      </c>
      <c r="D16" s="6" t="s">
        <v>1810</v>
      </c>
      <c r="E16" s="8"/>
      <c r="F16" s="7" t="s">
        <v>1737</v>
      </c>
      <c r="G16" s="7" t="str">
        <f t="shared" si="3"/>
        <v>text</v>
      </c>
      <c r="H16" s="26"/>
      <c r="I16" s="10" t="s">
        <v>127</v>
      </c>
      <c r="J16" s="11" t="s">
        <v>1817</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milscm_2023_009.sny_202310_base_mart_nyu_tai_in.taiin_ym IS '退院年月';</v>
      </c>
    </row>
    <row r="17" spans="1:52" s="25" customFormat="1">
      <c r="A17" s="4"/>
      <c r="B17" s="21">
        <f t="shared" si="2"/>
        <v>5</v>
      </c>
      <c r="C17" s="6" t="s">
        <v>1811</v>
      </c>
      <c r="D17" s="6" t="s">
        <v>156</v>
      </c>
      <c r="E17" s="8" t="s">
        <v>127</v>
      </c>
      <c r="F17" s="7" t="s">
        <v>1737</v>
      </c>
      <c r="G17" s="7" t="str">
        <f t="shared" si="3"/>
        <v>text</v>
      </c>
      <c r="H17" s="26"/>
      <c r="I17" s="10" t="s">
        <v>127</v>
      </c>
      <c r="J17" s="11" t="s">
        <v>1815</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1812</v>
      </c>
      <c r="D18" s="6" t="s">
        <v>212</v>
      </c>
      <c r="E18" s="8" t="s">
        <v>127</v>
      </c>
      <c r="F18" s="7" t="s">
        <v>1737</v>
      </c>
      <c r="G18" s="7" t="str">
        <f t="shared" si="3"/>
        <v>text</v>
      </c>
      <c r="H18" s="26"/>
      <c r="I18" s="10" t="s">
        <v>127</v>
      </c>
      <c r="J18" s="11" t="s">
        <v>1815</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milscm_2023_009.sny_202310_base_mart_nyu_tai_in.taiin_ymd IS '退院年月日';</v>
      </c>
    </row>
    <row r="19" spans="1:52" s="25" customFormat="1" ht="38.25" thickBot="1">
      <c r="A19" s="4"/>
      <c r="B19" s="27">
        <f>ROW()-12</f>
        <v>7</v>
      </c>
      <c r="C19" s="57" t="s">
        <v>1813</v>
      </c>
      <c r="D19" s="57" t="s">
        <v>1814</v>
      </c>
      <c r="E19" s="56"/>
      <c r="F19" s="56" t="s">
        <v>1737</v>
      </c>
      <c r="G19" s="56" t="str">
        <f t="shared" si="3"/>
        <v>text</v>
      </c>
      <c r="H19" s="59"/>
      <c r="I19" s="60" t="s">
        <v>127</v>
      </c>
      <c r="J19" s="64" t="s">
        <v>1818</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ENT_31_A1-14</v>
      </c>
      <c r="E6" s="273"/>
      <c r="F6" s="273"/>
      <c r="G6" s="273"/>
      <c r="H6" s="273"/>
      <c r="I6" s="273"/>
      <c r="J6" s="274"/>
    </row>
    <row r="7" spans="1:45">
      <c r="B7" s="262" t="s">
        <v>115</v>
      </c>
      <c r="C7" s="263"/>
      <c r="D7" s="264" t="s">
        <v>3694</v>
      </c>
      <c r="E7" s="265"/>
      <c r="F7" s="265"/>
      <c r="G7" s="265"/>
      <c r="H7" s="265"/>
      <c r="I7" s="265"/>
      <c r="J7" s="266"/>
    </row>
    <row r="8" spans="1:45">
      <c r="B8" s="262" t="s">
        <v>116</v>
      </c>
      <c r="C8" s="263"/>
      <c r="D8" s="264" t="str">
        <f>エンティティ一覧!AE2&amp;"_"&amp;D5&amp;"_mart_patient_basic"</f>
        <v>sny_202310_base_mart_patient_basic</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バックアップ_患者基本データテーブルから対象患者で絞り込んだ結果を格納するテーブル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milscm_2023_009.sny_202310_base_mart_patient_basic;</v>
      </c>
      <c r="O10" s="76"/>
      <c r="P10" s="76"/>
      <c r="Q10" s="76"/>
      <c r="R10" s="76"/>
      <c r="S10" s="76"/>
      <c r="T10" s="76"/>
      <c r="AJ10" s="76" t="str">
        <f>"ALTER TABLE ONLY "&amp;エンティティ一覧!$O$2&amp;"."&amp;D$8</f>
        <v>ALTER TABLE ONLY milscm_2023_009.sny_202310_base_mart_patient_basic</v>
      </c>
      <c r="AS10" s="76" t="str">
        <f>"ALTER TABLE "&amp;エンティティ一覧!$O$2&amp;"."&amp;D$8&amp;" OWNER TO pgmisgrp1;"</f>
        <v>ALTER TABLE milscm_2023_009.sny_202310_base_mart_patient_basic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milscm_2023_009.sny_202310_base_mart_patient_basic</v>
      </c>
      <c r="O11" s="76"/>
      <c r="P11" s="76"/>
      <c r="Q11" s="76"/>
      <c r="R11" s="76"/>
      <c r="S11" s="76"/>
      <c r="T11" s="76"/>
      <c r="AJ11" s="76" t="str">
        <f>"ADD CONSTRAINT "&amp;D$8&amp;"_pkey PRIMARY KEY"</f>
        <v>ADD CONSTRAINT sny_202310_base_mart_patient_basic_pkey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milscm_2023_009.sny_202310_base_mart_patient_basic IS 'ベース_患者基本データ';</v>
      </c>
    </row>
    <row r="13" spans="1:45" s="25" customFormat="1">
      <c r="A13" s="4"/>
      <c r="B13" s="21">
        <f>ROW()-12</f>
        <v>1</v>
      </c>
      <c r="C13" s="6" t="s">
        <v>1843</v>
      </c>
      <c r="D13" s="6" t="s">
        <v>128</v>
      </c>
      <c r="E13" s="8" t="s">
        <v>127</v>
      </c>
      <c r="F13" s="8" t="s">
        <v>1828</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1844</v>
      </c>
      <c r="D14" s="6" t="s">
        <v>1845</v>
      </c>
      <c r="E14" s="8" t="s">
        <v>127</v>
      </c>
      <c r="F14" s="7" t="s">
        <v>1828</v>
      </c>
      <c r="G14" s="7" t="str">
        <f t="shared" ref="G14:G21" si="3">IF(F14="フラグ","boolean",IF(F14="文字列","text",IF(F14="整数","integer",IF(F14="実数","numeric",""))))</f>
        <v>text</v>
      </c>
      <c r="H14" s="26"/>
      <c r="I14" s="10" t="s">
        <v>127</v>
      </c>
      <c r="J14" s="11" t="s">
        <v>1846</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1820</v>
      </c>
      <c r="D15" s="6" t="s">
        <v>208</v>
      </c>
      <c r="E15" s="8" t="s">
        <v>127</v>
      </c>
      <c r="F15" s="7" t="s">
        <v>1821</v>
      </c>
      <c r="G15" s="7" t="str">
        <f t="shared" si="3"/>
        <v>text</v>
      </c>
      <c r="H15" s="26"/>
      <c r="I15" s="10" t="s">
        <v>127</v>
      </c>
      <c r="J15" s="11" t="s">
        <v>1824</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1826</v>
      </c>
      <c r="D16" s="6" t="s">
        <v>1827</v>
      </c>
      <c r="E16" s="8"/>
      <c r="F16" s="7" t="s">
        <v>1828</v>
      </c>
      <c r="G16" s="7" t="str">
        <f t="shared" si="3"/>
        <v>text</v>
      </c>
      <c r="H16" s="26"/>
      <c r="I16" s="10"/>
      <c r="J16" s="11" t="s">
        <v>1850</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1829</v>
      </c>
      <c r="D17" s="6" t="s">
        <v>1830</v>
      </c>
      <c r="E17" s="8"/>
      <c r="F17" s="7" t="s">
        <v>1821</v>
      </c>
      <c r="G17" s="7" t="str">
        <f t="shared" si="3"/>
        <v>text</v>
      </c>
      <c r="H17" s="26"/>
      <c r="I17" s="10"/>
      <c r="J17" s="11" t="s">
        <v>1850</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milscm_2023_009.sny_202310_base_mart_patient_basic.shinryo_ym_max IS '診療年月_最大';</v>
      </c>
    </row>
    <row r="18" spans="1:52" s="25" customFormat="1">
      <c r="A18" s="4"/>
      <c r="B18" s="21">
        <f t="shared" si="2"/>
        <v>6</v>
      </c>
      <c r="C18" s="6" t="s">
        <v>1831</v>
      </c>
      <c r="D18" s="6" t="s">
        <v>945</v>
      </c>
      <c r="E18" s="8"/>
      <c r="F18" s="7" t="s">
        <v>1737</v>
      </c>
      <c r="G18" s="7" t="str">
        <f t="shared" si="3"/>
        <v>text</v>
      </c>
      <c r="H18" s="26"/>
      <c r="I18" s="10" t="s">
        <v>127</v>
      </c>
      <c r="J18" s="11" t="s">
        <v>1851</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milscm_2023_009.sny_202310_base_mart_patient_basic.sex_kubun IS '男女区分';</v>
      </c>
    </row>
    <row r="19" spans="1:52" s="25" customFormat="1" ht="56.25">
      <c r="A19" s="4"/>
      <c r="B19" s="21">
        <f t="shared" si="2"/>
        <v>7</v>
      </c>
      <c r="C19" s="6" t="s">
        <v>1832</v>
      </c>
      <c r="D19" s="6" t="s">
        <v>322</v>
      </c>
      <c r="E19" s="8"/>
      <c r="F19" s="7" t="s">
        <v>1737</v>
      </c>
      <c r="G19" s="7" t="str">
        <f t="shared" si="3"/>
        <v>text</v>
      </c>
      <c r="H19" s="26"/>
      <c r="I19" s="10" t="s">
        <v>127</v>
      </c>
      <c r="J19" s="11" t="s">
        <v>1852</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milscm_2023_009.sny_202310_base_mart_patient_basic.birthday IS '生年月日';</v>
      </c>
    </row>
    <row r="20" spans="1:52" s="25" customFormat="1" ht="75">
      <c r="A20" s="4"/>
      <c r="B20" s="21">
        <f t="shared" si="2"/>
        <v>8</v>
      </c>
      <c r="C20" s="6" t="s">
        <v>1278</v>
      </c>
      <c r="D20" s="6" t="s">
        <v>1279</v>
      </c>
      <c r="E20" s="8"/>
      <c r="F20" s="7" t="s">
        <v>317</v>
      </c>
      <c r="G20" s="7" t="str">
        <f t="shared" si="3"/>
        <v>text</v>
      </c>
      <c r="H20" s="26"/>
      <c r="I20" s="10"/>
      <c r="J20" s="11" t="s">
        <v>1853</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milscm_2023_009.sny_202310_base_mart_patient_basic.death_flag IS '死亡フラグ';</v>
      </c>
    </row>
    <row r="21" spans="1:52" s="25" customFormat="1" ht="75.75" thickBot="1">
      <c r="A21" s="4"/>
      <c r="B21" s="27">
        <f>ROW()-12</f>
        <v>9</v>
      </c>
      <c r="C21" s="57" t="s">
        <v>1280</v>
      </c>
      <c r="D21" s="57" t="s">
        <v>1281</v>
      </c>
      <c r="E21" s="56"/>
      <c r="F21" s="56" t="s">
        <v>317</v>
      </c>
      <c r="G21" s="56" t="str">
        <f t="shared" si="3"/>
        <v>text</v>
      </c>
      <c r="H21" s="59"/>
      <c r="I21" s="60"/>
      <c r="J21" s="64" t="s">
        <v>1854</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ENT_31_A6-02</v>
      </c>
      <c r="E6" s="273"/>
      <c r="F6" s="273"/>
      <c r="G6" s="273"/>
      <c r="H6" s="273"/>
      <c r="I6" s="273"/>
      <c r="J6" s="274"/>
    </row>
    <row r="7" spans="1:45">
      <c r="B7" s="262" t="s">
        <v>115</v>
      </c>
      <c r="C7" s="263"/>
      <c r="D7" s="264" t="s">
        <v>3695</v>
      </c>
      <c r="E7" s="265"/>
      <c r="F7" s="265"/>
      <c r="G7" s="265"/>
      <c r="H7" s="265"/>
      <c r="I7" s="265"/>
      <c r="J7" s="266"/>
    </row>
    <row r="8" spans="1:45">
      <c r="B8" s="262" t="s">
        <v>116</v>
      </c>
      <c r="C8" s="263"/>
      <c r="D8" s="264" t="str">
        <f>エンティティ一覧!AE2&amp;"_"&amp;D5&amp;"_text_mml_common"</f>
        <v>sny_202310_base_text_mml_common</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バックアップ_MML共通テーブルから対象患者で絞り込んだ結果を格納するテーブル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milscm_2023_009.sny_202310_base_text_mml_common;</v>
      </c>
      <c r="O10" s="76"/>
      <c r="P10" s="76"/>
      <c r="Q10" s="76"/>
      <c r="R10" s="76"/>
      <c r="S10" s="76"/>
      <c r="T10" s="76"/>
      <c r="AJ10" s="76" t="str">
        <f>"ALTER TABLE ONLY "&amp;エンティティ一覧!$O$2&amp;"."&amp;D$8</f>
        <v>ALTER TABLE ONLY milscm_2023_009.sny_202310_base_text_mml_common</v>
      </c>
      <c r="AS10" s="76" t="str">
        <f>"ALTER TABLE "&amp;エンティティ一覧!$O$2&amp;"."&amp;D$8&amp;" OWNER TO pgmisgrp1;"</f>
        <v>ALTER TABLE milscm_2023_009.sny_202310_base_text_mml_common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milscm_2023_009.sny_202310_base_text_mml_common</v>
      </c>
      <c r="O11" s="76"/>
      <c r="P11" s="76"/>
      <c r="Q11" s="76"/>
      <c r="R11" s="76"/>
      <c r="S11" s="76"/>
      <c r="T11" s="76"/>
      <c r="AJ11" s="76" t="str">
        <f>"ADD CONSTRAINT "&amp;D$8&amp;"_pkey PRIMARY KEY"</f>
        <v>ADD CONSTRAINT sny_202310_base_text_mml_common_pkey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milscm_2023_009.sny_202310_base_text_mml_common IS 'ベース_MML共通';</v>
      </c>
    </row>
    <row r="13" spans="1:45" s="25" customFormat="1">
      <c r="A13" s="4"/>
      <c r="B13" s="21">
        <f>ROW()-12</f>
        <v>1</v>
      </c>
      <c r="C13" s="6" t="s">
        <v>2780</v>
      </c>
      <c r="D13" s="6" t="s">
        <v>2781</v>
      </c>
      <c r="E13" s="8" t="s">
        <v>127</v>
      </c>
      <c r="F13" s="8" t="s">
        <v>3269</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2783</v>
      </c>
      <c r="D14" s="6" t="s">
        <v>2784</v>
      </c>
      <c r="E14" s="8" t="s">
        <v>127</v>
      </c>
      <c r="F14" s="7" t="s">
        <v>3269</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milscm_2023_009.sny_202310_base_text_mml_common.file_no IS 'ファイルNo';</v>
      </c>
    </row>
    <row r="15" spans="1:45" s="25" customFormat="1">
      <c r="A15" s="4"/>
      <c r="B15" s="21">
        <f t="shared" si="2"/>
        <v>3</v>
      </c>
      <c r="C15" s="6" t="s">
        <v>3258</v>
      </c>
      <c r="D15" s="6" t="s">
        <v>2786</v>
      </c>
      <c r="E15" s="8" t="s">
        <v>127</v>
      </c>
      <c r="F15" s="7" t="s">
        <v>3269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milscm_2023_009.sny_202310_base_text_mml_common.body_no IS '本文No';</v>
      </c>
    </row>
    <row r="16" spans="1:45" s="25" customFormat="1">
      <c r="A16" s="4"/>
      <c r="B16" s="21">
        <f t="shared" si="2"/>
        <v>4</v>
      </c>
      <c r="C16" s="6" t="s">
        <v>3259</v>
      </c>
      <c r="D16" s="6" t="s">
        <v>2403</v>
      </c>
      <c r="E16" s="8"/>
      <c r="F16" s="7" t="s">
        <v>317</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2788</v>
      </c>
      <c r="D17" s="6" t="s">
        <v>1246</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milscm_2023_009.sny_202310_base_text_mml_common.master_id IS '患者ID';</v>
      </c>
    </row>
    <row r="18" spans="1:52" s="25" customFormat="1">
      <c r="A18" s="4"/>
      <c r="B18" s="21">
        <f t="shared" si="2"/>
        <v>6</v>
      </c>
      <c r="C18" s="6" t="s">
        <v>3260</v>
      </c>
      <c r="D18" s="6" t="s">
        <v>1248</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milscm_2023_009.sny_202310_base_text_mml_common.uid IS 'UID';</v>
      </c>
    </row>
    <row r="19" spans="1:52" s="25" customFormat="1">
      <c r="A19" s="4"/>
      <c r="B19" s="21">
        <f t="shared" si="2"/>
        <v>7</v>
      </c>
      <c r="C19" s="6" t="s">
        <v>3261</v>
      </c>
      <c r="D19" s="6" t="s">
        <v>3262</v>
      </c>
      <c r="E19" s="8"/>
      <c r="F19" s="7" t="s">
        <v>317</v>
      </c>
      <c r="G19" s="7" t="str">
        <f t="shared" si="3"/>
        <v>text</v>
      </c>
      <c r="H19" s="26"/>
      <c r="I19" s="10" t="s">
        <v>127</v>
      </c>
      <c r="J19" s="11" t="s">
        <v>2794</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3263</v>
      </c>
      <c r="D20" s="6" t="s">
        <v>3264</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3265</v>
      </c>
      <c r="D21" s="6" t="s">
        <v>3266</v>
      </c>
      <c r="E21" s="8"/>
      <c r="F21" s="7" t="s">
        <v>317</v>
      </c>
      <c r="G21" s="7" t="str">
        <f t="shared" si="3"/>
        <v>text</v>
      </c>
      <c r="H21" s="26"/>
      <c r="I21" s="10" t="s">
        <v>127</v>
      </c>
      <c r="J21" s="11" t="s">
        <v>3271</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3267</v>
      </c>
      <c r="D22" s="6" t="s">
        <v>2508</v>
      </c>
      <c r="E22" s="8"/>
      <c r="F22" s="7" t="s">
        <v>2418</v>
      </c>
      <c r="G22" s="7" t="str">
        <f t="shared" si="3"/>
        <v>boolean</v>
      </c>
      <c r="H22" s="26" t="b">
        <v>1</v>
      </c>
      <c r="I22" s="10" t="s">
        <v>127</v>
      </c>
      <c r="J22" s="11" t="s">
        <v>3272</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milscm_2023_009.sny_202310_base_text_mml_common.new_f IS '最新フラグ';</v>
      </c>
    </row>
    <row r="23" spans="1:52" s="25" customFormat="1" ht="19.5" thickBot="1">
      <c r="A23" s="4"/>
      <c r="B23" s="27">
        <f>ROW()-12</f>
        <v>11</v>
      </c>
      <c r="C23" s="57" t="s">
        <v>3268</v>
      </c>
      <c r="D23" s="57" t="s">
        <v>1904</v>
      </c>
      <c r="E23" s="56"/>
      <c r="F23" s="56" t="s">
        <v>2418</v>
      </c>
      <c r="G23" s="56" t="str">
        <f t="shared" si="3"/>
        <v>boolean</v>
      </c>
      <c r="H23" s="59" t="b">
        <v>0</v>
      </c>
      <c r="I23" s="60" t="s">
        <v>127</v>
      </c>
      <c r="J23" s="64" t="s">
        <v>3273</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ENT_31_A6-03</v>
      </c>
      <c r="E6" s="273"/>
      <c r="F6" s="273"/>
      <c r="G6" s="273"/>
      <c r="H6" s="273"/>
      <c r="I6" s="273"/>
      <c r="J6" s="274"/>
    </row>
    <row r="7" spans="1:45">
      <c r="B7" s="262" t="s">
        <v>115</v>
      </c>
      <c r="C7" s="263"/>
      <c r="D7" s="264" t="s">
        <v>3696</v>
      </c>
      <c r="E7" s="265"/>
      <c r="F7" s="265"/>
      <c r="G7" s="265"/>
      <c r="H7" s="265"/>
      <c r="I7" s="265"/>
      <c r="J7" s="266"/>
    </row>
    <row r="8" spans="1:45">
      <c r="B8" s="262" t="s">
        <v>116</v>
      </c>
      <c r="C8" s="263"/>
      <c r="D8" s="264" t="str">
        <f>エンティティ一覧!AE2&amp;"_"&amp;D5&amp;"_text_mml_mmlrd_body"</f>
        <v>sny_202310_base_text_mml_mmlrd_body</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milscm_2023_009.sny_202310_base_text_mml_mmlrd_body;</v>
      </c>
      <c r="O10" s="76"/>
      <c r="P10" s="76"/>
      <c r="Q10" s="76"/>
      <c r="R10" s="76"/>
      <c r="S10" s="76"/>
      <c r="T10" s="76"/>
      <c r="AJ10" s="76" t="str">
        <f>"ALTER TABLE ONLY "&amp;エンティティ一覧!$O$2&amp;"."&amp;D$8</f>
        <v>ALTER TABLE ONLY milscm_2023_009.sny_202310_base_text_mml_mmlrd_body</v>
      </c>
      <c r="AS10" s="76" t="str">
        <f>"ALTER TABLE "&amp;エンティティ一覧!$O$2&amp;"."&amp;D$8&amp;" OWNER TO pgmisgrp1;"</f>
        <v>ALTER TABLE milscm_2023_009.sny_202310_base_text_mml_mmlrd_body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milscm_2023_009.sny_202310_base_text_mml_mmlrd_body</v>
      </c>
      <c r="O11" s="76"/>
      <c r="P11" s="76"/>
      <c r="Q11" s="76"/>
      <c r="R11" s="76"/>
      <c r="S11" s="76"/>
      <c r="T11" s="76"/>
      <c r="AJ11" s="76" t="str">
        <f>"ADD CONSTRAINT "&amp;D$8&amp;"_pkey PRIMARY KEY"</f>
        <v>ADD CONSTRAINT sny_202310_base_text_mml_mmlrd_body_pkey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2783</v>
      </c>
      <c r="D14" s="6" t="s">
        <v>2784</v>
      </c>
      <c r="E14" s="8" t="s">
        <v>127</v>
      </c>
      <c r="F14" s="7" t="s">
        <v>2782</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milscm_2023_009.sny_202310_base_text_mml_mmlrd_body.body_no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milscm_2023_009.sny_202310_base_text_mml_mmlrd_body.master_id IS '患者ID';</v>
      </c>
    </row>
    <row r="18" spans="1:52" s="25" customFormat="1">
      <c r="A18" s="4"/>
      <c r="B18" s="21">
        <f t="shared" si="2"/>
        <v>6</v>
      </c>
      <c r="C18" s="6" t="s">
        <v>1303</v>
      </c>
      <c r="D18" s="6" t="s">
        <v>2789</v>
      </c>
      <c r="E18" s="8"/>
      <c r="F18" s="7" t="s">
        <v>1821</v>
      </c>
      <c r="G18" s="7" t="str">
        <f t="shared" si="3"/>
        <v>text</v>
      </c>
      <c r="H18" s="26"/>
      <c r="I18" s="10"/>
      <c r="J18" s="11" t="s">
        <v>2794</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1305</v>
      </c>
      <c r="D19" s="6" t="s">
        <v>2790</v>
      </c>
      <c r="E19" s="8"/>
      <c r="F19" s="7" t="s">
        <v>1821</v>
      </c>
      <c r="G19" s="7" t="str">
        <f t="shared" si="3"/>
        <v>text</v>
      </c>
      <c r="H19" s="26"/>
      <c r="I19" s="10"/>
      <c r="J19" s="11" t="s">
        <v>2794</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1307</v>
      </c>
      <c r="D20" s="6" t="s">
        <v>2791</v>
      </c>
      <c r="E20" s="8"/>
      <c r="F20" s="7" t="s">
        <v>1821</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milscm_2023_009.sny_202310_base_text_mml_mmlrd_body.outcome IS '転帰';</v>
      </c>
    </row>
    <row r="21" spans="1:52" s="25" customFormat="1" ht="19.5" thickBot="1">
      <c r="A21" s="4"/>
      <c r="B21" s="27">
        <f>ROW()-12</f>
        <v>9</v>
      </c>
      <c r="C21" s="57" t="s">
        <v>1309</v>
      </c>
      <c r="D21" s="57" t="s">
        <v>2792</v>
      </c>
      <c r="E21" s="56"/>
      <c r="F21" s="56" t="s">
        <v>1821</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ENT_31_A6-04</v>
      </c>
      <c r="E6" s="273"/>
      <c r="F6" s="273"/>
      <c r="G6" s="273"/>
      <c r="H6" s="273"/>
      <c r="I6" s="273"/>
      <c r="J6" s="274"/>
    </row>
    <row r="7" spans="1:45">
      <c r="B7" s="262" t="s">
        <v>115</v>
      </c>
      <c r="C7" s="263"/>
      <c r="D7" s="264" t="s">
        <v>3697</v>
      </c>
      <c r="E7" s="265"/>
      <c r="F7" s="265"/>
      <c r="G7" s="265"/>
      <c r="H7" s="265"/>
      <c r="I7" s="265"/>
      <c r="J7" s="266"/>
    </row>
    <row r="8" spans="1:45">
      <c r="B8" s="262" t="s">
        <v>116</v>
      </c>
      <c r="C8" s="263"/>
      <c r="D8" s="264" t="str">
        <f>エンティティ一覧!AE2&amp;"_"&amp;D5&amp;"_text_mml_mmlrd_byomei"</f>
        <v>sny_202310_base_text_mml_mmlrd_byomei</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milscm_2023_009.sny_202310_base_text_mml_mmlrd_byomei;</v>
      </c>
      <c r="O10" s="76"/>
      <c r="P10" s="76"/>
      <c r="Q10" s="76"/>
      <c r="R10" s="76"/>
      <c r="S10" s="76"/>
      <c r="T10" s="76"/>
      <c r="AJ10" s="76" t="str">
        <f>"ALTER TABLE ONLY "&amp;エンティティ一覧!$O$2&amp;"."&amp;D$8</f>
        <v>ALTER TABLE ONLY milscm_2023_009.sny_202310_base_text_mml_mmlrd_byomei</v>
      </c>
      <c r="AS10" s="76" t="str">
        <f>"ALTER TABLE "&amp;エンティティ一覧!$O$2&amp;"."&amp;D$8&amp;" OWNER TO pgmisgrp1;"</f>
        <v>ALTER TABLE milscm_2023_009.sny_202310_base_text_mml_mmlrd_byomei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milscm_2023_009.sny_202310_base_text_mml_mmlrd_byomei</v>
      </c>
      <c r="O11" s="76"/>
      <c r="P11" s="76"/>
      <c r="Q11" s="76"/>
      <c r="R11" s="76"/>
      <c r="S11" s="76"/>
      <c r="T11" s="76"/>
      <c r="AJ11" s="76" t="str">
        <f>"ADD CONSTRAINT "&amp;D$8&amp;"_pkey PRIMARY KEY"</f>
        <v>ADD CONSTRAINT sny_202310_base_text_mml_mmlrd_byomei_pkey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2783</v>
      </c>
      <c r="D14" s="6" t="s">
        <v>2784</v>
      </c>
      <c r="E14" s="8" t="s">
        <v>127</v>
      </c>
      <c r="F14" s="7" t="s">
        <v>2782</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milscm_2023_009.sny_202310_base_text_mml_mmlrd_byomei.body_no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2796</v>
      </c>
      <c r="D18" s="6" t="s">
        <v>2797</v>
      </c>
      <c r="E18" s="8" t="s">
        <v>127</v>
      </c>
      <c r="F18" s="7" t="s">
        <v>2782</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2798</v>
      </c>
      <c r="D19" s="6" t="s">
        <v>2799</v>
      </c>
      <c r="E19" s="8"/>
      <c r="F19" s="7" t="s">
        <v>1821</v>
      </c>
      <c r="G19" s="7" t="str">
        <f t="shared" si="3"/>
        <v>text</v>
      </c>
      <c r="H19" s="26"/>
      <c r="I19" s="10"/>
      <c r="J19" s="11" t="s">
        <v>2804</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milscm_2023_009.sny_202310_base_text_mml_mmlrd_byomei.tag_name IS 'タグ名';</v>
      </c>
    </row>
    <row r="20" spans="1:52" s="25" customFormat="1" ht="37.5">
      <c r="A20" s="4"/>
      <c r="B20" s="21">
        <f t="shared" si="2"/>
        <v>8</v>
      </c>
      <c r="C20" s="6" t="s">
        <v>1321</v>
      </c>
      <c r="D20" s="6" t="s">
        <v>2800</v>
      </c>
      <c r="E20" s="8"/>
      <c r="F20" s="7" t="s">
        <v>1821</v>
      </c>
      <c r="G20" s="7" t="str">
        <f t="shared" si="3"/>
        <v>text</v>
      </c>
      <c r="H20" s="26"/>
      <c r="I20" s="10"/>
      <c r="J20" s="11" t="s">
        <v>2805</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milscm_2023_009.sny_202310_base_text_mml_mmlrd_byomei.diagnosis IS '病名';</v>
      </c>
    </row>
    <row r="21" spans="1:52" s="25" customFormat="1">
      <c r="A21" s="4"/>
      <c r="B21" s="21">
        <f t="shared" si="2"/>
        <v>9</v>
      </c>
      <c r="C21" s="6" t="s">
        <v>2801</v>
      </c>
      <c r="D21" s="6" t="s">
        <v>359</v>
      </c>
      <c r="E21" s="8"/>
      <c r="F21" s="7" t="s">
        <v>1821</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milscm_2023_009.sny_202310_base_text_mml_mmlrd_byomei.code IS 'コード値';</v>
      </c>
    </row>
    <row r="22" spans="1:52" s="25" customFormat="1" ht="19.5" thickBot="1">
      <c r="A22" s="4"/>
      <c r="B22" s="27">
        <f>ROW()-12</f>
        <v>10</v>
      </c>
      <c r="C22" s="57" t="s">
        <v>2802</v>
      </c>
      <c r="D22" s="57" t="s">
        <v>2803</v>
      </c>
      <c r="E22" s="56"/>
      <c r="F22" s="56" t="s">
        <v>1821</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ENT_31_A6-18</v>
      </c>
      <c r="E6" s="273"/>
      <c r="F6" s="273"/>
      <c r="G6" s="273"/>
      <c r="H6" s="273"/>
      <c r="I6" s="273"/>
      <c r="J6" s="274"/>
    </row>
    <row r="7" spans="1:45">
      <c r="B7" s="262" t="s">
        <v>115</v>
      </c>
      <c r="C7" s="263"/>
      <c r="D7" s="264" t="s">
        <v>4010</v>
      </c>
      <c r="E7" s="265"/>
      <c r="F7" s="265"/>
      <c r="G7" s="265"/>
      <c r="H7" s="265"/>
      <c r="I7" s="265"/>
      <c r="J7" s="266"/>
    </row>
    <row r="8" spans="1:45">
      <c r="B8" s="262" t="s">
        <v>116</v>
      </c>
      <c r="C8" s="263"/>
      <c r="D8" s="264" t="str">
        <f>エンティティ一覧!AE2&amp;"_"&amp;D5&amp;"_text_mml_mmllb_body"</f>
        <v>sny_202310_base_text_mml_mmllb_body</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milscm_2023_009.sny_202310_base_text_mml_mmllb_body;</v>
      </c>
      <c r="O10" s="76"/>
      <c r="P10" s="76"/>
      <c r="Q10" s="76"/>
      <c r="R10" s="76"/>
      <c r="S10" s="76"/>
      <c r="T10" s="76"/>
      <c r="AJ10" s="76" t="str">
        <f>"ALTER TABLE ONLY "&amp;エンティティ一覧!$O$2&amp;"."&amp;D$8</f>
        <v>ALTER TABLE ONLY milscm_2023_009.sny_202310_base_text_mml_mmllb_body</v>
      </c>
      <c r="AS10" s="76" t="str">
        <f>"ALTER TABLE "&amp;エンティティ一覧!$O$2&amp;"."&amp;D$8&amp;" OWNER TO pgmisgrp1;"</f>
        <v>ALTER TABLE milscm_2023_009.sny_202310_base_text_mml_mmllb_body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milscm_2023_009.sny_202310_base_text_mml_mmllb_body</v>
      </c>
      <c r="O11" s="76"/>
      <c r="P11" s="76"/>
      <c r="Q11" s="76"/>
      <c r="R11" s="76"/>
      <c r="S11" s="76"/>
      <c r="T11" s="76"/>
      <c r="AJ11" s="76" t="str">
        <f>"ADD CONSTRAINT "&amp;D$8&amp;"_pkey PRIMARY KEY"</f>
        <v>ADD CONSTRAINT sny_202310_base_text_mml_mmllb_body_pkey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milscm_2023_009.sny_202310_base_text_mml_mmllb_body IS 'ベース_MML_検歴情報モジュール_本文';</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milscm_2023_009.sny_202310_base_text_mml_mmllb_body.zip_no IS 'ZipファイルNo';</v>
      </c>
    </row>
    <row r="14" spans="1:45" s="25" customFormat="1">
      <c r="A14" s="4"/>
      <c r="B14" s="21">
        <f t="shared" ref="B14:B45" si="2">ROW()-12</f>
        <v>2</v>
      </c>
      <c r="C14" s="6" t="s">
        <v>2783</v>
      </c>
      <c r="D14" s="6" t="s">
        <v>2784</v>
      </c>
      <c r="E14" s="8" t="s">
        <v>127</v>
      </c>
      <c r="F14" s="7" t="s">
        <v>3274</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milscm_2023_009.sny_202310_base_text_mml_mmllb_body.file_no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milscm_2023_009.sny_202310_base_text_mml_mmllb_body.body_no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milscm_2023_009.sny_202310_base_text_mml_mmllb_body.facility_id_mml IS '施設ID（MML）';</v>
      </c>
    </row>
    <row r="17" spans="1:45"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milscm_2023_009.sny_202310_base_text_mml_mmllb_body.master_id IS '患者ID';</v>
      </c>
    </row>
    <row r="18" spans="1:45" s="25" customFormat="1">
      <c r="A18" s="4"/>
      <c r="B18" s="21">
        <f t="shared" si="2"/>
        <v>6</v>
      </c>
      <c r="C18" s="6" t="s">
        <v>1546</v>
      </c>
      <c r="D18" s="6" t="s">
        <v>3867</v>
      </c>
      <c r="E18" s="8"/>
      <c r="F18" s="7" t="s">
        <v>3276</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milscm_2023_009.sny_202310_base_text_mml_mmllb_body.regist_id IS '依頼ID';</v>
      </c>
    </row>
    <row r="19" spans="1:45" s="25" customFormat="1">
      <c r="A19" s="4"/>
      <c r="B19" s="21">
        <f t="shared" si="2"/>
        <v>7</v>
      </c>
      <c r="C19" s="6" t="s">
        <v>1548</v>
      </c>
      <c r="D19" s="6" t="s">
        <v>1549</v>
      </c>
      <c r="E19" s="8"/>
      <c r="F19" s="7" t="s">
        <v>3276</v>
      </c>
      <c r="G19" s="7" t="str">
        <f t="shared" si="3"/>
        <v>text</v>
      </c>
      <c r="H19" s="26"/>
      <c r="I19" s="10"/>
      <c r="J19" s="11" t="s">
        <v>2794</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milscm_2023_009.sny_202310_base_text_mml_mmllb_body.sample_time IS '採取日時';</v>
      </c>
    </row>
    <row r="20" spans="1:45" s="25" customFormat="1">
      <c r="A20" s="4"/>
      <c r="B20" s="21">
        <f t="shared" si="2"/>
        <v>8</v>
      </c>
      <c r="C20" s="6" t="s">
        <v>1550</v>
      </c>
      <c r="D20" s="6" t="s">
        <v>3868</v>
      </c>
      <c r="E20" s="8"/>
      <c r="F20" s="7" t="s">
        <v>3276</v>
      </c>
      <c r="G20" s="7" t="str">
        <f t="shared" si="3"/>
        <v>text</v>
      </c>
      <c r="H20" s="26"/>
      <c r="I20" s="10"/>
      <c r="J20" s="11" t="s">
        <v>2794</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milscm_2023_009.sny_202310_base_text_mml_mmllb_body.regist_time IS '受付日時';</v>
      </c>
    </row>
    <row r="21" spans="1:45" s="25" customFormat="1">
      <c r="A21" s="4"/>
      <c r="B21" s="21">
        <f t="shared" si="2"/>
        <v>9</v>
      </c>
      <c r="C21" s="6" t="s">
        <v>1552</v>
      </c>
      <c r="D21" s="6" t="s">
        <v>1553</v>
      </c>
      <c r="E21" s="8"/>
      <c r="F21" s="7" t="s">
        <v>3276</v>
      </c>
      <c r="G21" s="7" t="str">
        <f t="shared" si="3"/>
        <v>text</v>
      </c>
      <c r="H21" s="26"/>
      <c r="I21" s="10"/>
      <c r="J21" s="11" t="s">
        <v>2794</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milscm_2023_009.sny_202310_base_text_mml_mmllb_body.report_time IS '報告日時';</v>
      </c>
    </row>
    <row r="22" spans="1:45" s="25" customFormat="1">
      <c r="A22" s="4"/>
      <c r="B22" s="21">
        <f t="shared" si="2"/>
        <v>10</v>
      </c>
      <c r="C22" s="6" t="s">
        <v>1554</v>
      </c>
      <c r="D22" s="6" t="s">
        <v>2943</v>
      </c>
      <c r="E22" s="8"/>
      <c r="F22" s="7" t="s">
        <v>3276</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milscm_2023_009.sny_202310_base_text_mml_mmllb_body.report_status IS '報告状態';</v>
      </c>
    </row>
    <row r="23" spans="1:45" s="25" customFormat="1">
      <c r="A23" s="4"/>
      <c r="B23" s="21">
        <f t="shared" si="2"/>
        <v>11</v>
      </c>
      <c r="C23" s="6" t="s">
        <v>1556</v>
      </c>
      <c r="D23" s="6" t="s">
        <v>1557</v>
      </c>
      <c r="E23" s="8"/>
      <c r="F23" s="7" t="s">
        <v>3276</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milscm_2023_009.sny_202310_base_text_mml_mmllb_body.status_code IS '報告状態コード';</v>
      </c>
    </row>
    <row r="24" spans="1:45" s="25" customFormat="1">
      <c r="A24" s="4"/>
      <c r="B24" s="21">
        <f t="shared" si="2"/>
        <v>12</v>
      </c>
      <c r="C24" s="6" t="s">
        <v>2945</v>
      </c>
      <c r="D24" s="6" t="s">
        <v>3869</v>
      </c>
      <c r="E24" s="8"/>
      <c r="F24" s="7" t="s">
        <v>3276</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milscm_2023_009.sny_202310_base_text_mml_mmllb_body.status_code_id IS '報告状態コードID';</v>
      </c>
    </row>
    <row r="25" spans="1:45" s="25" customFormat="1">
      <c r="A25" s="4"/>
      <c r="B25" s="21">
        <f t="shared" si="2"/>
        <v>13</v>
      </c>
      <c r="C25" s="6" t="s">
        <v>1558</v>
      </c>
      <c r="D25" s="6" t="s">
        <v>3870</v>
      </c>
      <c r="E25" s="8"/>
      <c r="F25" s="7" t="s">
        <v>3276</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milscm_2023_009.sny_202310_base_text_mml_mmllb_body.set IS 'セット名';</v>
      </c>
    </row>
    <row r="26" spans="1:45" s="25" customFormat="1">
      <c r="A26" s="4"/>
      <c r="B26" s="21">
        <f t="shared" si="2"/>
        <v>14</v>
      </c>
      <c r="C26" s="6" t="s">
        <v>1560</v>
      </c>
      <c r="D26" s="6" t="s">
        <v>3871</v>
      </c>
      <c r="E26" s="8"/>
      <c r="F26" s="7" t="s">
        <v>3276</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milscm_2023_009.sny_202310_base_text_mml_mmllb_body.set_code IS 'セット名コード';</v>
      </c>
    </row>
    <row r="27" spans="1:45" s="25" customFormat="1">
      <c r="A27" s="4"/>
      <c r="B27" s="21">
        <f t="shared" si="2"/>
        <v>15</v>
      </c>
      <c r="C27" s="6" t="s">
        <v>1562</v>
      </c>
      <c r="D27" s="6" t="s">
        <v>3872</v>
      </c>
      <c r="E27" s="8"/>
      <c r="F27" s="7" t="s">
        <v>3276</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milscm_2023_009.sny_202310_base_text_mml_mmllb_body.set_code_id IS 'セット名コードID';</v>
      </c>
    </row>
    <row r="28" spans="1:45" s="25" customFormat="1">
      <c r="A28" s="4"/>
      <c r="B28" s="21">
        <f t="shared" si="2"/>
        <v>16</v>
      </c>
      <c r="C28" s="6" t="s">
        <v>2961</v>
      </c>
      <c r="D28" s="6" t="s">
        <v>3873</v>
      </c>
      <c r="E28" s="8"/>
      <c r="F28" s="7" t="s">
        <v>3276</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milscm_2023_009.sny_202310_base_text_mml_mmllb_body.facility IS '依頼施設';</v>
      </c>
    </row>
    <row r="29" spans="1:45" s="25" customFormat="1">
      <c r="A29" s="4"/>
      <c r="B29" s="21">
        <f t="shared" si="2"/>
        <v>17</v>
      </c>
      <c r="C29" s="6" t="s">
        <v>1566</v>
      </c>
      <c r="D29" s="6" t="s">
        <v>3874</v>
      </c>
      <c r="E29" s="8"/>
      <c r="F29" s="7" t="s">
        <v>3276</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milscm_2023_009.sny_202310_base_text_mml_mmllb_body.facility_code IS '依頼施設コード';</v>
      </c>
    </row>
    <row r="30" spans="1:45" s="25" customFormat="1">
      <c r="A30" s="4"/>
      <c r="B30" s="21">
        <f t="shared" si="2"/>
        <v>18</v>
      </c>
      <c r="C30" s="6" t="s">
        <v>1568</v>
      </c>
      <c r="D30" s="6" t="s">
        <v>3875</v>
      </c>
      <c r="E30" s="8"/>
      <c r="F30" s="7" t="s">
        <v>3276</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milscm_2023_009.sny_202310_base_text_mml_mmllb_body.facility_code_id IS '依頼施設コードID';</v>
      </c>
    </row>
    <row r="31" spans="1:45" s="25" customFormat="1">
      <c r="A31" s="4"/>
      <c r="B31" s="21">
        <f t="shared" si="2"/>
        <v>19</v>
      </c>
      <c r="C31" s="6" t="s">
        <v>1570</v>
      </c>
      <c r="D31" s="6" t="s">
        <v>3876</v>
      </c>
      <c r="E31" s="8"/>
      <c r="F31" s="7" t="s">
        <v>3276</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milscm_2023_009.sny_202310_base_text_mml_mmllb_body.department IS '依頼診療科';</v>
      </c>
    </row>
    <row r="32" spans="1:45" s="25" customFormat="1">
      <c r="A32" s="4"/>
      <c r="B32" s="21">
        <f t="shared" si="2"/>
        <v>20</v>
      </c>
      <c r="C32" s="6" t="s">
        <v>1572</v>
      </c>
      <c r="D32" s="6" t="s">
        <v>1683</v>
      </c>
      <c r="E32" s="8"/>
      <c r="F32" s="7" t="s">
        <v>3276</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milscm_2023_009.sny_202310_base_text_mml_mmllb_body.department_code IS '依頼診療科コード';</v>
      </c>
    </row>
    <row r="33" spans="1:52" s="25" customFormat="1">
      <c r="A33" s="4"/>
      <c r="B33" s="21">
        <f t="shared" si="2"/>
        <v>21</v>
      </c>
      <c r="C33" s="6" t="s">
        <v>2967</v>
      </c>
      <c r="D33" s="6" t="s">
        <v>3877</v>
      </c>
      <c r="E33" s="8"/>
      <c r="F33" s="7" t="s">
        <v>3276</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milscm_2023_009.sny_202310_base_text_mml_mmllb_body.department_code_id IS '依頼診療科コードID';</v>
      </c>
    </row>
    <row r="34" spans="1:52" s="25" customFormat="1">
      <c r="A34" s="4"/>
      <c r="B34" s="21">
        <f t="shared" si="2"/>
        <v>22</v>
      </c>
      <c r="C34" s="6" t="s">
        <v>1574</v>
      </c>
      <c r="D34" s="6" t="s">
        <v>1685</v>
      </c>
      <c r="E34" s="8"/>
      <c r="F34" s="7" t="s">
        <v>3276</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milscm_2023_009.sny_202310_base_text_mml_mmllb_body.ward IS '依頼病棟';</v>
      </c>
    </row>
    <row r="35" spans="1:52" s="25" customFormat="1">
      <c r="A35" s="4"/>
      <c r="B35" s="21">
        <f t="shared" si="2"/>
        <v>23</v>
      </c>
      <c r="C35" s="6" t="s">
        <v>1576</v>
      </c>
      <c r="D35" s="6" t="s">
        <v>239</v>
      </c>
      <c r="E35" s="8"/>
      <c r="F35" s="7" t="s">
        <v>3276</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milscm_2023_009.sny_202310_base_text_mml_mmllb_body.ward_code IS '依頼病棟コード';</v>
      </c>
    </row>
    <row r="36" spans="1:52" s="25" customFormat="1">
      <c r="A36" s="4"/>
      <c r="B36" s="21">
        <f t="shared" si="2"/>
        <v>24</v>
      </c>
      <c r="C36" s="6" t="s">
        <v>1578</v>
      </c>
      <c r="D36" s="6" t="s">
        <v>1687</v>
      </c>
      <c r="E36" s="8"/>
      <c r="F36" s="7" t="s">
        <v>3276</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milscm_2023_009.sny_202310_base_text_mml_mmllb_body.ward_code_id IS '依頼病棟コードID';</v>
      </c>
    </row>
    <row r="37" spans="1:52" s="25" customFormat="1">
      <c r="A37" s="4"/>
      <c r="B37" s="21">
        <f t="shared" si="2"/>
        <v>25</v>
      </c>
      <c r="C37" s="6" t="s">
        <v>3878</v>
      </c>
      <c r="D37" s="6" t="s">
        <v>3879</v>
      </c>
      <c r="E37" s="8"/>
      <c r="F37" s="7" t="s">
        <v>3276</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milscm_2023_009.sny_202310_base_text_mml_mmllb_body.client IS '依頼者';</v>
      </c>
    </row>
    <row r="38" spans="1:52" s="25" customFormat="1">
      <c r="A38" s="4"/>
      <c r="B38" s="21">
        <f t="shared" si="2"/>
        <v>26</v>
      </c>
      <c r="C38" s="6" t="s">
        <v>3880</v>
      </c>
      <c r="D38" s="6" t="s">
        <v>3881</v>
      </c>
      <c r="E38" s="8"/>
      <c r="F38" s="7" t="s">
        <v>3276</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milscm_2023_009.sny_202310_base_text_mml_mmllb_body.client_code IS '依頼者コード';</v>
      </c>
    </row>
    <row r="39" spans="1:52" s="25" customFormat="1">
      <c r="A39" s="4"/>
      <c r="B39" s="21">
        <f t="shared" si="2"/>
        <v>27</v>
      </c>
      <c r="C39" s="6" t="s">
        <v>3882</v>
      </c>
      <c r="D39" s="6" t="s">
        <v>3883</v>
      </c>
      <c r="E39" s="8"/>
      <c r="F39" s="7" t="s">
        <v>3276</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milscm_2023_009.sny_202310_base_text_mml_mmllb_body.client_code_id IS '依頼者コードID';</v>
      </c>
    </row>
    <row r="40" spans="1:52" s="25" customFormat="1">
      <c r="A40" s="4"/>
      <c r="B40" s="21">
        <f t="shared" si="2"/>
        <v>28</v>
      </c>
      <c r="C40" s="6" t="s">
        <v>3884</v>
      </c>
      <c r="D40" s="6" t="s">
        <v>3885</v>
      </c>
      <c r="E40" s="8"/>
      <c r="F40" s="7" t="s">
        <v>3276</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milscm_2023_009.sny_202310_base_text_mml_mmllb_body.laboratory_center IS '検査実施施設';</v>
      </c>
    </row>
    <row r="41" spans="1:52" s="25" customFormat="1">
      <c r="A41" s="4"/>
      <c r="B41" s="21">
        <f t="shared" si="2"/>
        <v>29</v>
      </c>
      <c r="C41" s="6" t="s">
        <v>3886</v>
      </c>
      <c r="D41" s="6" t="s">
        <v>3887</v>
      </c>
      <c r="E41" s="8"/>
      <c r="F41" s="7" t="s">
        <v>3276</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milscm_2023_009.sny_202310_base_text_mml_mmllb_body.laboratory_center_code IS '検査実施施設コード';</v>
      </c>
    </row>
    <row r="42" spans="1:52" s="25" customFormat="1" ht="31.5">
      <c r="A42" s="4"/>
      <c r="B42" s="21">
        <f t="shared" si="2"/>
        <v>30</v>
      </c>
      <c r="C42" s="6" t="s">
        <v>3888</v>
      </c>
      <c r="D42" s="6" t="s">
        <v>3889</v>
      </c>
      <c r="E42" s="8"/>
      <c r="F42" s="7" t="s">
        <v>3276</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milscm_2023_009.sny_202310_base_text_mml_mmllb_body.laboratory_center_code_id IS '検査実施施設コードID';</v>
      </c>
    </row>
    <row r="43" spans="1:52" s="25" customFormat="1">
      <c r="A43" s="4"/>
      <c r="B43" s="21">
        <f t="shared" si="2"/>
        <v>31</v>
      </c>
      <c r="C43" s="6" t="s">
        <v>3890</v>
      </c>
      <c r="D43" s="6" t="s">
        <v>3891</v>
      </c>
      <c r="E43" s="8"/>
      <c r="F43" s="7" t="s">
        <v>3276</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milscm_2023_009.sny_202310_base_text_mml_mmllb_body.technician IS '検査実施者';</v>
      </c>
    </row>
    <row r="44" spans="1:52" s="25" customFormat="1">
      <c r="A44" s="4"/>
      <c r="B44" s="21">
        <f t="shared" si="2"/>
        <v>32</v>
      </c>
      <c r="C44" s="6" t="s">
        <v>3892</v>
      </c>
      <c r="D44" s="6" t="s">
        <v>3893</v>
      </c>
      <c r="E44" s="8"/>
      <c r="F44" s="7" t="s">
        <v>3276</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milscm_2023_009.sny_202310_base_text_mml_mmllb_body.technician_code IS '検査実施者コード';</v>
      </c>
    </row>
    <row r="45" spans="1:52" s="25" customFormat="1">
      <c r="A45" s="4"/>
      <c r="B45" s="21">
        <f t="shared" si="2"/>
        <v>33</v>
      </c>
      <c r="C45" s="6" t="s">
        <v>3894</v>
      </c>
      <c r="D45" s="6" t="s">
        <v>3895</v>
      </c>
      <c r="E45" s="8"/>
      <c r="F45" s="7" t="s">
        <v>3276</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milscm_2023_009.sny_202310_base_text_mml_mmllb_body.technician_code_id IS '検査実施者コードID';</v>
      </c>
    </row>
    <row r="46" spans="1:52" s="25" customFormat="1" ht="19.5" thickBot="1">
      <c r="A46" s="4"/>
      <c r="B46" s="27">
        <f>ROW()-12</f>
        <v>34</v>
      </c>
      <c r="C46" s="57" t="s">
        <v>1580</v>
      </c>
      <c r="D46" s="57" t="s">
        <v>3896</v>
      </c>
      <c r="E46" s="56"/>
      <c r="F46" s="56" t="s">
        <v>3276</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ENT_31_A6-19</v>
      </c>
      <c r="E6" s="273"/>
      <c r="F6" s="273"/>
      <c r="G6" s="273"/>
      <c r="H6" s="273"/>
      <c r="I6" s="273"/>
      <c r="J6" s="274"/>
    </row>
    <row r="7" spans="1:45">
      <c r="B7" s="262" t="s">
        <v>115</v>
      </c>
      <c r="C7" s="263"/>
      <c r="D7" s="264" t="s">
        <v>4011</v>
      </c>
      <c r="E7" s="265"/>
      <c r="F7" s="265"/>
      <c r="G7" s="265"/>
      <c r="H7" s="265"/>
      <c r="I7" s="265"/>
      <c r="J7" s="266"/>
    </row>
    <row r="8" spans="1:45">
      <c r="B8" s="262" t="s">
        <v>116</v>
      </c>
      <c r="C8" s="263"/>
      <c r="D8" s="264" t="str">
        <f>エンティティ一覧!AE2&amp;"_"&amp;D5&amp;"_text_mml_mmllb_memo"</f>
        <v>sny_202310_base_text_mml_mmllb_memo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milscm_2023_009.sny_202310_base_text_mml_mmllb_memo;</v>
      </c>
      <c r="O10" s="76"/>
      <c r="P10" s="76"/>
      <c r="Q10" s="76"/>
      <c r="R10" s="76"/>
      <c r="S10" s="76"/>
      <c r="T10" s="76"/>
      <c r="AJ10" s="76" t="str">
        <f>"ALTER TABLE ONLY "&amp;エンティティ一覧!$O$2&amp;"."&amp;D$8</f>
        <v>ALTER TABLE ONLY milscm_2023_009.sny_202310_base_text_mml_mmllb_memo</v>
      </c>
      <c r="AS10" s="76" t="str">
        <f>"ALTER TABLE "&amp;エンティティ一覧!$O$2&amp;"."&amp;D$8&amp;" OWNER TO pgmisgrp1;"</f>
        <v>ALTER TABLE milscm_2023_009.sny_202310_base_text_mml_mmllb_memo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milscm_2023_009.sny_202310_base_text_mml_mmllb_memo</v>
      </c>
      <c r="O11" s="76"/>
      <c r="P11" s="76"/>
      <c r="Q11" s="76"/>
      <c r="R11" s="76"/>
      <c r="S11" s="76"/>
      <c r="T11" s="76"/>
      <c r="AJ11" s="76" t="str">
        <f>"ADD CONSTRAINT "&amp;D$8&amp;"_pkey PRIMARY KEY"</f>
        <v>ADD CONSTRAINT sny_202310_base_text_mml_mmllb_memo_pkey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milscm_2023_009.sny_202310_base_text_mml_mmllb_memo IS 'ベース_MML_検歴情報モジュール_報告コメント';</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milscm_2023_009.sny_202310_base_text_mml_mmllb_memo.zip_no IS 'ZipファイルNo';</v>
      </c>
    </row>
    <row r="14" spans="1:45" s="25" customFormat="1">
      <c r="A14" s="4"/>
      <c r="B14" s="21">
        <f t="shared" ref="B14:B21" si="2">ROW()-12</f>
        <v>2</v>
      </c>
      <c r="C14" s="6" t="s">
        <v>2783</v>
      </c>
      <c r="D14" s="6" t="s">
        <v>2784</v>
      </c>
      <c r="E14" s="8" t="s">
        <v>127</v>
      </c>
      <c r="F14" s="7" t="s">
        <v>3274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milscm_2023_009.sny_202310_base_text_mml_mmllb_memo.file_no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milscm_2023_009.sny_202310_base_text_mml_mmllb_memo.body_no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milscm_2023_009.sny_202310_base_text_mml_mmllb_memo.facility_id_mml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milscm_2023_009.sny_202310_base_text_mml_mmllb_memo.master_id IS '患者ID';</v>
      </c>
    </row>
    <row r="18" spans="1:52" s="25" customFormat="1">
      <c r="A18" s="4"/>
      <c r="B18" s="21">
        <f t="shared" si="2"/>
        <v>6</v>
      </c>
      <c r="C18" s="6" t="s">
        <v>3897</v>
      </c>
      <c r="D18" s="6" t="s">
        <v>3898</v>
      </c>
      <c r="E18" s="8" t="s">
        <v>127</v>
      </c>
      <c r="F18" s="7" t="s">
        <v>3274</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milscm_2023_009.sny_202310_base_text_mml_mmllb_memo.memo_no IS 'メモNo';</v>
      </c>
    </row>
    <row r="19" spans="1:52" s="25" customFormat="1">
      <c r="A19" s="4"/>
      <c r="B19" s="21">
        <f t="shared" si="2"/>
        <v>7</v>
      </c>
      <c r="C19" s="6" t="s">
        <v>3899</v>
      </c>
      <c r="D19" s="6" t="s">
        <v>3896</v>
      </c>
      <c r="E19" s="8"/>
      <c r="F19" s="7" t="s">
        <v>3276</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milscm_2023_009.sny_202310_base_text_mml_mmllb_memo.rep_memo IS '報告コメント';</v>
      </c>
    </row>
    <row r="20" spans="1:52" s="25" customFormat="1">
      <c r="A20" s="4"/>
      <c r="B20" s="21">
        <f t="shared" si="2"/>
        <v>8</v>
      </c>
      <c r="C20" s="6" t="s">
        <v>3900</v>
      </c>
      <c r="D20" s="6" t="s">
        <v>3901</v>
      </c>
      <c r="E20" s="8"/>
      <c r="F20" s="7" t="s">
        <v>3276</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milscm_2023_009.sny_202310_base_text_mml_mmllb_memo.rep_code_name IS '報告コメントコード名';</v>
      </c>
    </row>
    <row r="21" spans="1:52" s="25" customFormat="1">
      <c r="A21" s="4"/>
      <c r="B21" s="21">
        <f t="shared" si="2"/>
        <v>9</v>
      </c>
      <c r="C21" s="6" t="s">
        <v>3902</v>
      </c>
      <c r="D21" s="6" t="s">
        <v>3057</v>
      </c>
      <c r="E21" s="8"/>
      <c r="F21" s="7" t="s">
        <v>3276</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milscm_2023_009.sny_202310_base_text_mml_mmllb_memo.rep_code IS '報告コメントコード';</v>
      </c>
    </row>
    <row r="22" spans="1:52" s="25" customFormat="1" ht="19.5" thickBot="1">
      <c r="A22" s="4"/>
      <c r="B22" s="27">
        <f>ROW()-12</f>
        <v>10</v>
      </c>
      <c r="C22" s="57" t="s">
        <v>3903</v>
      </c>
      <c r="D22" s="57" t="s">
        <v>3904</v>
      </c>
      <c r="E22" s="56"/>
      <c r="F22" s="56" t="s">
        <v>3276</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ENT_31_A6-20</v>
      </c>
      <c r="E6" s="273"/>
      <c r="F6" s="273"/>
      <c r="G6" s="273"/>
      <c r="H6" s="273"/>
      <c r="I6" s="273"/>
      <c r="J6" s="274"/>
    </row>
    <row r="7" spans="1:45">
      <c r="B7" s="262" t="s">
        <v>115</v>
      </c>
      <c r="C7" s="263"/>
      <c r="D7" s="264" t="s">
        <v>4012</v>
      </c>
      <c r="E7" s="265"/>
      <c r="F7" s="265"/>
      <c r="G7" s="265"/>
      <c r="H7" s="265"/>
      <c r="I7" s="265"/>
      <c r="J7" s="266"/>
    </row>
    <row r="8" spans="1:45">
      <c r="B8" s="262" t="s">
        <v>116</v>
      </c>
      <c r="C8" s="263"/>
      <c r="D8" s="264" t="str">
        <f>エンティティ一覧!AE2&amp;"_"&amp;D5&amp;"_text_mml_mmllb_labo_test"</f>
        <v>sny_202310_base_text_mml_mmllb_labo_test</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milscm_2023_009.sny_202310_base_text_mml_mmllb_labo_test;</v>
      </c>
      <c r="O10" s="76"/>
      <c r="P10" s="76"/>
      <c r="Q10" s="76"/>
      <c r="R10" s="76"/>
      <c r="S10" s="76"/>
      <c r="T10" s="76"/>
      <c r="AJ10" s="76" t="str">
        <f>"ALTER TABLE ONLY "&amp;エンティティ一覧!$O$2&amp;"."&amp;D$8</f>
        <v>ALTER TABLE ONLY milscm_2023_009.sny_202310_base_text_mml_mmllb_labo_test</v>
      </c>
      <c r="AS10" s="76" t="str">
        <f>"ALTER TABLE "&amp;エンティティ一覧!$O$2&amp;"."&amp;D$8&amp;" OWNER TO pgmisgrp1;"</f>
        <v>ALTER TABLE milscm_2023_009.sny_202310_base_text_mml_mmllb_labo_test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milscm_2023_009.sny_202310_base_text_mml_mmllb_labo_test</v>
      </c>
      <c r="O11" s="76"/>
      <c r="P11" s="76"/>
      <c r="Q11" s="76"/>
      <c r="R11" s="76"/>
      <c r="S11" s="76"/>
      <c r="T11" s="76"/>
      <c r="AJ11" s="76" t="str">
        <f>"ADD CONSTRAINT "&amp;D$8&amp;"_pkey PRIMARY KEY"</f>
        <v>ADD CONSTRAINT sny_202310_base_text_mml_mmllb_labo_test_pkey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milscm_2023_009.sny_202310_base_text_mml_mmllb_labo_test IS 'ベース_MML_検歴情報モジュール_検体検査結果情報';</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milscm_2023_009.sny_202310_base_text_mml_mmllb_labo_test.zip_no IS 'ZipファイルNo';</v>
      </c>
    </row>
    <row r="14" spans="1:45" s="25" customFormat="1">
      <c r="A14" s="4"/>
      <c r="B14" s="21">
        <f t="shared" ref="B14:B21" si="2">ROW()-12</f>
        <v>2</v>
      </c>
      <c r="C14" s="6" t="s">
        <v>2783</v>
      </c>
      <c r="D14" s="6" t="s">
        <v>2784</v>
      </c>
      <c r="E14" s="8" t="s">
        <v>127</v>
      </c>
      <c r="F14" s="7" t="s">
        <v>3274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milscm_2023_009.sny_202310_base_text_mml_mmllb_labo_test.file_no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milscm_2023_009.sny_202310_base_text_mml_mmllb_labo_test.body_no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milscm_2023_009.sny_202310_base_text_mml_mmllb_labo_test.facility_id_mml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milscm_2023_009.sny_202310_base_text_mml_mmllb_labo_test.master_id IS '患者ID';</v>
      </c>
    </row>
    <row r="18" spans="1:52" s="25" customFormat="1">
      <c r="A18" s="4"/>
      <c r="B18" s="21">
        <f t="shared" si="2"/>
        <v>6</v>
      </c>
      <c r="C18" s="6" t="s">
        <v>3905</v>
      </c>
      <c r="D18" s="6" t="s">
        <v>3906</v>
      </c>
      <c r="E18" s="8" t="s">
        <v>127</v>
      </c>
      <c r="F18" s="7" t="s">
        <v>3274</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milscm_2023_009.sny_202310_base_text_mml_mmllb_labo_test.labo_test_no IS '検体検査結果情報No';</v>
      </c>
    </row>
    <row r="19" spans="1:52" s="25" customFormat="1">
      <c r="A19" s="4"/>
      <c r="B19" s="21">
        <f t="shared" si="2"/>
        <v>7</v>
      </c>
      <c r="C19" s="6" t="s">
        <v>1606</v>
      </c>
      <c r="D19" s="6" t="s">
        <v>3985</v>
      </c>
      <c r="E19" s="8"/>
      <c r="F19" s="7" t="s">
        <v>3276</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milscm_2023_009.sny_202310_base_text_mml_mmllb_labo_test.specimen_name IS '検体材料';</v>
      </c>
    </row>
    <row r="20" spans="1:52" s="25" customFormat="1">
      <c r="A20" s="4"/>
      <c r="B20" s="21">
        <f t="shared" si="2"/>
        <v>8</v>
      </c>
      <c r="C20" s="6" t="s">
        <v>1608</v>
      </c>
      <c r="D20" s="6" t="s">
        <v>1609</v>
      </c>
      <c r="E20" s="8"/>
      <c r="F20" s="7" t="s">
        <v>3276</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milscm_2023_009.sny_202310_base_text_mml_mmllb_labo_test.sp_code IS '検体材料コード';</v>
      </c>
    </row>
    <row r="21" spans="1:52" s="25" customFormat="1">
      <c r="A21" s="4"/>
      <c r="B21" s="21">
        <f t="shared" si="2"/>
        <v>9</v>
      </c>
      <c r="C21" s="6" t="s">
        <v>3907</v>
      </c>
      <c r="D21" s="6" t="s">
        <v>1611</v>
      </c>
      <c r="E21" s="8"/>
      <c r="F21" s="7" t="s">
        <v>3276</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milscm_2023_009.sny_202310_base_text_mml_mmllb_labo_test.sp_code_id IS '検体材料コードID';</v>
      </c>
    </row>
    <row r="22" spans="1:52" s="25" customFormat="1" ht="19.5" thickBot="1">
      <c r="A22" s="4"/>
      <c r="B22" s="27">
        <f>ROW()-12</f>
        <v>10</v>
      </c>
      <c r="C22" s="57" t="s">
        <v>1612</v>
      </c>
      <c r="D22" s="57" t="s">
        <v>3908</v>
      </c>
      <c r="E22" s="56"/>
      <c r="F22" s="56" t="s">
        <v>3276</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ENT_31_A6-21</v>
      </c>
      <c r="E6" s="273"/>
      <c r="F6" s="273"/>
      <c r="G6" s="273"/>
      <c r="H6" s="273"/>
      <c r="I6" s="273"/>
      <c r="J6" s="274"/>
    </row>
    <row r="7" spans="1:45">
      <c r="B7" s="262" t="s">
        <v>115</v>
      </c>
      <c r="C7" s="263"/>
      <c r="D7" s="264" t="s">
        <v>4013</v>
      </c>
      <c r="E7" s="265"/>
      <c r="F7" s="265"/>
      <c r="G7" s="265"/>
      <c r="H7" s="265"/>
      <c r="I7" s="265"/>
      <c r="J7" s="266"/>
    </row>
    <row r="8" spans="1:45">
      <c r="B8" s="262" t="s">
        <v>116</v>
      </c>
      <c r="C8" s="263"/>
      <c r="D8" s="264" t="str">
        <f>エンティティ一覧!AE2&amp;"_"&amp;D5&amp;"_text_mml_mmllb_spc_memo"</f>
        <v>sny_202310_base_text_mml_mmllb_spc_memo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milscm_2023_009.sny_202310_base_text_mml_mmllb_spc_memo;</v>
      </c>
      <c r="O10" s="76"/>
      <c r="P10" s="76"/>
      <c r="Q10" s="76"/>
      <c r="R10" s="76"/>
      <c r="S10" s="76"/>
      <c r="T10" s="76"/>
      <c r="AJ10" s="76" t="str">
        <f>"ALTER TABLE ONLY "&amp;エンティティ一覧!$O$2&amp;"."&amp;D$8</f>
        <v>ALTER TABLE ONLY milscm_2023_009.sny_202310_base_text_mml_mmllb_spc_memo</v>
      </c>
      <c r="AS10" s="76" t="str">
        <f>"ALTER TABLE "&amp;エンティティ一覧!$O$2&amp;"."&amp;D$8&amp;" OWNER TO pgmisgrp1;"</f>
        <v>ALTER TABLE milscm_2023_009.sny_202310_base_text_mml_mmllb_spc_memo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milscm_2023_009.sny_202310_base_text_mml_mmllb_spc_memo</v>
      </c>
      <c r="O11" s="76"/>
      <c r="P11" s="76"/>
      <c r="Q11" s="76"/>
      <c r="R11" s="76"/>
      <c r="S11" s="76"/>
      <c r="T11" s="76"/>
      <c r="AJ11" s="76" t="str">
        <f>"ADD CONSTRAINT "&amp;D$8&amp;"_pkey PRIMARY KEY"</f>
        <v>ADD CONSTRAINT sny_202310_base_text_mml_mmllb_spc_memo_pkey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milscm_2023_009.sny_202310_base_text_mml_mmllb_spc_memo IS 'ベース_MML_検歴情報モジュール_検体コメント';</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milscm_2023_009.sny_202310_base_text_mml_mmllb_spc_memo.zip_no IS 'ZipファイルNo';</v>
      </c>
    </row>
    <row r="14" spans="1:45" s="25" customFormat="1">
      <c r="A14" s="4"/>
      <c r="B14" s="21">
        <f t="shared" ref="B14:B22" si="2">ROW()-12</f>
        <v>2</v>
      </c>
      <c r="C14" s="6" t="s">
        <v>2783</v>
      </c>
      <c r="D14" s="6" t="s">
        <v>2784</v>
      </c>
      <c r="E14" s="8" t="s">
        <v>127</v>
      </c>
      <c r="F14" s="7" t="s">
        <v>3274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milscm_2023_009.sny_202310_base_text_mml_mmllb_spc_memo.file_no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milscm_2023_009.sny_202310_base_text_mml_mmllb_spc_memo.body_no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milscm_2023_009.sny_202310_base_text_mml_mmllb_spc_memo.facility_id_mml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milscm_2023_009.sny_202310_base_text_mml_mmllb_spc_memo.master_id IS '患者ID';</v>
      </c>
    </row>
    <row r="18" spans="1:52" s="25" customFormat="1">
      <c r="A18" s="4"/>
      <c r="B18" s="21">
        <f t="shared" si="2"/>
        <v>6</v>
      </c>
      <c r="C18" s="6" t="s">
        <v>3905</v>
      </c>
      <c r="D18" s="6" t="s">
        <v>3906</v>
      </c>
      <c r="E18" s="8" t="s">
        <v>127</v>
      </c>
      <c r="F18" s="7" t="s">
        <v>3274</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milscm_2023_009.sny_202310_base_text_mml_mmllb_spc_memo.labo_test_no IS '検体検査結果情報No';</v>
      </c>
    </row>
    <row r="19" spans="1:52" s="25" customFormat="1">
      <c r="A19" s="4"/>
      <c r="B19" s="21">
        <f t="shared" si="2"/>
        <v>7</v>
      </c>
      <c r="C19" s="6" t="s">
        <v>3909</v>
      </c>
      <c r="D19" s="6" t="s">
        <v>3910</v>
      </c>
      <c r="E19" s="8" t="s">
        <v>127</v>
      </c>
      <c r="F19" s="7" t="s">
        <v>3274</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milscm_2023_009.sny_202310_base_text_mml_mmllb_spc_memo.spc_memo_no IS '検体コメントNo';</v>
      </c>
    </row>
    <row r="20" spans="1:52" s="25" customFormat="1">
      <c r="A20" s="4"/>
      <c r="B20" s="21">
        <f t="shared" si="2"/>
        <v>8</v>
      </c>
      <c r="C20" s="6" t="s">
        <v>3911</v>
      </c>
      <c r="D20" s="6" t="s">
        <v>3912</v>
      </c>
      <c r="E20" s="8"/>
      <c r="F20" s="7" t="s">
        <v>3276</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milscm_2023_009.sny_202310_base_text_mml_mmllb_spc_memo.spc_memo IS '検体コメント';</v>
      </c>
    </row>
    <row r="21" spans="1:52" s="25" customFormat="1">
      <c r="A21" s="4"/>
      <c r="B21" s="21">
        <f t="shared" si="2"/>
        <v>9</v>
      </c>
      <c r="C21" s="6" t="s">
        <v>3913</v>
      </c>
      <c r="D21" s="6" t="s">
        <v>3914</v>
      </c>
      <c r="E21" s="8"/>
      <c r="F21" s="7" t="s">
        <v>3276</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milscm_2023_009.sny_202310_base_text_mml_mmllb_spc_memo.sm_code_name IS '検体コメントコード名';</v>
      </c>
    </row>
    <row r="22" spans="1:52" s="25" customFormat="1">
      <c r="A22" s="4"/>
      <c r="B22" s="21">
        <f t="shared" si="2"/>
        <v>10</v>
      </c>
      <c r="C22" s="6" t="s">
        <v>3915</v>
      </c>
      <c r="D22" s="6" t="s">
        <v>3916</v>
      </c>
      <c r="E22" s="8"/>
      <c r="F22" s="7" t="s">
        <v>3276</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milscm_2023_009.sny_202310_base_text_mml_mmllb_spc_memo.sm_code IS '検体コメントコード';</v>
      </c>
    </row>
    <row r="23" spans="1:52" s="25" customFormat="1" ht="19.5" thickBot="1">
      <c r="A23" s="4"/>
      <c r="B23" s="27">
        <f>ROW()-12</f>
        <v>11</v>
      </c>
      <c r="C23" s="57" t="s">
        <v>3917</v>
      </c>
      <c r="D23" s="57" t="s">
        <v>3918</v>
      </c>
      <c r="E23" s="56"/>
      <c r="F23" s="56" t="s">
        <v>3276</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ENT_31_A6-22</v>
      </c>
      <c r="E6" s="273"/>
      <c r="F6" s="273"/>
      <c r="G6" s="273"/>
      <c r="H6" s="273"/>
      <c r="I6" s="273"/>
      <c r="J6" s="274"/>
    </row>
    <row r="7" spans="1:45">
      <c r="B7" s="262" t="s">
        <v>115</v>
      </c>
      <c r="C7" s="263"/>
      <c r="D7" s="264" t="s">
        <v>4014</v>
      </c>
      <c r="E7" s="265"/>
      <c r="F7" s="265"/>
      <c r="G7" s="265"/>
      <c r="H7" s="265"/>
      <c r="I7" s="265"/>
      <c r="J7" s="266"/>
    </row>
    <row r="8" spans="1:45">
      <c r="B8" s="262" t="s">
        <v>116</v>
      </c>
      <c r="C8" s="263"/>
      <c r="D8" s="264" t="str">
        <f>エンティティ一覧!AE2&amp;"_"&amp;D5&amp;"_text_mml_mmllb_item"</f>
        <v>sny_202310_base_text_mml_mmllb_item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milscm_2023_009.sny_202310_base_text_mml_mmllb_item;</v>
      </c>
      <c r="O10" s="76"/>
      <c r="P10" s="76"/>
      <c r="Q10" s="76"/>
      <c r="R10" s="76"/>
      <c r="S10" s="76"/>
      <c r="T10" s="76"/>
      <c r="AJ10" s="76" t="str">
        <f>"ALTER TABLE ONLY "&amp;エンティティ一覧!$O$2&amp;"."&amp;D$8</f>
        <v>ALTER TABLE ONLY milscm_2023_009.sny_202310_base_text_mml_mmllb_item</v>
      </c>
      <c r="AS10" s="76" t="str">
        <f>"ALTER TABLE "&amp;エンティティ一覧!$O$2&amp;"."&amp;D$8&amp;" OWNER TO pgmisgrp1;"</f>
        <v>ALTER TABLE milscm_2023_009.sny_202310_base_text_mml_mmllb_item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milscm_2023_009.sny_202310_base_text_mml_mmllb_item</v>
      </c>
      <c r="O11" s="76"/>
      <c r="P11" s="76"/>
      <c r="Q11" s="76"/>
      <c r="R11" s="76"/>
      <c r="S11" s="76"/>
      <c r="T11" s="76"/>
      <c r="AJ11" s="76" t="str">
        <f>"ADD CONSTRAINT "&amp;D$8&amp;"_pkey PRIMARY KEY"</f>
        <v>ADD CONSTRAINT sny_202310_base_text_mml_mmllb_item_pkey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 IS 'ベース_MML_検歴情報モジュール_検査項目';</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milscm_2023_009.sny_202310_base_text_mml_mmllb_item.zip_no IS 'ZipファイルNo';</v>
      </c>
    </row>
    <row r="14" spans="1:45" s="25" customFormat="1">
      <c r="A14" s="4"/>
      <c r="B14" s="21">
        <f t="shared" ref="B14:B40" si="2">ROW()-12</f>
        <v>2</v>
      </c>
      <c r="C14" s="6" t="s">
        <v>2783</v>
      </c>
      <c r="D14" s="6" t="s">
        <v>2784</v>
      </c>
      <c r="E14" s="8" t="s">
        <v>127</v>
      </c>
      <c r="F14" s="7" t="s">
        <v>3274</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milscm_2023_009.sny_202310_base_text_mml_mmllb_item.facility_id_mml IS '施設ID（MML）';</v>
      </c>
    </row>
    <row r="17" spans="1:45"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milscm_2023_009.sny_202310_base_text_mml_mmllb_item.master_id IS '患者ID';</v>
      </c>
    </row>
    <row r="18" spans="1:45" s="25" customFormat="1">
      <c r="A18" s="4"/>
      <c r="B18" s="21">
        <f t="shared" si="2"/>
        <v>6</v>
      </c>
      <c r="C18" s="6" t="s">
        <v>3905</v>
      </c>
      <c r="D18" s="6" t="s">
        <v>3906</v>
      </c>
      <c r="E18" s="8" t="s">
        <v>127</v>
      </c>
      <c r="F18" s="7" t="s">
        <v>3274</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milscm_2023_009.sny_202310_base_text_mml_mmllb_item.labo_test_no IS '検体検査結果情報No';</v>
      </c>
    </row>
    <row r="19" spans="1:45" s="25" customFormat="1">
      <c r="A19" s="4"/>
      <c r="B19" s="21">
        <f t="shared" si="2"/>
        <v>7</v>
      </c>
      <c r="C19" s="6" t="s">
        <v>3921</v>
      </c>
      <c r="D19" s="6" t="s">
        <v>3922</v>
      </c>
      <c r="E19" s="8" t="s">
        <v>127</v>
      </c>
      <c r="F19" s="7" t="s">
        <v>3274</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milscm_2023_009.sny_202310_base_text_mml_mmllb_item.item_no IS '項目No';</v>
      </c>
    </row>
    <row r="20" spans="1:45" s="25" customFormat="1">
      <c r="A20" s="4"/>
      <c r="B20" s="21">
        <f t="shared" si="2"/>
        <v>8</v>
      </c>
      <c r="C20" s="6" t="s">
        <v>3832</v>
      </c>
      <c r="D20" s="6" t="s">
        <v>1624</v>
      </c>
      <c r="E20" s="8"/>
      <c r="F20" s="7" t="s">
        <v>3276</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milscm_2023_009.sny_202310_base_text_mml_mmllb_item.item_name IS '検査名';</v>
      </c>
    </row>
    <row r="21" spans="1:45" s="25" customFormat="1">
      <c r="A21" s="4"/>
      <c r="B21" s="21">
        <f t="shared" si="2"/>
        <v>9</v>
      </c>
      <c r="C21" s="6" t="s">
        <v>3833</v>
      </c>
      <c r="D21" s="6" t="s">
        <v>3834</v>
      </c>
      <c r="E21" s="8"/>
      <c r="F21" s="7" t="s">
        <v>3276</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milscm_2023_009.sny_202310_base_text_mml_mmllb_item.item_code IS '検査名_施設固有コード';</v>
      </c>
    </row>
    <row r="22" spans="1:45" s="25" customFormat="1">
      <c r="A22" s="4"/>
      <c r="B22" s="21">
        <f t="shared" si="2"/>
        <v>10</v>
      </c>
      <c r="C22" s="6" t="s">
        <v>3923</v>
      </c>
      <c r="D22" s="6" t="s">
        <v>3924</v>
      </c>
      <c r="E22" s="8"/>
      <c r="F22" s="7" t="s">
        <v>3276</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milscm_2023_009.sny_202310_base_text_mml_mmllb_item.item_code_id IS '検査名_施設固有コードID';</v>
      </c>
    </row>
    <row r="23" spans="1:45" s="25" customFormat="1">
      <c r="A23" s="4"/>
      <c r="B23" s="21">
        <f t="shared" si="2"/>
        <v>11</v>
      </c>
      <c r="C23" s="6" t="s">
        <v>3925</v>
      </c>
      <c r="D23" s="6" t="s">
        <v>3926</v>
      </c>
      <c r="E23" s="8"/>
      <c r="F23" s="7" t="s">
        <v>3276</v>
      </c>
      <c r="G23" s="7" t="str">
        <f t="shared" si="3"/>
        <v>text</v>
      </c>
      <c r="H23" s="26"/>
      <c r="I23" s="10"/>
      <c r="J23" s="11" t="s">
        <v>1629</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milscm_2023_009.sny_202310_base_text_mml_mmllb_item.a_code IS '検査名_分析物コード';</v>
      </c>
    </row>
    <row r="24" spans="1:45" s="25" customFormat="1">
      <c r="A24" s="4"/>
      <c r="B24" s="21">
        <f t="shared" si="2"/>
        <v>12</v>
      </c>
      <c r="C24" s="6" t="s">
        <v>3927</v>
      </c>
      <c r="D24" s="6" t="s">
        <v>3928</v>
      </c>
      <c r="E24" s="8"/>
      <c r="F24" s="7" t="s">
        <v>3276</v>
      </c>
      <c r="G24" s="7" t="str">
        <f t="shared" si="3"/>
        <v>text</v>
      </c>
      <c r="H24" s="26"/>
      <c r="I24" s="10"/>
      <c r="J24" s="11" t="s">
        <v>1631</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milscm_2023_009.sny_202310_base_text_mml_mmllb_item.i_code IS '検査名_識別コード';</v>
      </c>
    </row>
    <row r="25" spans="1:45" s="25" customFormat="1">
      <c r="A25" s="4"/>
      <c r="B25" s="21">
        <f t="shared" si="2"/>
        <v>13</v>
      </c>
      <c r="C25" s="6" t="s">
        <v>3929</v>
      </c>
      <c r="D25" s="6" t="s">
        <v>3930</v>
      </c>
      <c r="E25" s="8"/>
      <c r="F25" s="7" t="s">
        <v>3276</v>
      </c>
      <c r="G25" s="7" t="str">
        <f t="shared" si="3"/>
        <v>text</v>
      </c>
      <c r="H25" s="26"/>
      <c r="I25" s="10"/>
      <c r="J25" s="11" t="s">
        <v>1633</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milscm_2023_009.sny_202310_base_text_mml_mmllb_item.s_code IS '検査名_材料コード';</v>
      </c>
    </row>
    <row r="26" spans="1:45" s="25" customFormat="1">
      <c r="A26" s="4"/>
      <c r="B26" s="21">
        <f t="shared" si="2"/>
        <v>14</v>
      </c>
      <c r="C26" s="6" t="s">
        <v>3931</v>
      </c>
      <c r="D26" s="6" t="s">
        <v>3932</v>
      </c>
      <c r="E26" s="8"/>
      <c r="F26" s="7" t="s">
        <v>3276</v>
      </c>
      <c r="G26" s="7" t="str">
        <f t="shared" si="3"/>
        <v>text</v>
      </c>
      <c r="H26" s="26"/>
      <c r="I26" s="10"/>
      <c r="J26" s="11" t="s">
        <v>1635</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milscm_2023_009.sny_202310_base_text_mml_mmllb_item.m_code IS '検査名_測定法コード';</v>
      </c>
    </row>
    <row r="27" spans="1:45" s="25" customFormat="1">
      <c r="A27" s="4"/>
      <c r="B27" s="21">
        <f t="shared" si="2"/>
        <v>15</v>
      </c>
      <c r="C27" s="6" t="s">
        <v>3933</v>
      </c>
      <c r="D27" s="6" t="s">
        <v>3934</v>
      </c>
      <c r="E27" s="8"/>
      <c r="F27" s="7" t="s">
        <v>3276</v>
      </c>
      <c r="G27" s="7" t="str">
        <f t="shared" si="3"/>
        <v>text</v>
      </c>
      <c r="H27" s="26"/>
      <c r="I27" s="10"/>
      <c r="J27" s="11" t="s">
        <v>1637</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milscm_2023_009.sny_202310_base_text_mml_mmllb_item.r_code IS '検査名_結果識別コード';</v>
      </c>
    </row>
    <row r="28" spans="1:45" s="25" customFormat="1">
      <c r="A28" s="4"/>
      <c r="B28" s="21">
        <f t="shared" si="2"/>
        <v>16</v>
      </c>
      <c r="C28" s="6" t="s">
        <v>3935</v>
      </c>
      <c r="D28" s="6" t="s">
        <v>1640</v>
      </c>
      <c r="E28" s="8"/>
      <c r="F28" s="7" t="s">
        <v>3276</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milscm_2023_009.sny_202310_base_text_mml_mmllb_item.value IS '検査値（文字列）';</v>
      </c>
    </row>
    <row r="29" spans="1:45" s="25" customFormat="1">
      <c r="A29" s="4"/>
      <c r="B29" s="21">
        <f t="shared" si="2"/>
        <v>17</v>
      </c>
      <c r="C29" s="6" t="s">
        <v>3936</v>
      </c>
      <c r="D29" s="6" t="s">
        <v>3937</v>
      </c>
      <c r="E29" s="8"/>
      <c r="F29" s="7" t="s">
        <v>3276</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milscm_2023_009.sny_202310_base_text_mml_mmllb_item.value_up IS '検査値（文字列）_上限値';</v>
      </c>
    </row>
    <row r="30" spans="1:45" s="25" customFormat="1">
      <c r="A30" s="4"/>
      <c r="B30" s="21">
        <f t="shared" si="2"/>
        <v>18</v>
      </c>
      <c r="C30" s="6" t="s">
        <v>3938</v>
      </c>
      <c r="D30" s="6" t="s">
        <v>3939</v>
      </c>
      <c r="E30" s="8"/>
      <c r="F30" s="7" t="s">
        <v>3276</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milscm_2023_009.sny_202310_base_text_mml_mmllb_item.value_low IS '検査値（文字列）_下限値';</v>
      </c>
    </row>
    <row r="31" spans="1:45" s="25" customFormat="1">
      <c r="A31" s="4"/>
      <c r="B31" s="21">
        <f t="shared" si="2"/>
        <v>19</v>
      </c>
      <c r="C31" s="6" t="s">
        <v>3940</v>
      </c>
      <c r="D31" s="6" t="s">
        <v>3941</v>
      </c>
      <c r="E31" s="8"/>
      <c r="F31" s="7" t="s">
        <v>3276</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milscm_2023_009.sny_202310_base_text_mml_mmllb_item.value_normal IS '検査値（文字列）_基準値';</v>
      </c>
    </row>
    <row r="32" spans="1:45" s="25" customFormat="1" ht="75">
      <c r="A32" s="4"/>
      <c r="B32" s="21">
        <f t="shared" si="2"/>
        <v>20</v>
      </c>
      <c r="C32" s="6" t="s">
        <v>3942</v>
      </c>
      <c r="D32" s="6" t="s">
        <v>3943</v>
      </c>
      <c r="E32" s="8"/>
      <c r="F32" s="7" t="s">
        <v>3276</v>
      </c>
      <c r="G32" s="7" t="str">
        <f t="shared" si="3"/>
        <v>text</v>
      </c>
      <c r="H32" s="26"/>
      <c r="I32" s="10"/>
      <c r="J32" s="11" t="s">
        <v>3956</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milscm_2023_009.sny_202310_base_text_mml_mmllb_item.value_out IS '検査値（文字列）_異常値フラグ';</v>
      </c>
    </row>
    <row r="33" spans="1:52" s="25" customFormat="1">
      <c r="A33" s="4"/>
      <c r="B33" s="21">
        <f t="shared" si="2"/>
        <v>21</v>
      </c>
      <c r="C33" s="6" t="s">
        <v>3944</v>
      </c>
      <c r="D33" s="6" t="s">
        <v>1642</v>
      </c>
      <c r="E33" s="8"/>
      <c r="F33" s="7" t="s">
        <v>3276</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milscm_2023_009.sny_202310_base_text_mml_mmllb_item.num_value IS '検査値（数値）';</v>
      </c>
    </row>
    <row r="34" spans="1:52" s="25" customFormat="1">
      <c r="A34" s="4"/>
      <c r="B34" s="21">
        <f t="shared" si="2"/>
        <v>22</v>
      </c>
      <c r="C34" s="6" t="s">
        <v>3945</v>
      </c>
      <c r="D34" s="6" t="s">
        <v>3946</v>
      </c>
      <c r="E34" s="8"/>
      <c r="F34" s="7" t="s">
        <v>3276</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milscm_2023_009.sny_202310_base_text_mml_mmllb_item.num_value_up IS '検査値（数値）_上限値';</v>
      </c>
    </row>
    <row r="35" spans="1:52" s="25" customFormat="1">
      <c r="A35" s="4"/>
      <c r="B35" s="21">
        <f t="shared" si="2"/>
        <v>23</v>
      </c>
      <c r="C35" s="6" t="s">
        <v>3947</v>
      </c>
      <c r="D35" s="6" t="s">
        <v>3948</v>
      </c>
      <c r="E35" s="8"/>
      <c r="F35" s="7" t="s">
        <v>3276</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milscm_2023_009.sny_202310_base_text_mml_mmllb_item.num_value_low IS '検査値（数値）_下限値';</v>
      </c>
    </row>
    <row r="36" spans="1:52" s="25" customFormat="1">
      <c r="A36" s="4"/>
      <c r="B36" s="21">
        <f t="shared" si="2"/>
        <v>24</v>
      </c>
      <c r="C36" s="6" t="s">
        <v>3949</v>
      </c>
      <c r="D36" s="6" t="s">
        <v>3950</v>
      </c>
      <c r="E36" s="8"/>
      <c r="F36" s="7" t="s">
        <v>3276</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milscm_2023_009.sny_202310_base_text_mml_mmllb_item.num_value_normal IS '検査値（数値）_基準値';</v>
      </c>
    </row>
    <row r="37" spans="1:52" s="25" customFormat="1" ht="75">
      <c r="A37" s="4"/>
      <c r="B37" s="21">
        <f t="shared" si="2"/>
        <v>25</v>
      </c>
      <c r="C37" s="6" t="s">
        <v>3951</v>
      </c>
      <c r="D37" s="6" t="s">
        <v>3952</v>
      </c>
      <c r="E37" s="8"/>
      <c r="F37" s="7" t="s">
        <v>3276</v>
      </c>
      <c r="G37" s="7" t="str">
        <f t="shared" si="3"/>
        <v>text</v>
      </c>
      <c r="H37" s="26"/>
      <c r="I37" s="10"/>
      <c r="J37" s="11" t="s">
        <v>3956</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milscm_2023_009.sny_202310_base_text_mml_mmllb_item.num_value_out IS '検査値（数値）_異常値フラグ';</v>
      </c>
    </row>
    <row r="38" spans="1:52" s="25" customFormat="1">
      <c r="A38" s="4"/>
      <c r="B38" s="21">
        <f t="shared" si="2"/>
        <v>26</v>
      </c>
      <c r="C38" s="6" t="s">
        <v>1651</v>
      </c>
      <c r="D38" s="6" t="s">
        <v>276</v>
      </c>
      <c r="E38" s="8"/>
      <c r="F38" s="7" t="s">
        <v>3276</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milscm_2023_009.sny_202310_base_text_mml_mmllb_item.unit IS '単位';</v>
      </c>
    </row>
    <row r="39" spans="1:52" s="25" customFormat="1">
      <c r="A39" s="4"/>
      <c r="B39" s="21">
        <f t="shared" si="2"/>
        <v>27</v>
      </c>
      <c r="C39" s="6" t="s">
        <v>1652</v>
      </c>
      <c r="D39" s="6" t="s">
        <v>3953</v>
      </c>
      <c r="E39" s="8"/>
      <c r="F39" s="7" t="s">
        <v>3276</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milscm_2023_009.sny_202310_base_text_mml_mmllb_item.u_code IS '単位コード';</v>
      </c>
    </row>
    <row r="40" spans="1:52" s="25" customFormat="1">
      <c r="A40" s="4"/>
      <c r="B40" s="21">
        <f t="shared" si="2"/>
        <v>28</v>
      </c>
      <c r="C40" s="6" t="s">
        <v>1654</v>
      </c>
      <c r="D40" s="6" t="s">
        <v>3954</v>
      </c>
      <c r="E40" s="8"/>
      <c r="F40" s="7" t="s">
        <v>3276</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milscm_2023_009.sny_202310_base_text_mml_mmllb_item.u_code_id IS '単位コードID';</v>
      </c>
    </row>
    <row r="41" spans="1:52" s="25" customFormat="1" ht="19.5" thickBot="1">
      <c r="A41" s="4"/>
      <c r="B41" s="27">
        <f>ROW()-12</f>
        <v>29</v>
      </c>
      <c r="C41" s="57" t="s">
        <v>1656</v>
      </c>
      <c r="D41" s="57" t="s">
        <v>3955</v>
      </c>
      <c r="E41" s="56"/>
      <c r="F41" s="56" t="s">
        <v>3276</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ENT_31_A6-23</v>
      </c>
      <c r="E6" s="273"/>
      <c r="F6" s="273"/>
      <c r="G6" s="273"/>
      <c r="H6" s="273"/>
      <c r="I6" s="273"/>
      <c r="J6" s="274"/>
    </row>
    <row r="7" spans="1:45">
      <c r="B7" s="262" t="s">
        <v>115</v>
      </c>
      <c r="C7" s="263"/>
      <c r="D7" s="264" t="s">
        <v>4015</v>
      </c>
      <c r="E7" s="265"/>
      <c r="F7" s="265"/>
      <c r="G7" s="265"/>
      <c r="H7" s="265"/>
      <c r="I7" s="265"/>
      <c r="J7" s="266"/>
    </row>
    <row r="8" spans="1:45">
      <c r="B8" s="262" t="s">
        <v>116</v>
      </c>
      <c r="C8" s="263"/>
      <c r="D8" s="264" t="str">
        <f>エンティティ一覧!AE2&amp;"_"&amp;D5&amp;"_text_mml_mmllb_item_memo"</f>
        <v>sny_202310_base_text_mml_mmllb_item_memo</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milscm_2023_009.sny_202310_base_text_mml_mmllb_item_memo;</v>
      </c>
      <c r="O10" s="76"/>
      <c r="P10" s="76"/>
      <c r="Q10" s="76"/>
      <c r="R10" s="76"/>
      <c r="S10" s="76"/>
      <c r="T10" s="76"/>
      <c r="AJ10" s="76" t="str">
        <f>"ALTER TABLE ONLY "&amp;エンティティ一覧!$O$2&amp;"."&amp;D$8</f>
        <v>ALTER TABLE ONLY milscm_2023_009.sny_202310_base_text_mml_mmllb_item_memo</v>
      </c>
      <c r="AS10" s="76" t="str">
        <f>"ALTER TABLE "&amp;エンティティ一覧!$O$2&amp;"."&amp;D$8&amp;" OWNER TO pgmisgrp1;"</f>
        <v>ALTER TABLE milscm_2023_009.sny_202310_base_text_mml_mmllb_item_memo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milscm_2023_009.sny_202310_base_text_mml_mmllb_item_memo</v>
      </c>
      <c r="O11" s="76"/>
      <c r="P11" s="76"/>
      <c r="Q11" s="76"/>
      <c r="R11" s="76"/>
      <c r="S11" s="76"/>
      <c r="T11" s="76"/>
      <c r="AJ11" s="76" t="str">
        <f>"ADD CONSTRAINT "&amp;D$8&amp;"_pkey PRIMARY KEY"</f>
        <v>ADD CONSTRAINT sny_202310_base_text_mml_mmllb_item_memo_pkey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milscm_2023_009.sny_202310_base_text_mml_mmllb_item_memo IS 'ベース_MML_検歴情報モジュール_検査項目コメント';</v>
      </c>
    </row>
    <row r="13" spans="1:45" s="25" customFormat="1">
      <c r="A13" s="4"/>
      <c r="B13" s="21">
        <f>ROW()-12</f>
        <v>1</v>
      </c>
      <c r="C13" s="6" t="s">
        <v>2780</v>
      </c>
      <c r="D13" s="6" t="s">
        <v>2781</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milscm_2023_009.sny_202310_base_text_mml_mmllb_item_memo.zip_no IS 'ZipファイルNo';</v>
      </c>
    </row>
    <row r="14" spans="1:45" s="25" customFormat="1">
      <c r="A14" s="4"/>
      <c r="B14" s="21">
        <f t="shared" ref="B14:B23" si="2">ROW()-12</f>
        <v>2</v>
      </c>
      <c r="C14" s="6" t="s">
        <v>2783</v>
      </c>
      <c r="D14" s="6" t="s">
        <v>2784</v>
      </c>
      <c r="E14" s="8" t="s">
        <v>127</v>
      </c>
      <c r="F14" s="7" t="s">
        <v>3274</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milscm_2023_009.sny_202310_base_text_mml_mmllb_item_memo.file_no IS 'ファイルNo';</v>
      </c>
    </row>
    <row r="15" spans="1:45" s="25" customFormat="1">
      <c r="A15" s="4"/>
      <c r="B15" s="21">
        <f t="shared" si="2"/>
        <v>3</v>
      </c>
      <c r="C15" s="6" t="s">
        <v>3258</v>
      </c>
      <c r="D15" s="6" t="s">
        <v>2786</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milscm_2023_009.sny_202310_base_text_mml_mmllb_item_memo.body_no IS '本文No';</v>
      </c>
    </row>
    <row r="16" spans="1:45" s="25" customFormat="1">
      <c r="A16" s="4"/>
      <c r="B16" s="21">
        <f t="shared" si="2"/>
        <v>4</v>
      </c>
      <c r="C16" s="6" t="s">
        <v>3275</v>
      </c>
      <c r="D16" s="6" t="s">
        <v>2403</v>
      </c>
      <c r="E16" s="8"/>
      <c r="F16" s="7" t="s">
        <v>3276</v>
      </c>
      <c r="G16" s="7" t="str">
        <f t="shared" si="3"/>
        <v>text</v>
      </c>
      <c r="H16" s="26"/>
      <c r="I16" s="10" t="s">
        <v>127</v>
      </c>
      <c r="J16" s="11" t="s">
        <v>3270</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milscm_2023_009.sny_202310_base_text_mml_mmllb_item_memo.facility_id_mml IS '施設ID（MML）';</v>
      </c>
    </row>
    <row r="17" spans="1:52" s="25" customFormat="1">
      <c r="A17" s="4"/>
      <c r="B17" s="21">
        <f t="shared" si="2"/>
        <v>5</v>
      </c>
      <c r="C17" s="6" t="s">
        <v>2788</v>
      </c>
      <c r="D17" s="6" t="s">
        <v>1246</v>
      </c>
      <c r="E17" s="8"/>
      <c r="F17" s="7" t="s">
        <v>3276</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milscm_2023_009.sny_202310_base_text_mml_mmllb_item_memo.master_id IS '患者ID';</v>
      </c>
    </row>
    <row r="18" spans="1:52" s="25" customFormat="1">
      <c r="A18" s="4"/>
      <c r="B18" s="21">
        <f t="shared" si="2"/>
        <v>6</v>
      </c>
      <c r="C18" s="6" t="s">
        <v>3905</v>
      </c>
      <c r="D18" s="6" t="s">
        <v>3906</v>
      </c>
      <c r="E18" s="8" t="s">
        <v>127</v>
      </c>
      <c r="F18" s="7" t="s">
        <v>3274</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milscm_2023_009.sny_202310_base_text_mml_mmllb_item_memo.labo_test_no IS '検体検査結果情報No';</v>
      </c>
    </row>
    <row r="19" spans="1:52" s="25" customFormat="1">
      <c r="A19" s="4"/>
      <c r="B19" s="21">
        <f t="shared" si="2"/>
        <v>7</v>
      </c>
      <c r="C19" s="6" t="s">
        <v>3921</v>
      </c>
      <c r="D19" s="6" t="s">
        <v>3922</v>
      </c>
      <c r="E19" s="8" t="s">
        <v>127</v>
      </c>
      <c r="F19" s="7" t="s">
        <v>3274</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milscm_2023_009.sny_202310_base_text_mml_mmllb_item_memo.item_no IS '項目No';</v>
      </c>
    </row>
    <row r="20" spans="1:52" s="25" customFormat="1">
      <c r="A20" s="4"/>
      <c r="B20" s="21">
        <f t="shared" si="2"/>
        <v>8</v>
      </c>
      <c r="C20" s="6" t="s">
        <v>3957</v>
      </c>
      <c r="D20" s="6" t="s">
        <v>3958</v>
      </c>
      <c r="E20" s="8" t="s">
        <v>127</v>
      </c>
      <c r="F20" s="7" t="s">
        <v>3274</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milscm_2023_009.sny_202310_base_text_mml_mmllb_item_memo.item_memo_no IS '項目コメントNo';</v>
      </c>
    </row>
    <row r="21" spans="1:52" s="25" customFormat="1">
      <c r="A21" s="4"/>
      <c r="B21" s="21">
        <f t="shared" si="2"/>
        <v>9</v>
      </c>
      <c r="C21" s="6" t="s">
        <v>3959</v>
      </c>
      <c r="D21" s="6" t="s">
        <v>3960</v>
      </c>
      <c r="E21" s="8"/>
      <c r="F21" s="7" t="s">
        <v>3276</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milscm_2023_009.sny_202310_base_text_mml_mmllb_item_memo.item_memo IS '項目コメント';</v>
      </c>
    </row>
    <row r="22" spans="1:52" s="25" customFormat="1">
      <c r="A22" s="4"/>
      <c r="B22" s="21">
        <f t="shared" si="2"/>
        <v>10</v>
      </c>
      <c r="C22" s="6" t="s">
        <v>3961</v>
      </c>
      <c r="D22" s="6" t="s">
        <v>3962</v>
      </c>
      <c r="E22" s="8"/>
      <c r="F22" s="7" t="s">
        <v>3276</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milscm_2023_009.sny_202310_base_text_mml_mmllb_item_memo.im_code_name IS '項目コメントコード名';</v>
      </c>
    </row>
    <row r="23" spans="1:52" s="25" customFormat="1">
      <c r="A23" s="4"/>
      <c r="B23" s="21">
        <f t="shared" si="2"/>
        <v>11</v>
      </c>
      <c r="C23" s="6" t="s">
        <v>3963</v>
      </c>
      <c r="D23" s="6" t="s">
        <v>3964</v>
      </c>
      <c r="E23" s="8"/>
      <c r="F23" s="7" t="s">
        <v>3276</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milscm_2023_009.sny_202310_base_text_mml_mmllb_item_memo.im_code IS '項目コメントコード';</v>
      </c>
    </row>
    <row r="24" spans="1:52" s="25" customFormat="1" ht="19.5" thickBot="1">
      <c r="A24" s="4"/>
      <c r="B24" s="27">
        <f>ROW()-12</f>
        <v>12</v>
      </c>
      <c r="C24" s="57" t="s">
        <v>3965</v>
      </c>
      <c r="D24" s="57" t="s">
        <v>3966</v>
      </c>
      <c r="E24" s="56"/>
      <c r="F24" s="56" t="s">
        <v>3276</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ENT_31_A6-24</v>
      </c>
      <c r="E6" s="273"/>
      <c r="F6" s="273"/>
      <c r="G6" s="273"/>
      <c r="H6" s="273"/>
      <c r="I6" s="273"/>
      <c r="J6" s="274"/>
    </row>
    <row r="7" spans="1:45">
      <c r="B7" s="262" t="s">
        <v>115</v>
      </c>
      <c r="C7" s="263"/>
      <c r="D7" s="264" t="s">
        <v>3698</v>
      </c>
      <c r="E7" s="265"/>
      <c r="F7" s="265"/>
      <c r="G7" s="265"/>
      <c r="H7" s="265"/>
      <c r="I7" s="265"/>
      <c r="J7" s="266"/>
    </row>
    <row r="8" spans="1:45">
      <c r="B8" s="262" t="s">
        <v>116</v>
      </c>
      <c r="C8" s="263"/>
      <c r="D8" s="264" t="str">
        <f>エンティティ一覧!AE2&amp;"_"&amp;D5&amp;"_text_mml_mmlps_body"</f>
        <v>sny_202310_base_text_mml_mmlps_body</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milscm_2023_009.sny_202310_base_text_mml_mmlps_body;</v>
      </c>
      <c r="O10" s="76"/>
      <c r="P10" s="76"/>
      <c r="Q10" s="76"/>
      <c r="R10" s="76"/>
      <c r="S10" s="76"/>
      <c r="T10" s="76"/>
      <c r="AJ10" s="76" t="str">
        <f>"ALTER TABLE ONLY "&amp;エンティティ一覧!$O$2&amp;"."&amp;D$8</f>
        <v>ALTER TABLE ONLY milscm_2023_009.sny_202310_base_text_mml_mmlps_body</v>
      </c>
      <c r="AS10" s="76" t="str">
        <f>"ALTER TABLE "&amp;エンティティ一覧!$O$2&amp;"."&amp;D$8&amp;" OWNER TO pgmisgrp1;"</f>
        <v>ALTER TABLE milscm_2023_009.sny_202310_base_text_mml_mmlps_body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milscm_2023_009.sny_202310_base_text_mml_mmlps_body</v>
      </c>
      <c r="O11" s="76"/>
      <c r="P11" s="76"/>
      <c r="Q11" s="76"/>
      <c r="R11" s="76"/>
      <c r="S11" s="76"/>
      <c r="T11" s="76"/>
      <c r="AJ11" s="76" t="str">
        <f>"ADD CONSTRAINT "&amp;D$8&amp;"_pkey PRIMARY KEY"</f>
        <v>ADD CONSTRAINT sny_202310_base_text_mml_mmlps_body_pkey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2783</v>
      </c>
      <c r="D14" s="6" t="s">
        <v>2784</v>
      </c>
      <c r="E14" s="8" t="s">
        <v>127</v>
      </c>
      <c r="F14" s="7" t="s">
        <v>2782</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milscm_2023_009.sny_202310_base_text_mml_mmlps_body.body_no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milscm_2023_009.sny_202310_base_text_mml_mmlps_body.master_id IS '患者ID';</v>
      </c>
    </row>
    <row r="18" spans="1:52" s="25" customFormat="1" ht="37.5">
      <c r="A18" s="4"/>
      <c r="B18" s="21">
        <f t="shared" si="2"/>
        <v>6</v>
      </c>
      <c r="C18" s="6" t="s">
        <v>2812</v>
      </c>
      <c r="D18" s="6" t="s">
        <v>2813</v>
      </c>
      <c r="E18" s="8"/>
      <c r="F18" s="7" t="s">
        <v>1821</v>
      </c>
      <c r="G18" s="7" t="str">
        <f t="shared" si="3"/>
        <v>text</v>
      </c>
      <c r="H18" s="26"/>
      <c r="I18" s="10"/>
      <c r="J18" s="11" t="s">
        <v>2818</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milscm_2023_009.sny_202310_base_text_mml_mmlps_body.issued_to IS '院外、院内処方箋の別';</v>
      </c>
    </row>
    <row r="19" spans="1:52" s="25" customFormat="1" ht="31.5">
      <c r="A19" s="4"/>
      <c r="B19" s="21">
        <f t="shared" si="2"/>
        <v>7</v>
      </c>
      <c r="C19" s="6" t="s">
        <v>2814</v>
      </c>
      <c r="D19" s="6" t="s">
        <v>2815</v>
      </c>
      <c r="E19" s="8"/>
      <c r="F19" s="7" t="s">
        <v>1821</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milscm_2023_009.sny_202310_base_text_mml_mmlps_body.narcotic_prescription_license_no IS '麻薬施用者番号';</v>
      </c>
    </row>
    <row r="20" spans="1:52" s="25" customFormat="1" ht="19.5" thickBot="1">
      <c r="A20" s="4"/>
      <c r="B20" s="27">
        <f>ROW()-12</f>
        <v>8</v>
      </c>
      <c r="C20" s="57" t="s">
        <v>2816</v>
      </c>
      <c r="D20" s="57" t="s">
        <v>2817</v>
      </c>
      <c r="E20" s="56"/>
      <c r="F20" s="56" t="s">
        <v>1821</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ENT_31_A6-25</v>
      </c>
      <c r="E6" s="273"/>
      <c r="F6" s="273"/>
      <c r="G6" s="273"/>
      <c r="H6" s="273"/>
      <c r="I6" s="273"/>
      <c r="J6" s="274"/>
    </row>
    <row r="7" spans="1:45">
      <c r="B7" s="262" t="s">
        <v>115</v>
      </c>
      <c r="C7" s="263"/>
      <c r="D7" s="264" t="s">
        <v>3699</v>
      </c>
      <c r="E7" s="265"/>
      <c r="F7" s="265"/>
      <c r="G7" s="265"/>
      <c r="H7" s="265"/>
      <c r="I7" s="265"/>
      <c r="J7" s="266"/>
    </row>
    <row r="8" spans="1:45">
      <c r="B8" s="262" t="s">
        <v>116</v>
      </c>
      <c r="C8" s="263"/>
      <c r="D8" s="264" t="str">
        <f>エンティティ一覧!AE2&amp;"_"&amp;D5&amp;"_text_mml_mmlps_medication"</f>
        <v>sny_202310_base_text_mml_mmlps_medication</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milscm_2023_009.sny_202310_base_text_mml_mmlps_medication;</v>
      </c>
      <c r="O10" s="76"/>
      <c r="P10" s="76"/>
      <c r="Q10" s="76"/>
      <c r="R10" s="76"/>
      <c r="S10" s="76"/>
      <c r="T10" s="76"/>
      <c r="AJ10" s="76" t="str">
        <f>"ALTER TABLE ONLY "&amp;エンティティ一覧!$O$2&amp;"."&amp;D$8</f>
        <v>ALTER TABLE ONLY milscm_2023_009.sny_202310_base_text_mml_mmlps_medication</v>
      </c>
      <c r="AS10" s="76" t="str">
        <f>"ALTER TABLE "&amp;エンティティ一覧!$O$2&amp;"."&amp;D$8&amp;" OWNER TO pgmisgrp1;"</f>
        <v>ALTER TABLE milscm_2023_009.sny_202310_base_text_mml_mmlps_medication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milscm_2023_009.sny_202310_base_text_mml_mmlps_medication</v>
      </c>
      <c r="O11" s="76"/>
      <c r="P11" s="76"/>
      <c r="Q11" s="76"/>
      <c r="R11" s="76"/>
      <c r="S11" s="76"/>
      <c r="T11" s="76"/>
      <c r="AJ11" s="76" t="str">
        <f>"ADD CONSTRAINT "&amp;D$8&amp;"_pkey PRIMARY KEY"</f>
        <v>ADD CONSTRAINT sny_202310_base_text_mml_mmlps_medication_pkey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2783</v>
      </c>
      <c r="D14" s="6" t="s">
        <v>2784</v>
      </c>
      <c r="E14" s="8" t="s">
        <v>127</v>
      </c>
      <c r="F14" s="7" t="s">
        <v>2782</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2820</v>
      </c>
      <c r="D18" s="6" t="s">
        <v>2821</v>
      </c>
      <c r="E18" s="8" t="s">
        <v>127</v>
      </c>
      <c r="F18" s="7" t="s">
        <v>2782</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2822</v>
      </c>
      <c r="D19" s="6" t="s">
        <v>2823</v>
      </c>
      <c r="E19" s="8"/>
      <c r="F19" s="7" t="s">
        <v>1821</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2824</v>
      </c>
      <c r="D20" s="6" t="s">
        <v>2825</v>
      </c>
      <c r="E20" s="8"/>
      <c r="F20" s="7" t="s">
        <v>1821</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milscm_2023_009.sny_202310_base_text_mml_mmlps_medication.dose IS '用量';</v>
      </c>
    </row>
    <row r="21" spans="1:45" s="25" customFormat="1">
      <c r="A21" s="4"/>
      <c r="B21" s="21">
        <f t="shared" si="2"/>
        <v>9</v>
      </c>
      <c r="C21" s="6" t="s">
        <v>2826</v>
      </c>
      <c r="D21" s="6" t="s">
        <v>2827</v>
      </c>
      <c r="E21" s="8"/>
      <c r="F21" s="7" t="s">
        <v>1821</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2828</v>
      </c>
      <c r="D22" s="6" t="s">
        <v>2829</v>
      </c>
      <c r="E22" s="8"/>
      <c r="F22" s="7" t="s">
        <v>1821</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2830</v>
      </c>
      <c r="D23" s="6" t="s">
        <v>2789</v>
      </c>
      <c r="E23" s="8"/>
      <c r="F23" s="7" t="s">
        <v>1821</v>
      </c>
      <c r="G23" s="7" t="str">
        <f t="shared" si="3"/>
        <v>text</v>
      </c>
      <c r="H23" s="26"/>
      <c r="I23" s="10"/>
      <c r="J23" s="11" t="s">
        <v>2851</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2831</v>
      </c>
      <c r="D24" s="6" t="s">
        <v>2832</v>
      </c>
      <c r="E24" s="8"/>
      <c r="F24" s="7" t="s">
        <v>1821</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2833</v>
      </c>
      <c r="D25" s="6" t="s">
        <v>2834</v>
      </c>
      <c r="E25" s="8"/>
      <c r="F25" s="7" t="s">
        <v>1821</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2835</v>
      </c>
      <c r="D26" s="6" t="s">
        <v>2836</v>
      </c>
      <c r="E26" s="8"/>
      <c r="F26" s="7" t="s">
        <v>1821</v>
      </c>
      <c r="G26" s="7" t="str">
        <f t="shared" si="3"/>
        <v>text</v>
      </c>
      <c r="H26" s="26"/>
      <c r="I26" s="10"/>
      <c r="J26" s="11" t="s">
        <v>2852</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2837</v>
      </c>
      <c r="D27" s="6" t="s">
        <v>2838</v>
      </c>
      <c r="E27" s="8"/>
      <c r="F27" s="7" t="s">
        <v>1821</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2839</v>
      </c>
      <c r="D28" s="6" t="s">
        <v>2840</v>
      </c>
      <c r="E28" s="8"/>
      <c r="F28" s="7" t="s">
        <v>1821</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2841</v>
      </c>
      <c r="D29" s="6" t="s">
        <v>2842</v>
      </c>
      <c r="E29" s="8"/>
      <c r="F29" s="7" t="s">
        <v>1821</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milscm_2023_009.sny_202310_base_text_mml_mmlps_medication.form IS '剤形';</v>
      </c>
    </row>
    <row r="30" spans="1:45" s="25" customFormat="1">
      <c r="A30" s="4"/>
      <c r="B30" s="21">
        <f t="shared" si="2"/>
        <v>18</v>
      </c>
      <c r="C30" s="6" t="s">
        <v>2843</v>
      </c>
      <c r="D30" s="6" t="s">
        <v>2844</v>
      </c>
      <c r="E30" s="8"/>
      <c r="F30" s="7" t="s">
        <v>1821</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milscm_2023_009.sny_202310_base_text_mml_mmlps_medication.batch_no IS '処方番号';</v>
      </c>
    </row>
    <row r="31" spans="1:45" s="25" customFormat="1" ht="37.5">
      <c r="A31" s="4"/>
      <c r="B31" s="21">
        <f t="shared" si="2"/>
        <v>19</v>
      </c>
      <c r="C31" s="6" t="s">
        <v>2845</v>
      </c>
      <c r="D31" s="6" t="s">
        <v>2846</v>
      </c>
      <c r="E31" s="8"/>
      <c r="F31" s="7" t="s">
        <v>1821</v>
      </c>
      <c r="G31" s="7" t="str">
        <f t="shared" si="3"/>
        <v>text</v>
      </c>
      <c r="H31" s="26"/>
      <c r="I31" s="10"/>
      <c r="J31" s="11" t="s">
        <v>2853</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2847</v>
      </c>
      <c r="D32" s="6" t="s">
        <v>2848</v>
      </c>
      <c r="E32" s="8"/>
      <c r="F32" s="7" t="s">
        <v>1821</v>
      </c>
      <c r="G32" s="7" t="str">
        <f t="shared" si="3"/>
        <v>text</v>
      </c>
      <c r="H32" s="26"/>
      <c r="I32" s="10"/>
      <c r="J32" s="11" t="s">
        <v>2854</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milscm_2023_009.sny_202310_base_text_mml_mmlps_medication.long_term IS '長期処方可';</v>
      </c>
    </row>
    <row r="33" spans="1:52" s="25" customFormat="1" ht="19.5" thickBot="1">
      <c r="A33" s="4"/>
      <c r="B33" s="27">
        <f>ROW()-12</f>
        <v>21</v>
      </c>
      <c r="C33" s="57" t="s">
        <v>2849</v>
      </c>
      <c r="D33" s="57" t="s">
        <v>2850</v>
      </c>
      <c r="E33" s="56"/>
      <c r="F33" s="56" t="s">
        <v>1821</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1912</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ENT_31_A6-26</v>
      </c>
      <c r="E6" s="273"/>
      <c r="F6" s="273"/>
      <c r="G6" s="273"/>
      <c r="H6" s="273"/>
      <c r="I6" s="273"/>
      <c r="J6" s="274"/>
    </row>
    <row r="7" spans="1:45">
      <c r="B7" s="262" t="s">
        <v>115</v>
      </c>
      <c r="C7" s="263"/>
      <c r="D7" s="264" t="s">
        <v>3700</v>
      </c>
      <c r="E7" s="265"/>
      <c r="F7" s="265"/>
      <c r="G7" s="265"/>
      <c r="H7" s="265"/>
      <c r="I7" s="265"/>
      <c r="J7" s="266"/>
    </row>
    <row r="8" spans="1:45">
      <c r="B8" s="262" t="s">
        <v>116</v>
      </c>
      <c r="C8" s="263"/>
      <c r="D8" s="264" t="str">
        <f>エンティティ一覧!AE2&amp;"_"&amp;D5&amp;"_text_mml_mmlps_medicine"</f>
        <v>sny_202310_base_text_mml_mmlps_medicine</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milscm_2023_009.sny_202310_base_text_mml_mmlps_medicine;</v>
      </c>
      <c r="O10" s="76"/>
      <c r="P10" s="76"/>
      <c r="Q10" s="76"/>
      <c r="R10" s="76"/>
      <c r="S10" s="76"/>
      <c r="T10" s="76"/>
      <c r="AJ10" s="76" t="str">
        <f>"ALTER TABLE ONLY "&amp;エンティティ一覧!$O$2&amp;"."&amp;D$8</f>
        <v>ALTER TABLE ONLY milscm_2023_009.sny_202310_base_text_mml_mmlps_medicine</v>
      </c>
      <c r="AS10" s="76" t="str">
        <f>"ALTER TABLE "&amp;エンティティ一覧!$O$2&amp;"."&amp;D$8&amp;" OWNER TO pgmisgrp1;"</f>
        <v>ALTER TABLE milscm_2023_009.sny_202310_base_text_mml_mmlps_medicine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milscm_2023_009.sny_202310_base_text_mml_mmlps_medicine</v>
      </c>
      <c r="O11" s="76"/>
      <c r="P11" s="76"/>
      <c r="Q11" s="76"/>
      <c r="R11" s="76"/>
      <c r="S11" s="76"/>
      <c r="T11" s="76"/>
      <c r="AJ11" s="76" t="str">
        <f>"ADD CONSTRAINT "&amp;D$8&amp;"_pkey PRIMARY KEY"</f>
        <v>ADD CONSTRAINT sny_202310_base_text_mml_mmlps_medicine_pkey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2780</v>
      </c>
      <c r="D13" s="6" t="s">
        <v>2781</v>
      </c>
      <c r="E13" s="8" t="s">
        <v>127</v>
      </c>
      <c r="F13" s="8" t="s">
        <v>2782</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2783</v>
      </c>
      <c r="D14" s="6" t="s">
        <v>2784</v>
      </c>
      <c r="E14" s="8" t="s">
        <v>127</v>
      </c>
      <c r="F14" s="7" t="s">
        <v>2782</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2785</v>
      </c>
      <c r="D15" s="6" t="s">
        <v>2786</v>
      </c>
      <c r="E15" s="8" t="s">
        <v>127</v>
      </c>
      <c r="F15" s="7" t="s">
        <v>2782</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2787</v>
      </c>
      <c r="D16" s="6" t="s">
        <v>2403</v>
      </c>
      <c r="E16" s="8"/>
      <c r="F16" s="7" t="s">
        <v>1821</v>
      </c>
      <c r="G16" s="7" t="str">
        <f t="shared" si="3"/>
        <v>text</v>
      </c>
      <c r="H16" s="26"/>
      <c r="I16" s="10" t="s">
        <v>127</v>
      </c>
      <c r="J16" s="11" t="s">
        <v>2793</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2788</v>
      </c>
      <c r="D17" s="6" t="s">
        <v>1246</v>
      </c>
      <c r="E17" s="8"/>
      <c r="F17" s="7" t="s">
        <v>1821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2820</v>
      </c>
      <c r="D18" s="6" t="s">
        <v>2821</v>
      </c>
      <c r="E18" s="8" t="s">
        <v>127</v>
      </c>
      <c r="F18" s="7" t="s">
        <v>2782</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2856</v>
      </c>
      <c r="D19" s="6" t="s">
        <v>2857</v>
      </c>
      <c r="E19" s="8" t="s">
        <v>127</v>
      </c>
      <c r="F19" s="7" t="s">
        <v>2782</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2858</v>
      </c>
      <c r="D20" s="6" t="s">
        <v>359</v>
      </c>
      <c r="E20" s="8"/>
      <c r="F20" s="7" t="s">
        <v>1821</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milscm_2023_009.sny_202310_base_text_mml_mmlps_medicine.code IS '薬剤コード';</v>
      </c>
    </row>
    <row r="21" spans="1:52" s="25" customFormat="1" ht="19.5" thickBot="1">
      <c r="A21" s="4"/>
      <c r="B21" s="27">
        <f>ROW()-12</f>
        <v>9</v>
      </c>
      <c r="C21" s="57" t="s">
        <v>2859</v>
      </c>
      <c r="D21" s="57" t="s">
        <v>2803</v>
      </c>
      <c r="E21" s="56"/>
      <c r="F21" s="56" t="s">
        <v>1821</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ENT_31_C1-02</v>
      </c>
      <c r="E6" s="273"/>
      <c r="F6" s="273"/>
      <c r="G6" s="273"/>
      <c r="H6" s="273"/>
      <c r="I6" s="273"/>
      <c r="J6" s="274"/>
    </row>
    <row r="7" spans="1:45">
      <c r="B7" s="262" t="s">
        <v>115</v>
      </c>
      <c r="C7" s="263"/>
      <c r="D7" s="264" t="s">
        <v>309</v>
      </c>
      <c r="E7" s="265"/>
      <c r="F7" s="265"/>
      <c r="G7" s="265"/>
      <c r="H7" s="265"/>
      <c r="I7" s="265"/>
      <c r="J7" s="266"/>
    </row>
    <row r="8" spans="1:45">
      <c r="B8" s="262" t="s">
        <v>116</v>
      </c>
      <c r="C8" s="263"/>
      <c r="D8" s="264" t="str">
        <f>エンティティ一覧!AE2&amp;"_"&amp;D5&amp;"_merge_dpc_efn"</f>
        <v>sny_202310_base_merge_dpc_efn</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milscm_2023_009.sny_202310_base_merge_dpc_efn;</v>
      </c>
      <c r="O10" s="76"/>
      <c r="P10" s="76"/>
      <c r="Q10" s="76"/>
      <c r="R10" s="76"/>
      <c r="S10" s="76"/>
      <c r="T10" s="76"/>
      <c r="AJ10" s="76" t="str">
        <f>"ALTER TABLE ONLY "&amp;エンティティ一覧!$O$2&amp;"."&amp;D$8</f>
        <v>ALTER TABLE ONLY milscm_2023_009.sny_202310_base_merge_dpc_efn</v>
      </c>
      <c r="AS10" s="76" t="str">
        <f>"ALTER TABLE "&amp;エンティティ一覧!$O$2&amp;"."&amp;D$8&amp;" OWNER TO pgmisgrp1;"</f>
        <v>ALTER TABLE milscm_2023_009.sny_202310_base_merge_dpc_efn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milscm_2023_009.sny_202310_base_merge_dpc_efn</v>
      </c>
      <c r="O11" s="76"/>
      <c r="P11" s="76"/>
      <c r="Q11" s="76"/>
      <c r="R11" s="76"/>
      <c r="S11" s="76"/>
      <c r="T11" s="76"/>
      <c r="AJ11" s="76" t="str">
        <f>"ADD CONSTRAINT "&amp;D$8&amp;"_pkey PRIMARY KEY"</f>
        <v>ADD CONSTRAINT sny_202310_base_merge_dpc_efn_pkey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898</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milscm_2023_009.sny_202310_base_merge_dpc_efn.taiin_ymd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milscm_2023_009.sny_202310_base_merge_dpc_efn.dekidaka_tensu IS '出来高実績点数';</v>
      </c>
    </row>
    <row r="33" spans="1:52" s="25" customFormat="1" ht="56.25">
      <c r="A33" s="4"/>
      <c r="B33" s="21">
        <f t="shared" si="2"/>
        <v>21</v>
      </c>
      <c r="C33" s="6" t="s">
        <v>281</v>
      </c>
      <c r="D33" s="6" t="s">
        <v>132</v>
      </c>
      <c r="E33" s="8"/>
      <c r="F33" s="8" t="s">
        <v>201</v>
      </c>
      <c r="G33" s="7" t="str">
        <f t="shared" si="3"/>
        <v>text</v>
      </c>
      <c r="H33" s="9"/>
      <c r="I33" s="10"/>
      <c r="J33" s="53"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milscm_2023_009.sny_202310_base_merge_dpc_efn.koi_meisai_kubun IS '行為明細区分情報';</v>
      </c>
    </row>
    <row r="34" spans="1:52" s="25" customFormat="1" ht="56.25">
      <c r="A34" s="4"/>
      <c r="B34" s="21">
        <f t="shared" si="2"/>
        <v>22</v>
      </c>
      <c r="C34" s="6" t="s">
        <v>282</v>
      </c>
      <c r="D34" s="6" t="s">
        <v>224</v>
      </c>
      <c r="E34" s="8"/>
      <c r="F34" s="8" t="s">
        <v>225</v>
      </c>
      <c r="G34" s="7" t="str">
        <f t="shared" si="3"/>
        <v>numeric</v>
      </c>
      <c r="H34" s="9"/>
      <c r="I34" s="10"/>
      <c r="J34" s="53"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milscm_2023_009.sny_202310_base_merge_dpc_efn.nyugai_kubun IS '入外区分';</v>
      </c>
      <c r="AT46" s="4"/>
      <c r="AU46" s="4"/>
    </row>
    <row r="47" spans="1:52" s="25" customFormat="1" ht="19.5" thickBot="1">
      <c r="A47" s="4"/>
      <c r="B47" s="27">
        <f>ROW()-12</f>
        <v>35</v>
      </c>
      <c r="C47" s="28" t="s">
        <v>294</v>
      </c>
      <c r="D47" s="28" t="s">
        <v>245</v>
      </c>
      <c r="E47" s="29"/>
      <c r="F47" s="29" t="s">
        <v>201</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ENT_31_C1-03</v>
      </c>
      <c r="E6" s="273"/>
      <c r="F6" s="273"/>
      <c r="G6" s="273"/>
      <c r="H6" s="273"/>
      <c r="I6" s="273"/>
      <c r="J6" s="274"/>
    </row>
    <row r="7" spans="1:45">
      <c r="B7" s="262" t="s">
        <v>115</v>
      </c>
      <c r="C7" s="263"/>
      <c r="D7" s="264" t="s">
        <v>310</v>
      </c>
      <c r="E7" s="265"/>
      <c r="F7" s="265"/>
      <c r="G7" s="265"/>
      <c r="H7" s="265"/>
      <c r="I7" s="265"/>
      <c r="J7" s="266"/>
    </row>
    <row r="8" spans="1:45">
      <c r="B8" s="262" t="s">
        <v>116</v>
      </c>
      <c r="C8" s="263"/>
      <c r="D8" s="264" t="str">
        <f>エンティティ一覧!AE2&amp;"_"&amp;D5&amp;"_merge_dpc_efg"</f>
        <v>sny_202310_base_merge_dpc_efg</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milscm_2023_009.sny_202310_base_merge_dpc_efg;</v>
      </c>
      <c r="O10" s="76"/>
      <c r="P10" s="76"/>
      <c r="Q10" s="76"/>
      <c r="R10" s="76"/>
      <c r="S10" s="76"/>
      <c r="T10" s="76"/>
      <c r="AJ10" s="76" t="str">
        <f>"ALTER TABLE ONLY "&amp;エンティティ一覧!$O$2&amp;"."&amp;D$8</f>
        <v>ALTER TABLE ONLY milscm_2023_009.sny_202310_base_merge_dpc_efg</v>
      </c>
      <c r="AS10" s="76" t="str">
        <f>"ALTER TABLE "&amp;エンティティ一覧!$O$2&amp;"."&amp;D$8&amp;" OWNER TO pgmisgrp1;"</f>
        <v>ALTER TABLE milscm_2023_009.sny_202310_base_merge_dpc_efg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milscm_2023_009.sny_202310_base_merge_dpc_efg</v>
      </c>
      <c r="O11" s="76"/>
      <c r="P11" s="76"/>
      <c r="Q11" s="76"/>
      <c r="R11" s="76"/>
      <c r="S11" s="76"/>
      <c r="T11" s="76"/>
      <c r="AJ11" s="76" t="str">
        <f>"ADD CONSTRAINT "&amp;D$8&amp;"_pkey PRIMARY KEY"</f>
        <v>ADD CONSTRAINT sny_202310_base_merge_dpc_efg_pkey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898</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milscm_2023_009.sny_202310_base_merge_dpc_efg.birthday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milscm_2023_009.sny_202310_base_merge_dpc_efg.dekidaka_tensu IS '出来高実績点数';</v>
      </c>
    </row>
    <row r="33" spans="1:52" s="25" customFormat="1" ht="56.25">
      <c r="A33" s="4"/>
      <c r="B33" s="21">
        <f t="shared" si="2"/>
        <v>21</v>
      </c>
      <c r="C33" s="6" t="s">
        <v>338</v>
      </c>
      <c r="D33" s="6" t="s">
        <v>132</v>
      </c>
      <c r="E33" s="8"/>
      <c r="F33" s="7" t="s">
        <v>317</v>
      </c>
      <c r="G33" s="7" t="str">
        <f t="shared" si="3"/>
        <v>text</v>
      </c>
      <c r="H33" s="26"/>
      <c r="I33" s="10"/>
      <c r="J33" s="11"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milscm_2023_009.sny_202310_base_merge_dpc_efg.koi_meisai_kubun IS '行為明細区分情報';</v>
      </c>
    </row>
    <row r="34" spans="1:52" s="25" customFormat="1" ht="56.25">
      <c r="A34" s="4"/>
      <c r="B34" s="21">
        <f t="shared" si="2"/>
        <v>22</v>
      </c>
      <c r="C34" s="13" t="s">
        <v>339</v>
      </c>
      <c r="D34" s="13" t="s">
        <v>340</v>
      </c>
      <c r="E34" s="7"/>
      <c r="F34" s="7" t="s">
        <v>332</v>
      </c>
      <c r="G34" s="7" t="str">
        <f t="shared" si="3"/>
        <v>numeric</v>
      </c>
      <c r="H34" s="58"/>
      <c r="I34" s="23"/>
      <c r="J34" s="24"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milscm_2023_009.sny_202310_base_merge_dpc_efg.nyugai_kubun IS '入外区分';</v>
      </c>
      <c r="AT46" s="4"/>
      <c r="AU46" s="4"/>
    </row>
    <row r="47" spans="1:52" s="25" customFormat="1" ht="19.5" thickBot="1">
      <c r="A47" s="4"/>
      <c r="B47" s="27">
        <f>ROW()-12</f>
        <v>35</v>
      </c>
      <c r="C47" s="57" t="s">
        <v>352</v>
      </c>
      <c r="D47" s="57" t="s">
        <v>245</v>
      </c>
      <c r="E47" s="56"/>
      <c r="F47" s="56" t="s">
        <v>317</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ENT_31_C1-05</v>
      </c>
      <c r="E6" s="273"/>
      <c r="F6" s="273"/>
      <c r="G6" s="273"/>
      <c r="H6" s="273"/>
      <c r="I6" s="273"/>
      <c r="J6" s="274"/>
    </row>
    <row r="7" spans="1:45">
      <c r="B7" s="262" t="s">
        <v>115</v>
      </c>
      <c r="C7" s="263"/>
      <c r="D7" s="264" t="s">
        <v>311</v>
      </c>
      <c r="E7" s="265"/>
      <c r="F7" s="265"/>
      <c r="G7" s="265"/>
      <c r="H7" s="265"/>
      <c r="I7" s="265"/>
      <c r="J7" s="266"/>
    </row>
    <row r="8" spans="1:45">
      <c r="B8" s="262" t="s">
        <v>116</v>
      </c>
      <c r="C8" s="263"/>
      <c r="D8" s="264" t="str">
        <f>エンティティ一覧!AE2&amp;"_"&amp;D5&amp;"_merge_dpc_ff1"</f>
        <v>sny_202310_base_merge_dpc_ff1</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バックアップ_DPC調査データ_様式1テーブルから対象患者で絞り込んだ結果を格納するテーブル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milscm_2023_009.sny_202310_base_merge_dpc_ff1;</v>
      </c>
      <c r="O10" s="76"/>
      <c r="P10" s="76"/>
      <c r="Q10" s="76"/>
      <c r="R10" s="76"/>
      <c r="S10" s="76"/>
      <c r="T10" s="76"/>
      <c r="AJ10" s="76" t="str">
        <f>"ALTER TABLE ONLY "&amp;エンティティ一覧!$O$2&amp;"."&amp;D$8</f>
        <v>ALTER TABLE ONLY milscm_2023_009.sny_202310_base_merge_dpc_ff1</v>
      </c>
      <c r="AS10" s="76" t="str">
        <f>"ALTER TABLE "&amp;エンティティ一覧!$O$2&amp;"."&amp;D$8&amp;" OWNER TO pgmisgrp1;"</f>
        <v>ALTER TABLE milscm_2023_009.sny_202310_base_merge_dpc_ff1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v>
      </c>
      <c r="O11" s="76"/>
      <c r="P11" s="76"/>
      <c r="Q11" s="76"/>
      <c r="R11" s="76"/>
      <c r="S11" s="76"/>
      <c r="T11" s="76"/>
      <c r="AJ11" s="76" t="str">
        <f>"ADD CONSTRAINT "&amp;D$8&amp;"_pkey PRIMARY KEY"</f>
        <v>ADD CONSTRAINT sny_202310_base_merge_dpc_ff1_pkey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milscm_2023_009.sny_202310_base_merge_dpc_ff1.facility_id IS '施設ID';</v>
      </c>
    </row>
    <row r="16" spans="1:45" s="25" customFormat="1" ht="93.75">
      <c r="B16" s="21">
        <f t="shared" si="2"/>
        <v>4</v>
      </c>
      <c r="C16" s="6" t="s">
        <v>318</v>
      </c>
      <c r="D16" s="6" t="s">
        <v>206</v>
      </c>
      <c r="E16" s="8" t="s">
        <v>127</v>
      </c>
      <c r="F16" s="7" t="s">
        <v>317</v>
      </c>
      <c r="G16" s="7" t="str">
        <f t="shared" si="3"/>
        <v>text</v>
      </c>
      <c r="H16" s="26"/>
      <c r="I16" s="10" t="s">
        <v>127</v>
      </c>
      <c r="J16" s="53" t="s">
        <v>898</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milscm_2023_009.sny_202310_base_merge_dpc_ff1.a000020_shokai_flag IS '他院よりの紹介の有無';</v>
      </c>
    </row>
    <row r="31" spans="1:45" s="25" customFormat="1" ht="31.5">
      <c r="A31" s="4"/>
      <c r="B31" s="21">
        <f t="shared" si="2"/>
        <v>19</v>
      </c>
      <c r="C31" s="6" t="s">
        <v>578</v>
      </c>
      <c r="D31" s="6" t="s">
        <v>579</v>
      </c>
      <c r="E31" s="8"/>
      <c r="F31" s="7" t="s">
        <v>317</v>
      </c>
      <c r="G31" s="7" t="str">
        <f t="shared" si="3"/>
        <v>text</v>
      </c>
      <c r="H31" s="26"/>
      <c r="I31" s="10"/>
      <c r="J31" s="11" t="s">
        <v>813</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milscm_2023_009.sny_202310_base_merge_dpc_ff1.a000020_hanso_flag IS '救急車による搬送の有無';</v>
      </c>
    </row>
    <row r="34" spans="1:52" s="25" customFormat="1" ht="31.5">
      <c r="A34" s="4"/>
      <c r="B34" s="21">
        <f t="shared" si="2"/>
        <v>22</v>
      </c>
      <c r="C34" s="13" t="s">
        <v>584</v>
      </c>
      <c r="D34" s="13" t="s">
        <v>585</v>
      </c>
      <c r="E34" s="7"/>
      <c r="F34" s="7" t="s">
        <v>317</v>
      </c>
      <c r="G34" s="7" t="str">
        <f t="shared" si="3"/>
        <v>text</v>
      </c>
      <c r="H34" s="58"/>
      <c r="I34" s="23"/>
      <c r="J34" s="24" t="s">
        <v>813</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milscm_2023_009.sny_202310_base_merge_dpc_ff1.a000020_nyuin_homecare_flag IS '入院前の在宅医療の有無';</v>
      </c>
    </row>
    <row r="35" spans="1:52" s="25" customFormat="1" ht="206.25">
      <c r="A35" s="4"/>
      <c r="B35" s="21">
        <f t="shared" si="2"/>
        <v>23</v>
      </c>
      <c r="C35" s="6" t="s">
        <v>586</v>
      </c>
      <c r="D35" s="6" t="s">
        <v>587</v>
      </c>
      <c r="E35" s="8"/>
      <c r="F35" s="7" t="s">
        <v>317</v>
      </c>
      <c r="G35" s="7" t="str">
        <f t="shared" si="3"/>
        <v>text</v>
      </c>
      <c r="H35" s="26"/>
      <c r="I35" s="10"/>
      <c r="J35" s="11" t="s">
        <v>814</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milscm_2023_009.sny_202310_base_merge_dpc_ff1.a000020_jisho_flag IS '自傷行為・自殺企図の有無';</v>
      </c>
    </row>
    <row r="36" spans="1:52" s="25" customFormat="1" ht="56.25">
      <c r="A36" s="4"/>
      <c r="B36" s="21">
        <f t="shared" si="2"/>
        <v>24</v>
      </c>
      <c r="C36" s="13" t="s">
        <v>588</v>
      </c>
      <c r="D36" s="13" t="s">
        <v>589</v>
      </c>
      <c r="E36" s="7"/>
      <c r="F36" s="7" t="s">
        <v>317</v>
      </c>
      <c r="G36" s="7" t="str">
        <f t="shared" si="3"/>
        <v>text</v>
      </c>
      <c r="H36" s="26"/>
      <c r="I36" s="10"/>
      <c r="J36" s="11" t="s">
        <v>815</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milscm_2023_009.sny_202310_base_merge_dpc_ff1.a000030_taiin_tenki IS '退院時転帰';</v>
      </c>
    </row>
    <row r="40" spans="1:52" s="25" customFormat="1" ht="75">
      <c r="A40" s="4"/>
      <c r="B40" s="21">
        <f t="shared" si="2"/>
        <v>28</v>
      </c>
      <c r="C40" s="6" t="s">
        <v>595</v>
      </c>
      <c r="D40" s="6" t="s">
        <v>596</v>
      </c>
      <c r="E40" s="8"/>
      <c r="F40" s="7" t="s">
        <v>317</v>
      </c>
      <c r="G40" s="7" t="str">
        <f t="shared" si="3"/>
        <v>text</v>
      </c>
      <c r="H40" s="26"/>
      <c r="I40" s="10"/>
      <c r="J40" s="11" t="s">
        <v>816</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milscm_2023_009.sny_202310_base_merge_dpc_ff1.a000030_death24_flag IS '24時間以内の死亡の有無';</v>
      </c>
    </row>
    <row r="41" spans="1:52" s="25" customFormat="1" ht="31.5">
      <c r="A41" s="4"/>
      <c r="B41" s="21">
        <f t="shared" si="2"/>
        <v>29</v>
      </c>
      <c r="C41" s="13" t="s">
        <v>597</v>
      </c>
      <c r="D41" s="13" t="s">
        <v>598</v>
      </c>
      <c r="E41" s="7"/>
      <c r="F41" s="7" t="s">
        <v>317</v>
      </c>
      <c r="G41" s="7" t="str">
        <f t="shared" si="3"/>
        <v>text</v>
      </c>
      <c r="H41" s="58"/>
      <c r="I41" s="23"/>
      <c r="J41" s="24" t="s">
        <v>817</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milscm_2023_009.sny_202310_base_merge_dpc_ff1.a000031_ff1_end_ymd IS '様式1終了日';</v>
      </c>
    </row>
    <row r="44" spans="1:52" s="25" customFormat="1" ht="31.5">
      <c r="A44" s="4"/>
      <c r="B44" s="21">
        <f t="shared" si="2"/>
        <v>32</v>
      </c>
      <c r="C44" s="6" t="s">
        <v>603</v>
      </c>
      <c r="D44" s="6" t="s">
        <v>604</v>
      </c>
      <c r="E44" s="8"/>
      <c r="F44" s="7" t="s">
        <v>317</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milscm_2023_009.sny_202310_base_merge_dpc_ff1.a000040_tenka_flag IS '転科の有無';</v>
      </c>
    </row>
    <row r="46" spans="1:52" s="25" customFormat="1" ht="31.5">
      <c r="A46" s="4"/>
      <c r="B46" s="21">
        <f t="shared" si="2"/>
        <v>34</v>
      </c>
      <c r="C46" s="6" t="s">
        <v>607</v>
      </c>
      <c r="D46" s="6" t="s">
        <v>608</v>
      </c>
      <c r="E46" s="8"/>
      <c r="F46" s="7" t="s">
        <v>317</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1.5">
      <c r="A47" s="4"/>
      <c r="B47" s="21">
        <f t="shared" si="2"/>
        <v>35</v>
      </c>
      <c r="C47" s="13" t="s">
        <v>609</v>
      </c>
      <c r="D47" s="13" t="s">
        <v>610</v>
      </c>
      <c r="E47" s="7"/>
      <c r="F47" s="7" t="s">
        <v>317</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611</v>
      </c>
      <c r="D48" s="13" t="s">
        <v>612</v>
      </c>
      <c r="E48" s="7"/>
      <c r="F48" s="7" t="s">
        <v>317</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613</v>
      </c>
      <c r="D49" s="13" t="s">
        <v>614</v>
      </c>
      <c r="E49" s="7"/>
      <c r="F49" s="7" t="s">
        <v>317</v>
      </c>
      <c r="G49" s="7" t="str">
        <f t="shared" si="3"/>
        <v>text</v>
      </c>
      <c r="H49" s="58"/>
      <c r="I49" s="23"/>
      <c r="J49" s="24" t="s">
        <v>818</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1.5">
      <c r="A52" s="4"/>
      <c r="B52" s="21">
        <f t="shared" si="2"/>
        <v>40</v>
      </c>
      <c r="C52" s="6" t="s">
        <v>619</v>
      </c>
      <c r="D52" s="6" t="s">
        <v>620</v>
      </c>
      <c r="E52" s="8"/>
      <c r="F52" s="7" t="s">
        <v>317</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7.5">
      <c r="A60" s="4"/>
      <c r="B60" s="21">
        <f t="shared" si="2"/>
        <v>48</v>
      </c>
      <c r="C60" s="13" t="s">
        <v>633</v>
      </c>
      <c r="D60" s="13" t="s">
        <v>634</v>
      </c>
      <c r="E60" s="7"/>
      <c r="F60" s="7" t="s">
        <v>317</v>
      </c>
      <c r="G60" s="7" t="str">
        <f t="shared" si="3"/>
        <v>text</v>
      </c>
      <c r="H60" s="26"/>
      <c r="I60" s="10"/>
      <c r="J60" s="11" t="s">
        <v>823</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1.5">
      <c r="A66" s="4"/>
      <c r="B66" s="21">
        <f t="shared" si="2"/>
        <v>54</v>
      </c>
      <c r="C66" s="13" t="s">
        <v>645</v>
      </c>
      <c r="D66" s="13" t="s">
        <v>646</v>
      </c>
      <c r="E66" s="7"/>
      <c r="F66" s="7" t="s">
        <v>317</v>
      </c>
      <c r="G66" s="7" t="str">
        <f t="shared" si="3"/>
        <v>text</v>
      </c>
      <c r="H66" s="26"/>
      <c r="I66" s="10"/>
      <c r="J66" s="11" t="s">
        <v>828</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647</v>
      </c>
      <c r="D67" s="6" t="s">
        <v>648</v>
      </c>
      <c r="E67" s="8"/>
      <c r="F67" s="7" t="s">
        <v>317</v>
      </c>
      <c r="G67" s="7" t="str">
        <f t="shared" si="3"/>
        <v>text</v>
      </c>
      <c r="H67" s="58"/>
      <c r="I67" s="23"/>
      <c r="J67" s="24" t="s">
        <v>829</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1.5">
      <c r="A68" s="4"/>
      <c r="B68" s="21">
        <f t="shared" si="2"/>
        <v>56</v>
      </c>
      <c r="C68" s="13" t="s">
        <v>246</v>
      </c>
      <c r="D68" s="13" t="s">
        <v>649</v>
      </c>
      <c r="E68" s="7"/>
      <c r="F68" s="7" t="s">
        <v>317</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c r="A69" s="4"/>
      <c r="B69" s="21">
        <f t="shared" si="2"/>
        <v>57</v>
      </c>
      <c r="C69" s="6" t="s">
        <v>248</v>
      </c>
      <c r="D69" s="6" t="s">
        <v>650</v>
      </c>
      <c r="E69" s="8"/>
      <c r="F69" s="7" t="s">
        <v>317</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1.5">
      <c r="A70" s="4"/>
      <c r="B70" s="21">
        <f t="shared" si="2"/>
        <v>58</v>
      </c>
      <c r="C70" s="13" t="s">
        <v>651</v>
      </c>
      <c r="D70" s="13" t="s">
        <v>652</v>
      </c>
      <c r="E70" s="7"/>
      <c r="F70" s="7" t="s">
        <v>317</v>
      </c>
      <c r="G70" s="7" t="str">
        <f t="shared" si="3"/>
        <v>text</v>
      </c>
      <c r="H70" s="58"/>
      <c r="I70" s="23"/>
      <c r="J70" s="24" t="s">
        <v>830</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1.5">
      <c r="A71" s="4"/>
      <c r="B71" s="21">
        <f t="shared" si="2"/>
        <v>59</v>
      </c>
      <c r="C71" s="6" t="s">
        <v>653</v>
      </c>
      <c r="D71" s="6" t="s">
        <v>654</v>
      </c>
      <c r="E71" s="8"/>
      <c r="F71" s="7" t="s">
        <v>317</v>
      </c>
      <c r="G71" s="7" t="str">
        <f t="shared" si="3"/>
        <v>text</v>
      </c>
      <c r="H71" s="26"/>
      <c r="I71" s="10"/>
      <c r="J71" s="11" t="s">
        <v>830</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655</v>
      </c>
      <c r="D72" s="6" t="s">
        <v>656</v>
      </c>
      <c r="E72" s="8"/>
      <c r="F72" s="7" t="s">
        <v>317</v>
      </c>
      <c r="G72" s="7" t="str">
        <f t="shared" si="3"/>
        <v>text</v>
      </c>
      <c r="H72" s="26"/>
      <c r="I72" s="10"/>
      <c r="J72" s="11" t="s">
        <v>830</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1.5">
      <c r="A73" s="4"/>
      <c r="B73" s="21">
        <f t="shared" si="2"/>
        <v>61</v>
      </c>
      <c r="C73" s="13" t="s">
        <v>657</v>
      </c>
      <c r="D73" s="13" t="s">
        <v>658</v>
      </c>
      <c r="E73" s="7"/>
      <c r="F73" s="7" t="s">
        <v>317</v>
      </c>
      <c r="G73" s="7" t="str">
        <f t="shared" si="3"/>
        <v>text</v>
      </c>
      <c r="H73" s="58"/>
      <c r="I73" s="23"/>
      <c r="J73" s="24" t="s">
        <v>830</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659</v>
      </c>
      <c r="D74" s="6" t="s">
        <v>660</v>
      </c>
      <c r="E74" s="8"/>
      <c r="F74" s="7" t="s">
        <v>317</v>
      </c>
      <c r="G74" s="7" t="str">
        <f t="shared" si="3"/>
        <v>text</v>
      </c>
      <c r="H74" s="26"/>
      <c r="I74" s="10"/>
      <c r="J74" s="11" t="s">
        <v>831</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661</v>
      </c>
      <c r="D75" s="13" t="s">
        <v>662</v>
      </c>
      <c r="E75" s="7"/>
      <c r="F75" s="7" t="s">
        <v>317</v>
      </c>
      <c r="G75" s="7" t="str">
        <f t="shared" si="3"/>
        <v>text</v>
      </c>
      <c r="H75" s="58"/>
      <c r="I75" s="23"/>
      <c r="J75" s="24" t="s">
        <v>831</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c r="A78" s="4"/>
      <c r="B78" s="21">
        <f t="shared" si="2"/>
        <v>66</v>
      </c>
      <c r="C78" s="6" t="s">
        <v>667</v>
      </c>
      <c r="D78" s="6" t="s">
        <v>668</v>
      </c>
      <c r="E78" s="8"/>
      <c r="F78" s="7" t="s">
        <v>317</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c r="A79" s="4"/>
      <c r="B79" s="21">
        <f t="shared" si="2"/>
        <v>67</v>
      </c>
      <c r="C79" s="13" t="s">
        <v>669</v>
      </c>
      <c r="D79" s="13" t="s">
        <v>670</v>
      </c>
      <c r="E79" s="7"/>
      <c r="F79" s="7" t="s">
        <v>317</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c r="A80" s="4"/>
      <c r="B80" s="21">
        <f t="shared" si="2"/>
        <v>68</v>
      </c>
      <c r="C80" s="6" t="s">
        <v>671</v>
      </c>
      <c r="D80" s="6" t="s">
        <v>672</v>
      </c>
      <c r="E80" s="8"/>
      <c r="F80" s="7" t="s">
        <v>317</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c r="A81" s="4"/>
      <c r="B81" s="21">
        <f t="shared" si="2"/>
        <v>69</v>
      </c>
      <c r="C81" s="13" t="s">
        <v>673</v>
      </c>
      <c r="D81" s="13" t="s">
        <v>674</v>
      </c>
      <c r="E81" s="7"/>
      <c r="F81" s="7" t="s">
        <v>317</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1.5">
      <c r="A82" s="4"/>
      <c r="B82" s="21">
        <f t="shared" si="2"/>
        <v>70</v>
      </c>
      <c r="C82" s="13" t="s">
        <v>675</v>
      </c>
      <c r="D82" s="13" t="s">
        <v>676</v>
      </c>
      <c r="E82" s="7"/>
      <c r="F82" s="7" t="s">
        <v>317</v>
      </c>
      <c r="G82" s="7" t="str">
        <f t="shared" si="3"/>
        <v>text</v>
      </c>
      <c r="H82" s="58"/>
      <c r="I82" s="23"/>
      <c r="J82" s="24" t="s">
        <v>833</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c r="A85" s="4"/>
      <c r="B85" s="21">
        <f t="shared" si="2"/>
        <v>73</v>
      </c>
      <c r="C85" s="13" t="s">
        <v>667</v>
      </c>
      <c r="D85" s="13" t="s">
        <v>679</v>
      </c>
      <c r="E85" s="7"/>
      <c r="F85" s="7" t="s">
        <v>317</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c r="A86" s="4"/>
      <c r="B86" s="21">
        <f t="shared" si="2"/>
        <v>74</v>
      </c>
      <c r="C86" s="6" t="s">
        <v>669</v>
      </c>
      <c r="D86" s="6" t="s">
        <v>680</v>
      </c>
      <c r="E86" s="8"/>
      <c r="F86" s="7" t="s">
        <v>317</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c r="A87" s="4"/>
      <c r="B87" s="21">
        <f t="shared" si="2"/>
        <v>75</v>
      </c>
      <c r="C87" s="13" t="s">
        <v>671</v>
      </c>
      <c r="D87" s="13" t="s">
        <v>681</v>
      </c>
      <c r="E87" s="7"/>
      <c r="F87" s="7" t="s">
        <v>317</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c r="A88" s="4"/>
      <c r="B88" s="21">
        <f t="shared" si="2"/>
        <v>76</v>
      </c>
      <c r="C88" s="6" t="s">
        <v>673</v>
      </c>
      <c r="D88" s="6" t="s">
        <v>682</v>
      </c>
      <c r="E88" s="8"/>
      <c r="F88" s="7" t="s">
        <v>317</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1.5">
      <c r="A89" s="4"/>
      <c r="B89" s="21">
        <f t="shared" si="2"/>
        <v>77</v>
      </c>
      <c r="C89" s="6" t="s">
        <v>683</v>
      </c>
      <c r="D89" s="6" t="s">
        <v>684</v>
      </c>
      <c r="E89" s="8"/>
      <c r="F89" s="7" t="s">
        <v>317</v>
      </c>
      <c r="G89" s="7" t="str">
        <f t="shared" si="3"/>
        <v>text</v>
      </c>
      <c r="H89" s="58"/>
      <c r="I89" s="23"/>
      <c r="J89" s="24" t="s">
        <v>683</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7.5">
      <c r="A90" s="4"/>
      <c r="B90" s="21">
        <f t="shared" si="2"/>
        <v>78</v>
      </c>
      <c r="C90" s="13" t="s">
        <v>663</v>
      </c>
      <c r="D90" s="13" t="s">
        <v>685</v>
      </c>
      <c r="E90" s="7"/>
      <c r="F90" s="7" t="s">
        <v>317</v>
      </c>
      <c r="G90" s="7" t="str">
        <f t="shared" si="3"/>
        <v>text</v>
      </c>
      <c r="H90" s="26"/>
      <c r="I90" s="10"/>
      <c r="J90" s="11" t="s">
        <v>835</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1.5">
      <c r="A91" s="4"/>
      <c r="B91" s="21">
        <f t="shared" si="2"/>
        <v>79</v>
      </c>
      <c r="C91" s="6" t="s">
        <v>686</v>
      </c>
      <c r="D91" s="6" t="s">
        <v>687</v>
      </c>
      <c r="E91" s="8"/>
      <c r="F91" s="7" t="s">
        <v>317</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c r="A93" s="4"/>
      <c r="B93" s="21">
        <f t="shared" si="2"/>
        <v>81</v>
      </c>
      <c r="C93" s="6" t="s">
        <v>667</v>
      </c>
      <c r="D93" s="6" t="s">
        <v>689</v>
      </c>
      <c r="E93" s="8"/>
      <c r="F93" s="7" t="s">
        <v>317</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c r="A94" s="4"/>
      <c r="B94" s="21">
        <f t="shared" si="2"/>
        <v>82</v>
      </c>
      <c r="C94" s="13" t="s">
        <v>669</v>
      </c>
      <c r="D94" s="13" t="s">
        <v>690</v>
      </c>
      <c r="E94" s="7"/>
      <c r="F94" s="7" t="s">
        <v>317</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c r="A95" s="4"/>
      <c r="B95" s="21">
        <f t="shared" si="2"/>
        <v>83</v>
      </c>
      <c r="C95" s="6" t="s">
        <v>671</v>
      </c>
      <c r="D95" s="6" t="s">
        <v>691</v>
      </c>
      <c r="E95" s="8"/>
      <c r="F95" s="7" t="s">
        <v>317</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c r="A96" s="4"/>
      <c r="B96" s="21">
        <f t="shared" si="2"/>
        <v>84</v>
      </c>
      <c r="C96" s="13" t="s">
        <v>673</v>
      </c>
      <c r="D96" s="13" t="s">
        <v>692</v>
      </c>
      <c r="E96" s="7"/>
      <c r="F96" s="7" t="s">
        <v>317</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37.5">
      <c r="A97" s="4"/>
      <c r="B97" s="21">
        <f t="shared" si="2"/>
        <v>85</v>
      </c>
      <c r="C97" s="6" t="s">
        <v>693</v>
      </c>
      <c r="D97" s="6" t="s">
        <v>694</v>
      </c>
      <c r="E97" s="8"/>
      <c r="F97" s="7" t="s">
        <v>317</v>
      </c>
      <c r="G97" s="7" t="str">
        <f t="shared" si="3"/>
        <v>text</v>
      </c>
      <c r="H97" s="58"/>
      <c r="I97" s="23"/>
      <c r="J97" s="24" t="s">
        <v>836</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663</v>
      </c>
      <c r="D98" s="13" t="s">
        <v>695</v>
      </c>
      <c r="E98" s="7"/>
      <c r="F98" s="7" t="s">
        <v>317</v>
      </c>
      <c r="G98" s="7" t="str">
        <f t="shared" si="3"/>
        <v>text</v>
      </c>
      <c r="H98" s="26"/>
      <c r="I98" s="10"/>
      <c r="J98" s="11" t="s">
        <v>837</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c r="A100" s="4"/>
      <c r="B100" s="21">
        <f t="shared" si="2"/>
        <v>88</v>
      </c>
      <c r="C100" s="13" t="s">
        <v>667</v>
      </c>
      <c r="D100" s="13" t="s">
        <v>697</v>
      </c>
      <c r="E100" s="7"/>
      <c r="F100" s="7" t="s">
        <v>317</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c r="A101" s="4"/>
      <c r="B101" s="21">
        <f t="shared" si="2"/>
        <v>89</v>
      </c>
      <c r="C101" s="6" t="s">
        <v>669</v>
      </c>
      <c r="D101" s="6" t="s">
        <v>698</v>
      </c>
      <c r="E101" s="8"/>
      <c r="F101" s="7" t="s">
        <v>317</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c r="A102" s="4"/>
      <c r="B102" s="21">
        <f t="shared" si="2"/>
        <v>90</v>
      </c>
      <c r="C102" s="13" t="s">
        <v>671</v>
      </c>
      <c r="D102" s="13" t="s">
        <v>699</v>
      </c>
      <c r="E102" s="7"/>
      <c r="F102" s="7" t="s">
        <v>317</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c r="A103" s="4"/>
      <c r="B103" s="21">
        <f t="shared" si="2"/>
        <v>91</v>
      </c>
      <c r="C103" s="6" t="s">
        <v>673</v>
      </c>
      <c r="D103" s="6" t="s">
        <v>700</v>
      </c>
      <c r="E103" s="8"/>
      <c r="F103" s="7" t="s">
        <v>317</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1.5">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703</v>
      </c>
      <c r="D105" s="6" t="s">
        <v>704</v>
      </c>
      <c r="E105" s="8"/>
      <c r="F105" s="7" t="s">
        <v>317</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1.5">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1.5">
      <c r="A107" s="4"/>
      <c r="B107" s="21">
        <f t="shared" si="2"/>
        <v>95</v>
      </c>
      <c r="C107" s="13" t="s">
        <v>707</v>
      </c>
      <c r="D107" s="13" t="s">
        <v>708</v>
      </c>
      <c r="E107" s="7"/>
      <c r="F107" s="7" t="s">
        <v>317</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1.5">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1.5">
      <c r="A118" s="4"/>
      <c r="B118" s="21">
        <f t="shared" si="2"/>
        <v>106</v>
      </c>
      <c r="C118" s="6" t="s">
        <v>729</v>
      </c>
      <c r="D118" s="6" t="s">
        <v>730</v>
      </c>
      <c r="E118" s="8"/>
      <c r="F118" s="7" t="s">
        <v>317</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75">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742</v>
      </c>
      <c r="D124" s="6" t="s">
        <v>743</v>
      </c>
      <c r="E124" s="8"/>
      <c r="F124" s="7" t="s">
        <v>317</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1.5">
      <c r="A126" s="4"/>
      <c r="B126" s="21">
        <f t="shared" si="2"/>
        <v>114</v>
      </c>
      <c r="C126" s="13" t="s">
        <v>746</v>
      </c>
      <c r="D126" s="13" t="s">
        <v>747</v>
      </c>
      <c r="E126" s="7"/>
      <c r="F126" s="7" t="s">
        <v>317</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1.5">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c r="A129" s="4"/>
      <c r="B129" s="21">
        <f t="shared" si="2"/>
        <v>117</v>
      </c>
      <c r="C129" s="13" t="s">
        <v>752</v>
      </c>
      <c r="D129" s="13" t="s">
        <v>753</v>
      </c>
      <c r="E129" s="7"/>
      <c r="F129" s="7" t="s">
        <v>317</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1.5">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1.5">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93.75">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7.5">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75">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75">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6.25">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7.5">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784</v>
      </c>
      <c r="D145" s="13" t="s">
        <v>785</v>
      </c>
      <c r="E145" s="7"/>
      <c r="F145" s="7" t="s">
        <v>317</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7.5">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ENT_31_C1-07</v>
      </c>
      <c r="E6" s="273"/>
      <c r="F6" s="273"/>
      <c r="G6" s="273"/>
      <c r="H6" s="273"/>
      <c r="I6" s="273"/>
      <c r="J6" s="274"/>
    </row>
    <row r="7" spans="1:45">
      <c r="B7" s="262" t="s">
        <v>115</v>
      </c>
      <c r="C7" s="263"/>
      <c r="D7" s="264" t="s">
        <v>312</v>
      </c>
      <c r="E7" s="265"/>
      <c r="F7" s="265"/>
      <c r="G7" s="265"/>
      <c r="H7" s="265"/>
      <c r="I7" s="265"/>
      <c r="J7" s="266"/>
    </row>
    <row r="8" spans="1:45">
      <c r="B8" s="262" t="s">
        <v>116</v>
      </c>
      <c r="C8" s="263"/>
      <c r="D8" s="264" t="str">
        <f>エンティティ一覧!AE2&amp;"_"&amp;D5&amp;"_merge_dpc_ff1_a006040"</f>
        <v>sny_202310_base_merge_dpc_ff1_a006040</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milscm_2023_009.sny_202310_base_merge_dpc_ff1_a006040;</v>
      </c>
      <c r="O10" s="76"/>
      <c r="P10" s="76"/>
      <c r="Q10" s="76"/>
      <c r="R10" s="76"/>
      <c r="S10" s="76"/>
      <c r="T10" s="76"/>
      <c r="AJ10" s="76" t="str">
        <f>"ALTER TABLE ONLY "&amp;エンティティ一覧!$O$2&amp;"."&amp;D$8</f>
        <v>ALTER TABLE ONLY milscm_2023_009.sny_202310_base_merge_dpc_ff1_a006040</v>
      </c>
      <c r="AS10" s="76" t="str">
        <f>"ALTER TABLE "&amp;エンティティ一覧!$O$2&amp;"."&amp;D$8&amp;" OWNER TO pgmisgrp1;"</f>
        <v>ALTER TABLE milscm_2023_009.sny_202310_base_merge_dpc_ff1_a006040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milscm_2023_009.sny_202310_base_merge_dpc_ff1_a006040</v>
      </c>
      <c r="O11" s="76"/>
      <c r="P11" s="76"/>
      <c r="Q11" s="76"/>
      <c r="R11" s="76"/>
      <c r="S11" s="76"/>
      <c r="T11" s="76"/>
      <c r="AJ11" s="76" t="str">
        <f>"ADD CONSTRAINT "&amp;D$8&amp;"_pkey PRIMARY KEY"</f>
        <v>ADD CONSTRAINT sny_202310_base_merge_dpc_ff1_a006040_pkey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milscm_2023_009.sny_202310_base_merge_dpc_ff1_a006040.mil_karute_id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milscm_2023_009.sny_202310_base_merge_dpc_ff1_a006040.facility_id IS '施設ID';</v>
      </c>
    </row>
    <row r="16" spans="1:45" s="25" customFormat="1" ht="93.75">
      <c r="B16" s="21">
        <f t="shared" si="2"/>
        <v>4</v>
      </c>
      <c r="C16" s="6" t="s">
        <v>866</v>
      </c>
      <c r="D16" s="6" t="s">
        <v>206</v>
      </c>
      <c r="E16" s="8" t="s">
        <v>127</v>
      </c>
      <c r="F16" s="7" t="s">
        <v>865</v>
      </c>
      <c r="G16" s="7" t="str">
        <f t="shared" si="3"/>
        <v>text</v>
      </c>
      <c r="H16" s="26"/>
      <c r="I16" s="10" t="s">
        <v>127</v>
      </c>
      <c r="J16" s="53" t="s">
        <v>898</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milscm_2023_009.sny_202310_base_merge_dpc_ff1_a006040.shushoku_code4 IS '修飾語コード4';</v>
      </c>
    </row>
    <row r="31" spans="1:52" s="25" customFormat="1" ht="19.5" thickBot="1">
      <c r="A31" s="4"/>
      <c r="B31" s="27">
        <f>ROW()-12</f>
        <v>19</v>
      </c>
      <c r="C31" s="57" t="s">
        <v>877</v>
      </c>
      <c r="D31" s="57" t="s">
        <v>878</v>
      </c>
      <c r="E31" s="56"/>
      <c r="F31" s="56" t="s">
        <v>865</v>
      </c>
      <c r="G31" s="56" t="str">
        <f t="shared" si="3"/>
        <v>text</v>
      </c>
      <c r="H31" s="59"/>
      <c r="I31" s="60"/>
      <c r="J31" s="64" t="s">
        <v>882</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ENT_31_C1-08</v>
      </c>
      <c r="E6" s="273"/>
      <c r="F6" s="273"/>
      <c r="G6" s="273"/>
      <c r="H6" s="273"/>
      <c r="I6" s="273"/>
      <c r="J6" s="274"/>
    </row>
    <row r="7" spans="1:45">
      <c r="B7" s="262" t="s">
        <v>115</v>
      </c>
      <c r="C7" s="263"/>
      <c r="D7" s="264" t="s">
        <v>313</v>
      </c>
      <c r="E7" s="265"/>
      <c r="F7" s="265"/>
      <c r="G7" s="265"/>
      <c r="H7" s="265"/>
      <c r="I7" s="265"/>
      <c r="J7" s="266"/>
    </row>
    <row r="8" spans="1:45">
      <c r="B8" s="262" t="s">
        <v>116</v>
      </c>
      <c r="C8" s="263"/>
      <c r="D8" s="264" t="str">
        <f>エンティティ一覧!AE2&amp;"_"&amp;D5&amp;"_merge_dpc_ff1_a006050"</f>
        <v>sny_202310_base_merge_dpc_ff1_a006050</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milscm_2023_009.sny_202310_base_merge_dpc_ff1_a006050;</v>
      </c>
      <c r="O10" s="76"/>
      <c r="P10" s="76"/>
      <c r="Q10" s="76"/>
      <c r="R10" s="76"/>
      <c r="S10" s="76"/>
      <c r="T10" s="76"/>
      <c r="AJ10" s="76" t="str">
        <f>"ALTER TABLE ONLY "&amp;エンティティ一覧!$O$2&amp;"."&amp;D$8</f>
        <v>ALTER TABLE ONLY milscm_2023_009.sny_202310_base_merge_dpc_ff1_a006050</v>
      </c>
      <c r="AS10" s="76" t="str">
        <f>"ALTER TABLE "&amp;エンティティ一覧!$O$2&amp;"."&amp;D$8&amp;" OWNER TO pgmisgrp1;"</f>
        <v>ALTER TABLE milscm_2023_009.sny_202310_base_merge_dpc_ff1_a006050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milscm_2023_009.sny_202310_base_merge_dpc_ff1_a006050</v>
      </c>
      <c r="O11" s="76"/>
      <c r="P11" s="76"/>
      <c r="Q11" s="76"/>
      <c r="R11" s="76"/>
      <c r="S11" s="76"/>
      <c r="T11" s="76"/>
      <c r="AJ11" s="76" t="str">
        <f>"ADD CONSTRAINT "&amp;D$8&amp;"_pkey PRIMARY KEY"</f>
        <v>ADD CONSTRAINT sny_202310_base_merge_dpc_ff1_a006050_pkey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milscm_2023_009.sny_202310_base_merge_dpc_ff1_a006050.mil_karute_id IS '千年カルテID';</v>
      </c>
    </row>
    <row r="15" spans="1:45" s="25" customFormat="1" ht="37.5">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milscm_2023_009.sny_202310_base_merge_dpc_ff1_a006050.facility_id IS '施設ID';</v>
      </c>
    </row>
    <row r="16" spans="1:45" s="25" customFormat="1" ht="93.75">
      <c r="B16" s="21">
        <f t="shared" si="2"/>
        <v>4</v>
      </c>
      <c r="C16" s="6" t="s">
        <v>866</v>
      </c>
      <c r="D16" s="6" t="s">
        <v>884</v>
      </c>
      <c r="E16" s="8" t="s">
        <v>127</v>
      </c>
      <c r="F16" s="7" t="s">
        <v>865</v>
      </c>
      <c r="G16" s="7" t="str">
        <f t="shared" si="3"/>
        <v>text</v>
      </c>
      <c r="H16" s="26"/>
      <c r="I16" s="10" t="s">
        <v>127</v>
      </c>
      <c r="J16" s="53" t="s">
        <v>898</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milscm_2023_009.sny_202310_base_merge_dpc_ff1_a006050.shushoku_code4 IS '修飾語コード4';</v>
      </c>
    </row>
    <row r="31" spans="1:52" s="25" customFormat="1" ht="19.5" thickBot="1">
      <c r="A31" s="4"/>
      <c r="B31" s="27">
        <f>ROW()-12</f>
        <v>19</v>
      </c>
      <c r="C31" s="57" t="s">
        <v>888</v>
      </c>
      <c r="D31" s="57" t="s">
        <v>889</v>
      </c>
      <c r="E31" s="56"/>
      <c r="F31" s="56" t="s">
        <v>865</v>
      </c>
      <c r="G31" s="56" t="str">
        <f t="shared" si="3"/>
        <v>text</v>
      </c>
      <c r="H31" s="59"/>
      <c r="I31" s="60"/>
      <c r="J31" s="61" t="s">
        <v>893</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ENT_31_C4-03</v>
      </c>
      <c r="E6" s="273"/>
      <c r="F6" s="273"/>
      <c r="G6" s="273"/>
      <c r="H6" s="273"/>
      <c r="I6" s="273"/>
      <c r="J6" s="274"/>
    </row>
    <row r="7" spans="1:45">
      <c r="B7" s="262" t="s">
        <v>115</v>
      </c>
      <c r="C7" s="263"/>
      <c r="D7" s="264" t="s">
        <v>3676</v>
      </c>
      <c r="E7" s="265"/>
      <c r="F7" s="265"/>
      <c r="G7" s="265"/>
      <c r="H7" s="265"/>
      <c r="I7" s="265"/>
      <c r="J7" s="266"/>
    </row>
    <row r="8" spans="1:45">
      <c r="B8" s="262" t="s">
        <v>116</v>
      </c>
      <c r="C8" s="263"/>
      <c r="D8" s="264" t="str">
        <f>エンティティ一覧!AE2&amp;"_"&amp;D5&amp;"_merge_mml_rd_register"</f>
        <v>sny_202310_base_merge_mml_rd_register</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milscm_2023_009.sny_202310_base_merge_mml_rd_register;</v>
      </c>
      <c r="O10" s="76"/>
      <c r="P10" s="76"/>
      <c r="Q10" s="76"/>
      <c r="R10" s="76"/>
      <c r="S10" s="76"/>
      <c r="T10" s="76"/>
      <c r="AJ10" s="76" t="str">
        <f>"ALTER TABLE ONLY "&amp;エンティティ一覧!$O$2&amp;"."&amp;D$8</f>
        <v>ALTER TABLE ONLY milscm_2023_009.sny_202310_base_merge_mml_rd_register</v>
      </c>
      <c r="AS10" s="76" t="str">
        <f>"ALTER TABLE "&amp;エンティティ一覧!$O$2&amp;"."&amp;D$8&amp;" OWNER TO pgmisgrp1;"</f>
        <v>ALTER TABLE milscm_2023_009.sny_202310_base_merge_mml_rd_register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milscm_2023_009.sny_202310_base_merge_mml_rd_register</v>
      </c>
      <c r="O11" s="76"/>
      <c r="P11" s="76"/>
      <c r="Q11" s="76"/>
      <c r="R11" s="76"/>
      <c r="S11" s="76"/>
      <c r="T11" s="76"/>
      <c r="AJ11" s="76" t="str">
        <f>"ADD CONSTRAINT "&amp;D$8&amp;"_pkey PRIMARY KEY"</f>
        <v>ADD CONSTRAINT sny_202310_base_merge_mml_rd_register_pkey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1282</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milscm_2023_009.sny_202310_base_merge_mml_rd_register.mil_karute_id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milscm_2023_009.sny_202310_base_merge_mml_rd_register.facility_id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milscm_2023_009.sny_202310_base_merge_mml_rd_register.data_type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milscm_2023_009.sny_202310_base_merge_mml_rd_register.master_id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milscm_2023_009.sny_202310_base_merge_mml_rd_register.uid IS '文書ユニークID';</v>
      </c>
    </row>
    <row r="20" spans="1:52" s="25" customFormat="1" ht="37.5">
      <c r="A20" s="4"/>
      <c r="B20" s="21">
        <f t="shared" si="2"/>
        <v>8</v>
      </c>
      <c r="C20" s="13" t="s">
        <v>1301</v>
      </c>
      <c r="D20" s="13" t="s">
        <v>1302</v>
      </c>
      <c r="E20" s="7" t="s">
        <v>127</v>
      </c>
      <c r="F20" s="7" t="s">
        <v>204</v>
      </c>
      <c r="G20" s="7" t="str">
        <f t="shared" si="3"/>
        <v>integer</v>
      </c>
      <c r="H20" s="58"/>
      <c r="I20" s="23" t="s">
        <v>127</v>
      </c>
      <c r="J20" s="24" t="s">
        <v>1312</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1303</v>
      </c>
      <c r="D21" s="13" t="s">
        <v>1304</v>
      </c>
      <c r="E21" s="7"/>
      <c r="F21" s="7" t="s">
        <v>865</v>
      </c>
      <c r="G21" s="7" t="str">
        <f t="shared" si="3"/>
        <v>text</v>
      </c>
      <c r="H21" s="58"/>
      <c r="I21" s="23"/>
      <c r="J21" s="24" t="s">
        <v>1313</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1305</v>
      </c>
      <c r="D22" s="13" t="s">
        <v>1306</v>
      </c>
      <c r="E22" s="7"/>
      <c r="F22" s="7" t="s">
        <v>865</v>
      </c>
      <c r="G22" s="7" t="str">
        <f t="shared" si="3"/>
        <v>text</v>
      </c>
      <c r="H22" s="58"/>
      <c r="I22" s="23"/>
      <c r="J22" s="24" t="s">
        <v>1314</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1307</v>
      </c>
      <c r="D23" s="13" t="s">
        <v>1308</v>
      </c>
      <c r="E23" s="7"/>
      <c r="F23" s="7" t="s">
        <v>865</v>
      </c>
      <c r="G23" s="7" t="str">
        <f t="shared" si="3"/>
        <v>text</v>
      </c>
      <c r="H23" s="58"/>
      <c r="I23" s="23"/>
      <c r="J23" s="24" t="s">
        <v>1315</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milscm_2023_009.sny_202310_base_merge_mml_rd_register.tenki IS '転帰';</v>
      </c>
    </row>
    <row r="24" spans="1:52" s="25" customFormat="1" ht="19.5" thickBot="1">
      <c r="A24" s="4"/>
      <c r="B24" s="27">
        <f>ROW()-12</f>
        <v>12</v>
      </c>
      <c r="C24" s="57" t="s">
        <v>1309</v>
      </c>
      <c r="D24" s="57" t="s">
        <v>1310</v>
      </c>
      <c r="E24" s="56"/>
      <c r="F24" s="56" t="s">
        <v>865</v>
      </c>
      <c r="G24" s="56" t="str">
        <f t="shared" si="3"/>
        <v>text</v>
      </c>
      <c r="H24" s="59"/>
      <c r="I24" s="60"/>
      <c r="J24" s="64" t="s">
        <v>1316</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ENT_31_C4-04</v>
      </c>
      <c r="E6" s="273"/>
      <c r="F6" s="273"/>
      <c r="G6" s="273"/>
      <c r="H6" s="273"/>
      <c r="I6" s="273"/>
      <c r="J6" s="274"/>
    </row>
    <row r="7" spans="1:45">
      <c r="B7" s="262" t="s">
        <v>115</v>
      </c>
      <c r="C7" s="263"/>
      <c r="D7" s="264" t="s">
        <v>3677</v>
      </c>
      <c r="E7" s="265"/>
      <c r="F7" s="265"/>
      <c r="G7" s="265"/>
      <c r="H7" s="265"/>
      <c r="I7" s="265"/>
      <c r="J7" s="266"/>
    </row>
    <row r="8" spans="1:45">
      <c r="B8" s="262" t="s">
        <v>116</v>
      </c>
      <c r="C8" s="263"/>
      <c r="D8" s="264" t="str">
        <f>エンティティ一覧!AE2&amp;"_"&amp;D5&amp;"_merge_mml_rd_byomei"</f>
        <v>sny_202310_base_merge_mml_rd_byomei</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milscm_2023_009.sny_202310_base_merge_mml_rd_byomei;</v>
      </c>
      <c r="O10" s="76"/>
      <c r="P10" s="76"/>
      <c r="Q10" s="76"/>
      <c r="R10" s="76"/>
      <c r="S10" s="76"/>
      <c r="T10" s="76"/>
      <c r="AJ10" s="76" t="str">
        <f>"ALTER TABLE ONLY "&amp;エンティティ一覧!$O$2&amp;"."&amp;D$8</f>
        <v>ALTER TABLE ONLY milscm_2023_009.sny_202310_base_merge_mml_rd_byomei</v>
      </c>
      <c r="AS10" s="76" t="str">
        <f>"ALTER TABLE "&amp;エンティティ一覧!$O$2&amp;"."&amp;D$8&amp;" OWNER TO pgmisgrp1;"</f>
        <v>ALTER TABLE milscm_2023_009.sny_202310_base_merge_mml_rd_byomei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milscm_2023_009.sny_202310_base_merge_mml_rd_byomei</v>
      </c>
      <c r="O11" s="76"/>
      <c r="P11" s="76"/>
      <c r="Q11" s="76"/>
      <c r="R11" s="76"/>
      <c r="S11" s="76"/>
      <c r="T11" s="76"/>
      <c r="AJ11" s="76" t="str">
        <f>"ADD CONSTRAINT "&amp;D$8&amp;"_pkey PRIMARY KEY"</f>
        <v>ADD CONSTRAINT sny_202310_base_merge_mml_rd_byomei_pkey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1282</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milscm_2023_009.sny_202310_base_merge_mml_rd_byomei.mil_karute_id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milscm_2023_009.sny_202310_base_merge_mml_rd_byomei.facility_id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milscm_2023_009.sny_202310_base_merge_mml_rd_byomei.data_type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milscm_2023_009.sny_202310_base_merge_mml_rd_byomei.master_id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milscm_2023_009.sny_202310_base_merge_mml_rd_byomei.uid IS '文書ユニークID';</v>
      </c>
    </row>
    <row r="20" spans="1:52" s="25" customFormat="1" ht="37.5">
      <c r="A20" s="4"/>
      <c r="B20" s="21">
        <f t="shared" si="2"/>
        <v>8</v>
      </c>
      <c r="C20" s="13" t="s">
        <v>1301</v>
      </c>
      <c r="D20" s="13" t="s">
        <v>1302</v>
      </c>
      <c r="E20" s="7" t="s">
        <v>127</v>
      </c>
      <c r="F20" s="7" t="s">
        <v>204</v>
      </c>
      <c r="G20" s="7" t="str">
        <f t="shared" si="3"/>
        <v>integer</v>
      </c>
      <c r="H20" s="58"/>
      <c r="I20" s="23" t="s">
        <v>127</v>
      </c>
      <c r="J20" s="24" t="s">
        <v>1312</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1319</v>
      </c>
      <c r="D21" s="13" t="s">
        <v>1320</v>
      </c>
      <c r="E21" s="7" t="s">
        <v>127</v>
      </c>
      <c r="F21" s="7" t="s">
        <v>204</v>
      </c>
      <c r="G21" s="7" t="str">
        <f t="shared" si="3"/>
        <v>integer</v>
      </c>
      <c r="H21" s="58"/>
      <c r="I21" s="23" t="s">
        <v>127</v>
      </c>
      <c r="J21" s="24" t="s">
        <v>1327</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1321</v>
      </c>
      <c r="D22" s="13" t="s">
        <v>1322</v>
      </c>
      <c r="E22" s="7"/>
      <c r="F22" s="7" t="s">
        <v>865</v>
      </c>
      <c r="G22" s="7" t="str">
        <f t="shared" si="3"/>
        <v>text</v>
      </c>
      <c r="H22" s="58"/>
      <c r="I22" s="23"/>
      <c r="J22" s="24" t="s">
        <v>1328</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milscm_2023_009.sny_202310_base_merge_mml_rd_byomei.byomei IS '病名';</v>
      </c>
    </row>
    <row r="23" spans="1:52" s="25" customFormat="1">
      <c r="A23" s="4"/>
      <c r="B23" s="21">
        <f t="shared" si="2"/>
        <v>11</v>
      </c>
      <c r="C23" s="13" t="s">
        <v>1323</v>
      </c>
      <c r="D23" s="13" t="s">
        <v>1324</v>
      </c>
      <c r="E23" s="7"/>
      <c r="F23" s="7" t="s">
        <v>865</v>
      </c>
      <c r="G23" s="7" t="str">
        <f t="shared" si="3"/>
        <v>text</v>
      </c>
      <c r="H23" s="58"/>
      <c r="I23" s="23"/>
      <c r="J23" s="24" t="s">
        <v>1329</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milscm_2023_009.sny_202310_base_merge_mml_rd_byomei.byomei_code IS '病名コード値';</v>
      </c>
    </row>
    <row r="24" spans="1:52" s="25" customFormat="1" ht="19.5" thickBot="1">
      <c r="A24" s="4"/>
      <c r="B24" s="27">
        <f>ROW()-12</f>
        <v>12</v>
      </c>
      <c r="C24" s="57" t="s">
        <v>1325</v>
      </c>
      <c r="D24" s="57" t="s">
        <v>1326</v>
      </c>
      <c r="E24" s="56"/>
      <c r="F24" s="56" t="s">
        <v>865</v>
      </c>
      <c r="G24" s="56" t="str">
        <f t="shared" si="3"/>
        <v>text</v>
      </c>
      <c r="H24" s="59"/>
      <c r="I24" s="60"/>
      <c r="J24" s="64" t="s">
        <v>1330</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ENT_31_C4-06</v>
      </c>
      <c r="E6" s="273"/>
      <c r="F6" s="273"/>
      <c r="G6" s="273"/>
      <c r="H6" s="273"/>
      <c r="I6" s="273"/>
      <c r="J6" s="274"/>
    </row>
    <row r="7" spans="1:45">
      <c r="B7" s="262" t="s">
        <v>115</v>
      </c>
      <c r="C7" s="263"/>
      <c r="D7" s="264" t="s">
        <v>3678</v>
      </c>
      <c r="E7" s="265"/>
      <c r="F7" s="265"/>
      <c r="G7" s="265"/>
      <c r="H7" s="265"/>
      <c r="I7" s="265"/>
      <c r="J7" s="266"/>
    </row>
    <row r="8" spans="1:45">
      <c r="B8" s="262" t="s">
        <v>116</v>
      </c>
      <c r="C8" s="263"/>
      <c r="D8" s="264" t="str">
        <f>エンティティ一覧!AE2&amp;"_"&amp;D5&amp;"_merge_mml_pc_progress_course"</f>
        <v>sny_202310_base_merge_mml_pc_progress_course</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milscm_2023_009.sny_202310_base_merge_mml_pc_progress_course;</v>
      </c>
      <c r="O10" s="76"/>
      <c r="P10" s="76"/>
      <c r="Q10" s="76"/>
      <c r="R10" s="76"/>
      <c r="S10" s="76"/>
      <c r="T10" s="76"/>
      <c r="AJ10" s="76" t="str">
        <f>"ALTER TABLE ONLY "&amp;エンティティ一覧!$O$2&amp;"."&amp;D$8</f>
        <v>ALTER TABLE ONLY milscm_2023_009.sny_202310_base_merge_mml_pc_progress_course</v>
      </c>
      <c r="AS10" s="76" t="str">
        <f>"ALTER TABLE "&amp;エンティティ一覧!$O$2&amp;"."&amp;D$8&amp;" OWNER TO pgmisgrp1;"</f>
        <v>ALTER TABLE milscm_2023_009.sny_202310_base_merge_mml_pc_progress_course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milscm_2023_009.sny_202310_base_merge_mml_pc_progress_course</v>
      </c>
      <c r="O11" s="76"/>
      <c r="P11" s="76"/>
      <c r="Q11" s="76"/>
      <c r="R11" s="76"/>
      <c r="S11" s="76"/>
      <c r="T11" s="76"/>
      <c r="AJ11" s="76" t="str">
        <f>"ADD CONSTRAINT "&amp;D$8&amp;"_pkey PRIMARY KEY"</f>
        <v>ADD CONSTRAINT sny_202310_base_merge_mml_pc_progress_course_pkey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1282</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milscm_2023_009.sny_202310_base_merge_mml_pc_progress_course.mil_karute_id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milscm_2023_009.sny_202310_base_merge_mml_pc_progress_course.facility_id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milscm_2023_009.sny_202310_base_merge_mml_pc_progress_course.data_type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milscm_2023_009.sny_202310_base_merge_mml_pc_progress_course.master_id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milscm_2023_009.sny_202310_base_merge_mml_pc_progress_course.uid IS '文書ユニークID';</v>
      </c>
    </row>
    <row r="20" spans="1:52"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milscm_2023_009.sny_202310_base_merge_mml_pc_progress_course.keika_seq IS '経過記録SEQ';</v>
      </c>
    </row>
    <row r="21" spans="1:52" s="25" customFormat="1" ht="38.25" thickBot="1">
      <c r="A21" s="4"/>
      <c r="B21" s="27">
        <f>ROW()-12</f>
        <v>9</v>
      </c>
      <c r="C21" s="57" t="s">
        <v>1346</v>
      </c>
      <c r="D21" s="57" t="s">
        <v>1347</v>
      </c>
      <c r="E21" s="56"/>
      <c r="F21" s="56" t="s">
        <v>865</v>
      </c>
      <c r="G21" s="56" t="str">
        <f t="shared" si="3"/>
        <v>text</v>
      </c>
      <c r="H21" s="59"/>
      <c r="I21" s="60"/>
      <c r="J21" s="64" t="s">
        <v>1349</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ENT_31_C4-07</v>
      </c>
      <c r="E6" s="273"/>
      <c r="F6" s="273"/>
      <c r="G6" s="273"/>
      <c r="H6" s="273"/>
      <c r="I6" s="273"/>
      <c r="J6" s="274"/>
    </row>
    <row r="7" spans="1:45">
      <c r="B7" s="262" t="s">
        <v>115</v>
      </c>
      <c r="C7" s="263"/>
      <c r="D7" s="264" t="s">
        <v>3679</v>
      </c>
      <c r="E7" s="265"/>
      <c r="F7" s="265"/>
      <c r="G7" s="265"/>
      <c r="H7" s="265"/>
      <c r="I7" s="265"/>
      <c r="J7" s="266"/>
    </row>
    <row r="8" spans="1:45">
      <c r="B8" s="262" t="s">
        <v>116</v>
      </c>
      <c r="C8" s="263"/>
      <c r="D8" s="264" t="str">
        <f>エンティティ一覧!AE2&amp;"_"&amp;D5&amp;"_merge_mml_pc_problem"</f>
        <v>sny_202310_base_merge_mml_pc_problem</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milscm_2023_009.sny_202310_base_merge_mml_pc_problem;</v>
      </c>
      <c r="O10" s="76"/>
      <c r="P10" s="76"/>
      <c r="Q10" s="76"/>
      <c r="R10" s="76"/>
      <c r="S10" s="76"/>
      <c r="T10" s="76"/>
      <c r="AJ10" s="76" t="str">
        <f>"ALTER TABLE ONLY "&amp;エンティティ一覧!$O$2&amp;"."&amp;D$8</f>
        <v>ALTER TABLE ONLY milscm_2023_009.sny_202310_base_merge_mml_pc_problem</v>
      </c>
      <c r="AS10" s="76" t="str">
        <f>"ALTER TABLE "&amp;エンティティ一覧!$O$2&amp;"."&amp;D$8&amp;" OWNER TO pgmisgrp1;"</f>
        <v>ALTER TABLE milscm_2023_009.sny_202310_base_merge_mml_pc_problem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milscm_2023_009.sny_202310_base_merge_mml_pc_problem</v>
      </c>
      <c r="O11" s="76"/>
      <c r="P11" s="76"/>
      <c r="Q11" s="76"/>
      <c r="R11" s="76"/>
      <c r="S11" s="76"/>
      <c r="T11" s="76"/>
      <c r="AJ11" s="76" t="str">
        <f>"ADD CONSTRAINT "&amp;D$8&amp;"_pkey PRIMARY KEY"</f>
        <v>ADD CONSTRAINT sny_202310_base_merge_mml_pc_problem_pkey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1282</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milscm_2023_009.sny_202310_base_merge_mml_pc_problem.mil_karute_id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milscm_2023_009.sny_202310_base_merge_mml_pc_problem.facility_id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milscm_2023_009.sny_202310_base_merge_mml_pc_problem.data_type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milscm_2023_009.sny_202310_base_merge_mml_pc_problem.master_id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milscm_2023_009.sny_202310_base_merge_mml_pc_problem.uid IS '文書ユニークID';</v>
      </c>
    </row>
    <row r="20" spans="1:45"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1352</v>
      </c>
      <c r="D21" s="13" t="s">
        <v>1353</v>
      </c>
      <c r="E21" s="7" t="s">
        <v>127</v>
      </c>
      <c r="F21" s="7" t="s">
        <v>204</v>
      </c>
      <c r="G21" s="7" t="str">
        <f t="shared" si="3"/>
        <v>integer</v>
      </c>
      <c r="H21" s="58"/>
      <c r="I21" s="23" t="s">
        <v>127</v>
      </c>
      <c r="J21" s="24" t="s">
        <v>1376</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milscm_2023_009.sny_202310_base_merge_mml_pc_problem.problem_seq IS 'プロブレムSEQ';</v>
      </c>
    </row>
    <row r="22" spans="1:45" s="25" customFormat="1" ht="37.5">
      <c r="A22" s="4"/>
      <c r="B22" s="21">
        <f t="shared" si="2"/>
        <v>10</v>
      </c>
      <c r="C22" s="13" t="s">
        <v>1354</v>
      </c>
      <c r="D22" s="13" t="s">
        <v>1355</v>
      </c>
      <c r="E22" s="7"/>
      <c r="F22" s="7" t="s">
        <v>865</v>
      </c>
      <c r="G22" s="7" t="str">
        <f t="shared" si="3"/>
        <v>text</v>
      </c>
      <c r="H22" s="58"/>
      <c r="I22" s="23"/>
      <c r="J22" s="24" t="s">
        <v>1377</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milscm_2023_009.sny_202310_base_merge_mml_pc_problem.problem_shippei_name IS 'プロブレム名（疾病名）';</v>
      </c>
    </row>
    <row r="23" spans="1:45" s="25" customFormat="1" ht="56.25">
      <c r="A23" s="4"/>
      <c r="B23" s="21">
        <f t="shared" si="2"/>
        <v>11</v>
      </c>
      <c r="C23" s="13" t="s">
        <v>1356</v>
      </c>
      <c r="D23" s="13" t="s">
        <v>1357</v>
      </c>
      <c r="E23" s="7"/>
      <c r="F23" s="7" t="s">
        <v>865</v>
      </c>
      <c r="G23" s="7" t="str">
        <f t="shared" si="3"/>
        <v>text</v>
      </c>
      <c r="H23" s="58"/>
      <c r="I23" s="23"/>
      <c r="J23" s="24" t="s">
        <v>1378</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milscm_2023_009.sny_202310_base_merge_mml_pc_problem.shindan_name_uid IS '診断名のuid';</v>
      </c>
    </row>
    <row r="24" spans="1:45" s="25" customFormat="1" ht="37.5">
      <c r="A24" s="4"/>
      <c r="B24" s="21">
        <f t="shared" si="2"/>
        <v>12</v>
      </c>
      <c r="C24" s="13" t="s">
        <v>1358</v>
      </c>
      <c r="D24" s="13" t="s">
        <v>1359</v>
      </c>
      <c r="E24" s="7"/>
      <c r="F24" s="7" t="s">
        <v>865</v>
      </c>
      <c r="G24" s="7" t="str">
        <f t="shared" si="3"/>
        <v>text</v>
      </c>
      <c r="H24" s="58"/>
      <c r="I24" s="23"/>
      <c r="J24" s="24" t="s">
        <v>1379</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milscm_2023_009.sny_202310_base_merge_mml_pc_problem.free_note IS '自由文章表現';</v>
      </c>
    </row>
    <row r="25" spans="1:45" s="25" customFormat="1" ht="37.5">
      <c r="A25" s="4"/>
      <c r="B25" s="21">
        <f t="shared" si="2"/>
        <v>13</v>
      </c>
      <c r="C25" s="13" t="s">
        <v>1360</v>
      </c>
      <c r="D25" s="13" t="s">
        <v>1361</v>
      </c>
      <c r="E25" s="7"/>
      <c r="F25" s="7" t="s">
        <v>865</v>
      </c>
      <c r="G25" s="7" t="str">
        <f t="shared" si="3"/>
        <v>text</v>
      </c>
      <c r="H25" s="58"/>
      <c r="I25" s="23"/>
      <c r="J25" s="24" t="s">
        <v>1380</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milscm_2023_009.sny_202310_base_merge_mml_pc_problem.free_expression_objective IS '客観的自由記載';</v>
      </c>
    </row>
    <row r="26" spans="1:45" s="25" customFormat="1" ht="37.5">
      <c r="A26" s="4"/>
      <c r="B26" s="21">
        <f t="shared" si="2"/>
        <v>14</v>
      </c>
      <c r="C26" s="13" t="s">
        <v>1362</v>
      </c>
      <c r="D26" s="13" t="s">
        <v>1363</v>
      </c>
      <c r="E26" s="7"/>
      <c r="F26" s="7" t="s">
        <v>865</v>
      </c>
      <c r="G26" s="7" t="str">
        <f t="shared" si="3"/>
        <v>text</v>
      </c>
      <c r="H26" s="58"/>
      <c r="I26" s="23"/>
      <c r="J26" s="24" t="s">
        <v>1381</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milscm_2023_009.sny_202310_base_merge_mml_pc_problem.test_result IS '検査結果';</v>
      </c>
    </row>
    <row r="27" spans="1:45" s="25" customFormat="1" ht="37.5">
      <c r="A27" s="4"/>
      <c r="B27" s="21">
        <f t="shared" si="2"/>
        <v>15</v>
      </c>
      <c r="C27" s="13" t="s">
        <v>1364</v>
      </c>
      <c r="D27" s="13" t="s">
        <v>1365</v>
      </c>
      <c r="E27" s="7"/>
      <c r="F27" s="7" t="s">
        <v>865</v>
      </c>
      <c r="G27" s="7" t="str">
        <f t="shared" si="3"/>
        <v>text</v>
      </c>
      <c r="H27" s="58"/>
      <c r="I27" s="23"/>
      <c r="J27" s="24" t="s">
        <v>1382</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milscm_2023_009.sny_202310_base_merge_mml_pc_problem.shohou_jisshi_kiroku IS '処方実施記録';</v>
      </c>
    </row>
    <row r="28" spans="1:45" s="25" customFormat="1" ht="37.5">
      <c r="A28" s="4"/>
      <c r="B28" s="21">
        <f t="shared" si="2"/>
        <v>16</v>
      </c>
      <c r="C28" s="13" t="s">
        <v>1366</v>
      </c>
      <c r="D28" s="13" t="s">
        <v>1367</v>
      </c>
      <c r="E28" s="7"/>
      <c r="F28" s="7" t="s">
        <v>865</v>
      </c>
      <c r="G28" s="7" t="str">
        <f t="shared" si="3"/>
        <v>text</v>
      </c>
      <c r="H28" s="58"/>
      <c r="I28" s="23"/>
      <c r="J28" s="24" t="s">
        <v>1383</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milscm_2023_009.sny_202310_base_merge_mml_pc_problem.shochi_jisshi_kiroku IS '処置実施記録';</v>
      </c>
    </row>
    <row r="29" spans="1:45" s="25" customFormat="1" ht="37.5">
      <c r="A29" s="4"/>
      <c r="B29" s="21">
        <f t="shared" si="2"/>
        <v>17</v>
      </c>
      <c r="C29" s="13" t="s">
        <v>1368</v>
      </c>
      <c r="D29" s="13" t="s">
        <v>1369</v>
      </c>
      <c r="E29" s="7"/>
      <c r="F29" s="7" t="s">
        <v>865</v>
      </c>
      <c r="G29" s="7" t="str">
        <f t="shared" si="3"/>
        <v>text</v>
      </c>
      <c r="H29" s="58"/>
      <c r="I29" s="23"/>
      <c r="J29" s="24" t="s">
        <v>1384</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milscm_2023_009.sny_202310_base_merge_mml_pc_problem.kensa_order IS '検査オーダー';</v>
      </c>
    </row>
    <row r="30" spans="1:45" s="25" customFormat="1" ht="37.5">
      <c r="A30" s="4"/>
      <c r="B30" s="21">
        <f t="shared" si="2"/>
        <v>18</v>
      </c>
      <c r="C30" s="13" t="s">
        <v>1370</v>
      </c>
      <c r="D30" s="13" t="s">
        <v>1371</v>
      </c>
      <c r="E30" s="7"/>
      <c r="F30" s="7" t="s">
        <v>865</v>
      </c>
      <c r="G30" s="7" t="str">
        <f t="shared" si="3"/>
        <v>text</v>
      </c>
      <c r="H30" s="58"/>
      <c r="I30" s="23"/>
      <c r="J30" s="24" t="s">
        <v>1385</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milscm_2023_009.sny_202310_base_merge_mml_pc_problem.shohou_order IS '処方オーダー';</v>
      </c>
    </row>
    <row r="31" spans="1:45" s="25" customFormat="1" ht="37.5">
      <c r="A31" s="4"/>
      <c r="B31" s="21">
        <f t="shared" si="2"/>
        <v>19</v>
      </c>
      <c r="C31" s="13" t="s">
        <v>1372</v>
      </c>
      <c r="D31" s="13" t="s">
        <v>1373</v>
      </c>
      <c r="E31" s="7"/>
      <c r="F31" s="7" t="s">
        <v>865</v>
      </c>
      <c r="G31" s="7" t="str">
        <f t="shared" si="3"/>
        <v>text</v>
      </c>
      <c r="H31" s="58"/>
      <c r="I31" s="23"/>
      <c r="J31" s="24" t="s">
        <v>1386</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milscm_2023_009.sny_202310_base_merge_mml_pc_problem.chiryo_order IS '治療処置オーダー';</v>
      </c>
    </row>
    <row r="32" spans="1:45" s="25" customFormat="1" ht="38.25" thickBot="1">
      <c r="A32" s="4"/>
      <c r="B32" s="27">
        <f>ROW()-12</f>
        <v>20</v>
      </c>
      <c r="C32" s="57" t="s">
        <v>1374</v>
      </c>
      <c r="D32" s="57" t="s">
        <v>1375</v>
      </c>
      <c r="E32" s="56"/>
      <c r="F32" s="56" t="s">
        <v>865</v>
      </c>
      <c r="G32" s="56" t="str">
        <f t="shared" si="3"/>
        <v>text</v>
      </c>
      <c r="H32" s="59"/>
      <c r="I32" s="60"/>
      <c r="J32" s="64" t="s">
        <v>1387</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ENT_31_C4-08</v>
      </c>
      <c r="E6" s="273"/>
      <c r="F6" s="273"/>
      <c r="G6" s="273"/>
      <c r="H6" s="273"/>
      <c r="I6" s="273"/>
      <c r="J6" s="274"/>
    </row>
    <row r="7" spans="1:45">
      <c r="B7" s="262" t="s">
        <v>115</v>
      </c>
      <c r="C7" s="263"/>
      <c r="D7" s="264" t="s">
        <v>3680</v>
      </c>
      <c r="E7" s="265"/>
      <c r="F7" s="265"/>
      <c r="G7" s="265"/>
      <c r="H7" s="265"/>
      <c r="I7" s="265"/>
      <c r="J7" s="266"/>
    </row>
    <row r="8" spans="1:45">
      <c r="B8" s="262" t="s">
        <v>116</v>
      </c>
      <c r="C8" s="263"/>
      <c r="D8" s="264" t="str">
        <f>エンティティ一覧!AE2&amp;"_"&amp;D5&amp;"_merge_mml_pc_physical_exam"</f>
        <v>sny_202310_base_merge_mml_pc_physical_exam</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milscm_2023_009.sny_202310_base_merge_mml_pc_physical_exam;</v>
      </c>
      <c r="O10" s="76"/>
      <c r="P10" s="76"/>
      <c r="Q10" s="76"/>
      <c r="R10" s="76"/>
      <c r="S10" s="76"/>
      <c r="T10" s="76"/>
      <c r="AJ10" s="76" t="str">
        <f>"ALTER TABLE ONLY "&amp;エンティティ一覧!$O$2&amp;"."&amp;D$8</f>
        <v>ALTER TABLE ONLY milscm_2023_009.sny_202310_base_merge_mml_pc_physical_exam</v>
      </c>
      <c r="AS10" s="76" t="str">
        <f>"ALTER TABLE "&amp;エンティティ一覧!$O$2&amp;"."&amp;D$8&amp;" OWNER TO pgmisgrp1;"</f>
        <v>ALTER TABLE milscm_2023_009.sny_202310_base_merge_mml_pc_physical_exam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milscm_2023_009.sny_202310_base_merge_mml_pc_physical_exam</v>
      </c>
      <c r="O11" s="76"/>
      <c r="P11" s="76"/>
      <c r="Q11" s="76"/>
      <c r="R11" s="76"/>
      <c r="S11" s="76"/>
      <c r="T11" s="76"/>
      <c r="AJ11" s="76" t="str">
        <f>"ADD CONSTRAINT "&amp;D$8&amp;"_pkey PRIMARY KEY"</f>
        <v>ADD CONSTRAINT sny_202310_base_merge_mml_pc_physical_exam_pkey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1282</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milscm_2023_009.sny_202310_base_merge_mml_pc_physical_exam.mil_karute_id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milscm_2023_009.sny_202310_base_merge_mml_pc_physical_exam.facility_id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milscm_2023_009.sny_202310_base_merge_mml_pc_physical_exam.data_type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milscm_2023_009.sny_202310_base_merge_mml_pc_physical_exam.master_id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milscm_2023_009.sny_202310_base_merge_mml_pc_physical_exam.uid IS '文書ユニークID';</v>
      </c>
    </row>
    <row r="20" spans="1:52"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1352</v>
      </c>
      <c r="D21" s="13" t="s">
        <v>1353</v>
      </c>
      <c r="E21" s="7" t="s">
        <v>127</v>
      </c>
      <c r="F21" s="7" t="s">
        <v>204</v>
      </c>
      <c r="G21" s="7" t="str">
        <f t="shared" si="3"/>
        <v>integer</v>
      </c>
      <c r="H21" s="58"/>
      <c r="I21" s="23" t="s">
        <v>127</v>
      </c>
      <c r="J21" s="24" t="s">
        <v>1376</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1390</v>
      </c>
      <c r="D22" s="13" t="s">
        <v>1391</v>
      </c>
      <c r="E22" s="7" t="s">
        <v>127</v>
      </c>
      <c r="F22" s="7" t="s">
        <v>204</v>
      </c>
      <c r="G22" s="7" t="str">
        <f t="shared" si="3"/>
        <v>integer</v>
      </c>
      <c r="H22" s="58"/>
      <c r="I22" s="23" t="s">
        <v>127</v>
      </c>
      <c r="J22" s="24" t="s">
        <v>1398</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1392</v>
      </c>
      <c r="D23" s="13" t="s">
        <v>1393</v>
      </c>
      <c r="E23" s="7"/>
      <c r="F23" s="7" t="s">
        <v>865</v>
      </c>
      <c r="G23" s="7" t="str">
        <f t="shared" si="3"/>
        <v>text</v>
      </c>
      <c r="H23" s="58"/>
      <c r="I23" s="23"/>
      <c r="J23" s="24" t="s">
        <v>1399</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1394</v>
      </c>
      <c r="D24" s="13" t="s">
        <v>1395</v>
      </c>
      <c r="E24" s="7"/>
      <c r="F24" s="7" t="s">
        <v>865</v>
      </c>
      <c r="G24" s="7" t="str">
        <f t="shared" si="3"/>
        <v>text</v>
      </c>
      <c r="H24" s="58"/>
      <c r="I24" s="23"/>
      <c r="J24" s="24" t="s">
        <v>1400</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milscm_2023_009.sny_202310_base_merge_mml_pc_physical_exam.syoken_value IS '身体所見結果';</v>
      </c>
    </row>
    <row r="25" spans="1:52" s="25" customFormat="1" ht="38.25" thickBot="1">
      <c r="A25" s="4"/>
      <c r="B25" s="27">
        <f>ROW()-12</f>
        <v>13</v>
      </c>
      <c r="C25" s="57" t="s">
        <v>1396</v>
      </c>
      <c r="D25" s="57" t="s">
        <v>1397</v>
      </c>
      <c r="E25" s="56"/>
      <c r="F25" s="56" t="s">
        <v>865</v>
      </c>
      <c r="G25" s="56" t="str">
        <f t="shared" si="3"/>
        <v>text</v>
      </c>
      <c r="H25" s="59"/>
      <c r="I25" s="60"/>
      <c r="J25" s="64" t="s">
        <v>1401</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ENT_31_C4-15</v>
      </c>
      <c r="E6" s="273"/>
      <c r="F6" s="273"/>
      <c r="G6" s="273"/>
      <c r="H6" s="273"/>
      <c r="I6" s="273"/>
      <c r="J6" s="274"/>
    </row>
    <row r="7" spans="1:45">
      <c r="B7" s="262" t="s">
        <v>115</v>
      </c>
      <c r="C7" s="263"/>
      <c r="D7" s="264" t="s">
        <v>3681</v>
      </c>
      <c r="E7" s="265"/>
      <c r="F7" s="265"/>
      <c r="G7" s="265"/>
      <c r="H7" s="265"/>
      <c r="I7" s="265"/>
      <c r="J7" s="266"/>
    </row>
    <row r="8" spans="1:45">
      <c r="B8" s="262" t="s">
        <v>116</v>
      </c>
      <c r="C8" s="263"/>
      <c r="D8" s="264" t="str">
        <f>エンティティ一覧!AE2&amp;"_"&amp;D5&amp;"_merge_mml_pc_assessment"</f>
        <v>sny_202310_base_merge_mml_pc_assessment</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milscm_2023_009.sny_202310_base_merge_mml_pc_assessment;</v>
      </c>
      <c r="O10" s="76"/>
      <c r="P10" s="76"/>
      <c r="Q10" s="76"/>
      <c r="R10" s="76"/>
      <c r="S10" s="76"/>
      <c r="T10" s="76"/>
      <c r="AJ10" s="76" t="str">
        <f>"ALTER TABLE ONLY "&amp;エンティティ一覧!$O$2&amp;"."&amp;D$8</f>
        <v>ALTER TABLE ONLY milscm_2023_009.sny_202310_base_merge_mml_pc_assessment</v>
      </c>
      <c r="AS10" s="76" t="str">
        <f>"ALTER TABLE "&amp;エンティティ一覧!$O$2&amp;"."&amp;D$8&amp;" OWNER TO pgmisgrp1;"</f>
        <v>ALTER TABLE milscm_2023_009.sny_202310_base_merge_mml_pc_assessment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milscm_2023_009.sny_202310_base_merge_mml_pc_assessment</v>
      </c>
      <c r="O11" s="76"/>
      <c r="P11" s="76"/>
      <c r="Q11" s="76"/>
      <c r="R11" s="76"/>
      <c r="S11" s="76"/>
      <c r="T11" s="76"/>
      <c r="AJ11" s="76" t="str">
        <f>"ADD CONSTRAINT "&amp;D$8&amp;"_pkey PRIMARY KEY"</f>
        <v>ADD CONSTRAINT sny_202310_base_merge_mml_pc_assessment_pkey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1282</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milscm_2023_009.sny_202310_base_merge_mml_pc_assessment.mil_karute_id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milscm_2023_009.sny_202310_base_merge_mml_pc_assessment.facility_id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milscm_2023_009.sny_202310_base_merge_mml_pc_assessment.data_type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milscm_2023_009.sny_202310_base_merge_mml_pc_assessment.master_id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milscm_2023_009.sny_202310_base_merge_mml_pc_assessment.uid IS '文書ユニークID';</v>
      </c>
    </row>
    <row r="20" spans="1:52"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1352</v>
      </c>
      <c r="D21" s="13" t="s">
        <v>1353</v>
      </c>
      <c r="E21" s="7" t="s">
        <v>127</v>
      </c>
      <c r="F21" s="7" t="s">
        <v>204</v>
      </c>
      <c r="G21" s="7" t="str">
        <f t="shared" si="3"/>
        <v>integer</v>
      </c>
      <c r="H21" s="58"/>
      <c r="I21" s="23" t="s">
        <v>127</v>
      </c>
      <c r="J21" s="24" t="s">
        <v>1376</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1404</v>
      </c>
      <c r="D22" s="13" t="s">
        <v>1405</v>
      </c>
      <c r="E22" s="7" t="s">
        <v>127</v>
      </c>
      <c r="F22" s="7" t="s">
        <v>204</v>
      </c>
      <c r="G22" s="7" t="str">
        <f t="shared" si="3"/>
        <v>integer</v>
      </c>
      <c r="H22" s="58"/>
      <c r="I22" s="23" t="s">
        <v>127</v>
      </c>
      <c r="J22" s="24" t="s">
        <v>1408</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milscm_2023_009.sny_202310_base_merge_mml_pc_assessment.assessment_item_seq IS 'アセスメントSEQ';</v>
      </c>
    </row>
    <row r="23" spans="1:52" s="25" customFormat="1" ht="38.25" thickBot="1">
      <c r="A23" s="4"/>
      <c r="B23" s="27">
        <f>ROW()-12</f>
        <v>11</v>
      </c>
      <c r="C23" s="57" t="s">
        <v>1406</v>
      </c>
      <c r="D23" s="57" t="s">
        <v>1407</v>
      </c>
      <c r="E23" s="56"/>
      <c r="F23" s="56" t="s">
        <v>865</v>
      </c>
      <c r="G23" s="56" t="str">
        <f t="shared" si="3"/>
        <v>text</v>
      </c>
      <c r="H23" s="59"/>
      <c r="I23" s="60"/>
      <c r="J23" s="64" t="s">
        <v>1409</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ENT_31_C4-22</v>
      </c>
      <c r="E6" s="273"/>
      <c r="F6" s="273"/>
      <c r="G6" s="273"/>
      <c r="H6" s="273"/>
      <c r="I6" s="273"/>
      <c r="J6" s="274"/>
    </row>
    <row r="7" spans="1:45">
      <c r="B7" s="262" t="s">
        <v>115</v>
      </c>
      <c r="C7" s="263"/>
      <c r="D7" s="264" t="s">
        <v>3682</v>
      </c>
      <c r="E7" s="265"/>
      <c r="F7" s="265"/>
      <c r="G7" s="265"/>
      <c r="H7" s="265"/>
      <c r="I7" s="265"/>
      <c r="J7" s="266"/>
    </row>
    <row r="8" spans="1:45">
      <c r="B8" s="262" t="s">
        <v>116</v>
      </c>
      <c r="C8" s="263"/>
      <c r="D8" s="264" t="str">
        <f>エンティティ一覧!AE2&amp;"_"&amp;D5&amp;"_merge_mml_pc_external_reference"</f>
        <v>sny_202310_base_merge_mml_pc_external_reference</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milscm_2023_009.sny_202310_base_merge_mml_pc_external_reference;</v>
      </c>
      <c r="O10" s="76"/>
      <c r="P10" s="76"/>
      <c r="Q10" s="76"/>
      <c r="R10" s="76"/>
      <c r="S10" s="76"/>
      <c r="T10" s="76"/>
      <c r="AJ10" s="76" t="str">
        <f>"ALTER TABLE ONLY "&amp;エンティティ一覧!$O$2&amp;"."&amp;D$8</f>
        <v>ALTER TABLE ONLY milscm_2023_009.sny_202310_base_merge_mml_pc_external_reference</v>
      </c>
      <c r="AS10" s="76" t="str">
        <f>"ALTER TABLE "&amp;エンティティ一覧!$O$2&amp;"."&amp;D$8&amp;" OWNER TO pgmisgrp1;"</f>
        <v>ALTER TABLE milscm_2023_009.sny_202310_base_merge_mml_pc_external_reference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milscm_2023_009.sny_202310_base_merge_mml_pc_external_reference</v>
      </c>
      <c r="O11" s="76"/>
      <c r="P11" s="76"/>
      <c r="Q11" s="76"/>
      <c r="R11" s="76"/>
      <c r="S11" s="76"/>
      <c r="T11" s="76"/>
      <c r="AJ11" s="76" t="str">
        <f>"ADD CONSTRAINT "&amp;D$8&amp;"_pkey PRIMARY KEY"</f>
        <v>ADD CONSTRAINT sny_202310_base_merge_mml_pc_external_reference_pkey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1282</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milscm_2023_009.sny_202310_base_merge_mml_pc_external_reference.mil_karute_id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milscm_2023_009.sny_202310_base_merge_mml_pc_external_reference.facility_id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milscm_2023_009.sny_202310_base_merge_mml_pc_external_reference.data_type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milscm_2023_009.sny_202310_base_merge_mml_pc_external_reference.master_id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milscm_2023_009.sny_202310_base_merge_mml_pc_external_reference.uid IS '文書ユニークID';</v>
      </c>
    </row>
    <row r="20" spans="1:52" s="25" customFormat="1" ht="37.5">
      <c r="A20" s="4"/>
      <c r="B20" s="21">
        <f t="shared" si="2"/>
        <v>8</v>
      </c>
      <c r="C20" s="13" t="s">
        <v>1344</v>
      </c>
      <c r="D20" s="13" t="s">
        <v>1345</v>
      </c>
      <c r="E20" s="7" t="s">
        <v>127</v>
      </c>
      <c r="F20" s="7" t="s">
        <v>204</v>
      </c>
      <c r="G20" s="7" t="str">
        <f t="shared" si="3"/>
        <v>integer</v>
      </c>
      <c r="H20" s="58"/>
      <c r="I20" s="23" t="s">
        <v>127</v>
      </c>
      <c r="J20" s="24" t="s">
        <v>1348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milscm_2023_009.sny_202310_base_merge_mml_pc_external_reference.keika_seq IS '経過記録SEQ';</v>
      </c>
    </row>
    <row r="21" spans="1:52" s="25" customFormat="1" ht="187.5">
      <c r="A21" s="4"/>
      <c r="B21" s="21">
        <f t="shared" si="2"/>
        <v>9</v>
      </c>
      <c r="C21" s="13" t="s">
        <v>1412</v>
      </c>
      <c r="D21" s="13" t="s">
        <v>1413</v>
      </c>
      <c r="E21" s="7" t="s">
        <v>127</v>
      </c>
      <c r="F21" s="7" t="s">
        <v>865</v>
      </c>
      <c r="G21" s="7" t="str">
        <f t="shared" si="3"/>
        <v>text</v>
      </c>
      <c r="H21" s="58"/>
      <c r="I21" s="23" t="s">
        <v>127</v>
      </c>
      <c r="J21" s="24" t="s">
        <v>1426</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1414</v>
      </c>
      <c r="D22" s="13" t="s">
        <v>1415</v>
      </c>
      <c r="E22" s="7" t="s">
        <v>127</v>
      </c>
      <c r="F22" s="7" t="s">
        <v>204</v>
      </c>
      <c r="G22" s="7" t="str">
        <f t="shared" si="3"/>
        <v>integer</v>
      </c>
      <c r="H22" s="58"/>
      <c r="I22" s="23" t="s">
        <v>127</v>
      </c>
      <c r="J22" s="24" t="s">
        <v>1427</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1416</v>
      </c>
      <c r="D23" s="13" t="s">
        <v>1417</v>
      </c>
      <c r="E23" s="7"/>
      <c r="F23" s="7" t="s">
        <v>865</v>
      </c>
      <c r="G23" s="7" t="str">
        <f t="shared" si="3"/>
        <v>text</v>
      </c>
      <c r="H23" s="58"/>
      <c r="I23" s="23"/>
      <c r="J23" s="24" t="s">
        <v>1428</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milscm_2023_009.sny_202310_base_merge_mml_pc_external_reference.content_type IS 'コンテンツ種別';</v>
      </c>
    </row>
    <row r="24" spans="1:52" s="25" customFormat="1" ht="37.5">
      <c r="A24" s="4"/>
      <c r="B24" s="21">
        <f t="shared" si="2"/>
        <v>12</v>
      </c>
      <c r="C24" s="13" t="s">
        <v>1418</v>
      </c>
      <c r="D24" s="13" t="s">
        <v>1419</v>
      </c>
      <c r="E24" s="7"/>
      <c r="F24" s="7" t="s">
        <v>865</v>
      </c>
      <c r="G24" s="7" t="str">
        <f t="shared" si="3"/>
        <v>text</v>
      </c>
      <c r="H24" s="58"/>
      <c r="I24" s="23"/>
      <c r="J24" s="24" t="s">
        <v>1429</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1420</v>
      </c>
      <c r="D25" s="13" t="s">
        <v>1421</v>
      </c>
      <c r="E25" s="7"/>
      <c r="F25" s="7" t="s">
        <v>865</v>
      </c>
      <c r="G25" s="7" t="str">
        <f t="shared" si="3"/>
        <v>text</v>
      </c>
      <c r="H25" s="58"/>
      <c r="I25" s="23"/>
      <c r="J25" s="24" t="s">
        <v>1430</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1422</v>
      </c>
      <c r="D26" s="13" t="s">
        <v>1423</v>
      </c>
      <c r="E26" s="7"/>
      <c r="F26" s="7" t="s">
        <v>865</v>
      </c>
      <c r="G26" s="7" t="str">
        <f t="shared" si="3"/>
        <v>text</v>
      </c>
      <c r="H26" s="58"/>
      <c r="I26" s="23"/>
      <c r="J26" s="24" t="s">
        <v>1431</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milscm_2023_009.sny_202310_base_merge_mml_pc_external_reference.gaibu_sansyo_saki IS '外部参照先';</v>
      </c>
    </row>
    <row r="27" spans="1:52" s="25" customFormat="1" ht="19.5" thickBot="1">
      <c r="A27" s="4"/>
      <c r="B27" s="27">
        <f>ROW()-12</f>
        <v>15</v>
      </c>
      <c r="C27" s="57" t="s">
        <v>1424</v>
      </c>
      <c r="D27" s="57" t="s">
        <v>1425</v>
      </c>
      <c r="E27" s="56"/>
      <c r="F27" s="56" t="s">
        <v>865</v>
      </c>
      <c r="G27" s="56" t="str">
        <f t="shared" si="3"/>
        <v>text</v>
      </c>
      <c r="H27" s="59"/>
      <c r="I27" s="60"/>
      <c r="J27" s="64" t="s">
        <v>1432</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ENT_31_C4-23</v>
      </c>
      <c r="E6" s="273"/>
      <c r="F6" s="273"/>
      <c r="G6" s="273"/>
      <c r="H6" s="273"/>
      <c r="I6" s="273"/>
      <c r="J6" s="274"/>
    </row>
    <row r="7" spans="1:45">
      <c r="B7" s="262" t="s">
        <v>115</v>
      </c>
      <c r="C7" s="263"/>
      <c r="D7" s="264" t="s">
        <v>3683</v>
      </c>
      <c r="E7" s="265"/>
      <c r="F7" s="265"/>
      <c r="G7" s="265"/>
      <c r="H7" s="265"/>
      <c r="I7" s="265"/>
      <c r="J7" s="266"/>
    </row>
    <row r="8" spans="1:45">
      <c r="B8" s="262" t="s">
        <v>116</v>
      </c>
      <c r="C8" s="263"/>
      <c r="D8" s="264" t="str">
        <f>エンティティ一覧!AE2&amp;"_"&amp;D5&amp;"_merge_mml_sm_summary"</f>
        <v>sny_202310_base_merge_mml_sm_summary</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milscm_2023_009.sny_202310_base_merge_mml_sm_summary;</v>
      </c>
      <c r="O10" s="76"/>
      <c r="P10" s="76"/>
      <c r="Q10" s="76"/>
      <c r="R10" s="76"/>
      <c r="S10" s="76"/>
      <c r="T10" s="76"/>
      <c r="AJ10" s="76" t="str">
        <f>"ALTER TABLE ONLY "&amp;エンティティ一覧!$O$2&amp;"."&amp;D$8</f>
        <v>ALTER TABLE ONLY milscm_2023_009.sny_202310_base_merge_mml_sm_summary</v>
      </c>
      <c r="AS10" s="76" t="str">
        <f>"ALTER TABLE "&amp;エンティティ一覧!$O$2&amp;"."&amp;D$8&amp;" OWNER TO pgmisgrp1;"</f>
        <v>ALTER TABLE milscm_2023_009.sny_202310_base_merge_mml_sm_summary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milscm_2023_009.sny_202310_base_merge_mml_sm_summary</v>
      </c>
      <c r="O11" s="76"/>
      <c r="P11" s="76"/>
      <c r="Q11" s="76"/>
      <c r="R11" s="76"/>
      <c r="S11" s="76"/>
      <c r="T11" s="76"/>
      <c r="AJ11" s="76" t="str">
        <f>"ADD CONSTRAINT "&amp;D$8&amp;"_pkey PRIMARY KEY"</f>
        <v>ADD CONSTRAINT sny_202310_base_merge_mml_sm_summary_pkey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1282</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milscm_2023_009.sny_202310_base_merge_mml_sm_summary.mil_karute_id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milscm_2023_009.sny_202310_base_merge_mml_sm_summary.facility_id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milscm_2023_009.sny_202310_base_merge_mml_sm_summary.data_type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milscm_2023_009.sny_202310_base_merge_mml_sm_summary.master_id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milscm_2023_009.sny_202310_base_merge_mml_sm_summary.summary_seq IS '臨床サマリーSEQ';</v>
      </c>
    </row>
    <row r="21" spans="1:45" s="25" customFormat="1" ht="37.5">
      <c r="A21" s="4"/>
      <c r="B21" s="21">
        <f t="shared" si="2"/>
        <v>9</v>
      </c>
      <c r="C21" s="13" t="s">
        <v>1437</v>
      </c>
      <c r="D21" s="13" t="s">
        <v>1438</v>
      </c>
      <c r="E21" s="7"/>
      <c r="F21" s="7" t="s">
        <v>865</v>
      </c>
      <c r="G21" s="7" t="str">
        <f t="shared" si="3"/>
        <v>text</v>
      </c>
      <c r="H21" s="58"/>
      <c r="I21" s="23"/>
      <c r="J21" s="24" t="s">
        <v>1462</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milscm_2023_009.sny_202310_base_merge_mml_sm_summary.history_start_ymd IS 'サマリー対象期間の開始日';</v>
      </c>
    </row>
    <row r="22" spans="1:45" s="25" customFormat="1" ht="37.5">
      <c r="A22" s="4"/>
      <c r="B22" s="21">
        <f t="shared" si="2"/>
        <v>10</v>
      </c>
      <c r="C22" s="13" t="s">
        <v>1439</v>
      </c>
      <c r="D22" s="13" t="s">
        <v>1440</v>
      </c>
      <c r="E22" s="7"/>
      <c r="F22" s="7" t="s">
        <v>865</v>
      </c>
      <c r="G22" s="7" t="str">
        <f t="shared" si="3"/>
        <v>text</v>
      </c>
      <c r="H22" s="58"/>
      <c r="I22" s="23"/>
      <c r="J22" s="24" t="s">
        <v>1463</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1441</v>
      </c>
      <c r="D23" s="13" t="s">
        <v>1442</v>
      </c>
      <c r="E23" s="7"/>
      <c r="F23" s="7" t="s">
        <v>865</v>
      </c>
      <c r="G23" s="7" t="str">
        <f t="shared" si="3"/>
        <v>text</v>
      </c>
      <c r="H23" s="58"/>
      <c r="I23" s="23"/>
      <c r="J23" s="24" t="s">
        <v>1464</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milscm_2023_009.sny_202310_base_merge_mml_sm_summary.death_info IS '死亡関連情報';</v>
      </c>
    </row>
    <row r="24" spans="1:45" s="25" customFormat="1" ht="37.5">
      <c r="A24" s="4"/>
      <c r="B24" s="21">
        <f t="shared" si="2"/>
        <v>12</v>
      </c>
      <c r="C24" s="13" t="s">
        <v>1280</v>
      </c>
      <c r="D24" s="13" t="s">
        <v>1281</v>
      </c>
      <c r="E24" s="7"/>
      <c r="F24" s="7" t="s">
        <v>865</v>
      </c>
      <c r="G24" s="7" t="str">
        <f t="shared" si="3"/>
        <v>text</v>
      </c>
      <c r="H24" s="58"/>
      <c r="I24" s="23"/>
      <c r="J24" s="24" t="s">
        <v>1465</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milscm_2023_009.sny_202310_base_merge_mml_sm_summary.death_date IS '死亡日時';</v>
      </c>
    </row>
    <row r="25" spans="1:45" s="25" customFormat="1" ht="37.5">
      <c r="A25" s="4"/>
      <c r="B25" s="21">
        <f t="shared" si="2"/>
        <v>13</v>
      </c>
      <c r="C25" s="13" t="s">
        <v>1443</v>
      </c>
      <c r="D25" s="13" t="s">
        <v>1444</v>
      </c>
      <c r="E25" s="7"/>
      <c r="F25" s="7" t="s">
        <v>865</v>
      </c>
      <c r="G25" s="7" t="str">
        <f t="shared" si="3"/>
        <v>text</v>
      </c>
      <c r="H25" s="58"/>
      <c r="I25" s="23"/>
      <c r="J25" s="24" t="s">
        <v>1466</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milscm_2023_009.sny_202310_base_merge_mml_sm_summary.death_autopsy_flag IS '剖検の有無';</v>
      </c>
    </row>
    <row r="26" spans="1:45" s="25" customFormat="1" ht="37.5">
      <c r="A26" s="4"/>
      <c r="B26" s="21">
        <f t="shared" si="2"/>
        <v>14</v>
      </c>
      <c r="C26" s="13" t="s">
        <v>1445</v>
      </c>
      <c r="D26" s="13" t="s">
        <v>1446</v>
      </c>
      <c r="E26" s="7"/>
      <c r="F26" s="7" t="s">
        <v>865</v>
      </c>
      <c r="G26" s="7" t="str">
        <f t="shared" si="3"/>
        <v>text</v>
      </c>
      <c r="H26" s="58"/>
      <c r="I26" s="23"/>
      <c r="J26" s="24" t="s">
        <v>1467</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milscm_2023_009.sny_202310_base_merge_mml_sm_summary.chief_complaints IS '主訴';</v>
      </c>
    </row>
    <row r="27" spans="1:45" s="25" customFormat="1" ht="37.5">
      <c r="A27" s="4"/>
      <c r="B27" s="21">
        <f t="shared" si="2"/>
        <v>15</v>
      </c>
      <c r="C27" s="13" t="s">
        <v>1447</v>
      </c>
      <c r="D27" s="13" t="s">
        <v>1448</v>
      </c>
      <c r="E27" s="7"/>
      <c r="F27" s="7" t="s">
        <v>865</v>
      </c>
      <c r="G27" s="7" t="str">
        <f t="shared" si="3"/>
        <v>text</v>
      </c>
      <c r="H27" s="58"/>
      <c r="I27" s="23"/>
      <c r="J27" s="24" t="s">
        <v>1468</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milscm_2023_009.sny_202310_base_merge_mml_sm_summary.patient_profile IS '患者プロフィール';</v>
      </c>
    </row>
    <row r="28" spans="1:45" s="25" customFormat="1" ht="37.5">
      <c r="A28" s="4"/>
      <c r="B28" s="21">
        <f t="shared" si="2"/>
        <v>16</v>
      </c>
      <c r="C28" s="13" t="s">
        <v>1449</v>
      </c>
      <c r="D28" s="13" t="s">
        <v>1450</v>
      </c>
      <c r="E28" s="7"/>
      <c r="F28" s="7" t="s">
        <v>865</v>
      </c>
      <c r="G28" s="7" t="str">
        <f t="shared" si="3"/>
        <v>text</v>
      </c>
      <c r="H28" s="58"/>
      <c r="I28" s="23"/>
      <c r="J28" s="24" t="s">
        <v>1469</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milscm_2023_009.sny_202310_base_merge_mml_sm_summary.nyuin_history IS '入院までの経過';</v>
      </c>
    </row>
    <row r="29" spans="1:45" s="25" customFormat="1" ht="37.5">
      <c r="A29" s="4"/>
      <c r="B29" s="21">
        <f t="shared" si="2"/>
        <v>17</v>
      </c>
      <c r="C29" s="13" t="s">
        <v>1451</v>
      </c>
      <c r="D29" s="13" t="s">
        <v>1452</v>
      </c>
      <c r="E29" s="7"/>
      <c r="F29" s="7" t="s">
        <v>865</v>
      </c>
      <c r="G29" s="7" t="str">
        <f t="shared" si="3"/>
        <v>text</v>
      </c>
      <c r="H29" s="58"/>
      <c r="I29" s="23"/>
      <c r="J29" s="24" t="s">
        <v>1470</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milscm_2023_009.sny_202310_base_merge_mml_sm_summary.nyuin_physical_exam IS '入院時理学所見';</v>
      </c>
    </row>
    <row r="30" spans="1:45" s="25" customFormat="1" ht="37.5">
      <c r="A30" s="4"/>
      <c r="B30" s="21">
        <f t="shared" si="2"/>
        <v>18</v>
      </c>
      <c r="C30" s="13" t="s">
        <v>1453</v>
      </c>
      <c r="D30" s="13" t="s">
        <v>1454</v>
      </c>
      <c r="E30" s="7"/>
      <c r="F30" s="7" t="s">
        <v>865</v>
      </c>
      <c r="G30" s="7" t="str">
        <f t="shared" si="3"/>
        <v>text</v>
      </c>
      <c r="H30" s="58"/>
      <c r="I30" s="23"/>
      <c r="J30" s="24" t="s">
        <v>1471</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milscm_2023_009.sny_202310_base_merge_mml_sm_summary.taiin_findings IS '退院時所見';</v>
      </c>
    </row>
    <row r="31" spans="1:45" s="25" customFormat="1" ht="37.5">
      <c r="A31" s="4"/>
      <c r="B31" s="21">
        <f t="shared" si="2"/>
        <v>19</v>
      </c>
      <c r="C31" s="13" t="s">
        <v>1455</v>
      </c>
      <c r="D31" s="13" t="s">
        <v>1456</v>
      </c>
      <c r="E31" s="7"/>
      <c r="F31" s="7" t="s">
        <v>865</v>
      </c>
      <c r="G31" s="7" t="str">
        <f t="shared" si="3"/>
        <v>text</v>
      </c>
      <c r="H31" s="58"/>
      <c r="I31" s="23"/>
      <c r="J31" s="24" t="s">
        <v>1472</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milscm_2023_009.sny_202310_base_merge_mml_sm_summary.taiin_medication IS '退院時処方';</v>
      </c>
    </row>
    <row r="32" spans="1:45" s="25" customFormat="1" ht="37.5">
      <c r="A32" s="4"/>
      <c r="B32" s="21">
        <f t="shared" si="2"/>
        <v>20</v>
      </c>
      <c r="C32" s="13" t="s">
        <v>1457</v>
      </c>
      <c r="D32" s="13" t="s">
        <v>1458</v>
      </c>
      <c r="E32" s="7"/>
      <c r="F32" s="7" t="s">
        <v>865</v>
      </c>
      <c r="G32" s="7" t="str">
        <f t="shared" si="3"/>
        <v>text</v>
      </c>
      <c r="H32" s="58"/>
      <c r="I32" s="23"/>
      <c r="J32" s="24" t="s">
        <v>1473</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milscm_2023_009.sny_202310_base_merge_mml_sm_summary.taiin_chiryo_plan IS '退院後治療方針';</v>
      </c>
    </row>
    <row r="33" spans="1:52" s="25" customFormat="1" ht="38.25" thickBot="1">
      <c r="A33" s="4"/>
      <c r="B33" s="27">
        <f>ROW()-12</f>
        <v>21</v>
      </c>
      <c r="C33" s="57" t="s">
        <v>1459</v>
      </c>
      <c r="D33" s="57" t="s">
        <v>1460</v>
      </c>
      <c r="E33" s="56"/>
      <c r="F33" s="56" t="s">
        <v>865</v>
      </c>
      <c r="G33" s="56" t="str">
        <f t="shared" si="3"/>
        <v>text</v>
      </c>
      <c r="H33" s="59"/>
      <c r="I33" s="60"/>
      <c r="J33" s="64" t="s">
        <v>1474</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ENT_31_C4-24</v>
      </c>
      <c r="E6" s="273"/>
      <c r="F6" s="273"/>
      <c r="G6" s="273"/>
      <c r="H6" s="273"/>
      <c r="I6" s="273"/>
      <c r="J6" s="274"/>
    </row>
    <row r="7" spans="1:45">
      <c r="B7" s="262" t="s">
        <v>115</v>
      </c>
      <c r="C7" s="263"/>
      <c r="D7" s="264" t="s">
        <v>3684</v>
      </c>
      <c r="E7" s="265"/>
      <c r="F7" s="265"/>
      <c r="G7" s="265"/>
      <c r="H7" s="265"/>
      <c r="I7" s="265"/>
      <c r="J7" s="266"/>
    </row>
    <row r="8" spans="1:45">
      <c r="B8" s="262" t="s">
        <v>116</v>
      </c>
      <c r="C8" s="263"/>
      <c r="D8" s="264" t="str">
        <f>エンティティ一覧!AE2&amp;"_"&amp;D5&amp;"_merge_mml_sm_out_patient"</f>
        <v>sny_202310_base_merge_mml_sm_out_patient</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milscm_2023_009.sny_202310_base_merge_mml_sm_out_patient;</v>
      </c>
      <c r="O10" s="76"/>
      <c r="P10" s="76"/>
      <c r="Q10" s="76"/>
      <c r="R10" s="76"/>
      <c r="S10" s="76"/>
      <c r="T10" s="76"/>
      <c r="AJ10" s="76" t="str">
        <f>"ALTER TABLE ONLY "&amp;エンティティ一覧!$O$2&amp;"."&amp;D$8</f>
        <v>ALTER TABLE ONLY milscm_2023_009.sny_202310_base_merge_mml_sm_out_patient</v>
      </c>
      <c r="AS10" s="76" t="str">
        <f>"ALTER TABLE "&amp;エンティティ一覧!$O$2&amp;"."&amp;D$8&amp;" OWNER TO pgmisgrp1;"</f>
        <v>ALTER TABLE milscm_2023_009.sny_202310_base_merge_mml_sm_out_patient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milscm_2023_009.sny_202310_base_merge_mml_sm_out_patient</v>
      </c>
      <c r="O11" s="76"/>
      <c r="P11" s="76"/>
      <c r="Q11" s="76"/>
      <c r="R11" s="76"/>
      <c r="S11" s="76"/>
      <c r="T11" s="76"/>
      <c r="AJ11" s="76" t="str">
        <f>"ADD CONSTRAINT "&amp;D$8&amp;"_pkey PRIMARY KEY"</f>
        <v>ADD CONSTRAINT sny_202310_base_merge_mml_sm_out_patient_pkey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1282</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milscm_2023_009.sny_202310_base_merge_mml_sm_out_patient.mil_karute_id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milscm_2023_009.sny_202310_base_merge_mml_sm_out_patient.facility_id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milscm_2023_009.sny_202310_base_merge_mml_sm_out_patient.data_type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milscm_2023_009.sny_202310_base_merge_mml_sm_out_patient.master_id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1477</v>
      </c>
      <c r="D21" s="13" t="s">
        <v>1478</v>
      </c>
      <c r="E21" s="7" t="s">
        <v>127</v>
      </c>
      <c r="F21" s="7" t="s">
        <v>204</v>
      </c>
      <c r="G21" s="7" t="str">
        <f t="shared" si="3"/>
        <v>integer</v>
      </c>
      <c r="H21" s="58"/>
      <c r="I21" s="23" t="s">
        <v>127</v>
      </c>
      <c r="J21" s="24" t="s">
        <v>1487</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milscm_2023_009.sny_202310_base_merge_mml_sm_out_patient.gairai_seq IS '個々の外来受診歴SEQ';</v>
      </c>
    </row>
    <row r="22" spans="1:52" s="25" customFormat="1" ht="37.5">
      <c r="A22" s="4"/>
      <c r="B22" s="21">
        <f t="shared" si="2"/>
        <v>10</v>
      </c>
      <c r="C22" s="13" t="s">
        <v>1479</v>
      </c>
      <c r="D22" s="13" t="s">
        <v>1480</v>
      </c>
      <c r="E22" s="7"/>
      <c r="F22" s="7" t="s">
        <v>865</v>
      </c>
      <c r="G22" s="7" t="str">
        <f t="shared" si="3"/>
        <v>text</v>
      </c>
      <c r="H22" s="58"/>
      <c r="I22" s="23"/>
      <c r="J22" s="24" t="s">
        <v>1488</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1481</v>
      </c>
      <c r="D23" s="13" t="s">
        <v>1482</v>
      </c>
      <c r="E23" s="7"/>
      <c r="F23" s="7" t="s">
        <v>865</v>
      </c>
      <c r="G23" s="7" t="str">
        <f t="shared" si="3"/>
        <v>text</v>
      </c>
      <c r="H23" s="58"/>
      <c r="I23" s="23"/>
      <c r="J23" s="24" t="s">
        <v>1489</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milscm_2023_009.sny_202310_base_merge_mml_sm_out_patient.gairai_state IS '外来受診状態';</v>
      </c>
    </row>
    <row r="24" spans="1:52" s="25" customFormat="1" ht="37.5">
      <c r="A24" s="4"/>
      <c r="B24" s="21">
        <f t="shared" si="2"/>
        <v>12</v>
      </c>
      <c r="C24" s="13" t="s">
        <v>1483</v>
      </c>
      <c r="D24" s="13" t="s">
        <v>1484</v>
      </c>
      <c r="E24" s="7"/>
      <c r="F24" s="7" t="s">
        <v>865</v>
      </c>
      <c r="G24" s="7" t="str">
        <f t="shared" si="3"/>
        <v>text</v>
      </c>
      <c r="H24" s="58"/>
      <c r="I24" s="23"/>
      <c r="J24" s="24" t="s">
        <v>1490</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milscm_2023_009.sny_202310_base_merge_mml_sm_out_patient.first_flag IS '初診フラグ';</v>
      </c>
    </row>
    <row r="25" spans="1:52" s="25" customFormat="1" ht="57" thickBot="1">
      <c r="A25" s="4"/>
      <c r="B25" s="27">
        <f>ROW()-12</f>
        <v>13</v>
      </c>
      <c r="C25" s="57" t="s">
        <v>1485</v>
      </c>
      <c r="D25" s="57" t="s">
        <v>1486</v>
      </c>
      <c r="E25" s="56"/>
      <c r="F25" s="56" t="s">
        <v>865</v>
      </c>
      <c r="G25" s="56" t="str">
        <f t="shared" si="3"/>
        <v>text</v>
      </c>
      <c r="H25" s="59"/>
      <c r="I25" s="60"/>
      <c r="J25" s="64" t="s">
        <v>1491</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ENT_31_C4-25</v>
      </c>
      <c r="E6" s="273"/>
      <c r="F6" s="273"/>
      <c r="G6" s="273"/>
      <c r="H6" s="273"/>
      <c r="I6" s="273"/>
      <c r="J6" s="274"/>
    </row>
    <row r="7" spans="1:45">
      <c r="B7" s="262" t="s">
        <v>115</v>
      </c>
      <c r="C7" s="263"/>
      <c r="D7" s="264" t="s">
        <v>3685</v>
      </c>
      <c r="E7" s="265"/>
      <c r="F7" s="265"/>
      <c r="G7" s="265"/>
      <c r="H7" s="265"/>
      <c r="I7" s="265"/>
      <c r="J7" s="266"/>
    </row>
    <row r="8" spans="1:45">
      <c r="B8" s="262" t="s">
        <v>116</v>
      </c>
      <c r="C8" s="263"/>
      <c r="D8" s="264" t="str">
        <f>エンティティ一覧!AE2&amp;"_"&amp;D5&amp;"_merge_mml_sm_in_patient"</f>
        <v>sny_202310_base_merge_mml_sm_in_patient</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milscm_2023_009.sny_202310_base_merge_mml_sm_in_patient;</v>
      </c>
      <c r="O10" s="76"/>
      <c r="P10" s="76"/>
      <c r="Q10" s="76"/>
      <c r="R10" s="76"/>
      <c r="S10" s="76"/>
      <c r="T10" s="76"/>
      <c r="AJ10" s="76" t="str">
        <f>"ALTER TABLE ONLY "&amp;エンティティ一覧!$O$2&amp;"."&amp;D$8</f>
        <v>ALTER TABLE ONLY milscm_2023_009.sny_202310_base_merge_mml_sm_in_patient</v>
      </c>
      <c r="AS10" s="76" t="str">
        <f>"ALTER TABLE "&amp;エンティティ一覧!$O$2&amp;"."&amp;D$8&amp;" OWNER TO pgmisgrp1;"</f>
        <v>ALTER TABLE milscm_2023_009.sny_202310_base_merge_mml_sm_in_patient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milscm_2023_009.sny_202310_base_merge_mml_sm_in_patient</v>
      </c>
      <c r="O11" s="76"/>
      <c r="P11" s="76"/>
      <c r="Q11" s="76"/>
      <c r="R11" s="76"/>
      <c r="S11" s="76"/>
      <c r="T11" s="76"/>
      <c r="AJ11" s="76" t="str">
        <f>"ADD CONSTRAINT "&amp;D$8&amp;"_pkey PRIMARY KEY"</f>
        <v>ADD CONSTRAINT sny_202310_base_merge_mml_sm_in_patient_pkey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1282</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milscm_2023_009.sny_202310_base_merge_mml_sm_in_patient.mil_karute_id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milscm_2023_009.sny_202310_base_merge_mml_sm_in_patient.facility_id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milscm_2023_009.sny_202310_base_merge_mml_sm_in_patient.data_type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milscm_2023_009.sny_202310_base_merge_mml_sm_in_patient.master_id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1494</v>
      </c>
      <c r="D21" s="13" t="s">
        <v>1495</v>
      </c>
      <c r="E21" s="7" t="s">
        <v>127</v>
      </c>
      <c r="F21" s="7" t="s">
        <v>204</v>
      </c>
      <c r="G21" s="7" t="str">
        <f t="shared" si="3"/>
        <v>integer</v>
      </c>
      <c r="H21" s="58"/>
      <c r="I21" s="23" t="s">
        <v>127</v>
      </c>
      <c r="J21" s="24" t="s">
        <v>1509</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milscm_2023_009.sny_202310_base_merge_mml_sm_in_patient.nyuin_seq IS '個々の入院歴SEQ';</v>
      </c>
    </row>
    <row r="22" spans="1:52" s="25" customFormat="1" ht="37.5">
      <c r="A22" s="4"/>
      <c r="B22" s="21">
        <f t="shared" si="2"/>
        <v>10</v>
      </c>
      <c r="C22" s="13" t="s">
        <v>1496</v>
      </c>
      <c r="D22" s="13" t="s">
        <v>156</v>
      </c>
      <c r="E22" s="7"/>
      <c r="F22" s="7" t="s">
        <v>865</v>
      </c>
      <c r="G22" s="7" t="str">
        <f t="shared" si="3"/>
        <v>text</v>
      </c>
      <c r="H22" s="58"/>
      <c r="I22" s="23"/>
      <c r="J22" s="24" t="s">
        <v>1510</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milscm_2023_009.sny_202310_base_merge_mml_sm_in_patient.nyuin_ymd IS '入院（転入）日';</v>
      </c>
    </row>
    <row r="23" spans="1:52" s="25" customFormat="1" ht="37.5">
      <c r="A23" s="4"/>
      <c r="B23" s="21">
        <f t="shared" si="2"/>
        <v>11</v>
      </c>
      <c r="C23" s="13" t="s">
        <v>1497</v>
      </c>
      <c r="D23" s="13" t="s">
        <v>1498</v>
      </c>
      <c r="E23" s="7"/>
      <c r="F23" s="7" t="s">
        <v>865</v>
      </c>
      <c r="G23" s="7" t="str">
        <f t="shared" si="3"/>
        <v>text</v>
      </c>
      <c r="H23" s="58"/>
      <c r="I23" s="23"/>
      <c r="J23" s="24" t="s">
        <v>1511</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milscm_2023_009.sny_202310_base_merge_mml_sm_in_patient.nyuin_state IS '入院時状態';</v>
      </c>
    </row>
    <row r="24" spans="1:52" s="25" customFormat="1" ht="56.25">
      <c r="A24" s="4"/>
      <c r="B24" s="21">
        <f t="shared" si="2"/>
        <v>12</v>
      </c>
      <c r="C24" s="13" t="s">
        <v>1499</v>
      </c>
      <c r="D24" s="13" t="s">
        <v>1500</v>
      </c>
      <c r="E24" s="7"/>
      <c r="F24" s="7" t="s">
        <v>865</v>
      </c>
      <c r="G24" s="7" t="str">
        <f t="shared" si="3"/>
        <v>text</v>
      </c>
      <c r="H24" s="58"/>
      <c r="I24" s="23"/>
      <c r="J24" s="24" t="s">
        <v>1512</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milscm_2023_009.sny_202310_base_merge_mml_sm_in_patient.emergency_nyuin_flag IS '緊急入院フラグ';</v>
      </c>
    </row>
    <row r="25" spans="1:52" s="25" customFormat="1" ht="93.75">
      <c r="A25" s="4"/>
      <c r="B25" s="21">
        <f t="shared" si="2"/>
        <v>13</v>
      </c>
      <c r="C25" s="13" t="s">
        <v>1501</v>
      </c>
      <c r="D25" s="13" t="s">
        <v>1502</v>
      </c>
      <c r="E25" s="7"/>
      <c r="F25" s="7" t="s">
        <v>865</v>
      </c>
      <c r="G25" s="7" t="str">
        <f t="shared" si="3"/>
        <v>text</v>
      </c>
      <c r="H25" s="58"/>
      <c r="I25" s="23"/>
      <c r="J25" s="24" t="s">
        <v>1517</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milscm_2023_009.sny_202310_base_merge_mml_sm_in_patient.shokai_moto_facility IS '紹介元施設';</v>
      </c>
    </row>
    <row r="26" spans="1:52" s="25" customFormat="1" ht="37.5">
      <c r="A26" s="4"/>
      <c r="B26" s="21">
        <f t="shared" si="2"/>
        <v>14</v>
      </c>
      <c r="C26" s="13" t="s">
        <v>1503</v>
      </c>
      <c r="D26" s="13" t="s">
        <v>212</v>
      </c>
      <c r="E26" s="7"/>
      <c r="F26" s="7" t="s">
        <v>865</v>
      </c>
      <c r="G26" s="7" t="str">
        <f t="shared" si="3"/>
        <v>text</v>
      </c>
      <c r="H26" s="58"/>
      <c r="I26" s="23"/>
      <c r="J26" s="24" t="s">
        <v>1513</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milscm_2023_009.sny_202310_base_merge_mml_sm_in_patient.taiin_ymd IS '退院（転出）日';</v>
      </c>
    </row>
    <row r="27" spans="1:52" s="25" customFormat="1" ht="37.5">
      <c r="A27" s="4"/>
      <c r="B27" s="21">
        <f t="shared" si="2"/>
        <v>15</v>
      </c>
      <c r="C27" s="13" t="s">
        <v>1504</v>
      </c>
      <c r="D27" s="13" t="s">
        <v>1505</v>
      </c>
      <c r="E27" s="7"/>
      <c r="F27" s="7" t="s">
        <v>865</v>
      </c>
      <c r="G27" s="7" t="str">
        <f t="shared" si="3"/>
        <v>text</v>
      </c>
      <c r="H27" s="58"/>
      <c r="I27" s="23"/>
      <c r="J27" s="24" t="s">
        <v>1514</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milscm_2023_009.sny_202310_base_merge_mml_sm_in_patient.taiin_state IS '退院時状態';</v>
      </c>
    </row>
    <row r="28" spans="1:52" s="25" customFormat="1" ht="56.25">
      <c r="A28" s="4"/>
      <c r="B28" s="21">
        <f t="shared" si="2"/>
        <v>16</v>
      </c>
      <c r="C28" s="13" t="s">
        <v>593</v>
      </c>
      <c r="D28" s="13" t="s">
        <v>1506</v>
      </c>
      <c r="E28" s="7"/>
      <c r="F28" s="7" t="s">
        <v>865</v>
      </c>
      <c r="G28" s="7" t="str">
        <f t="shared" si="3"/>
        <v>text</v>
      </c>
      <c r="H28" s="58"/>
      <c r="I28" s="23"/>
      <c r="J28" s="24" t="s">
        <v>1515</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milscm_2023_009.sny_202310_base_merge_mml_sm_in_patient.taiin_tenki IS '退院時転帰';</v>
      </c>
    </row>
    <row r="29" spans="1:52" s="25" customFormat="1" ht="94.5" thickBot="1">
      <c r="A29" s="4"/>
      <c r="B29" s="27">
        <f>ROW()-12</f>
        <v>17</v>
      </c>
      <c r="C29" s="57" t="s">
        <v>1507</v>
      </c>
      <c r="D29" s="57" t="s">
        <v>1508</v>
      </c>
      <c r="E29" s="56"/>
      <c r="F29" s="56" t="s">
        <v>865</v>
      </c>
      <c r="G29" s="56" t="str">
        <f t="shared" si="3"/>
        <v>text</v>
      </c>
      <c r="H29" s="59"/>
      <c r="I29" s="60"/>
      <c r="J29" s="64" t="s">
        <v>1516</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ENT_31_C4-29</v>
      </c>
      <c r="E6" s="273"/>
      <c r="F6" s="273"/>
      <c r="G6" s="273"/>
      <c r="H6" s="273"/>
      <c r="I6" s="273"/>
      <c r="J6" s="274"/>
    </row>
    <row r="7" spans="1:45">
      <c r="B7" s="262" t="s">
        <v>115</v>
      </c>
      <c r="C7" s="263"/>
      <c r="D7" s="264" t="s">
        <v>3686</v>
      </c>
      <c r="E7" s="265"/>
      <c r="F7" s="265"/>
      <c r="G7" s="265"/>
      <c r="H7" s="265"/>
      <c r="I7" s="265"/>
      <c r="J7" s="266"/>
    </row>
    <row r="8" spans="1:45">
      <c r="B8" s="262" t="s">
        <v>116</v>
      </c>
      <c r="C8" s="263"/>
      <c r="D8" s="264" t="str">
        <f>エンティティ一覧!AE2&amp;"_"&amp;D5&amp;"_merge_mml_sm_clinical_course"</f>
        <v>sny_202310_base_merge_mml_sm_clinical_course</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milscm_2023_009.sny_202310_base_merge_mml_sm_clinical_course;</v>
      </c>
      <c r="O10" s="76"/>
      <c r="P10" s="76"/>
      <c r="Q10" s="76"/>
      <c r="R10" s="76"/>
      <c r="S10" s="76"/>
      <c r="T10" s="76"/>
      <c r="AJ10" s="76" t="str">
        <f>"ALTER TABLE ONLY "&amp;エンティティ一覧!$O$2&amp;"."&amp;D$8</f>
        <v>ALTER TABLE ONLY milscm_2023_009.sny_202310_base_merge_mml_sm_clinical_course</v>
      </c>
      <c r="AS10" s="76" t="str">
        <f>"ALTER TABLE "&amp;エンティティ一覧!$O$2&amp;"."&amp;D$8&amp;" OWNER TO pgmisgrp1;"</f>
        <v>ALTER TABLE milscm_2023_009.sny_202310_base_merge_mml_sm_clinical_course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milscm_2023_009.sny_202310_base_merge_mml_sm_clinical_course</v>
      </c>
      <c r="O11" s="76"/>
      <c r="P11" s="76"/>
      <c r="Q11" s="76"/>
      <c r="R11" s="76"/>
      <c r="S11" s="76"/>
      <c r="T11" s="76"/>
      <c r="AJ11" s="76" t="str">
        <f>"ADD CONSTRAINT "&amp;D$8&amp;"_pkey PRIMARY KEY"</f>
        <v>ADD CONSTRAINT sny_202310_base_merge_mml_sm_clinical_course_pkey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1282</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milscm_2023_009.sny_202310_base_merge_mml_sm_clinical_course.mil_karute_id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milscm_2023_009.sny_202310_base_merge_mml_sm_clinical_course.facility_id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milscm_2023_009.sny_202310_base_merge_mml_sm_clinical_course.data_type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milscm_2023_009.sny_202310_base_merge_mml_sm_clinical_course.master_id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1344</v>
      </c>
      <c r="D21" s="13" t="s">
        <v>1345</v>
      </c>
      <c r="E21" s="7" t="s">
        <v>127</v>
      </c>
      <c r="F21" s="7" t="s">
        <v>204</v>
      </c>
      <c r="G21" s="7" t="str">
        <f t="shared" si="3"/>
        <v>integer</v>
      </c>
      <c r="H21" s="58"/>
      <c r="I21" s="23" t="s">
        <v>127</v>
      </c>
      <c r="J21" s="24" t="s">
        <v>1528</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milscm_2023_009.sny_202310_base_merge_mml_sm_clinical_course.keika_seq IS '経過記録SEQ';</v>
      </c>
    </row>
    <row r="22" spans="1:52" s="25" customFormat="1" ht="37.5">
      <c r="A22" s="4"/>
      <c r="B22" s="21">
        <f t="shared" si="2"/>
        <v>10</v>
      </c>
      <c r="C22" s="13" t="s">
        <v>1520</v>
      </c>
      <c r="D22" s="13" t="s">
        <v>1521</v>
      </c>
      <c r="E22" s="7"/>
      <c r="F22" s="7" t="s">
        <v>865</v>
      </c>
      <c r="G22" s="7" t="str">
        <f t="shared" si="3"/>
        <v>text</v>
      </c>
      <c r="H22" s="58"/>
      <c r="I22" s="23"/>
      <c r="J22" s="24" t="s">
        <v>1529</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milscm_2023_009.sny_202310_base_merge_mml_sm_clinical_course.keika_kiroku IS '経過記録';</v>
      </c>
    </row>
    <row r="23" spans="1:52" s="25" customFormat="1" ht="37.5">
      <c r="A23" s="4"/>
      <c r="B23" s="21">
        <f t="shared" si="2"/>
        <v>11</v>
      </c>
      <c r="C23" s="13" t="s">
        <v>1522</v>
      </c>
      <c r="D23" s="13" t="s">
        <v>1523</v>
      </c>
      <c r="E23" s="7"/>
      <c r="F23" s="7" t="s">
        <v>865</v>
      </c>
      <c r="G23" s="7" t="str">
        <f t="shared" si="3"/>
        <v>text</v>
      </c>
      <c r="H23" s="58"/>
      <c r="I23" s="23"/>
      <c r="J23" s="24" t="s">
        <v>1530</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milscm_2023_009.sny_202310_base_merge_mml_sm_clinical_course.event_date IS 'イベント発生日時';</v>
      </c>
    </row>
    <row r="24" spans="1:52" s="25" customFormat="1" ht="37.5">
      <c r="A24" s="4"/>
      <c r="B24" s="21">
        <f t="shared" si="2"/>
        <v>12</v>
      </c>
      <c r="C24" s="13" t="s">
        <v>1524</v>
      </c>
      <c r="D24" s="13" t="s">
        <v>1525</v>
      </c>
      <c r="E24" s="7"/>
      <c r="F24" s="7" t="s">
        <v>865</v>
      </c>
      <c r="G24" s="7" t="str">
        <f t="shared" si="3"/>
        <v>text</v>
      </c>
      <c r="H24" s="58"/>
      <c r="I24" s="23"/>
      <c r="J24" s="24" t="s">
        <v>1531</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milscm_2023_009.sny_202310_base_merge_mml_sm_clinical_course.kanren_doc_uid IS '関連文書のuid';</v>
      </c>
    </row>
    <row r="25" spans="1:52" s="25" customFormat="1" ht="75.75" thickBot="1">
      <c r="A25" s="4"/>
      <c r="B25" s="27">
        <f>ROW()-12</f>
        <v>13</v>
      </c>
      <c r="C25" s="57" t="s">
        <v>1526</v>
      </c>
      <c r="D25" s="57" t="s">
        <v>1527</v>
      </c>
      <c r="E25" s="56"/>
      <c r="F25" s="56" t="s">
        <v>865</v>
      </c>
      <c r="G25" s="56" t="str">
        <f t="shared" si="3"/>
        <v>text</v>
      </c>
      <c r="H25" s="59"/>
      <c r="I25" s="60"/>
      <c r="J25" s="64" t="s">
        <v>1532</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ENT_31_C4-30</v>
      </c>
      <c r="E6" s="273"/>
      <c r="F6" s="273"/>
      <c r="G6" s="273"/>
      <c r="H6" s="273"/>
      <c r="I6" s="273"/>
      <c r="J6" s="274"/>
    </row>
    <row r="7" spans="1:45">
      <c r="B7" s="262" t="s">
        <v>115</v>
      </c>
      <c r="C7" s="263"/>
      <c r="D7" s="264" t="s">
        <v>3687</v>
      </c>
      <c r="E7" s="265"/>
      <c r="F7" s="265"/>
      <c r="G7" s="265"/>
      <c r="H7" s="265"/>
      <c r="I7" s="265"/>
      <c r="J7" s="266"/>
    </row>
    <row r="8" spans="1:45">
      <c r="B8" s="262" t="s">
        <v>116</v>
      </c>
      <c r="C8" s="263"/>
      <c r="D8" s="264" t="str">
        <f>エンティティ一覧!AE2&amp;"_"&amp;D5&amp;"_merge_mml_sm_test_results"</f>
        <v>sny_202310_base_merge_mml_sm_test_results</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milscm_2023_009.sny_202310_base_merge_mml_sm_test_results;</v>
      </c>
      <c r="O10" s="76"/>
      <c r="P10" s="76"/>
      <c r="Q10" s="76"/>
      <c r="R10" s="76"/>
      <c r="S10" s="76"/>
      <c r="T10" s="76"/>
      <c r="AJ10" s="76" t="str">
        <f>"ALTER TABLE ONLY "&amp;エンティティ一覧!$O$2&amp;"."&amp;D$8</f>
        <v>ALTER TABLE ONLY milscm_2023_009.sny_202310_base_merge_mml_sm_test_results</v>
      </c>
      <c r="AS10" s="76" t="str">
        <f>"ALTER TABLE "&amp;エンティティ一覧!$O$2&amp;"."&amp;D$8&amp;" OWNER TO pgmisgrp1;"</f>
        <v>ALTER TABLE milscm_2023_009.sny_202310_base_merge_mml_sm_test_results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milscm_2023_009.sny_202310_base_merge_mml_sm_test_results</v>
      </c>
      <c r="O11" s="76"/>
      <c r="P11" s="76"/>
      <c r="Q11" s="76"/>
      <c r="R11" s="76"/>
      <c r="S11" s="76"/>
      <c r="T11" s="76"/>
      <c r="AJ11" s="76" t="str">
        <f>"ADD CONSTRAINT "&amp;D$8&amp;"_pkey PRIMARY KEY"</f>
        <v>ADD CONSTRAINT sny_202310_base_merge_mml_sm_test_results_pkey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1282</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milscm_2023_009.sny_202310_base_merge_mml_sm_test_results.mil_karute_id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milscm_2023_009.sny_202310_base_merge_mml_sm_test_results.facility_id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milscm_2023_009.sny_202310_base_merge_mml_sm_test_results.data_type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milscm_2023_009.sny_202310_base_merge_mml_sm_test_results.master_id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1535</v>
      </c>
      <c r="D20" s="13" t="s">
        <v>1436</v>
      </c>
      <c r="E20" s="7" t="s">
        <v>127</v>
      </c>
      <c r="F20" s="7" t="s">
        <v>204</v>
      </c>
      <c r="G20" s="7" t="str">
        <f t="shared" si="3"/>
        <v>integer</v>
      </c>
      <c r="H20" s="58"/>
      <c r="I20" s="23" t="s">
        <v>127</v>
      </c>
      <c r="J20" s="24" t="s">
        <v>1461</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1536</v>
      </c>
      <c r="D21" s="13" t="s">
        <v>1537</v>
      </c>
      <c r="E21" s="7" t="s">
        <v>127</v>
      </c>
      <c r="F21" s="7" t="s">
        <v>204</v>
      </c>
      <c r="G21" s="7" t="str">
        <f t="shared" si="3"/>
        <v>integer</v>
      </c>
      <c r="H21" s="58"/>
      <c r="I21" s="23" t="s">
        <v>127</v>
      </c>
      <c r="J21" s="24" t="s">
        <v>1540</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milscm_2023_009.sny_202310_base_merge_mml_sm_test_results.kensa_seq IS '個々の検査結果SEQ';</v>
      </c>
    </row>
    <row r="22" spans="1:52" s="25" customFormat="1" ht="37.5">
      <c r="A22" s="4"/>
      <c r="B22" s="21">
        <f t="shared" si="2"/>
        <v>10</v>
      </c>
      <c r="C22" s="13" t="s">
        <v>1538</v>
      </c>
      <c r="D22" s="13" t="s">
        <v>1539</v>
      </c>
      <c r="E22" s="7"/>
      <c r="F22" s="7" t="s">
        <v>865</v>
      </c>
      <c r="G22" s="7" t="str">
        <f t="shared" si="3"/>
        <v>text</v>
      </c>
      <c r="H22" s="58"/>
      <c r="I22" s="23"/>
      <c r="J22" s="24" t="s">
        <v>1541</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milscm_2023_009.sny_202310_base_merge_mml_sm_test_results.kensa_result_value IS '個々の検査結果';</v>
      </c>
    </row>
    <row r="23" spans="1:52" s="25" customFormat="1" ht="38.25" thickBot="1">
      <c r="A23" s="4"/>
      <c r="B23" s="27">
        <f>ROW()-12</f>
        <v>11</v>
      </c>
      <c r="C23" s="57" t="s">
        <v>1522</v>
      </c>
      <c r="D23" s="57" t="s">
        <v>1523</v>
      </c>
      <c r="E23" s="56"/>
      <c r="F23" s="56" t="s">
        <v>865</v>
      </c>
      <c r="G23" s="56" t="str">
        <f t="shared" si="3"/>
        <v>text</v>
      </c>
      <c r="H23" s="59"/>
      <c r="I23" s="60"/>
      <c r="J23" s="64" t="s">
        <v>1542</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ENT_31_C4-31</v>
      </c>
      <c r="E6" s="273"/>
      <c r="F6" s="273"/>
      <c r="G6" s="273"/>
      <c r="H6" s="273"/>
      <c r="I6" s="273"/>
      <c r="J6" s="274"/>
    </row>
    <row r="7" spans="1:45">
      <c r="B7" s="262" t="s">
        <v>115</v>
      </c>
      <c r="C7" s="263"/>
      <c r="D7" s="264" t="s">
        <v>3688</v>
      </c>
      <c r="E7" s="265"/>
      <c r="F7" s="265"/>
      <c r="G7" s="265"/>
      <c r="H7" s="265"/>
      <c r="I7" s="265"/>
      <c r="J7" s="266"/>
    </row>
    <row r="8" spans="1:45">
      <c r="B8" s="262" t="s">
        <v>116</v>
      </c>
      <c r="C8" s="263"/>
      <c r="D8" s="264" t="str">
        <f>エンティティ一覧!AE2&amp;"_"&amp;D5&amp;"_merge_mml_lb_test"</f>
        <v>sny_202310_base_merge_mml_lb_test</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milscm_2023_009.sny_202310_base_merge_mml_lb_test;</v>
      </c>
      <c r="O10" s="76"/>
      <c r="P10" s="76"/>
      <c r="Q10" s="76"/>
      <c r="R10" s="76"/>
      <c r="S10" s="76"/>
      <c r="T10" s="76"/>
      <c r="AJ10" s="76" t="str">
        <f>"ALTER TABLE ONLY "&amp;エンティティ一覧!$O$2&amp;"."&amp;D$8</f>
        <v>ALTER TABLE ONLY milscm_2023_009.sny_202310_base_merge_mml_lb_test</v>
      </c>
      <c r="AS10" s="76" t="str">
        <f>"ALTER TABLE "&amp;エンティティ一覧!$O$2&amp;"."&amp;D$8&amp;" OWNER TO pgmisgrp1;"</f>
        <v>ALTER TABLE milscm_2023_009.sny_202310_base_merge_mml_lb_test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milscm_2023_009.sny_202310_base_merge_mml_lb_test</v>
      </c>
      <c r="O11" s="76"/>
      <c r="P11" s="76"/>
      <c r="Q11" s="76"/>
      <c r="R11" s="76"/>
      <c r="S11" s="76"/>
      <c r="T11" s="76"/>
      <c r="AJ11" s="76" t="str">
        <f>"ADD CONSTRAINT "&amp;D$8&amp;"_pkey PRIMARY KEY"</f>
        <v>ADD CONSTRAINT sny_202310_base_merge_mml_lb_test_pkey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milscm_2023_009.sny_202310_base_merge_mml_lb_test.mil_karute_id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milscm_2023_009.sny_202310_base_merge_mml_lb_test.facility_id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milscm_2023_009.sny_202310_base_merge_mml_lb_test.data_type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milscm_2023_009.sny_202310_base_merge_mml_lb_test.master_id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1544</v>
      </c>
      <c r="D20" s="13" t="s">
        <v>1545</v>
      </c>
      <c r="E20" s="7" t="s">
        <v>127</v>
      </c>
      <c r="F20" s="7" t="s">
        <v>204</v>
      </c>
      <c r="G20" s="7" t="str">
        <f t="shared" si="3"/>
        <v>integer</v>
      </c>
      <c r="H20" s="58"/>
      <c r="I20" s="23" t="s">
        <v>127</v>
      </c>
      <c r="J20" s="24" t="s">
        <v>1582</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1546</v>
      </c>
      <c r="D21" s="13" t="s">
        <v>1547</v>
      </c>
      <c r="E21" s="7"/>
      <c r="F21" s="7" t="s">
        <v>865</v>
      </c>
      <c r="G21" s="7" t="str">
        <f t="shared" si="3"/>
        <v>text</v>
      </c>
      <c r="H21" s="58"/>
      <c r="I21" s="23"/>
      <c r="J21" s="24" t="s">
        <v>1583</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milscm_2023_009.sny_202310_base_merge_mml_lb_test.irai_id IS '依頼ID';</v>
      </c>
    </row>
    <row r="22" spans="1:45" s="25" customFormat="1" ht="37.5">
      <c r="A22" s="4"/>
      <c r="B22" s="21">
        <f t="shared" si="2"/>
        <v>10</v>
      </c>
      <c r="C22" s="13" t="s">
        <v>1548</v>
      </c>
      <c r="D22" s="13" t="s">
        <v>1549</v>
      </c>
      <c r="E22" s="7"/>
      <c r="F22" s="7" t="s">
        <v>865</v>
      </c>
      <c r="G22" s="7" t="str">
        <f t="shared" si="3"/>
        <v>text</v>
      </c>
      <c r="H22" s="58"/>
      <c r="I22" s="23"/>
      <c r="J22" s="24" t="s">
        <v>1584</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milscm_2023_009.sny_202310_base_merge_mml_lb_test.sample_time IS '採取日時';</v>
      </c>
    </row>
    <row r="23" spans="1:45" s="25" customFormat="1" ht="37.5">
      <c r="A23" s="4"/>
      <c r="B23" s="21">
        <f t="shared" si="2"/>
        <v>11</v>
      </c>
      <c r="C23" s="13" t="s">
        <v>1550</v>
      </c>
      <c r="D23" s="13" t="s">
        <v>1551</v>
      </c>
      <c r="E23" s="7"/>
      <c r="F23" s="7" t="s">
        <v>865</v>
      </c>
      <c r="G23" s="7" t="str">
        <f t="shared" si="3"/>
        <v>text</v>
      </c>
      <c r="H23" s="58"/>
      <c r="I23" s="23"/>
      <c r="J23" s="24" t="s">
        <v>1585</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milscm_2023_009.sny_202310_base_merge_mml_lb_test.uketsuke_time IS '受付日時';</v>
      </c>
    </row>
    <row r="24" spans="1:45" s="25" customFormat="1" ht="37.5">
      <c r="A24" s="4"/>
      <c r="B24" s="21">
        <f t="shared" si="2"/>
        <v>12</v>
      </c>
      <c r="C24" s="13" t="s">
        <v>1552</v>
      </c>
      <c r="D24" s="13" t="s">
        <v>1553</v>
      </c>
      <c r="E24" s="7"/>
      <c r="F24" s="7" t="s">
        <v>865</v>
      </c>
      <c r="G24" s="7" t="str">
        <f t="shared" si="3"/>
        <v>text</v>
      </c>
      <c r="H24" s="58"/>
      <c r="I24" s="23"/>
      <c r="J24" s="24" t="s">
        <v>1586</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1554</v>
      </c>
      <c r="D25" s="13" t="s">
        <v>1555</v>
      </c>
      <c r="E25" s="7"/>
      <c r="F25" s="7" t="s">
        <v>865</v>
      </c>
      <c r="G25" s="7" t="str">
        <f t="shared" si="3"/>
        <v>text</v>
      </c>
      <c r="H25" s="58"/>
      <c r="I25" s="23"/>
      <c r="J25" s="24" t="s">
        <v>1587</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milscm_2023_009.sny_202310_base_merge_mml_lb_test.status IS '報告状態';</v>
      </c>
    </row>
    <row r="26" spans="1:45" s="25" customFormat="1" ht="56.25">
      <c r="A26" s="4"/>
      <c r="B26" s="21">
        <f t="shared" si="2"/>
        <v>14</v>
      </c>
      <c r="C26" s="13" t="s">
        <v>1556</v>
      </c>
      <c r="D26" s="13" t="s">
        <v>1557</v>
      </c>
      <c r="E26" s="7"/>
      <c r="F26" s="7" t="s">
        <v>865</v>
      </c>
      <c r="G26" s="7" t="str">
        <f t="shared" si="3"/>
        <v>text</v>
      </c>
      <c r="H26" s="58"/>
      <c r="I26" s="23"/>
      <c r="J26" s="24" t="s">
        <v>1588</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1558</v>
      </c>
      <c r="D27" s="13" t="s">
        <v>1559</v>
      </c>
      <c r="E27" s="7"/>
      <c r="F27" s="7" t="s">
        <v>865</v>
      </c>
      <c r="G27" s="7" t="str">
        <f t="shared" si="3"/>
        <v>text</v>
      </c>
      <c r="H27" s="58"/>
      <c r="I27" s="23"/>
      <c r="J27" s="24" t="s">
        <v>1589</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milscm_2023_009.sny_202310_base_merge_mml_lb_test.set_name IS 'セット名';</v>
      </c>
    </row>
    <row r="28" spans="1:45" s="25" customFormat="1" ht="37.5">
      <c r="A28" s="4"/>
      <c r="B28" s="21">
        <f t="shared" si="2"/>
        <v>16</v>
      </c>
      <c r="C28" s="13" t="s">
        <v>1560</v>
      </c>
      <c r="D28" s="13" t="s">
        <v>1561</v>
      </c>
      <c r="E28" s="7"/>
      <c r="F28" s="7" t="s">
        <v>865</v>
      </c>
      <c r="G28" s="7" t="str">
        <f t="shared" si="3"/>
        <v>text</v>
      </c>
      <c r="H28" s="58"/>
      <c r="I28" s="23"/>
      <c r="J28" s="24" t="s">
        <v>1590</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milscm_2023_009.sny_202310_base_merge_mml_lb_test.set_name_code IS 'セット名コード';</v>
      </c>
    </row>
    <row r="29" spans="1:45" s="25" customFormat="1" ht="37.5">
      <c r="A29" s="4"/>
      <c r="B29" s="21">
        <f t="shared" si="2"/>
        <v>17</v>
      </c>
      <c r="C29" s="13" t="s">
        <v>1562</v>
      </c>
      <c r="D29" s="13" t="s">
        <v>1563</v>
      </c>
      <c r="E29" s="7"/>
      <c r="F29" s="7" t="s">
        <v>865</v>
      </c>
      <c r="G29" s="7" t="str">
        <f t="shared" si="3"/>
        <v>text</v>
      </c>
      <c r="H29" s="58"/>
      <c r="I29" s="23"/>
      <c r="J29" s="24" t="s">
        <v>1591</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1564</v>
      </c>
      <c r="D30" s="13" t="s">
        <v>1565</v>
      </c>
      <c r="E30" s="7"/>
      <c r="F30" s="7" t="s">
        <v>865</v>
      </c>
      <c r="G30" s="7" t="str">
        <f t="shared" si="3"/>
        <v>text</v>
      </c>
      <c r="H30" s="58"/>
      <c r="I30" s="23"/>
      <c r="J30" s="24" t="s">
        <v>1592</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1566</v>
      </c>
      <c r="D31" s="13" t="s">
        <v>1567</v>
      </c>
      <c r="E31" s="7"/>
      <c r="F31" s="7" t="s">
        <v>865</v>
      </c>
      <c r="G31" s="7" t="str">
        <f t="shared" si="3"/>
        <v>text</v>
      </c>
      <c r="H31" s="58"/>
      <c r="I31" s="23"/>
      <c r="J31" s="24" t="s">
        <v>1593</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milscm_2023_009.sny_202310_base_merge_mml_lb_test.irai_facility_code IS '依頼施設コード';</v>
      </c>
    </row>
    <row r="32" spans="1:45" s="25" customFormat="1" ht="37.5">
      <c r="A32" s="4"/>
      <c r="B32" s="21">
        <f t="shared" si="2"/>
        <v>20</v>
      </c>
      <c r="C32" s="13" t="s">
        <v>1568</v>
      </c>
      <c r="D32" s="13" t="s">
        <v>1569</v>
      </c>
      <c r="E32" s="7"/>
      <c r="F32" s="7" t="s">
        <v>865</v>
      </c>
      <c r="G32" s="7" t="str">
        <f t="shared" si="3"/>
        <v>text</v>
      </c>
      <c r="H32" s="58"/>
      <c r="I32" s="23"/>
      <c r="J32" s="24" t="s">
        <v>1594</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1570</v>
      </c>
      <c r="D33" s="13" t="s">
        <v>1571</v>
      </c>
      <c r="E33" s="7"/>
      <c r="F33" s="7" t="s">
        <v>865</v>
      </c>
      <c r="G33" s="7" t="str">
        <f t="shared" si="3"/>
        <v>text</v>
      </c>
      <c r="H33" s="58"/>
      <c r="I33" s="23"/>
      <c r="J33" s="24" t="s">
        <v>1595</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milscm_2023_009.sny_202310_base_merge_mml_lb_test.irai_department IS '依頼診療科';</v>
      </c>
    </row>
    <row r="34" spans="1:52" s="25" customFormat="1" ht="37.5">
      <c r="A34" s="4"/>
      <c r="B34" s="21">
        <f t="shared" si="2"/>
        <v>22</v>
      </c>
      <c r="C34" s="13" t="s">
        <v>1572</v>
      </c>
      <c r="D34" s="13" t="s">
        <v>1573</v>
      </c>
      <c r="E34" s="7"/>
      <c r="F34" s="7" t="s">
        <v>865</v>
      </c>
      <c r="G34" s="7" t="str">
        <f t="shared" si="3"/>
        <v>text</v>
      </c>
      <c r="H34" s="58"/>
      <c r="I34" s="23"/>
      <c r="J34" s="24" t="s">
        <v>1596</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1574</v>
      </c>
      <c r="D35" s="13" t="s">
        <v>1575</v>
      </c>
      <c r="E35" s="7"/>
      <c r="F35" s="7" t="s">
        <v>865</v>
      </c>
      <c r="G35" s="7" t="str">
        <f t="shared" si="3"/>
        <v>text</v>
      </c>
      <c r="H35" s="58"/>
      <c r="I35" s="23"/>
      <c r="J35" s="24" t="s">
        <v>1597</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milscm_2023_009.sny_202310_base_merge_mml_lb_test.irai_ward IS '依頼病棟';</v>
      </c>
    </row>
    <row r="36" spans="1:52" s="25" customFormat="1" ht="37.5">
      <c r="A36" s="4"/>
      <c r="B36" s="21">
        <f t="shared" si="2"/>
        <v>24</v>
      </c>
      <c r="C36" s="13" t="s">
        <v>1576</v>
      </c>
      <c r="D36" s="13" t="s">
        <v>1577</v>
      </c>
      <c r="E36" s="7"/>
      <c r="F36" s="7" t="s">
        <v>865</v>
      </c>
      <c r="G36" s="7" t="str">
        <f t="shared" si="3"/>
        <v>text</v>
      </c>
      <c r="H36" s="58"/>
      <c r="I36" s="23"/>
      <c r="J36" s="24" t="s">
        <v>1598</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milscm_2023_009.sny_202310_base_merge_mml_lb_test.irai_ward_code IS '依頼病棟コード';</v>
      </c>
    </row>
    <row r="37" spans="1:52" s="25" customFormat="1" ht="37.5">
      <c r="A37" s="4"/>
      <c r="B37" s="21">
        <f t="shared" si="2"/>
        <v>25</v>
      </c>
      <c r="C37" s="13" t="s">
        <v>1578</v>
      </c>
      <c r="D37" s="13" t="s">
        <v>1579</v>
      </c>
      <c r="E37" s="7"/>
      <c r="F37" s="7" t="s">
        <v>865</v>
      </c>
      <c r="G37" s="7" t="str">
        <f t="shared" si="3"/>
        <v>text</v>
      </c>
      <c r="H37" s="58"/>
      <c r="I37" s="23"/>
      <c r="J37" s="24" t="s">
        <v>1599</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milscm_2023_009.sny_202310_base_merge_mml_lb_test.irai_ward_code_id IS '依頼病棟コードID';</v>
      </c>
    </row>
    <row r="38" spans="1:52" s="25" customFormat="1" ht="19.5" thickBot="1">
      <c r="A38" s="4"/>
      <c r="B38" s="27">
        <f>ROW()-12</f>
        <v>26</v>
      </c>
      <c r="C38" s="57" t="s">
        <v>1580</v>
      </c>
      <c r="D38" s="57" t="s">
        <v>1581</v>
      </c>
      <c r="E38" s="56"/>
      <c r="F38" s="56" t="s">
        <v>865</v>
      </c>
      <c r="G38" s="56" t="str">
        <f t="shared" si="3"/>
        <v>text</v>
      </c>
      <c r="H38" s="59"/>
      <c r="I38" s="60"/>
      <c r="J38" s="64" t="s">
        <v>1600</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ENT_31_C4-33</v>
      </c>
      <c r="E6" s="273"/>
      <c r="F6" s="273"/>
      <c r="G6" s="273"/>
      <c r="H6" s="273"/>
      <c r="I6" s="273"/>
      <c r="J6" s="274"/>
    </row>
    <row r="7" spans="1:45">
      <c r="B7" s="262" t="s">
        <v>115</v>
      </c>
      <c r="C7" s="263"/>
      <c r="D7" s="264" t="s">
        <v>3689</v>
      </c>
      <c r="E7" s="265"/>
      <c r="F7" s="265"/>
      <c r="G7" s="265"/>
      <c r="H7" s="265"/>
      <c r="I7" s="265"/>
      <c r="J7" s="266"/>
    </row>
    <row r="8" spans="1:45">
      <c r="B8" s="262" t="s">
        <v>116</v>
      </c>
      <c r="C8" s="263"/>
      <c r="D8" s="264" t="str">
        <f>エンティティ一覧!AE2&amp;"_"&amp;D5&amp;"_merge_mml_lb_specimen"</f>
        <v>sny_202310_base_merge_mml_lb_specimen</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milscm_2023_009.sny_202310_base_merge_mml_lb_specimen;</v>
      </c>
      <c r="O10" s="76"/>
      <c r="P10" s="76"/>
      <c r="Q10" s="76"/>
      <c r="R10" s="76"/>
      <c r="S10" s="76"/>
      <c r="T10" s="76"/>
      <c r="AJ10" s="76" t="str">
        <f>"ALTER TABLE ONLY "&amp;エンティティ一覧!$O$2&amp;"."&amp;D$8</f>
        <v>ALTER TABLE ONLY milscm_2023_009.sny_202310_base_merge_mml_lb_specimen</v>
      </c>
      <c r="AS10" s="76" t="str">
        <f>"ALTER TABLE "&amp;エンティティ一覧!$O$2&amp;"."&amp;D$8&amp;" OWNER TO pgmisgrp1;"</f>
        <v>ALTER TABLE milscm_2023_009.sny_202310_base_merge_mml_lb_specimen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milscm_2023_009.sny_202310_base_merge_mml_lb_specimen</v>
      </c>
      <c r="O11" s="76"/>
      <c r="P11" s="76"/>
      <c r="Q11" s="76"/>
      <c r="R11" s="76"/>
      <c r="S11" s="76"/>
      <c r="T11" s="76"/>
      <c r="AJ11" s="76" t="str">
        <f>"ADD CONSTRAINT "&amp;D$8&amp;"_pkey PRIMARY KEY"</f>
        <v>ADD CONSTRAINT sny_202310_base_merge_mml_lb_specimen_pkey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1282</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milscm_2023_009.sny_202310_base_merge_mml_lb_specimen.mil_karute_id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milscm_2023_009.sny_202310_base_merge_mml_lb_specimen.facility_id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milscm_2023_009.sny_202310_base_merge_mml_lb_specimen.data_type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milscm_2023_009.sny_202310_base_merge_mml_lb_specimen.master_id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1544</v>
      </c>
      <c r="D20" s="13" t="s">
        <v>1545</v>
      </c>
      <c r="E20" s="7" t="s">
        <v>127</v>
      </c>
      <c r="F20" s="7" t="s">
        <v>204</v>
      </c>
      <c r="G20" s="7" t="str">
        <f t="shared" si="3"/>
        <v>integer</v>
      </c>
      <c r="H20" s="58"/>
      <c r="I20" s="23" t="s">
        <v>127</v>
      </c>
      <c r="J20" s="24" t="s">
        <v>1582</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1602</v>
      </c>
      <c r="D21" s="13" t="s">
        <v>1603</v>
      </c>
      <c r="E21" s="7" t="s">
        <v>127</v>
      </c>
      <c r="F21" s="7" t="s">
        <v>204</v>
      </c>
      <c r="G21" s="7" t="str">
        <f t="shared" si="3"/>
        <v>integer</v>
      </c>
      <c r="H21" s="58"/>
      <c r="I21" s="23" t="s">
        <v>127</v>
      </c>
      <c r="J21" s="24" t="s">
        <v>1614</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milscm_2023_009.sny_202310_base_merge_mml_lb_specimen.labo_test_seq IS '検体結果情報SEQ';</v>
      </c>
    </row>
    <row r="22" spans="1:52" s="25" customFormat="1" ht="75">
      <c r="A22" s="4"/>
      <c r="B22" s="21">
        <f t="shared" si="2"/>
        <v>10</v>
      </c>
      <c r="C22" s="13" t="s">
        <v>1604</v>
      </c>
      <c r="D22" s="13" t="s">
        <v>1605</v>
      </c>
      <c r="E22" s="7" t="s">
        <v>127</v>
      </c>
      <c r="F22" s="7" t="s">
        <v>204</v>
      </c>
      <c r="G22" s="7" t="str">
        <f t="shared" si="3"/>
        <v>integer</v>
      </c>
      <c r="H22" s="58">
        <v>1</v>
      </c>
      <c r="I22" s="23" t="s">
        <v>127</v>
      </c>
      <c r="J22" s="24" t="s">
        <v>1615</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1606</v>
      </c>
      <c r="D23" s="13" t="s">
        <v>1607</v>
      </c>
      <c r="E23" s="7"/>
      <c r="F23" s="7" t="s">
        <v>865</v>
      </c>
      <c r="G23" s="7" t="str">
        <f t="shared" si="3"/>
        <v>text</v>
      </c>
      <c r="H23" s="58"/>
      <c r="I23" s="23"/>
      <c r="J23" s="24" t="s">
        <v>1616</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milscm_2023_009.sny_202310_base_merge_mml_lb_specimen.specimen_name IS '検体材料';</v>
      </c>
    </row>
    <row r="24" spans="1:52" s="25" customFormat="1" ht="37.5">
      <c r="A24" s="4"/>
      <c r="B24" s="21">
        <f t="shared" si="2"/>
        <v>12</v>
      </c>
      <c r="C24" s="13" t="s">
        <v>1608</v>
      </c>
      <c r="D24" s="13" t="s">
        <v>1609</v>
      </c>
      <c r="E24" s="7"/>
      <c r="F24" s="7" t="s">
        <v>865</v>
      </c>
      <c r="G24" s="7" t="str">
        <f t="shared" si="3"/>
        <v>text</v>
      </c>
      <c r="H24" s="58"/>
      <c r="I24" s="23"/>
      <c r="J24" s="24" t="s">
        <v>1617</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milscm_2023_009.sny_202310_base_merge_mml_lb_specimen.sp_code IS '検体材料コード';</v>
      </c>
    </row>
    <row r="25" spans="1:52" s="25" customFormat="1" ht="37.5">
      <c r="A25" s="4"/>
      <c r="B25" s="21">
        <f t="shared" si="2"/>
        <v>13</v>
      </c>
      <c r="C25" s="13" t="s">
        <v>1610</v>
      </c>
      <c r="D25" s="13" t="s">
        <v>1611</v>
      </c>
      <c r="E25" s="7"/>
      <c r="F25" s="7" t="s">
        <v>865</v>
      </c>
      <c r="G25" s="7" t="str">
        <f t="shared" si="3"/>
        <v>text</v>
      </c>
      <c r="H25" s="58"/>
      <c r="I25" s="23"/>
      <c r="J25" s="24" t="s">
        <v>1618</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milscm_2023_009.sny_202310_base_merge_mml_lb_specimen.sp_code_id IS '検体材料コードのテーブル名';</v>
      </c>
    </row>
    <row r="26" spans="1:52" s="25" customFormat="1" ht="19.5" thickBot="1">
      <c r="A26" s="4"/>
      <c r="B26" s="27">
        <f>ROW()-12</f>
        <v>14</v>
      </c>
      <c r="C26" s="57" t="s">
        <v>1612</v>
      </c>
      <c r="D26" s="57" t="s">
        <v>1613</v>
      </c>
      <c r="E26" s="56"/>
      <c r="F26" s="56" t="s">
        <v>865</v>
      </c>
      <c r="G26" s="56" t="str">
        <f t="shared" si="3"/>
        <v>text</v>
      </c>
      <c r="H26" s="59"/>
      <c r="I26" s="60"/>
      <c r="J26" s="64" t="s">
        <v>1619</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ENT_31_C4-35</v>
      </c>
      <c r="E6" s="273"/>
      <c r="F6" s="273"/>
      <c r="G6" s="273"/>
      <c r="H6" s="273"/>
      <c r="I6" s="273"/>
      <c r="J6" s="274"/>
    </row>
    <row r="7" spans="1:45">
      <c r="B7" s="262" t="s">
        <v>115</v>
      </c>
      <c r="C7" s="263"/>
      <c r="D7" s="264" t="s">
        <v>3690</v>
      </c>
      <c r="E7" s="265"/>
      <c r="F7" s="265"/>
      <c r="G7" s="265"/>
      <c r="H7" s="265"/>
      <c r="I7" s="265"/>
      <c r="J7" s="266"/>
    </row>
    <row r="8" spans="1:45">
      <c r="B8" s="262" t="s">
        <v>116</v>
      </c>
      <c r="C8" s="263"/>
      <c r="D8" s="264" t="str">
        <f>エンティティ一覧!AE2&amp;"_"&amp;D5&amp;"_merge_mml_lb_item"</f>
        <v>sny_202310_base_merge_mml_lb_item</v>
      </c>
      <c r="E8" s="265"/>
      <c r="F8" s="265"/>
      <c r="G8" s="265"/>
      <c r="H8" s="265"/>
      <c r="I8" s="265"/>
      <c r="J8" s="266"/>
    </row>
    <row r="9" spans="1:45" ht="19.5" customHeight="1" thickBot="1">
      <c r="B9" s="267" t="s">
        <v>117</v>
      </c>
      <c r="C9" s="268"/>
      <c r="D9" s="269"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milscm_2023_009.sny_202310_base_merge_mml_lb_item;</v>
      </c>
      <c r="O10" s="76"/>
      <c r="P10" s="76"/>
      <c r="Q10" s="76"/>
      <c r="R10" s="76"/>
      <c r="S10" s="76"/>
      <c r="T10" s="76"/>
      <c r="AJ10" s="76" t="str">
        <f>"ALTER TABLE ONLY "&amp;エンティティ一覧!$O$2&amp;"."&amp;D$8</f>
        <v>ALTER TABLE ONLY milscm_2023_009.sny_202310_base_merge_mml_lb_item</v>
      </c>
      <c r="AS10" s="76" t="str">
        <f>"ALTER TABLE "&amp;エンティティ一覧!$O$2&amp;"."&amp;D$8&amp;" OWNER TO pgmisgrp1;"</f>
        <v>ALTER TABLE milscm_2023_009.sny_202310_base_merge_mml_lb_item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milscm_2023_009.sny_202310_base_merge_mml_lb_item</v>
      </c>
      <c r="O11" s="76"/>
      <c r="P11" s="76"/>
      <c r="Q11" s="76"/>
      <c r="R11" s="76"/>
      <c r="S11" s="76"/>
      <c r="T11" s="76"/>
      <c r="AJ11" s="76" t="str">
        <f>"ADD CONSTRAINT "&amp;D$8&amp;"_pkey PRIMARY KEY"</f>
        <v>ADD CONSTRAINT sny_202310_base_merge_mml_lb_item_pkey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1282</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milscm_2023_009.sny_202310_base_merge_mml_lb_item.facility_id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milscm_2023_009.sny_202310_base_merge_mml_lb_item.data_type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milscm_2023_009.sny_202310_base_merge_mml_lb_item.master_id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1544</v>
      </c>
      <c r="D20" s="13" t="s">
        <v>1545</v>
      </c>
      <c r="E20" s="7" t="s">
        <v>127</v>
      </c>
      <c r="F20" s="7" t="s">
        <v>204</v>
      </c>
      <c r="G20" s="7" t="str">
        <f t="shared" si="3"/>
        <v>integer</v>
      </c>
      <c r="H20" s="58"/>
      <c r="I20" s="23" t="s">
        <v>127</v>
      </c>
      <c r="J20" s="24" t="s">
        <v>1582</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1602</v>
      </c>
      <c r="D21" s="13" t="s">
        <v>1603</v>
      </c>
      <c r="E21" s="7" t="s">
        <v>127</v>
      </c>
      <c r="F21" s="7" t="s">
        <v>204</v>
      </c>
      <c r="G21" s="7" t="str">
        <f t="shared" si="3"/>
        <v>integer</v>
      </c>
      <c r="H21" s="58"/>
      <c r="I21" s="23" t="s">
        <v>127</v>
      </c>
      <c r="J21" s="24" t="s">
        <v>1658</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1621</v>
      </c>
      <c r="D22" s="13" t="s">
        <v>1622</v>
      </c>
      <c r="E22" s="7" t="s">
        <v>127</v>
      </c>
      <c r="F22" s="7" t="s">
        <v>204</v>
      </c>
      <c r="G22" s="7" t="str">
        <f t="shared" si="3"/>
        <v>integer</v>
      </c>
      <c r="H22" s="58"/>
      <c r="I22" s="23" t="s">
        <v>127</v>
      </c>
      <c r="J22" s="24" t="s">
        <v>1659</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1623</v>
      </c>
      <c r="D23" s="13" t="s">
        <v>1624</v>
      </c>
      <c r="E23" s="7"/>
      <c r="F23" s="7" t="s">
        <v>865</v>
      </c>
      <c r="G23" s="7" t="str">
        <f t="shared" si="3"/>
        <v>text</v>
      </c>
      <c r="H23" s="58"/>
      <c r="I23" s="23"/>
      <c r="J23" s="24" t="s">
        <v>1660</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1625</v>
      </c>
      <c r="D24" s="13" t="s">
        <v>1626</v>
      </c>
      <c r="E24" s="7"/>
      <c r="F24" s="7" t="s">
        <v>865</v>
      </c>
      <c r="G24" s="7" t="str">
        <f t="shared" si="3"/>
        <v>text</v>
      </c>
      <c r="H24" s="58"/>
      <c r="I24" s="23"/>
      <c r="J24" s="24" t="s">
        <v>1661</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1627</v>
      </c>
      <c r="D25" s="13" t="s">
        <v>1628</v>
      </c>
      <c r="E25" s="7"/>
      <c r="F25" s="7" t="s">
        <v>865</v>
      </c>
      <c r="G25" s="7" t="str">
        <f t="shared" si="3"/>
        <v>text</v>
      </c>
      <c r="H25" s="58"/>
      <c r="I25" s="23"/>
      <c r="J25" s="24" t="s">
        <v>1662</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1629</v>
      </c>
      <c r="D26" s="13" t="s">
        <v>1630</v>
      </c>
      <c r="E26" s="7"/>
      <c r="F26" s="7" t="s">
        <v>865</v>
      </c>
      <c r="G26" s="7" t="str">
        <f t="shared" si="3"/>
        <v>text</v>
      </c>
      <c r="H26" s="58"/>
      <c r="I26" s="23"/>
      <c r="J26" s="24" t="s">
        <v>1663</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1631</v>
      </c>
      <c r="D27" s="13" t="s">
        <v>1632</v>
      </c>
      <c r="E27" s="7"/>
      <c r="F27" s="7" t="s">
        <v>865</v>
      </c>
      <c r="G27" s="7" t="str">
        <f t="shared" si="3"/>
        <v>text</v>
      </c>
      <c r="H27" s="58"/>
      <c r="I27" s="23"/>
      <c r="J27" s="24" t="s">
        <v>1664</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1633</v>
      </c>
      <c r="D28" s="13" t="s">
        <v>1634</v>
      </c>
      <c r="E28" s="7"/>
      <c r="F28" s="7" t="s">
        <v>865</v>
      </c>
      <c r="G28" s="7" t="str">
        <f t="shared" si="3"/>
        <v>text</v>
      </c>
      <c r="H28" s="58"/>
      <c r="I28" s="23"/>
      <c r="J28" s="24" t="s">
        <v>1665</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1635</v>
      </c>
      <c r="D29" s="13" t="s">
        <v>1636</v>
      </c>
      <c r="E29" s="7"/>
      <c r="F29" s="7" t="s">
        <v>865</v>
      </c>
      <c r="G29" s="7" t="str">
        <f t="shared" si="3"/>
        <v>text</v>
      </c>
      <c r="H29" s="58"/>
      <c r="I29" s="23"/>
      <c r="J29" s="24" t="s">
        <v>1666</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1637</v>
      </c>
      <c r="D30" s="13" t="s">
        <v>1638</v>
      </c>
      <c r="E30" s="7"/>
      <c r="F30" s="7" t="s">
        <v>865</v>
      </c>
      <c r="G30" s="7" t="str">
        <f t="shared" si="3"/>
        <v>text</v>
      </c>
      <c r="H30" s="58"/>
      <c r="I30" s="23"/>
      <c r="J30" s="24" t="s">
        <v>1667</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1639</v>
      </c>
      <c r="D31" s="13" t="s">
        <v>1640</v>
      </c>
      <c r="E31" s="7"/>
      <c r="F31" s="7" t="s">
        <v>865</v>
      </c>
      <c r="G31" s="7" t="str">
        <f t="shared" si="3"/>
        <v>text</v>
      </c>
      <c r="H31" s="58"/>
      <c r="I31" s="23"/>
      <c r="J31" s="24" t="s">
        <v>1668</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1641</v>
      </c>
      <c r="D32" s="13" t="s">
        <v>1642</v>
      </c>
      <c r="E32" s="7"/>
      <c r="F32" s="7" t="s">
        <v>865</v>
      </c>
      <c r="G32" s="7" t="str">
        <f t="shared" si="3"/>
        <v>text</v>
      </c>
      <c r="H32" s="58"/>
      <c r="I32" s="23"/>
      <c r="J32" s="24" t="s">
        <v>1669</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1643</v>
      </c>
      <c r="D33" s="13" t="s">
        <v>1644</v>
      </c>
      <c r="E33" s="7"/>
      <c r="F33" s="7" t="s">
        <v>865</v>
      </c>
      <c r="G33" s="7" t="str">
        <f t="shared" si="3"/>
        <v>text</v>
      </c>
      <c r="H33" s="58"/>
      <c r="I33" s="23"/>
      <c r="J33" s="24" t="s">
        <v>1670</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milscm_2023_009.sny_202310_base_merge_mml_lb_item.up_value IS '上限値';</v>
      </c>
    </row>
    <row r="34" spans="1:52" s="25" customFormat="1">
      <c r="A34" s="4"/>
      <c r="B34" s="21">
        <f t="shared" si="2"/>
        <v>22</v>
      </c>
      <c r="C34" s="13" t="s">
        <v>1645</v>
      </c>
      <c r="D34" s="13" t="s">
        <v>1646</v>
      </c>
      <c r="E34" s="7"/>
      <c r="F34" s="7" t="s">
        <v>865</v>
      </c>
      <c r="G34" s="7" t="str">
        <f t="shared" si="3"/>
        <v>text</v>
      </c>
      <c r="H34" s="58"/>
      <c r="I34" s="23"/>
      <c r="J34" s="24" t="s">
        <v>1671</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1647</v>
      </c>
      <c r="D35" s="13" t="s">
        <v>1648</v>
      </c>
      <c r="E35" s="7"/>
      <c r="F35" s="7" t="s">
        <v>865</v>
      </c>
      <c r="G35" s="7" t="str">
        <f t="shared" si="3"/>
        <v>text</v>
      </c>
      <c r="H35" s="58"/>
      <c r="I35" s="23"/>
      <c r="J35" s="24" t="s">
        <v>1672</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milscm_2023_009.sny_202310_base_merge_mml_lb_item.normal_value IS '文字列で示す基準値';</v>
      </c>
    </row>
    <row r="36" spans="1:52" s="25" customFormat="1" ht="56.25">
      <c r="A36" s="4"/>
      <c r="B36" s="21">
        <f t="shared" si="2"/>
        <v>24</v>
      </c>
      <c r="C36" s="13" t="s">
        <v>1649</v>
      </c>
      <c r="D36" s="13" t="s">
        <v>1650</v>
      </c>
      <c r="E36" s="7"/>
      <c r="F36" s="7" t="s">
        <v>865</v>
      </c>
      <c r="G36" s="7" t="str">
        <f t="shared" si="3"/>
        <v>text</v>
      </c>
      <c r="H36" s="58"/>
      <c r="I36" s="23"/>
      <c r="J36" s="24" t="s">
        <v>1673</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1651</v>
      </c>
      <c r="D37" s="13" t="s">
        <v>276</v>
      </c>
      <c r="E37" s="7"/>
      <c r="F37" s="7" t="s">
        <v>865</v>
      </c>
      <c r="G37" s="7" t="str">
        <f t="shared" si="3"/>
        <v>text</v>
      </c>
      <c r="H37" s="58"/>
      <c r="I37" s="23"/>
      <c r="J37" s="24" t="s">
        <v>1674</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milscm_2023_009.sny_202310_base_merge_mml_lb_item.unit IS '単位';</v>
      </c>
    </row>
    <row r="38" spans="1:52" s="25" customFormat="1" ht="37.5">
      <c r="A38" s="4"/>
      <c r="B38" s="21">
        <f t="shared" si="2"/>
        <v>26</v>
      </c>
      <c r="C38" s="13" t="s">
        <v>1652</v>
      </c>
      <c r="D38" s="13" t="s">
        <v>1653</v>
      </c>
      <c r="E38" s="7"/>
      <c r="F38" s="7" t="s">
        <v>865</v>
      </c>
      <c r="G38" s="7" t="str">
        <f t="shared" si="3"/>
        <v>text</v>
      </c>
      <c r="H38" s="58"/>
      <c r="I38" s="23"/>
      <c r="J38" s="24" t="s">
        <v>1675</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milscm_2023_009.sny_202310_base_merge_mml_lb_item.unit_code IS '単位コード';</v>
      </c>
    </row>
    <row r="39" spans="1:52" s="25" customFormat="1" ht="37.5">
      <c r="A39" s="4"/>
      <c r="B39" s="21">
        <f t="shared" si="2"/>
        <v>27</v>
      </c>
      <c r="C39" s="13" t="s">
        <v>1654</v>
      </c>
      <c r="D39" s="13" t="s">
        <v>1655</v>
      </c>
      <c r="E39" s="7"/>
      <c r="F39" s="7" t="s">
        <v>865</v>
      </c>
      <c r="G39" s="7" t="str">
        <f t="shared" si="3"/>
        <v>text</v>
      </c>
      <c r="H39" s="58"/>
      <c r="I39" s="23"/>
      <c r="J39" s="24" t="s">
        <v>1676</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milscm_2023_009.sny_202310_base_merge_mml_lb_item.unit_code_id IS '単位コードID';</v>
      </c>
    </row>
    <row r="40" spans="1:52" s="25" customFormat="1" ht="19.5" thickBot="1">
      <c r="A40" s="4"/>
      <c r="B40" s="27">
        <f>ROW()-12</f>
        <v>28</v>
      </c>
      <c r="C40" s="57" t="s">
        <v>1656</v>
      </c>
      <c r="D40" s="57" t="s">
        <v>1657</v>
      </c>
      <c r="E40" s="56"/>
      <c r="F40" s="56" t="s">
        <v>865</v>
      </c>
      <c r="G40" s="56" t="str">
        <f t="shared" si="3"/>
        <v>text</v>
      </c>
      <c r="H40" s="59"/>
      <c r="I40" s="60"/>
      <c r="J40" s="64" t="s">
        <v>1677</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ENT_31_C4-37</v>
      </c>
      <c r="E6" s="273"/>
      <c r="F6" s="273"/>
      <c r="G6" s="273"/>
      <c r="H6" s="273"/>
      <c r="I6" s="273"/>
      <c r="J6" s="274"/>
    </row>
    <row r="7" spans="1:45">
      <c r="B7" s="262" t="s">
        <v>115</v>
      </c>
      <c r="C7" s="263"/>
      <c r="D7" s="264" t="s">
        <v>4109</v>
      </c>
      <c r="E7" s="265"/>
      <c r="F7" s="265"/>
      <c r="G7" s="265"/>
      <c r="H7" s="265"/>
      <c r="I7" s="265"/>
      <c r="J7" s="266"/>
    </row>
    <row r="8" spans="1:45">
      <c r="B8" s="262" t="s">
        <v>116</v>
      </c>
      <c r="C8" s="263"/>
      <c r="D8" s="264" t="str">
        <f>エンティティ一覧!AE2&amp;"_"&amp;D5&amp;"_merge_mml_vs_vitalsign"</f>
        <v>sny_202310_base_merge_mml_vs_vitalsign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ベース_バイタルサインモジュール_バイタルサインテーブルから組入れ条件の第一条件で絞り込んだ結果を格納するテーブル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milscm_2023_009.sny_202310_base_merge_mml_vs_vitalsign;</v>
      </c>
      <c r="O10" s="76"/>
      <c r="P10" s="76"/>
      <c r="Q10" s="76"/>
      <c r="R10" s="76"/>
      <c r="S10" s="76"/>
      <c r="T10" s="76"/>
      <c r="AJ10" s="76" t="str">
        <f>"ALTER TABLE ONLY "&amp;エンティティ一覧!$O$2&amp;"."&amp;D$8</f>
        <v>ALTER TABLE ONLY milscm_2023_009.sny_202310_base_merge_mml_vs_vitalsign</v>
      </c>
      <c r="AS10" s="76" t="str">
        <f>"ALTER TABLE "&amp;エンティティ一覧!$O$2&amp;"."&amp;D$8&amp;" OWNER TO pgmisgrp1;"</f>
        <v>ALTER TABLE milscm_2023_009.sny_202310_base_merge_mml_vs_vitalsign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milscm_2023_009.sny_202310_base_merge_mml_vs_vitalsign</v>
      </c>
      <c r="O11" s="76"/>
      <c r="P11" s="76"/>
      <c r="Q11" s="76"/>
      <c r="R11" s="76"/>
      <c r="S11" s="76"/>
      <c r="T11" s="76"/>
      <c r="AJ11" s="76" t="str">
        <f>"ADD CONSTRAINT "&amp;D$8&amp;"_pkey PRIMARY KEY"</f>
        <v>ADD CONSTRAINT sny_202310_base_merge_mml_vs_vitalsign_pkey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milscm_2023_009.sny_202310_base_merge_mml_vs_vitalsign IS 'ベース_バイタルサインモジュール_バイタルサイン';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1282</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milscm_2023_009.sny_202310_base_merge_mml_vs_vitalsign.mil_karute_id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milscm_2023_009.sny_202310_base_merge_mml_vs_vitalsign.facility_id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milscm_2023_009.sny_202310_base_merge_mml_vs_vitalsign.shinryo_ymd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milscm_2023_009.sny_202310_base_merge_mml_vs_vitalsign.data_type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milscm_2023_009.sny_202310_base_merge_mml_vs_vitalsign.master_id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milscm_2023_009.sny_202310_base_merge_mml_vs_vitalsign.uid IS '文書ユニークID';</v>
      </c>
    </row>
    <row r="20" spans="1:45" s="25" customFormat="1">
      <c r="A20" s="4"/>
      <c r="B20" s="21">
        <f t="shared" si="2"/>
        <v>8</v>
      </c>
      <c r="C20" s="13" t="s">
        <v>1679</v>
      </c>
      <c r="D20" s="13" t="s">
        <v>1680</v>
      </c>
      <c r="E20" s="7" t="s">
        <v>127</v>
      </c>
      <c r="F20" s="7" t="s">
        <v>204</v>
      </c>
      <c r="G20" s="7" t="str">
        <f t="shared" si="3"/>
        <v>integer</v>
      </c>
      <c r="H20" s="58"/>
      <c r="I20" s="23" t="s">
        <v>127</v>
      </c>
      <c r="J20" s="24" t="s">
        <v>1702</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milscm_2023_009.sny_202310_base_merge_mml_vs_vitalsign.vital_seq IS 'バイタルSEQ';</v>
      </c>
    </row>
    <row r="21" spans="1:45" s="25" customFormat="1">
      <c r="A21" s="4"/>
      <c r="B21" s="21">
        <f t="shared" si="2"/>
        <v>9</v>
      </c>
      <c r="C21" s="13" t="s">
        <v>1681</v>
      </c>
      <c r="D21" s="13" t="s">
        <v>1682</v>
      </c>
      <c r="E21" s="7"/>
      <c r="F21" s="7" t="s">
        <v>865</v>
      </c>
      <c r="G21" s="7" t="str">
        <f t="shared" si="3"/>
        <v>text</v>
      </c>
      <c r="H21" s="58"/>
      <c r="I21" s="23"/>
      <c r="J21" s="24" t="s">
        <v>1703</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milscm_2023_009.sny_202310_base_merge_mml_vs_vitalsign.department_name IS '診療科名';</v>
      </c>
    </row>
    <row r="22" spans="1:45" s="25" customFormat="1" ht="37.5">
      <c r="A22" s="4"/>
      <c r="B22" s="21">
        <f t="shared" si="2"/>
        <v>10</v>
      </c>
      <c r="C22" s="13" t="s">
        <v>603</v>
      </c>
      <c r="D22" s="13" t="s">
        <v>1683</v>
      </c>
      <c r="E22" s="7"/>
      <c r="F22" s="7" t="s">
        <v>865</v>
      </c>
      <c r="G22" s="7" t="str">
        <f t="shared" si="3"/>
        <v>text</v>
      </c>
      <c r="H22" s="58"/>
      <c r="I22" s="23"/>
      <c r="J22" s="24" t="s">
        <v>1704</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milscm_2023_009.sny_202310_base_merge_mml_vs_vitalsign.department_code IS '診療科コード';</v>
      </c>
    </row>
    <row r="23" spans="1:45" s="25" customFormat="1">
      <c r="A23" s="4"/>
      <c r="B23" s="21">
        <f t="shared" si="2"/>
        <v>11</v>
      </c>
      <c r="C23" s="13" t="s">
        <v>1684</v>
      </c>
      <c r="D23" s="13" t="s">
        <v>1685</v>
      </c>
      <c r="E23" s="7"/>
      <c r="F23" s="7" t="s">
        <v>865</v>
      </c>
      <c r="G23" s="7" t="str">
        <f t="shared" si="3"/>
        <v>text</v>
      </c>
      <c r="H23" s="58"/>
      <c r="I23" s="23"/>
      <c r="J23" s="24" t="s">
        <v>1705</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milscm_2023_009.sny_202310_base_merge_mml_vs_vitalsign.ward IS '病棟';</v>
      </c>
    </row>
    <row r="24" spans="1:45" s="25" customFormat="1" ht="37.5">
      <c r="A24" s="4"/>
      <c r="B24" s="21">
        <f t="shared" si="2"/>
        <v>12</v>
      </c>
      <c r="C24" s="13" t="s">
        <v>238</v>
      </c>
      <c r="D24" s="13" t="s">
        <v>239</v>
      </c>
      <c r="E24" s="7"/>
      <c r="F24" s="7" t="s">
        <v>865</v>
      </c>
      <c r="G24" s="7" t="str">
        <f t="shared" si="3"/>
        <v>text</v>
      </c>
      <c r="H24" s="58"/>
      <c r="I24" s="23"/>
      <c r="J24" s="24" t="s">
        <v>1706</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milscm_2023_009.sny_202310_base_merge_mml_vs_vitalsign.ward_code IS '病棟コード';</v>
      </c>
    </row>
    <row r="25" spans="1:45" s="25" customFormat="1" ht="37.5">
      <c r="A25" s="4"/>
      <c r="B25" s="21">
        <f t="shared" si="2"/>
        <v>13</v>
      </c>
      <c r="C25" s="13" t="s">
        <v>1686</v>
      </c>
      <c r="D25" s="13" t="s">
        <v>1687</v>
      </c>
      <c r="E25" s="7"/>
      <c r="F25" s="7" t="s">
        <v>865</v>
      </c>
      <c r="G25" s="7" t="str">
        <f t="shared" si="3"/>
        <v>text</v>
      </c>
      <c r="H25" s="58"/>
      <c r="I25" s="23"/>
      <c r="J25" s="24" t="s">
        <v>1707</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milscm_2023_009.sny_202310_base_merge_mml_vs_vitalsign.ward_code_id IS '病棟コードID';</v>
      </c>
    </row>
    <row r="26" spans="1:45" s="25" customFormat="1" ht="37.5">
      <c r="A26" s="4"/>
      <c r="B26" s="21">
        <f t="shared" si="2"/>
        <v>14</v>
      </c>
      <c r="C26" s="13" t="s">
        <v>1688</v>
      </c>
      <c r="D26" s="13" t="s">
        <v>1689</v>
      </c>
      <c r="E26" s="7"/>
      <c r="F26" s="7" t="s">
        <v>865</v>
      </c>
      <c r="G26" s="7" t="str">
        <f t="shared" si="3"/>
        <v>text</v>
      </c>
      <c r="H26" s="58"/>
      <c r="I26" s="23"/>
      <c r="J26" s="24" t="s">
        <v>1708</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milscm_2023_009.sny_202310_base_merge_mml_vs_vitalsign.vital_sign_time IS 'バイタルサインの計測時間';</v>
      </c>
    </row>
    <row r="27" spans="1:45" s="25" customFormat="1">
      <c r="A27" s="4"/>
      <c r="B27" s="21">
        <f t="shared" si="2"/>
        <v>15</v>
      </c>
      <c r="C27" s="13" t="s">
        <v>1690</v>
      </c>
      <c r="D27" s="13" t="s">
        <v>1691</v>
      </c>
      <c r="E27" s="7"/>
      <c r="F27" s="7" t="s">
        <v>865</v>
      </c>
      <c r="G27" s="7" t="str">
        <f t="shared" si="3"/>
        <v>text</v>
      </c>
      <c r="H27" s="58"/>
      <c r="I27" s="23"/>
      <c r="J27" s="24" t="s">
        <v>1709</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milscm_2023_009.sny_202310_base_merge_mml_vs_vitalsign.keisoku_tejun IS '計測手順';</v>
      </c>
    </row>
    <row r="28" spans="1:45" s="25" customFormat="1">
      <c r="A28" s="4"/>
      <c r="B28" s="21">
        <f t="shared" si="2"/>
        <v>16</v>
      </c>
      <c r="C28" s="13" t="s">
        <v>1692</v>
      </c>
      <c r="D28" s="13" t="s">
        <v>1693</v>
      </c>
      <c r="E28" s="7"/>
      <c r="F28" s="7" t="s">
        <v>865</v>
      </c>
      <c r="G28" s="7" t="str">
        <f t="shared" si="3"/>
        <v>text</v>
      </c>
      <c r="H28" s="58"/>
      <c r="I28" s="23"/>
      <c r="J28" s="24" t="s">
        <v>1710</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milscm_2023_009.sny_202310_base_merge_mml_vs_vitalsign.keisoku_device IS '計測器具';</v>
      </c>
    </row>
    <row r="29" spans="1:45" s="25" customFormat="1">
      <c r="A29" s="4"/>
      <c r="B29" s="21">
        <f t="shared" si="2"/>
        <v>17</v>
      </c>
      <c r="C29" s="13" t="s">
        <v>1694</v>
      </c>
      <c r="D29" s="13" t="s">
        <v>1695</v>
      </c>
      <c r="E29" s="7"/>
      <c r="F29" s="7" t="s">
        <v>865</v>
      </c>
      <c r="G29" s="7" t="str">
        <f t="shared" si="3"/>
        <v>text</v>
      </c>
      <c r="H29" s="58"/>
      <c r="I29" s="23"/>
      <c r="J29" s="24" t="s">
        <v>1711</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milscm_2023_009.sny_202310_base_merge_mml_vs_vitalsign.keisoku_bui IS '計測部位';</v>
      </c>
    </row>
    <row r="30" spans="1:45" s="25" customFormat="1">
      <c r="A30" s="4"/>
      <c r="B30" s="21">
        <f t="shared" si="2"/>
        <v>18</v>
      </c>
      <c r="C30" s="13" t="s">
        <v>1696</v>
      </c>
      <c r="D30" s="13" t="s">
        <v>1697</v>
      </c>
      <c r="E30" s="7"/>
      <c r="F30" s="7" t="s">
        <v>865</v>
      </c>
      <c r="G30" s="7" t="str">
        <f t="shared" si="3"/>
        <v>text</v>
      </c>
      <c r="H30" s="58"/>
      <c r="I30" s="23"/>
      <c r="J30" s="24" t="s">
        <v>1712</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milscm_2023_009.sny_202310_base_merge_mml_vs_vitalsign.keisoku_position IS '計測時体位';</v>
      </c>
    </row>
    <row r="31" spans="1:45" s="25" customFormat="1" ht="31.5">
      <c r="A31" s="4"/>
      <c r="B31" s="21">
        <f t="shared" si="2"/>
        <v>19</v>
      </c>
      <c r="C31" s="13" t="s">
        <v>1698</v>
      </c>
      <c r="D31" s="13" t="s">
        <v>1699</v>
      </c>
      <c r="E31" s="7"/>
      <c r="F31" s="7" t="s">
        <v>865</v>
      </c>
      <c r="G31" s="7" t="str">
        <f t="shared" si="3"/>
        <v>text</v>
      </c>
      <c r="H31" s="58"/>
      <c r="I31" s="23"/>
      <c r="J31" s="24" t="s">
        <v>1713</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milscm_2023_009.sny_202310_base_merge_mml_vs_vitalsign.keisoku_method_comment IS '計測方法コメント';</v>
      </c>
    </row>
    <row r="32" spans="1:45" s="25" customFormat="1" ht="19.5" thickBot="1">
      <c r="A32" s="4"/>
      <c r="B32" s="27">
        <f>ROW()-12</f>
        <v>20</v>
      </c>
      <c r="C32" s="57" t="s">
        <v>1700</v>
      </c>
      <c r="D32" s="57" t="s">
        <v>1701</v>
      </c>
      <c r="E32" s="56"/>
      <c r="F32" s="56" t="s">
        <v>865</v>
      </c>
      <c r="G32" s="56" t="str">
        <f t="shared" si="3"/>
        <v>text</v>
      </c>
      <c r="H32" s="59"/>
      <c r="I32" s="60"/>
      <c r="J32" s="64" t="s">
        <v>1714</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ENT_31_C4-38</v>
      </c>
      <c r="E6" s="273"/>
      <c r="F6" s="273"/>
      <c r="G6" s="273"/>
      <c r="H6" s="273"/>
      <c r="I6" s="273"/>
      <c r="J6" s="274"/>
    </row>
    <row r="7" spans="1:45">
      <c r="B7" s="262" t="s">
        <v>115</v>
      </c>
      <c r="C7" s="263"/>
      <c r="D7" s="264" t="s">
        <v>4108</v>
      </c>
      <c r="E7" s="265"/>
      <c r="F7" s="265"/>
      <c r="G7" s="265"/>
      <c r="H7" s="265"/>
      <c r="I7" s="265"/>
      <c r="J7" s="266"/>
    </row>
    <row r="8" spans="1:45">
      <c r="B8" s="262" t="s">
        <v>116</v>
      </c>
      <c r="C8" s="263"/>
      <c r="D8" s="264" t="str">
        <f>エンティティ一覧!AE2&amp;"_"&amp;D5&amp;"_merge_mml_vs_item"</f>
        <v>sny_202310_base_merge_mml_vs_item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ベース_バイタルサインモジュール_記録項目テーブルから組入れ条件の第一条件で絞り込んだ結果を格納するテーブル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milscm_2023_009.sny_202310_base_merge_mml_vs_item;</v>
      </c>
      <c r="O10" s="76"/>
      <c r="P10" s="76"/>
      <c r="Q10" s="76"/>
      <c r="R10" s="76"/>
      <c r="S10" s="76"/>
      <c r="T10" s="76"/>
      <c r="AJ10" s="76" t="str">
        <f>"ALTER TABLE ONLY "&amp;エンティティ一覧!$O$2&amp;"."&amp;D$8</f>
        <v>ALTER TABLE ONLY milscm_2023_009.sny_202310_base_merge_mml_vs_item</v>
      </c>
      <c r="AS10" s="76" t="str">
        <f>"ALTER TABLE "&amp;エンティティ一覧!$O$2&amp;"."&amp;D$8&amp;" OWNER TO pgmisgrp1;"</f>
        <v>ALTER TABLE milscm_2023_009.sny_202310_base_merge_mml_vs_item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milscm_2023_009.sny_202310_base_merge_mml_vs_item</v>
      </c>
      <c r="O11" s="76"/>
      <c r="P11" s="76"/>
      <c r="Q11" s="76"/>
      <c r="R11" s="76"/>
      <c r="S11" s="76"/>
      <c r="T11" s="76"/>
      <c r="AJ11" s="76" t="str">
        <f>"ADD CONSTRAINT "&amp;D$8&amp;"_pkey PRIMARY KEY"</f>
        <v>ADD CONSTRAINT sny_202310_base_merge_mml_vs_item_pkey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milscm_2023_009.sny_202310_base_merge_mml_vs_item IS 'ベース_バイタルサインモジュール_記録項目';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1282</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milscm_2023_009.sny_202310_base_merge_mml_vs_item.mil_karute_id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milscm_2023_009.sny_202310_base_merge_mml_vs_item.facility_id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milscm_2023_009.sny_202310_base_merge_mml_vs_item.shinryo_ymd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milscm_2023_009.sny_202310_base_merge_mml_vs_item.data_type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milscm_2023_009.sny_202310_base_merge_mml_vs_item.master_id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milscm_2023_009.sny_202310_base_merge_mml_vs_item.uid IS '文書ユニークID';</v>
      </c>
    </row>
    <row r="20" spans="1:52" s="25" customFormat="1">
      <c r="A20" s="4"/>
      <c r="B20" s="21">
        <f t="shared" si="2"/>
        <v>8</v>
      </c>
      <c r="C20" s="13" t="s">
        <v>1679</v>
      </c>
      <c r="D20" s="13" t="s">
        <v>1680</v>
      </c>
      <c r="E20" s="7" t="s">
        <v>127</v>
      </c>
      <c r="F20" s="7" t="s">
        <v>204</v>
      </c>
      <c r="G20" s="7" t="str">
        <f t="shared" si="3"/>
        <v>integer</v>
      </c>
      <c r="H20" s="58"/>
      <c r="I20" s="23" t="s">
        <v>127</v>
      </c>
      <c r="J20" s="24" t="s">
        <v>1702</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milscm_2023_009.sny_202310_base_merge_mml_vs_item.vital_seq IS 'バイタルSEQ';</v>
      </c>
    </row>
    <row r="21" spans="1:52" s="25" customFormat="1">
      <c r="A21" s="4"/>
      <c r="B21" s="21">
        <f t="shared" si="2"/>
        <v>9</v>
      </c>
      <c r="C21" s="13" t="s">
        <v>1716</v>
      </c>
      <c r="D21" s="13" t="s">
        <v>1717</v>
      </c>
      <c r="E21" s="7" t="s">
        <v>127</v>
      </c>
      <c r="F21" s="7" t="s">
        <v>204</v>
      </c>
      <c r="G21" s="7" t="str">
        <f t="shared" si="3"/>
        <v>integer</v>
      </c>
      <c r="H21" s="58"/>
      <c r="I21" s="23" t="s">
        <v>127</v>
      </c>
      <c r="J21" s="24" t="s">
        <v>1724</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milscm_2023_009.sny_202310_base_merge_mml_vs_item.item_seq IS '項目SEQ';</v>
      </c>
    </row>
    <row r="22" spans="1:52" s="25" customFormat="1" ht="37.5">
      <c r="A22" s="4"/>
      <c r="B22" s="21">
        <f t="shared" si="2"/>
        <v>10</v>
      </c>
      <c r="C22" s="13" t="s">
        <v>1623</v>
      </c>
      <c r="D22" s="13" t="s">
        <v>1624</v>
      </c>
      <c r="E22" s="7"/>
      <c r="F22" s="7" t="s">
        <v>865</v>
      </c>
      <c r="G22" s="7" t="str">
        <f t="shared" si="3"/>
        <v>text</v>
      </c>
      <c r="H22" s="58"/>
      <c r="I22" s="23"/>
      <c r="J22" s="24" t="s">
        <v>1725</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milscm_2023_009.sny_202310_base_merge_mml_vs_item.item_name IS '項目名';</v>
      </c>
    </row>
    <row r="23" spans="1:52" s="25" customFormat="1" ht="31.5">
      <c r="A23" s="4"/>
      <c r="B23" s="21">
        <f t="shared" si="2"/>
        <v>11</v>
      </c>
      <c r="C23" s="13" t="s">
        <v>1718</v>
      </c>
      <c r="D23" s="13" t="s">
        <v>1719</v>
      </c>
      <c r="E23" s="7"/>
      <c r="F23" s="7" t="s">
        <v>865</v>
      </c>
      <c r="G23" s="7" t="str">
        <f t="shared" si="3"/>
        <v>text</v>
      </c>
      <c r="H23" s="58"/>
      <c r="I23" s="23"/>
      <c r="J23" s="24" t="s">
        <v>1726</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milscm_2023_009.sny_202310_base_merge_mml_vs_item.vital_sign_value IS '文字列で表記されるバイタルサインの値';</v>
      </c>
    </row>
    <row r="24" spans="1:52" s="25" customFormat="1">
      <c r="A24" s="4"/>
      <c r="B24" s="21">
        <f t="shared" si="2"/>
        <v>12</v>
      </c>
      <c r="C24" s="13" t="s">
        <v>1720</v>
      </c>
      <c r="D24" s="13" t="s">
        <v>1721</v>
      </c>
      <c r="E24" s="7"/>
      <c r="F24" s="7" t="s">
        <v>865</v>
      </c>
      <c r="G24" s="7" t="str">
        <f t="shared" si="3"/>
        <v>text</v>
      </c>
      <c r="H24" s="58"/>
      <c r="I24" s="23"/>
      <c r="J24" s="24" t="s">
        <v>1727</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milscm_2023_009.sny_202310_base_merge_mml_vs_item.vital_sign_num_value IS '数値で表記されるバイタルサインの値';</v>
      </c>
    </row>
    <row r="25" spans="1:52" s="25" customFormat="1" ht="38.25" thickBot="1">
      <c r="A25" s="4"/>
      <c r="B25" s="27">
        <f>ROW()-12</f>
        <v>13</v>
      </c>
      <c r="C25" s="57" t="s">
        <v>1722</v>
      </c>
      <c r="D25" s="57" t="s">
        <v>1723</v>
      </c>
      <c r="E25" s="56"/>
      <c r="F25" s="56" t="s">
        <v>865</v>
      </c>
      <c r="G25" s="56" t="str">
        <f t="shared" si="3"/>
        <v>text</v>
      </c>
      <c r="H25" s="59"/>
      <c r="I25" s="60"/>
      <c r="J25" s="64" t="s">
        <v>1728</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ENT_31_C4-40</v>
      </c>
      <c r="E6" s="273"/>
      <c r="F6" s="273"/>
      <c r="G6" s="273"/>
      <c r="H6" s="273"/>
      <c r="I6" s="273"/>
      <c r="J6" s="274"/>
    </row>
    <row r="7" spans="1:45">
      <c r="B7" s="262" t="s">
        <v>115</v>
      </c>
      <c r="C7" s="263"/>
      <c r="D7" s="264" t="s">
        <v>4107</v>
      </c>
      <c r="E7" s="265"/>
      <c r="F7" s="265"/>
      <c r="G7" s="265"/>
      <c r="H7" s="265"/>
      <c r="I7" s="265"/>
      <c r="J7" s="266"/>
    </row>
    <row r="8" spans="1:45">
      <c r="B8" s="262" t="s">
        <v>116</v>
      </c>
      <c r="C8" s="263"/>
      <c r="D8" s="264" t="str">
        <f>エンティティ一覧!AE2&amp;"_"&amp;D5&amp;"_merge_mml_fs_vitalsign"</f>
        <v>sny_202310_base_merge_mml_fs_vitalsign</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ベース_体温表モジュール_バイタルサインテーブルから組入れ条件の第一条件で絞り込んだ結果を格納するテーブル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milscm_2023_009.sny_202310_base_merge_mml_fs_vitalsign;</v>
      </c>
      <c r="O10" s="76"/>
      <c r="P10" s="76"/>
      <c r="Q10" s="76"/>
      <c r="R10" s="76"/>
      <c r="S10" s="76"/>
      <c r="T10" s="76"/>
      <c r="AJ10" s="76" t="str">
        <f>"ALTER TABLE ONLY "&amp;エンティティ一覧!$O$2&amp;"."&amp;D$8</f>
        <v>ALTER TABLE ONLY milscm_2023_009.sny_202310_base_merge_mml_fs_vitalsign</v>
      </c>
      <c r="AS10" s="76" t="str">
        <f>"ALTER TABLE "&amp;エンティティ一覧!$O$2&amp;"."&amp;D$8&amp;" OWNER TO pgmisgrp1;"</f>
        <v>ALTER TABLE milscm_2023_009.sny_202310_base_merge_mml_fs_vitalsign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milscm_2023_009.sny_202310_base_merge_mml_fs_vitalsign</v>
      </c>
      <c r="O11" s="76"/>
      <c r="P11" s="76"/>
      <c r="Q11" s="76"/>
      <c r="R11" s="76"/>
      <c r="S11" s="76"/>
      <c r="T11" s="76"/>
      <c r="AJ11" s="76" t="str">
        <f>"ADD CONSTRAINT "&amp;D$8&amp;"_pkey PRIMARY KEY"</f>
        <v>ADD CONSTRAINT sny_202310_base_merge_mml_fs_vitalsign_pkey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milscm_2023_009.sny_202310_base_merge_mml_fs_vitalsign IS 'ベース_体温表モジュール_バイタルサイン';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1282</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milscm_2023_009.sny_202310_base_merge_mml_fs_vitalsign.mil_karute_id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milscm_2023_009.sny_202310_base_merge_mml_fs_vitalsign.facility_id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milscm_2023_009.sny_202310_base_merge_mml_fs_vitalsign.shinryo_ymd IS '診療年月日';</v>
      </c>
    </row>
    <row r="17" spans="1:45"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milscm_2023_009.sny_202310_base_merge_mml_fs_vitalsign.data_type IS 'データ種別';</v>
      </c>
    </row>
    <row r="18" spans="1:45"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milscm_2023_009.sny_202310_base_merge_mml_fs_vitalsign.master_id IS '患者ID';</v>
      </c>
    </row>
    <row r="19" spans="1:45"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milscm_2023_009.sny_202310_base_merge_mml_fs_vitalsign.uid IS '文書ユニークID';</v>
      </c>
    </row>
    <row r="20" spans="1:45" s="25" customFormat="1">
      <c r="A20" s="4"/>
      <c r="B20" s="21">
        <f t="shared" si="2"/>
        <v>8</v>
      </c>
      <c r="C20" s="13" t="s">
        <v>1730</v>
      </c>
      <c r="D20" s="13" t="s">
        <v>1731</v>
      </c>
      <c r="E20" s="7" t="s">
        <v>127</v>
      </c>
      <c r="F20" s="7" t="s">
        <v>204</v>
      </c>
      <c r="G20" s="7" t="str">
        <f t="shared" si="3"/>
        <v>integer</v>
      </c>
      <c r="H20" s="58"/>
      <c r="I20" s="23" t="s">
        <v>127</v>
      </c>
      <c r="J20" s="24" t="s">
        <v>1732</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milscm_2023_009.sny_202310_base_merge_mml_fs_vitalsign.taionhyo_seq IS '体温表SEQ';</v>
      </c>
    </row>
    <row r="21" spans="1:45" s="25" customFormat="1">
      <c r="A21" s="4"/>
      <c r="B21" s="21">
        <f t="shared" si="2"/>
        <v>9</v>
      </c>
      <c r="C21" s="13" t="s">
        <v>1679</v>
      </c>
      <c r="D21" s="13" t="s">
        <v>1680</v>
      </c>
      <c r="E21" s="7" t="s">
        <v>127</v>
      </c>
      <c r="F21" s="7" t="s">
        <v>204</v>
      </c>
      <c r="G21" s="7" t="str">
        <f t="shared" si="3"/>
        <v>integer</v>
      </c>
      <c r="H21" s="58"/>
      <c r="I21" s="23" t="s">
        <v>127</v>
      </c>
      <c r="J21" s="24" t="s">
        <v>1702</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milscm_2023_009.sny_202310_base_merge_mml_fs_vitalsign.vital_seq IS 'バイタルSEQ';</v>
      </c>
    </row>
    <row r="22" spans="1:45" s="25" customFormat="1">
      <c r="A22" s="4"/>
      <c r="B22" s="21">
        <f t="shared" si="2"/>
        <v>10</v>
      </c>
      <c r="C22" s="13" t="s">
        <v>1681</v>
      </c>
      <c r="D22" s="13" t="s">
        <v>1682</v>
      </c>
      <c r="E22" s="7"/>
      <c r="F22" s="7" t="s">
        <v>865</v>
      </c>
      <c r="G22" s="7" t="str">
        <f t="shared" si="3"/>
        <v>text</v>
      </c>
      <c r="H22" s="58"/>
      <c r="I22" s="23"/>
      <c r="J22" s="24" t="s">
        <v>1703</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milscm_2023_009.sny_202310_base_merge_mml_fs_vitalsign.department_name IS '診療科名';</v>
      </c>
    </row>
    <row r="23" spans="1:45" s="25" customFormat="1" ht="37.5">
      <c r="A23" s="4"/>
      <c r="B23" s="21">
        <f t="shared" si="2"/>
        <v>11</v>
      </c>
      <c r="C23" s="13" t="s">
        <v>603</v>
      </c>
      <c r="D23" s="13" t="s">
        <v>1683</v>
      </c>
      <c r="E23" s="7"/>
      <c r="F23" s="7" t="s">
        <v>865</v>
      </c>
      <c r="G23" s="7" t="str">
        <f t="shared" si="3"/>
        <v>text</v>
      </c>
      <c r="H23" s="58"/>
      <c r="I23" s="23"/>
      <c r="J23" s="24" t="s">
        <v>1704</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milscm_2023_009.sny_202310_base_merge_mml_fs_vitalsign.department_code IS '診療科コード';</v>
      </c>
    </row>
    <row r="24" spans="1:45" s="25" customFormat="1">
      <c r="A24" s="4"/>
      <c r="B24" s="21">
        <f t="shared" si="2"/>
        <v>12</v>
      </c>
      <c r="C24" s="13" t="s">
        <v>1684</v>
      </c>
      <c r="D24" s="13" t="s">
        <v>1685</v>
      </c>
      <c r="E24" s="7"/>
      <c r="F24" s="7" t="s">
        <v>865</v>
      </c>
      <c r="G24" s="7" t="str">
        <f t="shared" si="3"/>
        <v>text</v>
      </c>
      <c r="H24" s="58"/>
      <c r="I24" s="23"/>
      <c r="J24" s="24" t="s">
        <v>1705</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milscm_2023_009.sny_202310_base_merge_mml_fs_vitalsign.ward IS '病棟';</v>
      </c>
    </row>
    <row r="25" spans="1:45" s="25" customFormat="1" ht="37.5">
      <c r="A25" s="4"/>
      <c r="B25" s="21">
        <f t="shared" si="2"/>
        <v>13</v>
      </c>
      <c r="C25" s="13" t="s">
        <v>238</v>
      </c>
      <c r="D25" s="13" t="s">
        <v>239</v>
      </c>
      <c r="E25" s="7"/>
      <c r="F25" s="7" t="s">
        <v>865</v>
      </c>
      <c r="G25" s="7" t="str">
        <f t="shared" si="3"/>
        <v>text</v>
      </c>
      <c r="H25" s="58"/>
      <c r="I25" s="23"/>
      <c r="J25" s="24" t="s">
        <v>1706</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milscm_2023_009.sny_202310_base_merge_mml_fs_vitalsign.ward_code IS '病棟コード';</v>
      </c>
    </row>
    <row r="26" spans="1:45" s="25" customFormat="1" ht="37.5">
      <c r="A26" s="4"/>
      <c r="B26" s="21">
        <f t="shared" si="2"/>
        <v>14</v>
      </c>
      <c r="C26" s="13" t="s">
        <v>1686</v>
      </c>
      <c r="D26" s="13" t="s">
        <v>1687</v>
      </c>
      <c r="E26" s="7"/>
      <c r="F26" s="7" t="s">
        <v>865</v>
      </c>
      <c r="G26" s="7" t="str">
        <f t="shared" si="3"/>
        <v>text</v>
      </c>
      <c r="H26" s="58"/>
      <c r="I26" s="23"/>
      <c r="J26" s="24" t="s">
        <v>1707</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milscm_2023_009.sny_202310_base_merge_mml_fs_vitalsign.ward_code_id IS '病棟コードID';</v>
      </c>
    </row>
    <row r="27" spans="1:45" s="25" customFormat="1">
      <c r="A27" s="4"/>
      <c r="B27" s="21">
        <f t="shared" si="2"/>
        <v>15</v>
      </c>
      <c r="C27" s="13" t="s">
        <v>1688</v>
      </c>
      <c r="D27" s="13" t="s">
        <v>1689</v>
      </c>
      <c r="E27" s="7"/>
      <c r="F27" s="7" t="s">
        <v>865</v>
      </c>
      <c r="G27" s="7" t="str">
        <f t="shared" si="3"/>
        <v>text</v>
      </c>
      <c r="H27" s="58"/>
      <c r="I27" s="23"/>
      <c r="J27" s="24" t="s">
        <v>1297</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milscm_2023_009.sny_202310_base_merge_mml_fs_vitalsign.vital_sign_time IS 'バイタルサインの計測時間';</v>
      </c>
    </row>
    <row r="28" spans="1:45" s="25" customFormat="1">
      <c r="A28" s="4"/>
      <c r="B28" s="21">
        <f t="shared" si="2"/>
        <v>16</v>
      </c>
      <c r="C28" s="13" t="s">
        <v>1690</v>
      </c>
      <c r="D28" s="13" t="s">
        <v>1691</v>
      </c>
      <c r="E28" s="7"/>
      <c r="F28" s="7" t="s">
        <v>865</v>
      </c>
      <c r="G28" s="7" t="str">
        <f t="shared" si="3"/>
        <v>text</v>
      </c>
      <c r="H28" s="58"/>
      <c r="I28" s="23"/>
      <c r="J28" s="24" t="s">
        <v>1709</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milscm_2023_009.sny_202310_base_merge_mml_fs_vitalsign.keisoku_tejun IS '計測手順';</v>
      </c>
    </row>
    <row r="29" spans="1:45" s="25" customFormat="1">
      <c r="A29" s="4"/>
      <c r="B29" s="21">
        <f t="shared" si="2"/>
        <v>17</v>
      </c>
      <c r="C29" s="13" t="s">
        <v>1692</v>
      </c>
      <c r="D29" s="13" t="s">
        <v>1693</v>
      </c>
      <c r="E29" s="7"/>
      <c r="F29" s="7" t="s">
        <v>865</v>
      </c>
      <c r="G29" s="7" t="str">
        <f t="shared" si="3"/>
        <v>text</v>
      </c>
      <c r="H29" s="58"/>
      <c r="I29" s="23"/>
      <c r="J29" s="24" t="s">
        <v>1710</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milscm_2023_009.sny_202310_base_merge_mml_fs_vitalsign.keisoku_device IS '計測器具';</v>
      </c>
    </row>
    <row r="30" spans="1:45" s="25" customFormat="1">
      <c r="A30" s="4"/>
      <c r="B30" s="21">
        <f t="shared" si="2"/>
        <v>18</v>
      </c>
      <c r="C30" s="13" t="s">
        <v>1694</v>
      </c>
      <c r="D30" s="13" t="s">
        <v>1695</v>
      </c>
      <c r="E30" s="7"/>
      <c r="F30" s="7" t="s">
        <v>865</v>
      </c>
      <c r="G30" s="7" t="str">
        <f t="shared" si="3"/>
        <v>text</v>
      </c>
      <c r="H30" s="58"/>
      <c r="I30" s="23"/>
      <c r="J30" s="24" t="s">
        <v>1711</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milscm_2023_009.sny_202310_base_merge_mml_fs_vitalsign.keisoku_bui IS '計測部位';</v>
      </c>
    </row>
    <row r="31" spans="1:45" s="25" customFormat="1">
      <c r="A31" s="4"/>
      <c r="B31" s="21">
        <f t="shared" si="2"/>
        <v>19</v>
      </c>
      <c r="C31" s="13" t="s">
        <v>1696</v>
      </c>
      <c r="D31" s="13" t="s">
        <v>1697</v>
      </c>
      <c r="E31" s="7"/>
      <c r="F31" s="7" t="s">
        <v>865</v>
      </c>
      <c r="G31" s="7" t="str">
        <f t="shared" si="3"/>
        <v>text</v>
      </c>
      <c r="H31" s="58"/>
      <c r="I31" s="23"/>
      <c r="J31" s="24" t="s">
        <v>1712</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milscm_2023_009.sny_202310_base_merge_mml_fs_vitalsign.keisoku_position IS '計測時体位';</v>
      </c>
    </row>
    <row r="32" spans="1:45" s="25" customFormat="1" ht="31.5">
      <c r="A32" s="4"/>
      <c r="B32" s="21">
        <f t="shared" si="2"/>
        <v>20</v>
      </c>
      <c r="C32" s="13" t="s">
        <v>1698</v>
      </c>
      <c r="D32" s="13" t="s">
        <v>1699</v>
      </c>
      <c r="E32" s="7"/>
      <c r="F32" s="7" t="s">
        <v>865</v>
      </c>
      <c r="G32" s="7" t="str">
        <f t="shared" si="3"/>
        <v>text</v>
      </c>
      <c r="H32" s="58"/>
      <c r="I32" s="23"/>
      <c r="J32" s="24" t="s">
        <v>1713</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milscm_2023_009.sny_202310_base_merge_mml_fs_vitalsign.keisoku_method_comment IS '計測方法コメント';</v>
      </c>
    </row>
    <row r="33" spans="1:52" s="25" customFormat="1" ht="19.5" thickBot="1">
      <c r="A33" s="4"/>
      <c r="B33" s="27">
        <f>ROW()-12</f>
        <v>21</v>
      </c>
      <c r="C33" s="57" t="s">
        <v>1700</v>
      </c>
      <c r="D33" s="57" t="s">
        <v>1701</v>
      </c>
      <c r="E33" s="56"/>
      <c r="F33" s="56" t="s">
        <v>865</v>
      </c>
      <c r="G33" s="56" t="str">
        <f t="shared" si="3"/>
        <v>text</v>
      </c>
      <c r="H33" s="59"/>
      <c r="I33" s="60"/>
      <c r="J33" s="64" t="s">
        <v>1714</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31</v>
      </c>
      <c r="E4" s="249"/>
      <c r="F4" s="249"/>
      <c r="G4" s="249"/>
      <c r="H4" s="249"/>
      <c r="I4" s="249"/>
      <c r="J4" s="250"/>
    </row>
    <row r="5" spans="1:45">
      <c r="B5" s="262" t="s">
        <v>3702</v>
      </c>
      <c r="C5" s="263"/>
      <c r="D5" s="272" t="str">
        <f>VLOOKUP(D7,エンティティ一覧!A1:'エンティティ一覧'!AM10204,7,FALSE)</f>
        <v>base</v>
      </c>
      <c r="E5" s="273"/>
      <c r="F5" s="273"/>
      <c r="G5" s="273"/>
      <c r="H5" s="273"/>
      <c r="I5" s="273"/>
      <c r="J5" s="274"/>
    </row>
    <row r="6" spans="1:45">
      <c r="B6" s="262" t="s">
        <v>3703</v>
      </c>
      <c r="C6" s="263"/>
      <c r="D6" s="272" t="str">
        <f>VLOOKUP(D7,エンティティ一覧!A1:'エンティティ一覧'!AM10204,15,FALSE)</f>
        <v>ENT_31_C4-41</v>
      </c>
      <c r="E6" s="273"/>
      <c r="F6" s="273"/>
      <c r="G6" s="273"/>
      <c r="H6" s="273"/>
      <c r="I6" s="273"/>
      <c r="J6" s="274"/>
    </row>
    <row r="7" spans="1:45">
      <c r="B7" s="262" t="s">
        <v>115</v>
      </c>
      <c r="C7" s="263"/>
      <c r="D7" s="264" t="s">
        <v>4106</v>
      </c>
      <c r="E7" s="265"/>
      <c r="F7" s="265"/>
      <c r="G7" s="265"/>
      <c r="H7" s="265"/>
      <c r="I7" s="265"/>
      <c r="J7" s="266"/>
    </row>
    <row r="8" spans="1:45">
      <c r="B8" s="262" t="s">
        <v>116</v>
      </c>
      <c r="C8" s="263"/>
      <c r="D8" s="264" t="str">
        <f>エンティティ一覧!AE2&amp;"_"&amp;D5&amp;"_merge_mml_fs_item"</f>
        <v>sny_202310_base_merge_mml_fs_item</v>
      </c>
      <c r="E8" s="265"/>
      <c r="F8" s="265"/>
      <c r="G8" s="265"/>
      <c r="H8" s="265"/>
      <c r="I8" s="265"/>
      <c r="J8" s="266"/>
    </row>
    <row r="9" spans="1:45" ht="19.5" customHeight="1" thickBot="1">
      <c r="B9" s="267" t="s">
        <v>117</v>
      </c>
      <c r="C9" s="268"/>
      <c r="D9" s="269" t="str">
        <f>SUBSTITUTE(D7,"バックアップ_","")&amp;"テーブルから組入れ条件の第一条件で絞り込んだ結果を格納するテーブル"</f>
        <v>ベース_体温表モジュール_記録項目テーブルから組入れ条件の第一条件で絞り込んだ結果を格納するテーブル</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milscm_2023_009.sny_202310_base_merge_mml_fs_item;</v>
      </c>
      <c r="O10" s="76"/>
      <c r="P10" s="76"/>
      <c r="Q10" s="76"/>
      <c r="R10" s="76"/>
      <c r="S10" s="76"/>
      <c r="T10" s="76"/>
      <c r="AJ10" s="76" t="str">
        <f>"ALTER TABLE ONLY "&amp;エンティティ一覧!$O$2&amp;"."&amp;D$8</f>
        <v>ALTER TABLE ONLY milscm_2023_009.sny_202310_base_merge_mml_fs_item</v>
      </c>
      <c r="AS10" s="76" t="str">
        <f>"ALTER TABLE "&amp;エンティティ一覧!$O$2&amp;"."&amp;D$8&amp;" OWNER TO pgmisgrp1;"</f>
        <v>ALTER TABLE milscm_2023_009.sny_202310_base_merge_mml_fs_item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milscm_2023_009.sny_202310_base_merge_mml_fs_item</v>
      </c>
      <c r="O11" s="76"/>
      <c r="P11" s="76"/>
      <c r="Q11" s="76"/>
      <c r="R11" s="76"/>
      <c r="S11" s="76"/>
      <c r="T11" s="76"/>
      <c r="AJ11" s="76" t="str">
        <f>"ADD CONSTRAINT "&amp;D$8&amp;"_pkey PRIMARY KEY"</f>
        <v>ADD CONSTRAINT sny_202310_base_merge_mml_fs_item_pkey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milscm_2023_009.sny_202310_base_merge_mml_fs_item IS 'ベース_体温表モジュール_記録項目';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1282</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milscm_2023_009.sny_202310_base_merge_mml_fs_item.mil_karute_id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1283</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milscm_2023_009.sny_202310_base_merge_mml_fs_item.facility_id IS '施設ID';</v>
      </c>
    </row>
    <row r="16" spans="1:45" s="25" customFormat="1" ht="75">
      <c r="A16" s="4"/>
      <c r="B16" s="21">
        <f t="shared" si="2"/>
        <v>4</v>
      </c>
      <c r="C16" s="13" t="s">
        <v>1242</v>
      </c>
      <c r="D16" s="13" t="s">
        <v>1243</v>
      </c>
      <c r="E16" s="7"/>
      <c r="F16" s="7" t="s">
        <v>865</v>
      </c>
      <c r="G16" s="7" t="str">
        <f t="shared" si="3"/>
        <v>text</v>
      </c>
      <c r="H16" s="58"/>
      <c r="I16" s="23" t="s">
        <v>127</v>
      </c>
      <c r="J16" s="24" t="s">
        <v>1311</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milscm_2023_009.sny_202310_base_merge_mml_fs_item.shinryo_ymd IS '診療年月日';</v>
      </c>
    </row>
    <row r="17" spans="1:52" s="25" customFormat="1">
      <c r="A17" s="4"/>
      <c r="B17" s="21">
        <f t="shared" si="2"/>
        <v>5</v>
      </c>
      <c r="C17" s="13" t="s">
        <v>1300</v>
      </c>
      <c r="D17" s="13" t="s">
        <v>208</v>
      </c>
      <c r="E17" s="7"/>
      <c r="F17" s="7" t="s">
        <v>865</v>
      </c>
      <c r="G17" s="7" t="str">
        <f t="shared" si="3"/>
        <v>text</v>
      </c>
      <c r="H17" s="58" t="s">
        <v>1285</v>
      </c>
      <c r="I17" s="23" t="s">
        <v>127</v>
      </c>
      <c r="J17" s="24" t="s">
        <v>1286</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milscm_2023_009.sny_202310_base_merge_mml_fs_item.data_type IS 'データ種別';</v>
      </c>
    </row>
    <row r="18" spans="1:52" s="25" customFormat="1" ht="37.5">
      <c r="A18" s="4"/>
      <c r="B18" s="21">
        <f t="shared" si="2"/>
        <v>6</v>
      </c>
      <c r="C18" s="13" t="s">
        <v>1245</v>
      </c>
      <c r="D18" s="13" t="s">
        <v>1246</v>
      </c>
      <c r="E18" s="7" t="s">
        <v>127</v>
      </c>
      <c r="F18" s="7" t="s">
        <v>865</v>
      </c>
      <c r="G18" s="7" t="str">
        <f t="shared" si="3"/>
        <v>text</v>
      </c>
      <c r="H18" s="58"/>
      <c r="I18" s="23" t="s">
        <v>127</v>
      </c>
      <c r="J18" s="24" t="s">
        <v>1287</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milscm_2023_009.sny_202310_base_merge_mml_fs_item.master_id IS '患者ID';</v>
      </c>
    </row>
    <row r="19" spans="1:52" s="25" customFormat="1" ht="37.5">
      <c r="A19" s="4"/>
      <c r="B19" s="21">
        <f t="shared" si="2"/>
        <v>7</v>
      </c>
      <c r="C19" s="13" t="s">
        <v>1247</v>
      </c>
      <c r="D19" s="13" t="s">
        <v>1248</v>
      </c>
      <c r="E19" s="7" t="s">
        <v>127</v>
      </c>
      <c r="F19" s="7" t="s">
        <v>865</v>
      </c>
      <c r="G19" s="7" t="str">
        <f t="shared" si="3"/>
        <v>text</v>
      </c>
      <c r="H19" s="58"/>
      <c r="I19" s="23" t="s">
        <v>127</v>
      </c>
      <c r="J19" s="24" t="s">
        <v>1288</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milscm_2023_009.sny_202310_base_merge_mml_fs_item.uid IS '文書ユニークID';</v>
      </c>
    </row>
    <row r="20" spans="1:52" s="25" customFormat="1">
      <c r="A20" s="4"/>
      <c r="B20" s="21">
        <f t="shared" si="2"/>
        <v>8</v>
      </c>
      <c r="C20" s="13" t="s">
        <v>1730</v>
      </c>
      <c r="D20" s="13" t="s">
        <v>1731</v>
      </c>
      <c r="E20" s="7" t="s">
        <v>127</v>
      </c>
      <c r="F20" s="7" t="s">
        <v>204</v>
      </c>
      <c r="G20" s="7" t="str">
        <f t="shared" si="3"/>
        <v>integer</v>
      </c>
      <c r="H20" s="58"/>
      <c r="I20" s="23" t="s">
        <v>127</v>
      </c>
      <c r="J20" s="24" t="s">
        <v>1732</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milscm_2023_009.sny_202310_base_merge_mml_fs_item.taionhyo_seq IS '体温表SEQ';</v>
      </c>
    </row>
    <row r="21" spans="1:52" s="25" customFormat="1">
      <c r="A21" s="4"/>
      <c r="B21" s="21">
        <f t="shared" si="2"/>
        <v>9</v>
      </c>
      <c r="C21" s="13" t="s">
        <v>1679</v>
      </c>
      <c r="D21" s="13" t="s">
        <v>1680</v>
      </c>
      <c r="E21" s="7" t="s">
        <v>127</v>
      </c>
      <c r="F21" s="7" t="s">
        <v>204</v>
      </c>
      <c r="G21" s="7" t="str">
        <f t="shared" si="3"/>
        <v>integer</v>
      </c>
      <c r="H21" s="58"/>
      <c r="I21" s="23" t="s">
        <v>127</v>
      </c>
      <c r="J21" s="24" t="s">
        <v>1702</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milscm_2023_009.sny_202310_base_merge_mml_fs_item.vital_seq IS 'バイタルSEQ';</v>
      </c>
    </row>
    <row r="22" spans="1:52" s="25" customFormat="1">
      <c r="A22" s="4"/>
      <c r="B22" s="21">
        <f t="shared" si="2"/>
        <v>10</v>
      </c>
      <c r="C22" s="13" t="s">
        <v>1734</v>
      </c>
      <c r="D22" s="13" t="s">
        <v>1717</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milscm_2023_009.sny_202310_base_merge_mml_fs_item.item_seq IS '項目SEQ';</v>
      </c>
    </row>
    <row r="23" spans="1:52" s="25" customFormat="1">
      <c r="A23" s="4"/>
      <c r="B23" s="21">
        <f t="shared" si="2"/>
        <v>11</v>
      </c>
      <c r="C23" s="13" t="s">
        <v>1623</v>
      </c>
      <c r="D23" s="13" t="s">
        <v>1624</v>
      </c>
      <c r="E23" s="7"/>
      <c r="F23" s="7" t="s">
        <v>865</v>
      </c>
      <c r="G23" s="7" t="str">
        <f t="shared" si="3"/>
        <v>text</v>
      </c>
      <c r="H23" s="58"/>
      <c r="I23" s="23"/>
      <c r="J23" s="24"/>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milscm_2023_009.sny_202310_base_merge_mml_fs_item.item_name IS '項目名';</v>
      </c>
    </row>
    <row r="24" spans="1:52" s="25" customFormat="1" ht="31.5">
      <c r="A24" s="4"/>
      <c r="B24" s="21">
        <f t="shared" si="2"/>
        <v>12</v>
      </c>
      <c r="C24" s="13" t="s">
        <v>1718</v>
      </c>
      <c r="D24" s="13" t="s">
        <v>1719</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milscm_2023_009.sny_202310_base_merge_mml_fs_item.vital_sign_value IS '文字列で表記されるバイタルサインの値';</v>
      </c>
    </row>
    <row r="25" spans="1:52" s="25" customFormat="1">
      <c r="A25" s="4"/>
      <c r="B25" s="21">
        <f t="shared" si="2"/>
        <v>13</v>
      </c>
      <c r="C25" s="13" t="s">
        <v>1720</v>
      </c>
      <c r="D25" s="13" t="s">
        <v>1721</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milscm_2023_009.sny_202310_base_merge_mml_fs_item.vital_sign_num_value IS '数値で表記されるバイタルサインの値';</v>
      </c>
    </row>
    <row r="26" spans="1:52" s="25" customFormat="1" ht="19.5" thickBot="1">
      <c r="A26" s="4"/>
      <c r="B26" s="27">
        <f>ROW()-12</f>
        <v>14</v>
      </c>
      <c r="C26" s="57" t="s">
        <v>1722</v>
      </c>
      <c r="D26" s="57" t="s">
        <v>1723</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ENT_41_01</v>
      </c>
      <c r="E6" s="273"/>
      <c r="F6" s="273"/>
      <c r="G6" s="273"/>
      <c r="H6" s="273"/>
      <c r="I6" s="273"/>
      <c r="J6" s="274"/>
    </row>
    <row r="7" spans="1:45">
      <c r="B7" s="262" t="s">
        <v>115</v>
      </c>
      <c r="C7" s="263"/>
      <c r="D7" s="264" t="s">
        <v>4175</v>
      </c>
      <c r="E7" s="265"/>
      <c r="F7" s="265"/>
      <c r="G7" s="265"/>
      <c r="H7" s="265"/>
      <c r="I7" s="265"/>
      <c r="J7" s="266"/>
    </row>
    <row r="8" spans="1:45">
      <c r="B8" s="262" t="s">
        <v>116</v>
      </c>
      <c r="C8" s="263"/>
      <c r="D8" s="264" t="str">
        <f>エンティティ一覧!AE2&amp;"_"&amp;D5&amp;"_patient_basic"</f>
        <v>sny_202310_work_patient_basic</v>
      </c>
      <c r="E8" s="265"/>
      <c r="F8" s="265"/>
      <c r="G8" s="265"/>
      <c r="H8" s="265"/>
      <c r="I8" s="265"/>
      <c r="J8" s="266"/>
    </row>
    <row r="9" spans="1:45" ht="19.5" customHeight="1" thickBot="1">
      <c r="B9" s="267" t="s">
        <v>117</v>
      </c>
      <c r="C9" s="268"/>
      <c r="D9" s="269" t="s">
        <v>4179</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milscm_2023_009.sny_202310_work_patient_basic;</v>
      </c>
      <c r="O10" s="76"/>
      <c r="P10" s="76"/>
      <c r="Q10" s="76"/>
      <c r="R10" s="76"/>
      <c r="S10" s="76"/>
      <c r="T10" s="76"/>
      <c r="AJ10" s="76" t="str">
        <f>"ALTER TABLE ONLY "&amp;エンティティ一覧!$O$2&amp;"."&amp;D$8</f>
        <v>ALTER TABLE ONLY milscm_2023_009.sny_202310_work_patient_basic</v>
      </c>
      <c r="AS10" s="76" t="str">
        <f>"ALTER TABLE "&amp;エンティティ一覧!$O$2&amp;"."&amp;D$8&amp;" OWNER TO pgmisgrp1;"</f>
        <v>ALTER TABLE milscm_2023_009.sny_202310_work_patient_basic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milscm_2023_009.sny_202310_work_patient_basic</v>
      </c>
      <c r="O11" s="76"/>
      <c r="P11" s="76"/>
      <c r="Q11" s="76"/>
      <c r="R11" s="76"/>
      <c r="S11" s="76"/>
      <c r="T11" s="76"/>
      <c r="AJ11" s="76" t="str">
        <f>"ADD CONSTRAINT "&amp;D$8&amp;"_pkey PRIMARY KEY"</f>
        <v>ADD CONSTRAINT sny_202310_work_patient_basic_pkey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milscm_2023_009.sny_202310_work_patient_basic IS 'ワーク_患者基本データ';</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milscm_2023_009.sny_202310_work_patient_basic.mask_id IS 'マスクID';</v>
      </c>
    </row>
    <row r="14" spans="1:45" s="25" customFormat="1">
      <c r="A14" s="4"/>
      <c r="B14" s="21">
        <f t="shared" ref="B14:B15" si="2">ROW()-12</f>
        <v>2</v>
      </c>
      <c r="C14" s="6" t="s">
        <v>1244</v>
      </c>
      <c r="D14" s="6" t="s">
        <v>208</v>
      </c>
      <c r="E14" s="8" t="s">
        <v>127</v>
      </c>
      <c r="F14" s="7" t="s">
        <v>3818</v>
      </c>
      <c r="G14" s="7" t="str">
        <f t="shared" ref="G14:G16" si="3">IF(F14="フラグ","boolean",IF(F14="文字列","text",IF(F14="整数","integer",IF(F14="実数","numeric",""))))</f>
        <v>text</v>
      </c>
      <c r="H14" s="26"/>
      <c r="I14" s="10" t="s">
        <v>127</v>
      </c>
      <c r="J14" s="11"/>
      <c r="M14" s="4"/>
      <c r="N14" s="76"/>
      <c r="O14" s="76"/>
      <c r="P14" s="76" t="str">
        <f t="shared" ref="P14:P16" si="4">IF(B14&lt;&gt;1,","&amp;D14,D14)</f>
        <v>,data_type</v>
      </c>
      <c r="Q14" s="76" t="str">
        <f t="shared" si="0"/>
        <v>TEXT</v>
      </c>
      <c r="R14" s="76" t="str">
        <f t="shared" si="1"/>
        <v/>
      </c>
      <c r="S14" s="76" t="str">
        <f>IF(I14="○","NOT NULL","")</f>
        <v>NOT NULL</v>
      </c>
      <c r="T14" s="76" t="str">
        <f>"--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milscm_2023_009.sny_202310_work_patient_basic.data_type IS 'データ種別';</v>
      </c>
    </row>
    <row r="15" spans="1:45" s="25" customFormat="1">
      <c r="A15" s="4"/>
      <c r="B15" s="21">
        <f t="shared" si="2"/>
        <v>3</v>
      </c>
      <c r="C15" s="13" t="s">
        <v>4177</v>
      </c>
      <c r="D15" s="13" t="s">
        <v>945</v>
      </c>
      <c r="E15" s="7"/>
      <c r="F15" s="7" t="s">
        <v>1780</v>
      </c>
      <c r="G15" s="7" t="str">
        <f t="shared" si="3"/>
        <v>text</v>
      </c>
      <c r="H15" s="58"/>
      <c r="I15" s="23" t="s">
        <v>127</v>
      </c>
      <c r="J15" s="24"/>
      <c r="M15" s="4"/>
      <c r="N15" s="76"/>
      <c r="O15" s="76"/>
      <c r="P15" s="76" t="str">
        <f t="shared" si="4"/>
        <v>,sex_kubun</v>
      </c>
      <c r="Q15" s="76" t="str">
        <f t="shared" si="0"/>
        <v>TEXT</v>
      </c>
      <c r="R15" s="76" t="str">
        <f t="shared" si="1"/>
        <v/>
      </c>
      <c r="S15" s="76" t="str">
        <f t="shared" ref="S15:S16" si="5">IF(I15="○","NOT NULL","")</f>
        <v>NOT NULL</v>
      </c>
      <c r="T15" s="76" t="str">
        <f t="shared" ref="T15:T16" si="6">"-- "&amp;C15</f>
        <v>-- 男女区分</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milscm_2023_009.sny_202310_work_patient_basic.sex_kubun IS '男女区分';</v>
      </c>
    </row>
    <row r="16" spans="1:45" s="25" customFormat="1" ht="19.5" thickBot="1">
      <c r="A16" s="4"/>
      <c r="B16" s="27">
        <f>ROW()-12</f>
        <v>4</v>
      </c>
      <c r="C16" s="57" t="s">
        <v>4178</v>
      </c>
      <c r="D16" s="57" t="s">
        <v>322</v>
      </c>
      <c r="E16" s="56"/>
      <c r="F16" s="56" t="s">
        <v>865</v>
      </c>
      <c r="G16" s="56" t="str">
        <f t="shared" si="3"/>
        <v>text</v>
      </c>
      <c r="H16" s="59"/>
      <c r="I16" s="60" t="s">
        <v>127</v>
      </c>
      <c r="J16" s="64"/>
      <c r="N16" s="76"/>
      <c r="O16" s="76"/>
      <c r="P16" s="76" t="str">
        <f t="shared" si="4"/>
        <v>,birthday</v>
      </c>
      <c r="Q16" s="76" t="str">
        <f t="shared" si="0"/>
        <v>TEXT</v>
      </c>
      <c r="R16" s="76" t="str">
        <f t="shared" si="1"/>
        <v/>
      </c>
      <c r="S16" s="76" t="str">
        <f t="shared" si="5"/>
        <v>NOT NULL</v>
      </c>
      <c r="T16" s="76" t="str">
        <f t="shared" si="6"/>
        <v>-- 生年月日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milscm_2023_009.sny_202310_work_patient_basic.birthday IS '生年月日';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ENT_41_02</v>
      </c>
      <c r="E6" s="273"/>
      <c r="F6" s="273"/>
      <c r="G6" s="273"/>
      <c r="H6" s="273"/>
      <c r="I6" s="273"/>
      <c r="J6" s="274"/>
    </row>
    <row r="7" spans="1:45">
      <c r="B7" s="262" t="s">
        <v>115</v>
      </c>
      <c r="C7" s="263"/>
      <c r="D7" s="264" t="s">
        <v>561</v>
      </c>
      <c r="E7" s="265"/>
      <c r="F7" s="265"/>
      <c r="G7" s="265"/>
      <c r="H7" s="265"/>
      <c r="I7" s="265"/>
      <c r="J7" s="266"/>
    </row>
    <row r="8" spans="1:45">
      <c r="B8" s="262" t="s">
        <v>116</v>
      </c>
      <c r="C8" s="263"/>
      <c r="D8" s="264" t="str">
        <f>エンティティ一覧!AE2&amp;"_"&amp;D5&amp;"_shikkan"</f>
        <v>sny_202310_work_shikkan</v>
      </c>
      <c r="E8" s="265"/>
      <c r="F8" s="265"/>
      <c r="G8" s="265"/>
      <c r="H8" s="265"/>
      <c r="I8" s="265"/>
      <c r="J8" s="266"/>
    </row>
    <row r="9" spans="1:45" ht="19.5" customHeight="1" thickBot="1">
      <c r="B9" s="267" t="s">
        <v>117</v>
      </c>
      <c r="C9" s="268"/>
      <c r="D9" s="269" t="s">
        <v>4180</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milscm_2023_009.sny_202310_work_shikkan;</v>
      </c>
      <c r="O10" s="76"/>
      <c r="P10" s="76"/>
      <c r="Q10" s="76"/>
      <c r="R10" s="76"/>
      <c r="S10" s="76"/>
      <c r="T10" s="76"/>
      <c r="AJ10" s="76" t="str">
        <f>"ALTER TABLE ONLY "&amp;エンティティ一覧!$O$2&amp;"."&amp;D$8</f>
        <v>ALTER TABLE ONLY milscm_2023_009.sny_202310_work_shikkan</v>
      </c>
      <c r="AS10" s="76" t="str">
        <f>"ALTER TABLE "&amp;エンティティ一覧!$O$2&amp;"."&amp;D$8&amp;" OWNER TO pgmisgrp1;"</f>
        <v>ALTER TABLE milscm_2023_009.sny_202310_work_shikkan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milscm_2023_009.sny_202310_work_shikkan</v>
      </c>
      <c r="O11" s="76"/>
      <c r="P11" s="76"/>
      <c r="Q11" s="76"/>
      <c r="R11" s="76"/>
      <c r="S11" s="76"/>
      <c r="T11" s="76"/>
      <c r="AJ11" s="76" t="str">
        <f>"ADD CONSTRAINT "&amp;D$8&amp;"_pkey PRIMARY KEY"</f>
        <v>ADD CONSTRAINT sny_202310_work_shikkan_pkey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milscm_2023_009.sny_202310_work_shikkan IS 'ワーク_疾患データ';</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21" si="0">UPPER(G13)</f>
        <v>TEXT</v>
      </c>
      <c r="R13" s="76" t="str">
        <f t="shared" ref="R13:R21"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milscm_2023_009.sny_202310_work_shikkan.mask_id IS 'マスクID';</v>
      </c>
    </row>
    <row r="14" spans="1:45" s="25" customFormat="1">
      <c r="A14" s="4"/>
      <c r="B14" s="21">
        <f t="shared" ref="B14:B20" si="2">ROW()-12</f>
        <v>2</v>
      </c>
      <c r="C14" s="6" t="s">
        <v>1321</v>
      </c>
      <c r="D14" s="6" t="s">
        <v>1322</v>
      </c>
      <c r="E14" s="8" t="s">
        <v>127</v>
      </c>
      <c r="F14" s="7" t="s">
        <v>1780</v>
      </c>
      <c r="G14" s="7" t="str">
        <f t="shared" ref="G14:G21" si="3">IF(F14="フラグ","boolean",IF(F14="文字列","text",IF(F14="整数","integer",IF(F14="実数","numeric",""))))</f>
        <v>text</v>
      </c>
      <c r="H14" s="26"/>
      <c r="I14" s="10" t="s">
        <v>127</v>
      </c>
      <c r="J14" s="11"/>
      <c r="M14" s="4"/>
      <c r="N14" s="76"/>
      <c r="O14" s="76"/>
      <c r="P14" s="76" t="str">
        <f t="shared" ref="P14:P21" si="4">IF(B14&lt;&gt;1,","&amp;D14,D14)</f>
        <v>,byomei</v>
      </c>
      <c r="Q14" s="76" t="str">
        <f t="shared" si="0"/>
        <v>TEXT</v>
      </c>
      <c r="R14" s="76" t="str">
        <f t="shared" si="1"/>
        <v/>
      </c>
      <c r="S14" s="76" t="str">
        <f>IF(I14="○","NOT NULL","")</f>
        <v>NOT NULL</v>
      </c>
      <c r="T14" s="76" t="str">
        <f>"-- "&amp;C14</f>
        <v>-- 病名</v>
      </c>
      <c r="U14" s="4"/>
      <c r="AA14" s="4"/>
      <c r="AB14" s="4"/>
      <c r="AC14" s="4"/>
      <c r="AD14" s="4"/>
      <c r="AE14" s="4"/>
      <c r="AF14" s="4"/>
      <c r="AG14" s="4"/>
      <c r="AH14" s="4"/>
      <c r="AI14" s="4"/>
      <c r="AJ14" s="76" t="str">
        <f>IF(E14="○",IF(COUNTA(E$13:E14)=1,"",",")&amp;D14,"")</f>
        <v>,byomei</v>
      </c>
      <c r="AK14" s="4"/>
      <c r="AL14" s="4"/>
      <c r="AM14" s="4"/>
      <c r="AN14" s="4"/>
      <c r="AO14" s="4"/>
      <c r="AP14" s="4"/>
      <c r="AQ14" s="4"/>
      <c r="AR14" s="4"/>
      <c r="AS14" s="76" t="str">
        <f>"COMMENT ON COLUMN "&amp;エンティティ一覧!$O$2&amp;"."&amp;D$8&amp;"."&amp;D14&amp;" IS '"&amp;C14&amp;"';"</f>
        <v>COMMENT ON COLUMN milscm_2023_009.sny_202310_work_shikkan.byomei IS '病名';</v>
      </c>
    </row>
    <row r="15" spans="1:45" s="25" customFormat="1">
      <c r="A15" s="4"/>
      <c r="B15" s="21">
        <f t="shared" si="2"/>
        <v>3</v>
      </c>
      <c r="C15" s="13" t="s">
        <v>4181</v>
      </c>
      <c r="D15" s="13" t="s">
        <v>1324</v>
      </c>
      <c r="E15" s="7"/>
      <c r="F15" s="7" t="s">
        <v>1780</v>
      </c>
      <c r="G15" s="7" t="str">
        <f t="shared" ref="G15:G17" si="5">IF(F15="フラグ","boolean",IF(F15="文字列","text",IF(F15="整数","integer",IF(F15="実数","numeric",""))))</f>
        <v>text</v>
      </c>
      <c r="H15" s="58"/>
      <c r="I15" s="23"/>
      <c r="J15" s="24"/>
      <c r="M15" s="4"/>
      <c r="N15" s="76"/>
      <c r="O15" s="76"/>
      <c r="P15" s="76" t="str">
        <f t="shared" ref="P15:P17" si="6">IF(B15&lt;&gt;1,","&amp;D15,D15)</f>
        <v>,byomei_code</v>
      </c>
      <c r="Q15" s="76" t="str">
        <f t="shared" ref="Q15:Q17" si="7">UPPER(G15)</f>
        <v>TEXT</v>
      </c>
      <c r="R15" s="76" t="str">
        <f t="shared" ref="R15:R17" si="8">IF(H15&lt;&gt;"","default "&amp;IF(G15="text","'"&amp;H15&amp;"'",H15),"")</f>
        <v/>
      </c>
      <c r="S15" s="76" t="str">
        <f t="shared" ref="S15:S17" si="9">IF(I15="○","NOT NULL","")</f>
        <v/>
      </c>
      <c r="T15" s="76" t="str">
        <f t="shared" ref="T15:T17" si="10">"-- "&amp;C15</f>
        <v>-- 病名コード値</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milscm_2023_009.sny_202310_work_shikkan.byomei_code IS '病名コード値';</v>
      </c>
    </row>
    <row r="16" spans="1:45" s="25" customFormat="1">
      <c r="A16" s="4"/>
      <c r="B16" s="21">
        <f t="shared" si="2"/>
        <v>4</v>
      </c>
      <c r="C16" s="13" t="s">
        <v>4182</v>
      </c>
      <c r="D16" s="13" t="s">
        <v>1326</v>
      </c>
      <c r="E16" s="7"/>
      <c r="F16" s="7" t="s">
        <v>1780</v>
      </c>
      <c r="G16" s="7" t="str">
        <f t="shared" si="5"/>
        <v>text</v>
      </c>
      <c r="H16" s="58"/>
      <c r="I16" s="23"/>
      <c r="J16" s="24"/>
      <c r="M16" s="4"/>
      <c r="N16" s="76"/>
      <c r="O16" s="76"/>
      <c r="P16" s="76" t="str">
        <f t="shared" si="6"/>
        <v>,byomei_code_id</v>
      </c>
      <c r="Q16" s="76" t="str">
        <f t="shared" si="7"/>
        <v>TEXT</v>
      </c>
      <c r="R16" s="76" t="str">
        <f t="shared" si="8"/>
        <v/>
      </c>
      <c r="S16" s="76" t="str">
        <f t="shared" si="9"/>
        <v/>
      </c>
      <c r="T16" s="76" t="str">
        <f t="shared" si="10"/>
        <v>-- 病名コード体系名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milscm_2023_009.sny_202310_work_shikkan.byomei_code_id IS '病名コード体系名';</v>
      </c>
    </row>
    <row r="17" spans="1:52" s="25" customFormat="1">
      <c r="A17" s="4"/>
      <c r="B17" s="21">
        <f t="shared" si="2"/>
        <v>5</v>
      </c>
      <c r="C17" s="13" t="s">
        <v>1303</v>
      </c>
      <c r="D17" s="13" t="s">
        <v>2789</v>
      </c>
      <c r="E17" s="7" t="s">
        <v>127</v>
      </c>
      <c r="F17" s="7" t="s">
        <v>1780</v>
      </c>
      <c r="G17" s="7" t="str">
        <f t="shared" si="5"/>
        <v>text</v>
      </c>
      <c r="H17" s="58"/>
      <c r="I17" s="23" t="s">
        <v>127</v>
      </c>
      <c r="J17" s="24"/>
      <c r="M17" s="4"/>
      <c r="N17" s="76"/>
      <c r="O17" s="76"/>
      <c r="P17" s="76" t="str">
        <f t="shared" si="6"/>
        <v>,start_date</v>
      </c>
      <c r="Q17" s="76" t="str">
        <f t="shared" si="7"/>
        <v>TEXT</v>
      </c>
      <c r="R17" s="76" t="str">
        <f t="shared" si="8"/>
        <v/>
      </c>
      <c r="S17" s="76" t="str">
        <f t="shared" si="9"/>
        <v>NOT NULL</v>
      </c>
      <c r="T17" s="76" t="str">
        <f t="shared" si="10"/>
        <v>-- 疾患開始日</v>
      </c>
      <c r="U17" s="4"/>
      <c r="AA17" s="4"/>
      <c r="AB17" s="4"/>
      <c r="AC17" s="4"/>
      <c r="AD17" s="4"/>
      <c r="AE17" s="4"/>
      <c r="AF17" s="4"/>
      <c r="AG17" s="4"/>
      <c r="AH17" s="4"/>
      <c r="AI17" s="4"/>
      <c r="AJ17" s="76" t="str">
        <f>IF(E17="○",IF(COUNTA(E$13:E17)=1,"",",")&amp;D17,"")</f>
        <v>,start_date</v>
      </c>
      <c r="AK17" s="4"/>
      <c r="AL17" s="4"/>
      <c r="AM17" s="4"/>
      <c r="AN17" s="4"/>
      <c r="AO17" s="4"/>
      <c r="AP17" s="4"/>
      <c r="AQ17" s="4"/>
      <c r="AR17" s="4"/>
      <c r="AS17" s="76" t="str">
        <f>"COMMENT ON COLUMN "&amp;エンティティ一覧!$O$2&amp;"."&amp;D$8&amp;"."&amp;D17&amp;" IS '"&amp;C17&amp;"';"</f>
        <v>COMMENT ON COLUMN milscm_2023_009.sny_202310_work_shikkan.start_date IS '疾患開始日';</v>
      </c>
    </row>
    <row r="18" spans="1:52" s="25" customFormat="1">
      <c r="A18" s="4"/>
      <c r="B18" s="21">
        <f t="shared" si="2"/>
        <v>6</v>
      </c>
      <c r="C18" s="13" t="s">
        <v>1305</v>
      </c>
      <c r="D18" s="13" t="s">
        <v>2790</v>
      </c>
      <c r="E18" s="7" t="s">
        <v>127</v>
      </c>
      <c r="F18" s="7" t="s">
        <v>1780</v>
      </c>
      <c r="G18" s="7" t="str">
        <f t="shared" si="3"/>
        <v>text</v>
      </c>
      <c r="H18" s="58"/>
      <c r="I18" s="23" t="s">
        <v>127</v>
      </c>
      <c r="J18" s="24"/>
      <c r="M18" s="4"/>
      <c r="N18" s="76"/>
      <c r="O18" s="76"/>
      <c r="P18" s="76" t="str">
        <f t="shared" si="4"/>
        <v>,end_date</v>
      </c>
      <c r="Q18" s="76" t="str">
        <f t="shared" si="0"/>
        <v>TEXT</v>
      </c>
      <c r="R18" s="76" t="str">
        <f t="shared" si="1"/>
        <v/>
      </c>
      <c r="S18" s="76" t="str">
        <f t="shared" ref="S18:S21" si="11">IF(I18="○","NOT NULL","")</f>
        <v>NOT NULL</v>
      </c>
      <c r="T18" s="76" t="str">
        <f t="shared" ref="T18:T21" si="12">"-- "&amp;C18</f>
        <v>-- 疾患終了日</v>
      </c>
      <c r="U18" s="4"/>
      <c r="AA18" s="4"/>
      <c r="AB18" s="4"/>
      <c r="AC18" s="4"/>
      <c r="AD18" s="4"/>
      <c r="AE18" s="4"/>
      <c r="AF18" s="4"/>
      <c r="AG18" s="4"/>
      <c r="AH18" s="4"/>
      <c r="AI18" s="4"/>
      <c r="AJ18" s="76" t="str">
        <f>IF(E18="○",IF(COUNTA(E$13:E18)=1,"",",")&amp;D18,"")</f>
        <v>,end_date</v>
      </c>
      <c r="AK18" s="4"/>
      <c r="AL18" s="4"/>
      <c r="AM18" s="4"/>
      <c r="AN18" s="4"/>
      <c r="AO18" s="4"/>
      <c r="AP18" s="4"/>
      <c r="AQ18" s="4"/>
      <c r="AR18" s="4"/>
      <c r="AS18" s="76" t="str">
        <f>"COMMENT ON COLUMN "&amp;エンティティ一覧!$O$2&amp;"."&amp;D$8&amp;"."&amp;D18&amp;" IS '"&amp;C18&amp;"';"</f>
        <v>COMMENT ON COLUMN milscm_2023_009.sny_202310_work_shikkan.end_date IS '疾患終了日';</v>
      </c>
    </row>
    <row r="19" spans="1:52" s="25" customFormat="1">
      <c r="A19" s="4"/>
      <c r="B19" s="21">
        <f t="shared" si="2"/>
        <v>7</v>
      </c>
      <c r="C19" s="13" t="s">
        <v>1307</v>
      </c>
      <c r="D19" s="13" t="s">
        <v>2791</v>
      </c>
      <c r="E19" s="7"/>
      <c r="F19" s="7" t="s">
        <v>1780</v>
      </c>
      <c r="G19" s="7" t="str">
        <f t="shared" si="3"/>
        <v>text</v>
      </c>
      <c r="H19" s="58"/>
      <c r="I19" s="23"/>
      <c r="J19" s="24"/>
      <c r="M19" s="4"/>
      <c r="N19" s="76"/>
      <c r="O19" s="76"/>
      <c r="P19" s="76" t="str">
        <f t="shared" si="4"/>
        <v>,outcome</v>
      </c>
      <c r="Q19" s="76" t="str">
        <f t="shared" si="0"/>
        <v>TEXT</v>
      </c>
      <c r="R19" s="76" t="str">
        <f t="shared" si="1"/>
        <v/>
      </c>
      <c r="S19" s="76" t="str">
        <f t="shared" si="11"/>
        <v/>
      </c>
      <c r="T19" s="76" t="str">
        <f t="shared" si="12"/>
        <v>-- 転帰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milscm_2023_009.sny_202310_work_shikkan.outcome IS '転帰';</v>
      </c>
    </row>
    <row r="20" spans="1:52" s="25" customFormat="1">
      <c r="A20" s="4"/>
      <c r="B20" s="21">
        <f t="shared" si="2"/>
        <v>8</v>
      </c>
      <c r="C20" s="6" t="s">
        <v>3789</v>
      </c>
      <c r="D20" s="6" t="s">
        <v>3790</v>
      </c>
      <c r="E20" s="8"/>
      <c r="F20" s="7" t="s">
        <v>737</v>
      </c>
      <c r="G20" s="7" t="str">
        <f t="shared" ref="G20" si="13">IF(F20="フラグ","boolean",IF(F20="文字列","text",IF(F20="整数","integer",IF(F20="実数","numeric",""))))</f>
        <v>text</v>
      </c>
      <c r="H20" s="58"/>
      <c r="I20" s="23" t="s">
        <v>127</v>
      </c>
      <c r="J20" s="24"/>
      <c r="M20" s="4"/>
      <c r="N20" s="76"/>
      <c r="O20" s="76"/>
      <c r="P20" s="76" t="str">
        <f t="shared" ref="P20" si="14">IF(B20&lt;&gt;1,","&amp;D20,D20)</f>
        <v>,disp_name</v>
      </c>
      <c r="Q20" s="76" t="str">
        <f t="shared" ref="Q20" si="15">UPPER(G20)</f>
        <v>TEXT</v>
      </c>
      <c r="R20" s="76" t="str">
        <f t="shared" ref="R20" si="16">IF(H20&lt;&gt;"","default "&amp;IF(G20="text","'"&amp;H20&amp;"'",H20),"")</f>
        <v/>
      </c>
      <c r="S20" s="76" t="str">
        <f t="shared" ref="S20" si="17">IF(I20="○","NOT NULL","")</f>
        <v>NOT NULL</v>
      </c>
      <c r="T20" s="76" t="str">
        <f t="shared" ref="T20" si="18">"-- "&amp;C20</f>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milscm_2023_009.sny_202310_work_shikkan.disp_name IS '表示名';</v>
      </c>
    </row>
    <row r="21" spans="1:52" s="25" customFormat="1" ht="19.5" thickBot="1">
      <c r="A21" s="4"/>
      <c r="B21" s="27">
        <f>ROW()-12</f>
        <v>9</v>
      </c>
      <c r="C21" s="28" t="s">
        <v>4076</v>
      </c>
      <c r="D21" s="28" t="s">
        <v>4077</v>
      </c>
      <c r="E21" s="29"/>
      <c r="F21" s="56" t="s">
        <v>4281</v>
      </c>
      <c r="G21" s="56" t="str">
        <f t="shared" si="3"/>
        <v>boolean</v>
      </c>
      <c r="H21" s="59"/>
      <c r="I21" s="60"/>
      <c r="J21" s="64"/>
      <c r="N21" s="76"/>
      <c r="O21" s="76"/>
      <c r="P21" s="76" t="str">
        <f t="shared" si="4"/>
        <v>,main_f</v>
      </c>
      <c r="Q21" s="76" t="str">
        <f t="shared" si="0"/>
        <v>BOOLEAN</v>
      </c>
      <c r="R21" s="76" t="str">
        <f t="shared" si="1"/>
        <v/>
      </c>
      <c r="S21" s="76" t="str">
        <f t="shared" si="11"/>
        <v/>
      </c>
      <c r="T21" s="76" t="str">
        <f t="shared" si="12"/>
        <v>-- 主傷病フラグ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milscm_2023_009.sny_202310_work_shikkan.main_f IS '主傷病フラグ';</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41</v>
      </c>
      <c r="E4" s="249"/>
      <c r="F4" s="249"/>
      <c r="G4" s="249"/>
      <c r="H4" s="249"/>
      <c r="I4" s="249"/>
      <c r="J4" s="250"/>
    </row>
    <row r="5" spans="1:52">
      <c r="B5" s="262" t="s">
        <v>3702</v>
      </c>
      <c r="C5" s="263"/>
      <c r="D5" s="272" t="str">
        <f>VLOOKUP(D7,エンティティ一覧!A1:'エンティティ一覧'!AM10204,7,FALSE)</f>
        <v>work</v>
      </c>
      <c r="E5" s="273"/>
      <c r="F5" s="273"/>
      <c r="G5" s="273"/>
      <c r="H5" s="273"/>
      <c r="I5" s="273"/>
      <c r="J5" s="274"/>
    </row>
    <row r="6" spans="1:52">
      <c r="B6" s="262" t="s">
        <v>3703</v>
      </c>
      <c r="C6" s="263"/>
      <c r="D6" s="272" t="str">
        <f>VLOOKUP(D7,エンティティ一覧!A1:'エンティティ一覧'!AM10204,15,FALSE)</f>
        <v>ENT_41_03</v>
      </c>
      <c r="E6" s="273"/>
      <c r="F6" s="273"/>
      <c r="G6" s="273"/>
      <c r="H6" s="273"/>
      <c r="I6" s="273"/>
      <c r="J6" s="274"/>
    </row>
    <row r="7" spans="1:52">
      <c r="B7" s="262" t="s">
        <v>115</v>
      </c>
      <c r="C7" s="263"/>
      <c r="D7" s="264" t="s">
        <v>4183</v>
      </c>
      <c r="E7" s="265"/>
      <c r="F7" s="265"/>
      <c r="G7" s="265"/>
      <c r="H7" s="265"/>
      <c r="I7" s="265"/>
      <c r="J7" s="266"/>
    </row>
    <row r="8" spans="1:52">
      <c r="B8" s="262" t="s">
        <v>116</v>
      </c>
      <c r="C8" s="263"/>
      <c r="D8" s="264" t="str">
        <f>エンティティ一覧!AE2&amp;"_"&amp;D5&amp;"_nyu_tai_in_dpc"</f>
        <v>sny_202310_work_nyu_tai_in_dpc</v>
      </c>
      <c r="E8" s="265"/>
      <c r="F8" s="265"/>
      <c r="G8" s="265"/>
      <c r="H8" s="265"/>
      <c r="I8" s="265"/>
      <c r="J8" s="266"/>
    </row>
    <row r="9" spans="1:52" ht="19.5" customHeight="1" thickBot="1">
      <c r="B9" s="267" t="s">
        <v>117</v>
      </c>
      <c r="C9" s="268"/>
      <c r="D9" s="269" t="s">
        <v>4184</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milscm_2023_009.sny_202310_work_nyu_tai_in_dpc;</v>
      </c>
      <c r="O10" s="76"/>
      <c r="P10" s="76"/>
      <c r="Q10" s="76"/>
      <c r="R10" s="76"/>
      <c r="S10" s="76"/>
      <c r="T10" s="76"/>
      <c r="AJ10" s="76" t="str">
        <f>"ALTER TABLE ONLY "&amp;エンティティ一覧!$O$2&amp;"."&amp;D$8</f>
        <v>ALTER TABLE ONLY milscm_2023_009.sny_202310_work_nyu_tai_in_dpc</v>
      </c>
      <c r="AS10" s="76" t="str">
        <f>"ALTER TABLE "&amp;エンティティ一覧!$O$2&amp;"."&amp;D$8&amp;" OWNER TO pgmisgrp1;"</f>
        <v>ALTER TABLE milscm_2023_009.sny_202310_work_nyu_tai_in_dpc OWNER TO pgmisgrp1;</v>
      </c>
    </row>
    <row r="11" spans="1:52" ht="19.5" thickBot="1">
      <c r="B11" s="20" t="s">
        <v>118</v>
      </c>
      <c r="C11" s="19"/>
      <c r="D11" s="5"/>
      <c r="E11" s="5"/>
      <c r="F11" s="5"/>
      <c r="G11" s="5"/>
      <c r="H11" s="5"/>
      <c r="I11" s="5"/>
      <c r="J11" s="18"/>
      <c r="N11" s="76" t="str">
        <f>"CREATE TABLE  "&amp;エンティティ一覧!$O$2&amp;"."&amp;D$8</f>
        <v>CREATE TABLE  milscm_2023_009.sny_202310_work_nyu_tai_in_dpc</v>
      </c>
      <c r="O11" s="76"/>
      <c r="P11" s="76"/>
      <c r="Q11" s="76"/>
      <c r="R11" s="76"/>
      <c r="S11" s="76"/>
      <c r="T11" s="76"/>
      <c r="AJ11" s="76" t="str">
        <f>"ADD CONSTRAINT "&amp;D$8&amp;"_pkey PRIMARY KEY"</f>
        <v>ADD CONSTRAINT sny_202310_work_nyu_tai_in_dpc_pkey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milscm_2023_009.sny_202310_work_nyu_tai_in_dpc IS 'ワーク_入院退院_DPC';</v>
      </c>
    </row>
    <row r="13" spans="1:52"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milscm_2023_009.sny_202310_work_nyu_tai_in_dpc.mask_id IS 'マスクID';</v>
      </c>
    </row>
    <row r="14" spans="1:52" s="25" customFormat="1">
      <c r="A14" s="4"/>
      <c r="B14" s="21">
        <f t="shared" ref="B14" si="2">ROW()-12</f>
        <v>2</v>
      </c>
      <c r="C14" s="6" t="s">
        <v>4185</v>
      </c>
      <c r="D14" s="6" t="s">
        <v>156</v>
      </c>
      <c r="E14" s="8" t="s">
        <v>127</v>
      </c>
      <c r="F14" s="7" t="s">
        <v>1780</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milscm_2023_009.sny_202310_work_nyu_tai_in_dpc.nyuin_ymd IS '入院年月日';</v>
      </c>
    </row>
    <row r="15" spans="1:52" s="25" customFormat="1" ht="19.5" thickBot="1">
      <c r="A15" s="4"/>
      <c r="B15" s="27">
        <f>ROW()-12</f>
        <v>3</v>
      </c>
      <c r="C15" s="57" t="s">
        <v>4186</v>
      </c>
      <c r="D15" s="57" t="s">
        <v>212</v>
      </c>
      <c r="E15" s="56" t="s">
        <v>127</v>
      </c>
      <c r="F15" s="56" t="s">
        <v>1780</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milscm_2023_009.sny_202310_work_nyu_tai_in_dpc.taiin_ymd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41</v>
      </c>
      <c r="E4" s="249"/>
      <c r="F4" s="249"/>
      <c r="G4" s="249"/>
      <c r="H4" s="249"/>
      <c r="I4" s="249"/>
      <c r="J4" s="250"/>
    </row>
    <row r="5" spans="1:52">
      <c r="B5" s="262" t="s">
        <v>3702</v>
      </c>
      <c r="C5" s="263"/>
      <c r="D5" s="272" t="str">
        <f>VLOOKUP(D7,エンティティ一覧!A1:'エンティティ一覧'!AM10204,7,FALSE)</f>
        <v>work</v>
      </c>
      <c r="E5" s="273"/>
      <c r="F5" s="273"/>
      <c r="G5" s="273"/>
      <c r="H5" s="273"/>
      <c r="I5" s="273"/>
      <c r="J5" s="274"/>
    </row>
    <row r="6" spans="1:52">
      <c r="B6" s="262" t="s">
        <v>3703</v>
      </c>
      <c r="C6" s="263"/>
      <c r="D6" s="272" t="str">
        <f>VLOOKUP(D7,エンティティ一覧!A1:'エンティティ一覧'!AM10204,15,FALSE)</f>
        <v>ENT_41_04</v>
      </c>
      <c r="E6" s="273"/>
      <c r="F6" s="273"/>
      <c r="G6" s="273"/>
      <c r="H6" s="273"/>
      <c r="I6" s="273"/>
      <c r="J6" s="274"/>
    </row>
    <row r="7" spans="1:52">
      <c r="B7" s="262" t="s">
        <v>115</v>
      </c>
      <c r="C7" s="263"/>
      <c r="D7" s="264" t="s">
        <v>4187</v>
      </c>
      <c r="E7" s="265"/>
      <c r="F7" s="265"/>
      <c r="G7" s="265"/>
      <c r="H7" s="265"/>
      <c r="I7" s="265"/>
      <c r="J7" s="266"/>
    </row>
    <row r="8" spans="1:52">
      <c r="B8" s="262" t="s">
        <v>116</v>
      </c>
      <c r="C8" s="263"/>
      <c r="D8" s="264" t="str">
        <f>エンティティ一覧!AE2&amp;"_"&amp;D5&amp;"_nyu_tai_in_mml"</f>
        <v>sny_202310_work_nyu_tai_in_mml</v>
      </c>
      <c r="E8" s="265"/>
      <c r="F8" s="265"/>
      <c r="G8" s="265"/>
      <c r="H8" s="265"/>
      <c r="I8" s="265"/>
      <c r="J8" s="266"/>
    </row>
    <row r="9" spans="1:52" ht="19.5" customHeight="1" thickBot="1">
      <c r="B9" s="267" t="s">
        <v>117</v>
      </c>
      <c r="C9" s="268"/>
      <c r="D9" s="269" t="s">
        <v>4188</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milscm_2023_009.sny_202310_work_nyu_tai_in_mml;</v>
      </c>
      <c r="O10" s="76"/>
      <c r="P10" s="76"/>
      <c r="Q10" s="76"/>
      <c r="R10" s="76"/>
      <c r="S10" s="76"/>
      <c r="T10" s="76"/>
      <c r="AJ10" s="76" t="str">
        <f>"ALTER TABLE ONLY "&amp;エンティティ一覧!$O$2&amp;"."&amp;D$8</f>
        <v>ALTER TABLE ONLY milscm_2023_009.sny_202310_work_nyu_tai_in_mml</v>
      </c>
      <c r="AS10" s="76" t="str">
        <f>"ALTER TABLE "&amp;エンティティ一覧!$O$2&amp;"."&amp;D$8&amp;" OWNER TO pgmisgrp1;"</f>
        <v>ALTER TABLE milscm_2023_009.sny_202310_work_nyu_tai_in_mml OWNER TO pgmisgrp1;</v>
      </c>
    </row>
    <row r="11" spans="1:52" ht="19.5" thickBot="1">
      <c r="B11" s="20" t="s">
        <v>118</v>
      </c>
      <c r="C11" s="19"/>
      <c r="D11" s="5"/>
      <c r="E11" s="5"/>
      <c r="F11" s="5"/>
      <c r="G11" s="5"/>
      <c r="H11" s="5"/>
      <c r="I11" s="5"/>
      <c r="J11" s="18"/>
      <c r="N11" s="76" t="str">
        <f>"CREATE TABLE  "&amp;エンティティ一覧!$O$2&amp;"."&amp;D$8</f>
        <v>CREATE TABLE  milscm_2023_009.sny_202310_work_nyu_tai_in_mml</v>
      </c>
      <c r="O11" s="76"/>
      <c r="P11" s="76"/>
      <c r="Q11" s="76"/>
      <c r="R11" s="76"/>
      <c r="S11" s="76"/>
      <c r="T11" s="76"/>
      <c r="AJ11" s="76" t="str">
        <f>"ADD CONSTRAINT "&amp;D$8&amp;"_pkey PRIMARY KEY"</f>
        <v>ADD CONSTRAINT sny_202310_work_nyu_tai_in_mml_pkey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milscm_2023_009.sny_202310_work_nyu_tai_in_mml IS 'ワーク_入院退院_MML';</v>
      </c>
    </row>
    <row r="13" spans="1:52"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milscm_2023_009.sny_202310_work_nyu_tai_in_mml.mask_id IS 'マスクID';</v>
      </c>
    </row>
    <row r="14" spans="1:52" s="25" customFormat="1">
      <c r="A14" s="4"/>
      <c r="B14" s="21">
        <f t="shared" ref="B14" si="2">ROW()-12</f>
        <v>2</v>
      </c>
      <c r="C14" s="6" t="s">
        <v>4185</v>
      </c>
      <c r="D14" s="6" t="s">
        <v>156</v>
      </c>
      <c r="E14" s="8" t="s">
        <v>127</v>
      </c>
      <c r="F14" s="7" t="s">
        <v>1780</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milscm_2023_009.sny_202310_work_nyu_tai_in_mml.nyuin_ymd IS '入院年月日';</v>
      </c>
    </row>
    <row r="15" spans="1:52" s="25" customFormat="1" ht="19.5" thickBot="1">
      <c r="A15" s="4"/>
      <c r="B15" s="27">
        <f>ROW()-12</f>
        <v>3</v>
      </c>
      <c r="C15" s="57" t="s">
        <v>4186</v>
      </c>
      <c r="D15" s="57" t="s">
        <v>212</v>
      </c>
      <c r="E15" s="56" t="s">
        <v>127</v>
      </c>
      <c r="F15" s="56" t="s">
        <v>1780</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milscm_2023_009.sny_202310_work_nyu_tai_in_mml.taiin_ymd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41</v>
      </c>
      <c r="E4" s="249"/>
      <c r="F4" s="249"/>
      <c r="G4" s="249"/>
      <c r="H4" s="249"/>
      <c r="I4" s="249"/>
      <c r="J4" s="250"/>
    </row>
    <row r="5" spans="1:52">
      <c r="B5" s="262" t="s">
        <v>3702</v>
      </c>
      <c r="C5" s="263"/>
      <c r="D5" s="272" t="str">
        <f>VLOOKUP(D7,エンティティ一覧!A1:'エンティティ一覧'!AM10204,7,FALSE)</f>
        <v>work</v>
      </c>
      <c r="E5" s="273"/>
      <c r="F5" s="273"/>
      <c r="G5" s="273"/>
      <c r="H5" s="273"/>
      <c r="I5" s="273"/>
      <c r="J5" s="274"/>
    </row>
    <row r="6" spans="1:52">
      <c r="B6" s="262" t="s">
        <v>3703</v>
      </c>
      <c r="C6" s="263"/>
      <c r="D6" s="272" t="str">
        <f>VLOOKUP(D7,エンティティ一覧!A1:'エンティティ一覧'!AM10204,15,FALSE)</f>
        <v>ENT_41_05</v>
      </c>
      <c r="E6" s="273"/>
      <c r="F6" s="273"/>
      <c r="G6" s="273"/>
      <c r="H6" s="273"/>
      <c r="I6" s="273"/>
      <c r="J6" s="274"/>
    </row>
    <row r="7" spans="1:52">
      <c r="B7" s="262" t="s">
        <v>115</v>
      </c>
      <c r="C7" s="263"/>
      <c r="D7" s="264" t="s">
        <v>4189</v>
      </c>
      <c r="E7" s="265"/>
      <c r="F7" s="265"/>
      <c r="G7" s="265"/>
      <c r="H7" s="265"/>
      <c r="I7" s="265"/>
      <c r="J7" s="266"/>
    </row>
    <row r="8" spans="1:52">
      <c r="B8" s="262" t="s">
        <v>116</v>
      </c>
      <c r="C8" s="263"/>
      <c r="D8" s="264" t="str">
        <f>エンティティ一覧!AE2&amp;"_"&amp;D5&amp;"_nyu_tai_in"</f>
        <v>sny_202310_work_nyu_tai_in</v>
      </c>
      <c r="E8" s="265"/>
      <c r="F8" s="265"/>
      <c r="G8" s="265"/>
      <c r="H8" s="265"/>
      <c r="I8" s="265"/>
      <c r="J8" s="266"/>
    </row>
    <row r="9" spans="1:52" ht="19.5" customHeight="1" thickBot="1">
      <c r="B9" s="267" t="s">
        <v>117</v>
      </c>
      <c r="C9" s="268"/>
      <c r="D9" s="269" t="s">
        <v>4190</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milscm_2023_009.sny_202310_work_nyu_tai_in;</v>
      </c>
      <c r="O10" s="76"/>
      <c r="P10" s="76"/>
      <c r="Q10" s="76"/>
      <c r="R10" s="76"/>
      <c r="S10" s="76"/>
      <c r="T10" s="76"/>
      <c r="AJ10" s="76" t="str">
        <f>"ALTER TABLE ONLY "&amp;エンティティ一覧!$O$2&amp;"."&amp;D$8</f>
        <v>ALTER TABLE ONLY milscm_2023_009.sny_202310_work_nyu_tai_in</v>
      </c>
      <c r="AS10" s="76" t="str">
        <f>"ALTER TABLE "&amp;エンティティ一覧!$O$2&amp;"."&amp;D$8&amp;" OWNER TO pgmisgrp1;"</f>
        <v>ALTER TABLE milscm_2023_009.sny_202310_work_nyu_tai_in OWNER TO pgmisgrp1;</v>
      </c>
    </row>
    <row r="11" spans="1:52" ht="19.5" thickBot="1">
      <c r="B11" s="20" t="s">
        <v>118</v>
      </c>
      <c r="C11" s="19"/>
      <c r="D11" s="5"/>
      <c r="E11" s="5"/>
      <c r="F11" s="5"/>
      <c r="G11" s="5"/>
      <c r="H11" s="5"/>
      <c r="I11" s="5"/>
      <c r="J11" s="18"/>
      <c r="N11" s="76" t="str">
        <f>"CREATE TABLE  "&amp;エンティティ一覧!$O$2&amp;"."&amp;D$8</f>
        <v>CREATE TABLE  milscm_2023_009.sny_202310_work_nyu_tai_in</v>
      </c>
      <c r="O11" s="76"/>
      <c r="P11" s="76"/>
      <c r="Q11" s="76"/>
      <c r="R11" s="76"/>
      <c r="S11" s="76"/>
      <c r="T11" s="76"/>
      <c r="AJ11" s="76" t="str">
        <f>"ADD CONSTRAINT "&amp;D$8&amp;"_pkey PRIMARY KEY"</f>
        <v>ADD CONSTRAINT sny_202310_work_nyu_tai_in_pkey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 IS 'ワーク_入院退院';</v>
      </c>
    </row>
    <row r="13" spans="1:52"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milscm_2023_009.sny_202310_work_nyu_tai_in.mask_id IS 'マスクID';</v>
      </c>
    </row>
    <row r="14" spans="1:52" s="25" customFormat="1">
      <c r="A14" s="4"/>
      <c r="B14" s="21">
        <f t="shared" ref="B14" si="2">ROW()-12</f>
        <v>2</v>
      </c>
      <c r="C14" s="6" t="s">
        <v>4185</v>
      </c>
      <c r="D14" s="6" t="s">
        <v>156</v>
      </c>
      <c r="E14" s="8" t="s">
        <v>127</v>
      </c>
      <c r="F14" s="7" t="s">
        <v>1780</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milscm_2023_009.sny_202310_work_nyu_tai_in.nyuin_ymd IS '入院年月日';</v>
      </c>
    </row>
    <row r="15" spans="1:52" s="25" customFormat="1" ht="19.5" thickBot="1">
      <c r="A15" s="4"/>
      <c r="B15" s="27">
        <f>ROW()-12</f>
        <v>3</v>
      </c>
      <c r="C15" s="57" t="s">
        <v>4186</v>
      </c>
      <c r="D15" s="57" t="s">
        <v>212</v>
      </c>
      <c r="E15" s="56" t="s">
        <v>127</v>
      </c>
      <c r="F15" s="56" t="s">
        <v>1780</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41</v>
      </c>
      <c r="E4" s="249"/>
      <c r="F4" s="249"/>
      <c r="G4" s="249"/>
      <c r="H4" s="249"/>
      <c r="I4" s="249"/>
      <c r="J4" s="250"/>
    </row>
    <row r="5" spans="1:52">
      <c r="B5" s="262" t="s">
        <v>3702</v>
      </c>
      <c r="C5" s="263"/>
      <c r="D5" s="272" t="str">
        <f>VLOOKUP(D7,エンティティ一覧!A1:'エンティティ一覧'!AM10204,7,FALSE)</f>
        <v>work</v>
      </c>
      <c r="E5" s="273"/>
      <c r="F5" s="273"/>
      <c r="G5" s="273"/>
      <c r="H5" s="273"/>
      <c r="I5" s="273"/>
      <c r="J5" s="274"/>
    </row>
    <row r="6" spans="1:52">
      <c r="B6" s="262" t="s">
        <v>3703</v>
      </c>
      <c r="C6" s="263"/>
      <c r="D6" s="272" t="str">
        <f>VLOOKUP(D7,エンティティ一覧!A1:'エンティティ一覧'!AM10204,15,FALSE)</f>
        <v>ENT_41_06</v>
      </c>
      <c r="E6" s="273"/>
      <c r="F6" s="273"/>
      <c r="G6" s="273"/>
      <c r="H6" s="273"/>
      <c r="I6" s="273"/>
      <c r="J6" s="274"/>
    </row>
    <row r="7" spans="1:52">
      <c r="B7" s="262" t="s">
        <v>115</v>
      </c>
      <c r="C7" s="263"/>
      <c r="D7" s="264" t="s">
        <v>4191</v>
      </c>
      <c r="E7" s="265"/>
      <c r="F7" s="265"/>
      <c r="G7" s="265"/>
      <c r="H7" s="265"/>
      <c r="I7" s="265"/>
      <c r="J7" s="266"/>
    </row>
    <row r="8" spans="1:52">
      <c r="B8" s="262" t="s">
        <v>116</v>
      </c>
      <c r="C8" s="263"/>
      <c r="D8" s="264" t="str">
        <f>エンティティ一覧!AE2&amp;"_"&amp;D5&amp;"_gairai_dpc"</f>
        <v>sny_202310_work_gairai_dpc</v>
      </c>
      <c r="E8" s="265"/>
      <c r="F8" s="265"/>
      <c r="G8" s="265"/>
      <c r="H8" s="265"/>
      <c r="I8" s="265"/>
      <c r="J8" s="266"/>
    </row>
    <row r="9" spans="1:52" ht="19.5" customHeight="1" thickBot="1">
      <c r="B9" s="267" t="s">
        <v>117</v>
      </c>
      <c r="C9" s="268"/>
      <c r="D9" s="269" t="s">
        <v>4192</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milscm_2023_009.sny_202310_work_gairai_dpc;</v>
      </c>
      <c r="O10" s="76"/>
      <c r="P10" s="76"/>
      <c r="Q10" s="76"/>
      <c r="R10" s="76"/>
      <c r="S10" s="76"/>
      <c r="T10" s="76"/>
      <c r="AJ10" s="76" t="str">
        <f>"ALTER TABLE ONLY "&amp;エンティティ一覧!$O$2&amp;"."&amp;D$8</f>
        <v>ALTER TABLE ONLY milscm_2023_009.sny_202310_work_gairai_dpc</v>
      </c>
      <c r="AS10" s="76" t="str">
        <f>"ALTER TABLE "&amp;エンティティ一覧!$O$2&amp;"."&amp;D$8&amp;" OWNER TO pgmisgrp1;"</f>
        <v>ALTER TABLE milscm_2023_009.sny_202310_work_gairai_dpc OWNER TO pgmisgrp1;</v>
      </c>
    </row>
    <row r="11" spans="1:52" ht="19.5" thickBot="1">
      <c r="B11" s="20" t="s">
        <v>118</v>
      </c>
      <c r="C11" s="19"/>
      <c r="D11" s="5"/>
      <c r="E11" s="5"/>
      <c r="F11" s="5"/>
      <c r="G11" s="5"/>
      <c r="H11" s="5"/>
      <c r="I11" s="5"/>
      <c r="J11" s="18"/>
      <c r="N11" s="76" t="str">
        <f>"CREATE TABLE  "&amp;エンティティ一覧!$O$2&amp;"."&amp;D$8</f>
        <v>CREATE TABLE  milscm_2023_009.sny_202310_work_gairai_dpc</v>
      </c>
      <c r="O11" s="76"/>
      <c r="P11" s="76"/>
      <c r="Q11" s="76"/>
      <c r="R11" s="76"/>
      <c r="S11" s="76"/>
      <c r="T11" s="76"/>
      <c r="AJ11" s="76" t="str">
        <f>"ADD CONSTRAINT "&amp;D$8&amp;"_pkey PRIMARY KEY"</f>
        <v>ADD CONSTRAINT sny_202310_work_gairai_dpc_pkey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milscm_2023_009.sny_202310_work_gairai_dpc IS 'ワーク_外来_DPC';</v>
      </c>
    </row>
    <row r="13" spans="1:52"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milscm_2023_009.sny_202310_work_gairai_dpc.mask_id IS 'マスクID';</v>
      </c>
    </row>
    <row r="14" spans="1:52" s="25" customFormat="1" ht="19.5" thickBot="1">
      <c r="A14" s="4"/>
      <c r="B14" s="27">
        <f>ROW()-12</f>
        <v>2</v>
      </c>
      <c r="C14" s="57" t="s">
        <v>4193</v>
      </c>
      <c r="D14" s="57" t="s">
        <v>1480</v>
      </c>
      <c r="E14" s="56" t="s">
        <v>127</v>
      </c>
      <c r="F14" s="56" t="s">
        <v>1780</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milscm_2023_009.sny_202310_work_gairai_dpc.gairai_ymd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41</v>
      </c>
      <c r="E4" s="249"/>
      <c r="F4" s="249"/>
      <c r="G4" s="249"/>
      <c r="H4" s="249"/>
      <c r="I4" s="249"/>
      <c r="J4" s="250"/>
    </row>
    <row r="5" spans="1:52">
      <c r="B5" s="262" t="s">
        <v>3702</v>
      </c>
      <c r="C5" s="263"/>
      <c r="D5" s="272" t="str">
        <f>VLOOKUP(D7,エンティティ一覧!A1:'エンティティ一覧'!AM10204,7,FALSE)</f>
        <v>work</v>
      </c>
      <c r="E5" s="273"/>
      <c r="F5" s="273"/>
      <c r="G5" s="273"/>
      <c r="H5" s="273"/>
      <c r="I5" s="273"/>
      <c r="J5" s="274"/>
    </row>
    <row r="6" spans="1:52">
      <c r="B6" s="262" t="s">
        <v>3703</v>
      </c>
      <c r="C6" s="263"/>
      <c r="D6" s="272" t="str">
        <f>VLOOKUP(D7,エンティティ一覧!A1:'エンティティ一覧'!AM10204,15,FALSE)</f>
        <v>ENT_41_07</v>
      </c>
      <c r="E6" s="273"/>
      <c r="F6" s="273"/>
      <c r="G6" s="273"/>
      <c r="H6" s="273"/>
      <c r="I6" s="273"/>
      <c r="J6" s="274"/>
    </row>
    <row r="7" spans="1:52">
      <c r="B7" s="262" t="s">
        <v>115</v>
      </c>
      <c r="C7" s="263"/>
      <c r="D7" s="264" t="s">
        <v>4194</v>
      </c>
      <c r="E7" s="265"/>
      <c r="F7" s="265"/>
      <c r="G7" s="265"/>
      <c r="H7" s="265"/>
      <c r="I7" s="265"/>
      <c r="J7" s="266"/>
    </row>
    <row r="8" spans="1:52">
      <c r="B8" s="262" t="s">
        <v>116</v>
      </c>
      <c r="C8" s="263"/>
      <c r="D8" s="264" t="str">
        <f>エンティティ一覧!AE2&amp;"_"&amp;D5&amp;"_gairai_mml"</f>
        <v>sny_202310_work_gairai_mml</v>
      </c>
      <c r="E8" s="265"/>
      <c r="F8" s="265"/>
      <c r="G8" s="265"/>
      <c r="H8" s="265"/>
      <c r="I8" s="265"/>
      <c r="J8" s="266"/>
    </row>
    <row r="9" spans="1:52" ht="19.5" customHeight="1" thickBot="1">
      <c r="B9" s="267" t="s">
        <v>117</v>
      </c>
      <c r="C9" s="268"/>
      <c r="D9" s="269" t="s">
        <v>4196</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milscm_2023_009.sny_202310_work_gairai_mml;</v>
      </c>
      <c r="O10" s="76"/>
      <c r="P10" s="76"/>
      <c r="Q10" s="76"/>
      <c r="R10" s="76"/>
      <c r="S10" s="76"/>
      <c r="T10" s="76"/>
      <c r="AJ10" s="76" t="str">
        <f>"ALTER TABLE ONLY "&amp;エンティティ一覧!$O$2&amp;"."&amp;D$8</f>
        <v>ALTER TABLE ONLY milscm_2023_009.sny_202310_work_gairai_mml</v>
      </c>
      <c r="AS10" s="76" t="str">
        <f>"ALTER TABLE "&amp;エンティティ一覧!$O$2&amp;"."&amp;D$8&amp;" OWNER TO pgmisgrp1;"</f>
        <v>ALTER TABLE milscm_2023_009.sny_202310_work_gairai_mml OWNER TO pgmisgrp1;</v>
      </c>
    </row>
    <row r="11" spans="1:52" ht="19.5" thickBot="1">
      <c r="B11" s="20" t="s">
        <v>118</v>
      </c>
      <c r="C11" s="19"/>
      <c r="D11" s="5"/>
      <c r="E11" s="5"/>
      <c r="F11" s="5"/>
      <c r="G11" s="5"/>
      <c r="H11" s="5"/>
      <c r="I11" s="5"/>
      <c r="J11" s="18"/>
      <c r="N11" s="76" t="str">
        <f>"CREATE TABLE  "&amp;エンティティ一覧!$O$2&amp;"."&amp;D$8</f>
        <v>CREATE TABLE  milscm_2023_009.sny_202310_work_gairai_mml</v>
      </c>
      <c r="O11" s="76"/>
      <c r="P11" s="76"/>
      <c r="Q11" s="76"/>
      <c r="R11" s="76"/>
      <c r="S11" s="76"/>
      <c r="T11" s="76"/>
      <c r="AJ11" s="76" t="str">
        <f>"ADD CONSTRAINT "&amp;D$8&amp;"_pkey PRIMARY KEY"</f>
        <v>ADD CONSTRAINT sny_202310_work_gairai_mml_pkey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milscm_2023_009.sny_202310_work_gairai_mml IS 'ワーク_外来_MML';</v>
      </c>
    </row>
    <row r="13" spans="1:52"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milscm_2023_009.sny_202310_work_gairai_mml.mask_id IS 'マスクID';</v>
      </c>
    </row>
    <row r="14" spans="1:52" s="25" customFormat="1" ht="19.5" thickBot="1">
      <c r="A14" s="4"/>
      <c r="B14" s="27">
        <f>ROW()-12</f>
        <v>2</v>
      </c>
      <c r="C14" s="57" t="s">
        <v>4193</v>
      </c>
      <c r="D14" s="57" t="s">
        <v>1480</v>
      </c>
      <c r="E14" s="56" t="s">
        <v>127</v>
      </c>
      <c r="F14" s="56" t="s">
        <v>1780</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milscm_2023_009.sny_202310_work_gairai_mml.gairai_ymd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41</v>
      </c>
      <c r="E4" s="249"/>
      <c r="F4" s="249"/>
      <c r="G4" s="249"/>
      <c r="H4" s="249"/>
      <c r="I4" s="249"/>
      <c r="J4" s="250"/>
    </row>
    <row r="5" spans="1:52">
      <c r="B5" s="262" t="s">
        <v>3702</v>
      </c>
      <c r="C5" s="263"/>
      <c r="D5" s="272" t="str">
        <f>VLOOKUP(D7,エンティティ一覧!A1:'エンティティ一覧'!AM10204,7,FALSE)</f>
        <v>work</v>
      </c>
      <c r="E5" s="273"/>
      <c r="F5" s="273"/>
      <c r="G5" s="273"/>
      <c r="H5" s="273"/>
      <c r="I5" s="273"/>
      <c r="J5" s="274"/>
    </row>
    <row r="6" spans="1:52">
      <c r="B6" s="262" t="s">
        <v>3703</v>
      </c>
      <c r="C6" s="263"/>
      <c r="D6" s="272" t="str">
        <f>VLOOKUP(D7,エンティティ一覧!A1:'エンティティ一覧'!AM10204,15,FALSE)</f>
        <v>ENT_41_08</v>
      </c>
      <c r="E6" s="273"/>
      <c r="F6" s="273"/>
      <c r="G6" s="273"/>
      <c r="H6" s="273"/>
      <c r="I6" s="273"/>
      <c r="J6" s="274"/>
    </row>
    <row r="7" spans="1:52">
      <c r="B7" s="262" t="s">
        <v>115</v>
      </c>
      <c r="C7" s="263"/>
      <c r="D7" s="264" t="s">
        <v>4195</v>
      </c>
      <c r="E7" s="265"/>
      <c r="F7" s="265"/>
      <c r="G7" s="265"/>
      <c r="H7" s="265"/>
      <c r="I7" s="265"/>
      <c r="J7" s="266"/>
    </row>
    <row r="8" spans="1:52">
      <c r="B8" s="262" t="s">
        <v>116</v>
      </c>
      <c r="C8" s="263"/>
      <c r="D8" s="264" t="str">
        <f>エンティティ一覧!AE2&amp;"_"&amp;D5&amp;"_gairai"</f>
        <v>sny_202310_work_gairai</v>
      </c>
      <c r="E8" s="265"/>
      <c r="F8" s="265"/>
      <c r="G8" s="265"/>
      <c r="H8" s="265"/>
      <c r="I8" s="265"/>
      <c r="J8" s="266"/>
    </row>
    <row r="9" spans="1:52" ht="19.5" customHeight="1" thickBot="1">
      <c r="B9" s="267" t="s">
        <v>117</v>
      </c>
      <c r="C9" s="268"/>
      <c r="D9" s="269" t="s">
        <v>4197</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milscm_2023_009.sny_202310_work_gairai;</v>
      </c>
      <c r="O10" s="76"/>
      <c r="P10" s="76"/>
      <c r="Q10" s="76"/>
      <c r="R10" s="76"/>
      <c r="S10" s="76"/>
      <c r="T10" s="76"/>
      <c r="AJ10" s="76" t="str">
        <f>"ALTER TABLE ONLY "&amp;エンティティ一覧!$O$2&amp;"."&amp;D$8</f>
        <v>ALTER TABLE ONLY milscm_2023_009.sny_202310_work_gairai</v>
      </c>
      <c r="AS10" s="76" t="str">
        <f>"ALTER TABLE "&amp;エンティティ一覧!$O$2&amp;"."&amp;D$8&amp;" OWNER TO pgmisgrp1;"</f>
        <v>ALTER TABLE milscm_2023_009.sny_202310_work_gairai OWNER TO pgmisgrp1;</v>
      </c>
    </row>
    <row r="11" spans="1:52" ht="19.5" thickBot="1">
      <c r="B11" s="20" t="s">
        <v>118</v>
      </c>
      <c r="C11" s="19"/>
      <c r="D11" s="5"/>
      <c r="E11" s="5"/>
      <c r="F11" s="5"/>
      <c r="G11" s="5"/>
      <c r="H11" s="5"/>
      <c r="I11" s="5"/>
      <c r="J11" s="18"/>
      <c r="N11" s="76" t="str">
        <f>"CREATE TABLE  "&amp;エンティティ一覧!$O$2&amp;"."&amp;D$8</f>
        <v>CREATE TABLE  milscm_2023_009.sny_202310_work_gairai</v>
      </c>
      <c r="O11" s="76"/>
      <c r="P11" s="76"/>
      <c r="Q11" s="76"/>
      <c r="R11" s="76"/>
      <c r="S11" s="76"/>
      <c r="T11" s="76"/>
      <c r="AJ11" s="76" t="str">
        <f>"ADD CONSTRAINT "&amp;D$8&amp;"_pkey PRIMARY KEY"</f>
        <v>ADD CONSTRAINT sny_202310_work_gairai_pkey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 IS 'ワーク_外来';</v>
      </c>
    </row>
    <row r="13" spans="1:52"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milscm_2023_009.sny_202310_work_gairai.mask_id IS 'マスクID';</v>
      </c>
    </row>
    <row r="14" spans="1:52" s="25" customFormat="1" ht="19.5" thickBot="1">
      <c r="A14" s="4"/>
      <c r="B14" s="27">
        <f>ROW()-12</f>
        <v>2</v>
      </c>
      <c r="C14" s="57" t="s">
        <v>4193</v>
      </c>
      <c r="D14" s="57" t="s">
        <v>1480</v>
      </c>
      <c r="E14" s="56" t="s">
        <v>127</v>
      </c>
      <c r="F14" s="56" t="s">
        <v>1780</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ENT_41_09</v>
      </c>
      <c r="E6" s="273"/>
      <c r="F6" s="273"/>
      <c r="G6" s="273"/>
      <c r="H6" s="273"/>
      <c r="I6" s="273"/>
      <c r="J6" s="274"/>
    </row>
    <row r="7" spans="1:45">
      <c r="B7" s="262" t="s">
        <v>115</v>
      </c>
      <c r="C7" s="263"/>
      <c r="D7" s="264" t="s">
        <v>4198</v>
      </c>
      <c r="E7" s="265"/>
      <c r="F7" s="265"/>
      <c r="G7" s="265"/>
      <c r="H7" s="265"/>
      <c r="I7" s="265"/>
      <c r="J7" s="266"/>
    </row>
    <row r="8" spans="1:45">
      <c r="B8" s="262" t="s">
        <v>116</v>
      </c>
      <c r="C8" s="263"/>
      <c r="D8" s="264" t="str">
        <f>エンティティ一覧!AE2&amp;"_"&amp;D5&amp;"_shohou"</f>
        <v>sny_202310_work_shohou</v>
      </c>
      <c r="E8" s="265"/>
      <c r="F8" s="265"/>
      <c r="G8" s="265"/>
      <c r="H8" s="265"/>
      <c r="I8" s="265"/>
      <c r="J8" s="266"/>
    </row>
    <row r="9" spans="1:45" ht="19.5" customHeight="1" thickBot="1">
      <c r="B9" s="267" t="s">
        <v>117</v>
      </c>
      <c r="C9" s="268"/>
      <c r="D9" s="269" t="s">
        <v>4206</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milscm_2023_009.sny_202310_work_shohou;</v>
      </c>
      <c r="O10" s="76"/>
      <c r="P10" s="76"/>
      <c r="Q10" s="76"/>
      <c r="R10" s="76"/>
      <c r="S10" s="76"/>
      <c r="T10" s="76"/>
      <c r="AJ10" s="76" t="str">
        <f>"ALTER TABLE ONLY "&amp;エンティティ一覧!$O$2&amp;"."&amp;D$8</f>
        <v>ALTER TABLE ONLY milscm_2023_009.sny_202310_work_shohou</v>
      </c>
      <c r="AS10" s="76" t="str">
        <f>"ALTER TABLE "&amp;エンティティ一覧!$O$2&amp;"."&amp;D$8&amp;" OWNER TO pgmisgrp1;"</f>
        <v>ALTER TABLE milscm_2023_009.sny_202310_work_shohou OWNER TO pgmisgrp1;</v>
      </c>
    </row>
    <row r="11" spans="1:45" ht="19.5" thickBot="1">
      <c r="B11" s="20" t="s">
        <v>118</v>
      </c>
      <c r="C11" s="19"/>
      <c r="D11" s="5"/>
      <c r="E11" s="5"/>
      <c r="F11" s="5"/>
      <c r="G11" s="5"/>
      <c r="H11" s="5"/>
      <c r="I11" s="5"/>
      <c r="J11" s="18"/>
      <c r="N11" s="76" t="str">
        <f>"CREATE TABLE  "&amp;エンティティ一覧!$O$2&amp;"."&amp;D$8</f>
        <v>CREATE TABLE  milscm_2023_009.sny_202310_work_shohou</v>
      </c>
      <c r="O11" s="76"/>
      <c r="P11" s="76"/>
      <c r="Q11" s="76"/>
      <c r="R11" s="76"/>
      <c r="S11" s="76"/>
      <c r="T11" s="76"/>
      <c r="AJ11" s="76" t="str">
        <f>"ADD CONSTRAINT "&amp;D$8&amp;"_pkey PRIMARY KEY"</f>
        <v>ADD CONSTRAINT sny_202310_work_shohou_pkey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milscm_2023_009.sny_202310_work_shohou IS 'ワーク_処方データ';</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milscm_2023_009.sny_202310_work_shohou.mask_id IS 'マスクID';</v>
      </c>
    </row>
    <row r="14" spans="1:45" s="25" customFormat="1">
      <c r="A14" s="4"/>
      <c r="B14" s="21">
        <f t="shared" ref="B14:B16" si="2">ROW()-12</f>
        <v>2</v>
      </c>
      <c r="C14" s="6" t="s">
        <v>145</v>
      </c>
      <c r="D14" s="6" t="s">
        <v>154</v>
      </c>
      <c r="E14" s="8" t="s">
        <v>127</v>
      </c>
      <c r="F14" s="7" t="s">
        <v>1780</v>
      </c>
      <c r="G14" s="7" t="str">
        <f t="shared" ref="G14:G16" si="3">IF(F14="フラグ","boolean",IF(F14="文字列","text",IF(F14="整数","integer",IF(F14="実数","numeric",""))))</f>
        <v>text</v>
      </c>
      <c r="H14" s="26"/>
      <c r="I14" s="10" t="s">
        <v>127</v>
      </c>
      <c r="J14" s="11"/>
      <c r="M14" s="4"/>
      <c r="N14" s="76"/>
      <c r="O14" s="76"/>
      <c r="P14" s="76" t="str">
        <f t="shared" ref="P14:P16" si="4">IF(B14&lt;&gt;1,","&amp;D14,D14)</f>
        <v>,receipt_densan_code</v>
      </c>
      <c r="Q14" s="76" t="str">
        <f t="shared" ref="Q14:Q16" si="5">UPPER(G14)</f>
        <v>TEXT</v>
      </c>
      <c r="R14" s="76" t="str">
        <f t="shared" ref="R14:R16" si="6">IF(H14&lt;&gt;"","default "&amp;IF(G14="text","'"&amp;H14&amp;"'",H14),"")</f>
        <v/>
      </c>
      <c r="S14" s="76" t="str">
        <f t="shared" ref="S14:S16" si="7">IF(I14="○","NOT NULL","")</f>
        <v>NOT NULL</v>
      </c>
      <c r="T14" s="76" t="str">
        <f t="shared" ref="T14:T16" si="8">"-- "&amp;C14</f>
        <v>-- レセプト電算処理システム用コード</v>
      </c>
      <c r="U14" s="4"/>
      <c r="AA14" s="4"/>
      <c r="AB14" s="4"/>
      <c r="AC14" s="4"/>
      <c r="AD14" s="4"/>
      <c r="AE14" s="4"/>
      <c r="AF14" s="4"/>
      <c r="AG14" s="4"/>
      <c r="AH14" s="4"/>
      <c r="AI14" s="4"/>
      <c r="AJ14" s="76" t="str">
        <f>IF(E14="○",IF(COUNTA(E$13:E14)=1,"",",")&amp;D14,"")</f>
        <v>,receipt_densan_code</v>
      </c>
      <c r="AK14" s="4"/>
      <c r="AL14" s="4"/>
      <c r="AM14" s="4"/>
      <c r="AN14" s="4"/>
      <c r="AO14" s="4"/>
      <c r="AP14" s="4"/>
      <c r="AQ14" s="4"/>
      <c r="AR14" s="4"/>
      <c r="AS14" s="76" t="str">
        <f>"COMMENT ON COLUMN "&amp;エンティティ一覧!$O$2&amp;"."&amp;D$8&amp;"."&amp;D14&amp;" IS '"&amp;C14&amp;"';"</f>
        <v>COMMENT ON COLUMN milscm_2023_009.sny_202310_work_shohou.receipt_densan_code IS 'レセプト電算処理システム用コード';</v>
      </c>
    </row>
    <row r="15" spans="1:45" s="25" customFormat="1">
      <c r="A15" s="4"/>
      <c r="B15" s="21">
        <f t="shared" si="2"/>
        <v>3</v>
      </c>
      <c r="C15" s="6" t="s">
        <v>4199</v>
      </c>
      <c r="D15" s="6" t="s">
        <v>129</v>
      </c>
      <c r="E15" s="8"/>
      <c r="F15" s="7" t="s">
        <v>4200</v>
      </c>
      <c r="G15" s="7" t="str">
        <f t="shared" si="3"/>
        <v>numeric</v>
      </c>
      <c r="H15" s="26"/>
      <c r="I15" s="10"/>
      <c r="J15" s="11"/>
      <c r="M15" s="4"/>
      <c r="N15" s="76"/>
      <c r="O15" s="76"/>
      <c r="P15" s="76" t="str">
        <f t="shared" si="4"/>
        <v>,shiyoryo</v>
      </c>
      <c r="Q15" s="76" t="str">
        <f t="shared" si="5"/>
        <v>NUMERIC</v>
      </c>
      <c r="R15" s="76" t="str">
        <f t="shared" si="6"/>
        <v/>
      </c>
      <c r="S15" s="76" t="str">
        <f t="shared" si="7"/>
        <v/>
      </c>
      <c r="T15" s="76" t="str">
        <f t="shared" si="8"/>
        <v>-- 使用量</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milscm_2023_009.sny_202310_work_shohou.shiyoryo IS '使用量';</v>
      </c>
    </row>
    <row r="16" spans="1:45" s="25" customFormat="1">
      <c r="A16" s="4"/>
      <c r="B16" s="21">
        <f t="shared" si="2"/>
        <v>4</v>
      </c>
      <c r="C16" s="6" t="s">
        <v>4201</v>
      </c>
      <c r="D16" s="6" t="s">
        <v>276</v>
      </c>
      <c r="E16" s="8"/>
      <c r="F16" s="7" t="s">
        <v>1780</v>
      </c>
      <c r="G16" s="7" t="str">
        <f t="shared" si="3"/>
        <v>text</v>
      </c>
      <c r="H16" s="26"/>
      <c r="I16" s="10"/>
      <c r="J16" s="11"/>
      <c r="M16" s="4"/>
      <c r="N16" s="76"/>
      <c r="O16" s="76"/>
      <c r="P16" s="76" t="str">
        <f t="shared" si="4"/>
        <v>,unit</v>
      </c>
      <c r="Q16" s="76" t="str">
        <f t="shared" si="5"/>
        <v>TEXT</v>
      </c>
      <c r="R16" s="76" t="str">
        <f t="shared" si="6"/>
        <v/>
      </c>
      <c r="S16" s="76" t="str">
        <f t="shared" si="7"/>
        <v/>
      </c>
      <c r="T16" s="76" t="str">
        <f t="shared" si="8"/>
        <v>-- 基準単位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milscm_2023_009.sny_202310_work_shohou.unit IS '基準単位';</v>
      </c>
    </row>
    <row r="17" spans="1:52" s="25" customFormat="1">
      <c r="A17" s="4"/>
      <c r="B17" s="21">
        <f t="shared" ref="B17" si="9">ROW()-12</f>
        <v>5</v>
      </c>
      <c r="C17" s="6" t="s">
        <v>4202</v>
      </c>
      <c r="D17" s="6" t="s">
        <v>133</v>
      </c>
      <c r="E17" s="8"/>
      <c r="F17" s="7" t="s">
        <v>4200</v>
      </c>
      <c r="G17" s="7" t="str">
        <f t="shared" ref="G17:G18" si="10">IF(F17="フラグ","boolean",IF(F17="文字列","text",IF(F17="整数","integer",IF(F17="実数","numeric",""))))</f>
        <v>numeric</v>
      </c>
      <c r="H17" s="26"/>
      <c r="I17" s="10"/>
      <c r="J17" s="11"/>
      <c r="M17" s="4"/>
      <c r="N17" s="76"/>
      <c r="O17" s="76"/>
      <c r="P17" s="76" t="str">
        <f t="shared" ref="P17:P18" si="11">IF(B17&lt;&gt;1,","&amp;D17,D17)</f>
        <v>,koi_times</v>
      </c>
      <c r="Q17" s="76" t="str">
        <f t="shared" si="0"/>
        <v>NUMERIC</v>
      </c>
      <c r="R17" s="76" t="str">
        <f t="shared" si="1"/>
        <v/>
      </c>
      <c r="S17" s="76" t="str">
        <f>IF(I17="○","NOT NULL","")</f>
        <v/>
      </c>
      <c r="T17" s="76" t="str">
        <f>"-- "&amp;C17</f>
        <v>-- 行為回数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milscm_2023_009.sny_202310_work_shohou.koi_times IS '行為回数';</v>
      </c>
    </row>
    <row r="18" spans="1:52" s="25" customFormat="1">
      <c r="A18" s="4"/>
      <c r="B18" s="134">
        <f>ROW()-12</f>
        <v>6</v>
      </c>
      <c r="C18" s="13" t="s">
        <v>4203</v>
      </c>
      <c r="D18" s="13" t="s">
        <v>155</v>
      </c>
      <c r="E18" s="7" t="s">
        <v>127</v>
      </c>
      <c r="F18" s="7" t="s">
        <v>1780</v>
      </c>
      <c r="G18" s="7" t="str">
        <f t="shared" si="10"/>
        <v>text</v>
      </c>
      <c r="H18" s="58"/>
      <c r="I18" s="23" t="s">
        <v>127</v>
      </c>
      <c r="J18" s="122"/>
      <c r="N18" s="76"/>
      <c r="O18" s="76"/>
      <c r="P18" s="76" t="str">
        <f t="shared" si="11"/>
        <v>,jisshi_ymd</v>
      </c>
      <c r="Q18" s="76" t="str">
        <f t="shared" si="0"/>
        <v>TEXT</v>
      </c>
      <c r="R18" s="76" t="str">
        <f t="shared" si="1"/>
        <v/>
      </c>
      <c r="S18" s="76" t="str">
        <f t="shared" ref="S18" si="12">IF(I18="○","NOT NULL","")</f>
        <v>NOT NULL</v>
      </c>
      <c r="T18" s="76" t="str">
        <f t="shared" ref="T18" si="13">"-- "&amp;C18</f>
        <v>-- 実施年月日</v>
      </c>
      <c r="U18" s="4"/>
      <c r="AA18" s="4"/>
      <c r="AB18" s="4"/>
      <c r="AC18" s="4"/>
      <c r="AD18" s="4"/>
      <c r="AE18" s="4"/>
      <c r="AF18" s="4"/>
      <c r="AG18" s="4"/>
      <c r="AH18" s="4"/>
      <c r="AI18" s="4"/>
      <c r="AJ18" s="76" t="str">
        <f>IF(E18="○",IF(COUNTA(E$13:E18)=1,"",",")&amp;D18,"")</f>
        <v>,jisshi_ymd</v>
      </c>
      <c r="AK18" s="4"/>
      <c r="AL18" s="4"/>
      <c r="AM18" s="4"/>
      <c r="AN18" s="4"/>
      <c r="AO18" s="4"/>
      <c r="AP18" s="4"/>
      <c r="AQ18" s="4"/>
      <c r="AR18" s="4"/>
      <c r="AS18" s="76" t="str">
        <f>"COMMENT ON COLUMN "&amp;エンティティ一覧!$O$2&amp;"."&amp;D$8&amp;"."&amp;D18&amp;" IS '"&amp;C18&amp;"';"</f>
        <v>COMMENT ON COLUMN milscm_2023_009.sny_202310_work_shohou.jisshi_ymd IS '実施年月日';</v>
      </c>
    </row>
    <row r="19" spans="1:52" s="25" customFormat="1" ht="19.5" thickBot="1">
      <c r="A19" s="4"/>
      <c r="B19" s="131">
        <f>ROW()-12</f>
        <v>7</v>
      </c>
      <c r="C19" s="132" t="s">
        <v>4561</v>
      </c>
      <c r="D19" s="132" t="s">
        <v>4562</v>
      </c>
      <c r="E19" s="72" t="s">
        <v>127</v>
      </c>
      <c r="F19" s="72" t="s">
        <v>4302</v>
      </c>
      <c r="G19" s="72" t="str">
        <f t="shared" ref="G19" si="14">IF(F19="フラグ","boolean",IF(F19="文字列","text",IF(F19="整数","integer",IF(F19="実数","numeric",""))))</f>
        <v>integer</v>
      </c>
      <c r="H19" s="73"/>
      <c r="I19" s="74" t="s">
        <v>127</v>
      </c>
      <c r="J19" s="133" t="s">
        <v>4563</v>
      </c>
      <c r="N19" s="76"/>
      <c r="O19" s="76"/>
      <c r="P19" s="76" t="str">
        <f t="shared" ref="P19" si="15">IF(B19&lt;&gt;1,","&amp;D19,D19)</f>
        <v>,row_no</v>
      </c>
      <c r="Q19" s="76" t="str">
        <f t="shared" ref="Q19" si="16">UPPER(G19)</f>
        <v>INTEGER</v>
      </c>
      <c r="R19" s="76" t="str">
        <f t="shared" ref="R19" si="17">IF(H19&lt;&gt;"","default "&amp;IF(G19="text","'"&amp;H19&amp;"'",H19),"")</f>
        <v/>
      </c>
      <c r="S19" s="76" t="str">
        <f t="shared" ref="S19" si="18">IF(I19="○","NOT NULL","")</f>
        <v>NOT NULL</v>
      </c>
      <c r="T19" s="76" t="str">
        <f t="shared" ref="T19" si="19">"-- "&amp;C19</f>
        <v>-- 行番号</v>
      </c>
      <c r="U19" s="4"/>
      <c r="AA19" s="4"/>
      <c r="AB19" s="4"/>
      <c r="AC19" s="4"/>
      <c r="AD19" s="4"/>
      <c r="AE19" s="4"/>
      <c r="AF19" s="4"/>
      <c r="AG19" s="4"/>
      <c r="AH19" s="4"/>
      <c r="AI19" s="4"/>
      <c r="AJ19" s="76" t="str">
        <f>IF(E19="○",IF(COUNTA(E$13:E19)=1,"",",")&amp;D19,"")</f>
        <v>,row_no</v>
      </c>
      <c r="AK19" s="4"/>
      <c r="AL19" s="4"/>
      <c r="AM19" s="4"/>
      <c r="AN19" s="4"/>
      <c r="AO19" s="4"/>
      <c r="AP19" s="4"/>
      <c r="AQ19" s="4"/>
      <c r="AR19" s="4"/>
      <c r="AS19" s="76" t="str">
        <f>"COMMENT ON COLUMN "&amp;エンティティ一覧!$O$2&amp;"."&amp;D$8&amp;"."&amp;D19&amp;" IS '"&amp;C19&amp;"';"</f>
        <v>COMMENT ON COLUMN milscm_2023_009.sny_202310_work_shohou.row_no IS '行番号';</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1912</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41</v>
      </c>
      <c r="E4" s="249"/>
      <c r="F4" s="249"/>
      <c r="G4" s="249"/>
      <c r="H4" s="249"/>
      <c r="I4" s="249"/>
      <c r="J4" s="250"/>
    </row>
    <row r="5" spans="1:52">
      <c r="B5" s="262" t="s">
        <v>3702</v>
      </c>
      <c r="C5" s="263"/>
      <c r="D5" s="272" t="str">
        <f>VLOOKUP(D7,エンティティ一覧!A1:'エンティティ一覧'!AM10204,7,FALSE)</f>
        <v>work</v>
      </c>
      <c r="E5" s="273"/>
      <c r="F5" s="273"/>
      <c r="G5" s="273"/>
      <c r="H5" s="273"/>
      <c r="I5" s="273"/>
      <c r="J5" s="274"/>
    </row>
    <row r="6" spans="1:52">
      <c r="B6" s="262" t="s">
        <v>3703</v>
      </c>
      <c r="C6" s="263"/>
      <c r="D6" s="272" t="str">
        <f>VLOOKUP(D7,エンティティ一覧!A1:'エンティティ一覧'!AM10204,15,FALSE)</f>
        <v>ENT_41_10</v>
      </c>
      <c r="E6" s="273"/>
      <c r="F6" s="273"/>
      <c r="G6" s="273"/>
      <c r="H6" s="273"/>
      <c r="I6" s="273"/>
      <c r="J6" s="274"/>
    </row>
    <row r="7" spans="1:52">
      <c r="B7" s="262" t="s">
        <v>115</v>
      </c>
      <c r="C7" s="263"/>
      <c r="D7" s="264" t="s">
        <v>4143</v>
      </c>
      <c r="E7" s="265"/>
      <c r="F7" s="265"/>
      <c r="G7" s="265"/>
      <c r="H7" s="265"/>
      <c r="I7" s="265"/>
      <c r="J7" s="266"/>
    </row>
    <row r="8" spans="1:52">
      <c r="B8" s="262" t="s">
        <v>116</v>
      </c>
      <c r="C8" s="263"/>
      <c r="D8" s="264" t="str">
        <f>エンティティ一覧!AE2&amp;"_"&amp;D5&amp;"_shinryou_koui"</f>
        <v>sny_202310_work_shinryou_koui</v>
      </c>
      <c r="E8" s="265"/>
      <c r="F8" s="265"/>
      <c r="G8" s="265"/>
      <c r="H8" s="265"/>
      <c r="I8" s="265"/>
      <c r="J8" s="266"/>
    </row>
    <row r="9" spans="1:52" ht="19.5" customHeight="1" thickBot="1">
      <c r="B9" s="267" t="s">
        <v>117</v>
      </c>
      <c r="C9" s="268"/>
      <c r="D9" s="269" t="s">
        <v>4205</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milscm_2023_009.sny_202310_work_shinryou_koui;</v>
      </c>
      <c r="O10" s="76"/>
      <c r="P10" s="76"/>
      <c r="Q10" s="76"/>
      <c r="R10" s="76"/>
      <c r="S10" s="76"/>
      <c r="T10" s="76"/>
      <c r="AJ10" s="76" t="str">
        <f>"ALTER TABLE ONLY "&amp;エンティティ一覧!$O$2&amp;"."&amp;D$8</f>
        <v>ALTER TABLE ONLY milscm_2023_009.sny_202310_work_shinryou_koui</v>
      </c>
      <c r="AS10" s="76" t="str">
        <f>"ALTER TABLE "&amp;エンティティ一覧!$O$2&amp;"."&amp;D$8&amp;" OWNER TO pgmisgrp1;"</f>
        <v>ALTER TABLE milscm_2023_009.sny_202310_work_shinryou_koui OWNER TO pgmisgrp1;</v>
      </c>
    </row>
    <row r="11" spans="1:52" ht="19.5" thickBot="1">
      <c r="B11" s="20" t="s">
        <v>118</v>
      </c>
      <c r="C11" s="19"/>
      <c r="D11" s="5"/>
      <c r="E11" s="5"/>
      <c r="F11" s="5"/>
      <c r="G11" s="5"/>
      <c r="H11" s="5"/>
      <c r="I11" s="5"/>
      <c r="J11" s="18"/>
      <c r="N11" s="76" t="str">
        <f>"CREATE TABLE  "&amp;エンティティ一覧!$O$2&amp;"."&amp;D$8</f>
        <v>CREATE TABLE  milscm_2023_009.sny_202310_work_shinryou_koui</v>
      </c>
      <c r="O11" s="76"/>
      <c r="P11" s="76"/>
      <c r="Q11" s="76"/>
      <c r="R11" s="76"/>
      <c r="S11" s="76"/>
      <c r="T11" s="76"/>
      <c r="AJ11" s="76" t="str">
        <f>"ADD CONSTRAINT "&amp;D$8&amp;"_pkey PRIMARY KEY"</f>
        <v>ADD CONSTRAINT sny_202310_work_shinryou_koui_pkey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milscm_2023_009.sny_202310_work_shinryou_koui IS 'ワーク_診療行為データ';</v>
      </c>
    </row>
    <row r="13" spans="1:52"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milscm_2023_009.sny_202310_work_shinryou_koui.mask_id IS 'マスクID';</v>
      </c>
    </row>
    <row r="14" spans="1:52" s="25" customFormat="1">
      <c r="A14" s="4"/>
      <c r="B14" s="21">
        <f t="shared" ref="B14" si="2">ROW()-12</f>
        <v>2</v>
      </c>
      <c r="C14" s="6" t="s">
        <v>145</v>
      </c>
      <c r="D14" s="6" t="s">
        <v>154</v>
      </c>
      <c r="E14" s="8" t="s">
        <v>127</v>
      </c>
      <c r="F14" s="7" t="s">
        <v>1780</v>
      </c>
      <c r="G14" s="7" t="str">
        <f t="shared" ref="G14:G15" si="3">IF(F14="フラグ","boolean",IF(F14="文字列","text",IF(F14="整数","integer",IF(F14="実数","numeric",""))))</f>
        <v>text</v>
      </c>
      <c r="H14" s="26"/>
      <c r="I14" s="10" t="s">
        <v>127</v>
      </c>
      <c r="J14" s="11"/>
      <c r="M14" s="4"/>
      <c r="N14" s="76"/>
      <c r="O14" s="76"/>
      <c r="P14" s="76" t="str">
        <f t="shared" ref="P14:P15" si="4">IF(B14&lt;&gt;1,","&amp;D14,D14)</f>
        <v>,receipt_densan_code</v>
      </c>
      <c r="Q14" s="76" t="str">
        <f t="shared" si="0"/>
        <v>TEXT</v>
      </c>
      <c r="R14" s="76" t="str">
        <f t="shared" si="1"/>
        <v/>
      </c>
      <c r="S14" s="76" t="str">
        <f t="shared" ref="S14" si="5">IF(I14="○","NOT NULL","")</f>
        <v>NOT NULL</v>
      </c>
      <c r="T14" s="76" t="str">
        <f t="shared" ref="T14" si="6">"-- "&amp;C14</f>
        <v>-- レセプト電算処理システム用コード</v>
      </c>
      <c r="U14" s="4"/>
      <c r="AA14" s="4"/>
      <c r="AB14" s="4"/>
      <c r="AC14" s="4"/>
      <c r="AD14" s="4"/>
      <c r="AE14" s="4"/>
      <c r="AF14" s="4"/>
      <c r="AG14" s="4"/>
      <c r="AH14" s="4"/>
      <c r="AI14" s="4"/>
      <c r="AJ14" s="76" t="str">
        <f>IF(E14="○",IF(COUNTA(E$13:E14)=1,"",",")&amp;D14,"")</f>
        <v>,receipt_densan_code</v>
      </c>
      <c r="AK14" s="4"/>
      <c r="AL14" s="4"/>
      <c r="AM14" s="4"/>
      <c r="AN14" s="4"/>
      <c r="AO14" s="4"/>
      <c r="AP14" s="4"/>
      <c r="AQ14" s="4"/>
      <c r="AR14" s="4"/>
      <c r="AS14" s="76" t="str">
        <f>"COMMENT ON COLUMN "&amp;エンティティ一覧!$O$2&amp;"."&amp;D$8&amp;"."&amp;D14&amp;" IS '"&amp;C14&amp;"';"</f>
        <v>COMMENT ON COLUMN milscm_2023_009.sny_202310_work_shinryou_koui.receipt_densan_code IS 'レセプト電算処理システム用コード';</v>
      </c>
    </row>
    <row r="15" spans="1:52" s="25" customFormat="1" ht="19.5" thickBot="1">
      <c r="A15" s="4"/>
      <c r="B15" s="27">
        <f>ROW()-12</f>
        <v>3</v>
      </c>
      <c r="C15" s="57" t="s">
        <v>4203</v>
      </c>
      <c r="D15" s="57" t="s">
        <v>155</v>
      </c>
      <c r="E15" s="56" t="s">
        <v>127</v>
      </c>
      <c r="F15" s="56" t="s">
        <v>1780</v>
      </c>
      <c r="G15" s="56" t="str">
        <f t="shared" si="3"/>
        <v>text</v>
      </c>
      <c r="H15" s="59"/>
      <c r="I15" s="60" t="s">
        <v>127</v>
      </c>
      <c r="J15" s="64"/>
      <c r="N15" s="76"/>
      <c r="O15" s="76"/>
      <c r="P15" s="76" t="str">
        <f t="shared" si="4"/>
        <v>,jisshi_ymd</v>
      </c>
      <c r="Q15" s="76" t="str">
        <f t="shared" si="0"/>
        <v>TEXT</v>
      </c>
      <c r="R15" s="76" t="str">
        <f t="shared" si="1"/>
        <v/>
      </c>
      <c r="S15" s="76" t="str">
        <f t="shared" ref="S15" si="7">IF(I15="○","NOT NULL","")</f>
        <v>NOT NULL</v>
      </c>
      <c r="T15" s="76" t="str">
        <f t="shared" ref="T15" si="8">"-- "&amp;C15</f>
        <v>-- 実施年月日</v>
      </c>
      <c r="U15" s="4"/>
      <c r="AA15" s="4"/>
      <c r="AB15" s="4"/>
      <c r="AC15" s="4"/>
      <c r="AD15" s="4"/>
      <c r="AE15" s="4"/>
      <c r="AF15" s="4"/>
      <c r="AG15" s="4"/>
      <c r="AH15" s="4"/>
      <c r="AI15" s="4"/>
      <c r="AJ15" s="76" t="str">
        <f>IF(E15="○",IF(COUNTA(E$13:E15)=1,"",",")&amp;D15,"")</f>
        <v>,jisshi_ymd</v>
      </c>
      <c r="AK15" s="4"/>
      <c r="AL15" s="4"/>
      <c r="AM15" s="4"/>
      <c r="AN15" s="4"/>
      <c r="AO15" s="4"/>
      <c r="AP15" s="4"/>
      <c r="AQ15" s="4"/>
      <c r="AR15" s="4"/>
      <c r="AS15" s="76" t="str">
        <f>"COMMENT ON COLUMN "&amp;エンティティ一覧!$O$2&amp;"."&amp;D$8&amp;"."&amp;D15&amp;" IS '"&amp;C15&amp;"';"</f>
        <v>COMMENT ON COLUMN milscm_2023_009.sny_202310_work_shinryou_koui.jisshi_ymd IS '実施年月日';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ENT_41_11</v>
      </c>
      <c r="E6" s="273"/>
      <c r="F6" s="273"/>
      <c r="G6" s="273"/>
      <c r="H6" s="273"/>
      <c r="I6" s="273"/>
      <c r="J6" s="274"/>
    </row>
    <row r="7" spans="1:45">
      <c r="B7" s="262" t="s">
        <v>115</v>
      </c>
      <c r="C7" s="263"/>
      <c r="D7" s="264" t="s">
        <v>4210</v>
      </c>
      <c r="E7" s="265"/>
      <c r="F7" s="265"/>
      <c r="G7" s="265"/>
      <c r="H7" s="265"/>
      <c r="I7" s="265"/>
      <c r="J7" s="266"/>
    </row>
    <row r="8" spans="1:45">
      <c r="B8" s="262" t="s">
        <v>116</v>
      </c>
      <c r="C8" s="263"/>
      <c r="D8" s="264" t="str">
        <f>エンティティ一覧!AE2&amp;"_"&amp;D5&amp;"_kensa_scm2"</f>
        <v>sny_202310_work_kensa_scm2</v>
      </c>
      <c r="E8" s="265"/>
      <c r="F8" s="265"/>
      <c r="G8" s="265"/>
      <c r="H8" s="265"/>
      <c r="I8" s="265"/>
      <c r="J8" s="266"/>
    </row>
    <row r="9" spans="1:45" ht="19.5" customHeight="1" thickBot="1">
      <c r="B9" s="267" t="s">
        <v>117</v>
      </c>
      <c r="C9" s="268"/>
      <c r="D9" s="269" t="s">
        <v>4211</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milscm_2023_009.sny_202310_work_kensa_scm2;</v>
      </c>
      <c r="O10" s="76"/>
      <c r="P10" s="76"/>
      <c r="Q10" s="76"/>
      <c r="R10" s="76"/>
      <c r="S10" s="76"/>
      <c r="T10" s="76"/>
      <c r="AJ10" s="76" t="str">
        <f>"ALTER TABLE ONLY "&amp;エンティティ一覧!$O$2&amp;"."&amp;D$8</f>
        <v>ALTER TABLE ONLY milscm_2023_009.sny_202310_work_kensa_scm2</v>
      </c>
      <c r="AS10" s="76" t="str">
        <f>"ALTER TABLE "&amp;エンティティ一覧!$O$2&amp;"."&amp;D$8&amp;" OWNER TO pgmisgrp1;"</f>
        <v>ALTER TABLE milscm_2023_009.sny_202310_work_kensa_scm2 OWNER TO pgmisgrp1;</v>
      </c>
    </row>
    <row r="11" spans="1:45" ht="19.5" thickBot="1">
      <c r="B11" s="20" t="s">
        <v>118</v>
      </c>
      <c r="C11" s="19"/>
      <c r="D11" s="5"/>
      <c r="E11" s="5"/>
      <c r="F11" s="5"/>
      <c r="G11" s="5"/>
      <c r="H11" s="5"/>
      <c r="I11" s="5"/>
      <c r="J11" s="18"/>
      <c r="N11" s="76" t="str">
        <f>"CREATE TABLE  "&amp;エンティティ一覧!$O$2&amp;"."&amp;D$8</f>
        <v>CREATE TABLE  milscm_2023_009.sny_202310_work_kensa_scm2</v>
      </c>
      <c r="O11" s="76"/>
      <c r="P11" s="76"/>
      <c r="Q11" s="76"/>
      <c r="R11" s="76"/>
      <c r="S11" s="76"/>
      <c r="T11" s="76"/>
      <c r="AJ11" s="76" t="str">
        <f>"ADD CONSTRAINT "&amp;D$8&amp;"_pkey PRIMARY KEY"</f>
        <v>ADD CONSTRAINT sny_202310_work_kensa_scm2_pkey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milscm_2023_009.sny_202310_work_kensa_scm2 IS 'ワーク_検体検査データ_スキーマ2';</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22" si="0">UPPER(G13)</f>
        <v>TEXT</v>
      </c>
      <c r="R13" s="76" t="str">
        <f t="shared" ref="R13:R22"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milscm_2023_009.sny_202310_work_kensa_scm2.mask_id IS 'マスクID';</v>
      </c>
    </row>
    <row r="14" spans="1:45" s="25" customFormat="1">
      <c r="A14" s="4"/>
      <c r="B14" s="21">
        <f t="shared" ref="B14:B19" si="2">ROW()-12</f>
        <v>2</v>
      </c>
      <c r="C14" s="6" t="s">
        <v>1606</v>
      </c>
      <c r="D14" s="6" t="s">
        <v>1607</v>
      </c>
      <c r="E14" s="8" t="s">
        <v>127</v>
      </c>
      <c r="F14" s="7" t="s">
        <v>1780</v>
      </c>
      <c r="G14" s="7" t="str">
        <f t="shared" ref="G14:G20" si="3">IF(F14="フラグ","boolean",IF(F14="文字列","text",IF(F14="整数","integer",IF(F14="実数","numeric",""))))</f>
        <v>text</v>
      </c>
      <c r="H14" s="26"/>
      <c r="I14" s="10" t="s">
        <v>127</v>
      </c>
      <c r="J14" s="11"/>
      <c r="M14" s="4"/>
      <c r="N14" s="76"/>
      <c r="O14" s="76"/>
      <c r="P14" s="76" t="str">
        <f t="shared" ref="P14:P20" si="4">IF(B14&lt;&gt;1,","&amp;D14,D14)</f>
        <v>,specimen_name</v>
      </c>
      <c r="Q14" s="76" t="str">
        <f t="shared" ref="Q14:Q20" si="5">UPPER(G14)</f>
        <v>TEXT</v>
      </c>
      <c r="R14" s="76" t="str">
        <f t="shared" ref="R14:R20" si="6">IF(H14&lt;&gt;"","default "&amp;IF(G14="text","'"&amp;H14&amp;"'",H14),"")</f>
        <v/>
      </c>
      <c r="S14" s="76" t="str">
        <f t="shared" ref="S14:S20" si="7">IF(I14="○","NOT NULL","")</f>
        <v>NOT NULL</v>
      </c>
      <c r="T14" s="76" t="str">
        <f t="shared" ref="T14:T20" si="8">"--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milscm_2023_009.sny_202310_work_kensa_scm2.specimen_name IS '検体材料';</v>
      </c>
    </row>
    <row r="15" spans="1:45" s="25" customFormat="1">
      <c r="A15" s="4"/>
      <c r="B15" s="21">
        <f t="shared" si="2"/>
        <v>3</v>
      </c>
      <c r="C15" s="6" t="s">
        <v>1608</v>
      </c>
      <c r="D15" s="6" t="s">
        <v>1609</v>
      </c>
      <c r="E15" s="8" t="s">
        <v>127</v>
      </c>
      <c r="F15" s="7" t="s">
        <v>1780</v>
      </c>
      <c r="G15" s="7" t="str">
        <f t="shared" si="3"/>
        <v>text</v>
      </c>
      <c r="H15" s="26"/>
      <c r="I15" s="10" t="s">
        <v>127</v>
      </c>
      <c r="J15" s="11"/>
      <c r="M15" s="4"/>
      <c r="N15" s="76"/>
      <c r="O15" s="76"/>
      <c r="P15" s="76" t="str">
        <f t="shared" si="4"/>
        <v>,sp_code</v>
      </c>
      <c r="Q15" s="76" t="str">
        <f t="shared" si="5"/>
        <v>TEXT</v>
      </c>
      <c r="R15" s="76" t="str">
        <f t="shared" si="6"/>
        <v/>
      </c>
      <c r="S15" s="76" t="str">
        <f t="shared" si="7"/>
        <v>NOT NULL</v>
      </c>
      <c r="T15" s="76" t="str">
        <f t="shared" si="8"/>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milscm_2023_009.sny_202310_work_kensa_scm2.sp_code IS '検体材料コード';</v>
      </c>
    </row>
    <row r="16" spans="1:45" s="25" customFormat="1">
      <c r="A16" s="4"/>
      <c r="B16" s="21">
        <f t="shared" si="2"/>
        <v>4</v>
      </c>
      <c r="C16" s="6" t="s">
        <v>1623</v>
      </c>
      <c r="D16" s="6" t="s">
        <v>1624</v>
      </c>
      <c r="E16" s="8" t="s">
        <v>127</v>
      </c>
      <c r="F16" s="7" t="s">
        <v>1780</v>
      </c>
      <c r="G16" s="7" t="str">
        <f t="shared" si="3"/>
        <v>text</v>
      </c>
      <c r="H16" s="26"/>
      <c r="I16" s="10" t="s">
        <v>127</v>
      </c>
      <c r="J16" s="11"/>
      <c r="M16" s="4"/>
      <c r="N16" s="76"/>
      <c r="O16" s="76"/>
      <c r="P16" s="76" t="str">
        <f t="shared" si="4"/>
        <v>,item_name</v>
      </c>
      <c r="Q16" s="76" t="str">
        <f t="shared" si="5"/>
        <v>TEXT</v>
      </c>
      <c r="R16" s="76" t="str">
        <f t="shared" si="6"/>
        <v/>
      </c>
      <c r="S16" s="76" t="str">
        <f t="shared" si="7"/>
        <v>NOT NULL</v>
      </c>
      <c r="T16" s="76" t="str">
        <f t="shared" si="8"/>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milscm_2023_009.sny_202310_work_kensa_scm2.item_name IS '項目名';</v>
      </c>
    </row>
    <row r="17" spans="1:52" s="25" customFormat="1">
      <c r="A17" s="4"/>
      <c r="B17" s="21">
        <f t="shared" si="2"/>
        <v>5</v>
      </c>
      <c r="C17" s="6" t="s">
        <v>1625</v>
      </c>
      <c r="D17" s="6" t="s">
        <v>1626</v>
      </c>
      <c r="E17" s="8" t="s">
        <v>127</v>
      </c>
      <c r="F17" s="7" t="s">
        <v>1780</v>
      </c>
      <c r="G17" s="7" t="str">
        <f t="shared" si="3"/>
        <v>text</v>
      </c>
      <c r="H17" s="26"/>
      <c r="I17" s="10" t="s">
        <v>127</v>
      </c>
      <c r="J17" s="11"/>
      <c r="M17" s="4"/>
      <c r="N17" s="76"/>
      <c r="O17" s="76"/>
      <c r="P17" s="76" t="str">
        <f t="shared" si="4"/>
        <v>,facility_it_code</v>
      </c>
      <c r="Q17" s="76" t="str">
        <f t="shared" si="5"/>
        <v>TEXT</v>
      </c>
      <c r="R17" s="76" t="str">
        <f t="shared" si="6"/>
        <v/>
      </c>
      <c r="S17" s="76" t="str">
        <f t="shared" si="7"/>
        <v>NOT NULL</v>
      </c>
      <c r="T17" s="76" t="str">
        <f t="shared" si="8"/>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milscm_2023_009.sny_202310_work_kensa_scm2.facility_it_code IS '施設固有コード';</v>
      </c>
    </row>
    <row r="18" spans="1:52" s="25" customFormat="1">
      <c r="A18" s="4"/>
      <c r="B18" s="21">
        <f t="shared" si="2"/>
        <v>6</v>
      </c>
      <c r="C18" s="6" t="s">
        <v>1651</v>
      </c>
      <c r="D18" s="6" t="s">
        <v>276</v>
      </c>
      <c r="E18" s="8" t="s">
        <v>127</v>
      </c>
      <c r="F18" s="7" t="s">
        <v>1780</v>
      </c>
      <c r="G18" s="7" t="str">
        <f t="shared" si="3"/>
        <v>text</v>
      </c>
      <c r="H18" s="26"/>
      <c r="I18" s="10" t="s">
        <v>127</v>
      </c>
      <c r="J18" s="11"/>
      <c r="M18" s="4"/>
      <c r="N18" s="76"/>
      <c r="O18" s="76"/>
      <c r="P18" s="76" t="str">
        <f t="shared" si="4"/>
        <v>,unit</v>
      </c>
      <c r="Q18" s="76" t="str">
        <f t="shared" si="5"/>
        <v>TEXT</v>
      </c>
      <c r="R18" s="76" t="str">
        <f t="shared" si="6"/>
        <v/>
      </c>
      <c r="S18" s="76" t="str">
        <f t="shared" si="7"/>
        <v>NOT NULL</v>
      </c>
      <c r="T18" s="76" t="str">
        <f t="shared" si="8"/>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milscm_2023_009.sny_202310_work_kensa_scm2.unit IS '単位';</v>
      </c>
    </row>
    <row r="19" spans="1:52" s="25" customFormat="1">
      <c r="A19" s="4"/>
      <c r="B19" s="21">
        <f t="shared" si="2"/>
        <v>7</v>
      </c>
      <c r="C19" s="6" t="s">
        <v>1548</v>
      </c>
      <c r="D19" s="6" t="s">
        <v>1549</v>
      </c>
      <c r="E19" s="8" t="s">
        <v>127</v>
      </c>
      <c r="F19" s="7" t="s">
        <v>1780</v>
      </c>
      <c r="G19" s="7" t="str">
        <f t="shared" si="3"/>
        <v>text</v>
      </c>
      <c r="H19" s="26"/>
      <c r="I19" s="10" t="s">
        <v>127</v>
      </c>
      <c r="J19" s="11"/>
      <c r="M19" s="4"/>
      <c r="N19" s="76"/>
      <c r="O19" s="76"/>
      <c r="P19" s="76" t="str">
        <f t="shared" si="4"/>
        <v>,sample_time</v>
      </c>
      <c r="Q19" s="76" t="str">
        <f t="shared" si="5"/>
        <v>TEXT</v>
      </c>
      <c r="R19" s="76" t="str">
        <f t="shared" si="6"/>
        <v/>
      </c>
      <c r="S19" s="76" t="str">
        <f t="shared" si="7"/>
        <v>NOT NULL</v>
      </c>
      <c r="T19" s="76" t="str">
        <f t="shared" si="8"/>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milscm_2023_009.sny_202310_work_kensa_scm2.sample_time IS '採取日時';</v>
      </c>
    </row>
    <row r="20" spans="1:52" s="25" customFormat="1" ht="37.5">
      <c r="A20" s="4"/>
      <c r="B20" s="21">
        <f t="shared" ref="B20:B21" si="9">ROW()-12</f>
        <v>8</v>
      </c>
      <c r="C20" s="6" t="s">
        <v>4301</v>
      </c>
      <c r="D20" s="6" t="s">
        <v>4300</v>
      </c>
      <c r="E20" s="8" t="s">
        <v>127</v>
      </c>
      <c r="F20" s="7" t="s">
        <v>4302</v>
      </c>
      <c r="G20" s="7" t="str">
        <f t="shared" si="3"/>
        <v>integer</v>
      </c>
      <c r="H20" s="26"/>
      <c r="I20" s="10" t="s">
        <v>127</v>
      </c>
      <c r="J20" s="11" t="s">
        <v>4306</v>
      </c>
      <c r="M20" s="4"/>
      <c r="N20" s="76"/>
      <c r="O20" s="76"/>
      <c r="P20" s="76" t="str">
        <f t="shared" si="4"/>
        <v>,row_no</v>
      </c>
      <c r="Q20" s="76" t="str">
        <f t="shared" si="5"/>
        <v>INTEGER</v>
      </c>
      <c r="R20" s="76" t="str">
        <f t="shared" si="6"/>
        <v/>
      </c>
      <c r="S20" s="76" t="str">
        <f t="shared" si="7"/>
        <v>NOT NULL</v>
      </c>
      <c r="T20" s="76" t="str">
        <f t="shared" si="8"/>
        <v>-- 行番号</v>
      </c>
      <c r="U20" s="4"/>
      <c r="AA20" s="4"/>
      <c r="AB20" s="4"/>
      <c r="AC20" s="4"/>
      <c r="AD20" s="4"/>
      <c r="AE20" s="4"/>
      <c r="AF20" s="4"/>
      <c r="AG20" s="4"/>
      <c r="AH20" s="4"/>
      <c r="AI20" s="4"/>
      <c r="AJ20" s="76" t="str">
        <f>IF(E20="○",IF(COUNTA(E$13:E20)=1,"",",")&amp;D20,"")</f>
        <v>,row_no</v>
      </c>
      <c r="AK20" s="4"/>
      <c r="AL20" s="4"/>
      <c r="AM20" s="4"/>
      <c r="AN20" s="4"/>
      <c r="AO20" s="4"/>
      <c r="AP20" s="4"/>
      <c r="AQ20" s="4"/>
      <c r="AR20" s="4"/>
      <c r="AS20" s="76" t="str">
        <f>"COMMENT ON COLUMN "&amp;エンティティ一覧!$O$2&amp;"."&amp;D$8&amp;"."&amp;D20&amp;" IS '"&amp;C20&amp;"';"</f>
        <v>COMMENT ON COLUMN milscm_2023_009.sny_202310_work_kensa_scm2.row_no IS '行番号';</v>
      </c>
    </row>
    <row r="21" spans="1:52" s="25" customFormat="1">
      <c r="A21" s="4"/>
      <c r="B21" s="21">
        <f t="shared" si="9"/>
        <v>9</v>
      </c>
      <c r="C21" s="6" t="s">
        <v>1639</v>
      </c>
      <c r="D21" s="6" t="s">
        <v>1640</v>
      </c>
      <c r="E21" s="8"/>
      <c r="F21" s="7" t="s">
        <v>1780</v>
      </c>
      <c r="G21" s="7" t="str">
        <f t="shared" ref="G21:G22" si="10">IF(F21="フラグ","boolean",IF(F21="文字列","text",IF(F21="整数","integer",IF(F21="実数","numeric",""))))</f>
        <v>text</v>
      </c>
      <c r="H21" s="26"/>
      <c r="I21" s="10"/>
      <c r="J21" s="11"/>
      <c r="M21" s="4"/>
      <c r="N21" s="76"/>
      <c r="O21" s="76"/>
      <c r="P21" s="76" t="str">
        <f t="shared" ref="P21:P22" si="11">IF(B21&lt;&gt;1,","&amp;D21,D21)</f>
        <v>,value</v>
      </c>
      <c r="Q21" s="76" t="str">
        <f t="shared" si="0"/>
        <v>TEXT</v>
      </c>
      <c r="R21" s="76" t="str">
        <f t="shared" si="1"/>
        <v/>
      </c>
      <c r="S21" s="76" t="str">
        <f t="shared" ref="S21:S22" si="12">IF(I21="○","NOT NULL","")</f>
        <v/>
      </c>
      <c r="T21" s="76" t="str">
        <f t="shared" ref="T21:T22" si="13">"-- "&amp;C21</f>
        <v>-- 検査結果値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milscm_2023_009.sny_202310_work_kensa_scm2.value IS '検査結果値';</v>
      </c>
    </row>
    <row r="22" spans="1:52" s="25" customFormat="1" ht="19.5" thickBot="1">
      <c r="A22" s="4"/>
      <c r="B22" s="27">
        <f>ROW()-12</f>
        <v>10</v>
      </c>
      <c r="C22" s="57" t="s">
        <v>1641</v>
      </c>
      <c r="D22" s="57" t="s">
        <v>1642</v>
      </c>
      <c r="E22" s="56"/>
      <c r="F22" s="56" t="s">
        <v>1780</v>
      </c>
      <c r="G22" s="56" t="str">
        <f t="shared" si="10"/>
        <v>text</v>
      </c>
      <c r="H22" s="59"/>
      <c r="I22" s="60"/>
      <c r="J22" s="64"/>
      <c r="N22" s="76"/>
      <c r="O22" s="76"/>
      <c r="P22" s="76" t="str">
        <f t="shared" si="11"/>
        <v>,num_value</v>
      </c>
      <c r="Q22" s="76" t="str">
        <f t="shared" si="0"/>
        <v>TEXT</v>
      </c>
      <c r="R22" s="76" t="str">
        <f t="shared" si="1"/>
        <v/>
      </c>
      <c r="S22" s="76" t="str">
        <f t="shared" si="12"/>
        <v/>
      </c>
      <c r="T22" s="76" t="str">
        <f t="shared" si="13"/>
        <v>-- 数値結果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milscm_2023_009.sny_202310_work_kensa_scm2.num_value IS '数値結果';</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ENT_41_12</v>
      </c>
      <c r="E6" s="273"/>
      <c r="F6" s="273"/>
      <c r="G6" s="273"/>
      <c r="H6" s="273"/>
      <c r="I6" s="273"/>
      <c r="J6" s="274"/>
    </row>
    <row r="7" spans="1:45">
      <c r="B7" s="262" t="s">
        <v>115</v>
      </c>
      <c r="C7" s="263"/>
      <c r="D7" s="264" t="s">
        <v>4212</v>
      </c>
      <c r="E7" s="265"/>
      <c r="F7" s="265"/>
      <c r="G7" s="265"/>
      <c r="H7" s="265"/>
      <c r="I7" s="265"/>
      <c r="J7" s="266"/>
    </row>
    <row r="8" spans="1:45">
      <c r="B8" s="262" t="s">
        <v>116</v>
      </c>
      <c r="C8" s="263"/>
      <c r="D8" s="264" t="str">
        <f>エンティティ一覧!AE2&amp;"_"&amp;D5&amp;"_kensa_scm4"</f>
        <v>sny_202310_work_kensa_scm4</v>
      </c>
      <c r="E8" s="265"/>
      <c r="F8" s="265"/>
      <c r="G8" s="265"/>
      <c r="H8" s="265"/>
      <c r="I8" s="265"/>
      <c r="J8" s="266"/>
    </row>
    <row r="9" spans="1:45" ht="19.5" customHeight="1" thickBot="1">
      <c r="B9" s="267" t="s">
        <v>117</v>
      </c>
      <c r="C9" s="268"/>
      <c r="D9" s="269" t="s">
        <v>4213</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milscm_2023_009.sny_202310_work_kensa_scm4;</v>
      </c>
      <c r="O10" s="76"/>
      <c r="P10" s="76"/>
      <c r="Q10" s="76"/>
      <c r="R10" s="76"/>
      <c r="S10" s="76"/>
      <c r="T10" s="76"/>
      <c r="AJ10" s="76" t="str">
        <f>"ALTER TABLE ONLY "&amp;エンティティ一覧!$O$2&amp;"."&amp;D$8</f>
        <v>ALTER TABLE ONLY milscm_2023_009.sny_202310_work_kensa_scm4</v>
      </c>
      <c r="AS10" s="76" t="str">
        <f>"ALTER TABLE "&amp;エンティティ一覧!$O$2&amp;"."&amp;D$8&amp;" OWNER TO pgmisgrp1;"</f>
        <v>ALTER TABLE milscm_2023_009.sny_202310_work_kensa_scm4 OWNER TO pgmisgrp1;</v>
      </c>
    </row>
    <row r="11" spans="1:45" ht="19.5" thickBot="1">
      <c r="B11" s="20" t="s">
        <v>118</v>
      </c>
      <c r="C11" s="19"/>
      <c r="D11" s="5"/>
      <c r="E11" s="5"/>
      <c r="F11" s="5"/>
      <c r="G11" s="5"/>
      <c r="H11" s="5"/>
      <c r="I11" s="5"/>
      <c r="J11" s="18"/>
      <c r="N11" s="76" t="str">
        <f>"CREATE TABLE  "&amp;エンティティ一覧!$O$2&amp;"."&amp;D$8</f>
        <v>CREATE TABLE  milscm_2023_009.sny_202310_work_kensa_scm4</v>
      </c>
      <c r="O11" s="76"/>
      <c r="P11" s="76"/>
      <c r="Q11" s="76"/>
      <c r="R11" s="76"/>
      <c r="S11" s="76"/>
      <c r="T11" s="76"/>
      <c r="AJ11" s="76" t="str">
        <f>"ADD CONSTRAINT "&amp;D$8&amp;"_pkey PRIMARY KEY"</f>
        <v>ADD CONSTRAINT sny_202310_work_kensa_scm4_pkey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milscm_2023_009.sny_202310_work_kensa_scm4 IS 'ワーク_検体検査データ_スキーマ4';</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22" si="0">UPPER(G13)</f>
        <v>TEXT</v>
      </c>
      <c r="R13" s="76" t="str">
        <f t="shared" ref="R13:R22"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milscm_2023_009.sny_202310_work_kensa_scm4.mask_id IS 'マスクID';</v>
      </c>
    </row>
    <row r="14" spans="1:45" s="25" customFormat="1">
      <c r="A14" s="4"/>
      <c r="B14" s="21">
        <f t="shared" ref="B14:B21" si="2">ROW()-12</f>
        <v>2</v>
      </c>
      <c r="C14" s="6" t="s">
        <v>1606</v>
      </c>
      <c r="D14" s="6" t="s">
        <v>1607</v>
      </c>
      <c r="E14" s="8" t="s">
        <v>127</v>
      </c>
      <c r="F14" s="7" t="s">
        <v>1780</v>
      </c>
      <c r="G14" s="7" t="str">
        <f t="shared" ref="G14:G22" si="3">IF(F14="フラグ","boolean",IF(F14="文字列","text",IF(F14="整数","integer",IF(F14="実数","numeric",""))))</f>
        <v>text</v>
      </c>
      <c r="H14" s="26"/>
      <c r="I14" s="10" t="s">
        <v>127</v>
      </c>
      <c r="J14" s="11"/>
      <c r="M14" s="4"/>
      <c r="N14" s="76"/>
      <c r="O14" s="76"/>
      <c r="P14" s="76" t="str">
        <f t="shared" ref="P14:P22" si="4">IF(B14&lt;&gt;1,","&amp;D14,D14)</f>
        <v>,specimen_name</v>
      </c>
      <c r="Q14" s="76" t="str">
        <f t="shared" si="0"/>
        <v>TEXT</v>
      </c>
      <c r="R14" s="76" t="str">
        <f t="shared" si="1"/>
        <v/>
      </c>
      <c r="S14" s="76" t="str">
        <f t="shared" ref="S14:S22" si="5">IF(I14="○","NOT NULL","")</f>
        <v>NOT NULL</v>
      </c>
      <c r="T14" s="76" t="str">
        <f t="shared" ref="T14:T22" si="6">"--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milscm_2023_009.sny_202310_work_kensa_scm4.specimen_name IS '検体材料';</v>
      </c>
    </row>
    <row r="15" spans="1:45" s="25" customFormat="1">
      <c r="A15" s="4"/>
      <c r="B15" s="21">
        <f t="shared" si="2"/>
        <v>3</v>
      </c>
      <c r="C15" s="6" t="s">
        <v>1608</v>
      </c>
      <c r="D15" s="6" t="s">
        <v>1609</v>
      </c>
      <c r="E15" s="8" t="s">
        <v>127</v>
      </c>
      <c r="F15" s="7" t="s">
        <v>1780</v>
      </c>
      <c r="G15" s="7" t="str">
        <f t="shared" si="3"/>
        <v>text</v>
      </c>
      <c r="H15" s="26"/>
      <c r="I15" s="10" t="s">
        <v>127</v>
      </c>
      <c r="J15" s="11"/>
      <c r="M15" s="4"/>
      <c r="N15" s="76"/>
      <c r="O15" s="76"/>
      <c r="P15" s="76" t="str">
        <f t="shared" si="4"/>
        <v>,sp_code</v>
      </c>
      <c r="Q15" s="76" t="str">
        <f t="shared" si="0"/>
        <v>TEXT</v>
      </c>
      <c r="R15" s="76" t="str">
        <f t="shared" si="1"/>
        <v/>
      </c>
      <c r="S15" s="76" t="str">
        <f t="shared" si="5"/>
        <v>NOT NULL</v>
      </c>
      <c r="T15" s="76" t="str">
        <f t="shared" si="6"/>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milscm_2023_009.sny_202310_work_kensa_scm4.sp_code IS '検体材料コード';</v>
      </c>
    </row>
    <row r="16" spans="1:45" s="25" customFormat="1">
      <c r="A16" s="4"/>
      <c r="B16" s="21">
        <f t="shared" si="2"/>
        <v>4</v>
      </c>
      <c r="C16" s="6" t="s">
        <v>1623</v>
      </c>
      <c r="D16" s="6" t="s">
        <v>1624</v>
      </c>
      <c r="E16" s="8" t="s">
        <v>127</v>
      </c>
      <c r="F16" s="7" t="s">
        <v>1780</v>
      </c>
      <c r="G16" s="7" t="str">
        <f t="shared" si="3"/>
        <v>text</v>
      </c>
      <c r="H16" s="26"/>
      <c r="I16" s="10" t="s">
        <v>127</v>
      </c>
      <c r="J16" s="11"/>
      <c r="M16" s="4"/>
      <c r="N16" s="76"/>
      <c r="O16" s="76"/>
      <c r="P16" s="76" t="str">
        <f t="shared" si="4"/>
        <v>,item_name</v>
      </c>
      <c r="Q16" s="76" t="str">
        <f t="shared" si="0"/>
        <v>TEXT</v>
      </c>
      <c r="R16" s="76" t="str">
        <f t="shared" si="1"/>
        <v/>
      </c>
      <c r="S16" s="76" t="str">
        <f t="shared" si="5"/>
        <v>NOT NULL</v>
      </c>
      <c r="T16" s="76" t="str">
        <f t="shared" si="6"/>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milscm_2023_009.sny_202310_work_kensa_scm4.item_name IS '項目名';</v>
      </c>
    </row>
    <row r="17" spans="1:52" s="25" customFormat="1">
      <c r="A17" s="4"/>
      <c r="B17" s="21">
        <f t="shared" si="2"/>
        <v>5</v>
      </c>
      <c r="C17" s="6" t="s">
        <v>1625</v>
      </c>
      <c r="D17" s="6" t="s">
        <v>1626</v>
      </c>
      <c r="E17" s="8" t="s">
        <v>127</v>
      </c>
      <c r="F17" s="7" t="s">
        <v>1780</v>
      </c>
      <c r="G17" s="7" t="str">
        <f t="shared" si="3"/>
        <v>text</v>
      </c>
      <c r="H17" s="26"/>
      <c r="I17" s="10" t="s">
        <v>127</v>
      </c>
      <c r="J17" s="11"/>
      <c r="M17" s="4"/>
      <c r="N17" s="76"/>
      <c r="O17" s="76"/>
      <c r="P17" s="76" t="str">
        <f t="shared" si="4"/>
        <v>,facility_it_code</v>
      </c>
      <c r="Q17" s="76" t="str">
        <f t="shared" si="0"/>
        <v>TEXT</v>
      </c>
      <c r="R17" s="76" t="str">
        <f t="shared" si="1"/>
        <v/>
      </c>
      <c r="S17" s="76" t="str">
        <f t="shared" si="5"/>
        <v>NOT NULL</v>
      </c>
      <c r="T17" s="76" t="str">
        <f t="shared" si="6"/>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milscm_2023_009.sny_202310_work_kensa_scm4.facility_it_code IS '施設固有コード';</v>
      </c>
    </row>
    <row r="18" spans="1:52" s="25" customFormat="1">
      <c r="A18" s="4"/>
      <c r="B18" s="21">
        <f t="shared" si="2"/>
        <v>6</v>
      </c>
      <c r="C18" s="6" t="s">
        <v>1651</v>
      </c>
      <c r="D18" s="6" t="s">
        <v>276</v>
      </c>
      <c r="E18" s="8" t="s">
        <v>127</v>
      </c>
      <c r="F18" s="7" t="s">
        <v>1780</v>
      </c>
      <c r="G18" s="7" t="str">
        <f t="shared" si="3"/>
        <v>text</v>
      </c>
      <c r="H18" s="26"/>
      <c r="I18" s="10" t="s">
        <v>127</v>
      </c>
      <c r="J18" s="11"/>
      <c r="M18" s="4"/>
      <c r="N18" s="76"/>
      <c r="O18" s="76"/>
      <c r="P18" s="76" t="str">
        <f t="shared" si="4"/>
        <v>,unit</v>
      </c>
      <c r="Q18" s="76" t="str">
        <f t="shared" si="0"/>
        <v>TEXT</v>
      </c>
      <c r="R18" s="76" t="str">
        <f t="shared" si="1"/>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milscm_2023_009.sny_202310_work_kensa_scm4.unit IS '単位';</v>
      </c>
    </row>
    <row r="19" spans="1:52" s="25" customFormat="1">
      <c r="A19" s="4"/>
      <c r="B19" s="21">
        <f t="shared" si="2"/>
        <v>7</v>
      </c>
      <c r="C19" s="6" t="s">
        <v>1548</v>
      </c>
      <c r="D19" s="6" t="s">
        <v>1549</v>
      </c>
      <c r="E19" s="8" t="s">
        <v>127</v>
      </c>
      <c r="F19" s="7" t="s">
        <v>1780</v>
      </c>
      <c r="G19" s="7" t="str">
        <f t="shared" si="3"/>
        <v>text</v>
      </c>
      <c r="H19" s="26"/>
      <c r="I19" s="10" t="s">
        <v>127</v>
      </c>
      <c r="J19" s="11"/>
      <c r="M19" s="4"/>
      <c r="N19" s="76"/>
      <c r="O19" s="76"/>
      <c r="P19" s="76" t="str">
        <f t="shared" si="4"/>
        <v>,sample_time</v>
      </c>
      <c r="Q19" s="76" t="str">
        <f t="shared" si="0"/>
        <v>TEXT</v>
      </c>
      <c r="R19" s="76" t="str">
        <f t="shared" si="1"/>
        <v/>
      </c>
      <c r="S19" s="76" t="str">
        <f t="shared" si="5"/>
        <v>NOT NULL</v>
      </c>
      <c r="T19" s="76" t="str">
        <f t="shared" si="6"/>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milscm_2023_009.sny_202310_work_kensa_scm4.sample_time IS '採取日時';</v>
      </c>
    </row>
    <row r="20" spans="1:52" s="25" customFormat="1">
      <c r="A20" s="4"/>
      <c r="B20" s="21">
        <f t="shared" si="2"/>
        <v>8</v>
      </c>
      <c r="C20" s="6" t="s">
        <v>4301</v>
      </c>
      <c r="D20" s="6" t="s">
        <v>4300</v>
      </c>
      <c r="E20" s="8" t="s">
        <v>127</v>
      </c>
      <c r="F20" s="7" t="s">
        <v>4302</v>
      </c>
      <c r="G20" s="7" t="str">
        <f t="shared" si="3"/>
        <v>integer</v>
      </c>
      <c r="H20" s="26"/>
      <c r="I20" s="10" t="s">
        <v>127</v>
      </c>
      <c r="J20" s="11" t="s">
        <v>4303</v>
      </c>
      <c r="M20" s="4"/>
      <c r="N20" s="76"/>
      <c r="O20" s="76"/>
      <c r="P20" s="76" t="str">
        <f t="shared" si="4"/>
        <v>,row_no</v>
      </c>
      <c r="Q20" s="76" t="str">
        <f t="shared" si="0"/>
        <v>INTEGER</v>
      </c>
      <c r="R20" s="76" t="str">
        <f t="shared" si="1"/>
        <v/>
      </c>
      <c r="S20" s="76" t="str">
        <f t="shared" si="5"/>
        <v>NOT NULL</v>
      </c>
      <c r="T20" s="76" t="str">
        <f t="shared" si="6"/>
        <v>-- 行番号</v>
      </c>
      <c r="U20" s="4"/>
      <c r="AA20" s="4"/>
      <c r="AB20" s="4"/>
      <c r="AC20" s="4"/>
      <c r="AD20" s="4"/>
      <c r="AE20" s="4"/>
      <c r="AF20" s="4"/>
      <c r="AG20" s="4"/>
      <c r="AH20" s="4"/>
      <c r="AI20" s="4"/>
      <c r="AJ20" s="76" t="str">
        <f>IF(E20="○",IF(COUNTA(E$13:E20)=1,"",",")&amp;D20,"")</f>
        <v>,row_no</v>
      </c>
      <c r="AK20" s="4"/>
      <c r="AL20" s="4"/>
      <c r="AM20" s="4"/>
      <c r="AN20" s="4"/>
      <c r="AO20" s="4"/>
      <c r="AP20" s="4"/>
      <c r="AQ20" s="4"/>
      <c r="AR20" s="4"/>
      <c r="AS20" s="76" t="str">
        <f>"COMMENT ON COLUMN "&amp;エンティティ一覧!$O$2&amp;"."&amp;D$8&amp;"."&amp;D20&amp;" IS '"&amp;C20&amp;"';"</f>
        <v>COMMENT ON COLUMN milscm_2023_009.sny_202310_work_kensa_scm4.row_no IS '行番号';</v>
      </c>
    </row>
    <row r="21" spans="1:52" s="25" customFormat="1">
      <c r="A21" s="4"/>
      <c r="B21" s="21">
        <f t="shared" si="2"/>
        <v>9</v>
      </c>
      <c r="C21" s="6" t="s">
        <v>1639</v>
      </c>
      <c r="D21" s="6" t="s">
        <v>1640</v>
      </c>
      <c r="E21" s="8"/>
      <c r="F21" s="7" t="s">
        <v>1780</v>
      </c>
      <c r="G21" s="7" t="str">
        <f t="shared" si="3"/>
        <v>text</v>
      </c>
      <c r="H21" s="26"/>
      <c r="I21" s="10"/>
      <c r="J21" s="11"/>
      <c r="M21" s="4"/>
      <c r="N21" s="76"/>
      <c r="O21" s="76"/>
      <c r="P21" s="76" t="str">
        <f t="shared" si="4"/>
        <v>,value</v>
      </c>
      <c r="Q21" s="76" t="str">
        <f t="shared" si="0"/>
        <v>TEXT</v>
      </c>
      <c r="R21" s="76" t="str">
        <f t="shared" si="1"/>
        <v/>
      </c>
      <c r="S21" s="76" t="str">
        <f t="shared" si="5"/>
        <v/>
      </c>
      <c r="T21" s="76" t="str">
        <f t="shared" si="6"/>
        <v>-- 検査結果値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milscm_2023_009.sny_202310_work_kensa_scm4.value IS '検査結果値';</v>
      </c>
    </row>
    <row r="22" spans="1:52" s="25" customFormat="1" ht="19.5" thickBot="1">
      <c r="A22" s="4"/>
      <c r="B22" s="27">
        <f>ROW()-12</f>
        <v>10</v>
      </c>
      <c r="C22" s="57" t="s">
        <v>1641</v>
      </c>
      <c r="D22" s="57" t="s">
        <v>1642</v>
      </c>
      <c r="E22" s="56"/>
      <c r="F22" s="56" t="s">
        <v>1780</v>
      </c>
      <c r="G22" s="56" t="str">
        <f t="shared" si="3"/>
        <v>text</v>
      </c>
      <c r="H22" s="59"/>
      <c r="I22" s="60"/>
      <c r="J22" s="64"/>
      <c r="N22" s="76"/>
      <c r="O22" s="76"/>
      <c r="P22" s="76" t="str">
        <f t="shared" si="4"/>
        <v>,num_value</v>
      </c>
      <c r="Q22" s="76" t="str">
        <f t="shared" si="0"/>
        <v>TEXT</v>
      </c>
      <c r="R22" s="76" t="str">
        <f t="shared" si="1"/>
        <v/>
      </c>
      <c r="S22" s="76" t="str">
        <f t="shared" si="5"/>
        <v/>
      </c>
      <c r="T22" s="76" t="str">
        <f t="shared" si="6"/>
        <v>-- 数値結果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milscm_2023_009.sny_202310_work_kensa_scm4.num_value IS '数値結果';</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ENT_41_13</v>
      </c>
      <c r="E6" s="273"/>
      <c r="F6" s="273"/>
      <c r="G6" s="273"/>
      <c r="H6" s="273"/>
      <c r="I6" s="273"/>
      <c r="J6" s="274"/>
    </row>
    <row r="7" spans="1:45">
      <c r="B7" s="262" t="s">
        <v>115</v>
      </c>
      <c r="C7" s="263"/>
      <c r="D7" s="264" t="s">
        <v>4214</v>
      </c>
      <c r="E7" s="265"/>
      <c r="F7" s="265"/>
      <c r="G7" s="265"/>
      <c r="H7" s="265"/>
      <c r="I7" s="265"/>
      <c r="J7" s="266"/>
    </row>
    <row r="8" spans="1:45">
      <c r="B8" s="262" t="s">
        <v>116</v>
      </c>
      <c r="C8" s="263"/>
      <c r="D8" s="264" t="str">
        <f>エンティティ一覧!AE2&amp;"_"&amp;D5&amp;"_kensa"</f>
        <v>sny_202310_work_kensa</v>
      </c>
      <c r="E8" s="265"/>
      <c r="F8" s="265"/>
      <c r="G8" s="265"/>
      <c r="H8" s="265"/>
      <c r="I8" s="265"/>
      <c r="J8" s="266"/>
    </row>
    <row r="9" spans="1:45" ht="19.5" customHeight="1" thickBot="1">
      <c r="B9" s="267" t="s">
        <v>117</v>
      </c>
      <c r="C9" s="268"/>
      <c r="D9" s="269" t="s">
        <v>4215</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milscm_2023_009.sny_202310_work_kensa;</v>
      </c>
      <c r="O10" s="76"/>
      <c r="P10" s="76"/>
      <c r="Q10" s="76"/>
      <c r="R10" s="76"/>
      <c r="S10" s="76"/>
      <c r="T10" s="76"/>
      <c r="AJ10" s="76" t="str">
        <f>"ALTER TABLE ONLY "&amp;エンティティ一覧!$O$2&amp;"."&amp;D$8</f>
        <v>ALTER TABLE ONLY milscm_2023_009.sny_202310_work_kensa</v>
      </c>
      <c r="AS10" s="76" t="str">
        <f>"ALTER TABLE "&amp;エンティティ一覧!$O$2&amp;"."&amp;D$8&amp;" OWNER TO pgmisgrp1;"</f>
        <v>ALTER TABLE milscm_2023_009.sny_202310_work_kensa OWNER TO pgmisgrp1;</v>
      </c>
    </row>
    <row r="11" spans="1:45" ht="19.5" thickBot="1">
      <c r="B11" s="20" t="s">
        <v>118</v>
      </c>
      <c r="C11" s="19"/>
      <c r="D11" s="5"/>
      <c r="E11" s="5"/>
      <c r="F11" s="5"/>
      <c r="G11" s="5"/>
      <c r="H11" s="5"/>
      <c r="I11" s="5"/>
      <c r="J11" s="18"/>
      <c r="N11" s="76" t="str">
        <f>"CREATE TABLE  "&amp;エンティティ一覧!$O$2&amp;"."&amp;D$8</f>
        <v>CREATE TABLE  milscm_2023_009.sny_202310_work_kensa</v>
      </c>
      <c r="O11" s="76"/>
      <c r="P11" s="76"/>
      <c r="Q11" s="76"/>
      <c r="R11" s="76"/>
      <c r="S11" s="76"/>
      <c r="T11" s="76"/>
      <c r="AJ11" s="76" t="str">
        <f>"ADD CONSTRAINT "&amp;D$8&amp;"_pkey PRIMARY KEY"</f>
        <v>ADD CONSTRAINT sny_202310_work_kensa_pkey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 IS 'ワーク_検体検査データ';</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22" si="0">UPPER(G13)</f>
        <v>TEXT</v>
      </c>
      <c r="R13" s="76" t="str">
        <f t="shared" ref="R13:R22"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milscm_2023_009.sny_202310_work_kensa.mask_id IS 'マスクID';</v>
      </c>
    </row>
    <row r="14" spans="1:45" s="25" customFormat="1">
      <c r="A14" s="4"/>
      <c r="B14" s="21">
        <f t="shared" ref="B14:B21" si="2">ROW()-12</f>
        <v>2</v>
      </c>
      <c r="C14" s="6" t="s">
        <v>1606</v>
      </c>
      <c r="D14" s="6" t="s">
        <v>1607</v>
      </c>
      <c r="E14" s="8" t="s">
        <v>127</v>
      </c>
      <c r="F14" s="7" t="s">
        <v>1780</v>
      </c>
      <c r="G14" s="7" t="str">
        <f t="shared" ref="G14:G22" si="3">IF(F14="フラグ","boolean",IF(F14="文字列","text",IF(F14="整数","integer",IF(F14="実数","numeric",""))))</f>
        <v>text</v>
      </c>
      <c r="H14" s="26"/>
      <c r="I14" s="10" t="s">
        <v>127</v>
      </c>
      <c r="J14" s="11"/>
      <c r="M14" s="4"/>
      <c r="N14" s="76"/>
      <c r="O14" s="76"/>
      <c r="P14" s="76" t="str">
        <f t="shared" ref="P14:P22" si="4">IF(B14&lt;&gt;1,","&amp;D14,D14)</f>
        <v>,specimen_name</v>
      </c>
      <c r="Q14" s="76" t="str">
        <f t="shared" si="0"/>
        <v>TEXT</v>
      </c>
      <c r="R14" s="76" t="str">
        <f t="shared" si="1"/>
        <v/>
      </c>
      <c r="S14" s="76" t="str">
        <f t="shared" ref="S14:S22" si="5">IF(I14="○","NOT NULL","")</f>
        <v>NOT NULL</v>
      </c>
      <c r="T14" s="76" t="str">
        <f t="shared" ref="T14:T22" si="6">"--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milscm_2023_009.sny_202310_work_kensa.specimen_name IS '検体材料';</v>
      </c>
    </row>
    <row r="15" spans="1:45" s="25" customFormat="1">
      <c r="A15" s="4"/>
      <c r="B15" s="21">
        <f t="shared" si="2"/>
        <v>3</v>
      </c>
      <c r="C15" s="6" t="s">
        <v>1608</v>
      </c>
      <c r="D15" s="6" t="s">
        <v>1609</v>
      </c>
      <c r="E15" s="8" t="s">
        <v>127</v>
      </c>
      <c r="F15" s="7" t="s">
        <v>1780</v>
      </c>
      <c r="G15" s="7" t="str">
        <f t="shared" si="3"/>
        <v>text</v>
      </c>
      <c r="H15" s="26"/>
      <c r="I15" s="10" t="s">
        <v>127</v>
      </c>
      <c r="J15" s="11"/>
      <c r="M15" s="4"/>
      <c r="N15" s="76"/>
      <c r="O15" s="76"/>
      <c r="P15" s="76" t="str">
        <f t="shared" si="4"/>
        <v>,sp_code</v>
      </c>
      <c r="Q15" s="76" t="str">
        <f t="shared" si="0"/>
        <v>TEXT</v>
      </c>
      <c r="R15" s="76" t="str">
        <f t="shared" si="1"/>
        <v/>
      </c>
      <c r="S15" s="76" t="str">
        <f t="shared" si="5"/>
        <v>NOT NULL</v>
      </c>
      <c r="T15" s="76" t="str">
        <f t="shared" si="6"/>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milscm_2023_009.sny_202310_work_kensa.sp_code IS '検体材料コード';</v>
      </c>
    </row>
    <row r="16" spans="1:45" s="25" customFormat="1">
      <c r="A16" s="4"/>
      <c r="B16" s="21">
        <f t="shared" si="2"/>
        <v>4</v>
      </c>
      <c r="C16" s="6" t="s">
        <v>1623</v>
      </c>
      <c r="D16" s="6" t="s">
        <v>1624</v>
      </c>
      <c r="E16" s="8" t="s">
        <v>127</v>
      </c>
      <c r="F16" s="7" t="s">
        <v>1780</v>
      </c>
      <c r="G16" s="7" t="str">
        <f t="shared" si="3"/>
        <v>text</v>
      </c>
      <c r="H16" s="26"/>
      <c r="I16" s="10" t="s">
        <v>127</v>
      </c>
      <c r="J16" s="11"/>
      <c r="M16" s="4"/>
      <c r="N16" s="76"/>
      <c r="O16" s="76"/>
      <c r="P16" s="76" t="str">
        <f t="shared" si="4"/>
        <v>,item_name</v>
      </c>
      <c r="Q16" s="76" t="str">
        <f t="shared" si="0"/>
        <v>TEXT</v>
      </c>
      <c r="R16" s="76" t="str">
        <f t="shared" si="1"/>
        <v/>
      </c>
      <c r="S16" s="76" t="str">
        <f t="shared" si="5"/>
        <v>NOT NULL</v>
      </c>
      <c r="T16" s="76" t="str">
        <f t="shared" si="6"/>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milscm_2023_009.sny_202310_work_kensa.item_name IS '項目名';</v>
      </c>
    </row>
    <row r="17" spans="1:52" s="25" customFormat="1">
      <c r="A17" s="4"/>
      <c r="B17" s="21">
        <f t="shared" si="2"/>
        <v>5</v>
      </c>
      <c r="C17" s="6" t="s">
        <v>1625</v>
      </c>
      <c r="D17" s="6" t="s">
        <v>1626</v>
      </c>
      <c r="E17" s="8" t="s">
        <v>127</v>
      </c>
      <c r="F17" s="7" t="s">
        <v>1780</v>
      </c>
      <c r="G17" s="7" t="str">
        <f t="shared" si="3"/>
        <v>text</v>
      </c>
      <c r="H17" s="26"/>
      <c r="I17" s="10" t="s">
        <v>127</v>
      </c>
      <c r="J17" s="11"/>
      <c r="M17" s="4"/>
      <c r="N17" s="76"/>
      <c r="O17" s="76"/>
      <c r="P17" s="76" t="str">
        <f t="shared" si="4"/>
        <v>,facility_it_code</v>
      </c>
      <c r="Q17" s="76" t="str">
        <f t="shared" si="0"/>
        <v>TEXT</v>
      </c>
      <c r="R17" s="76" t="str">
        <f t="shared" si="1"/>
        <v/>
      </c>
      <c r="S17" s="76" t="str">
        <f t="shared" si="5"/>
        <v>NOT NULL</v>
      </c>
      <c r="T17" s="76" t="str">
        <f t="shared" si="6"/>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milscm_2023_009.sny_202310_work_kensa.facility_it_code IS '施設固有コード';</v>
      </c>
    </row>
    <row r="18" spans="1:52" s="25" customFormat="1">
      <c r="A18" s="4"/>
      <c r="B18" s="21">
        <f t="shared" si="2"/>
        <v>6</v>
      </c>
      <c r="C18" s="6" t="s">
        <v>1651</v>
      </c>
      <c r="D18" s="6" t="s">
        <v>276</v>
      </c>
      <c r="E18" s="8" t="s">
        <v>127</v>
      </c>
      <c r="F18" s="7" t="s">
        <v>1780</v>
      </c>
      <c r="G18" s="7" t="str">
        <f t="shared" si="3"/>
        <v>text</v>
      </c>
      <c r="H18" s="26"/>
      <c r="I18" s="10" t="s">
        <v>127</v>
      </c>
      <c r="J18" s="11"/>
      <c r="M18" s="4"/>
      <c r="N18" s="76"/>
      <c r="O18" s="76"/>
      <c r="P18" s="76" t="str">
        <f t="shared" si="4"/>
        <v>,unit</v>
      </c>
      <c r="Q18" s="76" t="str">
        <f t="shared" si="0"/>
        <v>TEXT</v>
      </c>
      <c r="R18" s="76" t="str">
        <f t="shared" si="1"/>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milscm_2023_009.sny_202310_work_kensa.unit IS '単位';</v>
      </c>
    </row>
    <row r="19" spans="1:52" s="25" customFormat="1">
      <c r="A19" s="4"/>
      <c r="B19" s="21">
        <f t="shared" si="2"/>
        <v>7</v>
      </c>
      <c r="C19" s="6" t="s">
        <v>1548</v>
      </c>
      <c r="D19" s="6" t="s">
        <v>1549</v>
      </c>
      <c r="E19" s="8" t="s">
        <v>4304</v>
      </c>
      <c r="F19" s="7" t="s">
        <v>4216</v>
      </c>
      <c r="G19" s="7" t="s">
        <v>99</v>
      </c>
      <c r="H19" s="26"/>
      <c r="I19" s="10" t="s">
        <v>127</v>
      </c>
      <c r="J19" s="11"/>
      <c r="M19" s="4"/>
      <c r="N19" s="76"/>
      <c r="O19" s="76"/>
      <c r="P19" s="76" t="str">
        <f t="shared" si="4"/>
        <v>,sample_time</v>
      </c>
      <c r="Q19" s="76" t="str">
        <f t="shared" si="0"/>
        <v>DATE</v>
      </c>
      <c r="R19" s="76" t="str">
        <f t="shared" si="1"/>
        <v/>
      </c>
      <c r="S19" s="76" t="str">
        <f t="shared" si="5"/>
        <v>NOT NULL</v>
      </c>
      <c r="T19" s="76" t="str">
        <f t="shared" si="6"/>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milscm_2023_009.sny_202310_work_kensa.sample_time IS '採取日時';</v>
      </c>
    </row>
    <row r="20" spans="1:52" s="25" customFormat="1">
      <c r="A20" s="4"/>
      <c r="B20" s="21">
        <f t="shared" si="2"/>
        <v>8</v>
      </c>
      <c r="C20" s="6" t="s">
        <v>4301</v>
      </c>
      <c r="D20" s="6" t="s">
        <v>4300</v>
      </c>
      <c r="E20" s="8" t="s">
        <v>127</v>
      </c>
      <c r="F20" s="7" t="s">
        <v>4302</v>
      </c>
      <c r="G20" s="7" t="str">
        <f t="shared" ref="G20" si="7">IF(F20="フラグ","boolean",IF(F20="文字列","text",IF(F20="整数","integer",IF(F20="実数","numeric",""))))</f>
        <v>integer</v>
      </c>
      <c r="H20" s="26"/>
      <c r="I20" s="10" t="s">
        <v>127</v>
      </c>
      <c r="J20" s="11" t="s">
        <v>4303</v>
      </c>
      <c r="M20" s="4"/>
      <c r="N20" s="76"/>
      <c r="O20" s="76"/>
      <c r="P20" s="76" t="str">
        <f t="shared" si="4"/>
        <v>,row_no</v>
      </c>
      <c r="Q20" s="76" t="str">
        <f t="shared" si="0"/>
        <v>INTEGER</v>
      </c>
      <c r="R20" s="76" t="str">
        <f t="shared" si="1"/>
        <v/>
      </c>
      <c r="S20" s="76" t="str">
        <f t="shared" si="5"/>
        <v>NOT NULL</v>
      </c>
      <c r="T20" s="76" t="str">
        <f t="shared" si="6"/>
        <v>-- 行番号</v>
      </c>
      <c r="U20" s="4"/>
      <c r="AA20" s="4"/>
      <c r="AB20" s="4"/>
      <c r="AC20" s="4"/>
      <c r="AD20" s="4"/>
      <c r="AE20" s="4"/>
      <c r="AF20" s="4"/>
      <c r="AG20" s="4"/>
      <c r="AH20" s="4"/>
      <c r="AI20" s="4"/>
      <c r="AJ20" s="76" t="str">
        <f>IF(E20="○",IF(COUNTA(E$13:E20)=1,"",",")&amp;D20,"")</f>
        <v>,row_no</v>
      </c>
      <c r="AK20" s="4"/>
      <c r="AL20" s="4"/>
      <c r="AM20" s="4"/>
      <c r="AN20" s="4"/>
      <c r="AO20" s="4"/>
      <c r="AP20" s="4"/>
      <c r="AQ20" s="4"/>
      <c r="AR20" s="4"/>
      <c r="AS20" s="76" t="str">
        <f>"COMMENT ON COLUMN "&amp;エンティティ一覧!$O$2&amp;"."&amp;D$8&amp;"."&amp;D20&amp;" IS '"&amp;C20&amp;"';"</f>
        <v>COMMENT ON COLUMN milscm_2023_009.sny_202310_work_kensa.row_no IS '行番号';</v>
      </c>
    </row>
    <row r="21" spans="1:52" s="25" customFormat="1">
      <c r="A21" s="4"/>
      <c r="B21" s="21">
        <f t="shared" si="2"/>
        <v>9</v>
      </c>
      <c r="C21" s="6" t="s">
        <v>1639</v>
      </c>
      <c r="D21" s="6" t="s">
        <v>1640</v>
      </c>
      <c r="E21" s="8"/>
      <c r="F21" s="7" t="s">
        <v>1780</v>
      </c>
      <c r="G21" s="7" t="str">
        <f t="shared" si="3"/>
        <v>text</v>
      </c>
      <c r="H21" s="26"/>
      <c r="I21" s="10"/>
      <c r="J21" s="11"/>
      <c r="M21" s="4"/>
      <c r="N21" s="76"/>
      <c r="O21" s="76"/>
      <c r="P21" s="76" t="str">
        <f t="shared" si="4"/>
        <v>,value</v>
      </c>
      <c r="Q21" s="76" t="str">
        <f t="shared" si="0"/>
        <v>TEXT</v>
      </c>
      <c r="R21" s="76" t="str">
        <f t="shared" si="1"/>
        <v/>
      </c>
      <c r="S21" s="76" t="str">
        <f t="shared" si="5"/>
        <v/>
      </c>
      <c r="T21" s="76" t="str">
        <f t="shared" si="6"/>
        <v>-- 検査結果値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milscm_2023_009.sny_202310_work_kensa.value IS '検査結果値';</v>
      </c>
    </row>
    <row r="22" spans="1:52" s="25" customFormat="1" ht="19.5" thickBot="1">
      <c r="A22" s="4"/>
      <c r="B22" s="27">
        <f>ROW()-12</f>
        <v>10</v>
      </c>
      <c r="C22" s="57" t="s">
        <v>1641</v>
      </c>
      <c r="D22" s="57" t="s">
        <v>1642</v>
      </c>
      <c r="E22" s="56"/>
      <c r="F22" s="56" t="s">
        <v>1780</v>
      </c>
      <c r="G22" s="56" t="str">
        <f t="shared" si="3"/>
        <v>text</v>
      </c>
      <c r="H22" s="59"/>
      <c r="I22" s="60"/>
      <c r="J22" s="64"/>
      <c r="N22" s="76"/>
      <c r="O22" s="76"/>
      <c r="P22" s="76" t="str">
        <f t="shared" si="4"/>
        <v>,num_value</v>
      </c>
      <c r="Q22" s="76" t="str">
        <f t="shared" si="0"/>
        <v>TEXT</v>
      </c>
      <c r="R22" s="76" t="str">
        <f t="shared" si="1"/>
        <v/>
      </c>
      <c r="S22" s="76" t="str">
        <f t="shared" si="5"/>
        <v/>
      </c>
      <c r="T22" s="76" t="str">
        <f t="shared" si="6"/>
        <v>-- 数値結果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milscm_2023_009.sny_202310_work_kensa.num_value IS '数値結果';</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ENT_41_14</v>
      </c>
      <c r="E6" s="273"/>
      <c r="F6" s="273"/>
      <c r="G6" s="273"/>
      <c r="H6" s="273"/>
      <c r="I6" s="273"/>
      <c r="J6" s="274"/>
    </row>
    <row r="7" spans="1:45">
      <c r="B7" s="262" t="s">
        <v>115</v>
      </c>
      <c r="C7" s="263"/>
      <c r="D7" s="264" t="s">
        <v>4260</v>
      </c>
      <c r="E7" s="265"/>
      <c r="F7" s="265"/>
      <c r="G7" s="265"/>
      <c r="H7" s="265"/>
      <c r="I7" s="265"/>
      <c r="J7" s="266"/>
    </row>
    <row r="8" spans="1:45">
      <c r="B8" s="262" t="s">
        <v>116</v>
      </c>
      <c r="C8" s="263"/>
      <c r="D8" s="264" t="str">
        <f>エンティティ一覧!AE2&amp;"_"&amp;D5&amp;"_height_weight_dpc"</f>
        <v>sny_202310_work_height_weight_dpc</v>
      </c>
      <c r="E8" s="265"/>
      <c r="F8" s="265"/>
      <c r="G8" s="265"/>
      <c r="H8" s="265"/>
      <c r="I8" s="265"/>
      <c r="J8" s="266"/>
    </row>
    <row r="9" spans="1:45" ht="19.5" customHeight="1" thickBot="1">
      <c r="B9" s="267" t="s">
        <v>117</v>
      </c>
      <c r="C9" s="268"/>
      <c r="D9" s="269" t="s">
        <v>4261</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milscm_2023_009.sny_202310_work_height_weight_dpc;</v>
      </c>
      <c r="O10" s="76"/>
      <c r="P10" s="76"/>
      <c r="Q10" s="76"/>
      <c r="R10" s="76"/>
      <c r="S10" s="76"/>
      <c r="T10" s="76"/>
      <c r="AJ10" s="76" t="str">
        <f>"ALTER TABLE ONLY "&amp;エンティティ一覧!$O$2&amp;"."&amp;D$8</f>
        <v>ALTER TABLE ONLY milscm_2023_009.sny_202310_work_height_weight_dpc</v>
      </c>
      <c r="AS10" s="76" t="str">
        <f>"ALTER TABLE "&amp;エンティティ一覧!$O$2&amp;"."&amp;D$8&amp;" OWNER TO pgmisgrp1;"</f>
        <v>ALTER TABLE milscm_2023_009.sny_202310_work_height_weight_dpc OWNER TO pgmisgrp1;</v>
      </c>
    </row>
    <row r="11" spans="1:45" ht="19.5" thickBot="1">
      <c r="B11" s="20" t="s">
        <v>118</v>
      </c>
      <c r="C11" s="19"/>
      <c r="D11" s="5"/>
      <c r="E11" s="5"/>
      <c r="F11" s="5"/>
      <c r="G11" s="5"/>
      <c r="H11" s="5"/>
      <c r="I11" s="5"/>
      <c r="J11" s="18"/>
      <c r="N11" s="76" t="str">
        <f>"CREATE TABLE  "&amp;エンティティ一覧!$O$2&amp;"."&amp;D$8</f>
        <v>CREATE TABLE  milscm_2023_009.sny_202310_work_height_weight_dpc</v>
      </c>
      <c r="O11" s="76"/>
      <c r="P11" s="76"/>
      <c r="Q11" s="76"/>
      <c r="R11" s="76"/>
      <c r="S11" s="76"/>
      <c r="T11" s="76"/>
      <c r="AJ11" s="76" t="str">
        <f>"ADD CONSTRAINT "&amp;D$8&amp;"_pkey PRIMARY KEY"</f>
        <v>ADD CONSTRAINT sny_202310_work_height_weight_dpc_pkey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milscm_2023_009.sny_202310_work_height_weight_dpc IS 'ワーク_身長体重データ_DPC';</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7" si="0">UPPER(G13)</f>
        <v>TEXT</v>
      </c>
      <c r="R13" s="76" t="str">
        <f t="shared" ref="R13:R17"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milscm_2023_009.sny_202310_work_height_weight_dpc.mask_id IS 'マスクID';</v>
      </c>
    </row>
    <row r="14" spans="1:45" s="25" customFormat="1">
      <c r="A14" s="4"/>
      <c r="B14" s="21">
        <f t="shared" ref="B14:B16" si="2">ROW()-12</f>
        <v>2</v>
      </c>
      <c r="C14" s="6" t="s">
        <v>267</v>
      </c>
      <c r="D14" s="6" t="s">
        <v>886</v>
      </c>
      <c r="E14" s="8" t="s">
        <v>127</v>
      </c>
      <c r="F14" s="7" t="s">
        <v>201</v>
      </c>
      <c r="G14" s="7" t="str">
        <f t="shared" ref="G14:G17" si="3">IF(F14="フラグ","boolean",IF(F14="文字列","text",IF(F14="整数","integer",IF(F14="実数","numeric",""))))</f>
        <v>text</v>
      </c>
      <c r="H14" s="26"/>
      <c r="I14" s="10" t="s">
        <v>127</v>
      </c>
      <c r="J14" s="11" t="s">
        <v>4262</v>
      </c>
      <c r="M14" s="4"/>
      <c r="N14" s="76"/>
      <c r="O14" s="76"/>
      <c r="P14" s="76" t="str">
        <f t="shared" ref="P14:P17" si="4">IF(B14&lt;&gt;1,","&amp;D14,D14)</f>
        <v>,nyuin_ymd</v>
      </c>
      <c r="Q14" s="76" t="str">
        <f t="shared" si="0"/>
        <v>TEXT</v>
      </c>
      <c r="R14" s="76" t="str">
        <f t="shared" si="1"/>
        <v/>
      </c>
      <c r="S14" s="76" t="str">
        <f t="shared" ref="S14:S17" si="5">IF(I14="○","NOT NULL","")</f>
        <v>NOT NULL</v>
      </c>
      <c r="T14" s="76" t="str">
        <f t="shared" ref="T14:T17" si="6">"--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milscm_2023_009.sny_202310_work_height_weight_dpc.nyuin_ymd IS '入院年月日';</v>
      </c>
    </row>
    <row r="15" spans="1:45" s="25" customFormat="1" ht="37.5">
      <c r="A15" s="4"/>
      <c r="B15" s="21">
        <f t="shared" si="2"/>
        <v>3</v>
      </c>
      <c r="C15" s="6" t="s">
        <v>1623</v>
      </c>
      <c r="D15" s="6" t="s">
        <v>1624</v>
      </c>
      <c r="E15" s="8" t="s">
        <v>127</v>
      </c>
      <c r="F15" s="7" t="s">
        <v>317</v>
      </c>
      <c r="G15" s="7" t="str">
        <f>IF(F15="フラグ","boolean",IF(F15="文字列","text",IF(F15="整数","integer",IF(F15="実数","numeric",""))))</f>
        <v>text</v>
      </c>
      <c r="H15" s="26"/>
      <c r="I15" s="10" t="s">
        <v>127</v>
      </c>
      <c r="J15" s="11" t="s">
        <v>4299</v>
      </c>
      <c r="M15" s="4"/>
      <c r="N15" s="76"/>
      <c r="O15" s="76"/>
      <c r="P15" s="76" t="str">
        <f>IF(B15&lt;&gt;1,","&amp;D15,D15)</f>
        <v>,item_name</v>
      </c>
      <c r="Q15" s="76" t="str">
        <f>UPPER(G15)</f>
        <v>TEXT</v>
      </c>
      <c r="R15" s="76" t="str">
        <f>IF(H15&lt;&gt;"","default "&amp;IF(G15="text","'"&amp;H15&amp;"'",H15),"")</f>
        <v/>
      </c>
      <c r="S15" s="76" t="str">
        <f>IF(I15="○","NOT NULL","")</f>
        <v>NOT NULL</v>
      </c>
      <c r="T15" s="76" t="str">
        <f>"-- "&amp;C15</f>
        <v>-- 項目名</v>
      </c>
      <c r="U15" s="4"/>
      <c r="AA15" s="4"/>
      <c r="AB15" s="4"/>
      <c r="AC15" s="4"/>
      <c r="AD15" s="4"/>
      <c r="AE15" s="4"/>
      <c r="AF15" s="4"/>
      <c r="AG15" s="4"/>
      <c r="AH15" s="4"/>
      <c r="AI15" s="4"/>
      <c r="AJ15" s="76" t="str">
        <f>IF(E15="○",IF(COUNTA(E$13:E15)=1,"",",")&amp;D15,"")</f>
        <v>,item_name</v>
      </c>
      <c r="AK15" s="4"/>
      <c r="AL15" s="4"/>
      <c r="AM15" s="4"/>
      <c r="AN15" s="4"/>
      <c r="AO15" s="4"/>
      <c r="AP15" s="4"/>
      <c r="AQ15" s="4"/>
      <c r="AR15" s="4"/>
      <c r="AS15" s="76" t="str">
        <f>"COMMENT ON COLUMN "&amp;エンティティ一覧!$O$2&amp;"."&amp;D$8&amp;"."&amp;D15&amp;" IS '"&amp;C15&amp;"';"</f>
        <v>COMMENT ON COLUMN milscm_2023_009.sny_202310_work_height_weight_dpc.item_name IS '項目名';</v>
      </c>
    </row>
    <row r="16" spans="1:45" s="25" customFormat="1" ht="37.5">
      <c r="A16" s="4"/>
      <c r="B16" s="21">
        <f t="shared" si="2"/>
        <v>4</v>
      </c>
      <c r="C16" s="6" t="s">
        <v>4266</v>
      </c>
      <c r="D16" s="6" t="s">
        <v>4267</v>
      </c>
      <c r="E16" s="8" t="s">
        <v>127</v>
      </c>
      <c r="F16" s="7" t="s">
        <v>204</v>
      </c>
      <c r="G16" s="7" t="str">
        <f t="shared" ref="G16" si="7">IF(F16="フラグ","boolean",IF(F16="文字列","text",IF(F16="整数","integer",IF(F16="実数","numeric",""))))</f>
        <v>integer</v>
      </c>
      <c r="H16" s="26"/>
      <c r="I16" s="10" t="s">
        <v>127</v>
      </c>
      <c r="J16" s="11" t="s">
        <v>4278</v>
      </c>
      <c r="M16" s="4"/>
      <c r="N16" s="76"/>
      <c r="O16" s="76"/>
      <c r="P16" s="76" t="str">
        <f t="shared" ref="P16" si="8">IF(B16&lt;&gt;1,","&amp;D16,D16)</f>
        <v>,dup_date_seq</v>
      </c>
      <c r="Q16" s="76" t="str">
        <f t="shared" ref="Q16" si="9">UPPER(G16)</f>
        <v>INTEGER</v>
      </c>
      <c r="R16" s="76" t="str">
        <f t="shared" ref="R16" si="10">IF(H16&lt;&gt;"","default "&amp;IF(G16="text","'"&amp;H16&amp;"'",H16),"")</f>
        <v/>
      </c>
      <c r="S16" s="76" t="str">
        <f t="shared" ref="S16" si="11">IF(I16="○","NOT NULL","")</f>
        <v>NOT NULL</v>
      </c>
      <c r="T16" s="76" t="str">
        <f t="shared" ref="T16" si="12">"-- "&amp;C16</f>
        <v>-- 日付重複SEQ</v>
      </c>
      <c r="U16" s="4"/>
      <c r="AA16" s="4"/>
      <c r="AB16" s="4"/>
      <c r="AC16" s="4"/>
      <c r="AD16" s="4"/>
      <c r="AE16" s="4"/>
      <c r="AF16" s="4"/>
      <c r="AG16" s="4"/>
      <c r="AH16" s="4"/>
      <c r="AI16" s="4"/>
      <c r="AJ16" s="76" t="str">
        <f>IF(E16="○",IF(COUNTA(E$13:E16)=1,"",",")&amp;D16,"")</f>
        <v>,dup_date_seq</v>
      </c>
      <c r="AK16" s="4"/>
      <c r="AL16" s="4"/>
      <c r="AM16" s="4"/>
      <c r="AN16" s="4"/>
      <c r="AO16" s="4"/>
      <c r="AP16" s="4"/>
      <c r="AQ16" s="4"/>
      <c r="AR16" s="4"/>
      <c r="AS16" s="76" t="str">
        <f>"COMMENT ON COLUMN "&amp;エンティティ一覧!$O$2&amp;"."&amp;D$8&amp;"."&amp;D16&amp;" IS '"&amp;C16&amp;"';"</f>
        <v>COMMENT ON COLUMN milscm_2023_009.sny_202310_work_height_weight_dpc.dup_date_seq IS '日付重複SEQ';</v>
      </c>
    </row>
    <row r="17" spans="1:52" s="25" customFormat="1" ht="19.5" thickBot="1">
      <c r="A17" s="4"/>
      <c r="B17" s="27">
        <f>ROW()-12</f>
        <v>5</v>
      </c>
      <c r="C17" s="57" t="s">
        <v>4277</v>
      </c>
      <c r="D17" s="57" t="s">
        <v>4276</v>
      </c>
      <c r="E17" s="56"/>
      <c r="F17" s="56" t="s">
        <v>201</v>
      </c>
      <c r="G17" s="56" t="str">
        <f t="shared" si="3"/>
        <v>text</v>
      </c>
      <c r="H17" s="59"/>
      <c r="I17" s="60"/>
      <c r="J17" s="64"/>
      <c r="N17" s="76"/>
      <c r="O17" s="76"/>
      <c r="P17" s="76" t="str">
        <f t="shared" si="4"/>
        <v>,item_value</v>
      </c>
      <c r="Q17" s="76" t="str">
        <f t="shared" si="0"/>
        <v>TEXT</v>
      </c>
      <c r="R17" s="76" t="str">
        <f t="shared" si="1"/>
        <v/>
      </c>
      <c r="S17" s="76" t="str">
        <f t="shared" si="5"/>
        <v/>
      </c>
      <c r="T17" s="76" t="str">
        <f t="shared" si="6"/>
        <v>-- 項目値</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milscm_2023_009.sny_202310_work_height_weight_dpc.item_value IS '項目値';</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ENT_41_15</v>
      </c>
      <c r="E6" s="273"/>
      <c r="F6" s="273"/>
      <c r="G6" s="273"/>
      <c r="H6" s="273"/>
      <c r="I6" s="273"/>
      <c r="J6" s="274"/>
    </row>
    <row r="7" spans="1:45">
      <c r="B7" s="262" t="s">
        <v>115</v>
      </c>
      <c r="C7" s="263"/>
      <c r="D7" s="264" t="s">
        <v>4263</v>
      </c>
      <c r="E7" s="265"/>
      <c r="F7" s="265"/>
      <c r="G7" s="265"/>
      <c r="H7" s="265"/>
      <c r="I7" s="265"/>
      <c r="J7" s="266"/>
    </row>
    <row r="8" spans="1:45">
      <c r="B8" s="262" t="s">
        <v>116</v>
      </c>
      <c r="C8" s="263"/>
      <c r="D8" s="264" t="str">
        <f>エンティティ一覧!AE2&amp;"_"&amp;D5&amp;"_height_weight_mml"</f>
        <v>sny_202310_work_height_weight_mml</v>
      </c>
      <c r="E8" s="265"/>
      <c r="F8" s="265"/>
      <c r="G8" s="265"/>
      <c r="H8" s="265"/>
      <c r="I8" s="265"/>
      <c r="J8" s="266"/>
    </row>
    <row r="9" spans="1:45" ht="19.5" customHeight="1" thickBot="1">
      <c r="B9" s="267" t="s">
        <v>117</v>
      </c>
      <c r="C9" s="268"/>
      <c r="D9" s="269" t="s">
        <v>4264</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milscm_2023_009.sny_202310_work_height_weight_mml;</v>
      </c>
      <c r="O10" s="76"/>
      <c r="P10" s="76"/>
      <c r="Q10" s="76"/>
      <c r="R10" s="76"/>
      <c r="S10" s="76"/>
      <c r="T10" s="76"/>
      <c r="AJ10" s="76" t="str">
        <f>"ALTER TABLE ONLY "&amp;エンティティ一覧!$O$2&amp;"."&amp;D$8</f>
        <v>ALTER TABLE ONLY milscm_2023_009.sny_202310_work_height_weight_mml</v>
      </c>
      <c r="AS10" s="76" t="str">
        <f>"ALTER TABLE "&amp;エンティティ一覧!$O$2&amp;"."&amp;D$8&amp;" OWNER TO pgmisgrp1;"</f>
        <v>ALTER TABLE milscm_2023_009.sny_202310_work_height_weight_mml OWNER TO pgmisgrp1;</v>
      </c>
    </row>
    <row r="11" spans="1:45" ht="19.5" thickBot="1">
      <c r="B11" s="20" t="s">
        <v>118</v>
      </c>
      <c r="C11" s="19"/>
      <c r="D11" s="5"/>
      <c r="E11" s="5"/>
      <c r="F11" s="5"/>
      <c r="G11" s="5"/>
      <c r="H11" s="5"/>
      <c r="I11" s="5"/>
      <c r="J11" s="18"/>
      <c r="N11" s="76" t="str">
        <f>"CREATE TABLE  "&amp;エンティティ一覧!$O$2&amp;"."&amp;D$8</f>
        <v>CREATE TABLE  milscm_2023_009.sny_202310_work_height_weight_mml</v>
      </c>
      <c r="O11" s="76"/>
      <c r="P11" s="76"/>
      <c r="Q11" s="76"/>
      <c r="R11" s="76"/>
      <c r="S11" s="76"/>
      <c r="T11" s="76"/>
      <c r="AJ11" s="76" t="str">
        <f>"ADD CONSTRAINT "&amp;D$8&amp;"_pkey PRIMARY KEY"</f>
        <v>ADD CONSTRAINT sny_202310_work_height_weight_mml_pkey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milscm_2023_009.sny_202310_work_height_weight_mml IS 'ワーク_身長体重データ_MML';</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9" si="0">UPPER(G13)</f>
        <v>TEXT</v>
      </c>
      <c r="R13" s="76" t="str">
        <f t="shared" ref="R13:R19"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milscm_2023_009.sny_202310_work_height_weight_mml.mask_id IS 'マスクID';</v>
      </c>
    </row>
    <row r="14" spans="1:45" s="25" customFormat="1">
      <c r="A14" s="4"/>
      <c r="B14" s="21">
        <f t="shared" ref="B14:B18" si="2">ROW()-12</f>
        <v>2</v>
      </c>
      <c r="C14" s="6" t="s">
        <v>4269</v>
      </c>
      <c r="D14" s="6" t="s">
        <v>4265</v>
      </c>
      <c r="E14" s="8" t="s">
        <v>127</v>
      </c>
      <c r="F14" s="7" t="s">
        <v>317</v>
      </c>
      <c r="G14" s="7" t="str">
        <f t="shared" ref="G14:G19" si="3">IF(F14="フラグ","boolean",IF(F14="文字列","text",IF(F14="整数","integer",IF(F14="実数","numeric",""))))</f>
        <v>text</v>
      </c>
      <c r="H14" s="26"/>
      <c r="I14" s="10" t="s">
        <v>127</v>
      </c>
      <c r="J14" s="11" t="s">
        <v>4305</v>
      </c>
      <c r="M14" s="4"/>
      <c r="N14" s="76"/>
      <c r="O14" s="76"/>
      <c r="P14" s="76" t="str">
        <f t="shared" ref="P14:P19" si="4">IF(B14&lt;&gt;1,","&amp;D14,D14)</f>
        <v>,vital_sign_time</v>
      </c>
      <c r="Q14" s="76" t="str">
        <f t="shared" si="0"/>
        <v>TEXT</v>
      </c>
      <c r="R14" s="76" t="str">
        <f t="shared" si="1"/>
        <v/>
      </c>
      <c r="S14" s="76" t="str">
        <f t="shared" ref="S14:S19" si="5">IF(I14="○","NOT NULL","")</f>
        <v>NOT NULL</v>
      </c>
      <c r="T14" s="76" t="str">
        <f t="shared" ref="T14:T19" si="6">"-- "&amp;C14</f>
        <v>-- バイタルサインの計測時間</v>
      </c>
      <c r="U14" s="4"/>
      <c r="AA14" s="4"/>
      <c r="AB14" s="4"/>
      <c r="AC14" s="4"/>
      <c r="AD14" s="4"/>
      <c r="AE14" s="4"/>
      <c r="AF14" s="4"/>
      <c r="AG14" s="4"/>
      <c r="AH14" s="4"/>
      <c r="AI14" s="4"/>
      <c r="AJ14" s="76" t="str">
        <f>IF(E14="○",IF(COUNTA(E$13:E14)=1,"",",")&amp;D14,"")</f>
        <v>,vital_sign_time</v>
      </c>
      <c r="AK14" s="4"/>
      <c r="AL14" s="4"/>
      <c r="AM14" s="4"/>
      <c r="AN14" s="4"/>
      <c r="AO14" s="4"/>
      <c r="AP14" s="4"/>
      <c r="AQ14" s="4"/>
      <c r="AR14" s="4"/>
      <c r="AS14" s="76" t="str">
        <f>"COMMENT ON COLUMN "&amp;エンティティ一覧!$O$2&amp;"."&amp;D$8&amp;"."&amp;D14&amp;" IS '"&amp;C14&amp;"';"</f>
        <v>COMMENT ON COLUMN milscm_2023_009.sny_202310_work_height_weight_mml.vital_sign_time IS 'バイタルサインの計測時間';</v>
      </c>
    </row>
    <row r="15" spans="1:45" s="25" customFormat="1">
      <c r="A15" s="4"/>
      <c r="B15" s="21">
        <f t="shared" si="2"/>
        <v>3</v>
      </c>
      <c r="C15" s="6" t="s">
        <v>1623</v>
      </c>
      <c r="D15" s="6" t="s">
        <v>1624</v>
      </c>
      <c r="E15" s="8" t="s">
        <v>127</v>
      </c>
      <c r="F15" s="7" t="s">
        <v>317</v>
      </c>
      <c r="G15" s="7" t="str">
        <f t="shared" ref="G15:G17" si="7">IF(F15="フラグ","boolean",IF(F15="文字列","text",IF(F15="整数","integer",IF(F15="実数","numeric",""))))</f>
        <v>text</v>
      </c>
      <c r="H15" s="26"/>
      <c r="I15" s="10" t="s">
        <v>127</v>
      </c>
      <c r="J15" s="11" t="s">
        <v>4268</v>
      </c>
      <c r="M15" s="4"/>
      <c r="N15" s="76"/>
      <c r="O15" s="76"/>
      <c r="P15" s="76" t="str">
        <f t="shared" ref="P15:P17" si="8">IF(B15&lt;&gt;1,","&amp;D15,D15)</f>
        <v>,item_name</v>
      </c>
      <c r="Q15" s="76" t="str">
        <f t="shared" ref="Q15:Q17" si="9">UPPER(G15)</f>
        <v>TEXT</v>
      </c>
      <c r="R15" s="76" t="str">
        <f t="shared" ref="R15:R17" si="10">IF(H15&lt;&gt;"","default "&amp;IF(G15="text","'"&amp;H15&amp;"'",H15),"")</f>
        <v/>
      </c>
      <c r="S15" s="76" t="str">
        <f t="shared" ref="S15:S17" si="11">IF(I15="○","NOT NULL","")</f>
        <v>NOT NULL</v>
      </c>
      <c r="T15" s="76" t="str">
        <f t="shared" ref="T15:T17" si="12">"-- "&amp;C15</f>
        <v>-- 項目名</v>
      </c>
      <c r="U15" s="4"/>
      <c r="AA15" s="4"/>
      <c r="AB15" s="4"/>
      <c r="AC15" s="4"/>
      <c r="AD15" s="4"/>
      <c r="AE15" s="4"/>
      <c r="AF15" s="4"/>
      <c r="AG15" s="4"/>
      <c r="AH15" s="4"/>
      <c r="AI15" s="4"/>
      <c r="AJ15" s="76" t="str">
        <f>IF(E15="○",IF(COUNTA(E$13:E15)=1,"",",")&amp;D15,"")</f>
        <v>,item_name</v>
      </c>
      <c r="AK15" s="4"/>
      <c r="AL15" s="4"/>
      <c r="AM15" s="4"/>
      <c r="AN15" s="4"/>
      <c r="AO15" s="4"/>
      <c r="AP15" s="4"/>
      <c r="AQ15" s="4"/>
      <c r="AR15" s="4"/>
      <c r="AS15" s="76" t="str">
        <f>"COMMENT ON COLUMN "&amp;エンティティ一覧!$O$2&amp;"."&amp;D$8&amp;"."&amp;D15&amp;" IS '"&amp;C15&amp;"';"</f>
        <v>COMMENT ON COLUMN milscm_2023_009.sny_202310_work_height_weight_mml.item_name IS '項目名';</v>
      </c>
    </row>
    <row r="16" spans="1:45" s="25" customFormat="1" ht="56.25">
      <c r="A16" s="4"/>
      <c r="B16" s="21">
        <f t="shared" si="2"/>
        <v>4</v>
      </c>
      <c r="C16" s="6" t="s">
        <v>4266</v>
      </c>
      <c r="D16" s="6" t="s">
        <v>4267</v>
      </c>
      <c r="E16" s="8" t="s">
        <v>127</v>
      </c>
      <c r="F16" s="7" t="s">
        <v>204</v>
      </c>
      <c r="G16" s="7" t="str">
        <f t="shared" ref="G16" si="13">IF(F16="フラグ","boolean",IF(F16="文字列","text",IF(F16="整数","integer",IF(F16="実数","numeric",""))))</f>
        <v>integer</v>
      </c>
      <c r="H16" s="26"/>
      <c r="I16" s="10" t="s">
        <v>127</v>
      </c>
      <c r="J16" s="11" t="s">
        <v>4270</v>
      </c>
      <c r="M16" s="4"/>
      <c r="N16" s="76"/>
      <c r="O16" s="76"/>
      <c r="P16" s="76" t="str">
        <f t="shared" ref="P16" si="14">IF(B16&lt;&gt;1,","&amp;D16,D16)</f>
        <v>,dup_date_seq</v>
      </c>
      <c r="Q16" s="76" t="str">
        <f t="shared" ref="Q16" si="15">UPPER(G16)</f>
        <v>INTEGER</v>
      </c>
      <c r="R16" s="76" t="str">
        <f t="shared" ref="R16" si="16">IF(H16&lt;&gt;"","default "&amp;IF(G16="text","'"&amp;H16&amp;"'",H16),"")</f>
        <v/>
      </c>
      <c r="S16" s="76" t="str">
        <f t="shared" ref="S16" si="17">IF(I16="○","NOT NULL","")</f>
        <v>NOT NULL</v>
      </c>
      <c r="T16" s="76" t="str">
        <f t="shared" ref="T16" si="18">"-- "&amp;C16</f>
        <v>-- 日付重複SEQ</v>
      </c>
      <c r="U16" s="4"/>
      <c r="AA16" s="4"/>
      <c r="AB16" s="4"/>
      <c r="AC16" s="4"/>
      <c r="AD16" s="4"/>
      <c r="AE16" s="4"/>
      <c r="AF16" s="4"/>
      <c r="AG16" s="4"/>
      <c r="AH16" s="4"/>
      <c r="AI16" s="4"/>
      <c r="AJ16" s="76" t="str">
        <f>IF(E16="○",IF(COUNTA(E$13:E16)=1,"",",")&amp;D16,"")</f>
        <v>,dup_date_seq</v>
      </c>
      <c r="AK16" s="4"/>
      <c r="AL16" s="4"/>
      <c r="AM16" s="4"/>
      <c r="AN16" s="4"/>
      <c r="AO16" s="4"/>
      <c r="AP16" s="4"/>
      <c r="AQ16" s="4"/>
      <c r="AR16" s="4"/>
      <c r="AS16" s="76" t="str">
        <f>"COMMENT ON COLUMN "&amp;エンティティ一覧!$O$2&amp;"."&amp;D$8&amp;"."&amp;D16&amp;" IS '"&amp;C16&amp;"';"</f>
        <v>COMMENT ON COLUMN milscm_2023_009.sny_202310_work_height_weight_mml.dup_date_seq IS '日付重複SEQ';</v>
      </c>
    </row>
    <row r="17" spans="1:52" s="25" customFormat="1" ht="31.5">
      <c r="A17" s="4"/>
      <c r="B17" s="21">
        <f t="shared" si="2"/>
        <v>5</v>
      </c>
      <c r="C17" s="6" t="s">
        <v>1718</v>
      </c>
      <c r="D17" s="6" t="s">
        <v>1719</v>
      </c>
      <c r="E17" s="8"/>
      <c r="F17" s="7" t="s">
        <v>317</v>
      </c>
      <c r="G17" s="7" t="str">
        <f t="shared" si="7"/>
        <v>text</v>
      </c>
      <c r="H17" s="26"/>
      <c r="I17" s="10"/>
      <c r="J17" s="11"/>
      <c r="M17" s="4"/>
      <c r="N17" s="76"/>
      <c r="O17" s="76"/>
      <c r="P17" s="76" t="str">
        <f t="shared" si="8"/>
        <v>,vital_sign_value</v>
      </c>
      <c r="Q17" s="76" t="str">
        <f t="shared" si="9"/>
        <v>TEXT</v>
      </c>
      <c r="R17" s="76" t="str">
        <f t="shared" si="10"/>
        <v/>
      </c>
      <c r="S17" s="76" t="str">
        <f t="shared" si="11"/>
        <v/>
      </c>
      <c r="T17" s="76" t="str">
        <f t="shared" si="12"/>
        <v>-- 文字列で表記されるバイタルサインの値</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milscm_2023_009.sny_202310_work_height_weight_mml.vital_sign_value IS '文字列で表記されるバイタルサインの値';</v>
      </c>
    </row>
    <row r="18" spans="1:52" s="25" customFormat="1">
      <c r="A18" s="4"/>
      <c r="B18" s="21">
        <f t="shared" si="2"/>
        <v>6</v>
      </c>
      <c r="C18" s="6" t="s">
        <v>1720</v>
      </c>
      <c r="D18" s="6" t="s">
        <v>1721</v>
      </c>
      <c r="E18" s="8"/>
      <c r="F18" s="7" t="s">
        <v>317</v>
      </c>
      <c r="G18" s="7" t="str">
        <f t="shared" si="3"/>
        <v>text</v>
      </c>
      <c r="H18" s="26"/>
      <c r="I18" s="10"/>
      <c r="J18" s="11"/>
      <c r="M18" s="4"/>
      <c r="N18" s="76"/>
      <c r="O18" s="76"/>
      <c r="P18" s="76" t="str">
        <f t="shared" si="4"/>
        <v>,vital_sign_num_value</v>
      </c>
      <c r="Q18" s="76" t="str">
        <f t="shared" si="0"/>
        <v>TEXT</v>
      </c>
      <c r="R18" s="76" t="str">
        <f t="shared" si="1"/>
        <v/>
      </c>
      <c r="S18" s="76" t="str">
        <f t="shared" si="5"/>
        <v/>
      </c>
      <c r="T18" s="76" t="str">
        <f t="shared" si="6"/>
        <v>-- 数値で表記されるバイタルサインの値</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milscm_2023_009.sny_202310_work_height_weight_mml.vital_sign_num_value IS '数値で表記されるバイタルサインの値';</v>
      </c>
    </row>
    <row r="19" spans="1:52" s="25" customFormat="1" ht="19.5" thickBot="1">
      <c r="A19" s="4"/>
      <c r="B19" s="27">
        <f>ROW()-12</f>
        <v>7</v>
      </c>
      <c r="C19" s="57" t="s">
        <v>1722</v>
      </c>
      <c r="D19" s="57" t="s">
        <v>1723</v>
      </c>
      <c r="E19" s="56"/>
      <c r="F19" s="56" t="s">
        <v>317</v>
      </c>
      <c r="G19" s="56" t="str">
        <f t="shared" si="3"/>
        <v>text</v>
      </c>
      <c r="H19" s="59"/>
      <c r="I19" s="60"/>
      <c r="J19" s="64"/>
      <c r="N19" s="76"/>
      <c r="O19" s="76"/>
      <c r="P19" s="76" t="str">
        <f t="shared" si="4"/>
        <v>,vital_sign_unit</v>
      </c>
      <c r="Q19" s="76" t="str">
        <f t="shared" si="0"/>
        <v>TEXT</v>
      </c>
      <c r="R19" s="76" t="str">
        <f t="shared" si="1"/>
        <v/>
      </c>
      <c r="S19" s="76" t="str">
        <f t="shared" si="5"/>
        <v/>
      </c>
      <c r="T19" s="76" t="str">
        <f t="shared" si="6"/>
        <v>-- バイタルサインの単位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milscm_2023_009.sny_202310_work_height_weight_mml.vital_sign_unit IS 'バイタルサインの単位';</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ENT_41_16</v>
      </c>
      <c r="E6" s="273"/>
      <c r="F6" s="273"/>
      <c r="G6" s="273"/>
      <c r="H6" s="273"/>
      <c r="I6" s="273"/>
      <c r="J6" s="274"/>
    </row>
    <row r="7" spans="1:45">
      <c r="B7" s="262" t="s">
        <v>115</v>
      </c>
      <c r="C7" s="263"/>
      <c r="D7" s="264" t="s">
        <v>4271</v>
      </c>
      <c r="E7" s="265"/>
      <c r="F7" s="265"/>
      <c r="G7" s="265"/>
      <c r="H7" s="265"/>
      <c r="I7" s="265"/>
      <c r="J7" s="266"/>
    </row>
    <row r="8" spans="1:45">
      <c r="B8" s="262" t="s">
        <v>116</v>
      </c>
      <c r="C8" s="263"/>
      <c r="D8" s="264" t="str">
        <f>エンティティ一覧!AE2&amp;"_"&amp;D5&amp;"_height_weight"</f>
        <v>sny_202310_work_height_weight</v>
      </c>
      <c r="E8" s="265"/>
      <c r="F8" s="265"/>
      <c r="G8" s="265"/>
      <c r="H8" s="265"/>
      <c r="I8" s="265"/>
      <c r="J8" s="266"/>
    </row>
    <row r="9" spans="1:45" ht="19.5" customHeight="1" thickBot="1">
      <c r="B9" s="267" t="s">
        <v>117</v>
      </c>
      <c r="C9" s="268"/>
      <c r="D9" s="269" t="s">
        <v>4272</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milscm_2023_009.sny_202310_work_height_weight;</v>
      </c>
      <c r="O10" s="76"/>
      <c r="P10" s="76"/>
      <c r="Q10" s="76"/>
      <c r="R10" s="76"/>
      <c r="S10" s="76"/>
      <c r="T10" s="76"/>
      <c r="AJ10" s="76" t="str">
        <f>"ALTER TABLE ONLY "&amp;エンティティ一覧!$O$2&amp;"."&amp;D$8</f>
        <v>ALTER TABLE ONLY milscm_2023_009.sny_202310_work_height_weight</v>
      </c>
      <c r="AS10" s="76" t="str">
        <f>"ALTER TABLE "&amp;エンティティ一覧!$O$2&amp;"."&amp;D$8&amp;" OWNER TO pgmisgrp1;"</f>
        <v>ALTER TABLE milscm_2023_009.sny_202310_work_height_weight OWNER TO pgmisgrp1;</v>
      </c>
    </row>
    <row r="11" spans="1:45" ht="19.5" thickBot="1">
      <c r="B11" s="20" t="s">
        <v>118</v>
      </c>
      <c r="C11" s="19"/>
      <c r="D11" s="5"/>
      <c r="E11" s="5"/>
      <c r="F11" s="5"/>
      <c r="G11" s="5"/>
      <c r="H11" s="5"/>
      <c r="I11" s="5"/>
      <c r="J11" s="18"/>
      <c r="N11" s="76" t="str">
        <f>"CREATE TABLE  "&amp;エンティティ一覧!$O$2&amp;"."&amp;D$8</f>
        <v>CREATE TABLE  milscm_2023_009.sny_202310_work_height_weight</v>
      </c>
      <c r="O11" s="76"/>
      <c r="P11" s="76"/>
      <c r="Q11" s="76"/>
      <c r="R11" s="76"/>
      <c r="S11" s="76"/>
      <c r="T11" s="76"/>
      <c r="AJ11" s="76" t="str">
        <f>"ADD CONSTRAINT "&amp;D$8&amp;"_pkey PRIMARY KEY"</f>
        <v>ADD CONSTRAINT sny_202310_work_height_weight_pkey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 IS 'ワーク_身長体重データ';</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milscm_2023_009.sny_202310_work_height_weight.mask_id IS 'マスクID';</v>
      </c>
    </row>
    <row r="14" spans="1:45" s="25" customFormat="1">
      <c r="A14" s="4"/>
      <c r="B14" s="21">
        <f t="shared" ref="B14:B17" si="2">ROW()-12</f>
        <v>2</v>
      </c>
      <c r="C14" s="6" t="s">
        <v>1820</v>
      </c>
      <c r="D14" s="6" t="s">
        <v>208</v>
      </c>
      <c r="E14" s="8" t="s">
        <v>127</v>
      </c>
      <c r="F14" s="7" t="s">
        <v>1821</v>
      </c>
      <c r="G14" s="7" t="str">
        <f t="shared" ref="G14" si="3">IF(F14="フラグ","boolean",IF(F14="文字列","text",IF(F14="整数","integer",IF(F14="実数","numeric",""))))</f>
        <v>text</v>
      </c>
      <c r="H14" s="26"/>
      <c r="I14" s="10" t="s">
        <v>127</v>
      </c>
      <c r="J14" s="11" t="s">
        <v>4273</v>
      </c>
      <c r="M14" s="4"/>
      <c r="N14" s="76"/>
      <c r="O14" s="76"/>
      <c r="P14" s="76" t="str">
        <f t="shared" ref="P14" si="4">IF(B14&lt;&gt;1,","&amp;D14,D14)</f>
        <v>,data_type</v>
      </c>
      <c r="Q14" s="76" t="str">
        <f t="shared" ref="Q14" si="5">UPPER(G14)</f>
        <v>TEXT</v>
      </c>
      <c r="R14" s="76" t="str">
        <f t="shared" ref="R14" si="6">IF(H14&lt;&gt;"","default "&amp;IF(G14="text","'"&amp;H14&amp;"'",H14),"")</f>
        <v/>
      </c>
      <c r="S14" s="76" t="str">
        <f t="shared" ref="S14" si="7">IF(I14="○","NOT NULL","")</f>
        <v>NOT NULL</v>
      </c>
      <c r="T14" s="76" t="str">
        <f t="shared" ref="T14" si="8">"--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milscm_2023_009.sny_202310_work_height_weight.data_type IS 'データ種別';</v>
      </c>
    </row>
    <row r="15" spans="1:45" s="25" customFormat="1">
      <c r="A15" s="4"/>
      <c r="B15" s="21">
        <f t="shared" si="2"/>
        <v>3</v>
      </c>
      <c r="C15" s="6" t="s">
        <v>4274</v>
      </c>
      <c r="D15" s="6" t="s">
        <v>4275</v>
      </c>
      <c r="E15" s="8" t="s">
        <v>127</v>
      </c>
      <c r="F15" s="7" t="s">
        <v>317</v>
      </c>
      <c r="G15" s="7" t="str">
        <f t="shared" ref="G15:G18" si="9">IF(F15="フラグ","boolean",IF(F15="文字列","text",IF(F15="整数","integer",IF(F15="実数","numeric",""))))</f>
        <v>text</v>
      </c>
      <c r="H15" s="26"/>
      <c r="I15" s="10" t="s">
        <v>127</v>
      </c>
      <c r="J15" s="11" t="s">
        <v>4262</v>
      </c>
      <c r="M15" s="4"/>
      <c r="N15" s="76"/>
      <c r="O15" s="76"/>
      <c r="P15" s="76" t="str">
        <f t="shared" ref="P15:P18" si="10">IF(B15&lt;&gt;1,","&amp;D15,D15)</f>
        <v>,measurement_date</v>
      </c>
      <c r="Q15" s="76" t="str">
        <f t="shared" si="0"/>
        <v>TEXT</v>
      </c>
      <c r="R15" s="76" t="str">
        <f t="shared" si="1"/>
        <v/>
      </c>
      <c r="S15" s="76" t="str">
        <f t="shared" ref="S15:S18" si="11">IF(I15="○","NOT NULL","")</f>
        <v>NOT NULL</v>
      </c>
      <c r="T15" s="76" t="str">
        <f t="shared" ref="T15:T18" si="12">"-- "&amp;C15</f>
        <v>-- 計測日</v>
      </c>
      <c r="U15" s="4"/>
      <c r="AA15" s="4"/>
      <c r="AB15" s="4"/>
      <c r="AC15" s="4"/>
      <c r="AD15" s="4"/>
      <c r="AE15" s="4"/>
      <c r="AF15" s="4"/>
      <c r="AG15" s="4"/>
      <c r="AH15" s="4"/>
      <c r="AI15" s="4"/>
      <c r="AJ15" s="76" t="str">
        <f>IF(E15="○",IF(COUNTA(E$13:E15)=1,"",",")&amp;D15,"")</f>
        <v>,measurement_date</v>
      </c>
      <c r="AK15" s="4"/>
      <c r="AL15" s="4"/>
      <c r="AM15" s="4"/>
      <c r="AN15" s="4"/>
      <c r="AO15" s="4"/>
      <c r="AP15" s="4"/>
      <c r="AQ15" s="4"/>
      <c r="AR15" s="4"/>
      <c r="AS15" s="76" t="str">
        <f>"COMMENT ON COLUMN "&amp;エンティティ一覧!$O$2&amp;"."&amp;D$8&amp;"."&amp;D15&amp;" IS '"&amp;C15&amp;"';"</f>
        <v>COMMENT ON COLUMN milscm_2023_009.sny_202310_work_height_weight.measurement_date IS '計測日';</v>
      </c>
    </row>
    <row r="16" spans="1:45" s="25" customFormat="1">
      <c r="A16" s="4"/>
      <c r="B16" s="21">
        <f t="shared" si="2"/>
        <v>4</v>
      </c>
      <c r="C16" s="6" t="s">
        <v>1623</v>
      </c>
      <c r="D16" s="6" t="s">
        <v>1624</v>
      </c>
      <c r="E16" s="8" t="s">
        <v>127</v>
      </c>
      <c r="F16" s="7" t="s">
        <v>317</v>
      </c>
      <c r="G16" s="7" t="str">
        <f t="shared" si="9"/>
        <v>text</v>
      </c>
      <c r="H16" s="26"/>
      <c r="I16" s="10" t="s">
        <v>127</v>
      </c>
      <c r="J16" s="11" t="s">
        <v>4268</v>
      </c>
      <c r="M16" s="4"/>
      <c r="N16" s="76"/>
      <c r="O16" s="76"/>
      <c r="P16" s="76" t="str">
        <f t="shared" si="10"/>
        <v>,item_name</v>
      </c>
      <c r="Q16" s="76" t="str">
        <f t="shared" si="0"/>
        <v>TEXT</v>
      </c>
      <c r="R16" s="76" t="str">
        <f t="shared" si="1"/>
        <v/>
      </c>
      <c r="S16" s="76" t="str">
        <f t="shared" si="11"/>
        <v>NOT NULL</v>
      </c>
      <c r="T16" s="76" t="str">
        <f t="shared" si="12"/>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milscm_2023_009.sny_202310_work_height_weight.item_name IS '項目名';</v>
      </c>
    </row>
    <row r="17" spans="1:52" s="25" customFormat="1">
      <c r="A17" s="4"/>
      <c r="B17" s="21">
        <f t="shared" si="2"/>
        <v>5</v>
      </c>
      <c r="C17" s="6" t="s">
        <v>4266</v>
      </c>
      <c r="D17" s="6" t="s">
        <v>4267</v>
      </c>
      <c r="E17" s="8" t="s">
        <v>127</v>
      </c>
      <c r="F17" s="7" t="s">
        <v>204</v>
      </c>
      <c r="G17" s="7" t="str">
        <f t="shared" si="9"/>
        <v>integer</v>
      </c>
      <c r="H17" s="26"/>
      <c r="I17" s="10" t="s">
        <v>127</v>
      </c>
      <c r="J17" s="11"/>
      <c r="M17" s="4"/>
      <c r="N17" s="76"/>
      <c r="O17" s="76"/>
      <c r="P17" s="76" t="str">
        <f t="shared" si="10"/>
        <v>,dup_date_seq</v>
      </c>
      <c r="Q17" s="76" t="str">
        <f t="shared" si="0"/>
        <v>INTEGER</v>
      </c>
      <c r="R17" s="76" t="str">
        <f t="shared" si="1"/>
        <v/>
      </c>
      <c r="S17" s="76" t="str">
        <f t="shared" si="11"/>
        <v>NOT NULL</v>
      </c>
      <c r="T17" s="76" t="str">
        <f t="shared" si="12"/>
        <v>-- 日付重複SEQ</v>
      </c>
      <c r="U17" s="4"/>
      <c r="AA17" s="4"/>
      <c r="AB17" s="4"/>
      <c r="AC17" s="4"/>
      <c r="AD17" s="4"/>
      <c r="AE17" s="4"/>
      <c r="AF17" s="4"/>
      <c r="AG17" s="4"/>
      <c r="AH17" s="4"/>
      <c r="AI17" s="4"/>
      <c r="AJ17" s="76" t="str">
        <f>IF(E17="○",IF(COUNTA(E$13:E17)=1,"",",")&amp;D17,"")</f>
        <v>,dup_date_seq</v>
      </c>
      <c r="AK17" s="4"/>
      <c r="AL17" s="4"/>
      <c r="AM17" s="4"/>
      <c r="AN17" s="4"/>
      <c r="AO17" s="4"/>
      <c r="AP17" s="4"/>
      <c r="AQ17" s="4"/>
      <c r="AR17" s="4"/>
      <c r="AS17" s="76" t="str">
        <f>"COMMENT ON COLUMN "&amp;エンティティ一覧!$O$2&amp;"."&amp;D$8&amp;"."&amp;D17&amp;" IS '"&amp;C17&amp;"';"</f>
        <v>COMMENT ON COLUMN milscm_2023_009.sny_202310_work_height_weight.dup_date_seq IS '日付重複SEQ';</v>
      </c>
    </row>
    <row r="18" spans="1:52" s="25" customFormat="1" ht="19.5" thickBot="1">
      <c r="A18" s="4"/>
      <c r="B18" s="27">
        <f>ROW()-12</f>
        <v>6</v>
      </c>
      <c r="C18" s="57" t="s">
        <v>4277</v>
      </c>
      <c r="D18" s="57" t="s">
        <v>4276</v>
      </c>
      <c r="E18" s="56"/>
      <c r="F18" s="56" t="s">
        <v>317</v>
      </c>
      <c r="G18" s="56" t="str">
        <f t="shared" si="9"/>
        <v>text</v>
      </c>
      <c r="H18" s="59"/>
      <c r="I18" s="60"/>
      <c r="J18" s="64" t="s">
        <v>4279</v>
      </c>
      <c r="N18" s="76"/>
      <c r="O18" s="76"/>
      <c r="P18" s="76" t="str">
        <f t="shared" si="10"/>
        <v>,item_value</v>
      </c>
      <c r="Q18" s="76" t="str">
        <f t="shared" si="0"/>
        <v>TEXT</v>
      </c>
      <c r="R18" s="76" t="str">
        <f t="shared" si="1"/>
        <v/>
      </c>
      <c r="S18" s="76" t="str">
        <f t="shared" si="11"/>
        <v/>
      </c>
      <c r="T18" s="76" t="str">
        <f t="shared" si="12"/>
        <v>-- 項目値</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milscm_2023_009.sny_202310_work_height_weight.item_value IS '項目値';</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ENT_41_17</v>
      </c>
      <c r="E6" s="273"/>
      <c r="F6" s="273"/>
      <c r="G6" s="273"/>
      <c r="H6" s="273"/>
      <c r="I6" s="273"/>
      <c r="J6" s="274"/>
    </row>
    <row r="7" spans="1:45">
      <c r="B7" s="262" t="s">
        <v>115</v>
      </c>
      <c r="C7" s="263"/>
      <c r="D7" s="264" t="s">
        <v>4222</v>
      </c>
      <c r="E7" s="265"/>
      <c r="F7" s="265"/>
      <c r="G7" s="265"/>
      <c r="H7" s="265"/>
      <c r="I7" s="265"/>
      <c r="J7" s="266"/>
    </row>
    <row r="8" spans="1:45">
      <c r="B8" s="262" t="s">
        <v>116</v>
      </c>
      <c r="C8" s="263"/>
      <c r="D8" s="264" t="str">
        <f>エンティティ一覧!AE2&amp;"_"&amp;D5&amp;"_text_temp"</f>
        <v>sny_202310_work_text_temp</v>
      </c>
      <c r="E8" s="265"/>
      <c r="F8" s="265"/>
      <c r="G8" s="265"/>
      <c r="H8" s="265"/>
      <c r="I8" s="265"/>
      <c r="J8" s="266"/>
    </row>
    <row r="9" spans="1:45" ht="19.5" customHeight="1" thickBot="1">
      <c r="B9" s="267" t="s">
        <v>117</v>
      </c>
      <c r="C9" s="268"/>
      <c r="D9" s="269" t="s">
        <v>4223</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milscm_2023_009.sny_202310_work_text_temp;</v>
      </c>
      <c r="O10" s="76"/>
      <c r="P10" s="76"/>
      <c r="Q10" s="76"/>
      <c r="R10" s="76"/>
      <c r="S10" s="76"/>
      <c r="T10" s="76"/>
      <c r="AJ10" s="76" t="str">
        <f>"ALTER TABLE ONLY "&amp;エンティティ一覧!$O$2&amp;"."&amp;D$8</f>
        <v>ALTER TABLE ONLY milscm_2023_009.sny_202310_work_text_temp</v>
      </c>
      <c r="AS10" s="76" t="str">
        <f>"ALTER TABLE "&amp;エンティティ一覧!$O$2&amp;"."&amp;D$8&amp;" OWNER TO pgmisgrp1;"</f>
        <v>ALTER TABLE milscm_2023_009.sny_202310_work_text_temp OWNER TO pgmisgrp1;</v>
      </c>
    </row>
    <row r="11" spans="1:45" ht="19.5" thickBot="1">
      <c r="B11" s="20" t="s">
        <v>118</v>
      </c>
      <c r="C11" s="19"/>
      <c r="D11" s="5"/>
      <c r="E11" s="5"/>
      <c r="F11" s="5"/>
      <c r="G11" s="5"/>
      <c r="H11" s="5"/>
      <c r="I11" s="5"/>
      <c r="J11" s="18"/>
      <c r="N11" s="76" t="str">
        <f>"CREATE TABLE  "&amp;エンティティ一覧!$O$2&amp;"."&amp;D$8</f>
        <v>CREATE TABLE  milscm_2023_009.sny_202310_work_text_temp</v>
      </c>
      <c r="O11" s="76"/>
      <c r="P11" s="76"/>
      <c r="Q11" s="76"/>
      <c r="R11" s="76"/>
      <c r="S11" s="76"/>
      <c r="T11" s="76"/>
      <c r="AJ11" s="76" t="str">
        <f>"ADD CONSTRAINT "&amp;D$8&amp;"_pkey PRIMARY KEY"</f>
        <v>ADD CONSTRAINT sny_202310_work_text_temp_pkey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milscm_2023_009.sny_202310_work_text_temp IS 'ワーク_テキスト情報_一時';</v>
      </c>
    </row>
    <row r="13" spans="1:45" s="25" customFormat="1">
      <c r="A13" s="4"/>
      <c r="B13" s="21">
        <f>ROW()-12</f>
        <v>1</v>
      </c>
      <c r="C13" s="6" t="s">
        <v>137</v>
      </c>
      <c r="D13" s="6" t="s">
        <v>128</v>
      </c>
      <c r="E13" s="8" t="s">
        <v>127</v>
      </c>
      <c r="F13" s="8" t="s">
        <v>4224</v>
      </c>
      <c r="G13" s="7" t="str">
        <f>IF(F13="フラグ","boolean",IF(F13="文字列","text",IF(F13="整数","integer",IF(F13="実数","numeric",""))))</f>
        <v>text</v>
      </c>
      <c r="H13" s="9"/>
      <c r="I13" s="10" t="s">
        <v>127</v>
      </c>
      <c r="J13" s="11"/>
      <c r="M13" s="4"/>
      <c r="N13" s="76"/>
      <c r="O13" s="76"/>
      <c r="P13" s="76" t="str">
        <f>IF(B13&lt;&gt;1,","&amp;D13,D13)</f>
        <v>facility_id</v>
      </c>
      <c r="Q13" s="76" t="str">
        <f t="shared" ref="Q13:Q28" si="0">UPPER(G13)</f>
        <v>TEXT</v>
      </c>
      <c r="R13" s="76" t="str">
        <f t="shared" ref="R13:R2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milscm_2023_009.sny_202310_work_text_temp.facility_id IS '施設ID';</v>
      </c>
    </row>
    <row r="14" spans="1:45" s="25" customFormat="1">
      <c r="A14" s="4"/>
      <c r="B14" s="21">
        <f t="shared" ref="B14:B27" si="2">ROW()-12</f>
        <v>2</v>
      </c>
      <c r="C14" s="6" t="s">
        <v>4225</v>
      </c>
      <c r="D14" s="6" t="s">
        <v>1246</v>
      </c>
      <c r="E14" s="8" t="s">
        <v>127</v>
      </c>
      <c r="F14" s="7" t="s">
        <v>3818</v>
      </c>
      <c r="G14" s="7" t="str">
        <f t="shared" ref="G14:G28" si="3">IF(F14="フラグ","boolean",IF(F14="文字列","text",IF(F14="整数","integer",IF(F14="実数","numeric",""))))</f>
        <v>text</v>
      </c>
      <c r="H14" s="26"/>
      <c r="I14" s="10" t="s">
        <v>127</v>
      </c>
      <c r="J14" s="11"/>
      <c r="M14" s="4"/>
      <c r="N14" s="76"/>
      <c r="O14" s="76"/>
      <c r="P14" s="76" t="str">
        <f t="shared" ref="P14:P28" si="4">IF(B14&lt;&gt;1,","&amp;D14,D14)</f>
        <v>,master_id</v>
      </c>
      <c r="Q14" s="76" t="str">
        <f t="shared" si="0"/>
        <v>TEXT</v>
      </c>
      <c r="R14" s="76" t="str">
        <f t="shared" si="1"/>
        <v/>
      </c>
      <c r="S14" s="76" t="str">
        <f t="shared" ref="S14:S28" si="5">IF(I14="○","NOT NULL","")</f>
        <v>NOT NULL</v>
      </c>
      <c r="T14" s="76" t="str">
        <f t="shared" ref="T14:T28" si="6">"--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milscm_2023_009.sny_202310_work_text_temp.master_id IS '患者ID';</v>
      </c>
    </row>
    <row r="15" spans="1:45" s="25" customFormat="1">
      <c r="A15" s="4"/>
      <c r="B15" s="21">
        <f t="shared" si="2"/>
        <v>3</v>
      </c>
      <c r="C15" s="6" t="s">
        <v>1247</v>
      </c>
      <c r="D15" s="6" t="s">
        <v>1248</v>
      </c>
      <c r="E15" s="8" t="s">
        <v>127</v>
      </c>
      <c r="F15" s="7" t="s">
        <v>317</v>
      </c>
      <c r="G15" s="7" t="str">
        <f t="shared" si="3"/>
        <v>text</v>
      </c>
      <c r="H15" s="26"/>
      <c r="I15" s="10" t="s">
        <v>127</v>
      </c>
      <c r="J15" s="11"/>
      <c r="M15" s="4"/>
      <c r="N15" s="76"/>
      <c r="O15" s="76"/>
      <c r="P15" s="76" t="str">
        <f t="shared" si="4"/>
        <v>,uid</v>
      </c>
      <c r="Q15" s="76" t="str">
        <f t="shared" si="0"/>
        <v>TEXT</v>
      </c>
      <c r="R15" s="76" t="str">
        <f t="shared" si="1"/>
        <v/>
      </c>
      <c r="S15" s="76" t="str">
        <f t="shared" si="5"/>
        <v>NOT NULL</v>
      </c>
      <c r="T15" s="76" t="str">
        <f t="shared" si="6"/>
        <v>-- 文書ユニークID</v>
      </c>
      <c r="U15" s="4"/>
      <c r="AA15" s="4"/>
      <c r="AB15" s="4"/>
      <c r="AC15" s="4"/>
      <c r="AD15" s="4"/>
      <c r="AE15" s="4"/>
      <c r="AF15" s="4"/>
      <c r="AG15" s="4"/>
      <c r="AH15" s="4"/>
      <c r="AI15" s="4"/>
      <c r="AJ15" s="76" t="str">
        <f>IF(E15="○",IF(COUNTA(E$13:E15)=1,"",",")&amp;D15,"")</f>
        <v>,uid</v>
      </c>
      <c r="AK15" s="4"/>
      <c r="AL15" s="4"/>
      <c r="AM15" s="4"/>
      <c r="AN15" s="4"/>
      <c r="AO15" s="4"/>
      <c r="AP15" s="4"/>
      <c r="AQ15" s="4"/>
      <c r="AR15" s="4"/>
      <c r="AS15" s="76" t="str">
        <f>"COMMENT ON COLUMN "&amp;エンティティ一覧!$O$2&amp;"."&amp;D$8&amp;"."&amp;D15&amp;" IS '"&amp;C15&amp;"';"</f>
        <v>COMMENT ON COLUMN milscm_2023_009.sny_202310_work_text_temp.uid IS '文書ユニークID';</v>
      </c>
    </row>
    <row r="16" spans="1:45" s="25" customFormat="1" ht="56.25">
      <c r="A16" s="4"/>
      <c r="B16" s="21">
        <f t="shared" si="2"/>
        <v>4</v>
      </c>
      <c r="C16" s="6" t="s">
        <v>4226</v>
      </c>
      <c r="D16" s="6" t="s">
        <v>4227</v>
      </c>
      <c r="E16" s="8" t="s">
        <v>127</v>
      </c>
      <c r="F16" s="7" t="s">
        <v>204</v>
      </c>
      <c r="G16" s="7" t="str">
        <f t="shared" si="3"/>
        <v>integer</v>
      </c>
      <c r="H16" s="26"/>
      <c r="I16" s="10" t="s">
        <v>127</v>
      </c>
      <c r="J16" s="11" t="s">
        <v>4241</v>
      </c>
      <c r="M16" s="4"/>
      <c r="N16" s="76"/>
      <c r="O16" s="76"/>
      <c r="P16" s="76" t="str">
        <f t="shared" si="4"/>
        <v>,module_seq</v>
      </c>
      <c r="Q16" s="76" t="str">
        <f t="shared" si="0"/>
        <v>INTEGER</v>
      </c>
      <c r="R16" s="76" t="str">
        <f t="shared" si="1"/>
        <v/>
      </c>
      <c r="S16" s="76" t="str">
        <f t="shared" si="5"/>
        <v>NOT NULL</v>
      </c>
      <c r="T16" s="76" t="str">
        <f t="shared" si="6"/>
        <v>-- モジュールSEQ</v>
      </c>
      <c r="U16" s="4"/>
      <c r="AA16" s="4"/>
      <c r="AB16" s="4"/>
      <c r="AC16" s="4"/>
      <c r="AD16" s="4"/>
      <c r="AE16" s="4"/>
      <c r="AF16" s="4"/>
      <c r="AG16" s="4"/>
      <c r="AH16" s="4"/>
      <c r="AI16" s="4"/>
      <c r="AJ16" s="76" t="str">
        <f>IF(E16="○",IF(COUNTA(E$13:E16)=1,"",",")&amp;D16,"")</f>
        <v>,module_seq</v>
      </c>
      <c r="AK16" s="4"/>
      <c r="AL16" s="4"/>
      <c r="AM16" s="4"/>
      <c r="AN16" s="4"/>
      <c r="AO16" s="4"/>
      <c r="AP16" s="4"/>
      <c r="AQ16" s="4"/>
      <c r="AR16" s="4"/>
      <c r="AS16" s="76" t="str">
        <f>"COMMENT ON COLUMN "&amp;エンティティ一覧!$O$2&amp;"."&amp;D$8&amp;"."&amp;D16&amp;" IS '"&amp;C16&amp;"';"</f>
        <v>COMMENT ON COLUMN milscm_2023_009.sny_202310_work_text_temp.module_seq IS 'モジュールSEQ';</v>
      </c>
    </row>
    <row r="17" spans="1:52" s="25" customFormat="1">
      <c r="A17" s="4"/>
      <c r="B17" s="21">
        <f t="shared" si="2"/>
        <v>5</v>
      </c>
      <c r="C17" s="6" t="s">
        <v>1352</v>
      </c>
      <c r="D17" s="6" t="s">
        <v>1353</v>
      </c>
      <c r="E17" s="8" t="s">
        <v>127</v>
      </c>
      <c r="F17" s="7" t="s">
        <v>204</v>
      </c>
      <c r="G17" s="7" t="str">
        <f t="shared" si="3"/>
        <v>integer</v>
      </c>
      <c r="H17" s="26"/>
      <c r="I17" s="10" t="s">
        <v>127</v>
      </c>
      <c r="J17" s="11" t="s">
        <v>4242</v>
      </c>
      <c r="M17" s="4"/>
      <c r="N17" s="76"/>
      <c r="O17" s="76"/>
      <c r="P17" s="76" t="str">
        <f t="shared" si="4"/>
        <v>,problem_seq</v>
      </c>
      <c r="Q17" s="76" t="str">
        <f t="shared" si="0"/>
        <v>INTEGER</v>
      </c>
      <c r="R17" s="76" t="str">
        <f t="shared" si="1"/>
        <v/>
      </c>
      <c r="S17" s="76" t="str">
        <f t="shared" si="5"/>
        <v>NOT NULL</v>
      </c>
      <c r="T17" s="76" t="str">
        <f t="shared" si="6"/>
        <v>-- プロブレムSEQ</v>
      </c>
      <c r="U17" s="4"/>
      <c r="AA17" s="4"/>
      <c r="AB17" s="4"/>
      <c r="AC17" s="4"/>
      <c r="AD17" s="4"/>
      <c r="AE17" s="4"/>
      <c r="AF17" s="4"/>
      <c r="AG17" s="4"/>
      <c r="AH17" s="4"/>
      <c r="AI17" s="4"/>
      <c r="AJ17" s="76" t="str">
        <f>IF(E17="○",IF(COUNTA(E$13:E17)=1,"",",")&amp;D17,"")</f>
        <v>,problem_seq</v>
      </c>
      <c r="AK17" s="4"/>
      <c r="AL17" s="4"/>
      <c r="AM17" s="4"/>
      <c r="AN17" s="4"/>
      <c r="AO17" s="4"/>
      <c r="AP17" s="4"/>
      <c r="AQ17" s="4"/>
      <c r="AR17" s="4"/>
      <c r="AS17" s="76" t="str">
        <f>"COMMENT ON COLUMN "&amp;エンティティ一覧!$O$2&amp;"."&amp;D$8&amp;"."&amp;D17&amp;" IS '"&amp;C17&amp;"';"</f>
        <v>COMMENT ON COLUMN milscm_2023_009.sny_202310_work_text_temp.problem_seq IS 'プロブレムSEQ';</v>
      </c>
    </row>
    <row r="18" spans="1:52" s="25" customFormat="1">
      <c r="A18" s="4"/>
      <c r="B18" s="21">
        <f t="shared" si="2"/>
        <v>6</v>
      </c>
      <c r="C18" s="6" t="s">
        <v>1404</v>
      </c>
      <c r="D18" s="6" t="s">
        <v>1405</v>
      </c>
      <c r="E18" s="8" t="s">
        <v>127</v>
      </c>
      <c r="F18" s="7" t="s">
        <v>204</v>
      </c>
      <c r="G18" s="7" t="str">
        <f t="shared" si="3"/>
        <v>integer</v>
      </c>
      <c r="H18" s="26"/>
      <c r="I18" s="10" t="s">
        <v>127</v>
      </c>
      <c r="J18" s="11" t="s">
        <v>4243</v>
      </c>
      <c r="M18" s="4"/>
      <c r="N18" s="76"/>
      <c r="O18" s="76"/>
      <c r="P18" s="76" t="str">
        <f t="shared" si="4"/>
        <v>,assessment_item_seq</v>
      </c>
      <c r="Q18" s="76" t="str">
        <f t="shared" si="0"/>
        <v>INTEGER</v>
      </c>
      <c r="R18" s="76" t="str">
        <f t="shared" si="1"/>
        <v/>
      </c>
      <c r="S18" s="76" t="str">
        <f t="shared" si="5"/>
        <v>NOT NULL</v>
      </c>
      <c r="T18" s="76" t="str">
        <f t="shared" si="6"/>
        <v>-- アセスメントSEQ</v>
      </c>
      <c r="U18" s="4"/>
      <c r="AA18" s="4"/>
      <c r="AB18" s="4"/>
      <c r="AC18" s="4"/>
      <c r="AD18" s="4"/>
      <c r="AE18" s="4"/>
      <c r="AF18" s="4"/>
      <c r="AG18" s="4"/>
      <c r="AH18" s="4"/>
      <c r="AI18" s="4"/>
      <c r="AJ18" s="76" t="str">
        <f>IF(E18="○",IF(COUNTA(E$13:E18)=1,"",",")&amp;D18,"")</f>
        <v>,assessment_item_seq</v>
      </c>
      <c r="AK18" s="4"/>
      <c r="AL18" s="4"/>
      <c r="AM18" s="4"/>
      <c r="AN18" s="4"/>
      <c r="AO18" s="4"/>
      <c r="AP18" s="4"/>
      <c r="AQ18" s="4"/>
      <c r="AR18" s="4"/>
      <c r="AS18" s="76" t="str">
        <f>"COMMENT ON COLUMN "&amp;エンティティ一覧!$O$2&amp;"."&amp;D$8&amp;"."&amp;D18&amp;" IS '"&amp;C18&amp;"';"</f>
        <v>COMMENT ON COLUMN milscm_2023_009.sny_202310_work_text_temp.assessment_item_seq IS 'アセスメントSEQ';</v>
      </c>
    </row>
    <row r="19" spans="1:52" s="25" customFormat="1">
      <c r="A19" s="4"/>
      <c r="B19" s="21">
        <f t="shared" si="2"/>
        <v>7</v>
      </c>
      <c r="C19" s="6" t="s">
        <v>4228</v>
      </c>
      <c r="D19" s="6" t="s">
        <v>1415</v>
      </c>
      <c r="E19" s="8" t="s">
        <v>127</v>
      </c>
      <c r="F19" s="7" t="s">
        <v>204</v>
      </c>
      <c r="G19" s="7" t="str">
        <f t="shared" si="3"/>
        <v>integer</v>
      </c>
      <c r="H19" s="26"/>
      <c r="I19" s="10" t="s">
        <v>127</v>
      </c>
      <c r="J19" s="11" t="s">
        <v>4244</v>
      </c>
      <c r="M19" s="4"/>
      <c r="N19" s="76"/>
      <c r="O19" s="76"/>
      <c r="P19" s="76" t="str">
        <f t="shared" si="4"/>
        <v>,gaibu_sansyo_seq</v>
      </c>
      <c r="Q19" s="76" t="str">
        <f t="shared" si="0"/>
        <v>INTEGER</v>
      </c>
      <c r="R19" s="76" t="str">
        <f t="shared" si="1"/>
        <v/>
      </c>
      <c r="S19" s="76" t="str">
        <f t="shared" si="5"/>
        <v>NOT NULL</v>
      </c>
      <c r="T19" s="76" t="str">
        <f t="shared" si="6"/>
        <v>-- 外部参照SEQ</v>
      </c>
      <c r="U19" s="4"/>
      <c r="AA19" s="4"/>
      <c r="AB19" s="4"/>
      <c r="AC19" s="4"/>
      <c r="AD19" s="4"/>
      <c r="AE19" s="4"/>
      <c r="AF19" s="4"/>
      <c r="AG19" s="4"/>
      <c r="AH19" s="4"/>
      <c r="AI19" s="4"/>
      <c r="AJ19" s="76" t="str">
        <f>IF(E19="○",IF(COUNTA(E$13:E19)=1,"",",")&amp;D19,"")</f>
        <v>,gaibu_sansyo_seq</v>
      </c>
      <c r="AK19" s="4"/>
      <c r="AL19" s="4"/>
      <c r="AM19" s="4"/>
      <c r="AN19" s="4"/>
      <c r="AO19" s="4"/>
      <c r="AP19" s="4"/>
      <c r="AQ19" s="4"/>
      <c r="AR19" s="4"/>
      <c r="AS19" s="76" t="str">
        <f>"COMMENT ON COLUMN "&amp;エンティティ一覧!$O$2&amp;"."&amp;D$8&amp;"."&amp;D19&amp;" IS '"&amp;C19&amp;"';"</f>
        <v>COMMENT ON COLUMN milscm_2023_009.sny_202310_work_text_temp.gaibu_sansyo_seq IS '外部参照SEQ';</v>
      </c>
    </row>
    <row r="20" spans="1:52" s="25" customFormat="1">
      <c r="A20" s="4"/>
      <c r="B20" s="21">
        <f t="shared" si="2"/>
        <v>8</v>
      </c>
      <c r="C20" s="6" t="s">
        <v>1344</v>
      </c>
      <c r="D20" s="6" t="s">
        <v>1345</v>
      </c>
      <c r="E20" s="8" t="s">
        <v>127</v>
      </c>
      <c r="F20" s="7" t="s">
        <v>204</v>
      </c>
      <c r="G20" s="7" t="str">
        <f t="shared" si="3"/>
        <v>integer</v>
      </c>
      <c r="H20" s="26"/>
      <c r="I20" s="10" t="s">
        <v>127</v>
      </c>
      <c r="J20" s="11" t="s">
        <v>4245</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milscm_2023_009.sny_202310_work_text_temp.keika_seq IS '経過記録SEQ';</v>
      </c>
    </row>
    <row r="21" spans="1:52" s="25" customFormat="1">
      <c r="A21" s="4"/>
      <c r="B21" s="21">
        <f t="shared" si="2"/>
        <v>9</v>
      </c>
      <c r="C21" s="6" t="s">
        <v>4229</v>
      </c>
      <c r="D21" s="6" t="s">
        <v>4230</v>
      </c>
      <c r="E21" s="8"/>
      <c r="F21" s="7" t="s">
        <v>4083</v>
      </c>
      <c r="G21" s="7" t="str">
        <f t="shared" si="3"/>
        <v>text</v>
      </c>
      <c r="H21" s="26"/>
      <c r="I21" s="10" t="s">
        <v>127</v>
      </c>
      <c r="J21" s="11" t="s">
        <v>4246</v>
      </c>
      <c r="M21" s="4"/>
      <c r="N21" s="76"/>
      <c r="O21" s="76"/>
      <c r="P21" s="76" t="str">
        <f t="shared" ref="P21:P25" si="7">IF(B21&lt;&gt;1,","&amp;D21,D21)</f>
        <v>,source_module</v>
      </c>
      <c r="Q21" s="76" t="str">
        <f t="shared" ref="Q21:Q25" si="8">UPPER(G21)</f>
        <v>TEXT</v>
      </c>
      <c r="R21" s="76" t="str">
        <f t="shared" ref="R21:R25" si="9">IF(H21&lt;&gt;"","default "&amp;IF(G21="text","'"&amp;H21&amp;"'",H21),"")</f>
        <v/>
      </c>
      <c r="S21" s="76" t="str">
        <f t="shared" ref="S21:S25" si="10">IF(I21="○","NOT NULL","")</f>
        <v>NOT NULL</v>
      </c>
      <c r="T21" s="76" t="str">
        <f t="shared" ref="T21:T25" si="11">"-- "&amp;C21</f>
        <v>-- モジュール名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milscm_2023_009.sny_202310_work_text_temp.source_module IS 'モジュール名';</v>
      </c>
    </row>
    <row r="22" spans="1:52" s="25" customFormat="1" ht="93.75">
      <c r="A22" s="4"/>
      <c r="B22" s="21">
        <f t="shared" si="2"/>
        <v>10</v>
      </c>
      <c r="C22" s="6" t="s">
        <v>4231</v>
      </c>
      <c r="D22" s="6" t="s">
        <v>4232</v>
      </c>
      <c r="E22" s="8"/>
      <c r="F22" s="7" t="s">
        <v>4083</v>
      </c>
      <c r="G22" s="7" t="str">
        <f t="shared" si="3"/>
        <v>text</v>
      </c>
      <c r="H22" s="26"/>
      <c r="I22" s="10" t="s">
        <v>127</v>
      </c>
      <c r="J22" s="11" t="s">
        <v>4247</v>
      </c>
      <c r="M22" s="4"/>
      <c r="N22" s="76"/>
      <c r="O22" s="76"/>
      <c r="P22" s="76" t="str">
        <f t="shared" si="7"/>
        <v>,source_table</v>
      </c>
      <c r="Q22" s="76" t="str">
        <f t="shared" si="8"/>
        <v>TEXT</v>
      </c>
      <c r="R22" s="76" t="str">
        <f t="shared" si="9"/>
        <v/>
      </c>
      <c r="S22" s="76" t="str">
        <f t="shared" si="10"/>
        <v>NOT NULL</v>
      </c>
      <c r="T22" s="76" t="str">
        <f t="shared" si="11"/>
        <v>-- 取得元テーブル名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milscm_2023_009.sny_202310_work_text_temp.source_table IS '取得元テーブル名';</v>
      </c>
    </row>
    <row r="23" spans="1:52" s="25" customFormat="1" ht="150">
      <c r="A23" s="4"/>
      <c r="B23" s="21">
        <f t="shared" si="2"/>
        <v>11</v>
      </c>
      <c r="C23" s="6" t="s">
        <v>4233</v>
      </c>
      <c r="D23" s="6" t="s">
        <v>4234</v>
      </c>
      <c r="E23" s="8" t="s">
        <v>127</v>
      </c>
      <c r="F23" s="7" t="s">
        <v>4083</v>
      </c>
      <c r="G23" s="7" t="str">
        <f t="shared" si="3"/>
        <v>text</v>
      </c>
      <c r="H23" s="26"/>
      <c r="I23" s="10" t="s">
        <v>127</v>
      </c>
      <c r="J23" s="11" t="s">
        <v>4248</v>
      </c>
      <c r="M23" s="4"/>
      <c r="N23" s="76"/>
      <c r="O23" s="76"/>
      <c r="P23" s="76" t="str">
        <f t="shared" si="7"/>
        <v>,source_column</v>
      </c>
      <c r="Q23" s="76" t="str">
        <f t="shared" si="8"/>
        <v>TEXT</v>
      </c>
      <c r="R23" s="76" t="str">
        <f t="shared" si="9"/>
        <v/>
      </c>
      <c r="S23" s="76" t="str">
        <f t="shared" si="10"/>
        <v>NOT NULL</v>
      </c>
      <c r="T23" s="76" t="str">
        <f t="shared" si="11"/>
        <v>-- 取得元カラム名</v>
      </c>
      <c r="U23" s="4"/>
      <c r="AA23" s="4"/>
      <c r="AB23" s="4"/>
      <c r="AC23" s="4"/>
      <c r="AD23" s="4"/>
      <c r="AE23" s="4"/>
      <c r="AF23" s="4"/>
      <c r="AG23" s="4"/>
      <c r="AH23" s="4"/>
      <c r="AI23" s="4"/>
      <c r="AJ23" s="76" t="str">
        <f>IF(E23="○",IF(COUNTA(E$13:E23)=1,"",",")&amp;D23,"")</f>
        <v>,source_column</v>
      </c>
      <c r="AK23" s="4"/>
      <c r="AL23" s="4"/>
      <c r="AM23" s="4"/>
      <c r="AN23" s="4"/>
      <c r="AO23" s="4"/>
      <c r="AP23" s="4"/>
      <c r="AQ23" s="4"/>
      <c r="AR23" s="4"/>
      <c r="AS23" s="76" t="str">
        <f>"COMMENT ON COLUMN "&amp;エンティティ一覧!$O$2&amp;"."&amp;D$8&amp;"."&amp;D23&amp;" IS '"&amp;C23&amp;"';"</f>
        <v>COMMENT ON COLUMN milscm_2023_009.sny_202310_work_text_temp.source_column IS '取得元カラム名';</v>
      </c>
    </row>
    <row r="24" spans="1:52" s="25" customFormat="1">
      <c r="A24" s="4"/>
      <c r="B24" s="21">
        <f t="shared" si="2"/>
        <v>12</v>
      </c>
      <c r="C24" s="6" t="s">
        <v>4235</v>
      </c>
      <c r="D24" s="6" t="s">
        <v>3262</v>
      </c>
      <c r="E24" s="8"/>
      <c r="F24" s="7" t="s">
        <v>4083</v>
      </c>
      <c r="G24" s="7" t="str">
        <f t="shared" si="3"/>
        <v>text</v>
      </c>
      <c r="H24" s="26"/>
      <c r="I24" s="10" t="s">
        <v>127</v>
      </c>
      <c r="J24" s="11"/>
      <c r="M24" s="4"/>
      <c r="N24" s="76"/>
      <c r="O24" s="76"/>
      <c r="P24" s="76" t="str">
        <f t="shared" si="7"/>
        <v>,comfirm_date</v>
      </c>
      <c r="Q24" s="76" t="str">
        <f t="shared" si="8"/>
        <v>TEXT</v>
      </c>
      <c r="R24" s="76" t="str">
        <f t="shared" si="9"/>
        <v/>
      </c>
      <c r="S24" s="76" t="str">
        <f t="shared" si="10"/>
        <v>NOT NULL</v>
      </c>
      <c r="T24" s="76" t="str">
        <f t="shared" si="11"/>
        <v>-- 記載確定日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milscm_2023_009.sny_202310_work_text_temp.comfirm_date IS '記載確定日';</v>
      </c>
    </row>
    <row r="25" spans="1:52" s="25" customFormat="1">
      <c r="A25" s="4"/>
      <c r="B25" s="21">
        <f t="shared" si="2"/>
        <v>13</v>
      </c>
      <c r="C25" s="6" t="s">
        <v>4236</v>
      </c>
      <c r="D25" s="6" t="s">
        <v>1523</v>
      </c>
      <c r="E25" s="8"/>
      <c r="F25" s="7" t="s">
        <v>4083</v>
      </c>
      <c r="G25" s="7" t="str">
        <f t="shared" si="3"/>
        <v>text</v>
      </c>
      <c r="H25" s="26"/>
      <c r="I25" s="10"/>
      <c r="J25" s="11" t="s">
        <v>4249</v>
      </c>
      <c r="M25" s="4"/>
      <c r="N25" s="76"/>
      <c r="O25" s="76"/>
      <c r="P25" s="76" t="str">
        <f t="shared" si="7"/>
        <v>,event_date</v>
      </c>
      <c r="Q25" s="76" t="str">
        <f t="shared" si="8"/>
        <v>TEXT</v>
      </c>
      <c r="R25" s="76" t="str">
        <f t="shared" si="9"/>
        <v/>
      </c>
      <c r="S25" s="76" t="str">
        <f t="shared" si="10"/>
        <v/>
      </c>
      <c r="T25" s="76" t="str">
        <f t="shared" si="11"/>
        <v>-- イベント発生日時</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milscm_2023_009.sny_202310_work_text_temp.event_date IS 'イベント発生日時';</v>
      </c>
    </row>
    <row r="26" spans="1:52" s="25" customFormat="1">
      <c r="A26" s="4"/>
      <c r="B26" s="21">
        <f t="shared" si="2"/>
        <v>14</v>
      </c>
      <c r="C26" s="6" t="s">
        <v>4237</v>
      </c>
      <c r="D26" s="6" t="s">
        <v>1438</v>
      </c>
      <c r="E26" s="8"/>
      <c r="F26" s="7" t="s">
        <v>4083</v>
      </c>
      <c r="G26" s="7" t="str">
        <f t="shared" si="3"/>
        <v>text</v>
      </c>
      <c r="H26" s="26"/>
      <c r="I26" s="10"/>
      <c r="J26" s="11" t="s">
        <v>4250</v>
      </c>
      <c r="M26" s="4"/>
      <c r="N26" s="76"/>
      <c r="O26" s="76"/>
      <c r="P26" s="76" t="str">
        <f t="shared" si="4"/>
        <v>,history_start_ymd</v>
      </c>
      <c r="Q26" s="76" t="str">
        <f t="shared" si="0"/>
        <v>TEXT</v>
      </c>
      <c r="R26" s="76" t="str">
        <f t="shared" si="1"/>
        <v/>
      </c>
      <c r="S26" s="76" t="str">
        <f t="shared" si="5"/>
        <v/>
      </c>
      <c r="T26" s="76" t="str">
        <f t="shared" si="6"/>
        <v>-- サマリ対象期間の開始日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milscm_2023_009.sny_202310_work_text_temp.history_start_ymd IS 'サマリ対象期間の開始日';</v>
      </c>
    </row>
    <row r="27" spans="1:52" s="25" customFormat="1">
      <c r="A27" s="4"/>
      <c r="B27" s="21">
        <f t="shared" si="2"/>
        <v>15</v>
      </c>
      <c r="C27" s="6" t="s">
        <v>4238</v>
      </c>
      <c r="D27" s="6" t="s">
        <v>1440</v>
      </c>
      <c r="E27" s="8"/>
      <c r="F27" s="7" t="s">
        <v>4083</v>
      </c>
      <c r="G27" s="7" t="str">
        <f t="shared" si="3"/>
        <v>text</v>
      </c>
      <c r="H27" s="26"/>
      <c r="I27" s="10"/>
      <c r="J27" s="11" t="s">
        <v>4251</v>
      </c>
      <c r="M27" s="4"/>
      <c r="N27" s="76"/>
      <c r="O27" s="76"/>
      <c r="P27" s="76" t="str">
        <f t="shared" si="4"/>
        <v>,history_end_ymd</v>
      </c>
      <c r="Q27" s="76" t="str">
        <f t="shared" si="0"/>
        <v>TEXT</v>
      </c>
      <c r="R27" s="76" t="str">
        <f t="shared" si="1"/>
        <v/>
      </c>
      <c r="S27" s="76" t="str">
        <f t="shared" si="5"/>
        <v/>
      </c>
      <c r="T27" s="76" t="str">
        <f t="shared" si="6"/>
        <v>-- サマリ対象期間の終了日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milscm_2023_009.sny_202310_work_text_temp.history_end_ymd IS 'サマリ対象期間の終了日';</v>
      </c>
    </row>
    <row r="28" spans="1:52" s="25" customFormat="1" ht="19.5" thickBot="1">
      <c r="A28" s="4"/>
      <c r="B28" s="27">
        <f>ROW()-12</f>
        <v>16</v>
      </c>
      <c r="C28" s="57" t="s">
        <v>4239</v>
      </c>
      <c r="D28" s="57" t="s">
        <v>4240</v>
      </c>
      <c r="E28" s="56"/>
      <c r="F28" s="56" t="s">
        <v>4224</v>
      </c>
      <c r="G28" s="56" t="str">
        <f t="shared" si="3"/>
        <v>text</v>
      </c>
      <c r="H28" s="59"/>
      <c r="I28" s="60" t="s">
        <v>127</v>
      </c>
      <c r="J28" s="64" t="s">
        <v>4252</v>
      </c>
      <c r="N28" s="76"/>
      <c r="O28" s="76"/>
      <c r="P28" s="76" t="str">
        <f t="shared" si="4"/>
        <v>,original_text</v>
      </c>
      <c r="Q28" s="76" t="str">
        <f t="shared" si="0"/>
        <v>TEXT</v>
      </c>
      <c r="R28" s="76" t="str">
        <f t="shared" si="1"/>
        <v/>
      </c>
      <c r="S28" s="76" t="str">
        <f t="shared" si="5"/>
        <v>NOT NULL</v>
      </c>
      <c r="T28" s="76" t="str">
        <f t="shared" si="6"/>
        <v>-- オリジナルテキスト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milscm_2023_009.sny_202310_work_text_temp.original_text IS 'オリジナルテキスト';</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4285</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41</v>
      </c>
      <c r="E4" s="249"/>
      <c r="F4" s="249"/>
      <c r="G4" s="249"/>
      <c r="H4" s="249"/>
      <c r="I4" s="249"/>
      <c r="J4" s="250"/>
    </row>
    <row r="5" spans="1:45">
      <c r="B5" s="262" t="s">
        <v>3702</v>
      </c>
      <c r="C5" s="263"/>
      <c r="D5" s="272" t="str">
        <f>VLOOKUP(D7,エンティティ一覧!A1:'エンティティ一覧'!AM10204,7,FALSE)</f>
        <v>work</v>
      </c>
      <c r="E5" s="273"/>
      <c r="F5" s="273"/>
      <c r="G5" s="273"/>
      <c r="H5" s="273"/>
      <c r="I5" s="273"/>
      <c r="J5" s="274"/>
    </row>
    <row r="6" spans="1:45">
      <c r="B6" s="262" t="s">
        <v>3703</v>
      </c>
      <c r="C6" s="263"/>
      <c r="D6" s="272" t="str">
        <f>VLOOKUP(D7,エンティティ一覧!A1:'エンティティ一覧'!AM10204,15,FALSE)</f>
        <v>ENT_41_18</v>
      </c>
      <c r="E6" s="273"/>
      <c r="F6" s="273"/>
      <c r="G6" s="273"/>
      <c r="H6" s="273"/>
      <c r="I6" s="273"/>
      <c r="J6" s="274"/>
    </row>
    <row r="7" spans="1:45">
      <c r="B7" s="262" t="s">
        <v>115</v>
      </c>
      <c r="C7" s="263"/>
      <c r="D7" s="264" t="s">
        <v>4253</v>
      </c>
      <c r="E7" s="265"/>
      <c r="F7" s="265"/>
      <c r="G7" s="265"/>
      <c r="H7" s="265"/>
      <c r="I7" s="265"/>
      <c r="J7" s="266"/>
    </row>
    <row r="8" spans="1:45">
      <c r="B8" s="262" t="s">
        <v>116</v>
      </c>
      <c r="C8" s="263"/>
      <c r="D8" s="264" t="str">
        <f>エンティティ一覧!AE2&amp;"_"&amp;D5&amp;"_text"</f>
        <v>sny_202310_work_text</v>
      </c>
      <c r="E8" s="265"/>
      <c r="F8" s="265"/>
      <c r="G8" s="265"/>
      <c r="H8" s="265"/>
      <c r="I8" s="265"/>
      <c r="J8" s="266"/>
    </row>
    <row r="9" spans="1:45" ht="19.5" customHeight="1" thickBot="1">
      <c r="B9" s="267" t="s">
        <v>117</v>
      </c>
      <c r="C9" s="268"/>
      <c r="D9" s="269" t="s">
        <v>4223</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milscm_2023_009.sny_202310_work_text;</v>
      </c>
      <c r="O10" s="76"/>
      <c r="P10" s="76"/>
      <c r="Q10" s="76"/>
      <c r="R10" s="76"/>
      <c r="S10" s="76"/>
      <c r="T10" s="76"/>
      <c r="AJ10" s="76" t="str">
        <f>"ALTER TABLE ONLY "&amp;エンティティ一覧!$O$2&amp;"."&amp;D$8</f>
        <v>ALTER TABLE ONLY milscm_2023_009.sny_202310_work_text</v>
      </c>
      <c r="AS10" s="76" t="str">
        <f>"ALTER TABLE "&amp;エンティティ一覧!$O$2&amp;"."&amp;D$8&amp;" OWNER TO pgmisgrp1;"</f>
        <v>ALTER TABLE milscm_2023_009.sny_202310_work_text OWNER TO pgmisgrp1;</v>
      </c>
    </row>
    <row r="11" spans="1:45" ht="19.5" thickBot="1">
      <c r="B11" s="20" t="s">
        <v>118</v>
      </c>
      <c r="C11" s="19"/>
      <c r="D11" s="5"/>
      <c r="E11" s="5"/>
      <c r="F11" s="5"/>
      <c r="G11" s="5"/>
      <c r="H11" s="5"/>
      <c r="I11" s="5"/>
      <c r="J11" s="18"/>
      <c r="N11" s="76" t="str">
        <f>"CREATE TABLE  "&amp;エンティティ一覧!$O$2&amp;"."&amp;D$8</f>
        <v>CREATE TABLE  milscm_2023_009.sny_202310_work_text</v>
      </c>
      <c r="O11" s="76"/>
      <c r="P11" s="76"/>
      <c r="Q11" s="76"/>
      <c r="R11" s="76"/>
      <c r="S11" s="76"/>
      <c r="T11" s="76"/>
      <c r="AJ11" s="76" t="str">
        <f>"ADD CONSTRAINT "&amp;D$8&amp;"_pkey PRIMARY KEY"</f>
        <v>ADD CONSTRAINT sny_202310_work_text_pkey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milscm_2023_009.sny_202310_work_text IS 'ワーク_テキスト情報';</v>
      </c>
    </row>
    <row r="13" spans="1:45" s="25" customFormat="1">
      <c r="A13" s="4"/>
      <c r="B13" s="21">
        <f>ROW()-12</f>
        <v>1</v>
      </c>
      <c r="C13" s="6" t="s">
        <v>4071</v>
      </c>
      <c r="D13" s="6" t="s">
        <v>4072</v>
      </c>
      <c r="E13" s="8" t="s">
        <v>127</v>
      </c>
      <c r="F13" s="8" t="s">
        <v>4224</v>
      </c>
      <c r="G13" s="7" t="str">
        <f>IF(F13="フラグ","boolean",IF(F13="文字列","text",IF(F13="整数","integer",IF(F13="実数","numeric",""))))</f>
        <v>text</v>
      </c>
      <c r="H13" s="9"/>
      <c r="I13" s="10" t="s">
        <v>127</v>
      </c>
      <c r="J13" s="11"/>
      <c r="M13" s="4"/>
      <c r="N13" s="76"/>
      <c r="O13" s="76"/>
      <c r="P13" s="76" t="str">
        <f>IF(B13&lt;&gt;1,","&amp;D13,D13)</f>
        <v>mask_id</v>
      </c>
      <c r="Q13" s="76" t="str">
        <f t="shared" ref="Q13:Q29" si="0">UPPER(G13)</f>
        <v>TEXT</v>
      </c>
      <c r="R13" s="76" t="str">
        <f t="shared" ref="R13:R29"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milscm_2023_009.sny_202310_work_text.mask_id IS 'マスクID';</v>
      </c>
    </row>
    <row r="14" spans="1:45" s="25" customFormat="1">
      <c r="A14" s="4"/>
      <c r="B14" s="21">
        <f t="shared" ref="B14:B28" si="2">ROW()-12</f>
        <v>2</v>
      </c>
      <c r="C14" s="6" t="s">
        <v>4254</v>
      </c>
      <c r="D14" s="6" t="s">
        <v>4255</v>
      </c>
      <c r="E14" s="8"/>
      <c r="F14" s="7" t="s">
        <v>3818</v>
      </c>
      <c r="G14" s="7" t="str">
        <f t="shared" ref="G14" si="3">IF(F14="フラグ","boolean",IF(F14="文字列","text",IF(F14="整数","integer",IF(F14="実数","numeric",""))))</f>
        <v>text</v>
      </c>
      <c r="H14" s="26"/>
      <c r="I14" s="10" t="s">
        <v>127</v>
      </c>
      <c r="J14" s="11" t="s">
        <v>4258</v>
      </c>
      <c r="M14" s="4"/>
      <c r="N14" s="76"/>
      <c r="O14" s="76"/>
      <c r="P14" s="76" t="str">
        <f t="shared" ref="P14" si="4">IF(B14&lt;&gt;1,","&amp;D14,D14)</f>
        <v>,link_no</v>
      </c>
      <c r="Q14" s="76" t="str">
        <f t="shared" ref="Q14" si="5">UPPER(G14)</f>
        <v>TEXT</v>
      </c>
      <c r="R14" s="76" t="str">
        <f t="shared" ref="R14" si="6">IF(H14&lt;&gt;"","default "&amp;IF(G14="text","'"&amp;H14&amp;"'",H14),"")</f>
        <v/>
      </c>
      <c r="S14" s="76" t="str">
        <f t="shared" ref="S14" si="7">IF(I14="○","NOT NULL","")</f>
        <v>NOT NULL</v>
      </c>
      <c r="T14" s="76" t="str">
        <f t="shared" ref="T14" si="8">"-- "&amp;C14</f>
        <v>-- テキスト連結番号</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milscm_2023_009.sny_202310_work_text.link_no IS 'テキスト連結番号';</v>
      </c>
    </row>
    <row r="15" spans="1:45" s="25" customFormat="1">
      <c r="A15" s="4"/>
      <c r="B15" s="21">
        <f t="shared" si="2"/>
        <v>3</v>
      </c>
      <c r="C15" s="6" t="s">
        <v>1247</v>
      </c>
      <c r="D15" s="6" t="s">
        <v>1248</v>
      </c>
      <c r="E15" s="8" t="s">
        <v>127</v>
      </c>
      <c r="F15" s="7" t="s">
        <v>317</v>
      </c>
      <c r="G15" s="7" t="str">
        <f t="shared" ref="G15:G29" si="9">IF(F15="フラグ","boolean",IF(F15="文字列","text",IF(F15="整数","integer",IF(F15="実数","numeric",""))))</f>
        <v>text</v>
      </c>
      <c r="H15" s="26"/>
      <c r="I15" s="10" t="s">
        <v>127</v>
      </c>
      <c r="J15" s="11"/>
      <c r="M15" s="4"/>
      <c r="N15" s="76"/>
      <c r="O15" s="76"/>
      <c r="P15" s="76" t="str">
        <f t="shared" ref="P15:P29" si="10">IF(B15&lt;&gt;1,","&amp;D15,D15)</f>
        <v>,uid</v>
      </c>
      <c r="Q15" s="76" t="str">
        <f t="shared" si="0"/>
        <v>TEXT</v>
      </c>
      <c r="R15" s="76" t="str">
        <f t="shared" si="1"/>
        <v/>
      </c>
      <c r="S15" s="76" t="str">
        <f t="shared" ref="S15:S29" si="11">IF(I15="○","NOT NULL","")</f>
        <v>NOT NULL</v>
      </c>
      <c r="T15" s="76" t="str">
        <f t="shared" ref="T15:T29" si="12">"-- "&amp;C15</f>
        <v>-- 文書ユニークID</v>
      </c>
      <c r="U15" s="4"/>
      <c r="AA15" s="4"/>
      <c r="AB15" s="4"/>
      <c r="AC15" s="4"/>
      <c r="AD15" s="4"/>
      <c r="AE15" s="4"/>
      <c r="AF15" s="4"/>
      <c r="AG15" s="4"/>
      <c r="AH15" s="4"/>
      <c r="AI15" s="4"/>
      <c r="AJ15" s="76" t="str">
        <f>IF(E15="○",IF(COUNTA(E$13:E15)=1,"",",")&amp;D15,"")</f>
        <v>,uid</v>
      </c>
      <c r="AK15" s="4"/>
      <c r="AL15" s="4"/>
      <c r="AM15" s="4"/>
      <c r="AN15" s="4"/>
      <c r="AO15" s="4"/>
      <c r="AP15" s="4"/>
      <c r="AQ15" s="4"/>
      <c r="AR15" s="4"/>
      <c r="AS15" s="76" t="str">
        <f>"COMMENT ON COLUMN "&amp;エンティティ一覧!$O$2&amp;"."&amp;D$8&amp;"."&amp;D15&amp;" IS '"&amp;C15&amp;"';"</f>
        <v>COMMENT ON COLUMN milscm_2023_009.sny_202310_work_text.uid IS '文書ユニークID';</v>
      </c>
    </row>
    <row r="16" spans="1:45" s="25" customFormat="1" ht="56.25">
      <c r="A16" s="4"/>
      <c r="B16" s="21">
        <f t="shared" si="2"/>
        <v>4</v>
      </c>
      <c r="C16" s="6" t="s">
        <v>4226</v>
      </c>
      <c r="D16" s="6" t="s">
        <v>4227</v>
      </c>
      <c r="E16" s="8" t="s">
        <v>127</v>
      </c>
      <c r="F16" s="7" t="s">
        <v>204</v>
      </c>
      <c r="G16" s="7" t="str">
        <f t="shared" si="9"/>
        <v>integer</v>
      </c>
      <c r="H16" s="26"/>
      <c r="I16" s="10" t="s">
        <v>127</v>
      </c>
      <c r="J16" s="11" t="s">
        <v>4241</v>
      </c>
      <c r="M16" s="4"/>
      <c r="N16" s="76"/>
      <c r="O16" s="76"/>
      <c r="P16" s="76" t="str">
        <f t="shared" si="10"/>
        <v>,module_seq</v>
      </c>
      <c r="Q16" s="76" t="str">
        <f t="shared" si="0"/>
        <v>INTEGER</v>
      </c>
      <c r="R16" s="76" t="str">
        <f t="shared" si="1"/>
        <v/>
      </c>
      <c r="S16" s="76" t="str">
        <f t="shared" si="11"/>
        <v>NOT NULL</v>
      </c>
      <c r="T16" s="76" t="str">
        <f t="shared" si="12"/>
        <v>-- モジュールSEQ</v>
      </c>
      <c r="U16" s="4"/>
      <c r="AA16" s="4"/>
      <c r="AB16" s="4"/>
      <c r="AC16" s="4"/>
      <c r="AD16" s="4"/>
      <c r="AE16" s="4"/>
      <c r="AF16" s="4"/>
      <c r="AG16" s="4"/>
      <c r="AH16" s="4"/>
      <c r="AI16" s="4"/>
      <c r="AJ16" s="76" t="str">
        <f>IF(E16="○",IF(COUNTA(E$13:E16)=1,"",",")&amp;D16,"")</f>
        <v>,module_seq</v>
      </c>
      <c r="AK16" s="4"/>
      <c r="AL16" s="4"/>
      <c r="AM16" s="4"/>
      <c r="AN16" s="4"/>
      <c r="AO16" s="4"/>
      <c r="AP16" s="4"/>
      <c r="AQ16" s="4"/>
      <c r="AR16" s="4"/>
      <c r="AS16" s="76" t="str">
        <f>"COMMENT ON COLUMN "&amp;エンティティ一覧!$O$2&amp;"."&amp;D$8&amp;"."&amp;D16&amp;" IS '"&amp;C16&amp;"';"</f>
        <v>COMMENT ON COLUMN milscm_2023_009.sny_202310_work_text.module_seq IS 'モジュールSEQ';</v>
      </c>
    </row>
    <row r="17" spans="1:52" s="25" customFormat="1">
      <c r="A17" s="4"/>
      <c r="B17" s="21">
        <f t="shared" si="2"/>
        <v>5</v>
      </c>
      <c r="C17" s="6" t="s">
        <v>1352</v>
      </c>
      <c r="D17" s="6" t="s">
        <v>1353</v>
      </c>
      <c r="E17" s="8" t="s">
        <v>127</v>
      </c>
      <c r="F17" s="7" t="s">
        <v>204</v>
      </c>
      <c r="G17" s="7" t="str">
        <f t="shared" si="9"/>
        <v>integer</v>
      </c>
      <c r="H17" s="26"/>
      <c r="I17" s="10" t="s">
        <v>127</v>
      </c>
      <c r="J17" s="11" t="s">
        <v>4242</v>
      </c>
      <c r="M17" s="4"/>
      <c r="N17" s="76"/>
      <c r="O17" s="76"/>
      <c r="P17" s="76" t="str">
        <f t="shared" si="10"/>
        <v>,problem_seq</v>
      </c>
      <c r="Q17" s="76" t="str">
        <f t="shared" si="0"/>
        <v>INTEGER</v>
      </c>
      <c r="R17" s="76" t="str">
        <f t="shared" si="1"/>
        <v/>
      </c>
      <c r="S17" s="76" t="str">
        <f t="shared" si="11"/>
        <v>NOT NULL</v>
      </c>
      <c r="T17" s="76" t="str">
        <f t="shared" si="12"/>
        <v>-- プロブレムSEQ</v>
      </c>
      <c r="U17" s="4"/>
      <c r="AA17" s="4"/>
      <c r="AB17" s="4"/>
      <c r="AC17" s="4"/>
      <c r="AD17" s="4"/>
      <c r="AE17" s="4"/>
      <c r="AF17" s="4"/>
      <c r="AG17" s="4"/>
      <c r="AH17" s="4"/>
      <c r="AI17" s="4"/>
      <c r="AJ17" s="76" t="str">
        <f>IF(E17="○",IF(COUNTA(E$13:E17)=1,"",",")&amp;D17,"")</f>
        <v>,problem_seq</v>
      </c>
      <c r="AK17" s="4"/>
      <c r="AL17" s="4"/>
      <c r="AM17" s="4"/>
      <c r="AN17" s="4"/>
      <c r="AO17" s="4"/>
      <c r="AP17" s="4"/>
      <c r="AQ17" s="4"/>
      <c r="AR17" s="4"/>
      <c r="AS17" s="76" t="str">
        <f>"COMMENT ON COLUMN "&amp;エンティティ一覧!$O$2&amp;"."&amp;D$8&amp;"."&amp;D17&amp;" IS '"&amp;C17&amp;"';"</f>
        <v>COMMENT ON COLUMN milscm_2023_009.sny_202310_work_text.problem_seq IS 'プロブレムSEQ';</v>
      </c>
    </row>
    <row r="18" spans="1:52" s="25" customFormat="1">
      <c r="A18" s="4"/>
      <c r="B18" s="21">
        <f t="shared" si="2"/>
        <v>6</v>
      </c>
      <c r="C18" s="6" t="s">
        <v>1404</v>
      </c>
      <c r="D18" s="6" t="s">
        <v>1405</v>
      </c>
      <c r="E18" s="8" t="s">
        <v>127</v>
      </c>
      <c r="F18" s="7" t="s">
        <v>204</v>
      </c>
      <c r="G18" s="7" t="str">
        <f t="shared" si="9"/>
        <v>integer</v>
      </c>
      <c r="H18" s="26"/>
      <c r="I18" s="10" t="s">
        <v>127</v>
      </c>
      <c r="J18" s="11" t="s">
        <v>4243</v>
      </c>
      <c r="M18" s="4"/>
      <c r="N18" s="76"/>
      <c r="O18" s="76"/>
      <c r="P18" s="76" t="str">
        <f t="shared" si="10"/>
        <v>,assessment_item_seq</v>
      </c>
      <c r="Q18" s="76" t="str">
        <f t="shared" si="0"/>
        <v>INTEGER</v>
      </c>
      <c r="R18" s="76" t="str">
        <f t="shared" si="1"/>
        <v/>
      </c>
      <c r="S18" s="76" t="str">
        <f t="shared" si="11"/>
        <v>NOT NULL</v>
      </c>
      <c r="T18" s="76" t="str">
        <f t="shared" si="12"/>
        <v>-- アセスメントSEQ</v>
      </c>
      <c r="U18" s="4"/>
      <c r="AA18" s="4"/>
      <c r="AB18" s="4"/>
      <c r="AC18" s="4"/>
      <c r="AD18" s="4"/>
      <c r="AE18" s="4"/>
      <c r="AF18" s="4"/>
      <c r="AG18" s="4"/>
      <c r="AH18" s="4"/>
      <c r="AI18" s="4"/>
      <c r="AJ18" s="76" t="str">
        <f>IF(E18="○",IF(COUNTA(E$13:E18)=1,"",",")&amp;D18,"")</f>
        <v>,assessment_item_seq</v>
      </c>
      <c r="AK18" s="4"/>
      <c r="AL18" s="4"/>
      <c r="AM18" s="4"/>
      <c r="AN18" s="4"/>
      <c r="AO18" s="4"/>
      <c r="AP18" s="4"/>
      <c r="AQ18" s="4"/>
      <c r="AR18" s="4"/>
      <c r="AS18" s="76" t="str">
        <f>"COMMENT ON COLUMN "&amp;エンティティ一覧!$O$2&amp;"."&amp;D$8&amp;"."&amp;D18&amp;" IS '"&amp;C18&amp;"';"</f>
        <v>COMMENT ON COLUMN milscm_2023_009.sny_202310_work_text.assessment_item_seq IS 'アセスメントSEQ';</v>
      </c>
    </row>
    <row r="19" spans="1:52" s="25" customFormat="1">
      <c r="A19" s="4"/>
      <c r="B19" s="21">
        <f t="shared" si="2"/>
        <v>7</v>
      </c>
      <c r="C19" s="6" t="s">
        <v>4228</v>
      </c>
      <c r="D19" s="6" t="s">
        <v>1415</v>
      </c>
      <c r="E19" s="8" t="s">
        <v>127</v>
      </c>
      <c r="F19" s="7" t="s">
        <v>204</v>
      </c>
      <c r="G19" s="7" t="str">
        <f t="shared" si="9"/>
        <v>integer</v>
      </c>
      <c r="H19" s="26"/>
      <c r="I19" s="10" t="s">
        <v>127</v>
      </c>
      <c r="J19" s="11" t="s">
        <v>4244</v>
      </c>
      <c r="M19" s="4"/>
      <c r="N19" s="76"/>
      <c r="O19" s="76"/>
      <c r="P19" s="76" t="str">
        <f t="shared" si="10"/>
        <v>,gaibu_sansyo_seq</v>
      </c>
      <c r="Q19" s="76" t="str">
        <f t="shared" si="0"/>
        <v>INTEGER</v>
      </c>
      <c r="R19" s="76" t="str">
        <f t="shared" si="1"/>
        <v/>
      </c>
      <c r="S19" s="76" t="str">
        <f t="shared" si="11"/>
        <v>NOT NULL</v>
      </c>
      <c r="T19" s="76" t="str">
        <f t="shared" si="12"/>
        <v>-- 外部参照SEQ</v>
      </c>
      <c r="U19" s="4"/>
      <c r="AA19" s="4"/>
      <c r="AB19" s="4"/>
      <c r="AC19" s="4"/>
      <c r="AD19" s="4"/>
      <c r="AE19" s="4"/>
      <c r="AF19" s="4"/>
      <c r="AG19" s="4"/>
      <c r="AH19" s="4"/>
      <c r="AI19" s="4"/>
      <c r="AJ19" s="76" t="str">
        <f>IF(E19="○",IF(COUNTA(E$13:E19)=1,"",",")&amp;D19,"")</f>
        <v>,gaibu_sansyo_seq</v>
      </c>
      <c r="AK19" s="4"/>
      <c r="AL19" s="4"/>
      <c r="AM19" s="4"/>
      <c r="AN19" s="4"/>
      <c r="AO19" s="4"/>
      <c r="AP19" s="4"/>
      <c r="AQ19" s="4"/>
      <c r="AR19" s="4"/>
      <c r="AS19" s="76" t="str">
        <f>"COMMENT ON COLUMN "&amp;エンティティ一覧!$O$2&amp;"."&amp;D$8&amp;"."&amp;D19&amp;" IS '"&amp;C19&amp;"';"</f>
        <v>COMMENT ON COLUMN milscm_2023_009.sny_202310_work_text.gaibu_sansyo_seq IS '外部参照SEQ';</v>
      </c>
    </row>
    <row r="20" spans="1:52" s="25" customFormat="1">
      <c r="A20" s="4"/>
      <c r="B20" s="21">
        <f t="shared" si="2"/>
        <v>8</v>
      </c>
      <c r="C20" s="6" t="s">
        <v>1344</v>
      </c>
      <c r="D20" s="6" t="s">
        <v>1345</v>
      </c>
      <c r="E20" s="8" t="s">
        <v>127</v>
      </c>
      <c r="F20" s="7" t="s">
        <v>204</v>
      </c>
      <c r="G20" s="7" t="str">
        <f t="shared" si="9"/>
        <v>integer</v>
      </c>
      <c r="H20" s="26"/>
      <c r="I20" s="10" t="s">
        <v>127</v>
      </c>
      <c r="J20" s="11" t="s">
        <v>4245</v>
      </c>
      <c r="M20" s="4"/>
      <c r="N20" s="76"/>
      <c r="O20" s="76"/>
      <c r="P20" s="76" t="str">
        <f t="shared" si="10"/>
        <v>,keika_seq</v>
      </c>
      <c r="Q20" s="76" t="str">
        <f t="shared" si="0"/>
        <v>INTEGER</v>
      </c>
      <c r="R20" s="76" t="str">
        <f t="shared" si="1"/>
        <v/>
      </c>
      <c r="S20" s="76" t="str">
        <f t="shared" si="11"/>
        <v>NOT NULL</v>
      </c>
      <c r="T20" s="76" t="str">
        <f t="shared" si="12"/>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milscm_2023_009.sny_202310_work_text.keika_seq IS '経過記録SEQ';</v>
      </c>
    </row>
    <row r="21" spans="1:52" s="25" customFormat="1">
      <c r="A21" s="4"/>
      <c r="B21" s="21">
        <f t="shared" si="2"/>
        <v>9</v>
      </c>
      <c r="C21" s="6" t="s">
        <v>4229</v>
      </c>
      <c r="D21" s="6" t="s">
        <v>4230</v>
      </c>
      <c r="E21" s="8"/>
      <c r="F21" s="7" t="s">
        <v>4083</v>
      </c>
      <c r="G21" s="7" t="str">
        <f t="shared" si="9"/>
        <v>text</v>
      </c>
      <c r="H21" s="26"/>
      <c r="I21" s="10" t="s">
        <v>127</v>
      </c>
      <c r="J21" s="11" t="s">
        <v>4246</v>
      </c>
      <c r="M21" s="4"/>
      <c r="N21" s="76"/>
      <c r="O21" s="76"/>
      <c r="P21" s="76" t="str">
        <f t="shared" si="10"/>
        <v>,source_module</v>
      </c>
      <c r="Q21" s="76" t="str">
        <f t="shared" si="0"/>
        <v>TEXT</v>
      </c>
      <c r="R21" s="76" t="str">
        <f t="shared" si="1"/>
        <v/>
      </c>
      <c r="S21" s="76" t="str">
        <f t="shared" si="11"/>
        <v>NOT NULL</v>
      </c>
      <c r="T21" s="76" t="str">
        <f t="shared" si="12"/>
        <v>-- モジュール名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milscm_2023_009.sny_202310_work_text.source_module IS 'モジュール名';</v>
      </c>
    </row>
    <row r="22" spans="1:52" s="25" customFormat="1" ht="93.75">
      <c r="A22" s="4"/>
      <c r="B22" s="21">
        <f t="shared" si="2"/>
        <v>10</v>
      </c>
      <c r="C22" s="6" t="s">
        <v>4231</v>
      </c>
      <c r="D22" s="6" t="s">
        <v>4232</v>
      </c>
      <c r="E22" s="8"/>
      <c r="F22" s="7" t="s">
        <v>4083</v>
      </c>
      <c r="G22" s="7" t="str">
        <f t="shared" si="9"/>
        <v>text</v>
      </c>
      <c r="H22" s="26"/>
      <c r="I22" s="10" t="s">
        <v>127</v>
      </c>
      <c r="J22" s="11" t="s">
        <v>4247</v>
      </c>
      <c r="M22" s="4"/>
      <c r="N22" s="76"/>
      <c r="O22" s="76"/>
      <c r="P22" s="76" t="str">
        <f t="shared" si="10"/>
        <v>,source_table</v>
      </c>
      <c r="Q22" s="76" t="str">
        <f t="shared" si="0"/>
        <v>TEXT</v>
      </c>
      <c r="R22" s="76" t="str">
        <f t="shared" si="1"/>
        <v/>
      </c>
      <c r="S22" s="76" t="str">
        <f t="shared" si="11"/>
        <v>NOT NULL</v>
      </c>
      <c r="T22" s="76" t="str">
        <f t="shared" si="12"/>
        <v>-- 取得元テーブル名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milscm_2023_009.sny_202310_work_text.source_table IS '取得元テーブル名';</v>
      </c>
    </row>
    <row r="23" spans="1:52" s="25" customFormat="1" ht="150">
      <c r="A23" s="4"/>
      <c r="B23" s="21">
        <f t="shared" si="2"/>
        <v>11</v>
      </c>
      <c r="C23" s="6" t="s">
        <v>4233</v>
      </c>
      <c r="D23" s="6" t="s">
        <v>4234</v>
      </c>
      <c r="E23" s="8" t="s">
        <v>127</v>
      </c>
      <c r="F23" s="7" t="s">
        <v>4083</v>
      </c>
      <c r="G23" s="7" t="str">
        <f t="shared" si="9"/>
        <v>text</v>
      </c>
      <c r="H23" s="26"/>
      <c r="I23" s="10" t="s">
        <v>127</v>
      </c>
      <c r="J23" s="11" t="s">
        <v>4248</v>
      </c>
      <c r="M23" s="4"/>
      <c r="N23" s="76"/>
      <c r="O23" s="76"/>
      <c r="P23" s="76" t="str">
        <f t="shared" si="10"/>
        <v>,source_column</v>
      </c>
      <c r="Q23" s="76" t="str">
        <f t="shared" si="0"/>
        <v>TEXT</v>
      </c>
      <c r="R23" s="76" t="str">
        <f t="shared" si="1"/>
        <v/>
      </c>
      <c r="S23" s="76" t="str">
        <f t="shared" si="11"/>
        <v>NOT NULL</v>
      </c>
      <c r="T23" s="76" t="str">
        <f t="shared" si="12"/>
        <v>-- 取得元カラム名</v>
      </c>
      <c r="U23" s="4"/>
      <c r="AA23" s="4"/>
      <c r="AB23" s="4"/>
      <c r="AC23" s="4"/>
      <c r="AD23" s="4"/>
      <c r="AE23" s="4"/>
      <c r="AF23" s="4"/>
      <c r="AG23" s="4"/>
      <c r="AH23" s="4"/>
      <c r="AI23" s="4"/>
      <c r="AJ23" s="76" t="str">
        <f>IF(E23="○",IF(COUNTA(E$13:E23)=1,"",",")&amp;D23,"")</f>
        <v>,source_column</v>
      </c>
      <c r="AK23" s="4"/>
      <c r="AL23" s="4"/>
      <c r="AM23" s="4"/>
      <c r="AN23" s="4"/>
      <c r="AO23" s="4"/>
      <c r="AP23" s="4"/>
      <c r="AQ23" s="4"/>
      <c r="AR23" s="4"/>
      <c r="AS23" s="76" t="str">
        <f>"COMMENT ON COLUMN "&amp;エンティティ一覧!$O$2&amp;"."&amp;D$8&amp;"."&amp;D23&amp;" IS '"&amp;C23&amp;"';"</f>
        <v>COMMENT ON COLUMN milscm_2023_009.sny_202310_work_text.source_column IS '取得元カラム名';</v>
      </c>
    </row>
    <row r="24" spans="1:52" s="25" customFormat="1">
      <c r="A24" s="4"/>
      <c r="B24" s="21">
        <f t="shared" si="2"/>
        <v>12</v>
      </c>
      <c r="C24" s="6" t="s">
        <v>4235</v>
      </c>
      <c r="D24" s="6" t="s">
        <v>3262</v>
      </c>
      <c r="E24" s="8"/>
      <c r="F24" s="7" t="s">
        <v>4083</v>
      </c>
      <c r="G24" s="7" t="str">
        <f t="shared" si="9"/>
        <v>text</v>
      </c>
      <c r="H24" s="26"/>
      <c r="I24" s="10" t="s">
        <v>127</v>
      </c>
      <c r="J24" s="11"/>
      <c r="M24" s="4"/>
      <c r="N24" s="76"/>
      <c r="O24" s="76"/>
      <c r="P24" s="76" t="str">
        <f t="shared" si="10"/>
        <v>,comfirm_date</v>
      </c>
      <c r="Q24" s="76" t="str">
        <f t="shared" si="0"/>
        <v>TEXT</v>
      </c>
      <c r="R24" s="76" t="str">
        <f t="shared" si="1"/>
        <v/>
      </c>
      <c r="S24" s="76" t="str">
        <f t="shared" si="11"/>
        <v>NOT NULL</v>
      </c>
      <c r="T24" s="76" t="str">
        <f t="shared" si="12"/>
        <v>-- 記載確定日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milscm_2023_009.sny_202310_work_text.comfirm_date IS '記載確定日';</v>
      </c>
    </row>
    <row r="25" spans="1:52" s="25" customFormat="1">
      <c r="A25" s="4"/>
      <c r="B25" s="21">
        <f t="shared" si="2"/>
        <v>13</v>
      </c>
      <c r="C25" s="6" t="s">
        <v>4236</v>
      </c>
      <c r="D25" s="6" t="s">
        <v>1523</v>
      </c>
      <c r="E25" s="8"/>
      <c r="F25" s="7" t="s">
        <v>4083</v>
      </c>
      <c r="G25" s="7" t="str">
        <f t="shared" si="9"/>
        <v>text</v>
      </c>
      <c r="H25" s="26"/>
      <c r="I25" s="10"/>
      <c r="J25" s="11" t="s">
        <v>4249</v>
      </c>
      <c r="M25" s="4"/>
      <c r="N25" s="76"/>
      <c r="O25" s="76"/>
      <c r="P25" s="76" t="str">
        <f t="shared" si="10"/>
        <v>,event_date</v>
      </c>
      <c r="Q25" s="76" t="str">
        <f t="shared" si="0"/>
        <v>TEXT</v>
      </c>
      <c r="R25" s="76" t="str">
        <f t="shared" si="1"/>
        <v/>
      </c>
      <c r="S25" s="76" t="str">
        <f t="shared" si="11"/>
        <v/>
      </c>
      <c r="T25" s="76" t="str">
        <f t="shared" si="12"/>
        <v>-- イベント発生日時</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milscm_2023_009.sny_202310_work_text.event_date IS 'イベント発生日時';</v>
      </c>
    </row>
    <row r="26" spans="1:52" s="25" customFormat="1">
      <c r="A26" s="4"/>
      <c r="B26" s="21">
        <f t="shared" si="2"/>
        <v>14</v>
      </c>
      <c r="C26" s="6" t="s">
        <v>4237</v>
      </c>
      <c r="D26" s="6" t="s">
        <v>1438</v>
      </c>
      <c r="E26" s="8"/>
      <c r="F26" s="7" t="s">
        <v>4083</v>
      </c>
      <c r="G26" s="7" t="str">
        <f t="shared" si="9"/>
        <v>text</v>
      </c>
      <c r="H26" s="26"/>
      <c r="I26" s="10"/>
      <c r="J26" s="11" t="s">
        <v>4250</v>
      </c>
      <c r="M26" s="4"/>
      <c r="N26" s="76"/>
      <c r="O26" s="76"/>
      <c r="P26" s="76" t="str">
        <f t="shared" si="10"/>
        <v>,history_start_ymd</v>
      </c>
      <c r="Q26" s="76" t="str">
        <f t="shared" si="0"/>
        <v>TEXT</v>
      </c>
      <c r="R26" s="76" t="str">
        <f t="shared" si="1"/>
        <v/>
      </c>
      <c r="S26" s="76" t="str">
        <f t="shared" si="11"/>
        <v/>
      </c>
      <c r="T26" s="76" t="str">
        <f t="shared" si="12"/>
        <v>-- サマリ対象期間の開始日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milscm_2023_009.sny_202310_work_text.history_start_ymd IS 'サマリ対象期間の開始日';</v>
      </c>
    </row>
    <row r="27" spans="1:52" s="25" customFormat="1">
      <c r="A27" s="4"/>
      <c r="B27" s="21">
        <f t="shared" si="2"/>
        <v>15</v>
      </c>
      <c r="C27" s="6" t="s">
        <v>4238</v>
      </c>
      <c r="D27" s="6" t="s">
        <v>1440</v>
      </c>
      <c r="E27" s="8"/>
      <c r="F27" s="7" t="s">
        <v>4083</v>
      </c>
      <c r="G27" s="7" t="str">
        <f t="shared" si="9"/>
        <v>text</v>
      </c>
      <c r="H27" s="26"/>
      <c r="I27" s="10"/>
      <c r="J27" s="11" t="s">
        <v>4251</v>
      </c>
      <c r="M27" s="4"/>
      <c r="N27" s="76"/>
      <c r="O27" s="76"/>
      <c r="P27" s="76" t="str">
        <f t="shared" si="10"/>
        <v>,history_end_ymd</v>
      </c>
      <c r="Q27" s="76" t="str">
        <f t="shared" si="0"/>
        <v>TEXT</v>
      </c>
      <c r="R27" s="76" t="str">
        <f t="shared" si="1"/>
        <v/>
      </c>
      <c r="S27" s="76" t="str">
        <f t="shared" si="11"/>
        <v/>
      </c>
      <c r="T27" s="76" t="str">
        <f t="shared" si="12"/>
        <v>-- サマリ対象期間の終了日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milscm_2023_009.sny_202310_work_text.history_end_ymd IS 'サマリ対象期間の終了日';</v>
      </c>
    </row>
    <row r="28" spans="1:52" s="25" customFormat="1">
      <c r="A28" s="4"/>
      <c r="B28" s="21">
        <f t="shared" si="2"/>
        <v>16</v>
      </c>
      <c r="C28" s="6" t="s">
        <v>4239</v>
      </c>
      <c r="D28" s="6" t="s">
        <v>4240</v>
      </c>
      <c r="E28" s="8"/>
      <c r="F28" s="7" t="s">
        <v>4224</v>
      </c>
      <c r="G28" s="7" t="str">
        <f t="shared" si="9"/>
        <v>text</v>
      </c>
      <c r="H28" s="26"/>
      <c r="I28" s="10" t="s">
        <v>127</v>
      </c>
      <c r="J28" s="11" t="s">
        <v>4252</v>
      </c>
      <c r="M28" s="4"/>
      <c r="N28" s="76"/>
      <c r="O28" s="76"/>
      <c r="P28" s="76" t="str">
        <f t="shared" si="10"/>
        <v>,original_text</v>
      </c>
      <c r="Q28" s="76" t="str">
        <f t="shared" si="0"/>
        <v>TEXT</v>
      </c>
      <c r="R28" s="76" t="str">
        <f t="shared" si="1"/>
        <v/>
      </c>
      <c r="S28" s="76" t="str">
        <f t="shared" si="11"/>
        <v>NOT NULL</v>
      </c>
      <c r="T28" s="76" t="str">
        <f t="shared" si="12"/>
        <v>-- オリジナルテキスト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milscm_2023_009.sny_202310_work_text.original_text IS 'オリジナルテキスト';</v>
      </c>
    </row>
    <row r="29" spans="1:52" s="25" customFormat="1" ht="38.25" thickBot="1">
      <c r="A29" s="4"/>
      <c r="B29" s="27">
        <f>ROW()-12</f>
        <v>17</v>
      </c>
      <c r="C29" s="57" t="s">
        <v>4256</v>
      </c>
      <c r="D29" s="57" t="s">
        <v>4257</v>
      </c>
      <c r="E29" s="56"/>
      <c r="F29" s="56" t="s">
        <v>204</v>
      </c>
      <c r="G29" s="56" t="str">
        <f t="shared" si="9"/>
        <v>integer</v>
      </c>
      <c r="H29" s="59"/>
      <c r="I29" s="60" t="s">
        <v>127</v>
      </c>
      <c r="J29" s="64" t="s">
        <v>4259</v>
      </c>
      <c r="N29" s="76"/>
      <c r="O29" s="76"/>
      <c r="P29" s="76" t="str">
        <f t="shared" si="10"/>
        <v>,dup_text_seq</v>
      </c>
      <c r="Q29" s="76" t="str">
        <f t="shared" si="0"/>
        <v>INTEGER</v>
      </c>
      <c r="R29" s="76" t="str">
        <f t="shared" si="1"/>
        <v/>
      </c>
      <c r="S29" s="76" t="str">
        <f t="shared" si="11"/>
        <v>NOT NULL</v>
      </c>
      <c r="T29" s="76" t="str">
        <f t="shared" si="12"/>
        <v>-- テキスト重複SEQ</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milscm_2023_009.sny_202310_work_text.dup_text_seq IS 'テキスト重複SEQ';</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41</v>
      </c>
      <c r="E4" s="249"/>
      <c r="F4" s="249"/>
      <c r="G4" s="249"/>
      <c r="H4" s="249"/>
      <c r="I4" s="249"/>
      <c r="J4" s="250"/>
    </row>
    <row r="5" spans="1:52">
      <c r="B5" s="262" t="s">
        <v>3702</v>
      </c>
      <c r="C5" s="263"/>
      <c r="D5" s="272" t="str">
        <f>VLOOKUP(D7,エンティティ一覧!A1:'エンティティ一覧'!AM10204,7,FALSE)</f>
        <v>work</v>
      </c>
      <c r="E5" s="273"/>
      <c r="F5" s="273"/>
      <c r="G5" s="273"/>
      <c r="H5" s="273"/>
      <c r="I5" s="273"/>
      <c r="J5" s="274"/>
    </row>
    <row r="6" spans="1:52">
      <c r="B6" s="262" t="s">
        <v>3703</v>
      </c>
      <c r="C6" s="263"/>
      <c r="D6" s="272" t="str">
        <f>VLOOKUP(D7,エンティティ一覧!A1:'エンティティ一覧'!AM10204,15,FALSE)</f>
        <v>ENT_41_19</v>
      </c>
      <c r="E6" s="273"/>
      <c r="F6" s="273"/>
      <c r="G6" s="273"/>
      <c r="H6" s="273"/>
      <c r="I6" s="273"/>
      <c r="J6" s="274"/>
    </row>
    <row r="7" spans="1:52">
      <c r="B7" s="262" t="s">
        <v>115</v>
      </c>
      <c r="C7" s="263"/>
      <c r="D7" s="264" t="s">
        <v>4291</v>
      </c>
      <c r="E7" s="265"/>
      <c r="F7" s="265"/>
      <c r="G7" s="265"/>
      <c r="H7" s="265"/>
      <c r="I7" s="265"/>
      <c r="J7" s="266"/>
    </row>
    <row r="8" spans="1:52">
      <c r="B8" s="262" t="s">
        <v>116</v>
      </c>
      <c r="C8" s="263"/>
      <c r="D8" s="264" t="str">
        <f>エンティティ一覧!AE2&amp;"_"&amp;D5&amp;"_kansatsu_term"</f>
        <v>sny_202310_work_kansatsu_term</v>
      </c>
      <c r="E8" s="265"/>
      <c r="F8" s="265"/>
      <c r="G8" s="265"/>
      <c r="H8" s="265"/>
      <c r="I8" s="265"/>
      <c r="J8" s="266"/>
    </row>
    <row r="9" spans="1:52" ht="19.5" customHeight="1" thickBot="1">
      <c r="B9" s="267" t="s">
        <v>117</v>
      </c>
      <c r="C9" s="268"/>
      <c r="D9" s="269" t="s">
        <v>4292</v>
      </c>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milscm_2023_009.sny_202310_work_kansatsu_term;</v>
      </c>
      <c r="O10" s="76"/>
      <c r="P10" s="76"/>
      <c r="Q10" s="76"/>
      <c r="R10" s="76"/>
      <c r="S10" s="76"/>
      <c r="T10" s="76"/>
      <c r="AJ10" s="76" t="str">
        <f>"ALTER TABLE ONLY "&amp;エンティティ一覧!$O$2&amp;"."&amp;D$8</f>
        <v>ALTER TABLE ONLY milscm_2023_009.sny_202310_work_kansatsu_term</v>
      </c>
      <c r="AS10" s="76" t="str">
        <f>"ALTER TABLE "&amp;エンティティ一覧!$O$2&amp;"."&amp;D$8&amp;" OWNER TO pgmisgrp1;"</f>
        <v>ALTER TABLE milscm_2023_009.sny_202310_work_kansatsu_term OWNER TO pgmisgrp1;</v>
      </c>
    </row>
    <row r="11" spans="1:52" ht="19.5" thickBot="1">
      <c r="B11" s="20" t="s">
        <v>118</v>
      </c>
      <c r="C11" s="19"/>
      <c r="D11" s="5"/>
      <c r="E11" s="5"/>
      <c r="F11" s="5"/>
      <c r="G11" s="5"/>
      <c r="H11" s="5"/>
      <c r="I11" s="5"/>
      <c r="J11" s="18"/>
      <c r="N11" s="76" t="str">
        <f>"CREATE TABLE  "&amp;エンティティ一覧!$O$2&amp;"."&amp;D$8</f>
        <v>CREATE TABLE  milscm_2023_009.sny_202310_work_kansatsu_term</v>
      </c>
      <c r="O11" s="76"/>
      <c r="P11" s="76"/>
      <c r="Q11" s="76"/>
      <c r="R11" s="76"/>
      <c r="S11" s="76"/>
      <c r="T11" s="76"/>
      <c r="AJ11" s="76" t="str">
        <f>"ADD CONSTRAINT "&amp;D$8&amp;"_pkey PRIMARY KEY"</f>
        <v>ADD CONSTRAINT sny_202310_work_kansatsu_term_pkey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milscm_2023_009.sny_202310_work_kansatsu_term IS 'ワーク_観察期間';</v>
      </c>
    </row>
    <row r="13" spans="1:52"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milscm_2023_009.sny_202310_work_kansatsu_term.mask_id IS 'マスクID';</v>
      </c>
    </row>
    <row r="14" spans="1:52" s="25" customFormat="1">
      <c r="A14" s="4"/>
      <c r="B14" s="21">
        <f t="shared" ref="B14" si="2">ROW()-12</f>
        <v>2</v>
      </c>
      <c r="C14" s="6" t="s">
        <v>4293</v>
      </c>
      <c r="D14" s="6" t="s">
        <v>4297</v>
      </c>
      <c r="E14" s="8" t="s">
        <v>127</v>
      </c>
      <c r="F14" s="7" t="s">
        <v>1821</v>
      </c>
      <c r="G14" s="7" t="str">
        <f t="shared" ref="G14:G15" si="3">IF(F14="フラグ","boolean",IF(F14="文字列","text",IF(F14="整数","integer",IF(F14="実数","numeric",""))))</f>
        <v>text</v>
      </c>
      <c r="H14" s="26"/>
      <c r="I14" s="10" t="s">
        <v>127</v>
      </c>
      <c r="J14" s="11" t="s">
        <v>4296</v>
      </c>
      <c r="M14" s="4"/>
      <c r="N14" s="76"/>
      <c r="O14" s="76"/>
      <c r="P14" s="76" t="str">
        <f t="shared" ref="P14:P15" si="4">IF(B14&lt;&gt;1,","&amp;D14,D14)</f>
        <v>,kansatsu_start_date</v>
      </c>
      <c r="Q14" s="76" t="str">
        <f t="shared" si="0"/>
        <v>TEXT</v>
      </c>
      <c r="R14" s="76" t="str">
        <f t="shared" si="1"/>
        <v/>
      </c>
      <c r="S14" s="76" t="str">
        <f t="shared" ref="S14:S15" si="5">IF(I14="○","NOT NULL","")</f>
        <v>NOT NULL</v>
      </c>
      <c r="T14" s="76" t="str">
        <f t="shared" ref="T14:T15" si="6">"-- "&amp;C14</f>
        <v>-- 観察期間開始日</v>
      </c>
      <c r="U14" s="4"/>
      <c r="AA14" s="4"/>
      <c r="AB14" s="4"/>
      <c r="AC14" s="4"/>
      <c r="AD14" s="4"/>
      <c r="AE14" s="4"/>
      <c r="AF14" s="4"/>
      <c r="AG14" s="4"/>
      <c r="AH14" s="4"/>
      <c r="AI14" s="4"/>
      <c r="AJ14" s="76" t="str">
        <f>IF(E14="○",IF(COUNTA(E$13:E14)=1,"",",")&amp;D14,"")</f>
        <v>,kansatsu_start_date</v>
      </c>
      <c r="AK14" s="4"/>
      <c r="AL14" s="4"/>
      <c r="AM14" s="4"/>
      <c r="AN14" s="4"/>
      <c r="AO14" s="4"/>
      <c r="AP14" s="4"/>
      <c r="AQ14" s="4"/>
      <c r="AR14" s="4"/>
      <c r="AS14" s="76" t="str">
        <f>"COMMENT ON COLUMN "&amp;エンティティ一覧!$O$2&amp;"."&amp;D$8&amp;"."&amp;D14&amp;" IS '"&amp;C14&amp;"';"</f>
        <v>COMMENT ON COLUMN milscm_2023_009.sny_202310_work_kansatsu_term.kansatsu_start_date IS '観察期間開始日';</v>
      </c>
    </row>
    <row r="15" spans="1:52" s="25" customFormat="1" ht="19.5" thickBot="1">
      <c r="A15" s="4"/>
      <c r="B15" s="27">
        <f>ROW()-12</f>
        <v>3</v>
      </c>
      <c r="C15" s="57" t="s">
        <v>4294</v>
      </c>
      <c r="D15" s="57" t="s">
        <v>4298</v>
      </c>
      <c r="E15" s="56" t="s">
        <v>127</v>
      </c>
      <c r="F15" s="56" t="s">
        <v>317</v>
      </c>
      <c r="G15" s="56" t="str">
        <f t="shared" si="3"/>
        <v>text</v>
      </c>
      <c r="H15" s="59"/>
      <c r="I15" s="60" t="s">
        <v>127</v>
      </c>
      <c r="J15" s="64" t="s">
        <v>4295</v>
      </c>
      <c r="N15" s="76"/>
      <c r="O15" s="76"/>
      <c r="P15" s="76" t="str">
        <f t="shared" si="4"/>
        <v>,kansatsu_end_date</v>
      </c>
      <c r="Q15" s="76" t="str">
        <f t="shared" si="0"/>
        <v>TEXT</v>
      </c>
      <c r="R15" s="76" t="str">
        <f t="shared" si="1"/>
        <v/>
      </c>
      <c r="S15" s="76" t="str">
        <f t="shared" si="5"/>
        <v>NOT NULL</v>
      </c>
      <c r="T15" s="76" t="str">
        <f t="shared" si="6"/>
        <v>-- 観察期間終了日</v>
      </c>
      <c r="U15" s="4"/>
      <c r="AA15" s="4"/>
      <c r="AB15" s="4"/>
      <c r="AC15" s="4"/>
      <c r="AD15" s="4"/>
      <c r="AE15" s="4"/>
      <c r="AF15" s="4"/>
      <c r="AG15" s="4"/>
      <c r="AH15" s="4"/>
      <c r="AI15" s="4"/>
      <c r="AJ15" s="76" t="str">
        <f>IF(E15="○",IF(COUNTA(E$13:E15)=1,"",",")&amp;D15,"")</f>
        <v>,kansatsu_end_date</v>
      </c>
      <c r="AK15" s="4"/>
      <c r="AL15" s="4"/>
      <c r="AM15" s="4"/>
      <c r="AN15" s="4"/>
      <c r="AO15" s="4"/>
      <c r="AP15" s="4"/>
      <c r="AQ15" s="4"/>
      <c r="AR15" s="4"/>
      <c r="AS15" s="76" t="str">
        <f>"COMMENT ON COLUMN "&amp;エンティティ一覧!$O$2&amp;"."&amp;D$8&amp;"."&amp;D15&amp;" IS '"&amp;C15&amp;"';"</f>
        <v>COMMENT ON COLUMN milscm_2023_009.sny_202310_work_kansatsu_term.kansatsu_end_date IS '観察期間終了日';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election activeCell="D17" sqref="D17"/>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51</v>
      </c>
      <c r="E4" s="249"/>
      <c r="F4" s="249"/>
      <c r="G4" s="249"/>
      <c r="H4" s="249"/>
      <c r="I4" s="249"/>
      <c r="J4" s="250"/>
    </row>
    <row r="5" spans="1:45">
      <c r="B5" s="262" t="s">
        <v>3702</v>
      </c>
      <c r="C5" s="263"/>
      <c r="D5" s="272" t="str">
        <f>VLOOKUP(D7,エンティティ一覧!A1:'エンティティ一覧'!AM10204,7,FALSE)</f>
        <v>select</v>
      </c>
      <c r="E5" s="273"/>
      <c r="F5" s="273"/>
      <c r="G5" s="273"/>
      <c r="H5" s="273"/>
      <c r="I5" s="273"/>
      <c r="J5" s="274"/>
    </row>
    <row r="6" spans="1:45">
      <c r="B6" s="262" t="s">
        <v>3703</v>
      </c>
      <c r="C6" s="263"/>
      <c r="D6" s="272" t="str">
        <f>VLOOKUP(D7,エンティティ一覧!A1:'エンティティ一覧'!AM10204,15,FALSE)</f>
        <v>ENT_51_01</v>
      </c>
      <c r="E6" s="273"/>
      <c r="F6" s="273"/>
      <c r="G6" s="273"/>
      <c r="H6" s="273"/>
      <c r="I6" s="273"/>
      <c r="J6" s="274"/>
    </row>
    <row r="7" spans="1:45">
      <c r="B7" s="262" t="s">
        <v>115</v>
      </c>
      <c r="C7" s="263"/>
      <c r="D7" s="264" t="s">
        <v>4314</v>
      </c>
      <c r="E7" s="265"/>
      <c r="F7" s="265"/>
      <c r="G7" s="265"/>
      <c r="H7" s="265"/>
      <c r="I7" s="265"/>
      <c r="J7" s="266"/>
    </row>
    <row r="8" spans="1:45">
      <c r="B8" s="262" t="s">
        <v>116</v>
      </c>
      <c r="C8" s="263"/>
      <c r="D8" s="264" t="str">
        <f>エンティティ一覧!AE2&amp;"_"&amp;D5&amp;"_patient_basic"</f>
        <v>sny_202310_select_patient_basic</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milscm_2023_009.sny_202310_select_patient_basic;</v>
      </c>
      <c r="O10" s="76"/>
      <c r="P10" s="76"/>
      <c r="Q10" s="76"/>
      <c r="R10" s="76"/>
      <c r="S10" s="76"/>
      <c r="T10" s="76"/>
      <c r="AJ10" s="76" t="str">
        <f>"ALTER TABLE ONLY "&amp;エンティティ一覧!$O$2&amp;"."&amp;D$8</f>
        <v>ALTER TABLE ONLY milscm_2023_009.sny_202310_select_patient_basic</v>
      </c>
      <c r="AS10" s="76" t="str">
        <f>"ALTER TABLE "&amp;エンティティ一覧!$O$2&amp;"."&amp;D$8&amp;" OWNER TO pgmisgrp1;"</f>
        <v>ALTER TABLE milscm_2023_009.sny_202310_select_patient_basic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milscm_2023_009.sny_202310_select_patient_basic</v>
      </c>
      <c r="O11" s="76"/>
      <c r="P11" s="76"/>
      <c r="Q11" s="76"/>
      <c r="R11" s="76"/>
      <c r="S11" s="76"/>
      <c r="T11" s="76"/>
      <c r="AJ11" s="76" t="str">
        <f>"ADD CONSTRAINT "&amp;D$8&amp;"_pkey PRIMARY KEY"</f>
        <v>ADD CONSTRAINT sny_202310_select_patient_basic_pkey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milscm_2023_009.sny_202310_select_patient_basic IS 'セレクト_患者基本データ';</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milscm_2023_009.sny_202310_select_patient_basic.mask_id IS 'マスクID';</v>
      </c>
    </row>
    <row r="14" spans="1:45" s="25" customFormat="1">
      <c r="A14" s="4"/>
      <c r="B14" s="21">
        <f t="shared" ref="B14:B17" si="2">ROW()-12</f>
        <v>2</v>
      </c>
      <c r="C14" s="13" t="s">
        <v>4177</v>
      </c>
      <c r="D14" s="13" t="s">
        <v>4441</v>
      </c>
      <c r="E14" s="7"/>
      <c r="F14" s="7" t="s">
        <v>1780</v>
      </c>
      <c r="G14" s="7" t="str">
        <f t="shared" ref="G14" si="3">IF(F14="フラグ","boolean",IF(F14="文字列","text",IF(F14="整数","integer",IF(F14="実数","numeric",""))))</f>
        <v>text</v>
      </c>
      <c r="H14" s="58"/>
      <c r="I14" s="23" t="s">
        <v>127</v>
      </c>
      <c r="J14" s="24"/>
      <c r="M14" s="4"/>
      <c r="N14" s="76"/>
      <c r="O14" s="76"/>
      <c r="P14" s="76" t="str">
        <f t="shared" ref="P14:P18" si="4">IF(B14&lt;&gt;1,","&amp;D14,D14)</f>
        <v>,sex_kubun</v>
      </c>
      <c r="Q14" s="76" t="str">
        <f t="shared" si="0"/>
        <v>TEXT</v>
      </c>
      <c r="R14" s="76" t="str">
        <f t="shared" si="1"/>
        <v/>
      </c>
      <c r="S14" s="76" t="str">
        <f t="shared" ref="S14:S18" si="5">IF(I14="○","NOT NULL","")</f>
        <v>NOT NULL</v>
      </c>
      <c r="T14" s="76" t="str">
        <f t="shared" ref="T14:T18" si="6">"-- "&amp;C14</f>
        <v>-- 男女区分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milscm_2023_009.sny_202310_select_patient_basic.sex_kubun IS '男女区分';</v>
      </c>
    </row>
    <row r="15" spans="1:45" s="25" customFormat="1">
      <c r="A15" s="4"/>
      <c r="B15" s="21">
        <f t="shared" si="2"/>
        <v>3</v>
      </c>
      <c r="C15" s="13" t="s">
        <v>4316</v>
      </c>
      <c r="D15" s="13" t="s">
        <v>4315</v>
      </c>
      <c r="E15" s="7"/>
      <c r="F15" s="7" t="s">
        <v>1780</v>
      </c>
      <c r="G15" s="7" t="str">
        <f t="shared" ref="G15" si="7">IF(F15="フラグ","boolean",IF(F15="文字列","text",IF(F15="整数","integer",IF(F15="実数","numeric",""))))</f>
        <v>text</v>
      </c>
      <c r="H15" s="58"/>
      <c r="I15" s="23" t="s">
        <v>127</v>
      </c>
      <c r="J15" s="24"/>
      <c r="M15" s="4"/>
      <c r="N15" s="76"/>
      <c r="O15" s="76"/>
      <c r="P15" s="76" t="str">
        <f t="shared" ref="P15:P17" si="8">IF(B15&lt;&gt;1,","&amp;D15,D15)</f>
        <v>,age</v>
      </c>
      <c r="Q15" s="76" t="str">
        <f t="shared" ref="Q15:Q17" si="9">UPPER(G15)</f>
        <v>TEXT</v>
      </c>
      <c r="R15" s="76" t="str">
        <f t="shared" ref="R15:R17" si="10">IF(H15&lt;&gt;"","default "&amp;IF(G15="text","'"&amp;H15&amp;"'",H15),"")</f>
        <v/>
      </c>
      <c r="S15" s="76" t="str">
        <f t="shared" ref="S15:S17" si="11">IF(I15="○","NOT NULL","")</f>
        <v>NOT NULL</v>
      </c>
      <c r="T15" s="76" t="str">
        <f t="shared" ref="T15:T17" si="12">"-- "&amp;C15</f>
        <v>-- 年齢</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milscm_2023_009.sny_202310_select_patient_basic.age IS '年齢';</v>
      </c>
    </row>
    <row r="16" spans="1:45" s="25" customFormat="1">
      <c r="A16" s="4"/>
      <c r="B16" s="21">
        <f t="shared" si="2"/>
        <v>4</v>
      </c>
      <c r="C16" s="13" t="s">
        <v>4317</v>
      </c>
      <c r="D16" s="13" t="s">
        <v>4297</v>
      </c>
      <c r="E16" s="7"/>
      <c r="F16" s="7" t="s">
        <v>4216</v>
      </c>
      <c r="G16" s="7" t="s">
        <v>4443</v>
      </c>
      <c r="H16" s="58"/>
      <c r="I16" s="23" t="s">
        <v>127</v>
      </c>
      <c r="J16" s="24"/>
      <c r="M16" s="4"/>
      <c r="N16" s="76"/>
      <c r="O16" s="76"/>
      <c r="P16" s="76" t="str">
        <f t="shared" si="8"/>
        <v>,kansatsu_start_date</v>
      </c>
      <c r="Q16" s="76" t="str">
        <f t="shared" si="9"/>
        <v>DATE</v>
      </c>
      <c r="R16" s="76" t="str">
        <f t="shared" si="10"/>
        <v/>
      </c>
      <c r="S16" s="76" t="str">
        <f t="shared" si="11"/>
        <v>NOT NULL</v>
      </c>
      <c r="T16" s="76" t="str">
        <f t="shared" si="12"/>
        <v>-- 観察開始日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milscm_2023_009.sny_202310_select_patient_basic.kansatsu_start_date IS '観察開始日';</v>
      </c>
    </row>
    <row r="17" spans="1:52" s="25" customFormat="1">
      <c r="A17" s="4"/>
      <c r="B17" s="21">
        <f t="shared" si="2"/>
        <v>5</v>
      </c>
      <c r="C17" s="13" t="s">
        <v>4318</v>
      </c>
      <c r="D17" s="13" t="s">
        <v>4298</v>
      </c>
      <c r="E17" s="7"/>
      <c r="F17" s="7" t="s">
        <v>4216</v>
      </c>
      <c r="G17" s="7" t="s">
        <v>4443</v>
      </c>
      <c r="H17" s="58"/>
      <c r="I17" s="23" t="s">
        <v>127</v>
      </c>
      <c r="J17" s="24"/>
      <c r="M17" s="4"/>
      <c r="N17" s="76"/>
      <c r="O17" s="76"/>
      <c r="P17" s="76" t="str">
        <f t="shared" si="8"/>
        <v>,kansatsu_end_date</v>
      </c>
      <c r="Q17" s="76" t="str">
        <f t="shared" si="9"/>
        <v>DATE</v>
      </c>
      <c r="R17" s="76" t="str">
        <f t="shared" si="10"/>
        <v/>
      </c>
      <c r="S17" s="76" t="str">
        <f t="shared" si="11"/>
        <v>NOT NULL</v>
      </c>
      <c r="T17" s="76" t="str">
        <f t="shared" si="12"/>
        <v>-- 観察終了日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milscm_2023_009.sny_202310_select_patient_basic.kansatsu_end_date IS '観察終了日';</v>
      </c>
    </row>
    <row r="18" spans="1:52" s="25" customFormat="1" ht="32.25" thickBot="1">
      <c r="A18" s="4"/>
      <c r="B18" s="27">
        <f>ROW()-12</f>
        <v>6</v>
      </c>
      <c r="C18" s="57" t="s">
        <v>4319</v>
      </c>
      <c r="D18" s="57" t="s">
        <v>4320</v>
      </c>
      <c r="E18" s="56"/>
      <c r="F18" s="56" t="s">
        <v>4216</v>
      </c>
      <c r="G18" s="56" t="s">
        <v>25</v>
      </c>
      <c r="H18" s="59"/>
      <c r="I18" s="60" t="s">
        <v>127</v>
      </c>
      <c r="J18" s="64"/>
      <c r="N18" s="76"/>
      <c r="O18" s="76"/>
      <c r="P18" s="76" t="str">
        <f t="shared" si="4"/>
        <v>,main_diagnosis_start_date</v>
      </c>
      <c r="Q18" s="76" t="str">
        <f t="shared" si="0"/>
        <v>DATE</v>
      </c>
      <c r="R18" s="76" t="str">
        <f t="shared" si="1"/>
        <v/>
      </c>
      <c r="S18" s="76" t="str">
        <f t="shared" si="5"/>
        <v>NOT NULL</v>
      </c>
      <c r="T18" s="76" t="str">
        <f t="shared" si="6"/>
        <v>-- 主傷病開始日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milscm_2023_009.sny_202310_select_patient_basic.main_diagnosis_start_date IS '主傷病開始日';</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51</v>
      </c>
      <c r="E4" s="249"/>
      <c r="F4" s="249"/>
      <c r="G4" s="249"/>
      <c r="H4" s="249"/>
      <c r="I4" s="249"/>
      <c r="J4" s="250"/>
    </row>
    <row r="5" spans="1:52">
      <c r="B5" s="262" t="s">
        <v>3702</v>
      </c>
      <c r="C5" s="263"/>
      <c r="D5" s="272" t="str">
        <f>VLOOKUP(D7,エンティティ一覧!A1:'エンティティ一覧'!AM10204,7,FALSE)</f>
        <v>select</v>
      </c>
      <c r="E5" s="273"/>
      <c r="F5" s="273"/>
      <c r="G5" s="273"/>
      <c r="H5" s="273"/>
      <c r="I5" s="273"/>
      <c r="J5" s="274"/>
    </row>
    <row r="6" spans="1:52">
      <c r="B6" s="262" t="s">
        <v>3703</v>
      </c>
      <c r="C6" s="263"/>
      <c r="D6" s="272" t="str">
        <f>VLOOKUP(D7,エンティティ一覧!A1:'エンティティ一覧'!AM10204,15,FALSE)</f>
        <v>ENT_51_02</v>
      </c>
      <c r="E6" s="273"/>
      <c r="F6" s="273"/>
      <c r="G6" s="273"/>
      <c r="H6" s="273"/>
      <c r="I6" s="273"/>
      <c r="J6" s="274"/>
    </row>
    <row r="7" spans="1:52">
      <c r="B7" s="262" t="s">
        <v>115</v>
      </c>
      <c r="C7" s="263"/>
      <c r="D7" s="264" t="s">
        <v>4324</v>
      </c>
      <c r="E7" s="265"/>
      <c r="F7" s="265"/>
      <c r="G7" s="265"/>
      <c r="H7" s="265"/>
      <c r="I7" s="265"/>
      <c r="J7" s="266"/>
    </row>
    <row r="8" spans="1:52">
      <c r="B8" s="262" t="s">
        <v>116</v>
      </c>
      <c r="C8" s="263"/>
      <c r="D8" s="264" t="str">
        <f>エンティティ一覧!AE2&amp;"_"&amp;D5&amp;"_shikkan"</f>
        <v>sny_202310_select_shikkan</v>
      </c>
      <c r="E8" s="265"/>
      <c r="F8" s="265"/>
      <c r="G8" s="265"/>
      <c r="H8" s="265"/>
      <c r="I8" s="265"/>
      <c r="J8" s="266"/>
    </row>
    <row r="9" spans="1:52" ht="19.5" customHeight="1" thickBot="1">
      <c r="B9" s="267" t="s">
        <v>117</v>
      </c>
      <c r="C9" s="268"/>
      <c r="D9" s="269"/>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milscm_2023_009.sny_202310_select_shikkan;</v>
      </c>
      <c r="O10" s="76"/>
      <c r="P10" s="76"/>
      <c r="Q10" s="76"/>
      <c r="R10" s="76"/>
      <c r="S10" s="76"/>
      <c r="T10" s="76"/>
      <c r="AJ10" s="76" t="str">
        <f>"ALTER TABLE ONLY "&amp;エンティティ一覧!$O$2&amp;"."&amp;D$8</f>
        <v>ALTER TABLE ONLY milscm_2023_009.sny_202310_select_shikkan</v>
      </c>
      <c r="AS10" s="76" t="str">
        <f>"ALTER TABLE "&amp;エンティティ一覧!$O$2&amp;"."&amp;D$8&amp;" OWNER TO pgmisgrp1;"</f>
        <v>ALTER TABLE milscm_2023_009.sny_202310_select_shikkan OWNER TO pgmisgrp1;</v>
      </c>
    </row>
    <row r="11" spans="1:52" ht="19.5" thickBot="1">
      <c r="B11" s="20" t="s">
        <v>118</v>
      </c>
      <c r="C11" s="19"/>
      <c r="D11" s="5"/>
      <c r="E11" s="5"/>
      <c r="F11" s="5"/>
      <c r="G11" s="5"/>
      <c r="H11" s="5"/>
      <c r="I11" s="5"/>
      <c r="J11" s="18"/>
      <c r="N11" s="76" t="str">
        <f>"CREATE TABLE  "&amp;エンティティ一覧!$O$2&amp;"."&amp;D$8</f>
        <v>CREATE TABLE  milscm_2023_009.sny_202310_select_shikkan</v>
      </c>
      <c r="O11" s="76"/>
      <c r="P11" s="76"/>
      <c r="Q11" s="76"/>
      <c r="R11" s="76"/>
      <c r="S11" s="76"/>
      <c r="T11" s="76"/>
      <c r="AJ11" s="76" t="str">
        <f>"ADD CONSTRAINT "&amp;D$8&amp;"_pkey PRIMARY KEY"</f>
        <v>ADD CONSTRAINT sny_202310_select_shikkan_pkey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milscm_2023_009.sny_202310_select_shikkan IS 'セレクト_併発疾患データ';</v>
      </c>
    </row>
    <row r="13" spans="1:52"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milscm_2023_009.sny_202310_select_shikkan.mask_id IS 'マスクID';</v>
      </c>
    </row>
    <row r="14" spans="1:52" s="25" customFormat="1">
      <c r="A14" s="4"/>
      <c r="B14" s="21">
        <f t="shared" ref="B14" si="2">ROW()-12</f>
        <v>2</v>
      </c>
      <c r="C14" s="13" t="s">
        <v>4326</v>
      </c>
      <c r="D14" s="13" t="s">
        <v>4325</v>
      </c>
      <c r="E14" s="8" t="s">
        <v>127</v>
      </c>
      <c r="F14" s="7" t="s">
        <v>737</v>
      </c>
      <c r="G14" s="7" t="str">
        <f t="shared" ref="G14:G15" si="3">IF(F14="フラグ","boolean",IF(F14="文字列","text",IF(F14="整数","integer",IF(F14="実数","numeric",""))))</f>
        <v>text</v>
      </c>
      <c r="H14" s="58"/>
      <c r="I14" s="23" t="s">
        <v>127</v>
      </c>
      <c r="J14" s="24"/>
      <c r="M14" s="4"/>
      <c r="N14" s="76"/>
      <c r="O14" s="76"/>
      <c r="P14" s="76" t="str">
        <f t="shared" ref="P14:P15" si="4">IF(B14&lt;&gt;1,","&amp;D14,D14)</f>
        <v>,shikkan_disp_name</v>
      </c>
      <c r="Q14" s="76" t="str">
        <f t="shared" si="0"/>
        <v>TEXT</v>
      </c>
      <c r="R14" s="76" t="str">
        <f t="shared" si="1"/>
        <v/>
      </c>
      <c r="S14" s="76" t="str">
        <f t="shared" ref="S14:S15" si="5">IF(I14="○","NOT NULL","")</f>
        <v>NOT NULL</v>
      </c>
      <c r="T14" s="76" t="str">
        <f t="shared" ref="T14:T15" si="6">"-- "&amp;C14</f>
        <v>-- 疾患表示名</v>
      </c>
      <c r="U14" s="4"/>
      <c r="AA14" s="4"/>
      <c r="AB14" s="4"/>
      <c r="AC14" s="4"/>
      <c r="AD14" s="4"/>
      <c r="AE14" s="4"/>
      <c r="AF14" s="4"/>
      <c r="AG14" s="4"/>
      <c r="AH14" s="4"/>
      <c r="AI14" s="4"/>
      <c r="AJ14" s="76" t="str">
        <f>IF(E14="○",IF(COUNTA(E$13:E14)=1,"",",")&amp;D14,"")</f>
        <v>,shikkan_disp_name</v>
      </c>
      <c r="AK14" s="4"/>
      <c r="AL14" s="4"/>
      <c r="AM14" s="4"/>
      <c r="AN14" s="4"/>
      <c r="AO14" s="4"/>
      <c r="AP14" s="4"/>
      <c r="AQ14" s="4"/>
      <c r="AR14" s="4"/>
      <c r="AS14" s="76" t="str">
        <f>"COMMENT ON COLUMN "&amp;エンティティ一覧!$O$2&amp;"."&amp;D$8&amp;"."&amp;D14&amp;" IS '"&amp;C14&amp;"';"</f>
        <v>COMMENT ON COLUMN milscm_2023_009.sny_202310_select_shikkan.shikkan_disp_name IS '疾患表示名';</v>
      </c>
    </row>
    <row r="15" spans="1:52" s="25" customFormat="1" ht="32.450000000000003" customHeight="1" thickBot="1">
      <c r="A15" s="4"/>
      <c r="B15" s="27">
        <f>ROW()-12</f>
        <v>3</v>
      </c>
      <c r="C15" s="57" t="s">
        <v>4327</v>
      </c>
      <c r="D15" s="57" t="s">
        <v>4556</v>
      </c>
      <c r="E15" s="56"/>
      <c r="F15" s="56" t="s">
        <v>1780</v>
      </c>
      <c r="G15" s="56" t="str">
        <f t="shared" si="3"/>
        <v>text</v>
      </c>
      <c r="H15" s="59"/>
      <c r="I15" s="60" t="s">
        <v>127</v>
      </c>
      <c r="J15" s="64"/>
      <c r="N15" s="76"/>
      <c r="O15" s="76"/>
      <c r="P15" s="76" t="str">
        <f t="shared" si="4"/>
        <v>,min_shikkan_start_date</v>
      </c>
      <c r="Q15" s="76" t="str">
        <f t="shared" si="0"/>
        <v>TEXT</v>
      </c>
      <c r="R15" s="76" t="str">
        <f t="shared" si="1"/>
        <v/>
      </c>
      <c r="S15" s="76" t="str">
        <f t="shared" si="5"/>
        <v>NOT NULL</v>
      </c>
      <c r="T15" s="76" t="str">
        <f t="shared" si="6"/>
        <v>-- 初回疾患開始日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milscm_2023_009.sny_202310_select_shikkan.min_shikkan_start_date IS '初回疾患開始日';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51</v>
      </c>
      <c r="E4" s="249"/>
      <c r="F4" s="249"/>
      <c r="G4" s="249"/>
      <c r="H4" s="249"/>
      <c r="I4" s="249"/>
      <c r="J4" s="250"/>
    </row>
    <row r="5" spans="1:45">
      <c r="B5" s="262" t="s">
        <v>3702</v>
      </c>
      <c r="C5" s="263"/>
      <c r="D5" s="272" t="str">
        <f>VLOOKUP(D7,エンティティ一覧!A1:'エンティティ一覧'!AM10204,7,FALSE)</f>
        <v>select</v>
      </c>
      <c r="E5" s="273"/>
      <c r="F5" s="273"/>
      <c r="G5" s="273"/>
      <c r="H5" s="273"/>
      <c r="I5" s="273"/>
      <c r="J5" s="274"/>
    </row>
    <row r="6" spans="1:45">
      <c r="B6" s="262" t="s">
        <v>3703</v>
      </c>
      <c r="C6" s="263"/>
      <c r="D6" s="272" t="str">
        <f>VLOOKUP(D7,エンティティ一覧!A1:'エンティティ一覧'!AM10204,15,FALSE)</f>
        <v>ENT_51_03</v>
      </c>
      <c r="E6" s="273"/>
      <c r="F6" s="273"/>
      <c r="G6" s="273"/>
      <c r="H6" s="273"/>
      <c r="I6" s="273"/>
      <c r="J6" s="274"/>
    </row>
    <row r="7" spans="1:45">
      <c r="B7" s="262" t="s">
        <v>115</v>
      </c>
      <c r="C7" s="263"/>
      <c r="D7" s="264" t="s">
        <v>4328</v>
      </c>
      <c r="E7" s="265"/>
      <c r="F7" s="265"/>
      <c r="G7" s="265"/>
      <c r="H7" s="265"/>
      <c r="I7" s="265"/>
      <c r="J7" s="266"/>
    </row>
    <row r="8" spans="1:45">
      <c r="B8" s="262" t="s">
        <v>116</v>
      </c>
      <c r="C8" s="263"/>
      <c r="D8" s="264" t="str">
        <f>エンティティ一覧!AE2&amp;"_"&amp;D5&amp;"_nyuin_gairai"</f>
        <v>sny_202310_select_nyuin_gairai</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milscm_2023_009.sny_202310_select_nyuin_gairai;</v>
      </c>
      <c r="O10" s="76"/>
      <c r="P10" s="76"/>
      <c r="Q10" s="76"/>
      <c r="R10" s="76"/>
      <c r="S10" s="76"/>
      <c r="T10" s="76"/>
      <c r="AJ10" s="76" t="str">
        <f>"ALTER TABLE ONLY "&amp;エンティティ一覧!$O$2&amp;"."&amp;D$8</f>
        <v>ALTER TABLE ONLY milscm_2023_009.sny_202310_select_nyuin_gairai</v>
      </c>
      <c r="AS10" s="76" t="str">
        <f>"ALTER TABLE "&amp;エンティティ一覧!$O$2&amp;"."&amp;D$8&amp;" OWNER TO pgmisgrp1;"</f>
        <v>ALTER TABLE milscm_2023_009.sny_202310_select_nyuin_gairai OWNER TO pgmisgrp1;</v>
      </c>
    </row>
    <row r="11" spans="1:45" ht="19.5" thickBot="1">
      <c r="B11" s="20" t="s">
        <v>118</v>
      </c>
      <c r="C11" s="19"/>
      <c r="D11" s="5"/>
      <c r="E11" s="5"/>
      <c r="F11" s="5"/>
      <c r="G11" s="5"/>
      <c r="H11" s="5"/>
      <c r="I11" s="5"/>
      <c r="J11" s="18"/>
      <c r="N11" s="76" t="str">
        <f>"CREATE TABLE  "&amp;エンティティ一覧!$O$2&amp;"."&amp;D$8</f>
        <v>CREATE TABLE  milscm_2023_009.sny_202310_select_nyuin_gairai</v>
      </c>
      <c r="O11" s="76"/>
      <c r="P11" s="76"/>
      <c r="Q11" s="76"/>
      <c r="R11" s="76"/>
      <c r="S11" s="76"/>
      <c r="T11" s="76"/>
      <c r="AJ11" s="76" t="str">
        <f>"ADD CONSTRAINT "&amp;D$8&amp;"_pkey PRIMARY KEY"</f>
        <v>ADD CONSTRAINT sny_202310_select_nyuin_gairai_pkey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milscm_2023_009.sny_202310_select_nyuin_gairai IS 'セレクト_入院外来データ';</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milscm_2023_009.sny_202310_select_nyuin_gairai.mask_id IS 'マスクID';</v>
      </c>
    </row>
    <row r="14" spans="1:45" s="25" customFormat="1" ht="37.5">
      <c r="A14" s="4"/>
      <c r="B14" s="21">
        <f t="shared" ref="B14:B15" si="2">ROW()-12</f>
        <v>2</v>
      </c>
      <c r="C14" s="13" t="s">
        <v>242</v>
      </c>
      <c r="D14" s="13" t="s">
        <v>4330</v>
      </c>
      <c r="E14" s="8" t="s">
        <v>127</v>
      </c>
      <c r="F14" s="7" t="s">
        <v>737</v>
      </c>
      <c r="G14" s="7" t="str">
        <f t="shared" ref="G14:G16" si="3">IF(F14="フラグ","boolean",IF(F14="文字列","text",IF(F14="整数","integer",IF(F14="実数","numeric",""))))</f>
        <v>text</v>
      </c>
      <c r="H14" s="58"/>
      <c r="I14" s="23" t="s">
        <v>127</v>
      </c>
      <c r="J14" s="122" t="s">
        <v>4418</v>
      </c>
      <c r="M14" s="4"/>
      <c r="N14" s="76"/>
      <c r="O14" s="76"/>
      <c r="P14" s="76" t="str">
        <f t="shared" ref="P14:P16" si="4">IF(B14&lt;&gt;1,","&amp;D14,D14)</f>
        <v>,nyu_gai_kubun</v>
      </c>
      <c r="Q14" s="76" t="str">
        <f t="shared" si="0"/>
        <v>TEXT</v>
      </c>
      <c r="R14" s="76" t="str">
        <f t="shared" si="1"/>
        <v/>
      </c>
      <c r="S14" s="76" t="str">
        <f t="shared" ref="S14:S16" si="5">IF(I14="○","NOT NULL","")</f>
        <v>NOT NULL</v>
      </c>
      <c r="T14" s="76" t="str">
        <f t="shared" ref="T14:T16" si="6">"-- "&amp;C14</f>
        <v>-- 入外区分</v>
      </c>
      <c r="U14" s="4"/>
      <c r="AA14" s="4"/>
      <c r="AB14" s="4"/>
      <c r="AC14" s="4"/>
      <c r="AD14" s="4"/>
      <c r="AE14" s="4"/>
      <c r="AF14" s="4"/>
      <c r="AG14" s="4"/>
      <c r="AH14" s="4"/>
      <c r="AI14" s="4"/>
      <c r="AJ14" s="76" t="str">
        <f>IF(E14="○",IF(COUNTA(E$13:E14)=1,"",",")&amp;D14,"")</f>
        <v>,nyu_gai_kubun</v>
      </c>
      <c r="AK14" s="4"/>
      <c r="AL14" s="4"/>
      <c r="AM14" s="4"/>
      <c r="AN14" s="4"/>
      <c r="AO14" s="4"/>
      <c r="AP14" s="4"/>
      <c r="AQ14" s="4"/>
      <c r="AR14" s="4"/>
      <c r="AS14" s="76" t="str">
        <f>"COMMENT ON COLUMN "&amp;エンティティ一覧!$O$2&amp;"."&amp;D$8&amp;"."&amp;D14&amp;" IS '"&amp;C14&amp;"';"</f>
        <v>COMMENT ON COLUMN milscm_2023_009.sny_202310_select_nyuin_gairai.nyu_gai_kubun IS '入外区分';</v>
      </c>
    </row>
    <row r="15" spans="1:45" s="25" customFormat="1" ht="37.5">
      <c r="A15" s="4"/>
      <c r="B15" s="21">
        <f t="shared" si="2"/>
        <v>3</v>
      </c>
      <c r="C15" s="13" t="s">
        <v>4329</v>
      </c>
      <c r="D15" s="13" t="s">
        <v>4331</v>
      </c>
      <c r="E15" s="8" t="s">
        <v>127</v>
      </c>
      <c r="F15" s="7" t="s">
        <v>737</v>
      </c>
      <c r="G15" s="7" t="str">
        <f t="shared" ref="G15" si="7">IF(F15="フラグ","boolean",IF(F15="文字列","text",IF(F15="整数","integer",IF(F15="実数","numeric",""))))</f>
        <v>text</v>
      </c>
      <c r="H15" s="58"/>
      <c r="I15" s="23" t="s">
        <v>127</v>
      </c>
      <c r="J15" s="122" t="s">
        <v>4416</v>
      </c>
      <c r="M15" s="4"/>
      <c r="N15" s="76"/>
      <c r="O15" s="76"/>
      <c r="P15" s="76" t="str">
        <f t="shared" ref="P15" si="8">IF(B15&lt;&gt;1,","&amp;D15,D15)</f>
        <v>,raiin_ymd</v>
      </c>
      <c r="Q15" s="76" t="str">
        <f t="shared" ref="Q15" si="9">UPPER(G15)</f>
        <v>TEXT</v>
      </c>
      <c r="R15" s="76" t="str">
        <f t="shared" ref="R15" si="10">IF(H15&lt;&gt;"","default "&amp;IF(G15="text","'"&amp;H15&amp;"'",H15),"")</f>
        <v/>
      </c>
      <c r="S15" s="76" t="str">
        <f t="shared" ref="S15" si="11">IF(I15="○","NOT NULL","")</f>
        <v>NOT NULL</v>
      </c>
      <c r="T15" s="76" t="str">
        <f t="shared" ref="T15" si="12">"-- "&amp;C15</f>
        <v>-- 来院年月日</v>
      </c>
      <c r="U15" s="4"/>
      <c r="AA15" s="4"/>
      <c r="AB15" s="4"/>
      <c r="AC15" s="4"/>
      <c r="AD15" s="4"/>
      <c r="AE15" s="4"/>
      <c r="AF15" s="4"/>
      <c r="AG15" s="4"/>
      <c r="AH15" s="4"/>
      <c r="AI15" s="4"/>
      <c r="AJ15" s="76" t="str">
        <f>IF(E15="○",IF(COUNTA(E$13:E15)=1,"",",")&amp;D15,"")</f>
        <v>,raiin_ymd</v>
      </c>
      <c r="AK15" s="4"/>
      <c r="AL15" s="4"/>
      <c r="AM15" s="4"/>
      <c r="AN15" s="4"/>
      <c r="AO15" s="4"/>
      <c r="AP15" s="4"/>
      <c r="AQ15" s="4"/>
      <c r="AR15" s="4"/>
      <c r="AS15" s="76" t="str">
        <f>"COMMENT ON COLUMN "&amp;エンティティ一覧!$O$2&amp;"."&amp;D$8&amp;"."&amp;D15&amp;" IS '"&amp;C15&amp;"';"</f>
        <v>COMMENT ON COLUMN milscm_2023_009.sny_202310_select_nyuin_gairai.raiin_ymd IS '来院年月日';</v>
      </c>
    </row>
    <row r="16" spans="1:45" s="25" customFormat="1" ht="38.25" thickBot="1">
      <c r="A16" s="4"/>
      <c r="B16" s="27">
        <f>ROW()-12</f>
        <v>4</v>
      </c>
      <c r="C16" s="57" t="s">
        <v>211</v>
      </c>
      <c r="D16" s="57" t="s">
        <v>4332</v>
      </c>
      <c r="E16" s="56" t="s">
        <v>127</v>
      </c>
      <c r="F16" s="56" t="s">
        <v>1780</v>
      </c>
      <c r="G16" s="56" t="str">
        <f t="shared" si="3"/>
        <v>text</v>
      </c>
      <c r="H16" s="59"/>
      <c r="I16" s="60" t="s">
        <v>127</v>
      </c>
      <c r="J16" s="64" t="s">
        <v>4417</v>
      </c>
      <c r="N16" s="76"/>
      <c r="O16" s="76"/>
      <c r="P16" s="76" t="str">
        <f t="shared" si="4"/>
        <v>,taiin_ymd</v>
      </c>
      <c r="Q16" s="76" t="str">
        <f t="shared" si="0"/>
        <v>TEXT</v>
      </c>
      <c r="R16" s="76" t="str">
        <f t="shared" si="1"/>
        <v/>
      </c>
      <c r="S16" s="76" t="str">
        <f t="shared" si="5"/>
        <v>NOT NULL</v>
      </c>
      <c r="T16" s="76" t="str">
        <f t="shared" si="6"/>
        <v>-- 退院年月日</v>
      </c>
      <c r="U16" s="4"/>
      <c r="AA16" s="4"/>
      <c r="AB16" s="4"/>
      <c r="AC16" s="4"/>
      <c r="AD16" s="4"/>
      <c r="AE16" s="4"/>
      <c r="AF16" s="4"/>
      <c r="AG16" s="4"/>
      <c r="AH16" s="4"/>
      <c r="AI16" s="4"/>
      <c r="AJ16" s="76" t="str">
        <f>IF(E16="○",IF(COUNTA(E$13:E16)=1,"",",")&amp;D16,"")</f>
        <v>,taiin_ymd</v>
      </c>
      <c r="AK16" s="4"/>
      <c r="AL16" s="4"/>
      <c r="AM16" s="4"/>
      <c r="AN16" s="4"/>
      <c r="AO16" s="4"/>
      <c r="AP16" s="4"/>
      <c r="AQ16" s="4"/>
      <c r="AR16" s="4"/>
      <c r="AS16" s="76" t="str">
        <f>"COMMENT ON COLUMN "&amp;エンティティ一覧!$O$2&amp;"."&amp;D$8&amp;"."&amp;D16&amp;" IS '"&amp;C16&amp;"';"</f>
        <v>COMMENT ON COLUMN milscm_2023_009.sny_202310_select_nyuin_gairai.taiin_ymd IS '退院年月日';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election activeCell="C14" sqref="C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51</v>
      </c>
      <c r="E4" s="249"/>
      <c r="F4" s="249"/>
      <c r="G4" s="249"/>
      <c r="H4" s="249"/>
      <c r="I4" s="249"/>
      <c r="J4" s="250"/>
    </row>
    <row r="5" spans="1:45">
      <c r="B5" s="262" t="s">
        <v>3702</v>
      </c>
      <c r="C5" s="263"/>
      <c r="D5" s="272" t="str">
        <f>VLOOKUP(D7,エンティティ一覧!A1:'エンティティ一覧'!AM10204,7,FALSE)</f>
        <v>select</v>
      </c>
      <c r="E5" s="273"/>
      <c r="F5" s="273"/>
      <c r="G5" s="273"/>
      <c r="H5" s="273"/>
      <c r="I5" s="273"/>
      <c r="J5" s="274"/>
    </row>
    <row r="6" spans="1:45">
      <c r="B6" s="262" t="s">
        <v>3703</v>
      </c>
      <c r="C6" s="263"/>
      <c r="D6" s="272" t="str">
        <f>VLOOKUP(D7,エンティティ一覧!A1:'エンティティ一覧'!AM10204,15,FALSE)</f>
        <v>ENT_51_04</v>
      </c>
      <c r="E6" s="273"/>
      <c r="F6" s="273"/>
      <c r="G6" s="273"/>
      <c r="H6" s="273"/>
      <c r="I6" s="273"/>
      <c r="J6" s="274"/>
    </row>
    <row r="7" spans="1:45">
      <c r="B7" s="262" t="s">
        <v>115</v>
      </c>
      <c r="C7" s="263"/>
      <c r="D7" s="264" t="s">
        <v>4334</v>
      </c>
      <c r="E7" s="265"/>
      <c r="F7" s="265"/>
      <c r="G7" s="265"/>
      <c r="H7" s="265"/>
      <c r="I7" s="265"/>
      <c r="J7" s="266"/>
    </row>
    <row r="8" spans="1:45">
      <c r="B8" s="262" t="s">
        <v>116</v>
      </c>
      <c r="C8" s="263"/>
      <c r="D8" s="264" t="str">
        <f>エンティティ一覧!AE2&amp;"_"&amp;D5&amp;"_yakuzai"</f>
        <v>sny_202310_select_yakuzai</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milscm_2023_009.sny_202310_select_yakuzai;</v>
      </c>
      <c r="O10" s="76"/>
      <c r="P10" s="76"/>
      <c r="Q10" s="76"/>
      <c r="R10" s="76"/>
      <c r="S10" s="76"/>
      <c r="T10" s="76"/>
      <c r="AJ10" s="76" t="str">
        <f>"ALTER TABLE ONLY "&amp;エンティティ一覧!$O$2&amp;"."&amp;D$8</f>
        <v>ALTER TABLE ONLY milscm_2023_009.sny_202310_select_yakuzai</v>
      </c>
      <c r="AS10" s="76" t="str">
        <f>"ALTER TABLE "&amp;エンティティ一覧!$O$2&amp;"."&amp;D$8&amp;" OWNER TO pgmisgrp1;"</f>
        <v>ALTER TABLE milscm_2023_009.sny_202310_select_yakuzai OWNER TO pgmisgrp1;</v>
      </c>
    </row>
    <row r="11" spans="1:45" ht="19.5" thickBot="1">
      <c r="B11" s="20" t="s">
        <v>118</v>
      </c>
      <c r="C11" s="19"/>
      <c r="D11" s="5"/>
      <c r="E11" s="5"/>
      <c r="F11" s="5"/>
      <c r="G11" s="5"/>
      <c r="H11" s="5"/>
      <c r="I11" s="5"/>
      <c r="J11" s="18"/>
      <c r="N11" s="76" t="str">
        <f>"CREATE TABLE  "&amp;エンティティ一覧!$O$2&amp;"."&amp;D$8</f>
        <v>CREATE TABLE  milscm_2023_009.sny_202310_select_yakuzai</v>
      </c>
      <c r="O11" s="76"/>
      <c r="P11" s="76"/>
      <c r="Q11" s="76"/>
      <c r="R11" s="76"/>
      <c r="S11" s="76"/>
      <c r="T11" s="76"/>
      <c r="AJ11" s="76" t="str">
        <f>"ADD CONSTRAINT "&amp;D$8&amp;"_pkey PRIMARY KEY"</f>
        <v>ADD CONSTRAINT sny_202310_select_yakuzai_pkey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milscm_2023_009.sny_202310_select_yakuzai IS 'セレクト_薬剤データ';</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milscm_2023_009.sny_202310_select_yakuzai.mask_id IS 'マスクID';</v>
      </c>
    </row>
    <row r="14" spans="1:45" s="25" customFormat="1">
      <c r="A14" s="4"/>
      <c r="B14" s="21">
        <f t="shared" ref="B14:B17" si="2">ROW()-12</f>
        <v>2</v>
      </c>
      <c r="C14" s="13" t="s">
        <v>4335</v>
      </c>
      <c r="D14" s="13" t="s">
        <v>4344</v>
      </c>
      <c r="E14" s="8" t="s">
        <v>127</v>
      </c>
      <c r="F14" s="7" t="s">
        <v>737</v>
      </c>
      <c r="G14" s="7" t="str">
        <f t="shared" ref="G14:G18" si="3">IF(F14="フラグ","boolean",IF(F14="文字列","text",IF(F14="整数","integer",IF(F14="実数","numeric",""))))</f>
        <v>text</v>
      </c>
      <c r="H14" s="58"/>
      <c r="I14" s="23" t="s">
        <v>127</v>
      </c>
      <c r="J14" s="24"/>
      <c r="M14" s="4"/>
      <c r="N14" s="76"/>
      <c r="O14" s="76"/>
      <c r="P14" s="76" t="str">
        <f t="shared" ref="P14:P18" si="4">IF(B14&lt;&gt;1,","&amp;D14,D14)</f>
        <v>,iyakuhin_ippan_name</v>
      </c>
      <c r="Q14" s="76" t="str">
        <f t="shared" si="0"/>
        <v>TEXT</v>
      </c>
      <c r="R14" s="76" t="str">
        <f t="shared" si="1"/>
        <v/>
      </c>
      <c r="S14" s="76" t="str">
        <f t="shared" ref="S14:S18" si="5">IF(I14="○","NOT NULL","")</f>
        <v>NOT NULL</v>
      </c>
      <c r="T14" s="76" t="str">
        <f t="shared" ref="T14:T18" si="6">"-- "&amp;C14</f>
        <v>-- 薬剤表示名</v>
      </c>
      <c r="U14" s="4"/>
      <c r="AA14" s="4"/>
      <c r="AB14" s="4"/>
      <c r="AC14" s="4"/>
      <c r="AD14" s="4"/>
      <c r="AE14" s="4"/>
      <c r="AF14" s="4"/>
      <c r="AG14" s="4"/>
      <c r="AH14" s="4"/>
      <c r="AI14" s="4"/>
      <c r="AJ14" s="76" t="str">
        <f>IF(E14="○",IF(COUNTA(E$13:E14)=1,"",",")&amp;D14,"")</f>
        <v>,iyakuhin_ippan_name</v>
      </c>
      <c r="AK14" s="4"/>
      <c r="AL14" s="4"/>
      <c r="AM14" s="4"/>
      <c r="AN14" s="4"/>
      <c r="AO14" s="4"/>
      <c r="AP14" s="4"/>
      <c r="AQ14" s="4"/>
      <c r="AR14" s="4"/>
      <c r="AS14" s="76" t="str">
        <f>"COMMENT ON COLUMN "&amp;エンティティ一覧!$O$2&amp;"."&amp;D$8&amp;"."&amp;D14&amp;" IS '"&amp;C14&amp;"';"</f>
        <v>COMMENT ON COLUMN milscm_2023_009.sny_202310_select_yakuzai.iyakuhin_ippan_name IS '薬剤表示名';</v>
      </c>
    </row>
    <row r="15" spans="1:45" s="25" customFormat="1">
      <c r="A15" s="4"/>
      <c r="B15" s="21">
        <f t="shared" si="2"/>
        <v>3</v>
      </c>
      <c r="C15" s="13" t="s">
        <v>4345</v>
      </c>
      <c r="D15" s="13" t="s">
        <v>4586</v>
      </c>
      <c r="E15" s="8" t="s">
        <v>127</v>
      </c>
      <c r="F15" s="7" t="s">
        <v>737</v>
      </c>
      <c r="G15" s="7" t="str">
        <f t="shared" ref="G15" si="7">IF(F15="フラグ","boolean",IF(F15="文字列","text",IF(F15="整数","integer",IF(F15="実数","numeric",""))))</f>
        <v>text</v>
      </c>
      <c r="H15" s="58"/>
      <c r="I15" s="23" t="s">
        <v>127</v>
      </c>
      <c r="J15" s="24"/>
      <c r="M15" s="4"/>
      <c r="N15" s="76"/>
      <c r="O15" s="76"/>
      <c r="P15" s="76" t="str">
        <f t="shared" ref="P15:P16" si="8">IF(B15&lt;&gt;1,","&amp;D15,D15)</f>
        <v>,shoho_start_date</v>
      </c>
      <c r="Q15" s="76" t="str">
        <f t="shared" ref="Q15:Q16" si="9">UPPER(G15)</f>
        <v>TEXT</v>
      </c>
      <c r="R15" s="76" t="str">
        <f t="shared" ref="R15:R16" si="10">IF(H15&lt;&gt;"","default "&amp;IF(G15="text","'"&amp;H15&amp;"'",H15),"")</f>
        <v/>
      </c>
      <c r="S15" s="76" t="str">
        <f t="shared" ref="S15:S16" si="11">IF(I15="○","NOT NULL","")</f>
        <v>NOT NULL</v>
      </c>
      <c r="T15" s="76" t="str">
        <f t="shared" ref="T15:T16" si="12">"-- "&amp;C15</f>
        <v>-- 実施年月日</v>
      </c>
      <c r="U15" s="4"/>
      <c r="AA15" s="4"/>
      <c r="AB15" s="4"/>
      <c r="AC15" s="4"/>
      <c r="AD15" s="4"/>
      <c r="AE15" s="4"/>
      <c r="AF15" s="4"/>
      <c r="AG15" s="4"/>
      <c r="AH15" s="4"/>
      <c r="AI15" s="4"/>
      <c r="AJ15" s="76" t="str">
        <f>IF(E15="○",IF(COUNTA(E$13:E15)=1,"",",")&amp;D15,"")</f>
        <v>,shoho_start_date</v>
      </c>
      <c r="AK15" s="4"/>
      <c r="AL15" s="4"/>
      <c r="AM15" s="4"/>
      <c r="AN15" s="4"/>
      <c r="AO15" s="4"/>
      <c r="AP15" s="4"/>
      <c r="AQ15" s="4"/>
      <c r="AR15" s="4"/>
      <c r="AS15" s="76" t="str">
        <f>"COMMENT ON COLUMN "&amp;エンティティ一覧!$O$2&amp;"."&amp;D$8&amp;"."&amp;D15&amp;" IS '"&amp;C15&amp;"';"</f>
        <v>COMMENT ON COLUMN milscm_2023_009.sny_202310_select_yakuzai.shoho_start_date IS '実施年月日';</v>
      </c>
    </row>
    <row r="16" spans="1:45" s="25" customFormat="1">
      <c r="A16" s="4"/>
      <c r="B16" s="21">
        <f t="shared" si="2"/>
        <v>4</v>
      </c>
      <c r="C16" s="13" t="s">
        <v>4336</v>
      </c>
      <c r="D16" s="13" t="s">
        <v>4337</v>
      </c>
      <c r="E16" s="8"/>
      <c r="F16" s="7" t="s">
        <v>1990</v>
      </c>
      <c r="G16" s="7" t="str">
        <f t="shared" ref="G16" si="13">IF(F16="フラグ","boolean",IF(F16="文字列","text",IF(F16="整数","integer",IF(F16="実数","numeric",""))))</f>
        <v>integer</v>
      </c>
      <c r="H16" s="58"/>
      <c r="I16" s="23" t="s">
        <v>127</v>
      </c>
      <c r="J16" s="24"/>
      <c r="M16" s="4"/>
      <c r="N16" s="76"/>
      <c r="O16" s="76"/>
      <c r="P16" s="76" t="str">
        <f t="shared" si="8"/>
        <v>,shoho_days</v>
      </c>
      <c r="Q16" s="76" t="str">
        <f t="shared" si="9"/>
        <v>INTEGER</v>
      </c>
      <c r="R16" s="76" t="str">
        <f t="shared" si="10"/>
        <v/>
      </c>
      <c r="S16" s="76" t="str">
        <f t="shared" si="11"/>
        <v>NOT NULL</v>
      </c>
      <c r="T16" s="76" t="str">
        <f t="shared" si="12"/>
        <v>-- 処方日数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milscm_2023_009.sny_202310_select_yakuzai.shoho_days IS '処方日数';</v>
      </c>
    </row>
    <row r="17" spans="1:52" s="25" customFormat="1">
      <c r="A17" s="4"/>
      <c r="B17" s="21">
        <f t="shared" si="2"/>
        <v>5</v>
      </c>
      <c r="C17" s="13" t="s">
        <v>4419</v>
      </c>
      <c r="D17" s="13" t="s">
        <v>4338</v>
      </c>
      <c r="E17" s="8"/>
      <c r="F17" s="7" t="s">
        <v>4340</v>
      </c>
      <c r="G17" s="7" t="str">
        <f t="shared" si="3"/>
        <v>numeric</v>
      </c>
      <c r="H17" s="58"/>
      <c r="I17" s="23" t="s">
        <v>127</v>
      </c>
      <c r="J17" s="122" t="s">
        <v>4420</v>
      </c>
      <c r="M17" s="4"/>
      <c r="N17" s="76"/>
      <c r="O17" s="76"/>
      <c r="P17" s="76" t="str">
        <f t="shared" si="4"/>
        <v>,toyoryo</v>
      </c>
      <c r="Q17" s="76" t="str">
        <f t="shared" si="0"/>
        <v>NUMERIC</v>
      </c>
      <c r="R17" s="76" t="str">
        <f t="shared" si="1"/>
        <v/>
      </c>
      <c r="S17" s="76" t="str">
        <f t="shared" si="5"/>
        <v>NOT NULL</v>
      </c>
      <c r="T17" s="76" t="str">
        <f t="shared" si="6"/>
        <v>-- 投与量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milscm_2023_009.sny_202310_select_yakuzai.toyoryo IS '投与量';</v>
      </c>
    </row>
    <row r="18" spans="1:52" s="25" customFormat="1" ht="19.5" thickBot="1">
      <c r="A18" s="4"/>
      <c r="B18" s="27">
        <f>ROW()-12</f>
        <v>6</v>
      </c>
      <c r="C18" s="57" t="s">
        <v>2684</v>
      </c>
      <c r="D18" s="57" t="s">
        <v>4339</v>
      </c>
      <c r="E18" s="56"/>
      <c r="F18" s="56" t="s">
        <v>1780</v>
      </c>
      <c r="G18" s="56" t="str">
        <f t="shared" si="3"/>
        <v>text</v>
      </c>
      <c r="H18" s="59"/>
      <c r="I18" s="60" t="s">
        <v>127</v>
      </c>
      <c r="J18" s="64"/>
      <c r="N18" s="76"/>
      <c r="O18" s="76"/>
      <c r="P18" s="76" t="str">
        <f t="shared" si="4"/>
        <v>,seibun_unit_name</v>
      </c>
      <c r="Q18" s="76" t="str">
        <f t="shared" si="0"/>
        <v>TEXT</v>
      </c>
      <c r="R18" s="76" t="str">
        <f t="shared" si="1"/>
        <v/>
      </c>
      <c r="S18" s="76" t="str">
        <f t="shared" si="5"/>
        <v>NOT NULL</v>
      </c>
      <c r="T18" s="76" t="str">
        <f t="shared" si="6"/>
        <v>-- 成分単位名称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milscm_2023_009.sny_202310_select_yakuzai.seibun_unit_name IS '成分単位名称';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election activeCell="D15" sqref="D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51</v>
      </c>
      <c r="E4" s="249"/>
      <c r="F4" s="249"/>
      <c r="G4" s="249"/>
      <c r="H4" s="249"/>
      <c r="I4" s="249"/>
      <c r="J4" s="250"/>
    </row>
    <row r="5" spans="1:45">
      <c r="B5" s="262" t="s">
        <v>3702</v>
      </c>
      <c r="C5" s="263"/>
      <c r="D5" s="272" t="str">
        <f>VLOOKUP(D7,エンティティ一覧!A1:'エンティティ一覧'!AM10204,7,FALSE)</f>
        <v>select</v>
      </c>
      <c r="E5" s="273"/>
      <c r="F5" s="273"/>
      <c r="G5" s="273"/>
      <c r="H5" s="273"/>
      <c r="I5" s="273"/>
      <c r="J5" s="274"/>
    </row>
    <row r="6" spans="1:45">
      <c r="B6" s="262" t="s">
        <v>3703</v>
      </c>
      <c r="C6" s="263"/>
      <c r="D6" s="272" t="str">
        <f>VLOOKUP(D7,エンティティ一覧!A1:'エンティティ一覧'!AM10204,15,FALSE)</f>
        <v>ENT_51_05</v>
      </c>
      <c r="E6" s="273"/>
      <c r="F6" s="273"/>
      <c r="G6" s="273"/>
      <c r="H6" s="273"/>
      <c r="I6" s="273"/>
      <c r="J6" s="274"/>
    </row>
    <row r="7" spans="1:45">
      <c r="B7" s="262" t="s">
        <v>115</v>
      </c>
      <c r="C7" s="263"/>
      <c r="D7" s="264" t="s">
        <v>4311</v>
      </c>
      <c r="E7" s="265"/>
      <c r="F7" s="265"/>
      <c r="G7" s="265"/>
      <c r="H7" s="265"/>
      <c r="I7" s="265"/>
      <c r="J7" s="266"/>
    </row>
    <row r="8" spans="1:45">
      <c r="B8" s="262" t="s">
        <v>116</v>
      </c>
      <c r="C8" s="263"/>
      <c r="D8" s="264" t="str">
        <f>エンティティ一覧!AE2&amp;"_"&amp;D5&amp;"_kensa"</f>
        <v>sny_202310_select_kensa</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milscm_2023_009.sny_202310_select_kensa;</v>
      </c>
      <c r="O10" s="76"/>
      <c r="P10" s="76"/>
      <c r="Q10" s="76"/>
      <c r="R10" s="76"/>
      <c r="S10" s="76"/>
      <c r="T10" s="76"/>
      <c r="AJ10" s="76" t="str">
        <f>"ALTER TABLE ONLY "&amp;エンティティ一覧!$O$2&amp;"."&amp;D$8</f>
        <v>ALTER TABLE ONLY milscm_2023_009.sny_202310_select_kensa</v>
      </c>
      <c r="AS10" s="76" t="str">
        <f>"ALTER TABLE "&amp;エンティティ一覧!$O$2&amp;"."&amp;D$8&amp;" OWNER TO pgmisgrp1;"</f>
        <v>ALTER TABLE milscm_2023_009.sny_202310_select_kensa OWNER TO pgmisgrp1;</v>
      </c>
    </row>
    <row r="11" spans="1:45" ht="19.5" thickBot="1">
      <c r="B11" s="20" t="s">
        <v>118</v>
      </c>
      <c r="C11" s="19"/>
      <c r="D11" s="5"/>
      <c r="E11" s="5"/>
      <c r="F11" s="5"/>
      <c r="G11" s="5"/>
      <c r="H11" s="5"/>
      <c r="I11" s="5"/>
      <c r="J11" s="18"/>
      <c r="N11" s="76" t="str">
        <f>"CREATE TABLE  "&amp;エンティティ一覧!$O$2&amp;"."&amp;D$8</f>
        <v>CREATE TABLE  milscm_2023_009.sny_202310_select_kensa</v>
      </c>
      <c r="O11" s="76"/>
      <c r="P11" s="76"/>
      <c r="Q11" s="76"/>
      <c r="R11" s="76"/>
      <c r="S11" s="76"/>
      <c r="T11" s="76"/>
      <c r="AJ11" s="76" t="str">
        <f>"ADD CONSTRAINT "&amp;D$8&amp;"_pkey PRIMARY KEY"</f>
        <v>ADD CONSTRAINT sny_202310_select_kensa_pkey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milscm_2023_009.sny_202310_select_kensa IS 'セレクト_検査データ';</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milscm_2023_009.sny_202310_select_kensa.mask_id IS 'マスクID';</v>
      </c>
    </row>
    <row r="14" spans="1:45" s="25" customFormat="1">
      <c r="A14" s="4"/>
      <c r="B14" s="21">
        <f t="shared" ref="B14:B17" si="2">ROW()-12</f>
        <v>2</v>
      </c>
      <c r="C14" s="13" t="s">
        <v>4346</v>
      </c>
      <c r="D14" s="13" t="s">
        <v>3843</v>
      </c>
      <c r="E14" s="8" t="s">
        <v>127</v>
      </c>
      <c r="F14" s="7" t="s">
        <v>737</v>
      </c>
      <c r="G14" s="7" t="str">
        <f t="shared" ref="G14:G18" si="3">IF(F14="フラグ","boolean",IF(F14="文字列","text",IF(F14="整数","integer",IF(F14="実数","numeric",""))))</f>
        <v>text</v>
      </c>
      <c r="H14" s="58"/>
      <c r="I14" s="23" t="s">
        <v>127</v>
      </c>
      <c r="J14" s="24"/>
      <c r="M14" s="4"/>
      <c r="N14" s="76"/>
      <c r="O14" s="76"/>
      <c r="P14" s="76" t="str">
        <f t="shared" ref="P14:P18" si="4">IF(B14&lt;&gt;1,","&amp;D14,D14)</f>
        <v>,disp_name</v>
      </c>
      <c r="Q14" s="76" t="str">
        <f t="shared" si="0"/>
        <v>TEXT</v>
      </c>
      <c r="R14" s="76" t="str">
        <f t="shared" si="1"/>
        <v/>
      </c>
      <c r="S14" s="76" t="str">
        <f t="shared" ref="S14:S18" si="5">IF(I14="○","NOT NULL","")</f>
        <v>NOT NULL</v>
      </c>
      <c r="T14" s="76" t="str">
        <f t="shared" ref="T14:T18" si="6">"-- "&amp;C14</f>
        <v>-- 表示名</v>
      </c>
      <c r="U14" s="4"/>
      <c r="AA14" s="4"/>
      <c r="AB14" s="4"/>
      <c r="AC14" s="4"/>
      <c r="AD14" s="4"/>
      <c r="AE14" s="4"/>
      <c r="AF14" s="4"/>
      <c r="AG14" s="4"/>
      <c r="AH14" s="4"/>
      <c r="AI14" s="4"/>
      <c r="AJ14" s="76" t="str">
        <f>IF(E14="○",IF(COUNTA(E$13:E14)=1,"",",")&amp;D14,"")</f>
        <v>,disp_name</v>
      </c>
      <c r="AK14" s="4"/>
      <c r="AL14" s="4"/>
      <c r="AM14" s="4"/>
      <c r="AN14" s="4"/>
      <c r="AO14" s="4"/>
      <c r="AP14" s="4"/>
      <c r="AQ14" s="4"/>
      <c r="AR14" s="4"/>
      <c r="AS14" s="76" t="str">
        <f>"COMMENT ON COLUMN "&amp;エンティティ一覧!$O$2&amp;"."&amp;D$8&amp;"."&amp;D14&amp;" IS '"&amp;C14&amp;"';"</f>
        <v>COMMENT ON COLUMN milscm_2023_009.sny_202310_select_kensa.disp_name IS '表示名';</v>
      </c>
    </row>
    <row r="15" spans="1:45" s="25" customFormat="1">
      <c r="A15" s="4"/>
      <c r="B15" s="21">
        <f t="shared" si="2"/>
        <v>3</v>
      </c>
      <c r="C15" s="13" t="s">
        <v>4355</v>
      </c>
      <c r="D15" s="13" t="s">
        <v>4347</v>
      </c>
      <c r="E15" s="8" t="s">
        <v>127</v>
      </c>
      <c r="F15" s="7" t="s">
        <v>4348</v>
      </c>
      <c r="G15" s="7" t="s">
        <v>99</v>
      </c>
      <c r="H15" s="58"/>
      <c r="I15" s="23" t="s">
        <v>127</v>
      </c>
      <c r="J15" s="24"/>
      <c r="M15" s="4"/>
      <c r="N15" s="76"/>
      <c r="O15" s="76"/>
      <c r="P15" s="76" t="str">
        <f t="shared" si="4"/>
        <v>,sample_time</v>
      </c>
      <c r="Q15" s="76" t="str">
        <f t="shared" si="0"/>
        <v>DATE</v>
      </c>
      <c r="R15" s="76" t="str">
        <f t="shared" si="1"/>
        <v/>
      </c>
      <c r="S15" s="76" t="str">
        <f t="shared" si="5"/>
        <v>NOT NULL</v>
      </c>
      <c r="T15" s="76" t="str">
        <f t="shared" si="6"/>
        <v>-- 採取日時</v>
      </c>
      <c r="U15" s="4"/>
      <c r="AA15" s="4"/>
      <c r="AB15" s="4"/>
      <c r="AC15" s="4"/>
      <c r="AD15" s="4"/>
      <c r="AE15" s="4"/>
      <c r="AF15" s="4"/>
      <c r="AG15" s="4"/>
      <c r="AH15" s="4"/>
      <c r="AI15" s="4"/>
      <c r="AJ15" s="76" t="str">
        <f>IF(E15="○",IF(COUNTA(E$13:E15)=1,"",",")&amp;D15,"")</f>
        <v>,sample_time</v>
      </c>
      <c r="AK15" s="4"/>
      <c r="AL15" s="4"/>
      <c r="AM15" s="4"/>
      <c r="AN15" s="4"/>
      <c r="AO15" s="4"/>
      <c r="AP15" s="4"/>
      <c r="AQ15" s="4"/>
      <c r="AR15" s="4"/>
      <c r="AS15" s="76" t="str">
        <f>"COMMENT ON COLUMN "&amp;エンティティ一覧!$O$2&amp;"."&amp;D$8&amp;"."&amp;D15&amp;" IS '"&amp;C15&amp;"';"</f>
        <v>COMMENT ON COLUMN milscm_2023_009.sny_202310_select_kensa.sample_time IS '採取日時';</v>
      </c>
    </row>
    <row r="16" spans="1:45" s="25" customFormat="1">
      <c r="A16" s="4"/>
      <c r="B16" s="21">
        <f t="shared" si="2"/>
        <v>4</v>
      </c>
      <c r="C16" s="13" t="s">
        <v>4351</v>
      </c>
      <c r="D16" s="13" t="s">
        <v>4350</v>
      </c>
      <c r="E16" s="8"/>
      <c r="F16" s="7" t="s">
        <v>4340</v>
      </c>
      <c r="G16" s="7" t="str">
        <f t="shared" si="3"/>
        <v>numeric</v>
      </c>
      <c r="H16" s="58"/>
      <c r="I16" s="23" t="s">
        <v>127</v>
      </c>
      <c r="J16" s="24"/>
      <c r="M16" s="4"/>
      <c r="N16" s="76"/>
      <c r="O16" s="76"/>
      <c r="P16" s="76" t="str">
        <f t="shared" si="4"/>
        <v>,result_value</v>
      </c>
      <c r="Q16" s="76" t="str">
        <f t="shared" si="0"/>
        <v>NUMERIC</v>
      </c>
      <c r="R16" s="76" t="str">
        <f t="shared" si="1"/>
        <v/>
      </c>
      <c r="S16" s="76" t="str">
        <f t="shared" si="5"/>
        <v>NOT NULL</v>
      </c>
      <c r="T16" s="76" t="str">
        <f t="shared" si="6"/>
        <v>-- 検査値</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milscm_2023_009.sny_202310_select_kensa.result_value IS '検査値';</v>
      </c>
    </row>
    <row r="17" spans="1:52" s="25" customFormat="1">
      <c r="A17" s="4"/>
      <c r="B17" s="21">
        <f t="shared" si="2"/>
        <v>5</v>
      </c>
      <c r="C17" s="13" t="s">
        <v>4352</v>
      </c>
      <c r="D17" s="13" t="s">
        <v>3836</v>
      </c>
      <c r="E17" s="8"/>
      <c r="F17" s="7" t="s">
        <v>1780</v>
      </c>
      <c r="G17" s="7" t="str">
        <f t="shared" ref="G17" si="7">IF(F17="フラグ","boolean",IF(F17="文字列","text",IF(F17="整数","integer",IF(F17="実数","numeric",""))))</f>
        <v>text</v>
      </c>
      <c r="H17" s="58"/>
      <c r="I17" s="23" t="s">
        <v>127</v>
      </c>
      <c r="J17" s="24"/>
      <c r="M17" s="4"/>
      <c r="N17" s="76"/>
      <c r="O17" s="76"/>
      <c r="P17" s="76" t="str">
        <f t="shared" ref="P17" si="8">IF(B17&lt;&gt;1,","&amp;D17,D17)</f>
        <v>,m_unit</v>
      </c>
      <c r="Q17" s="76" t="str">
        <f t="shared" ref="Q17" si="9">UPPER(G17)</f>
        <v>TEXT</v>
      </c>
      <c r="R17" s="76" t="str">
        <f t="shared" ref="R17" si="10">IF(H17&lt;&gt;"","default "&amp;IF(G17="text","'"&amp;H17&amp;"'",H17),"")</f>
        <v/>
      </c>
      <c r="S17" s="76" t="str">
        <f t="shared" ref="S17" si="11">IF(I17="○","NOT NULL","")</f>
        <v>NOT NULL</v>
      </c>
      <c r="T17" s="76" t="str">
        <f t="shared" ref="T17" si="12">"-- "&amp;C17</f>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milscm_2023_009.sny_202310_select_kensa.m_unit IS '単位';</v>
      </c>
    </row>
    <row r="18" spans="1:52" s="25" customFormat="1" ht="19.5" thickBot="1">
      <c r="A18" s="4"/>
      <c r="B18" s="27">
        <f>ROW()-12</f>
        <v>6</v>
      </c>
      <c r="C18" s="57" t="s">
        <v>4301</v>
      </c>
      <c r="D18" s="57" t="s">
        <v>4300</v>
      </c>
      <c r="E18" s="56" t="s">
        <v>127</v>
      </c>
      <c r="F18" s="56" t="s">
        <v>4302</v>
      </c>
      <c r="G18" s="56" t="str">
        <f t="shared" si="3"/>
        <v>integer</v>
      </c>
      <c r="H18" s="59"/>
      <c r="I18" s="60" t="s">
        <v>127</v>
      </c>
      <c r="J18" s="64" t="s">
        <v>4421</v>
      </c>
      <c r="N18" s="76"/>
      <c r="O18" s="76"/>
      <c r="P18" s="76" t="str">
        <f t="shared" si="4"/>
        <v>,row_no</v>
      </c>
      <c r="Q18" s="76" t="str">
        <f t="shared" si="0"/>
        <v>INTEGER</v>
      </c>
      <c r="R18" s="76" t="str">
        <f t="shared" si="1"/>
        <v/>
      </c>
      <c r="S18" s="76" t="str">
        <f t="shared" si="5"/>
        <v>NOT NULL</v>
      </c>
      <c r="T18" s="76" t="str">
        <f t="shared" si="6"/>
        <v>-- 行番号</v>
      </c>
      <c r="U18" s="4"/>
      <c r="AA18" s="4"/>
      <c r="AB18" s="4"/>
      <c r="AC18" s="4"/>
      <c r="AD18" s="4"/>
      <c r="AE18" s="4"/>
      <c r="AF18" s="4"/>
      <c r="AG18" s="4"/>
      <c r="AH18" s="4"/>
      <c r="AI18" s="4"/>
      <c r="AJ18" s="76" t="str">
        <f>IF(E18="○",IF(COUNTA(E$13:E18)=1,"",",")&amp;D18,"")</f>
        <v>,row_no</v>
      </c>
      <c r="AK18" s="4"/>
      <c r="AL18" s="4"/>
      <c r="AM18" s="4"/>
      <c r="AN18" s="4"/>
      <c r="AO18" s="4"/>
      <c r="AP18" s="4"/>
      <c r="AQ18" s="4"/>
      <c r="AR18" s="4"/>
      <c r="AS18" s="76" t="str">
        <f>"COMMENT ON COLUMN "&amp;エンティティ一覧!$O$2&amp;"."&amp;D$8&amp;"."&amp;D18&amp;" IS '"&amp;C18&amp;"';"</f>
        <v>COMMENT ON COLUMN milscm_2023_009.sny_202310_select_kensa.row_no IS '行番号';</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election activeCell="D15" sqref="D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51</v>
      </c>
      <c r="E4" s="249"/>
      <c r="F4" s="249"/>
      <c r="G4" s="249"/>
      <c r="H4" s="249"/>
      <c r="I4" s="249"/>
      <c r="J4" s="250"/>
    </row>
    <row r="5" spans="1:45">
      <c r="B5" s="262" t="s">
        <v>3702</v>
      </c>
      <c r="C5" s="263"/>
      <c r="D5" s="272" t="str">
        <f>VLOOKUP(D7,エンティティ一覧!A1:'エンティティ一覧'!AM10204,7,FALSE)</f>
        <v>select</v>
      </c>
      <c r="E5" s="273"/>
      <c r="F5" s="273"/>
      <c r="G5" s="273"/>
      <c r="H5" s="273"/>
      <c r="I5" s="273"/>
      <c r="J5" s="274"/>
    </row>
    <row r="6" spans="1:45">
      <c r="B6" s="262" t="s">
        <v>3703</v>
      </c>
      <c r="C6" s="263"/>
      <c r="D6" s="272" t="str">
        <f>VLOOKUP(D7,エンティティ一覧!A1:'エンティティ一覧'!AM10204,15,FALSE)</f>
        <v>ENT_51_06</v>
      </c>
      <c r="E6" s="273"/>
      <c r="F6" s="273"/>
      <c r="G6" s="273"/>
      <c r="H6" s="273"/>
      <c r="I6" s="273"/>
      <c r="J6" s="274"/>
    </row>
    <row r="7" spans="1:45">
      <c r="B7" s="262" t="s">
        <v>115</v>
      </c>
      <c r="C7" s="263"/>
      <c r="D7" s="264" t="s">
        <v>4312</v>
      </c>
      <c r="E7" s="265"/>
      <c r="F7" s="265"/>
      <c r="G7" s="265"/>
      <c r="H7" s="265"/>
      <c r="I7" s="265"/>
      <c r="J7" s="266"/>
    </row>
    <row r="8" spans="1:45">
      <c r="B8" s="262" t="s">
        <v>116</v>
      </c>
      <c r="C8" s="263"/>
      <c r="D8" s="264" t="str">
        <f>エンティティ一覧!AE2&amp;"_"&amp;D5&amp;"_kensa_discribe"</f>
        <v>sny_202310_select_kensa_discribe</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milscm_2023_009.sny_202310_select_kensa_discribe;</v>
      </c>
      <c r="O10" s="76"/>
      <c r="P10" s="76"/>
      <c r="Q10" s="76"/>
      <c r="R10" s="76"/>
      <c r="S10" s="76"/>
      <c r="T10" s="76"/>
      <c r="AJ10" s="76" t="str">
        <f>"ALTER TABLE ONLY "&amp;エンティティ一覧!$O$2&amp;"."&amp;D$8</f>
        <v>ALTER TABLE ONLY milscm_2023_009.sny_202310_select_kensa_discribe</v>
      </c>
      <c r="AS10" s="76" t="str">
        <f>"ALTER TABLE "&amp;エンティティ一覧!$O$2&amp;"."&amp;D$8&amp;" OWNER TO pgmisgrp1;"</f>
        <v>ALTER TABLE milscm_2023_009.sny_202310_select_kensa_discribe OWNER TO pgmisgrp1;</v>
      </c>
    </row>
    <row r="11" spans="1:45" ht="19.5" thickBot="1">
      <c r="B11" s="20" t="s">
        <v>118</v>
      </c>
      <c r="C11" s="19"/>
      <c r="D11" s="5"/>
      <c r="E11" s="5"/>
      <c r="F11" s="5"/>
      <c r="G11" s="5"/>
      <c r="H11" s="5"/>
      <c r="I11" s="5"/>
      <c r="J11" s="18"/>
      <c r="N11" s="76" t="str">
        <f>"CREATE TABLE  "&amp;エンティティ一覧!$O$2&amp;"."&amp;D$8</f>
        <v>CREATE TABLE  milscm_2023_009.sny_202310_select_kensa_discribe</v>
      </c>
      <c r="O11" s="76"/>
      <c r="P11" s="76"/>
      <c r="Q11" s="76"/>
      <c r="R11" s="76"/>
      <c r="S11" s="76"/>
      <c r="T11" s="76"/>
      <c r="AJ11" s="76" t="str">
        <f>"ADD CONSTRAINT "&amp;D$8&amp;"_pkey PRIMARY KEY"</f>
        <v>ADD CONSTRAINT sny_202310_select_kensa_discribe_pkey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milscm_2023_009.sny_202310_select_kensa_discribe IS 'セレクト_検査データ_統計量抽出用';</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22" si="0">UPPER(G13)</f>
        <v>TEXT</v>
      </c>
      <c r="R13" s="76" t="str">
        <f t="shared" ref="R13:R22"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milscm_2023_009.sny_202310_select_kensa_discribe.mask_id IS 'マスクID';</v>
      </c>
    </row>
    <row r="14" spans="1:45" s="25" customFormat="1">
      <c r="A14" s="4"/>
      <c r="B14" s="21">
        <f t="shared" ref="B14:B21" si="2">ROW()-12</f>
        <v>2</v>
      </c>
      <c r="C14" s="13" t="s">
        <v>4346</v>
      </c>
      <c r="D14" s="13" t="s">
        <v>3843</v>
      </c>
      <c r="E14" s="8" t="s">
        <v>127</v>
      </c>
      <c r="F14" s="7" t="s">
        <v>737</v>
      </c>
      <c r="G14" s="7" t="str">
        <f t="shared" ref="G14:G22" si="3">IF(F14="フラグ","boolean",IF(F14="文字列","text",IF(F14="整数","integer",IF(F14="実数","numeric",""))))</f>
        <v>text</v>
      </c>
      <c r="H14" s="58"/>
      <c r="I14" s="23" t="s">
        <v>127</v>
      </c>
      <c r="J14" s="24"/>
      <c r="M14" s="4"/>
      <c r="N14" s="76"/>
      <c r="O14" s="76"/>
      <c r="P14" s="76" t="str">
        <f t="shared" ref="P14:P22" si="4">IF(B14&lt;&gt;1,","&amp;D14,D14)</f>
        <v>,disp_name</v>
      </c>
      <c r="Q14" s="76" t="str">
        <f t="shared" si="0"/>
        <v>TEXT</v>
      </c>
      <c r="R14" s="76" t="str">
        <f t="shared" si="1"/>
        <v/>
      </c>
      <c r="S14" s="76" t="str">
        <f t="shared" ref="S14:S22" si="5">IF(I14="○","NOT NULL","")</f>
        <v>NOT NULL</v>
      </c>
      <c r="T14" s="76" t="str">
        <f t="shared" ref="T14:T22" si="6">"-- "&amp;C14</f>
        <v>-- 表示名</v>
      </c>
      <c r="U14" s="4"/>
      <c r="AA14" s="4"/>
      <c r="AB14" s="4"/>
      <c r="AC14" s="4"/>
      <c r="AD14" s="4"/>
      <c r="AE14" s="4"/>
      <c r="AF14" s="4"/>
      <c r="AG14" s="4"/>
      <c r="AH14" s="4"/>
      <c r="AI14" s="4"/>
      <c r="AJ14" s="76" t="str">
        <f>IF(E14="○",IF(COUNTA(E$13:E14)=1,"",",")&amp;D14,"")</f>
        <v>,disp_name</v>
      </c>
      <c r="AK14" s="4"/>
      <c r="AL14" s="4"/>
      <c r="AM14" s="4"/>
      <c r="AN14" s="4"/>
      <c r="AO14" s="4"/>
      <c r="AP14" s="4"/>
      <c r="AQ14" s="4"/>
      <c r="AR14" s="4"/>
      <c r="AS14" s="76" t="str">
        <f>"COMMENT ON COLUMN "&amp;エンティティ一覧!$O$2&amp;"."&amp;D$8&amp;"."&amp;D14&amp;" IS '"&amp;C14&amp;"';"</f>
        <v>COMMENT ON COLUMN milscm_2023_009.sny_202310_select_kensa_discribe.disp_name IS '表示名';</v>
      </c>
    </row>
    <row r="15" spans="1:45" s="25" customFormat="1">
      <c r="A15" s="4"/>
      <c r="B15" s="21">
        <f t="shared" si="2"/>
        <v>3</v>
      </c>
      <c r="C15" s="13" t="s">
        <v>1606</v>
      </c>
      <c r="D15" s="13" t="s">
        <v>1607</v>
      </c>
      <c r="E15" s="8" t="s">
        <v>127</v>
      </c>
      <c r="F15" s="7" t="s">
        <v>3818</v>
      </c>
      <c r="G15" s="7" t="str">
        <f t="shared" si="3"/>
        <v>text</v>
      </c>
      <c r="H15" s="58"/>
      <c r="I15" s="23" t="s">
        <v>127</v>
      </c>
      <c r="J15" s="24"/>
      <c r="M15" s="4"/>
      <c r="N15" s="76"/>
      <c r="O15" s="76"/>
      <c r="P15" s="76" t="str">
        <f t="shared" ref="P15:P19" si="7">IF(B15&lt;&gt;1,","&amp;D15,D15)</f>
        <v>,specimen_name</v>
      </c>
      <c r="Q15" s="76" t="str">
        <f t="shared" ref="Q15:Q19" si="8">UPPER(G15)</f>
        <v>TEXT</v>
      </c>
      <c r="R15" s="76" t="str">
        <f t="shared" ref="R15:R19" si="9">IF(H15&lt;&gt;"","default "&amp;IF(G15="text","'"&amp;H15&amp;"'",H15),"")</f>
        <v/>
      </c>
      <c r="S15" s="76" t="str">
        <f t="shared" ref="S15:S19" si="10">IF(I15="○","NOT NULL","")</f>
        <v>NOT NULL</v>
      </c>
      <c r="T15" s="76" t="str">
        <f t="shared" ref="T15:T19" si="11">"-- "&amp;C15</f>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milscm_2023_009.sny_202310_select_kensa_discribe.specimen_name IS '検体材料';</v>
      </c>
    </row>
    <row r="16" spans="1:45" s="25" customFormat="1">
      <c r="A16" s="4"/>
      <c r="B16" s="21">
        <f t="shared" si="2"/>
        <v>4</v>
      </c>
      <c r="C16" s="13" t="s">
        <v>1608</v>
      </c>
      <c r="D16" s="13" t="s">
        <v>1609</v>
      </c>
      <c r="E16" s="8" t="s">
        <v>127</v>
      </c>
      <c r="F16" s="7" t="s">
        <v>3818</v>
      </c>
      <c r="G16" s="7" t="str">
        <f t="shared" si="3"/>
        <v>text</v>
      </c>
      <c r="H16" s="58"/>
      <c r="I16" s="23" t="s">
        <v>127</v>
      </c>
      <c r="J16" s="24"/>
      <c r="M16" s="4"/>
      <c r="N16" s="76"/>
      <c r="O16" s="76"/>
      <c r="P16" s="76" t="str">
        <f t="shared" si="7"/>
        <v>,sp_code</v>
      </c>
      <c r="Q16" s="76" t="str">
        <f t="shared" si="8"/>
        <v>TEXT</v>
      </c>
      <c r="R16" s="76" t="str">
        <f t="shared" si="9"/>
        <v/>
      </c>
      <c r="S16" s="76" t="str">
        <f t="shared" si="10"/>
        <v>NOT NULL</v>
      </c>
      <c r="T16" s="76" t="str">
        <f t="shared" si="11"/>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milscm_2023_009.sny_202310_select_kensa_discribe.sp_code IS '検体材料コード';</v>
      </c>
    </row>
    <row r="17" spans="1:52" s="25" customFormat="1">
      <c r="A17" s="4"/>
      <c r="B17" s="21">
        <f t="shared" si="2"/>
        <v>5</v>
      </c>
      <c r="C17" s="13" t="s">
        <v>3832</v>
      </c>
      <c r="D17" s="13" t="s">
        <v>1624</v>
      </c>
      <c r="E17" s="8" t="s">
        <v>127</v>
      </c>
      <c r="F17" s="7" t="s">
        <v>3818</v>
      </c>
      <c r="G17" s="7" t="str">
        <f t="shared" si="3"/>
        <v>text</v>
      </c>
      <c r="H17" s="58"/>
      <c r="I17" s="23" t="s">
        <v>127</v>
      </c>
      <c r="J17" s="24"/>
      <c r="M17" s="4"/>
      <c r="N17" s="76"/>
      <c r="O17" s="76"/>
      <c r="P17" s="76" t="str">
        <f t="shared" si="7"/>
        <v>,item_name</v>
      </c>
      <c r="Q17" s="76" t="str">
        <f t="shared" si="8"/>
        <v>TEXT</v>
      </c>
      <c r="R17" s="76" t="str">
        <f t="shared" si="9"/>
        <v/>
      </c>
      <c r="S17" s="76" t="str">
        <f t="shared" si="10"/>
        <v>NOT NULL</v>
      </c>
      <c r="T17" s="76" t="str">
        <f t="shared" si="11"/>
        <v>-- 検査名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milscm_2023_009.sny_202310_select_kensa_discribe.item_name IS '検査名';</v>
      </c>
    </row>
    <row r="18" spans="1:52" s="25" customFormat="1">
      <c r="A18" s="4"/>
      <c r="B18" s="21">
        <f t="shared" si="2"/>
        <v>6</v>
      </c>
      <c r="C18" s="13" t="s">
        <v>3833</v>
      </c>
      <c r="D18" s="13" t="s">
        <v>4356</v>
      </c>
      <c r="E18" s="8" t="s">
        <v>127</v>
      </c>
      <c r="F18" s="7" t="s">
        <v>3818</v>
      </c>
      <c r="G18" s="7" t="str">
        <f t="shared" si="3"/>
        <v>text</v>
      </c>
      <c r="H18" s="58"/>
      <c r="I18" s="23" t="s">
        <v>127</v>
      </c>
      <c r="J18" s="24"/>
      <c r="M18" s="4"/>
      <c r="N18" s="76"/>
      <c r="O18" s="76"/>
      <c r="P18" s="76" t="str">
        <f t="shared" si="7"/>
        <v>,facility_it_code</v>
      </c>
      <c r="Q18" s="76" t="str">
        <f t="shared" si="8"/>
        <v>TEXT</v>
      </c>
      <c r="R18" s="76" t="str">
        <f t="shared" si="9"/>
        <v/>
      </c>
      <c r="S18" s="76" t="str">
        <f t="shared" si="10"/>
        <v>NOT NULL</v>
      </c>
      <c r="T18" s="76" t="str">
        <f t="shared" si="11"/>
        <v>-- 検査名_施設固有コード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milscm_2023_009.sny_202310_select_kensa_discribe.facility_it_code IS '検査名_施設固有コード';</v>
      </c>
    </row>
    <row r="19" spans="1:52" s="25" customFormat="1">
      <c r="A19" s="4"/>
      <c r="B19" s="21">
        <f t="shared" si="2"/>
        <v>7</v>
      </c>
      <c r="C19" s="13" t="s">
        <v>1651</v>
      </c>
      <c r="D19" s="13" t="s">
        <v>276</v>
      </c>
      <c r="E19" s="8" t="s">
        <v>127</v>
      </c>
      <c r="F19" s="7" t="s">
        <v>3276</v>
      </c>
      <c r="G19" s="7" t="str">
        <f t="shared" si="3"/>
        <v>text</v>
      </c>
      <c r="H19" s="58"/>
      <c r="I19" s="23" t="s">
        <v>127</v>
      </c>
      <c r="J19" s="24"/>
      <c r="M19" s="4"/>
      <c r="N19" s="76"/>
      <c r="O19" s="76"/>
      <c r="P19" s="76" t="str">
        <f t="shared" si="7"/>
        <v>,unit</v>
      </c>
      <c r="Q19" s="76" t="str">
        <f t="shared" si="8"/>
        <v>TEXT</v>
      </c>
      <c r="R19" s="76" t="str">
        <f t="shared" si="9"/>
        <v/>
      </c>
      <c r="S19" s="76" t="str">
        <f t="shared" si="10"/>
        <v>NOT NULL</v>
      </c>
      <c r="T19" s="76" t="str">
        <f t="shared" si="11"/>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milscm_2023_009.sny_202310_select_kensa_discribe.unit IS '単位';</v>
      </c>
    </row>
    <row r="20" spans="1:52" s="25" customFormat="1">
      <c r="A20" s="4"/>
      <c r="B20" s="21">
        <f t="shared" si="2"/>
        <v>8</v>
      </c>
      <c r="C20" s="13" t="s">
        <v>4355</v>
      </c>
      <c r="D20" s="13" t="s">
        <v>1549</v>
      </c>
      <c r="E20" s="8" t="s">
        <v>127</v>
      </c>
      <c r="F20" s="7" t="s">
        <v>4348</v>
      </c>
      <c r="G20" s="7" t="s">
        <v>99</v>
      </c>
      <c r="H20" s="58"/>
      <c r="I20" s="23" t="s">
        <v>127</v>
      </c>
      <c r="J20" s="24"/>
      <c r="M20" s="4"/>
      <c r="N20" s="76"/>
      <c r="O20" s="76"/>
      <c r="P20" s="76" t="str">
        <f t="shared" si="4"/>
        <v>,sample_time</v>
      </c>
      <c r="Q20" s="76" t="str">
        <f t="shared" si="0"/>
        <v>DATE</v>
      </c>
      <c r="R20" s="76" t="str">
        <f t="shared" si="1"/>
        <v/>
      </c>
      <c r="S20" s="76" t="str">
        <f t="shared" si="5"/>
        <v>NOT NULL</v>
      </c>
      <c r="T20" s="76" t="str">
        <f t="shared" si="6"/>
        <v>-- 採取日時</v>
      </c>
      <c r="U20" s="4"/>
      <c r="AA20" s="4"/>
      <c r="AB20" s="4"/>
      <c r="AC20" s="4"/>
      <c r="AD20" s="4"/>
      <c r="AE20" s="4"/>
      <c r="AF20" s="4"/>
      <c r="AG20" s="4"/>
      <c r="AH20" s="4"/>
      <c r="AI20" s="4"/>
      <c r="AJ20" s="76" t="str">
        <f>IF(E20="○",IF(COUNTA(E$13:E20)=1,"",",")&amp;D20,"")</f>
        <v>,sample_time</v>
      </c>
      <c r="AK20" s="4"/>
      <c r="AL20" s="4"/>
      <c r="AM20" s="4"/>
      <c r="AN20" s="4"/>
      <c r="AO20" s="4"/>
      <c r="AP20" s="4"/>
      <c r="AQ20" s="4"/>
      <c r="AR20" s="4"/>
      <c r="AS20" s="76" t="str">
        <f>"COMMENT ON COLUMN "&amp;エンティティ一覧!$O$2&amp;"."&amp;D$8&amp;"."&amp;D20&amp;" IS '"&amp;C20&amp;"';"</f>
        <v>COMMENT ON COLUMN milscm_2023_009.sny_202310_select_kensa_discribe.sample_time IS '採取日時';</v>
      </c>
    </row>
    <row r="21" spans="1:52" s="25" customFormat="1">
      <c r="A21" s="4"/>
      <c r="B21" s="21">
        <f t="shared" si="2"/>
        <v>9</v>
      </c>
      <c r="C21" s="13" t="s">
        <v>4351</v>
      </c>
      <c r="D21" s="13" t="s">
        <v>4349</v>
      </c>
      <c r="E21" s="8"/>
      <c r="F21" s="7" t="s">
        <v>4340</v>
      </c>
      <c r="G21" s="7" t="str">
        <f t="shared" si="3"/>
        <v>numeric</v>
      </c>
      <c r="H21" s="58"/>
      <c r="I21" s="23" t="s">
        <v>127</v>
      </c>
      <c r="J21" s="24"/>
      <c r="M21" s="4"/>
      <c r="N21" s="76"/>
      <c r="O21" s="76"/>
      <c r="P21" s="76" t="str">
        <f t="shared" si="4"/>
        <v>,result_value</v>
      </c>
      <c r="Q21" s="76" t="str">
        <f t="shared" si="0"/>
        <v>NUMERIC</v>
      </c>
      <c r="R21" s="76" t="str">
        <f t="shared" si="1"/>
        <v/>
      </c>
      <c r="S21" s="76" t="str">
        <f t="shared" si="5"/>
        <v>NOT NULL</v>
      </c>
      <c r="T21" s="76" t="str">
        <f t="shared" si="6"/>
        <v>-- 検査値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milscm_2023_009.sny_202310_select_kensa_discribe.result_value IS '検査値';</v>
      </c>
    </row>
    <row r="22" spans="1:52" s="25" customFormat="1" ht="19.5" thickBot="1">
      <c r="A22" s="4"/>
      <c r="B22" s="27">
        <f>ROW()-12</f>
        <v>10</v>
      </c>
      <c r="C22" s="57" t="s">
        <v>4352</v>
      </c>
      <c r="D22" s="57" t="s">
        <v>3836</v>
      </c>
      <c r="E22" s="56"/>
      <c r="F22" s="56" t="s">
        <v>1780</v>
      </c>
      <c r="G22" s="56" t="str">
        <f t="shared" si="3"/>
        <v>text</v>
      </c>
      <c r="H22" s="59"/>
      <c r="I22" s="60" t="s">
        <v>127</v>
      </c>
      <c r="J22" s="64"/>
      <c r="N22" s="76"/>
      <c r="O22" s="76"/>
      <c r="P22" s="76" t="str">
        <f t="shared" si="4"/>
        <v>,m_unit</v>
      </c>
      <c r="Q22" s="76" t="str">
        <f t="shared" si="0"/>
        <v>TEXT</v>
      </c>
      <c r="R22" s="76" t="str">
        <f t="shared" si="1"/>
        <v/>
      </c>
      <c r="S22" s="76" t="str">
        <f t="shared" si="5"/>
        <v>NOT NULL</v>
      </c>
      <c r="T22" s="76" t="str">
        <f t="shared" si="6"/>
        <v>-- 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milscm_2023_009.sny_202310_select_kensa_discribe.m_unit IS '単位';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election activeCell="C14" sqref="C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51</v>
      </c>
      <c r="E4" s="249"/>
      <c r="F4" s="249"/>
      <c r="G4" s="249"/>
      <c r="H4" s="249"/>
      <c r="I4" s="249"/>
      <c r="J4" s="250"/>
    </row>
    <row r="5" spans="1:52">
      <c r="B5" s="262" t="s">
        <v>3702</v>
      </c>
      <c r="C5" s="263"/>
      <c r="D5" s="272" t="str">
        <f>VLOOKUP(D7,エンティティ一覧!A1:'エンティティ一覧'!AM10204,7,FALSE)</f>
        <v>select</v>
      </c>
      <c r="E5" s="273"/>
      <c r="F5" s="273"/>
      <c r="G5" s="273"/>
      <c r="H5" s="273"/>
      <c r="I5" s="273"/>
      <c r="J5" s="274"/>
    </row>
    <row r="6" spans="1:52">
      <c r="B6" s="262" t="s">
        <v>3703</v>
      </c>
      <c r="C6" s="263"/>
      <c r="D6" s="272" t="str">
        <f>VLOOKUP(D7,エンティティ一覧!A1:'エンティティ一覧'!AM10204,15,FALSE)</f>
        <v>ENT_51_07</v>
      </c>
      <c r="E6" s="273"/>
      <c r="F6" s="273"/>
      <c r="G6" s="273"/>
      <c r="H6" s="273"/>
      <c r="I6" s="273"/>
      <c r="J6" s="274"/>
    </row>
    <row r="7" spans="1:52">
      <c r="B7" s="262" t="s">
        <v>115</v>
      </c>
      <c r="C7" s="263"/>
      <c r="D7" s="264" t="s">
        <v>4313</v>
      </c>
      <c r="E7" s="265"/>
      <c r="F7" s="265"/>
      <c r="G7" s="265"/>
      <c r="H7" s="265"/>
      <c r="I7" s="265"/>
      <c r="J7" s="266"/>
    </row>
    <row r="8" spans="1:52">
      <c r="B8" s="262" t="s">
        <v>116</v>
      </c>
      <c r="C8" s="263"/>
      <c r="D8" s="264" t="str">
        <f>エンティティ一覧!AE2&amp;"_"&amp;D5&amp;"_shinryou_koui"</f>
        <v>sny_202310_select_shinryou_koui</v>
      </c>
      <c r="E8" s="265"/>
      <c r="F8" s="265"/>
      <c r="G8" s="265"/>
      <c r="H8" s="265"/>
      <c r="I8" s="265"/>
      <c r="J8" s="266"/>
    </row>
    <row r="9" spans="1:52" ht="19.5" customHeight="1" thickBot="1">
      <c r="B9" s="267" t="s">
        <v>117</v>
      </c>
      <c r="C9" s="268"/>
      <c r="D9" s="269"/>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milscm_2023_009.sny_202310_select_shinryou_koui;</v>
      </c>
      <c r="O10" s="76"/>
      <c r="P10" s="76"/>
      <c r="Q10" s="76"/>
      <c r="R10" s="76"/>
      <c r="S10" s="76"/>
      <c r="T10" s="76"/>
      <c r="AJ10" s="76" t="str">
        <f>"ALTER TABLE ONLY "&amp;エンティティ一覧!$O$2&amp;"."&amp;D$8</f>
        <v>ALTER TABLE ONLY milscm_2023_009.sny_202310_select_shinryou_koui</v>
      </c>
      <c r="AS10" s="76" t="str">
        <f>"ALTER TABLE "&amp;エンティティ一覧!$O$2&amp;"."&amp;D$8&amp;" OWNER TO pgmisgrp1;"</f>
        <v>ALTER TABLE milscm_2023_009.sny_202310_select_shinryou_koui OWNER TO pgmisgrp1;</v>
      </c>
    </row>
    <row r="11" spans="1:52" ht="19.5" thickBot="1">
      <c r="B11" s="20" t="s">
        <v>118</v>
      </c>
      <c r="C11" s="19"/>
      <c r="D11" s="5"/>
      <c r="E11" s="5"/>
      <c r="F11" s="5"/>
      <c r="G11" s="5"/>
      <c r="H11" s="5"/>
      <c r="I11" s="5"/>
      <c r="J11" s="18"/>
      <c r="N11" s="76" t="str">
        <f>"CREATE TABLE  "&amp;エンティティ一覧!$O$2&amp;"."&amp;D$8</f>
        <v>CREATE TABLE  milscm_2023_009.sny_202310_select_shinryou_koui</v>
      </c>
      <c r="O11" s="76"/>
      <c r="P11" s="76"/>
      <c r="Q11" s="76"/>
      <c r="R11" s="76"/>
      <c r="S11" s="76"/>
      <c r="T11" s="76"/>
      <c r="AJ11" s="76" t="str">
        <f>"ADD CONSTRAINT "&amp;D$8&amp;"_pkey PRIMARY KEY"</f>
        <v>ADD CONSTRAINT sny_202310_select_shinryou_koui_pkey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milscm_2023_009.sny_202310_select_shinryou_koui IS 'セレクト_診療行為データ';</v>
      </c>
    </row>
    <row r="13" spans="1:52"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milscm_2023_009.sny_202310_select_shinryou_koui.mask_id IS 'マスクID';</v>
      </c>
    </row>
    <row r="14" spans="1:52" s="25" customFormat="1">
      <c r="A14" s="4"/>
      <c r="B14" s="21">
        <f t="shared" ref="B14" si="2">ROW()-12</f>
        <v>2</v>
      </c>
      <c r="C14" s="13" t="s">
        <v>4358</v>
      </c>
      <c r="D14" s="13" t="s">
        <v>4359</v>
      </c>
      <c r="E14" s="8" t="s">
        <v>127</v>
      </c>
      <c r="F14" s="7" t="s">
        <v>737</v>
      </c>
      <c r="G14" s="7" t="str">
        <f t="shared" ref="G14:G15" si="3">IF(F14="フラグ","boolean",IF(F14="文字列","text",IF(F14="整数","integer",IF(F14="実数","numeric",""))))</f>
        <v>text</v>
      </c>
      <c r="H14" s="58"/>
      <c r="I14" s="23" t="s">
        <v>127</v>
      </c>
      <c r="J14" s="24"/>
      <c r="M14" s="4"/>
      <c r="N14" s="76"/>
      <c r="O14" s="76"/>
      <c r="P14" s="76" t="str">
        <f t="shared" ref="P14:P15" si="4">IF(B14&lt;&gt;1,","&amp;D14,D14)</f>
        <v>,shinryo_koi_name</v>
      </c>
      <c r="Q14" s="76" t="str">
        <f t="shared" si="0"/>
        <v>TEXT</v>
      </c>
      <c r="R14" s="76" t="str">
        <f t="shared" si="1"/>
        <v/>
      </c>
      <c r="S14" s="76" t="str">
        <f t="shared" ref="S14:S15" si="5">IF(I14="○","NOT NULL","")</f>
        <v>NOT NULL</v>
      </c>
      <c r="T14" s="76" t="str">
        <f t="shared" ref="T14:T15" si="6">"-- "&amp;C14</f>
        <v>-- 診療行為名称</v>
      </c>
      <c r="U14" s="4"/>
      <c r="AA14" s="4"/>
      <c r="AB14" s="4"/>
      <c r="AC14" s="4"/>
      <c r="AD14" s="4"/>
      <c r="AE14" s="4"/>
      <c r="AF14" s="4"/>
      <c r="AG14" s="4"/>
      <c r="AH14" s="4"/>
      <c r="AI14" s="4"/>
      <c r="AJ14" s="76" t="str">
        <f>IF(E14="○",IF(COUNTA(E$13:E14)=1,"",",")&amp;D14,"")</f>
        <v>,shinryo_koi_name</v>
      </c>
      <c r="AK14" s="4"/>
      <c r="AL14" s="4"/>
      <c r="AM14" s="4"/>
      <c r="AN14" s="4"/>
      <c r="AO14" s="4"/>
      <c r="AP14" s="4"/>
      <c r="AQ14" s="4"/>
      <c r="AR14" s="4"/>
      <c r="AS14" s="76" t="str">
        <f>"COMMENT ON COLUMN "&amp;エンティティ一覧!$O$2&amp;"."&amp;D$8&amp;"."&amp;D14&amp;" IS '"&amp;C14&amp;"';"</f>
        <v>COMMENT ON COLUMN milscm_2023_009.sny_202310_select_shinryou_koui.shinryo_koi_name IS '診療行為名称';</v>
      </c>
    </row>
    <row r="15" spans="1:52" s="25" customFormat="1" ht="19.5" thickBot="1">
      <c r="A15" s="4"/>
      <c r="B15" s="27">
        <f>ROW()-12</f>
        <v>3</v>
      </c>
      <c r="C15" s="57" t="s">
        <v>4345</v>
      </c>
      <c r="D15" s="57" t="s">
        <v>155</v>
      </c>
      <c r="E15" s="56" t="s">
        <v>127</v>
      </c>
      <c r="F15" s="56" t="s">
        <v>1780</v>
      </c>
      <c r="G15" s="56" t="str">
        <f t="shared" si="3"/>
        <v>text</v>
      </c>
      <c r="H15" s="59"/>
      <c r="I15" s="60" t="s">
        <v>127</v>
      </c>
      <c r="J15" s="64"/>
      <c r="N15" s="76"/>
      <c r="O15" s="76"/>
      <c r="P15" s="76" t="str">
        <f t="shared" si="4"/>
        <v>,jisshi_ymd</v>
      </c>
      <c r="Q15" s="76" t="str">
        <f t="shared" si="0"/>
        <v>TEXT</v>
      </c>
      <c r="R15" s="76" t="str">
        <f t="shared" si="1"/>
        <v/>
      </c>
      <c r="S15" s="76" t="str">
        <f t="shared" si="5"/>
        <v>NOT NULL</v>
      </c>
      <c r="T15" s="76" t="str">
        <f t="shared" si="6"/>
        <v>-- 実施年月日</v>
      </c>
      <c r="U15" s="4"/>
      <c r="AA15" s="4"/>
      <c r="AB15" s="4"/>
      <c r="AC15" s="4"/>
      <c r="AD15" s="4"/>
      <c r="AE15" s="4"/>
      <c r="AF15" s="4"/>
      <c r="AG15" s="4"/>
      <c r="AH15" s="4"/>
      <c r="AI15" s="4"/>
      <c r="AJ15" s="76" t="str">
        <f>IF(E15="○",IF(COUNTA(E$13:E15)=1,"",",")&amp;D15,"")</f>
        <v>,jisshi_ymd</v>
      </c>
      <c r="AK15" s="4"/>
      <c r="AL15" s="4"/>
      <c r="AM15" s="4"/>
      <c r="AN15" s="4"/>
      <c r="AO15" s="4"/>
      <c r="AP15" s="4"/>
      <c r="AQ15" s="4"/>
      <c r="AR15" s="4"/>
      <c r="AS15" s="76" t="str">
        <f>"COMMENT ON COLUMN "&amp;エンティティ一覧!$O$2&amp;"."&amp;D$8&amp;"."&amp;D15&amp;" IS '"&amp;C15&amp;"';"</f>
        <v>COMMENT ON COLUMN milscm_2023_009.sny_202310_select_shinryou_koui.jisshi_ymd IS '実施年月日';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election activeCell="D15" sqref="D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51</v>
      </c>
      <c r="E4" s="249"/>
      <c r="F4" s="249"/>
      <c r="G4" s="249"/>
      <c r="H4" s="249"/>
      <c r="I4" s="249"/>
      <c r="J4" s="250"/>
    </row>
    <row r="5" spans="1:45">
      <c r="B5" s="262" t="s">
        <v>3702</v>
      </c>
      <c r="C5" s="263"/>
      <c r="D5" s="272" t="str">
        <f>VLOOKUP(D7,エンティティ一覧!A1:'エンティティ一覧'!AM10204,7,FALSE)</f>
        <v>select</v>
      </c>
      <c r="E5" s="273"/>
      <c r="F5" s="273"/>
      <c r="G5" s="273"/>
      <c r="H5" s="273"/>
      <c r="I5" s="273"/>
      <c r="J5" s="274"/>
    </row>
    <row r="6" spans="1:45">
      <c r="B6" s="262" t="s">
        <v>3703</v>
      </c>
      <c r="C6" s="263"/>
      <c r="D6" s="272" t="str">
        <f>VLOOKUP(D7,エンティティ一覧!A1:'エンティティ一覧'!AM10204,15,FALSE)</f>
        <v>ENT_51_08</v>
      </c>
      <c r="E6" s="273"/>
      <c r="F6" s="273"/>
      <c r="G6" s="273"/>
      <c r="H6" s="273"/>
      <c r="I6" s="273"/>
      <c r="J6" s="274"/>
    </row>
    <row r="7" spans="1:45">
      <c r="B7" s="262" t="s">
        <v>115</v>
      </c>
      <c r="C7" s="263"/>
      <c r="D7" s="264" t="s">
        <v>4429</v>
      </c>
      <c r="E7" s="265"/>
      <c r="F7" s="265"/>
      <c r="G7" s="265"/>
      <c r="H7" s="265"/>
      <c r="I7" s="265"/>
      <c r="J7" s="266"/>
    </row>
    <row r="8" spans="1:45">
      <c r="B8" s="262" t="s">
        <v>116</v>
      </c>
      <c r="C8" s="263"/>
      <c r="D8" s="264" t="str">
        <f>エンティティ一覧!AE2&amp;"_"&amp;D5&amp;"_nyuin_gairai_summary"</f>
        <v>sny_202310_select_nyuin_gairai_summary</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milscm_2023_009.sny_202310_select_nyuin_gairai_summary;</v>
      </c>
      <c r="O10" s="76"/>
      <c r="P10" s="76"/>
      <c r="Q10" s="76"/>
      <c r="R10" s="76"/>
      <c r="S10" s="76"/>
      <c r="T10" s="76"/>
      <c r="AJ10" s="76" t="str">
        <f>"ALTER TABLE ONLY "&amp;エンティティ一覧!$O$2&amp;"."&amp;D$8</f>
        <v>ALTER TABLE ONLY milscm_2023_009.sny_202310_select_nyuin_gairai_summary</v>
      </c>
      <c r="AS10" s="76" t="str">
        <f>"ALTER TABLE "&amp;エンティティ一覧!$O$2&amp;"."&amp;D$8&amp;" OWNER TO pgmisgrp1;"</f>
        <v>ALTER TABLE milscm_2023_009.sny_202310_select_nyuin_gairai_summary OWNER TO pgmisgrp1;</v>
      </c>
    </row>
    <row r="11" spans="1:45" ht="19.5" thickBot="1">
      <c r="B11" s="20" t="s">
        <v>118</v>
      </c>
      <c r="C11" s="19"/>
      <c r="D11" s="5"/>
      <c r="E11" s="5"/>
      <c r="F11" s="5"/>
      <c r="G11" s="5"/>
      <c r="H11" s="5"/>
      <c r="I11" s="5"/>
      <c r="J11" s="18"/>
      <c r="N11" s="76" t="str">
        <f>"CREATE TABLE  "&amp;エンティティ一覧!$O$2&amp;"."&amp;D$8</f>
        <v>CREATE TABLE  milscm_2023_009.sny_202310_select_nyuin_gairai_summary</v>
      </c>
      <c r="O11" s="76"/>
      <c r="P11" s="76"/>
      <c r="Q11" s="76"/>
      <c r="R11" s="76"/>
      <c r="S11" s="76"/>
      <c r="T11" s="76"/>
      <c r="AJ11" s="76" t="str">
        <f>"ADD CONSTRAINT "&amp;D$8&amp;"_pkey PRIMARY KEY"</f>
        <v>ADD CONSTRAINT sny_202310_select_nyuin_gairai_summary_pkey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milscm_2023_009.sny_202310_select_nyuin_gairai_summary IS 'セレクト_入院外来サマリ';</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milscm_2023_009.sny_202310_select_nyuin_gairai_summary.mask_id IS 'マスクID';</v>
      </c>
    </row>
    <row r="14" spans="1:45" s="25" customFormat="1">
      <c r="A14" s="4"/>
      <c r="B14" s="21">
        <f t="shared" ref="B14:B15" si="2">ROW()-12</f>
        <v>2</v>
      </c>
      <c r="C14" s="13" t="s">
        <v>242</v>
      </c>
      <c r="D14" s="13" t="s">
        <v>4432</v>
      </c>
      <c r="E14" s="8"/>
      <c r="F14" s="7" t="s">
        <v>737</v>
      </c>
      <c r="G14" s="7" t="str">
        <f t="shared" ref="G14:G16" si="3">IF(F14="フラグ","boolean",IF(F14="文字列","text",IF(F14="整数","integer",IF(F14="実数","numeric",""))))</f>
        <v>text</v>
      </c>
      <c r="H14" s="58"/>
      <c r="I14" s="23" t="s">
        <v>127</v>
      </c>
      <c r="J14" s="122"/>
      <c r="M14" s="4"/>
      <c r="N14" s="76"/>
      <c r="O14" s="76"/>
      <c r="P14" s="76" t="str">
        <f t="shared" ref="P14:P16" si="4">IF(B14&lt;&gt;1,","&amp;D14,D14)</f>
        <v>,nyu_gai_kubun</v>
      </c>
      <c r="Q14" s="76" t="str">
        <f t="shared" si="0"/>
        <v>TEXT</v>
      </c>
      <c r="R14" s="76" t="str">
        <f t="shared" si="1"/>
        <v/>
      </c>
      <c r="S14" s="76" t="str">
        <f t="shared" ref="S14:S16" si="5">IF(I14="○","NOT NULL","")</f>
        <v>NOT NULL</v>
      </c>
      <c r="T14" s="76" t="str">
        <f t="shared" ref="T14:T16" si="6">"-- "&amp;C14</f>
        <v>-- 入外区分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milscm_2023_009.sny_202310_select_nyuin_gairai_summary.nyu_gai_kubun IS '入外区分';</v>
      </c>
    </row>
    <row r="15" spans="1:45" s="25" customFormat="1" ht="37.5">
      <c r="A15" s="4"/>
      <c r="B15" s="21">
        <f t="shared" si="2"/>
        <v>3</v>
      </c>
      <c r="C15" s="13" t="s">
        <v>4329</v>
      </c>
      <c r="D15" s="13" t="s">
        <v>4433</v>
      </c>
      <c r="E15" s="8" t="s">
        <v>127</v>
      </c>
      <c r="F15" s="7" t="s">
        <v>737</v>
      </c>
      <c r="G15" s="7" t="str">
        <f t="shared" si="3"/>
        <v>text</v>
      </c>
      <c r="H15" s="58"/>
      <c r="I15" s="23" t="s">
        <v>127</v>
      </c>
      <c r="J15" s="122" t="s">
        <v>4431</v>
      </c>
      <c r="M15" s="4"/>
      <c r="N15" s="76"/>
      <c r="O15" s="76"/>
      <c r="P15" s="76" t="str">
        <f t="shared" si="4"/>
        <v>,raiin_ymd</v>
      </c>
      <c r="Q15" s="76" t="str">
        <f t="shared" si="0"/>
        <v>TEXT</v>
      </c>
      <c r="R15" s="76" t="str">
        <f t="shared" si="1"/>
        <v/>
      </c>
      <c r="S15" s="76" t="str">
        <f t="shared" si="5"/>
        <v>NOT NULL</v>
      </c>
      <c r="T15" s="76" t="str">
        <f t="shared" si="6"/>
        <v>-- 来院年月日</v>
      </c>
      <c r="U15" s="4"/>
      <c r="AA15" s="4"/>
      <c r="AB15" s="4"/>
      <c r="AC15" s="4"/>
      <c r="AD15" s="4"/>
      <c r="AE15" s="4"/>
      <c r="AF15" s="4"/>
      <c r="AG15" s="4"/>
      <c r="AH15" s="4"/>
      <c r="AI15" s="4"/>
      <c r="AJ15" s="76" t="str">
        <f>IF(E15="○",IF(COUNTA(E$13:E15)=1,"",",")&amp;D15,"")</f>
        <v>,raiin_ymd</v>
      </c>
      <c r="AK15" s="4"/>
      <c r="AL15" s="4"/>
      <c r="AM15" s="4"/>
      <c r="AN15" s="4"/>
      <c r="AO15" s="4"/>
      <c r="AP15" s="4"/>
      <c r="AQ15" s="4"/>
      <c r="AR15" s="4"/>
      <c r="AS15" s="76" t="str">
        <f>"COMMENT ON COLUMN "&amp;エンティティ一覧!$O$2&amp;"."&amp;D$8&amp;"."&amp;D15&amp;" IS '"&amp;C15&amp;"';"</f>
        <v>COMMENT ON COLUMN milscm_2023_009.sny_202310_select_nyuin_gairai_summary.raiin_ymd IS '来院年月日';</v>
      </c>
    </row>
    <row r="16" spans="1:45" s="25" customFormat="1" ht="19.5" thickBot="1">
      <c r="A16" s="4"/>
      <c r="B16" s="27">
        <f>ROW()-12</f>
        <v>4</v>
      </c>
      <c r="C16" s="57" t="s">
        <v>211</v>
      </c>
      <c r="D16" s="57" t="s">
        <v>212</v>
      </c>
      <c r="E16" s="56"/>
      <c r="F16" s="56" t="s">
        <v>1780</v>
      </c>
      <c r="G16" s="56" t="str">
        <f t="shared" si="3"/>
        <v>text</v>
      </c>
      <c r="H16" s="59"/>
      <c r="I16" s="60" t="s">
        <v>127</v>
      </c>
      <c r="J16" s="64"/>
      <c r="N16" s="76"/>
      <c r="O16" s="76"/>
      <c r="P16" s="76" t="str">
        <f t="shared" si="4"/>
        <v>,taiin_ymd</v>
      </c>
      <c r="Q16" s="76" t="str">
        <f t="shared" si="0"/>
        <v>TEXT</v>
      </c>
      <c r="R16" s="76" t="str">
        <f t="shared" si="1"/>
        <v/>
      </c>
      <c r="S16" s="76" t="str">
        <f t="shared" si="5"/>
        <v>NOT NULL</v>
      </c>
      <c r="T16" s="76" t="str">
        <f t="shared" si="6"/>
        <v>-- 退院年月日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milscm_2023_009.sny_202310_select_nyuin_gairai_summary.taiin_ymd IS '退院年月日';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election activeCell="D15" sqref="D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51" t="s">
        <v>110</v>
      </c>
      <c r="C1" s="252"/>
      <c r="D1" s="255" t="s">
        <v>111</v>
      </c>
      <c r="E1" s="256"/>
      <c r="F1" s="256"/>
      <c r="G1" s="247"/>
      <c r="H1" s="255" t="s">
        <v>112</v>
      </c>
      <c r="I1" s="247"/>
      <c r="J1" s="15" t="s">
        <v>113</v>
      </c>
    </row>
    <row r="2" spans="1:52" ht="19.5" thickBot="1">
      <c r="B2" s="253"/>
      <c r="C2" s="254"/>
      <c r="D2" s="257" t="s">
        <v>114</v>
      </c>
      <c r="E2" s="258"/>
      <c r="F2" s="258"/>
      <c r="G2" s="259"/>
      <c r="H2" s="260"/>
      <c r="I2" s="261"/>
      <c r="J2" s="17"/>
    </row>
    <row r="3" spans="1:52" ht="19.5" thickBot="1">
      <c r="B3" s="5"/>
      <c r="C3" s="5"/>
      <c r="D3" s="5"/>
      <c r="E3" s="5"/>
      <c r="F3" s="5"/>
      <c r="G3" s="5"/>
      <c r="H3" s="5"/>
      <c r="I3" s="5"/>
      <c r="J3" s="18"/>
    </row>
    <row r="4" spans="1:52">
      <c r="B4" s="246" t="s">
        <v>3701</v>
      </c>
      <c r="C4" s="247"/>
      <c r="D4" s="248" t="str">
        <f>VLOOKUP(D7,エンティティ一覧!A1:'エンティティ一覧'!AM10204,2,FALSE)</f>
        <v>52</v>
      </c>
      <c r="E4" s="249"/>
      <c r="F4" s="249"/>
      <c r="G4" s="249"/>
      <c r="H4" s="249"/>
      <c r="I4" s="249"/>
      <c r="J4" s="250"/>
    </row>
    <row r="5" spans="1:52">
      <c r="B5" s="262" t="s">
        <v>3702</v>
      </c>
      <c r="C5" s="263"/>
      <c r="D5" s="272" t="str">
        <f>VLOOKUP(D7,エンティティ一覧!A1:'エンティティ一覧'!AM10204,7,FALSE)</f>
        <v>report1</v>
      </c>
      <c r="E5" s="273"/>
      <c r="F5" s="273"/>
      <c r="G5" s="273"/>
      <c r="H5" s="273"/>
      <c r="I5" s="273"/>
      <c r="J5" s="274"/>
    </row>
    <row r="6" spans="1:52">
      <c r="B6" s="262" t="s">
        <v>3703</v>
      </c>
      <c r="C6" s="263"/>
      <c r="D6" s="272" t="str">
        <f>VLOOKUP(D7,エンティティ一覧!A1:'エンティティ一覧'!AM10204,15,FALSE)</f>
        <v>ENT_52_01</v>
      </c>
      <c r="E6" s="273"/>
      <c r="F6" s="273"/>
      <c r="G6" s="273"/>
      <c r="H6" s="273"/>
      <c r="I6" s="273"/>
      <c r="J6" s="274"/>
    </row>
    <row r="7" spans="1:52">
      <c r="B7" s="262" t="s">
        <v>115</v>
      </c>
      <c r="C7" s="263"/>
      <c r="D7" s="264" t="s">
        <v>4415</v>
      </c>
      <c r="E7" s="265"/>
      <c r="F7" s="265"/>
      <c r="G7" s="265"/>
      <c r="H7" s="265"/>
      <c r="I7" s="265"/>
      <c r="J7" s="266"/>
    </row>
    <row r="8" spans="1:52">
      <c r="B8" s="262" t="s">
        <v>116</v>
      </c>
      <c r="C8" s="263"/>
      <c r="D8" s="264" t="str">
        <f>エンティティ一覧!AE2&amp;"_"&amp;D5&amp;"_kanja_kubun"</f>
        <v>sny_202310_report1_kanja_kubun</v>
      </c>
      <c r="E8" s="265"/>
      <c r="F8" s="265"/>
      <c r="G8" s="265"/>
      <c r="H8" s="265"/>
      <c r="I8" s="265"/>
      <c r="J8" s="266"/>
    </row>
    <row r="9" spans="1:52" ht="19.5" customHeight="1" thickBot="1">
      <c r="B9" s="267" t="s">
        <v>117</v>
      </c>
      <c r="C9" s="268"/>
      <c r="D9" s="269"/>
      <c r="E9" s="270"/>
      <c r="F9" s="270"/>
      <c r="G9" s="270"/>
      <c r="H9" s="270"/>
      <c r="I9" s="270"/>
      <c r="J9" s="271"/>
    </row>
    <row r="10" spans="1:52">
      <c r="B10" s="19"/>
      <c r="C10" s="19"/>
      <c r="D10" s="5"/>
      <c r="E10" s="5"/>
      <c r="F10" s="5"/>
      <c r="G10" s="5"/>
      <c r="H10" s="5"/>
      <c r="I10" s="5"/>
      <c r="J10" s="18"/>
      <c r="N10" s="76" t="str">
        <f>"--DROP TABLE  "&amp;エンティティ一覧!$O$2&amp;"."&amp;D$8&amp;";"</f>
        <v>--DROP TABLE  milscm_2023_009.sny_202310_report1_kanja_kubun;</v>
      </c>
      <c r="O10" s="76"/>
      <c r="P10" s="76"/>
      <c r="Q10" s="76"/>
      <c r="R10" s="76"/>
      <c r="S10" s="76"/>
      <c r="T10" s="76"/>
      <c r="AJ10" s="76" t="str">
        <f>"ALTER TABLE ONLY "&amp;エンティティ一覧!$O$2&amp;"."&amp;D$8</f>
        <v>ALTER TABLE ONLY milscm_2023_009.sny_202310_report1_kanja_kubun</v>
      </c>
      <c r="AS10" s="76" t="str">
        <f>"ALTER TABLE "&amp;エンティティ一覧!$O$2&amp;"."&amp;D$8&amp;" OWNER TO pgmisgrp1;"</f>
        <v>ALTER TABLE milscm_2023_009.sny_202310_report1_kanja_kubun OWNER TO pgmisgrp1;</v>
      </c>
    </row>
    <row r="11" spans="1:52" ht="19.5" thickBot="1">
      <c r="B11" s="20" t="s">
        <v>118</v>
      </c>
      <c r="C11" s="19"/>
      <c r="D11" s="5"/>
      <c r="E11" s="5"/>
      <c r="F11" s="5"/>
      <c r="G11" s="5"/>
      <c r="H11" s="5"/>
      <c r="I11" s="5"/>
      <c r="J11" s="18"/>
      <c r="N11" s="76" t="str">
        <f>"CREATE TABLE  "&amp;エンティティ一覧!$O$2&amp;"."&amp;D$8</f>
        <v>CREATE TABLE  milscm_2023_009.sny_202310_report1_kanja_kubun</v>
      </c>
      <c r="O11" s="76"/>
      <c r="P11" s="76"/>
      <c r="Q11" s="76"/>
      <c r="R11" s="76"/>
      <c r="S11" s="76"/>
      <c r="T11" s="76"/>
      <c r="AJ11" s="76" t="str">
        <f>"ADD CONSTRAINT "&amp;D$8&amp;"_pkey PRIMARY KEY"</f>
        <v>ADD CONSTRAINT sny_202310_report1_kanja_kubun_pkey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milscm_2023_009.sny_202310_report1_kanja_kubun IS 'ステップ1報告_患者区分';</v>
      </c>
    </row>
    <row r="13" spans="1:52"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milscm_2023_009.sny_202310_report1_kanja_kubun.mask_id IS 'マスクID';</v>
      </c>
    </row>
    <row r="14" spans="1:52" s="25" customFormat="1" ht="19.5" thickBot="1">
      <c r="A14" s="4"/>
      <c r="B14" s="27">
        <f>ROW()-12</f>
        <v>2</v>
      </c>
      <c r="C14" s="57" t="s">
        <v>4413</v>
      </c>
      <c r="D14" s="57" t="s">
        <v>4414</v>
      </c>
      <c r="E14" s="56"/>
      <c r="F14" s="56" t="s">
        <v>1780</v>
      </c>
      <c r="G14" s="56" t="str">
        <f t="shared" ref="G14" si="2">IF(F14="フラグ","boolean",IF(F14="文字列","text",IF(F14="整数","integer",IF(F14="実数","numeric",""))))</f>
        <v>text</v>
      </c>
      <c r="H14" s="59"/>
      <c r="I14" s="60" t="s">
        <v>127</v>
      </c>
      <c r="J14" s="64"/>
      <c r="N14" s="76"/>
      <c r="O14" s="76"/>
      <c r="P14" s="76" t="str">
        <f t="shared" ref="P14" si="3">IF(B14&lt;&gt;1,","&amp;D14,D14)</f>
        <v>,kubun</v>
      </c>
      <c r="Q14" s="76" t="str">
        <f t="shared" si="0"/>
        <v>TEXT</v>
      </c>
      <c r="R14" s="76" t="str">
        <f t="shared" si="1"/>
        <v/>
      </c>
      <c r="S14" s="76" t="str">
        <f t="shared" ref="S14" si="4">IF(I14="○","NOT NULL","")</f>
        <v>NOT NULL</v>
      </c>
      <c r="T14" s="76" t="str">
        <f t="shared" ref="T14" si="5">"-- "&amp;C14</f>
        <v>-- 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milscm_2023_009.sny_202310_report1_kanja_kubun.kubun IS '区分';</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D15" sqref="D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52</v>
      </c>
      <c r="E4" s="249"/>
      <c r="F4" s="249"/>
      <c r="G4" s="249"/>
      <c r="H4" s="249"/>
      <c r="I4" s="249"/>
      <c r="J4" s="250"/>
    </row>
    <row r="5" spans="1:45">
      <c r="B5" s="262" t="s">
        <v>3702</v>
      </c>
      <c r="C5" s="263"/>
      <c r="D5" s="272" t="str">
        <f>VLOOKUP(D7,エンティティ一覧!A1:'エンティティ一覧'!AM10204,7,FALSE)</f>
        <v>report1</v>
      </c>
      <c r="E5" s="273"/>
      <c r="F5" s="273"/>
      <c r="G5" s="273"/>
      <c r="H5" s="273"/>
      <c r="I5" s="273"/>
      <c r="J5" s="274"/>
    </row>
    <row r="6" spans="1:45">
      <c r="B6" s="262" t="s">
        <v>3703</v>
      </c>
      <c r="C6" s="263"/>
      <c r="D6" s="272" t="str">
        <f>VLOOKUP(D7,エンティティ一覧!A1:'エンティティ一覧'!AM10204,15,FALSE)</f>
        <v>ENT_52_02</v>
      </c>
      <c r="E6" s="273"/>
      <c r="F6" s="273"/>
      <c r="G6" s="273"/>
      <c r="H6" s="273"/>
      <c r="I6" s="273"/>
      <c r="J6" s="274"/>
    </row>
    <row r="7" spans="1:45">
      <c r="B7" s="262" t="s">
        <v>115</v>
      </c>
      <c r="C7" s="263"/>
      <c r="D7" s="264" t="s">
        <v>4565</v>
      </c>
      <c r="E7" s="265"/>
      <c r="F7" s="265"/>
      <c r="G7" s="265"/>
      <c r="H7" s="265"/>
      <c r="I7" s="265"/>
      <c r="J7" s="266"/>
    </row>
    <row r="8" spans="1:45">
      <c r="B8" s="262" t="s">
        <v>116</v>
      </c>
      <c r="C8" s="263"/>
      <c r="D8" s="264" t="str">
        <f>エンティティ一覧!AE2&amp;"_"&amp;D5&amp;"_shikkan"</f>
        <v>sny_202310_report1_shikkan</v>
      </c>
      <c r="E8" s="265"/>
      <c r="F8" s="265"/>
      <c r="G8" s="265"/>
      <c r="H8" s="265"/>
      <c r="I8" s="265"/>
      <c r="J8" s="266"/>
    </row>
    <row r="9" spans="1:45" ht="19.5" customHeight="1" thickBot="1">
      <c r="B9" s="267" t="s">
        <v>117</v>
      </c>
      <c r="C9" s="268"/>
      <c r="D9" s="269" t="s">
        <v>4180</v>
      </c>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milscm_2023_009.sny_202310_report1_shikkan;</v>
      </c>
      <c r="O10" s="76"/>
      <c r="P10" s="76"/>
      <c r="Q10" s="76"/>
      <c r="R10" s="76"/>
      <c r="S10" s="76"/>
      <c r="T10" s="76"/>
      <c r="AJ10" s="76" t="str">
        <f>"ALTER TABLE ONLY "&amp;エンティティ一覧!$O$2&amp;"."&amp;D$8</f>
        <v>ALTER TABLE ONLY milscm_2023_009.sny_202310_report1_shikkan</v>
      </c>
      <c r="AS10" s="76" t="str">
        <f>"ALTER TABLE "&amp;エンティティ一覧!$O$2&amp;"."&amp;D$8&amp;" OWNER TO pgmisgrp1;"</f>
        <v>ALTER TABLE milscm_2023_009.sny_202310_report1_shikkan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milscm_2023_009.sny_202310_report1_shikkan</v>
      </c>
      <c r="O11" s="76"/>
      <c r="P11" s="76"/>
      <c r="Q11" s="76"/>
      <c r="R11" s="76"/>
      <c r="S11" s="76"/>
      <c r="T11" s="76"/>
      <c r="AJ11" s="76" t="str">
        <f>"ADD CONSTRAINT "&amp;D$8&amp;"_pkey PRIMARY KEY"</f>
        <v>ADD CONSTRAINT sny_202310_report1_shikkan_pkey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milscm_2023_009.sny_202310_report1_shikkan IS 'ステップ1報告_疾患データ';</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21" si="0">UPPER(G13)</f>
        <v>TEXT</v>
      </c>
      <c r="R13" s="76" t="str">
        <f t="shared" ref="R13:R21"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milscm_2023_009.sny_202310_report1_shikkan.mask_id IS 'マスクID';</v>
      </c>
    </row>
    <row r="14" spans="1:45" s="25" customFormat="1">
      <c r="A14" s="4"/>
      <c r="B14" s="21">
        <f t="shared" ref="B14:B20" si="2">ROW()-12</f>
        <v>2</v>
      </c>
      <c r="C14" s="6" t="s">
        <v>1321</v>
      </c>
      <c r="D14" s="6" t="s">
        <v>1322</v>
      </c>
      <c r="E14" s="8" t="s">
        <v>127</v>
      </c>
      <c r="F14" s="7" t="s">
        <v>1780</v>
      </c>
      <c r="G14" s="7" t="str">
        <f t="shared" ref="G14:G21" si="3">IF(F14="フラグ","boolean",IF(F14="文字列","text",IF(F14="整数","integer",IF(F14="実数","numeric",""))))</f>
        <v>text</v>
      </c>
      <c r="H14" s="26"/>
      <c r="I14" s="10" t="s">
        <v>127</v>
      </c>
      <c r="J14" s="11"/>
      <c r="M14" s="4"/>
      <c r="N14" s="76"/>
      <c r="O14" s="76"/>
      <c r="P14" s="76" t="str">
        <f t="shared" ref="P14:P21" si="4">IF(B14&lt;&gt;1,","&amp;D14,D14)</f>
        <v>,byomei</v>
      </c>
      <c r="Q14" s="76" t="str">
        <f t="shared" si="0"/>
        <v>TEXT</v>
      </c>
      <c r="R14" s="76" t="str">
        <f t="shared" si="1"/>
        <v/>
      </c>
      <c r="S14" s="76" t="str">
        <f>IF(I14="○","NOT NULL","")</f>
        <v>NOT NULL</v>
      </c>
      <c r="T14" s="76" t="str">
        <f>"-- "&amp;C14</f>
        <v>-- 病名</v>
      </c>
      <c r="U14" s="4"/>
      <c r="AA14" s="4"/>
      <c r="AB14" s="4"/>
      <c r="AC14" s="4"/>
      <c r="AD14" s="4"/>
      <c r="AE14" s="4"/>
      <c r="AF14" s="4"/>
      <c r="AG14" s="4"/>
      <c r="AH14" s="4"/>
      <c r="AI14" s="4"/>
      <c r="AJ14" s="76" t="str">
        <f>IF(E14="○",IF(COUNTA(E$13:E14)=1,"",",")&amp;D14,"")</f>
        <v>,byomei</v>
      </c>
      <c r="AK14" s="4"/>
      <c r="AL14" s="4"/>
      <c r="AM14" s="4"/>
      <c r="AN14" s="4"/>
      <c r="AO14" s="4"/>
      <c r="AP14" s="4"/>
      <c r="AQ14" s="4"/>
      <c r="AR14" s="4"/>
      <c r="AS14" s="76" t="str">
        <f>"COMMENT ON COLUMN "&amp;エンティティ一覧!$O$2&amp;"."&amp;D$8&amp;"."&amp;D14&amp;" IS '"&amp;C14&amp;"';"</f>
        <v>COMMENT ON COLUMN milscm_2023_009.sny_202310_report1_shikkan.byomei IS '病名';</v>
      </c>
    </row>
    <row r="15" spans="1:45" s="25" customFormat="1">
      <c r="A15" s="4"/>
      <c r="B15" s="21">
        <f t="shared" si="2"/>
        <v>3</v>
      </c>
      <c r="C15" s="13" t="s">
        <v>4181</v>
      </c>
      <c r="D15" s="13" t="s">
        <v>1324</v>
      </c>
      <c r="E15" s="7"/>
      <c r="F15" s="7" t="s">
        <v>1780</v>
      </c>
      <c r="G15" s="7" t="str">
        <f t="shared" si="3"/>
        <v>text</v>
      </c>
      <c r="H15" s="58"/>
      <c r="I15" s="23"/>
      <c r="J15" s="24"/>
      <c r="M15" s="4"/>
      <c r="N15" s="76"/>
      <c r="O15" s="76"/>
      <c r="P15" s="76" t="str">
        <f t="shared" si="4"/>
        <v>,byomei_code</v>
      </c>
      <c r="Q15" s="76" t="str">
        <f t="shared" si="0"/>
        <v>TEXT</v>
      </c>
      <c r="R15" s="76" t="str">
        <f t="shared" si="1"/>
        <v/>
      </c>
      <c r="S15" s="76" t="str">
        <f t="shared" ref="S15:S21" si="5">IF(I15="○","NOT NULL","")</f>
        <v/>
      </c>
      <c r="T15" s="76" t="str">
        <f t="shared" ref="T15:T21" si="6">"-- "&amp;C15</f>
        <v>-- 病名コード値</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milscm_2023_009.sny_202310_report1_shikkan.byomei_code IS '病名コード値';</v>
      </c>
    </row>
    <row r="16" spans="1:45" s="25" customFormat="1">
      <c r="A16" s="4"/>
      <c r="B16" s="21">
        <f t="shared" si="2"/>
        <v>4</v>
      </c>
      <c r="C16" s="13" t="s">
        <v>4182</v>
      </c>
      <c r="D16" s="13" t="s">
        <v>1326</v>
      </c>
      <c r="E16" s="7"/>
      <c r="F16" s="7" t="s">
        <v>1780</v>
      </c>
      <c r="G16" s="7" t="str">
        <f t="shared" si="3"/>
        <v>text</v>
      </c>
      <c r="H16" s="58"/>
      <c r="I16" s="23"/>
      <c r="J16" s="24"/>
      <c r="M16" s="4"/>
      <c r="N16" s="76"/>
      <c r="O16" s="76"/>
      <c r="P16" s="76" t="str">
        <f t="shared" si="4"/>
        <v>,byomei_code_id</v>
      </c>
      <c r="Q16" s="76" t="str">
        <f t="shared" si="0"/>
        <v>TEXT</v>
      </c>
      <c r="R16" s="76" t="str">
        <f t="shared" si="1"/>
        <v/>
      </c>
      <c r="S16" s="76" t="str">
        <f t="shared" si="5"/>
        <v/>
      </c>
      <c r="T16" s="76" t="str">
        <f t="shared" si="6"/>
        <v>-- 病名コード体系名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milscm_2023_009.sny_202310_report1_shikkan.byomei_code_id IS '病名コード体系名';</v>
      </c>
    </row>
    <row r="17" spans="1:52" s="25" customFormat="1">
      <c r="A17" s="4"/>
      <c r="B17" s="21">
        <f t="shared" si="2"/>
        <v>5</v>
      </c>
      <c r="C17" s="13" t="s">
        <v>1303</v>
      </c>
      <c r="D17" s="13" t="s">
        <v>2789</v>
      </c>
      <c r="E17" s="7" t="s">
        <v>127</v>
      </c>
      <c r="F17" s="7" t="s">
        <v>1780</v>
      </c>
      <c r="G17" s="7" t="str">
        <f t="shared" si="3"/>
        <v>text</v>
      </c>
      <c r="H17" s="58"/>
      <c r="I17" s="23" t="s">
        <v>127</v>
      </c>
      <c r="J17" s="24"/>
      <c r="M17" s="4"/>
      <c r="N17" s="76"/>
      <c r="O17" s="76"/>
      <c r="P17" s="76" t="str">
        <f t="shared" si="4"/>
        <v>,start_date</v>
      </c>
      <c r="Q17" s="76" t="str">
        <f t="shared" si="0"/>
        <v>TEXT</v>
      </c>
      <c r="R17" s="76" t="str">
        <f t="shared" si="1"/>
        <v/>
      </c>
      <c r="S17" s="76" t="str">
        <f t="shared" si="5"/>
        <v>NOT NULL</v>
      </c>
      <c r="T17" s="76" t="str">
        <f t="shared" si="6"/>
        <v>-- 疾患開始日</v>
      </c>
      <c r="U17" s="4"/>
      <c r="AA17" s="4"/>
      <c r="AB17" s="4"/>
      <c r="AC17" s="4"/>
      <c r="AD17" s="4"/>
      <c r="AE17" s="4"/>
      <c r="AF17" s="4"/>
      <c r="AG17" s="4"/>
      <c r="AH17" s="4"/>
      <c r="AI17" s="4"/>
      <c r="AJ17" s="76" t="str">
        <f>IF(E17="○",IF(COUNTA(E$13:E17)=1,"",",")&amp;D17,"")</f>
        <v>,start_date</v>
      </c>
      <c r="AK17" s="4"/>
      <c r="AL17" s="4"/>
      <c r="AM17" s="4"/>
      <c r="AN17" s="4"/>
      <c r="AO17" s="4"/>
      <c r="AP17" s="4"/>
      <c r="AQ17" s="4"/>
      <c r="AR17" s="4"/>
      <c r="AS17" s="76" t="str">
        <f>"COMMENT ON COLUMN "&amp;エンティティ一覧!$O$2&amp;"."&amp;D$8&amp;"."&amp;D17&amp;" IS '"&amp;C17&amp;"';"</f>
        <v>COMMENT ON COLUMN milscm_2023_009.sny_202310_report1_shikkan.start_date IS '疾患開始日';</v>
      </c>
    </row>
    <row r="18" spans="1:52" s="25" customFormat="1">
      <c r="A18" s="4"/>
      <c r="B18" s="21">
        <f t="shared" si="2"/>
        <v>6</v>
      </c>
      <c r="C18" s="13" t="s">
        <v>1305</v>
      </c>
      <c r="D18" s="13" t="s">
        <v>2790</v>
      </c>
      <c r="E18" s="7" t="s">
        <v>127</v>
      </c>
      <c r="F18" s="7" t="s">
        <v>1780</v>
      </c>
      <c r="G18" s="7" t="str">
        <f t="shared" si="3"/>
        <v>text</v>
      </c>
      <c r="H18" s="58"/>
      <c r="I18" s="23" t="s">
        <v>127</v>
      </c>
      <c r="J18" s="24"/>
      <c r="M18" s="4"/>
      <c r="N18" s="76"/>
      <c r="O18" s="76"/>
      <c r="P18" s="76" t="str">
        <f t="shared" si="4"/>
        <v>,end_date</v>
      </c>
      <c r="Q18" s="76" t="str">
        <f t="shared" si="0"/>
        <v>TEXT</v>
      </c>
      <c r="R18" s="76" t="str">
        <f t="shared" si="1"/>
        <v/>
      </c>
      <c r="S18" s="76" t="str">
        <f t="shared" si="5"/>
        <v>NOT NULL</v>
      </c>
      <c r="T18" s="76" t="str">
        <f t="shared" si="6"/>
        <v>-- 疾患終了日</v>
      </c>
      <c r="U18" s="4"/>
      <c r="AA18" s="4"/>
      <c r="AB18" s="4"/>
      <c r="AC18" s="4"/>
      <c r="AD18" s="4"/>
      <c r="AE18" s="4"/>
      <c r="AF18" s="4"/>
      <c r="AG18" s="4"/>
      <c r="AH18" s="4"/>
      <c r="AI18" s="4"/>
      <c r="AJ18" s="76" t="str">
        <f>IF(E18="○",IF(COUNTA(E$13:E18)=1,"",",")&amp;D18,"")</f>
        <v>,end_date</v>
      </c>
      <c r="AK18" s="4"/>
      <c r="AL18" s="4"/>
      <c r="AM18" s="4"/>
      <c r="AN18" s="4"/>
      <c r="AO18" s="4"/>
      <c r="AP18" s="4"/>
      <c r="AQ18" s="4"/>
      <c r="AR18" s="4"/>
      <c r="AS18" s="76" t="str">
        <f>"COMMENT ON COLUMN "&amp;エンティティ一覧!$O$2&amp;"."&amp;D$8&amp;"."&amp;D18&amp;" IS '"&amp;C18&amp;"';"</f>
        <v>COMMENT ON COLUMN milscm_2023_009.sny_202310_report1_shikkan.end_date IS '疾患終了日';</v>
      </c>
    </row>
    <row r="19" spans="1:52" s="25" customFormat="1">
      <c r="A19" s="4"/>
      <c r="B19" s="21">
        <f t="shared" si="2"/>
        <v>7</v>
      </c>
      <c r="C19" s="13" t="s">
        <v>1307</v>
      </c>
      <c r="D19" s="13" t="s">
        <v>2791</v>
      </c>
      <c r="E19" s="7"/>
      <c r="F19" s="7" t="s">
        <v>1780</v>
      </c>
      <c r="G19" s="7" t="str">
        <f t="shared" si="3"/>
        <v>text</v>
      </c>
      <c r="H19" s="58"/>
      <c r="I19" s="23"/>
      <c r="J19" s="24"/>
      <c r="M19" s="4"/>
      <c r="N19" s="76"/>
      <c r="O19" s="76"/>
      <c r="P19" s="76" t="str">
        <f t="shared" si="4"/>
        <v>,outcome</v>
      </c>
      <c r="Q19" s="76" t="str">
        <f t="shared" si="0"/>
        <v>TEXT</v>
      </c>
      <c r="R19" s="76" t="str">
        <f t="shared" si="1"/>
        <v/>
      </c>
      <c r="S19" s="76" t="str">
        <f t="shared" si="5"/>
        <v/>
      </c>
      <c r="T19" s="76" t="str">
        <f t="shared" si="6"/>
        <v>-- 転帰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milscm_2023_009.sny_202310_report1_shikkan.outcome IS '転帰';</v>
      </c>
    </row>
    <row r="20" spans="1:52" s="25" customFormat="1">
      <c r="A20" s="4"/>
      <c r="B20" s="21">
        <f t="shared" si="2"/>
        <v>8</v>
      </c>
      <c r="C20" s="6" t="s">
        <v>3789</v>
      </c>
      <c r="D20" s="6" t="s">
        <v>3790</v>
      </c>
      <c r="E20" s="8"/>
      <c r="F20" s="7" t="s">
        <v>737</v>
      </c>
      <c r="G20" s="7" t="str">
        <f t="shared" si="3"/>
        <v>text</v>
      </c>
      <c r="H20" s="58"/>
      <c r="I20" s="23" t="s">
        <v>127</v>
      </c>
      <c r="J20" s="24"/>
      <c r="M20" s="4"/>
      <c r="N20" s="76"/>
      <c r="O20" s="76"/>
      <c r="P20" s="76" t="str">
        <f t="shared" si="4"/>
        <v>,disp_name</v>
      </c>
      <c r="Q20" s="76" t="str">
        <f t="shared" si="0"/>
        <v>TEXT</v>
      </c>
      <c r="R20" s="76" t="str">
        <f t="shared" si="1"/>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milscm_2023_009.sny_202310_report1_shikkan.disp_name IS '表示名';</v>
      </c>
    </row>
    <row r="21" spans="1:52" s="25" customFormat="1" ht="19.5" thickBot="1">
      <c r="A21" s="4"/>
      <c r="B21" s="27">
        <f>ROW()-12</f>
        <v>9</v>
      </c>
      <c r="C21" s="28" t="s">
        <v>4076</v>
      </c>
      <c r="D21" s="28" t="s">
        <v>4077</v>
      </c>
      <c r="E21" s="29"/>
      <c r="F21" s="56" t="s">
        <v>4281</v>
      </c>
      <c r="G21" s="56" t="str">
        <f t="shared" si="3"/>
        <v>boolean</v>
      </c>
      <c r="H21" s="59"/>
      <c r="I21" s="60"/>
      <c r="J21" s="64"/>
      <c r="N21" s="76"/>
      <c r="O21" s="76"/>
      <c r="P21" s="76" t="str">
        <f t="shared" si="4"/>
        <v>,main_f</v>
      </c>
      <c r="Q21" s="76" t="str">
        <f t="shared" si="0"/>
        <v>BOOLEAN</v>
      </c>
      <c r="R21" s="76" t="str">
        <f t="shared" si="1"/>
        <v/>
      </c>
      <c r="S21" s="76" t="str">
        <f t="shared" si="5"/>
        <v/>
      </c>
      <c r="T21" s="76" t="str">
        <f t="shared" si="6"/>
        <v>-- 主傷病フラグ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milscm_2023_009.sny_202310_report1_shikkan.main_f IS '主傷病フラグ';</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topLeftCell="B1" zoomScale="85" zoomScaleNormal="85" workbookViewId="0">
      <selection activeCell="P15" sqref="P15:P1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52</v>
      </c>
      <c r="E4" s="249"/>
      <c r="F4" s="249"/>
      <c r="G4" s="249"/>
      <c r="H4" s="249"/>
      <c r="I4" s="249"/>
      <c r="J4" s="250"/>
    </row>
    <row r="5" spans="1:45">
      <c r="B5" s="262" t="s">
        <v>3702</v>
      </c>
      <c r="C5" s="263"/>
      <c r="D5" s="272" t="str">
        <f>VLOOKUP(D7,エンティティ一覧!A1:'エンティティ一覧'!AM10204,7,FALSE)</f>
        <v>report1</v>
      </c>
      <c r="E5" s="273"/>
      <c r="F5" s="273"/>
      <c r="G5" s="273"/>
      <c r="H5" s="273"/>
      <c r="I5" s="273"/>
      <c r="J5" s="274"/>
    </row>
    <row r="6" spans="1:45">
      <c r="B6" s="262" t="s">
        <v>3703</v>
      </c>
      <c r="C6" s="263"/>
      <c r="D6" s="272" t="str">
        <f>VLOOKUP(D7,エンティティ一覧!A1:'エンティティ一覧'!AM10204,15,FALSE)</f>
        <v>ENT_52_03</v>
      </c>
      <c r="E6" s="273"/>
      <c r="F6" s="273"/>
      <c r="G6" s="273"/>
      <c r="H6" s="273"/>
      <c r="I6" s="273"/>
      <c r="J6" s="274"/>
    </row>
    <row r="7" spans="1:45">
      <c r="B7" s="262" t="s">
        <v>115</v>
      </c>
      <c r="C7" s="263"/>
      <c r="D7" s="264" t="s">
        <v>4583</v>
      </c>
      <c r="E7" s="265"/>
      <c r="F7" s="265"/>
      <c r="G7" s="265"/>
      <c r="H7" s="265"/>
      <c r="I7" s="265"/>
      <c r="J7" s="266"/>
    </row>
    <row r="8" spans="1:45">
      <c r="B8" s="262" t="s">
        <v>116</v>
      </c>
      <c r="C8" s="263"/>
      <c r="D8" s="264" t="str">
        <f>エンティティ一覧!AE2&amp;"_"&amp;D5&amp;"_chromosome"</f>
        <v>sny_202310_report1_chromosome</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milscm_2023_009.sny_202310_report1_chromosome;</v>
      </c>
      <c r="O10" s="76"/>
      <c r="P10" s="76"/>
      <c r="Q10" s="76"/>
      <c r="R10" s="76"/>
      <c r="S10" s="76"/>
      <c r="T10" s="76"/>
      <c r="AJ10" s="76" t="str">
        <f>"ALTER TABLE ONLY "&amp;エンティティ一覧!$O$2&amp;"."&amp;D$8</f>
        <v>ALTER TABLE ONLY milscm_2023_009.sny_202310_report1_chromosome</v>
      </c>
      <c r="AS10" s="76" t="str">
        <f>"ALTER TABLE "&amp;エンティティ一覧!$O$2&amp;"."&amp;D$8&amp;" OWNER TO pgmisgrp1;"</f>
        <v>ALTER TABLE milscm_2023_009.sny_202310_report1_chromosome OWNER TO pgmisgrp1;</v>
      </c>
    </row>
    <row r="11" spans="1:45" ht="19.5" thickBot="1">
      <c r="B11" s="20" t="s">
        <v>118</v>
      </c>
      <c r="C11" s="19"/>
      <c r="D11" s="5"/>
      <c r="E11" s="5"/>
      <c r="F11" s="5"/>
      <c r="G11" s="5"/>
      <c r="H11" s="5"/>
      <c r="I11" s="5"/>
      <c r="J11" s="18"/>
      <c r="N11" s="76" t="str">
        <f>"CREATE TABLE  "&amp;エンティティ一覧!$O$2&amp;"."&amp;D$8</f>
        <v>CREATE TABLE  milscm_2023_009.sny_202310_report1_chromosome</v>
      </c>
      <c r="O11" s="76"/>
      <c r="P11" s="76"/>
      <c r="Q11" s="76"/>
      <c r="R11" s="76"/>
      <c r="S11" s="76"/>
      <c r="T11" s="76"/>
      <c r="AJ11" s="76" t="str">
        <f>"ADD CONSTRAINT "&amp;D$8&amp;"_pkey PRIMARY KEY"</f>
        <v>ADD CONSTRAINT sny_202310_report1_chromosome_pkey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milscm_2023_009.sny_202310_report1_chromosome IS 'ステップ1報告_染色体情報';</v>
      </c>
    </row>
    <row r="13" spans="1:45" s="25" customFormat="1">
      <c r="A13" s="4"/>
      <c r="B13" s="21">
        <f>ROW()-12</f>
        <v>1</v>
      </c>
      <c r="C13" s="6" t="s">
        <v>4071</v>
      </c>
      <c r="D13" s="6" t="s">
        <v>4072</v>
      </c>
      <c r="E13" s="8" t="s">
        <v>127</v>
      </c>
      <c r="F13" s="8" t="s">
        <v>1780</v>
      </c>
      <c r="G13" s="7" t="str">
        <f>IF(F13="フラグ","boolean",IF(F13="文字列","text",IF(F13="整数","integer",IF(F13="実数","numeric",""))))</f>
        <v>text</v>
      </c>
      <c r="H13" s="9"/>
      <c r="I13" s="10" t="s">
        <v>127</v>
      </c>
      <c r="J13" s="11"/>
      <c r="M13" s="4"/>
      <c r="N13" s="76"/>
      <c r="O13" s="76"/>
      <c r="P13" s="76" t="str">
        <f>IF(B13&lt;&gt;1,","&amp;D13,D13)</f>
        <v>mask_id</v>
      </c>
      <c r="Q13" s="76" t="str">
        <f t="shared" ref="Q13:Q17" si="0">UPPER(G13)</f>
        <v>TEXT</v>
      </c>
      <c r="R13" s="76" t="str">
        <f t="shared" ref="R13:R17"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milscm_2023_009.sny_202310_report1_chromosome.mask_id IS 'マスクID';</v>
      </c>
    </row>
    <row r="14" spans="1:45" s="25" customFormat="1">
      <c r="A14" s="4"/>
      <c r="B14" s="21">
        <f t="shared" ref="B14:B17" si="2">ROW()-12</f>
        <v>2</v>
      </c>
      <c r="C14" s="13" t="s">
        <v>4499</v>
      </c>
      <c r="D14" s="13" t="s">
        <v>1523</v>
      </c>
      <c r="E14" s="8" t="s">
        <v>127</v>
      </c>
      <c r="F14" s="7" t="s">
        <v>1780</v>
      </c>
      <c r="G14" s="7" t="str">
        <f t="shared" ref="G14" si="3">IF(F14="フラグ","boolean",IF(F14="文字列","text",IF(F14="整数","integer",IF(F14="実数","numeric",""))))</f>
        <v>text</v>
      </c>
      <c r="H14" s="58"/>
      <c r="I14" s="23" t="s">
        <v>127</v>
      </c>
      <c r="J14" s="24" t="s">
        <v>4572</v>
      </c>
      <c r="M14" s="4"/>
      <c r="N14" s="76"/>
      <c r="O14" s="76"/>
      <c r="P14" s="76" t="str">
        <f t="shared" ref="P14" si="4">IF(B14&lt;&gt;1,","&amp;D14,D14)</f>
        <v>,event_date</v>
      </c>
      <c r="Q14" s="76" t="str">
        <f t="shared" ref="Q14" si="5">UPPER(G14)</f>
        <v>TEXT</v>
      </c>
      <c r="R14" s="76" t="str">
        <f t="shared" ref="R14" si="6">IF(H14&lt;&gt;"","default "&amp;IF(G14="text","'"&amp;H14&amp;"'",H14),"")</f>
        <v/>
      </c>
      <c r="S14" s="76" t="str">
        <f t="shared" ref="S14" si="7">IF(I14="○","NOT NULL","")</f>
        <v>NOT NULL</v>
      </c>
      <c r="T14" s="76" t="str">
        <f t="shared" ref="T14" si="8">"-- "&amp;C14</f>
        <v>-- イベント日付</v>
      </c>
      <c r="U14" s="4"/>
      <c r="AA14" s="4"/>
      <c r="AB14" s="4"/>
      <c r="AC14" s="4"/>
      <c r="AD14" s="4"/>
      <c r="AE14" s="4"/>
      <c r="AF14" s="4"/>
      <c r="AG14" s="4"/>
      <c r="AH14" s="4"/>
      <c r="AI14" s="4"/>
      <c r="AJ14" s="76" t="str">
        <f>IF(E14="○",IF(COUNTA(E$13:E14)=1,"",",")&amp;D14,"")</f>
        <v>,event_date</v>
      </c>
      <c r="AK14" s="4"/>
      <c r="AL14" s="4"/>
      <c r="AM14" s="4"/>
      <c r="AN14" s="4"/>
      <c r="AO14" s="4"/>
      <c r="AP14" s="4"/>
      <c r="AQ14" s="4"/>
      <c r="AR14" s="4"/>
      <c r="AS14" s="76" t="str">
        <f>"COMMENT ON COLUMN "&amp;エンティティ一覧!$O$2&amp;"."&amp;D$8&amp;"."&amp;D14&amp;" IS '"&amp;C14&amp;"';"</f>
        <v>COMMENT ON COLUMN milscm_2023_009.sny_202310_report1_chromosome.event_date IS 'イベント日付';</v>
      </c>
    </row>
    <row r="15" spans="1:45" s="25" customFormat="1">
      <c r="A15" s="4"/>
      <c r="B15" s="21">
        <f t="shared" si="2"/>
        <v>3</v>
      </c>
      <c r="C15" s="13" t="s">
        <v>4574</v>
      </c>
      <c r="D15" s="13" t="s">
        <v>4575</v>
      </c>
      <c r="E15" s="7"/>
      <c r="F15" s="7" t="s">
        <v>1780</v>
      </c>
      <c r="G15" s="7" t="str">
        <f t="shared" ref="G15:G17" si="9">IF(F15="フラグ","boolean",IF(F15="文字列","text",IF(F15="整数","integer",IF(F15="実数","numeric",""))))</f>
        <v>text</v>
      </c>
      <c r="H15" s="58"/>
      <c r="I15" s="23" t="s">
        <v>127</v>
      </c>
      <c r="J15" s="24" t="s">
        <v>4573</v>
      </c>
      <c r="M15" s="4"/>
      <c r="N15" s="76"/>
      <c r="O15" s="76"/>
      <c r="P15" s="76" t="str">
        <f t="shared" ref="P15:P17" si="10">IF(B15&lt;&gt;1,","&amp;D15,D15)</f>
        <v>,tp53</v>
      </c>
      <c r="Q15" s="76" t="str">
        <f t="shared" si="0"/>
        <v>TEXT</v>
      </c>
      <c r="R15" s="76" t="str">
        <f t="shared" si="1"/>
        <v/>
      </c>
      <c r="S15" s="76" t="str">
        <f t="shared" ref="S15:S17" si="11">IF(I15="○","NOT NULL","")</f>
        <v>NOT NULL</v>
      </c>
      <c r="T15" s="76" t="str">
        <f t="shared" ref="T15:T17" si="12">"-- "&amp;C15</f>
        <v>-- del（１７ｐ）</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milscm_2023_009.sny_202310_report1_chromosome.tp53 IS 'del（１７ｐ）';</v>
      </c>
    </row>
    <row r="16" spans="1:45" s="25" customFormat="1">
      <c r="A16" s="4"/>
      <c r="B16" s="21">
        <f t="shared" si="2"/>
        <v>4</v>
      </c>
      <c r="C16" s="13" t="s">
        <v>4576</v>
      </c>
      <c r="D16" s="13" t="s">
        <v>4577</v>
      </c>
      <c r="E16" s="7"/>
      <c r="F16" s="7" t="s">
        <v>1780</v>
      </c>
      <c r="G16" s="7" t="str">
        <f t="shared" si="9"/>
        <v>text</v>
      </c>
      <c r="H16" s="58"/>
      <c r="I16" s="23" t="s">
        <v>127</v>
      </c>
      <c r="J16" s="24" t="s">
        <v>4573</v>
      </c>
      <c r="M16" s="4"/>
      <c r="N16" s="76"/>
      <c r="O16" s="76"/>
      <c r="P16" s="76" t="str">
        <f t="shared" si="10"/>
        <v>,igh_fgfr3</v>
      </c>
      <c r="Q16" s="76" t="str">
        <f t="shared" si="0"/>
        <v>TEXT</v>
      </c>
      <c r="R16" s="76" t="str">
        <f t="shared" si="1"/>
        <v/>
      </c>
      <c r="S16" s="76" t="str">
        <f t="shared" si="11"/>
        <v>NOT NULL</v>
      </c>
      <c r="T16" s="76" t="str">
        <f t="shared" si="12"/>
        <v>-- t（４；１４）</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milscm_2023_009.sny_202310_report1_chromosome.igh_fgfr3 IS 't（４；１４）';</v>
      </c>
    </row>
    <row r="17" spans="1:52" s="25" customFormat="1">
      <c r="A17" s="4"/>
      <c r="B17" s="21">
        <f t="shared" si="2"/>
        <v>5</v>
      </c>
      <c r="C17" s="6" t="s">
        <v>4580</v>
      </c>
      <c r="D17" s="6" t="s">
        <v>4581</v>
      </c>
      <c r="E17" s="8"/>
      <c r="F17" s="7" t="s">
        <v>737</v>
      </c>
      <c r="G17" s="7" t="str">
        <f t="shared" si="9"/>
        <v>text</v>
      </c>
      <c r="H17" s="58"/>
      <c r="I17" s="23" t="s">
        <v>127</v>
      </c>
      <c r="J17" s="24" t="s">
        <v>4573</v>
      </c>
      <c r="M17" s="4"/>
      <c r="N17" s="76"/>
      <c r="O17" s="76"/>
      <c r="P17" s="76" t="str">
        <f t="shared" si="10"/>
        <v>,igh_maf</v>
      </c>
      <c r="Q17" s="76" t="str">
        <f t="shared" si="0"/>
        <v>TEXT</v>
      </c>
      <c r="R17" s="76" t="str">
        <f t="shared" si="1"/>
        <v/>
      </c>
      <c r="S17" s="76" t="str">
        <f t="shared" si="11"/>
        <v>NOT NULL</v>
      </c>
      <c r="T17" s="76" t="str">
        <f t="shared" si="12"/>
        <v>-- t（１４；１６）</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milscm_2023_009.sny_202310_report1_chromosome.igh_maf IS 't（１４；１６）';</v>
      </c>
    </row>
    <row r="18" spans="1:52" s="25" customFormat="1" ht="19.5" thickBot="1">
      <c r="A18" s="4"/>
      <c r="B18" s="27">
        <f>ROW()-12</f>
        <v>6</v>
      </c>
      <c r="C18" s="28" t="s">
        <v>4578</v>
      </c>
      <c r="D18" s="28" t="s">
        <v>4579</v>
      </c>
      <c r="E18" s="29"/>
      <c r="F18" s="56" t="s">
        <v>737</v>
      </c>
      <c r="G18" s="56" t="str">
        <f>IF(F18="フラグ","boolean",IF(F18="文字列","text",IF(F18="整数","integer",IF(F18="実数","numeric",""))))</f>
        <v>text</v>
      </c>
      <c r="H18" s="59"/>
      <c r="I18" s="60" t="s">
        <v>127</v>
      </c>
      <c r="J18" s="64" t="s">
        <v>4573</v>
      </c>
      <c r="N18" s="76"/>
      <c r="O18" s="76"/>
      <c r="P18" s="76" t="str">
        <f>IF(B18&lt;&gt;1,","&amp;D18,D18)</f>
        <v>,gain_1q21</v>
      </c>
      <c r="Q18" s="76" t="str">
        <f>UPPER(G18)</f>
        <v>TEXT</v>
      </c>
      <c r="R18" s="76" t="str">
        <f>IF(H18&lt;&gt;"","default "&amp;IF(G18="text","'"&amp;H18&amp;"'",H18),"")</f>
        <v/>
      </c>
      <c r="S18" s="76" t="str">
        <f>IF(I18="○","NOT NULL","")</f>
        <v>NOT NULL</v>
      </c>
      <c r="T18" s="76" t="str">
        <f>"-- "&amp;C18</f>
        <v>-- 1q21＋</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milscm_2023_009.sny_202310_report1_chromosome.gain_1q21 IS '1q21＋';</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topLeftCell="F5" zoomScale="85" zoomScaleNormal="85" workbookViewId="0">
      <selection activeCell="AS10" sqref="AS10:AS1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ENT_61_01</v>
      </c>
      <c r="E6" s="273"/>
      <c r="F6" s="273"/>
      <c r="G6" s="273"/>
      <c r="H6" s="273"/>
      <c r="I6" s="273"/>
      <c r="J6" s="274"/>
    </row>
    <row r="7" spans="1:45">
      <c r="B7" s="262" t="s">
        <v>115</v>
      </c>
      <c r="C7" s="263"/>
      <c r="D7" s="264" t="s">
        <v>4440</v>
      </c>
      <c r="E7" s="265"/>
      <c r="F7" s="265"/>
      <c r="G7" s="265"/>
      <c r="H7" s="265"/>
      <c r="I7" s="265"/>
      <c r="J7" s="266"/>
    </row>
    <row r="8" spans="1:45">
      <c r="B8" s="262" t="s">
        <v>116</v>
      </c>
      <c r="C8" s="263"/>
      <c r="D8" s="264" t="str">
        <f>エンティティ一覧!AE2&amp;"_"&amp;D5&amp;"_patient_basic"</f>
        <v>sny_202310_annony_patient_basic</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milscm_2023_009.sny_202310_annony_patient_basic;</v>
      </c>
      <c r="O10" s="76"/>
      <c r="P10" s="76"/>
      <c r="Q10" s="76"/>
      <c r="R10" s="76"/>
      <c r="S10" s="76"/>
      <c r="T10" s="76"/>
      <c r="AJ10" s="76" t="str">
        <f>"ALTER TABLE ONLY "&amp;エンティティ一覧!$O$2&amp;"."&amp;D$8</f>
        <v>ALTER TABLE ONLY milscm_2023_009.sny_202310_annony_patient_basic</v>
      </c>
      <c r="AS10" s="76" t="str">
        <f>"ALTER TABLE "&amp;エンティティ一覧!$O$2&amp;"."&amp;D$8&amp;" OWNER TO pgmisgrp1;"</f>
        <v>ALTER TABLE milscm_2023_009.sny_202310_annony_patient_basic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milscm_2023_009.sny_202310_annony_patient_basic</v>
      </c>
      <c r="O11" s="76"/>
      <c r="P11" s="76"/>
      <c r="Q11" s="76"/>
      <c r="R11" s="76"/>
      <c r="S11" s="76"/>
      <c r="T11" s="76"/>
      <c r="AJ11" s="76" t="str">
        <f>"ADD CONSTRAINT "&amp;D$8&amp;"_pkey PRIMARY KEY"</f>
        <v>ADD CONSTRAINT sny_202310_annony_patient_basic_pkey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milscm_2023_009.sny_202310_annony_patient_basic IS '匿名化_患者情報';</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9" si="0">UPPER(G13)</f>
        <v>TEXT</v>
      </c>
      <c r="R13" s="76" t="str">
        <f t="shared" ref="R13:R19"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milscm_2023_009.sny_202310_annony_patient_basic.mask_id IS 'マスクID';</v>
      </c>
    </row>
    <row r="14" spans="1:45" s="25" customFormat="1" ht="37.5">
      <c r="A14" s="4"/>
      <c r="B14" s="21">
        <f t="shared" ref="B14:B18" si="2">ROW()-12</f>
        <v>2</v>
      </c>
      <c r="C14" s="13" t="s">
        <v>4177</v>
      </c>
      <c r="D14" s="13" t="s">
        <v>945</v>
      </c>
      <c r="E14" s="7"/>
      <c r="F14" s="7" t="s">
        <v>1780</v>
      </c>
      <c r="G14" s="7" t="str">
        <f t="shared" ref="G14:G16" si="3">IF(F14="フラグ","boolean",IF(F14="文字列","text",IF(F14="整数","integer",IF(F14="実数","numeric",""))))</f>
        <v>text</v>
      </c>
      <c r="H14" s="58"/>
      <c r="I14" s="23" t="s">
        <v>127</v>
      </c>
      <c r="J14" s="24" t="s">
        <v>4442</v>
      </c>
      <c r="M14" s="4"/>
      <c r="N14" s="76"/>
      <c r="O14" s="76"/>
      <c r="P14" s="76" t="str">
        <f t="shared" ref="P14:P19" si="4">IF(B14&lt;&gt;1,","&amp;D14,D14)</f>
        <v>,sex_kubun</v>
      </c>
      <c r="Q14" s="76" t="str">
        <f t="shared" si="0"/>
        <v>TEXT</v>
      </c>
      <c r="R14" s="76" t="str">
        <f t="shared" si="1"/>
        <v/>
      </c>
      <c r="S14" s="76" t="str">
        <f t="shared" ref="S14:S19" si="5">IF(I14="○","NOT NULL","")</f>
        <v>NOT NULL</v>
      </c>
      <c r="T14" s="76" t="str">
        <f t="shared" ref="T14:T19" si="6">"-- "&amp;C14</f>
        <v>-- 男女区分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milscm_2023_009.sny_202310_annony_patient_basic.sex_kubun IS '男女区分';</v>
      </c>
    </row>
    <row r="15" spans="1:45" s="25" customFormat="1">
      <c r="A15" s="4"/>
      <c r="B15" s="21">
        <f t="shared" si="2"/>
        <v>3</v>
      </c>
      <c r="C15" s="13" t="s">
        <v>4654</v>
      </c>
      <c r="D15" s="13" t="s">
        <v>4653</v>
      </c>
      <c r="E15" s="7"/>
      <c r="F15" s="7" t="s">
        <v>4302</v>
      </c>
      <c r="G15" s="7" t="str">
        <f t="shared" ref="G15" si="7">IF(F15="フラグ","boolean",IF(F15="文字列","text",IF(F15="整数","integer",IF(F15="実数","numeric",""))))</f>
        <v>integer</v>
      </c>
      <c r="H15" s="58"/>
      <c r="I15" s="23" t="s">
        <v>127</v>
      </c>
      <c r="J15" s="24"/>
      <c r="M15" s="4"/>
      <c r="N15" s="76"/>
      <c r="O15" s="76"/>
      <c r="P15" s="76" t="str">
        <f t="shared" ref="P15" si="8">IF(B15&lt;&gt;1,","&amp;D15,D15)</f>
        <v>,age_bef</v>
      </c>
      <c r="Q15" s="76" t="str">
        <f t="shared" ref="Q15" si="9">UPPER(G15)</f>
        <v>INTEGER</v>
      </c>
      <c r="R15" s="76" t="str">
        <f t="shared" ref="R15" si="10">IF(H15&lt;&gt;"","default "&amp;IF(G15="text","'"&amp;H15&amp;"'",H15),"")</f>
        <v/>
      </c>
      <c r="S15" s="76" t="str">
        <f t="shared" ref="S15" si="11">IF(I15="○","NOT NULL","")</f>
        <v>NOT NULL</v>
      </c>
      <c r="T15" s="76" t="str">
        <f t="shared" ref="T15" si="12">"-- "&amp;C15</f>
        <v>-- 年齢_加工前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milscm_2023_009.sny_202310_annony_patient_basic.age_bef IS '年齢_加工前';</v>
      </c>
    </row>
    <row r="16" spans="1:45" s="25" customFormat="1" ht="93.75">
      <c r="A16" s="4"/>
      <c r="B16" s="21">
        <f t="shared" si="2"/>
        <v>4</v>
      </c>
      <c r="C16" s="13" t="s">
        <v>4316</v>
      </c>
      <c r="D16" s="13" t="s">
        <v>4315</v>
      </c>
      <c r="E16" s="7"/>
      <c r="F16" s="7" t="s">
        <v>1780</v>
      </c>
      <c r="G16" s="7" t="str">
        <f t="shared" si="3"/>
        <v>text</v>
      </c>
      <c r="H16" s="58"/>
      <c r="I16" s="23" t="s">
        <v>127</v>
      </c>
      <c r="J16" s="24" t="s">
        <v>4570</v>
      </c>
      <c r="M16" s="4"/>
      <c r="N16" s="76"/>
      <c r="O16" s="76"/>
      <c r="P16" s="76" t="str">
        <f t="shared" si="4"/>
        <v>,age</v>
      </c>
      <c r="Q16" s="76" t="str">
        <f t="shared" si="0"/>
        <v>TEXT</v>
      </c>
      <c r="R16" s="76" t="str">
        <f t="shared" si="1"/>
        <v/>
      </c>
      <c r="S16" s="76" t="str">
        <f t="shared" si="5"/>
        <v>NOT NULL</v>
      </c>
      <c r="T16" s="76" t="str">
        <f t="shared" si="6"/>
        <v>-- 年齢</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milscm_2023_009.sny_202310_annony_patient_basic.age IS '年齢';</v>
      </c>
    </row>
    <row r="17" spans="1:52" s="25" customFormat="1">
      <c r="A17" s="4"/>
      <c r="B17" s="21">
        <f t="shared" si="2"/>
        <v>5</v>
      </c>
      <c r="C17" s="13" t="s">
        <v>4317</v>
      </c>
      <c r="D17" s="13" t="s">
        <v>4297</v>
      </c>
      <c r="E17" s="7"/>
      <c r="F17" s="7" t="s">
        <v>4216</v>
      </c>
      <c r="G17" s="7" t="s">
        <v>4571</v>
      </c>
      <c r="H17" s="58"/>
      <c r="I17" s="23" t="s">
        <v>127</v>
      </c>
      <c r="J17" s="24"/>
      <c r="M17" s="4"/>
      <c r="N17" s="76"/>
      <c r="O17" s="76"/>
      <c r="P17" s="76" t="str">
        <f t="shared" si="4"/>
        <v>,kansatsu_start_date</v>
      </c>
      <c r="Q17" s="76" t="str">
        <f t="shared" si="0"/>
        <v>DATE</v>
      </c>
      <c r="R17" s="76" t="str">
        <f t="shared" si="1"/>
        <v/>
      </c>
      <c r="S17" s="76" t="str">
        <f t="shared" si="5"/>
        <v>NOT NULL</v>
      </c>
      <c r="T17" s="76" t="str">
        <f t="shared" si="6"/>
        <v>-- 観察開始日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milscm_2023_009.sny_202310_annony_patient_basic.kansatsu_start_date IS '観察開始日';</v>
      </c>
    </row>
    <row r="18" spans="1:52" s="25" customFormat="1">
      <c r="A18" s="4"/>
      <c r="B18" s="21">
        <f t="shared" si="2"/>
        <v>6</v>
      </c>
      <c r="C18" s="13" t="s">
        <v>4318</v>
      </c>
      <c r="D18" s="13" t="s">
        <v>4298</v>
      </c>
      <c r="E18" s="7"/>
      <c r="F18" s="7" t="s">
        <v>4216</v>
      </c>
      <c r="G18" s="7" t="s">
        <v>25</v>
      </c>
      <c r="H18" s="58"/>
      <c r="I18" s="23" t="s">
        <v>127</v>
      </c>
      <c r="J18" s="24"/>
      <c r="M18" s="4"/>
      <c r="N18" s="76"/>
      <c r="O18" s="76"/>
      <c r="P18" s="76" t="str">
        <f t="shared" si="4"/>
        <v>,kansatsu_end_date</v>
      </c>
      <c r="Q18" s="76" t="str">
        <f t="shared" si="0"/>
        <v>DATE</v>
      </c>
      <c r="R18" s="76" t="str">
        <f t="shared" si="1"/>
        <v/>
      </c>
      <c r="S18" s="76" t="str">
        <f t="shared" si="5"/>
        <v>NOT NULL</v>
      </c>
      <c r="T18" s="76" t="str">
        <f t="shared" si="6"/>
        <v>-- 観察終了日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milscm_2023_009.sny_202310_annony_patient_basic.kansatsu_end_date IS '観察終了日';</v>
      </c>
    </row>
    <row r="19" spans="1:52" s="25" customFormat="1" ht="32.25" thickBot="1">
      <c r="A19" s="4"/>
      <c r="B19" s="27">
        <f>ROW()-12</f>
        <v>7</v>
      </c>
      <c r="C19" s="57" t="s">
        <v>4319</v>
      </c>
      <c r="D19" s="57" t="s">
        <v>4320</v>
      </c>
      <c r="E19" s="56"/>
      <c r="F19" s="56" t="s">
        <v>4216</v>
      </c>
      <c r="G19" s="56" t="s">
        <v>25</v>
      </c>
      <c r="H19" s="59"/>
      <c r="I19" s="60" t="s">
        <v>127</v>
      </c>
      <c r="J19" s="64"/>
      <c r="N19" s="76"/>
      <c r="O19" s="76"/>
      <c r="P19" s="76" t="str">
        <f t="shared" si="4"/>
        <v>,main_diagnosis_start_date</v>
      </c>
      <c r="Q19" s="76" t="str">
        <f t="shared" si="0"/>
        <v>DATE</v>
      </c>
      <c r="R19" s="76" t="str">
        <f t="shared" si="1"/>
        <v/>
      </c>
      <c r="S19" s="76" t="str">
        <f t="shared" si="5"/>
        <v>NOT NULL</v>
      </c>
      <c r="T19" s="76" t="str">
        <f t="shared" si="6"/>
        <v>-- 主傷病開始日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milscm_2023_009.sny_202310_annony_patient_basic.main_diagnosis_start_date IS '主傷病開始日';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topLeftCell="A1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ENT_61_02</v>
      </c>
      <c r="E6" s="273"/>
      <c r="F6" s="273"/>
      <c r="G6" s="273"/>
      <c r="H6" s="273"/>
      <c r="I6" s="273"/>
      <c r="J6" s="274"/>
    </row>
    <row r="7" spans="1:45">
      <c r="B7" s="262" t="s">
        <v>115</v>
      </c>
      <c r="C7" s="263"/>
      <c r="D7" s="264" t="s">
        <v>4446</v>
      </c>
      <c r="E7" s="265"/>
      <c r="F7" s="265"/>
      <c r="G7" s="265"/>
      <c r="H7" s="265"/>
      <c r="I7" s="265"/>
      <c r="J7" s="266"/>
    </row>
    <row r="8" spans="1:45">
      <c r="B8" s="262" t="s">
        <v>116</v>
      </c>
      <c r="C8" s="263"/>
      <c r="D8" s="264" t="str">
        <f>エンティティ一覧!AE2&amp;"_"&amp;D5&amp;"_shikkan"</f>
        <v>sny_202310_annony_shikkan</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milscm_2023_009.sny_202310_annony_shikkan;</v>
      </c>
      <c r="O10" s="76"/>
      <c r="P10" s="76"/>
      <c r="Q10" s="76"/>
      <c r="R10" s="76"/>
      <c r="S10" s="76"/>
      <c r="T10" s="76"/>
      <c r="AJ10" s="76" t="str">
        <f>"ALTER TABLE ONLY "&amp;エンティティ一覧!$O$2&amp;"."&amp;D$8</f>
        <v>ALTER TABLE ONLY milscm_2023_009.sny_202310_annony_shikkan</v>
      </c>
      <c r="AS10" s="76" t="str">
        <f>"ALTER TABLE "&amp;エンティティ一覧!$O$2&amp;"."&amp;D$8&amp;" OWNER TO pgmisgrp1;"</f>
        <v>ALTER TABLE milscm_2023_009.sny_202310_annony_shikkan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milscm_2023_009.sny_202310_annony_shikkan</v>
      </c>
      <c r="O11" s="76"/>
      <c r="P11" s="76"/>
      <c r="Q11" s="76"/>
      <c r="R11" s="76"/>
      <c r="S11" s="76"/>
      <c r="T11" s="76"/>
      <c r="AJ11" s="76" t="str">
        <f>"ADD CONSTRAINT "&amp;D$8&amp;"_pkey PRIMARY KEY"</f>
        <v>ADD CONSTRAINT sny_202310_annony_shikkan_pkey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milscm_2023_009.sny_202310_annony_shikkan IS '匿名化_併発疾患情報';</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30" si="0">UPPER(G13)</f>
        <v>TEXT</v>
      </c>
      <c r="R13" s="76" t="str">
        <f t="shared" ref="R13:R30"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milscm_2023_009.sny_202310_annony_shikkan.mask_id IS 'マスクID';</v>
      </c>
    </row>
    <row r="14" spans="1:45" s="25" customFormat="1" ht="31.5">
      <c r="A14" s="4"/>
      <c r="B14" s="21">
        <f t="shared" ref="B14:B29" si="2">ROW()-12</f>
        <v>2</v>
      </c>
      <c r="C14" s="13" t="s">
        <v>4447</v>
      </c>
      <c r="D14" s="13" t="s">
        <v>4464</v>
      </c>
      <c r="E14" s="8"/>
      <c r="F14" s="7" t="s">
        <v>4348</v>
      </c>
      <c r="G14" s="7" t="s">
        <v>99</v>
      </c>
      <c r="H14" s="58"/>
      <c r="I14" s="23"/>
      <c r="J14" s="24" t="s">
        <v>4554</v>
      </c>
      <c r="M14" s="4"/>
      <c r="N14" s="76"/>
      <c r="O14" s="76"/>
      <c r="P14" s="76" t="str">
        <f t="shared" ref="P14:P30" si="3">IF(B14&lt;&gt;1,","&amp;D14,D14)</f>
        <v>,myocardial_infarction_start_date</v>
      </c>
      <c r="Q14" s="76" t="str">
        <f t="shared" si="0"/>
        <v>DATE</v>
      </c>
      <c r="R14" s="76" t="str">
        <f t="shared" si="1"/>
        <v/>
      </c>
      <c r="S14" s="76" t="str">
        <f t="shared" ref="S14:S30" si="4">IF(I14="○","NOT NULL","")</f>
        <v/>
      </c>
      <c r="T14" s="76" t="str">
        <f t="shared" ref="T14:T30" si="5">"-- "&amp;C14</f>
        <v>-- 心筋梗塞_疾患開始日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milscm_2023_009.sny_202310_annony_shikkan.myocardial_infarction_start_date IS '心筋梗塞_疾患開始日';</v>
      </c>
    </row>
    <row r="15" spans="1:45" s="25" customFormat="1" ht="31.5">
      <c r="A15" s="4"/>
      <c r="B15" s="21">
        <f t="shared" si="2"/>
        <v>3</v>
      </c>
      <c r="C15" s="13" t="s">
        <v>4448</v>
      </c>
      <c r="D15" s="13" t="s">
        <v>4465</v>
      </c>
      <c r="E15" s="8"/>
      <c r="F15" s="7" t="s">
        <v>4348</v>
      </c>
      <c r="G15" s="7" t="s">
        <v>25</v>
      </c>
      <c r="H15" s="58"/>
      <c r="I15" s="23"/>
      <c r="J15" s="24" t="s">
        <v>4479</v>
      </c>
      <c r="M15" s="4"/>
      <c r="N15" s="76"/>
      <c r="O15" s="76"/>
      <c r="P15" s="76" t="str">
        <f t="shared" ref="P15:P16" si="6">IF(B15&lt;&gt;1,","&amp;D15,D15)</f>
        <v>,congestive_heart_failure_start_date</v>
      </c>
      <c r="Q15" s="76" t="str">
        <f t="shared" ref="Q15:Q16" si="7">UPPER(G15)</f>
        <v>DATE</v>
      </c>
      <c r="R15" s="76" t="str">
        <f t="shared" ref="R15:R16" si="8">IF(H15&lt;&gt;"","default "&amp;IF(G15="text","'"&amp;H15&amp;"'",H15),"")</f>
        <v/>
      </c>
      <c r="S15" s="76" t="str">
        <f t="shared" ref="S15:S16" si="9">IF(I15="○","NOT NULL","")</f>
        <v/>
      </c>
      <c r="T15" s="76" t="str">
        <f t="shared" ref="T15:T16" si="10">"-- "&amp;C15</f>
        <v>-- うっ血性心不全_疾患開始日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milscm_2023_009.sny_202310_annony_shikkan.congestive_heart_failure_start_date IS 'うっ血性心不全_疾患開始日';</v>
      </c>
    </row>
    <row r="16" spans="1:45" s="25" customFormat="1" ht="31.5">
      <c r="A16" s="4"/>
      <c r="B16" s="21">
        <f t="shared" si="2"/>
        <v>4</v>
      </c>
      <c r="C16" s="13" t="s">
        <v>4449</v>
      </c>
      <c r="D16" s="13" t="s">
        <v>4466</v>
      </c>
      <c r="E16" s="8"/>
      <c r="F16" s="7" t="s">
        <v>4348</v>
      </c>
      <c r="G16" s="7" t="s">
        <v>25</v>
      </c>
      <c r="H16" s="58"/>
      <c r="I16" s="23"/>
      <c r="J16" s="24" t="s">
        <v>4480</v>
      </c>
      <c r="M16" s="4"/>
      <c r="N16" s="76"/>
      <c r="O16" s="76"/>
      <c r="P16" s="76" t="str">
        <f t="shared" si="6"/>
        <v>,peripheral_vascular_start_date</v>
      </c>
      <c r="Q16" s="76" t="str">
        <f t="shared" si="7"/>
        <v>DATE</v>
      </c>
      <c r="R16" s="76" t="str">
        <f t="shared" si="8"/>
        <v/>
      </c>
      <c r="S16" s="76" t="str">
        <f t="shared" si="9"/>
        <v/>
      </c>
      <c r="T16" s="76" t="str">
        <f t="shared" si="10"/>
        <v>-- 末梢動脈疾患_疾患開始日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milscm_2023_009.sny_202310_annony_shikkan.peripheral_vascular_start_date IS '末梢動脈疾患_疾患開始日';</v>
      </c>
    </row>
    <row r="17" spans="1:52" s="25" customFormat="1" ht="31.5">
      <c r="A17" s="4"/>
      <c r="B17" s="21">
        <f t="shared" si="2"/>
        <v>5</v>
      </c>
      <c r="C17" s="13" t="s">
        <v>4450</v>
      </c>
      <c r="D17" s="13" t="s">
        <v>4467</v>
      </c>
      <c r="E17" s="8"/>
      <c r="F17" s="7" t="s">
        <v>4348</v>
      </c>
      <c r="G17" s="7" t="s">
        <v>25</v>
      </c>
      <c r="H17" s="58"/>
      <c r="I17" s="23"/>
      <c r="J17" s="24" t="s">
        <v>4481</v>
      </c>
      <c r="M17" s="4"/>
      <c r="N17" s="76"/>
      <c r="O17" s="76"/>
      <c r="P17" s="76" t="str">
        <f t="shared" ref="P17:P20" si="11">IF(B17&lt;&gt;1,","&amp;D17,D17)</f>
        <v>,cerebrovascular_disease_start_date</v>
      </c>
      <c r="Q17" s="76" t="str">
        <f t="shared" ref="Q17:Q20" si="12">UPPER(G17)</f>
        <v>DATE</v>
      </c>
      <c r="R17" s="76" t="str">
        <f t="shared" ref="R17:R20" si="13">IF(H17&lt;&gt;"","default "&amp;IF(G17="text","'"&amp;H17&amp;"'",H17),"")</f>
        <v/>
      </c>
      <c r="S17" s="76" t="str">
        <f t="shared" ref="S17:S20" si="14">IF(I17="○","NOT NULL","")</f>
        <v/>
      </c>
      <c r="T17" s="76" t="str">
        <f t="shared" ref="T17:T20" si="15">"-- "&amp;C17</f>
        <v>-- 脳血管障害_疾患開始日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milscm_2023_009.sny_202310_annony_shikkan.cerebrovascular_disease_start_date IS '脳血管障害_疾患開始日';</v>
      </c>
    </row>
    <row r="18" spans="1:52" s="25" customFormat="1">
      <c r="A18" s="4"/>
      <c r="B18" s="21">
        <f t="shared" si="2"/>
        <v>6</v>
      </c>
      <c r="C18" s="13" t="s">
        <v>4451</v>
      </c>
      <c r="D18" s="13" t="s">
        <v>4468</v>
      </c>
      <c r="E18" s="8"/>
      <c r="F18" s="7" t="s">
        <v>4348</v>
      </c>
      <c r="G18" s="7" t="s">
        <v>25</v>
      </c>
      <c r="H18" s="58"/>
      <c r="I18" s="23"/>
      <c r="J18" s="24" t="s">
        <v>4482</v>
      </c>
      <c r="M18" s="4"/>
      <c r="N18" s="76"/>
      <c r="O18" s="76"/>
      <c r="P18" s="76" t="str">
        <f t="shared" si="11"/>
        <v>,dementia_start_date</v>
      </c>
      <c r="Q18" s="76" t="str">
        <f t="shared" si="12"/>
        <v>DATE</v>
      </c>
      <c r="R18" s="76" t="str">
        <f t="shared" si="13"/>
        <v/>
      </c>
      <c r="S18" s="76" t="str">
        <f t="shared" si="14"/>
        <v/>
      </c>
      <c r="T18" s="76" t="str">
        <f t="shared" si="15"/>
        <v>-- 認知症 _疾患開始日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milscm_2023_009.sny_202310_annony_shikkan.dementia_start_date IS '認知症 _疾患開始日';</v>
      </c>
    </row>
    <row r="19" spans="1:52" s="25" customFormat="1" ht="31.5">
      <c r="A19" s="4"/>
      <c r="B19" s="21">
        <f t="shared" si="2"/>
        <v>7</v>
      </c>
      <c r="C19" s="13" t="s">
        <v>4452</v>
      </c>
      <c r="D19" s="13" t="s">
        <v>4469</v>
      </c>
      <c r="E19" s="8"/>
      <c r="F19" s="7" t="s">
        <v>4348</v>
      </c>
      <c r="G19" s="7" t="s">
        <v>25</v>
      </c>
      <c r="H19" s="58"/>
      <c r="I19" s="23"/>
      <c r="J19" s="24" t="s">
        <v>4483</v>
      </c>
      <c r="M19" s="4"/>
      <c r="N19" s="76"/>
      <c r="O19" s="76"/>
      <c r="P19" s="76" t="str">
        <f t="shared" si="11"/>
        <v>,chronic_pulmonary_start_date</v>
      </c>
      <c r="Q19" s="76" t="str">
        <f t="shared" si="12"/>
        <v>DATE</v>
      </c>
      <c r="R19" s="76" t="str">
        <f t="shared" si="13"/>
        <v/>
      </c>
      <c r="S19" s="76" t="str">
        <f t="shared" si="14"/>
        <v/>
      </c>
      <c r="T19" s="76" t="str">
        <f t="shared" si="15"/>
        <v>-- 慢性肺疾患_疾患開始日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milscm_2023_009.sny_202310_annony_shikkan.chronic_pulmonary_start_date IS '慢性肺疾患_疾患開始日';</v>
      </c>
    </row>
    <row r="20" spans="1:52" s="25" customFormat="1" ht="47.25">
      <c r="A20" s="4"/>
      <c r="B20" s="21">
        <f t="shared" si="2"/>
        <v>8</v>
      </c>
      <c r="C20" s="13" t="s">
        <v>4453</v>
      </c>
      <c r="D20" s="13" t="s">
        <v>4545</v>
      </c>
      <c r="E20" s="8"/>
      <c r="F20" s="7" t="s">
        <v>4348</v>
      </c>
      <c r="G20" s="7" t="s">
        <v>25</v>
      </c>
      <c r="H20" s="58"/>
      <c r="I20" s="23"/>
      <c r="J20" s="24" t="s">
        <v>4484</v>
      </c>
      <c r="M20" s="4"/>
      <c r="N20" s="76"/>
      <c r="O20" s="76"/>
      <c r="P20" s="76" t="str">
        <f t="shared" si="11"/>
        <v>,connective_tissue_disease_rheumatic_disease_start_date</v>
      </c>
      <c r="Q20" s="76" t="str">
        <f t="shared" si="12"/>
        <v>DATE</v>
      </c>
      <c r="R20" s="76" t="str">
        <f t="shared" si="13"/>
        <v/>
      </c>
      <c r="S20" s="76" t="str">
        <f t="shared" si="14"/>
        <v/>
      </c>
      <c r="T20" s="76" t="str">
        <f t="shared" si="15"/>
        <v>-- 結合組織疾患_疾患開始日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milscm_2023_009.sny_202310_annony_shikkan.connective_tissue_disease_rheumatic_disease_start_date IS '結合組織疾患_疾患開始日';</v>
      </c>
    </row>
    <row r="21" spans="1:52" s="25" customFormat="1" ht="31.5">
      <c r="A21" s="4"/>
      <c r="B21" s="21">
        <f t="shared" si="2"/>
        <v>9</v>
      </c>
      <c r="C21" s="13" t="s">
        <v>4454</v>
      </c>
      <c r="D21" s="13" t="s">
        <v>4470</v>
      </c>
      <c r="E21" s="8"/>
      <c r="F21" s="7" t="s">
        <v>4348</v>
      </c>
      <c r="G21" s="7" t="s">
        <v>25</v>
      </c>
      <c r="H21" s="58"/>
      <c r="I21" s="23"/>
      <c r="J21" s="24" t="s">
        <v>4485</v>
      </c>
      <c r="M21" s="4"/>
      <c r="N21" s="76"/>
      <c r="O21" s="76"/>
      <c r="P21" s="76" t="str">
        <f t="shared" ref="P21:P28" si="16">IF(B21&lt;&gt;1,","&amp;D21,D21)</f>
        <v>,peptic_ulcer_disease_start_date</v>
      </c>
      <c r="Q21" s="76" t="str">
        <f t="shared" ref="Q21:Q28" si="17">UPPER(G21)</f>
        <v>DATE</v>
      </c>
      <c r="R21" s="76" t="str">
        <f t="shared" ref="R21:R28" si="18">IF(H21&lt;&gt;"","default "&amp;IF(G21="text","'"&amp;H21&amp;"'",H21),"")</f>
        <v/>
      </c>
      <c r="S21" s="76" t="str">
        <f t="shared" ref="S21:S28" si="19">IF(I21="○","NOT NULL","")</f>
        <v/>
      </c>
      <c r="T21" s="76" t="str">
        <f t="shared" ref="T21:T28" si="20">"-- "&amp;C21</f>
        <v>-- 潰瘍性疾患_疾患開始日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milscm_2023_009.sny_202310_annony_shikkan.peptic_ulcer_disease_start_date IS '潰瘍性疾患_疾患開始日';</v>
      </c>
    </row>
    <row r="22" spans="1:52" s="25" customFormat="1" ht="31.5">
      <c r="A22" s="4"/>
      <c r="B22" s="21">
        <f t="shared" si="2"/>
        <v>10</v>
      </c>
      <c r="C22" s="13" t="s">
        <v>4455</v>
      </c>
      <c r="D22" s="13" t="s">
        <v>4471</v>
      </c>
      <c r="E22" s="8"/>
      <c r="F22" s="7" t="s">
        <v>4348</v>
      </c>
      <c r="G22" s="7" t="s">
        <v>25</v>
      </c>
      <c r="H22" s="58"/>
      <c r="I22" s="23"/>
      <c r="J22" s="24" t="s">
        <v>4486</v>
      </c>
      <c r="M22" s="4"/>
      <c r="N22" s="76"/>
      <c r="O22" s="76"/>
      <c r="P22" s="76" t="str">
        <f t="shared" si="16"/>
        <v>,mild_liver_disease_start_date</v>
      </c>
      <c r="Q22" s="76" t="str">
        <f t="shared" si="17"/>
        <v>DATE</v>
      </c>
      <c r="R22" s="76" t="str">
        <f t="shared" si="18"/>
        <v/>
      </c>
      <c r="S22" s="76" t="str">
        <f t="shared" si="19"/>
        <v/>
      </c>
      <c r="T22" s="76" t="str">
        <f t="shared" si="20"/>
        <v>-- 軽度の肝疾患_疾患開始日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milscm_2023_009.sny_202310_annony_shikkan.mild_liver_disease_start_date IS '軽度の肝疾患_疾患開始日';</v>
      </c>
    </row>
    <row r="23" spans="1:52" s="25" customFormat="1" ht="37.5">
      <c r="A23" s="4"/>
      <c r="B23" s="21">
        <f t="shared" si="2"/>
        <v>11</v>
      </c>
      <c r="C23" s="13" t="s">
        <v>4456</v>
      </c>
      <c r="D23" s="13" t="s">
        <v>4472</v>
      </c>
      <c r="E23" s="8"/>
      <c r="F23" s="7" t="s">
        <v>4348</v>
      </c>
      <c r="G23" s="7" t="s">
        <v>25</v>
      </c>
      <c r="H23" s="58"/>
      <c r="I23" s="23"/>
      <c r="J23" s="24" t="s">
        <v>4487</v>
      </c>
      <c r="M23" s="4"/>
      <c r="N23" s="76"/>
      <c r="O23" s="76"/>
      <c r="P23" s="76" t="str">
        <f t="shared" si="16"/>
        <v>,diabetes_without_chronic_start_date</v>
      </c>
      <c r="Q23" s="76" t="str">
        <f t="shared" si="17"/>
        <v>DATE</v>
      </c>
      <c r="R23" s="76" t="str">
        <f t="shared" si="18"/>
        <v/>
      </c>
      <c r="S23" s="76" t="str">
        <f t="shared" si="19"/>
        <v/>
      </c>
      <c r="T23" s="76" t="str">
        <f t="shared" si="20"/>
        <v>-- 合併症を伴わない糖尿病_疾患開始日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milscm_2023_009.sny_202310_annony_shikkan.diabetes_without_chronic_start_date IS '合併症を伴わない糖尿病_疾患開始日';</v>
      </c>
    </row>
    <row r="24" spans="1:52" s="25" customFormat="1" ht="37.5">
      <c r="A24" s="4"/>
      <c r="B24" s="21">
        <f t="shared" si="2"/>
        <v>12</v>
      </c>
      <c r="C24" s="13" t="s">
        <v>4457</v>
      </c>
      <c r="D24" s="13" t="s">
        <v>4473</v>
      </c>
      <c r="E24" s="8"/>
      <c r="F24" s="7" t="s">
        <v>4348</v>
      </c>
      <c r="G24" s="7" t="s">
        <v>25</v>
      </c>
      <c r="H24" s="58"/>
      <c r="I24" s="23"/>
      <c r="J24" s="24" t="s">
        <v>4488</v>
      </c>
      <c r="M24" s="4"/>
      <c r="N24" s="76"/>
      <c r="O24" s="76"/>
      <c r="P24" s="76" t="str">
        <f t="shared" si="16"/>
        <v>,diabetes_with_chronic_start_date</v>
      </c>
      <c r="Q24" s="76" t="str">
        <f t="shared" si="17"/>
        <v>DATE</v>
      </c>
      <c r="R24" s="76" t="str">
        <f t="shared" si="18"/>
        <v/>
      </c>
      <c r="S24" s="76" t="str">
        <f t="shared" si="19"/>
        <v/>
      </c>
      <c r="T24" s="76" t="str">
        <f t="shared" si="20"/>
        <v>-- 合併症を伴う糖尿病_疾患開始日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milscm_2023_009.sny_202310_annony_shikkan.diabetes_with_chronic_start_date IS '合併症を伴う糖尿病_疾患開始日';</v>
      </c>
    </row>
    <row r="25" spans="1:52" s="25" customFormat="1" ht="31.5">
      <c r="A25" s="4"/>
      <c r="B25" s="21">
        <f t="shared" si="2"/>
        <v>13</v>
      </c>
      <c r="C25" s="13" t="s">
        <v>4458</v>
      </c>
      <c r="D25" s="13" t="s">
        <v>4474</v>
      </c>
      <c r="E25" s="8"/>
      <c r="F25" s="7" t="s">
        <v>4348</v>
      </c>
      <c r="G25" s="7" t="s">
        <v>25</v>
      </c>
      <c r="H25" s="58"/>
      <c r="I25" s="23"/>
      <c r="J25" s="24" t="s">
        <v>4489</v>
      </c>
      <c r="M25" s="4"/>
      <c r="N25" s="76"/>
      <c r="O25" s="76"/>
      <c r="P25" s="76" t="str">
        <f t="shared" si="16"/>
        <v>,paraplegia_and_hemiplegia_start_date</v>
      </c>
      <c r="Q25" s="76" t="str">
        <f t="shared" si="17"/>
        <v>DATE</v>
      </c>
      <c r="R25" s="76" t="str">
        <f t="shared" si="18"/>
        <v/>
      </c>
      <c r="S25" s="76" t="str">
        <f t="shared" si="19"/>
        <v/>
      </c>
      <c r="T25" s="76" t="str">
        <f t="shared" si="20"/>
        <v>-- 片麻痺・対麻痺_疾患開始日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milscm_2023_009.sny_202310_annony_shikkan.paraplegia_and_hemiplegia_start_date IS '片麻痺・対麻痺_疾患開始日';</v>
      </c>
    </row>
    <row r="26" spans="1:52" s="25" customFormat="1">
      <c r="A26" s="4"/>
      <c r="B26" s="21">
        <f t="shared" si="2"/>
        <v>14</v>
      </c>
      <c r="C26" s="13" t="s">
        <v>4459</v>
      </c>
      <c r="D26" s="13" t="s">
        <v>4475</v>
      </c>
      <c r="E26" s="8"/>
      <c r="F26" s="7" t="s">
        <v>4348</v>
      </c>
      <c r="G26" s="7" t="s">
        <v>25</v>
      </c>
      <c r="H26" s="58"/>
      <c r="I26" s="23"/>
      <c r="J26" s="24" t="s">
        <v>4490</v>
      </c>
      <c r="M26" s="4"/>
      <c r="N26" s="76"/>
      <c r="O26" s="76"/>
      <c r="P26" s="76" t="str">
        <f t="shared" si="16"/>
        <v>,renal_disease_start_date</v>
      </c>
      <c r="Q26" s="76" t="str">
        <f t="shared" si="17"/>
        <v>DATE</v>
      </c>
      <c r="R26" s="76" t="str">
        <f t="shared" si="18"/>
        <v/>
      </c>
      <c r="S26" s="76" t="str">
        <f t="shared" si="19"/>
        <v/>
      </c>
      <c r="T26" s="76" t="str">
        <f t="shared" si="20"/>
        <v>-- 腎疾患_疾患開始日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milscm_2023_009.sny_202310_annony_shikkan.renal_disease_start_date IS '腎疾患_疾患開始日';</v>
      </c>
    </row>
    <row r="27" spans="1:52" s="25" customFormat="1">
      <c r="A27" s="4"/>
      <c r="B27" s="21">
        <f t="shared" si="2"/>
        <v>15</v>
      </c>
      <c r="C27" s="13" t="s">
        <v>4460</v>
      </c>
      <c r="D27" s="13" t="s">
        <v>4555</v>
      </c>
      <c r="E27" s="8"/>
      <c r="F27" s="7" t="s">
        <v>4348</v>
      </c>
      <c r="G27" s="7" t="s">
        <v>25</v>
      </c>
      <c r="H27" s="58"/>
      <c r="I27" s="23"/>
      <c r="J27" s="24" t="s">
        <v>4491</v>
      </c>
      <c r="M27" s="4"/>
      <c r="N27" s="76"/>
      <c r="O27" s="76"/>
      <c r="P27" s="76" t="str">
        <f t="shared" si="16"/>
        <v>,cancer_start_date</v>
      </c>
      <c r="Q27" s="76" t="str">
        <f t="shared" si="17"/>
        <v>DATE</v>
      </c>
      <c r="R27" s="76" t="str">
        <f t="shared" si="18"/>
        <v/>
      </c>
      <c r="S27" s="76" t="str">
        <f t="shared" si="19"/>
        <v/>
      </c>
      <c r="T27" s="76" t="str">
        <f t="shared" si="20"/>
        <v>-- 悪性腫瘍_疾患開始日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milscm_2023_009.sny_202310_annony_shikkan.cancer_start_date IS '悪性腫瘍_疾患開始日';</v>
      </c>
    </row>
    <row r="28" spans="1:52" s="25" customFormat="1" ht="37.5">
      <c r="A28" s="4"/>
      <c r="B28" s="21">
        <f t="shared" si="2"/>
        <v>16</v>
      </c>
      <c r="C28" s="13" t="s">
        <v>4461</v>
      </c>
      <c r="D28" s="13" t="s">
        <v>4476</v>
      </c>
      <c r="E28" s="8"/>
      <c r="F28" s="7" t="s">
        <v>4348</v>
      </c>
      <c r="G28" s="7" t="s">
        <v>25</v>
      </c>
      <c r="H28" s="58"/>
      <c r="I28" s="23"/>
      <c r="J28" s="24" t="s">
        <v>4492</v>
      </c>
      <c r="M28" s="4"/>
      <c r="N28" s="76"/>
      <c r="O28" s="76"/>
      <c r="P28" s="76" t="str">
        <f t="shared" si="16"/>
        <v>,moderate_or_severe_liver_start_date</v>
      </c>
      <c r="Q28" s="76" t="str">
        <f t="shared" si="17"/>
        <v>DATE</v>
      </c>
      <c r="R28" s="76" t="str">
        <f t="shared" si="18"/>
        <v/>
      </c>
      <c r="S28" s="76" t="str">
        <f t="shared" si="19"/>
        <v/>
      </c>
      <c r="T28" s="76" t="str">
        <f t="shared" si="20"/>
        <v>-- 中等度～重度の肝疾患_疾患開始日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milscm_2023_009.sny_202310_annony_shikkan.moderate_or_severe_liver_start_date IS '中等度～重度の肝疾患_疾患開始日';</v>
      </c>
    </row>
    <row r="29" spans="1:52" s="25" customFormat="1" ht="31.5">
      <c r="A29" s="4"/>
      <c r="B29" s="21">
        <f t="shared" si="2"/>
        <v>17</v>
      </c>
      <c r="C29" s="13" t="s">
        <v>4462</v>
      </c>
      <c r="D29" s="13" t="s">
        <v>4477</v>
      </c>
      <c r="E29" s="8"/>
      <c r="F29" s="7" t="s">
        <v>4348</v>
      </c>
      <c r="G29" s="7" t="s">
        <v>25</v>
      </c>
      <c r="H29" s="58"/>
      <c r="I29" s="23"/>
      <c r="J29" s="24" t="s">
        <v>4493</v>
      </c>
      <c r="M29" s="4"/>
      <c r="N29" s="76"/>
      <c r="O29" s="76"/>
      <c r="P29" s="76" t="str">
        <f t="shared" ref="P29" si="21">IF(B29&lt;&gt;1,","&amp;D29,D29)</f>
        <v>,metastatic_carcinoma_start_date</v>
      </c>
      <c r="Q29" s="76" t="str">
        <f t="shared" ref="Q29" si="22">UPPER(G29)</f>
        <v>DATE</v>
      </c>
      <c r="R29" s="76" t="str">
        <f t="shared" ref="R29" si="23">IF(H29&lt;&gt;"","default "&amp;IF(G29="text","'"&amp;H29&amp;"'",H29),"")</f>
        <v/>
      </c>
      <c r="S29" s="76" t="str">
        <f t="shared" ref="S29" si="24">IF(I29="○","NOT NULL","")</f>
        <v/>
      </c>
      <c r="T29" s="76" t="str">
        <f t="shared" ref="T29" si="25">"-- "&amp;C29</f>
        <v>-- 転移性充実性腫瘍_疾患開始日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milscm_2023_009.sny_202310_annony_shikkan.metastatic_carcinoma_start_date IS '転移性充実性腫瘍_疾患開始日';</v>
      </c>
    </row>
    <row r="30" spans="1:52" s="25" customFormat="1" ht="19.5" thickBot="1">
      <c r="A30" s="4"/>
      <c r="B30" s="27">
        <f>ROW()-12</f>
        <v>18</v>
      </c>
      <c r="C30" s="57" t="s">
        <v>4463</v>
      </c>
      <c r="D30" s="57" t="s">
        <v>4478</v>
      </c>
      <c r="E30" s="56"/>
      <c r="F30" s="56" t="s">
        <v>4348</v>
      </c>
      <c r="G30" s="56" t="s">
        <v>25</v>
      </c>
      <c r="H30" s="59"/>
      <c r="I30" s="60"/>
      <c r="J30" s="64" t="s">
        <v>4494</v>
      </c>
      <c r="N30" s="76"/>
      <c r="O30" s="76"/>
      <c r="P30" s="76" t="str">
        <f t="shared" si="3"/>
        <v>,hiv_aids_start_date</v>
      </c>
      <c r="Q30" s="76" t="str">
        <f t="shared" si="0"/>
        <v>DATE</v>
      </c>
      <c r="R30" s="76" t="str">
        <f t="shared" si="1"/>
        <v/>
      </c>
      <c r="S30" s="76" t="str">
        <f t="shared" si="4"/>
        <v/>
      </c>
      <c r="T30" s="76" t="str">
        <f t="shared" si="5"/>
        <v>-- HIV/AIDS_疾患開始日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milscm_2023_009.sny_202310_annony_shikkan.hiv_aids_start_date IS 'HIV/AIDS_疾患開始日';</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topLeftCell="B1" zoomScale="85" zoomScaleNormal="85" workbookViewId="0">
      <selection activeCell="D15" sqref="D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ENT_61_03</v>
      </c>
      <c r="E6" s="273"/>
      <c r="F6" s="273"/>
      <c r="G6" s="273"/>
      <c r="H6" s="273"/>
      <c r="I6" s="273"/>
      <c r="J6" s="274"/>
    </row>
    <row r="7" spans="1:45">
      <c r="B7" s="262" t="s">
        <v>115</v>
      </c>
      <c r="C7" s="263"/>
      <c r="D7" s="264" t="s">
        <v>4504</v>
      </c>
      <c r="E7" s="265"/>
      <c r="F7" s="265"/>
      <c r="G7" s="265"/>
      <c r="H7" s="265"/>
      <c r="I7" s="265"/>
      <c r="J7" s="266"/>
    </row>
    <row r="8" spans="1:45">
      <c r="B8" s="262" t="s">
        <v>116</v>
      </c>
      <c r="C8" s="263"/>
      <c r="D8" s="264" t="str">
        <f>エンティティ一覧!AE2&amp;"_"&amp;D5&amp;"_chromosome"</f>
        <v>sny_202310_annony_chromosome</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milscm_2023_009.sny_202310_annony_chromosome;</v>
      </c>
      <c r="O10" s="76"/>
      <c r="P10" s="76"/>
      <c r="Q10" s="76"/>
      <c r="R10" s="76"/>
      <c r="S10" s="76"/>
      <c r="T10" s="76"/>
      <c r="AJ10" s="76" t="str">
        <f>"ALTER TABLE ONLY "&amp;エンティティ一覧!$O$2&amp;"."&amp;D$8</f>
        <v>ALTER TABLE ONLY milscm_2023_009.sny_202310_annony_chromosome</v>
      </c>
      <c r="AS10" s="76" t="str">
        <f>"ALTER TABLE "&amp;エンティティ一覧!$O$2&amp;"."&amp;D$8&amp;" OWNER TO pgmisgrp1;"</f>
        <v>ALTER TABLE milscm_2023_009.sny_202310_annony_chromosome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milscm_2023_009.sny_202310_annony_chromosome</v>
      </c>
      <c r="O11" s="76"/>
      <c r="P11" s="76"/>
      <c r="Q11" s="76"/>
      <c r="R11" s="76"/>
      <c r="S11" s="76"/>
      <c r="T11" s="76"/>
      <c r="AJ11" s="76" t="str">
        <f>"ADD CONSTRAINT "&amp;D$8&amp;"_pkey PRIMARY KEY"</f>
        <v>ADD CONSTRAINT sny_202310_annony_chromosome_pkey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milscm_2023_009.sny_202310_annony_chromosome IS '匿名化_染色体情報';</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milscm_2023_009.sny_202310_annony_chromosome.mask_id IS 'マスクID';</v>
      </c>
    </row>
    <row r="14" spans="1:45" s="25" customFormat="1">
      <c r="A14" s="4"/>
      <c r="B14" s="21">
        <f t="shared" ref="B14" si="2">ROW()-12</f>
        <v>2</v>
      </c>
      <c r="C14" s="13" t="s">
        <v>4499</v>
      </c>
      <c r="D14" s="13" t="s">
        <v>4500</v>
      </c>
      <c r="E14" s="8" t="s">
        <v>127</v>
      </c>
      <c r="F14" s="7" t="s">
        <v>4348</v>
      </c>
      <c r="G14" s="7" t="s">
        <v>99</v>
      </c>
      <c r="H14" s="58"/>
      <c r="I14" s="10" t="s">
        <v>127</v>
      </c>
      <c r="J14" s="24"/>
      <c r="M14" s="4"/>
      <c r="N14" s="76"/>
      <c r="O14" s="76"/>
      <c r="P14" s="76" t="str">
        <f t="shared" ref="P14" si="3">IF(B14&lt;&gt;1,","&amp;D14,D14)</f>
        <v>,event_date</v>
      </c>
      <c r="Q14" s="76" t="str">
        <f t="shared" si="0"/>
        <v>DATE</v>
      </c>
      <c r="R14" s="76" t="str">
        <f t="shared" si="1"/>
        <v/>
      </c>
      <c r="S14" s="76" t="str">
        <f t="shared" ref="S14" si="4">IF(I14="○","NOT NULL","")</f>
        <v>NOT NULL</v>
      </c>
      <c r="T14" s="76" t="str">
        <f t="shared" ref="T14" si="5">"-- "&amp;C14</f>
        <v>-- イベント日付</v>
      </c>
      <c r="U14" s="4"/>
      <c r="AA14" s="4"/>
      <c r="AB14" s="4"/>
      <c r="AC14" s="4"/>
      <c r="AD14" s="4"/>
      <c r="AE14" s="4"/>
      <c r="AF14" s="4"/>
      <c r="AG14" s="4"/>
      <c r="AH14" s="4"/>
      <c r="AI14" s="4"/>
      <c r="AJ14" s="76" t="str">
        <f>IF(E14="○",IF(COUNTA(E$13:E14)=1,"",",")&amp;D14,"")</f>
        <v>,event_date</v>
      </c>
      <c r="AK14" s="4"/>
      <c r="AL14" s="4"/>
      <c r="AM14" s="4"/>
      <c r="AN14" s="4"/>
      <c r="AO14" s="4"/>
      <c r="AP14" s="4"/>
      <c r="AQ14" s="4"/>
      <c r="AR14" s="4"/>
      <c r="AS14" s="76" t="str">
        <f>"COMMENT ON COLUMN "&amp;エンティティ一覧!$O$2&amp;"."&amp;D$8&amp;"."&amp;D14&amp;" IS '"&amp;C14&amp;"';"</f>
        <v>COMMENT ON COLUMN milscm_2023_009.sny_202310_annony_chromosome.event_date IS 'イベント日付';</v>
      </c>
    </row>
    <row r="15" spans="1:45" s="25" customFormat="1">
      <c r="A15" s="4"/>
      <c r="B15" s="21">
        <f t="shared" ref="B15:B17" si="6">ROW()-12</f>
        <v>3</v>
      </c>
      <c r="C15" s="13" t="s">
        <v>4507</v>
      </c>
      <c r="D15" s="13" t="s">
        <v>4509</v>
      </c>
      <c r="E15" s="8"/>
      <c r="F15" s="7" t="s">
        <v>737</v>
      </c>
      <c r="G15" s="7" t="str">
        <f t="shared" ref="G15:G18" si="7">IF(F15="フラグ","boolean",IF(F15="文字列","text",IF(F15="整数","integer",IF(F15="実数","numeric",""))))</f>
        <v>text</v>
      </c>
      <c r="H15" s="58"/>
      <c r="I15" s="23"/>
      <c r="J15" s="122" t="s">
        <v>4582</v>
      </c>
      <c r="M15" s="4"/>
      <c r="N15" s="76"/>
      <c r="O15" s="76"/>
      <c r="P15" s="76" t="str">
        <f t="shared" ref="P15:P18" si="8">IF(B15&lt;&gt;1,","&amp;D15,D15)</f>
        <v>,tp53</v>
      </c>
      <c r="Q15" s="76" t="str">
        <f t="shared" si="0"/>
        <v>TEXT</v>
      </c>
      <c r="R15" s="76" t="str">
        <f t="shared" si="1"/>
        <v/>
      </c>
      <c r="S15" s="76" t="str">
        <f t="shared" ref="S15:S18" si="9">IF(I15="○","NOT NULL","")</f>
        <v/>
      </c>
      <c r="T15" s="76" t="str">
        <f t="shared" ref="T15:T18" si="10">"-- "&amp;C15</f>
        <v>-- del（１７ｐ）</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milscm_2023_009.sny_202310_annony_chromosome.tp53 IS 'del（１７ｐ）';</v>
      </c>
    </row>
    <row r="16" spans="1:45" s="25" customFormat="1">
      <c r="A16" s="4"/>
      <c r="B16" s="21">
        <f t="shared" si="6"/>
        <v>4</v>
      </c>
      <c r="C16" s="13" t="s">
        <v>4506</v>
      </c>
      <c r="D16" s="13" t="s">
        <v>4508</v>
      </c>
      <c r="E16" s="8"/>
      <c r="F16" s="7" t="s">
        <v>737</v>
      </c>
      <c r="G16" s="7" t="str">
        <f t="shared" si="7"/>
        <v>text</v>
      </c>
      <c r="H16" s="58"/>
      <c r="I16" s="23"/>
      <c r="J16" s="122" t="s">
        <v>4582</v>
      </c>
      <c r="M16" s="4"/>
      <c r="N16" s="76"/>
      <c r="O16" s="76"/>
      <c r="P16" s="76" t="str">
        <f t="shared" si="8"/>
        <v>,igh_fgfr3</v>
      </c>
      <c r="Q16" s="76" t="str">
        <f t="shared" si="0"/>
        <v>TEXT</v>
      </c>
      <c r="R16" s="76" t="str">
        <f t="shared" si="1"/>
        <v/>
      </c>
      <c r="S16" s="76" t="str">
        <f t="shared" si="9"/>
        <v/>
      </c>
      <c r="T16" s="76" t="str">
        <f t="shared" si="10"/>
        <v>-- t（４；１４）</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milscm_2023_009.sny_202310_annony_chromosome.igh_fgfr3 IS 't（４；１４）';</v>
      </c>
    </row>
    <row r="17" spans="1:52" s="25" customFormat="1">
      <c r="A17" s="4"/>
      <c r="B17" s="21">
        <f t="shared" si="6"/>
        <v>5</v>
      </c>
      <c r="C17" s="13" t="s">
        <v>4580</v>
      </c>
      <c r="D17" s="13" t="s">
        <v>4581</v>
      </c>
      <c r="E17" s="8"/>
      <c r="F17" s="7" t="s">
        <v>737</v>
      </c>
      <c r="G17" s="7" t="str">
        <f t="shared" si="7"/>
        <v>text</v>
      </c>
      <c r="H17" s="58"/>
      <c r="I17" s="23"/>
      <c r="J17" s="122" t="s">
        <v>4582</v>
      </c>
      <c r="M17" s="4"/>
      <c r="N17" s="76"/>
      <c r="O17" s="76"/>
      <c r="P17" s="76" t="str">
        <f t="shared" si="8"/>
        <v>,igh_maf</v>
      </c>
      <c r="Q17" s="76" t="str">
        <f t="shared" si="0"/>
        <v>TEXT</v>
      </c>
      <c r="R17" s="76" t="str">
        <f t="shared" si="1"/>
        <v/>
      </c>
      <c r="S17" s="76" t="str">
        <f t="shared" si="9"/>
        <v/>
      </c>
      <c r="T17" s="76" t="str">
        <f t="shared" si="10"/>
        <v>-- t（１４；１６）</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milscm_2023_009.sny_202310_annony_chromosome.igh_maf IS 't（１４；１６）';</v>
      </c>
    </row>
    <row r="18" spans="1:52" s="25" customFormat="1" ht="19.5" thickBot="1">
      <c r="A18" s="4"/>
      <c r="B18" s="27">
        <f>ROW()-12</f>
        <v>6</v>
      </c>
      <c r="C18" s="57" t="s">
        <v>4578</v>
      </c>
      <c r="D18" s="57" t="s">
        <v>4579</v>
      </c>
      <c r="E18" s="56"/>
      <c r="F18" s="56" t="s">
        <v>737</v>
      </c>
      <c r="G18" s="60" t="str">
        <f t="shared" si="7"/>
        <v>text</v>
      </c>
      <c r="H18" s="59"/>
      <c r="I18" s="60"/>
      <c r="J18" s="64" t="s">
        <v>4582</v>
      </c>
      <c r="N18" s="76"/>
      <c r="O18" s="76"/>
      <c r="P18" s="76" t="str">
        <f t="shared" si="8"/>
        <v>,gain_1q21</v>
      </c>
      <c r="Q18" s="76" t="str">
        <f t="shared" si="0"/>
        <v>TEXT</v>
      </c>
      <c r="R18" s="76" t="str">
        <f t="shared" si="1"/>
        <v/>
      </c>
      <c r="S18" s="76" t="str">
        <f t="shared" si="9"/>
        <v/>
      </c>
      <c r="T18" s="76" t="str">
        <f t="shared" si="10"/>
        <v>-- 1q21＋</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milscm_2023_009.sny_202310_annony_chromosome.gain_1q21 IS '1q21＋';</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topLeftCell="A4"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ENT_61_04</v>
      </c>
      <c r="E6" s="273"/>
      <c r="F6" s="273"/>
      <c r="G6" s="273"/>
      <c r="H6" s="273"/>
      <c r="I6" s="273"/>
      <c r="J6" s="274"/>
    </row>
    <row r="7" spans="1:45">
      <c r="B7" s="262" t="s">
        <v>115</v>
      </c>
      <c r="C7" s="263"/>
      <c r="D7" s="264" t="s">
        <v>4527</v>
      </c>
      <c r="E7" s="265"/>
      <c r="F7" s="265"/>
      <c r="G7" s="265"/>
      <c r="H7" s="265"/>
      <c r="I7" s="265"/>
      <c r="J7" s="266"/>
    </row>
    <row r="8" spans="1:45">
      <c r="B8" s="262" t="s">
        <v>116</v>
      </c>
      <c r="C8" s="263"/>
      <c r="D8" s="264" t="str">
        <f>エンティティ一覧!AE2&amp;"_"&amp;D5&amp;"_kensa"</f>
        <v>sny_202310_annony_kensa</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milscm_2023_009.sny_202310_annony_kensa;</v>
      </c>
      <c r="O10" s="76"/>
      <c r="P10" s="76"/>
      <c r="Q10" s="76"/>
      <c r="R10" s="76"/>
      <c r="S10" s="76"/>
      <c r="T10" s="76"/>
      <c r="AJ10" s="76" t="str">
        <f>"ALTER TABLE ONLY "&amp;エンティティ一覧!$O$2&amp;"."&amp;D$8</f>
        <v>ALTER TABLE ONLY milscm_2023_009.sny_202310_annony_kensa</v>
      </c>
      <c r="AS10" s="76" t="str">
        <f>"ALTER TABLE "&amp;エンティティ一覧!$O$2&amp;"."&amp;D$8&amp;" OWNER TO pgmisgrp1;"</f>
        <v>ALTER TABLE milscm_2023_009.sny_202310_annony_kensa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milscm_2023_009.sny_202310_annony_kensa</v>
      </c>
      <c r="O11" s="76"/>
      <c r="P11" s="76"/>
      <c r="Q11" s="76"/>
      <c r="R11" s="76"/>
      <c r="S11" s="76"/>
      <c r="T11" s="76"/>
      <c r="AJ11" s="76" t="str">
        <f>"ADD CONSTRAINT "&amp;D$8&amp;"_pkey PRIMARY KEY"</f>
        <v>ADD CONSTRAINT sny_202310_annony_kensa_pkey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milscm_2023_009.sny_202310_annony_kensa IS '匿名化_検査値情報';</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23" si="0">UPPER(G13)</f>
        <v>TEXT</v>
      </c>
      <c r="R13" s="76" t="str">
        <f t="shared" ref="R13:R23"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milscm_2023_009.sny_202310_annony_kensa.mask_id IS 'マスクID';</v>
      </c>
    </row>
    <row r="14" spans="1:45" s="25" customFormat="1">
      <c r="A14" s="4"/>
      <c r="B14" s="21">
        <f t="shared" ref="B14:B22" si="2">ROW()-12</f>
        <v>2</v>
      </c>
      <c r="C14" s="13" t="s">
        <v>4499</v>
      </c>
      <c r="D14" s="13" t="s">
        <v>4500</v>
      </c>
      <c r="E14" s="8" t="s">
        <v>127</v>
      </c>
      <c r="F14" s="7" t="s">
        <v>4348</v>
      </c>
      <c r="G14" s="7" t="s">
        <v>99</v>
      </c>
      <c r="H14" s="58"/>
      <c r="I14" s="10" t="s">
        <v>127</v>
      </c>
      <c r="J14" s="24" t="s">
        <v>4528</v>
      </c>
      <c r="M14" s="4"/>
      <c r="N14" s="76"/>
      <c r="O14" s="76"/>
      <c r="P14" s="76" t="str">
        <f t="shared" ref="P14" si="3">IF(B14&lt;&gt;1,","&amp;D14,D14)</f>
        <v>,event_date</v>
      </c>
      <c r="Q14" s="76" t="str">
        <f t="shared" ref="Q14" si="4">UPPER(G14)</f>
        <v>DATE</v>
      </c>
      <c r="R14" s="76" t="str">
        <f t="shared" ref="R14" si="5">IF(H14&lt;&gt;"","default "&amp;IF(G14="text","'"&amp;H14&amp;"'",H14),"")</f>
        <v/>
      </c>
      <c r="S14" s="76" t="str">
        <f t="shared" ref="S14" si="6">IF(I14="○","NOT NULL","")</f>
        <v>NOT NULL</v>
      </c>
      <c r="T14" s="76" t="str">
        <f t="shared" ref="T14" si="7">"-- "&amp;C14</f>
        <v>-- イベント日付</v>
      </c>
      <c r="U14" s="4"/>
      <c r="AA14" s="4"/>
      <c r="AB14" s="4"/>
      <c r="AC14" s="4"/>
      <c r="AD14" s="4"/>
      <c r="AE14" s="4"/>
      <c r="AF14" s="4"/>
      <c r="AG14" s="4"/>
      <c r="AH14" s="4"/>
      <c r="AI14" s="4"/>
      <c r="AJ14" s="76" t="str">
        <f>IF(E14="○",IF(COUNTA(E$13:E14)=1,"",",")&amp;D14,"")</f>
        <v>,event_date</v>
      </c>
      <c r="AK14" s="4"/>
      <c r="AL14" s="4"/>
      <c r="AM14" s="4"/>
      <c r="AN14" s="4"/>
      <c r="AO14" s="4"/>
      <c r="AP14" s="4"/>
      <c r="AQ14" s="4"/>
      <c r="AR14" s="4"/>
      <c r="AS14" s="76" t="str">
        <f>"COMMENT ON COLUMN "&amp;エンティティ一覧!$O$2&amp;"."&amp;D$8&amp;"."&amp;D14&amp;" IS '"&amp;C14&amp;"';"</f>
        <v>COMMENT ON COLUMN milscm_2023_009.sny_202310_annony_kensa.event_date IS 'イベント日付';</v>
      </c>
    </row>
    <row r="15" spans="1:45" s="25" customFormat="1">
      <c r="A15" s="4"/>
      <c r="B15" s="21">
        <f t="shared" si="2"/>
        <v>3</v>
      </c>
      <c r="C15" s="13" t="s">
        <v>4510</v>
      </c>
      <c r="D15" s="13" t="s">
        <v>4511</v>
      </c>
      <c r="E15" s="8"/>
      <c r="F15" s="7" t="s">
        <v>4340</v>
      </c>
      <c r="G15" s="7" t="str">
        <f>IF(F15="フラグ","boolean",IF(F15="文字列","text",IF(F15="整数","integer",IF(F15="実数","numeric",""))))</f>
        <v>numeric</v>
      </c>
      <c r="H15" s="58"/>
      <c r="I15" s="23"/>
      <c r="J15" s="24" t="s">
        <v>4557</v>
      </c>
      <c r="M15" s="4"/>
      <c r="N15" s="76"/>
      <c r="O15" s="76"/>
      <c r="P15" s="76" t="str">
        <f>IF(B15&lt;&gt;1,","&amp;D15,D15)</f>
        <v>,ldh_value</v>
      </c>
      <c r="Q15" s="76" t="str">
        <f t="shared" si="0"/>
        <v>NUMERIC</v>
      </c>
      <c r="R15" s="76" t="str">
        <f t="shared" si="1"/>
        <v/>
      </c>
      <c r="S15" s="76" t="str">
        <f t="shared" ref="S15:S23" si="8">IF(I15="○","NOT NULL","")</f>
        <v/>
      </c>
      <c r="T15" s="76" t="str">
        <f t="shared" ref="T15:T23" si="9">"-- "&amp;C15</f>
        <v>-- LDH_検査値</v>
      </c>
      <c r="U15" s="4"/>
      <c r="V15" s="25" t="str">
        <f>",max("&amp;D15&amp;")"</f>
        <v>,max(ldh_value)</v>
      </c>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milscm_2023_009.sny_202310_annony_kensa.ldh_value IS 'LDH_検査値';</v>
      </c>
    </row>
    <row r="16" spans="1:45" s="25" customFormat="1">
      <c r="A16" s="4"/>
      <c r="B16" s="21">
        <f t="shared" si="2"/>
        <v>4</v>
      </c>
      <c r="C16" s="13" t="s">
        <v>4512</v>
      </c>
      <c r="D16" s="13" t="s">
        <v>4513</v>
      </c>
      <c r="E16" s="8"/>
      <c r="F16" s="7" t="s">
        <v>4340</v>
      </c>
      <c r="G16" s="7" t="str">
        <f t="shared" ref="G16:G23" si="10">IF(F16="フラグ","boolean",IF(F16="文字列","text",IF(F16="整数","integer",IF(F16="実数","numeric",""))))</f>
        <v>numeric</v>
      </c>
      <c r="H16" s="58"/>
      <c r="I16" s="23"/>
      <c r="J16" s="24" t="s">
        <v>4523</v>
      </c>
      <c r="M16" s="4"/>
      <c r="N16" s="76"/>
      <c r="O16" s="76"/>
      <c r="P16" s="76" t="str">
        <f t="shared" ref="P16:P23" si="11">IF(B16&lt;&gt;1,","&amp;D16,D16)</f>
        <v>,albumin_value</v>
      </c>
      <c r="Q16" s="76" t="str">
        <f t="shared" si="0"/>
        <v>NUMERIC</v>
      </c>
      <c r="R16" s="76" t="str">
        <f t="shared" si="1"/>
        <v/>
      </c>
      <c r="S16" s="76" t="str">
        <f t="shared" si="8"/>
        <v/>
      </c>
      <c r="T16" s="76" t="str">
        <f t="shared" si="9"/>
        <v>-- アルブミン_検査値</v>
      </c>
      <c r="U16" s="4"/>
      <c r="V16" s="25" t="str">
        <f t="shared" ref="V16:V23" si="12">",max("&amp;D16&amp;")"</f>
        <v>,max(albumin_value)</v>
      </c>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milscm_2023_009.sny_202310_annony_kensa.albumin_value IS 'アルブミン_検査値';</v>
      </c>
    </row>
    <row r="17" spans="1:52" s="25" customFormat="1">
      <c r="A17" s="4"/>
      <c r="B17" s="21">
        <f t="shared" si="2"/>
        <v>5</v>
      </c>
      <c r="C17" s="13" t="s">
        <v>4514</v>
      </c>
      <c r="D17" s="13" t="s">
        <v>4546</v>
      </c>
      <c r="E17" s="8"/>
      <c r="F17" s="7" t="s">
        <v>4340</v>
      </c>
      <c r="G17" s="7" t="str">
        <f t="shared" si="10"/>
        <v>numeric</v>
      </c>
      <c r="H17" s="58"/>
      <c r="I17" s="23"/>
      <c r="J17" s="24" t="s">
        <v>4558</v>
      </c>
      <c r="M17" s="4"/>
      <c r="N17" s="76"/>
      <c r="O17" s="76"/>
      <c r="P17" s="76" t="str">
        <f t="shared" si="11"/>
        <v>,b2_microglobulin_value</v>
      </c>
      <c r="Q17" s="76" t="str">
        <f t="shared" si="0"/>
        <v>NUMERIC</v>
      </c>
      <c r="R17" s="76" t="str">
        <f t="shared" si="1"/>
        <v/>
      </c>
      <c r="S17" s="76" t="str">
        <f t="shared" si="8"/>
        <v/>
      </c>
      <c r="T17" s="76" t="str">
        <f t="shared" si="9"/>
        <v>-- β2ミクログロブリン_検査値</v>
      </c>
      <c r="U17" s="4"/>
      <c r="V17" s="25" t="str">
        <f t="shared" si="12"/>
        <v>,max(b2_microglobulin_value)</v>
      </c>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milscm_2023_009.sny_202310_annony_kensa.b2_microglobulin_value IS 'β2ミクログロブリン_検査値';</v>
      </c>
    </row>
    <row r="18" spans="1:52" s="25" customFormat="1">
      <c r="A18" s="4"/>
      <c r="B18" s="21">
        <f t="shared" si="2"/>
        <v>6</v>
      </c>
      <c r="C18" s="13" t="s">
        <v>4515</v>
      </c>
      <c r="D18" s="13" t="s">
        <v>4516</v>
      </c>
      <c r="E18" s="8"/>
      <c r="F18" s="7" t="s">
        <v>4340</v>
      </c>
      <c r="G18" s="7" t="str">
        <f t="shared" si="10"/>
        <v>numeric</v>
      </c>
      <c r="H18" s="58"/>
      <c r="I18" s="23"/>
      <c r="J18" s="24" t="s">
        <v>4524</v>
      </c>
      <c r="M18" s="4"/>
      <c r="N18" s="76"/>
      <c r="O18" s="76"/>
      <c r="P18" s="76" t="str">
        <f t="shared" si="11"/>
        <v>,ast_value</v>
      </c>
      <c r="Q18" s="76" t="str">
        <f t="shared" si="0"/>
        <v>NUMERIC</v>
      </c>
      <c r="R18" s="76" t="str">
        <f t="shared" si="1"/>
        <v/>
      </c>
      <c r="S18" s="76" t="str">
        <f t="shared" si="8"/>
        <v/>
      </c>
      <c r="T18" s="76" t="str">
        <f t="shared" si="9"/>
        <v>-- AST_検査値</v>
      </c>
      <c r="U18" s="4"/>
      <c r="V18" s="25" t="str">
        <f t="shared" si="12"/>
        <v>,max(ast_value)</v>
      </c>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milscm_2023_009.sny_202310_annony_kensa.ast_value IS 'AST_検査値';</v>
      </c>
    </row>
    <row r="19" spans="1:52" s="25" customFormat="1">
      <c r="A19" s="4"/>
      <c r="B19" s="21">
        <f t="shared" si="2"/>
        <v>7</v>
      </c>
      <c r="C19" s="13" t="s">
        <v>4517</v>
      </c>
      <c r="D19" s="13" t="s">
        <v>4518</v>
      </c>
      <c r="E19" s="8"/>
      <c r="F19" s="7" t="s">
        <v>4340</v>
      </c>
      <c r="G19" s="7" t="str">
        <f t="shared" si="10"/>
        <v>numeric</v>
      </c>
      <c r="H19" s="58"/>
      <c r="I19" s="23"/>
      <c r="J19" s="24" t="s">
        <v>4525</v>
      </c>
      <c r="M19" s="4"/>
      <c r="N19" s="76"/>
      <c r="O19" s="76"/>
      <c r="P19" s="76" t="str">
        <f t="shared" si="11"/>
        <v>,alt_value</v>
      </c>
      <c r="Q19" s="76" t="str">
        <f t="shared" si="0"/>
        <v>NUMERIC</v>
      </c>
      <c r="R19" s="76" t="str">
        <f t="shared" si="1"/>
        <v/>
      </c>
      <c r="S19" s="76" t="str">
        <f t="shared" si="8"/>
        <v/>
      </c>
      <c r="T19" s="76" t="str">
        <f t="shared" si="9"/>
        <v>-- ALT_検査値</v>
      </c>
      <c r="U19" s="4"/>
      <c r="V19" s="25" t="str">
        <f t="shared" si="12"/>
        <v>,max(alt_value)</v>
      </c>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milscm_2023_009.sny_202310_annony_kensa.alt_value IS 'ALT_検査値';</v>
      </c>
    </row>
    <row r="20" spans="1:52" s="25" customFormat="1">
      <c r="A20" s="4"/>
      <c r="B20" s="21">
        <f t="shared" si="2"/>
        <v>8</v>
      </c>
      <c r="C20" s="13" t="s">
        <v>4647</v>
      </c>
      <c r="D20" s="13" t="s">
        <v>4651</v>
      </c>
      <c r="E20" s="8"/>
      <c r="F20" s="7" t="s">
        <v>4340</v>
      </c>
      <c r="G20" s="7" t="str">
        <f t="shared" si="10"/>
        <v>numeric</v>
      </c>
      <c r="H20" s="58"/>
      <c r="I20" s="23"/>
      <c r="J20" s="24" t="s">
        <v>4649</v>
      </c>
      <c r="M20" s="4"/>
      <c r="N20" s="76"/>
      <c r="O20" s="76"/>
      <c r="P20" s="76" t="str">
        <f t="shared" si="11"/>
        <v>,all_bilirubin_value</v>
      </c>
      <c r="Q20" s="76" t="str">
        <f t="shared" si="0"/>
        <v>NUMERIC</v>
      </c>
      <c r="R20" s="76" t="str">
        <f t="shared" si="1"/>
        <v/>
      </c>
      <c r="S20" s="76" t="str">
        <f t="shared" si="8"/>
        <v/>
      </c>
      <c r="T20" s="76" t="str">
        <f t="shared" si="9"/>
        <v>-- 総ビリルビン_検査値</v>
      </c>
      <c r="U20" s="4"/>
      <c r="V20" s="25" t="str">
        <f t="shared" si="12"/>
        <v>,max(all_bilirubin_value)</v>
      </c>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milscm_2023_009.sny_202310_annony_kensa.all_bilirubin_value IS '総ビリルビン_検査値';</v>
      </c>
    </row>
    <row r="21" spans="1:52" s="25" customFormat="1">
      <c r="A21" s="4"/>
      <c r="B21" s="21">
        <f t="shared" si="2"/>
        <v>9</v>
      </c>
      <c r="C21" s="13" t="s">
        <v>4648</v>
      </c>
      <c r="D21" s="13" t="s">
        <v>4652</v>
      </c>
      <c r="E21" s="8"/>
      <c r="F21" s="7" t="s">
        <v>4340</v>
      </c>
      <c r="G21" s="7" t="str">
        <f t="shared" ref="G21" si="13">IF(F21="フラグ","boolean",IF(F21="文字列","text",IF(F21="整数","integer",IF(F21="実数","numeric",""))))</f>
        <v>numeric</v>
      </c>
      <c r="H21" s="58"/>
      <c r="I21" s="23"/>
      <c r="J21" s="24" t="s">
        <v>4650</v>
      </c>
      <c r="M21" s="4"/>
      <c r="N21" s="76"/>
      <c r="O21" s="76"/>
      <c r="P21" s="76" t="str">
        <f t="shared" ref="P21" si="14">IF(B21&lt;&gt;1,","&amp;D21,D21)</f>
        <v>,direct_bilirubin_value</v>
      </c>
      <c r="Q21" s="76" t="str">
        <f t="shared" ref="Q21" si="15">UPPER(G21)</f>
        <v>NUMERIC</v>
      </c>
      <c r="R21" s="76" t="str">
        <f t="shared" ref="R21" si="16">IF(H21&lt;&gt;"","default "&amp;IF(G21="text","'"&amp;H21&amp;"'",H21),"")</f>
        <v/>
      </c>
      <c r="S21" s="76" t="str">
        <f t="shared" ref="S21" si="17">IF(I21="○","NOT NULL","")</f>
        <v/>
      </c>
      <c r="T21" s="76" t="str">
        <f t="shared" ref="T21" si="18">"-- "&amp;C21</f>
        <v>-- 直接ビリルビン_検査値</v>
      </c>
      <c r="U21" s="4"/>
      <c r="V21" s="25" t="str">
        <f t="shared" ref="V21" si="19">",max("&amp;D21&amp;")"</f>
        <v>,max(direct_bilirubin_value)</v>
      </c>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milscm_2023_009.sny_202310_annony_kensa.direct_bilirubin_value IS '直接ビリルビン_検査値';</v>
      </c>
    </row>
    <row r="22" spans="1:52" s="25" customFormat="1">
      <c r="A22" s="4"/>
      <c r="B22" s="21">
        <f t="shared" si="2"/>
        <v>10</v>
      </c>
      <c r="C22" s="13" t="s">
        <v>4519</v>
      </c>
      <c r="D22" s="13" t="s">
        <v>4520</v>
      </c>
      <c r="E22" s="8"/>
      <c r="F22" s="7" t="s">
        <v>4340</v>
      </c>
      <c r="G22" s="7" t="str">
        <f t="shared" si="10"/>
        <v>numeric</v>
      </c>
      <c r="H22" s="58"/>
      <c r="I22" s="23"/>
      <c r="J22" s="24" t="s">
        <v>4526</v>
      </c>
      <c r="M22" s="4"/>
      <c r="N22" s="76"/>
      <c r="O22" s="76"/>
      <c r="P22" s="76" t="str">
        <f t="shared" si="11"/>
        <v>,bun_value</v>
      </c>
      <c r="Q22" s="76" t="str">
        <f t="shared" si="0"/>
        <v>NUMERIC</v>
      </c>
      <c r="R22" s="76" t="str">
        <f t="shared" si="1"/>
        <v/>
      </c>
      <c r="S22" s="76" t="str">
        <f t="shared" si="8"/>
        <v/>
      </c>
      <c r="T22" s="76" t="str">
        <f t="shared" si="9"/>
        <v>-- BUN_検査値</v>
      </c>
      <c r="U22" s="4"/>
      <c r="V22" s="25" t="str">
        <f t="shared" si="12"/>
        <v>,max(bun_value)</v>
      </c>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milscm_2023_009.sny_202310_annony_kensa.bun_value IS 'BUN_検査値';</v>
      </c>
    </row>
    <row r="23" spans="1:52" s="25" customFormat="1" ht="38.25" thickBot="1">
      <c r="A23" s="4"/>
      <c r="B23" s="27">
        <f>ROW()-12</f>
        <v>11</v>
      </c>
      <c r="C23" s="57" t="s">
        <v>4521</v>
      </c>
      <c r="D23" s="57" t="s">
        <v>4522</v>
      </c>
      <c r="E23" s="56"/>
      <c r="F23" s="56" t="s">
        <v>4340</v>
      </c>
      <c r="G23" s="56" t="str">
        <f t="shared" si="10"/>
        <v>numeric</v>
      </c>
      <c r="H23" s="59"/>
      <c r="I23" s="60"/>
      <c r="J23" s="64" t="s">
        <v>4646</v>
      </c>
      <c r="N23" s="76"/>
      <c r="O23" s="76"/>
      <c r="P23" s="76" t="str">
        <f t="shared" si="11"/>
        <v>,egfr_value</v>
      </c>
      <c r="Q23" s="76" t="str">
        <f t="shared" si="0"/>
        <v>NUMERIC</v>
      </c>
      <c r="R23" s="76" t="str">
        <f t="shared" si="1"/>
        <v/>
      </c>
      <c r="S23" s="76" t="str">
        <f t="shared" si="8"/>
        <v/>
      </c>
      <c r="T23" s="76" t="str">
        <f t="shared" si="9"/>
        <v>-- eGFR_検査値</v>
      </c>
      <c r="U23" s="4"/>
      <c r="V23" s="25" t="str">
        <f t="shared" si="12"/>
        <v>,max(egfr_value)</v>
      </c>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milscm_2023_009.sny_202310_annony_kensa.egfr_value IS 'eGFR_検査値';</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ENT_61_05</v>
      </c>
      <c r="E6" s="273"/>
      <c r="F6" s="273"/>
      <c r="G6" s="273"/>
      <c r="H6" s="273"/>
      <c r="I6" s="273"/>
      <c r="J6" s="274"/>
    </row>
    <row r="7" spans="1:45">
      <c r="B7" s="262" t="s">
        <v>115</v>
      </c>
      <c r="C7" s="263"/>
      <c r="D7" s="264" t="s">
        <v>4529</v>
      </c>
      <c r="E7" s="265"/>
      <c r="F7" s="265"/>
      <c r="G7" s="265"/>
      <c r="H7" s="265"/>
      <c r="I7" s="265"/>
      <c r="J7" s="266"/>
    </row>
    <row r="8" spans="1:45">
      <c r="B8" s="262" t="s">
        <v>116</v>
      </c>
      <c r="C8" s="263"/>
      <c r="D8" s="264" t="str">
        <f>エンティティ一覧!AE2&amp;"_"&amp;D5&amp;"_shinryou_koui"</f>
        <v>sny_202310_annony_shinryou_koui</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milscm_2023_009.sny_202310_annony_shinryou_koui;</v>
      </c>
      <c r="O10" s="76"/>
      <c r="P10" s="76"/>
      <c r="Q10" s="76"/>
      <c r="R10" s="76"/>
      <c r="S10" s="76"/>
      <c r="T10" s="76"/>
      <c r="AJ10" s="76" t="str">
        <f>"ALTER TABLE ONLY "&amp;エンティティ一覧!$O$2&amp;"."&amp;D$8</f>
        <v>ALTER TABLE ONLY milscm_2023_009.sny_202310_annony_shinryou_koui</v>
      </c>
      <c r="AS10" s="76" t="str">
        <f>"ALTER TABLE "&amp;エンティティ一覧!$O$2&amp;"."&amp;D$8&amp;" OWNER TO pgmisgrp1;"</f>
        <v>ALTER TABLE milscm_2023_009.sny_202310_annony_shinryou_koui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milscm_2023_009.sny_202310_annony_shinryou_koui</v>
      </c>
      <c r="O11" s="76"/>
      <c r="P11" s="76"/>
      <c r="Q11" s="76"/>
      <c r="R11" s="76"/>
      <c r="S11" s="76"/>
      <c r="T11" s="76"/>
      <c r="AJ11" s="76" t="str">
        <f>"ADD CONSTRAINT "&amp;D$8&amp;"_pkey PRIMARY KEY"</f>
        <v>ADD CONSTRAINT sny_202310_annony_shinryou_koui_pkey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milscm_2023_009.sny_202310_annony_shinryou_koui IS '匿名化_診療行為情報';</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22" si="0">UPPER(G13)</f>
        <v>TEXT</v>
      </c>
      <c r="R13" s="76" t="str">
        <f t="shared" ref="R13:R22"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milscm_2023_009.sny_202310_annony_shinryou_koui.mask_id IS 'マスクID';</v>
      </c>
    </row>
    <row r="14" spans="1:45" s="25" customFormat="1">
      <c r="A14" s="4"/>
      <c r="B14" s="21">
        <f t="shared" ref="B14:B21" si="2">ROW()-12</f>
        <v>2</v>
      </c>
      <c r="C14" s="13" t="s">
        <v>4499</v>
      </c>
      <c r="D14" s="13" t="s">
        <v>4500</v>
      </c>
      <c r="E14" s="8" t="s">
        <v>127</v>
      </c>
      <c r="F14" s="7" t="s">
        <v>4348</v>
      </c>
      <c r="G14" s="7" t="s">
        <v>99</v>
      </c>
      <c r="H14" s="58"/>
      <c r="I14" s="10" t="s">
        <v>127</v>
      </c>
      <c r="J14" s="24" t="s">
        <v>4530</v>
      </c>
      <c r="M14" s="4"/>
      <c r="N14" s="76"/>
      <c r="O14" s="76"/>
      <c r="P14" s="76" t="str">
        <f t="shared" ref="P14:P22" si="3">IF(B14&lt;&gt;1,","&amp;D14,D14)</f>
        <v>,event_date</v>
      </c>
      <c r="Q14" s="76" t="str">
        <f t="shared" si="0"/>
        <v>DATE</v>
      </c>
      <c r="R14" s="76" t="str">
        <f t="shared" si="1"/>
        <v/>
      </c>
      <c r="S14" s="76" t="str">
        <f t="shared" ref="S14:S22" si="4">IF(I14="○","NOT NULL","")</f>
        <v>NOT NULL</v>
      </c>
      <c r="T14" s="76" t="str">
        <f t="shared" ref="T14:T22" si="5">"-- "&amp;C14</f>
        <v>-- イベント日付</v>
      </c>
      <c r="U14" s="4"/>
      <c r="AA14" s="4"/>
      <c r="AB14" s="4"/>
      <c r="AC14" s="4"/>
      <c r="AD14" s="4"/>
      <c r="AE14" s="4"/>
      <c r="AF14" s="4"/>
      <c r="AG14" s="4"/>
      <c r="AH14" s="4"/>
      <c r="AI14" s="4"/>
      <c r="AJ14" s="76" t="str">
        <f>IF(E14="○",IF(COUNTA(E$13:E14)=1,"",",")&amp;D14,"")</f>
        <v>,event_date</v>
      </c>
      <c r="AK14" s="4"/>
      <c r="AL14" s="4"/>
      <c r="AM14" s="4"/>
      <c r="AN14" s="4"/>
      <c r="AO14" s="4"/>
      <c r="AP14" s="4"/>
      <c r="AQ14" s="4"/>
      <c r="AR14" s="4"/>
      <c r="AS14" s="76" t="str">
        <f>"COMMENT ON COLUMN "&amp;エンティティ一覧!$O$2&amp;"."&amp;D$8&amp;"."&amp;D14&amp;" IS '"&amp;C14&amp;"';"</f>
        <v>COMMENT ON COLUMN milscm_2023_009.sny_202310_annony_shinryou_koui.event_date IS 'イベント日付';</v>
      </c>
    </row>
    <row r="15" spans="1:45" s="25" customFormat="1" ht="31.5">
      <c r="A15" s="4"/>
      <c r="B15" s="21">
        <f t="shared" si="2"/>
        <v>3</v>
      </c>
      <c r="C15" s="13" t="s">
        <v>4531</v>
      </c>
      <c r="D15" s="13" t="s">
        <v>4539</v>
      </c>
      <c r="E15" s="8"/>
      <c r="F15" s="7" t="s">
        <v>4176</v>
      </c>
      <c r="G15" s="7" t="str">
        <f>IF(F15="フラグ","boolean",IF(F15="文字列","text",IF(F15="整数","integer",IF(F15="実数","numeric",""))))</f>
        <v>text</v>
      </c>
      <c r="H15" s="58"/>
      <c r="I15" s="23"/>
      <c r="J15" s="24" t="s">
        <v>4645</v>
      </c>
      <c r="M15" s="4"/>
      <c r="N15" s="76"/>
      <c r="O15" s="76"/>
      <c r="P15" s="76" t="str">
        <f t="shared" si="3"/>
        <v>,ct_fish_flg</v>
      </c>
      <c r="Q15" s="76" t="str">
        <f t="shared" si="0"/>
        <v>TEXT</v>
      </c>
      <c r="R15" s="76" t="str">
        <f t="shared" si="1"/>
        <v/>
      </c>
      <c r="S15" s="76" t="str">
        <f t="shared" si="4"/>
        <v/>
      </c>
      <c r="T15" s="76" t="str">
        <f t="shared" si="5"/>
        <v>-- 染色体検査（ＦＩＳＨ法）_実施有無</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milscm_2023_009.sny_202310_annony_shinryou_koui.ct_fish_flg IS '染色体検査（ＦＩＳＨ法）_実施有無';</v>
      </c>
    </row>
    <row r="16" spans="1:45" s="25" customFormat="1">
      <c r="A16" s="4"/>
      <c r="B16" s="21">
        <f t="shared" si="2"/>
        <v>4</v>
      </c>
      <c r="C16" s="13" t="s">
        <v>4532</v>
      </c>
      <c r="D16" s="13" t="s">
        <v>4540</v>
      </c>
      <c r="E16" s="8"/>
      <c r="F16" s="7" t="s">
        <v>4176</v>
      </c>
      <c r="G16" s="7" t="str">
        <f t="shared" ref="G16:G22" si="6">IF(F16="フラグ","boolean",IF(F16="文字列","text",IF(F16="整数","integer",IF(F16="実数","numeric",""))))</f>
        <v>text</v>
      </c>
      <c r="H16" s="58"/>
      <c r="I16" s="23"/>
      <c r="J16" s="24" t="s">
        <v>4644</v>
      </c>
      <c r="M16" s="4"/>
      <c r="N16" s="76"/>
      <c r="O16" s="76"/>
      <c r="P16" s="76" t="str">
        <f t="shared" si="3"/>
        <v>,ct_etc_flg</v>
      </c>
      <c r="Q16" s="76" t="str">
        <f t="shared" si="0"/>
        <v>TEXT</v>
      </c>
      <c r="R16" s="76" t="str">
        <f t="shared" si="1"/>
        <v/>
      </c>
      <c r="S16" s="76" t="str">
        <f t="shared" si="4"/>
        <v/>
      </c>
      <c r="T16" s="76" t="str">
        <f t="shared" si="5"/>
        <v>-- 染色体検査（その他）_実施有無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milscm_2023_009.sny_202310_annony_shinryou_koui.ct_etc_flg IS '染色体検査（その他）_実施有無';</v>
      </c>
    </row>
    <row r="17" spans="1:52" s="25" customFormat="1" ht="31.5">
      <c r="A17" s="4"/>
      <c r="B17" s="21">
        <f t="shared" si="2"/>
        <v>5</v>
      </c>
      <c r="C17" s="13" t="s">
        <v>4533</v>
      </c>
      <c r="D17" s="13" t="s">
        <v>4541</v>
      </c>
      <c r="E17" s="8"/>
      <c r="F17" s="7" t="s">
        <v>4176</v>
      </c>
      <c r="G17" s="7" t="str">
        <f t="shared" si="6"/>
        <v>text</v>
      </c>
      <c r="H17" s="58"/>
      <c r="I17" s="23"/>
      <c r="J17" s="24" t="s">
        <v>4644</v>
      </c>
      <c r="M17" s="4"/>
      <c r="N17" s="76"/>
      <c r="O17" s="76"/>
      <c r="P17" s="76" t="str">
        <f t="shared" si="3"/>
        <v>,pma_ct_flg</v>
      </c>
      <c r="Q17" s="76" t="str">
        <f t="shared" si="0"/>
        <v>TEXT</v>
      </c>
      <c r="R17" s="76" t="str">
        <f t="shared" si="1"/>
        <v/>
      </c>
      <c r="S17" s="76" t="str">
        <f t="shared" si="4"/>
        <v/>
      </c>
      <c r="T17" s="76" t="str">
        <f t="shared" si="5"/>
        <v>-- 分染法加算（染色体検査）_実施有無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milscm_2023_009.sny_202310_annony_shinryou_koui.pma_ct_flg IS '分染法加算（染色体検査）_実施有無';</v>
      </c>
    </row>
    <row r="18" spans="1:52" s="25" customFormat="1" ht="31.5">
      <c r="A18" s="4"/>
      <c r="B18" s="21">
        <f t="shared" si="2"/>
        <v>6</v>
      </c>
      <c r="C18" s="13" t="s">
        <v>4534</v>
      </c>
      <c r="D18" s="13" t="s">
        <v>4544</v>
      </c>
      <c r="E18" s="8"/>
      <c r="F18" s="7" t="s">
        <v>4176</v>
      </c>
      <c r="G18" s="7" t="str">
        <f t="shared" si="6"/>
        <v>text</v>
      </c>
      <c r="H18" s="58"/>
      <c r="I18" s="23"/>
      <c r="J18" s="24" t="s">
        <v>4644</v>
      </c>
      <c r="M18" s="4"/>
      <c r="N18" s="76"/>
      <c r="O18" s="76"/>
      <c r="P18" s="76" t="str">
        <f t="shared" si="3"/>
        <v>,bmt_allogeneic_flg</v>
      </c>
      <c r="Q18" s="76" t="str">
        <f t="shared" si="0"/>
        <v>TEXT</v>
      </c>
      <c r="R18" s="76" t="str">
        <f t="shared" si="1"/>
        <v/>
      </c>
      <c r="S18" s="76" t="str">
        <f t="shared" si="4"/>
        <v/>
      </c>
      <c r="T18" s="76" t="str">
        <f t="shared" si="5"/>
        <v>-- 造血幹細胞移植（骨髄移植）（同種移植）_実施有無</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milscm_2023_009.sny_202310_annony_shinryou_koui.bmt_allogeneic_flg IS '造血幹細胞移植（骨髄移植）（同種移植）_実施有無';</v>
      </c>
    </row>
    <row r="19" spans="1:52" s="25" customFormat="1" ht="31.5">
      <c r="A19" s="4"/>
      <c r="B19" s="21">
        <f t="shared" si="2"/>
        <v>7</v>
      </c>
      <c r="C19" s="13" t="s">
        <v>4535</v>
      </c>
      <c r="D19" s="13" t="s">
        <v>4547</v>
      </c>
      <c r="E19" s="8"/>
      <c r="F19" s="7" t="s">
        <v>4176</v>
      </c>
      <c r="G19" s="7" t="str">
        <f t="shared" si="6"/>
        <v>text</v>
      </c>
      <c r="H19" s="58"/>
      <c r="I19" s="23"/>
      <c r="J19" s="24" t="s">
        <v>4644</v>
      </c>
      <c r="M19" s="4"/>
      <c r="N19" s="76"/>
      <c r="O19" s="76"/>
      <c r="P19" s="76" t="str">
        <f t="shared" si="3"/>
        <v>,bmt_autologous_flg</v>
      </c>
      <c r="Q19" s="76" t="str">
        <f t="shared" si="0"/>
        <v>TEXT</v>
      </c>
      <c r="R19" s="76" t="str">
        <f t="shared" si="1"/>
        <v/>
      </c>
      <c r="S19" s="76" t="str">
        <f t="shared" si="4"/>
        <v/>
      </c>
      <c r="T19" s="76" t="str">
        <f t="shared" si="5"/>
        <v>-- 造血幹細胞移植（骨髄移植）（自家移植）_実施有無</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milscm_2023_009.sny_202310_annony_shinryou_koui.bmt_autologous_flg IS '造血幹細胞移植（骨髄移植）（自家移植）_実施有無';</v>
      </c>
    </row>
    <row r="20" spans="1:52" s="25" customFormat="1" ht="31.5">
      <c r="A20" s="4"/>
      <c r="B20" s="21">
        <f t="shared" si="2"/>
        <v>8</v>
      </c>
      <c r="C20" s="13" t="s">
        <v>4542</v>
      </c>
      <c r="D20" s="13" t="s">
        <v>4548</v>
      </c>
      <c r="E20" s="8"/>
      <c r="F20" s="7" t="s">
        <v>4176</v>
      </c>
      <c r="G20" s="7" t="str">
        <f t="shared" si="6"/>
        <v>text</v>
      </c>
      <c r="H20" s="58"/>
      <c r="I20" s="23"/>
      <c r="J20" s="24" t="s">
        <v>4644</v>
      </c>
      <c r="M20" s="4"/>
      <c r="N20" s="76"/>
      <c r="O20" s="76"/>
      <c r="P20" s="76" t="str">
        <f t="shared" si="3"/>
        <v>,pbsct_autologous_flg</v>
      </c>
      <c r="Q20" s="76" t="str">
        <f t="shared" si="0"/>
        <v>TEXT</v>
      </c>
      <c r="R20" s="76" t="str">
        <f t="shared" si="1"/>
        <v/>
      </c>
      <c r="S20" s="76" t="str">
        <f t="shared" si="4"/>
        <v/>
      </c>
      <c r="T20" s="76" t="str">
        <f t="shared" si="5"/>
        <v>-- 造血幹細胞移植（末梢血幹細胞移植）（自家移植）_実施有無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milscm_2023_009.sny_202310_annony_shinryou_koui.pbsct_autologous_flg IS '造血幹細胞移植（末梢血幹細胞移植）（自家移植）_実施有無';</v>
      </c>
    </row>
    <row r="21" spans="1:52" s="25" customFormat="1" ht="31.5">
      <c r="A21" s="4"/>
      <c r="B21" s="21">
        <f t="shared" si="2"/>
        <v>9</v>
      </c>
      <c r="C21" s="13" t="s">
        <v>4536</v>
      </c>
      <c r="D21" s="13" t="s">
        <v>4559</v>
      </c>
      <c r="E21" s="8"/>
      <c r="F21" s="7" t="s">
        <v>4176</v>
      </c>
      <c r="G21" s="7" t="str">
        <f t="shared" si="6"/>
        <v>text</v>
      </c>
      <c r="H21" s="58"/>
      <c r="I21" s="23"/>
      <c r="J21" s="24" t="s">
        <v>4644</v>
      </c>
      <c r="M21" s="4"/>
      <c r="N21" s="76"/>
      <c r="O21" s="76"/>
      <c r="P21" s="76" t="str">
        <f t="shared" si="3"/>
        <v>,pbsct_allogeneic_flg</v>
      </c>
      <c r="Q21" s="76" t="str">
        <f t="shared" si="0"/>
        <v>TEXT</v>
      </c>
      <c r="R21" s="76" t="str">
        <f t="shared" si="1"/>
        <v/>
      </c>
      <c r="S21" s="76" t="str">
        <f t="shared" si="4"/>
        <v/>
      </c>
      <c r="T21" s="76" t="str">
        <f t="shared" si="5"/>
        <v>-- 造血幹細胞移植（末梢血幹細胞移植）（同種移植）_実施有無</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milscm_2023_009.sny_202310_annony_shinryou_koui.pbsct_allogeneic_flg IS '造血幹細胞移植（末梢血幹細胞移植）（同種移植）_実施有無';</v>
      </c>
    </row>
    <row r="22" spans="1:52" s="25" customFormat="1" ht="32.25" thickBot="1">
      <c r="A22" s="4"/>
      <c r="B22" s="27">
        <f>ROW()-12</f>
        <v>10</v>
      </c>
      <c r="C22" s="57" t="s">
        <v>4537</v>
      </c>
      <c r="D22" s="57" t="s">
        <v>4543</v>
      </c>
      <c r="E22" s="56"/>
      <c r="F22" s="56" t="s">
        <v>4176</v>
      </c>
      <c r="G22" s="56" t="str">
        <f t="shared" si="6"/>
        <v>text</v>
      </c>
      <c r="H22" s="59"/>
      <c r="I22" s="60"/>
      <c r="J22" s="64" t="s">
        <v>4644</v>
      </c>
      <c r="N22" s="76"/>
      <c r="O22" s="76"/>
      <c r="P22" s="76" t="str">
        <f t="shared" si="3"/>
        <v>,ucbt_flg</v>
      </c>
      <c r="Q22" s="76" t="str">
        <f t="shared" si="0"/>
        <v>TEXT</v>
      </c>
      <c r="R22" s="76" t="str">
        <f t="shared" si="1"/>
        <v/>
      </c>
      <c r="S22" s="76" t="str">
        <f t="shared" si="4"/>
        <v/>
      </c>
      <c r="T22" s="76" t="str">
        <f t="shared" si="5"/>
        <v>-- 造血幹細胞移植（臍帯血移植）_実施有無</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milscm_2023_009.sny_202310_annony_shinryou_koui.ucbt_flg IS '造血幹細胞移植（臍帯血移植）_実施有無';</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topLeftCell="B1" zoomScale="85" zoomScaleNormal="85" workbookViewId="0">
      <selection activeCell="D18" sqref="D1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ENT_61_06</v>
      </c>
      <c r="E6" s="273"/>
      <c r="F6" s="273"/>
      <c r="G6" s="273"/>
      <c r="H6" s="273"/>
      <c r="I6" s="273"/>
      <c r="J6" s="274"/>
    </row>
    <row r="7" spans="1:45">
      <c r="B7" s="262" t="s">
        <v>115</v>
      </c>
      <c r="C7" s="263"/>
      <c r="D7" s="264" t="s">
        <v>4638</v>
      </c>
      <c r="E7" s="265"/>
      <c r="F7" s="265"/>
      <c r="G7" s="265"/>
      <c r="H7" s="265"/>
      <c r="I7" s="265"/>
      <c r="J7" s="266"/>
    </row>
    <row r="8" spans="1:45">
      <c r="B8" s="262" t="s">
        <v>116</v>
      </c>
      <c r="C8" s="263"/>
      <c r="D8" s="264" t="str">
        <f>エンティティ一覧!AE2&amp;"_"&amp;D5&amp;"_yakuzai"</f>
        <v>sny_202310_annony_yakuzai</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milscm_2023_009.sny_202310_annony_yakuzai;</v>
      </c>
      <c r="O10" s="76"/>
      <c r="P10" s="76"/>
      <c r="Q10" s="76"/>
      <c r="R10" s="76"/>
      <c r="S10" s="76"/>
      <c r="T10" s="76"/>
      <c r="AJ10" s="76" t="str">
        <f>"ALTER TABLE ONLY "&amp;エンティティ一覧!$O$2&amp;"."&amp;D$8</f>
        <v>ALTER TABLE ONLY milscm_2023_009.sny_202310_annony_yakuzai</v>
      </c>
      <c r="AS10" s="76" t="str">
        <f>"ALTER TABLE "&amp;エンティティ一覧!$O$2&amp;"."&amp;D$8&amp;" OWNER TO pgmisgrp1;"</f>
        <v>ALTER TABLE milscm_2023_009.sny_202310_annony_yakuzai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milscm_2023_009.sny_202310_annony_yakuzai</v>
      </c>
      <c r="O11" s="76"/>
      <c r="P11" s="76"/>
      <c r="Q11" s="76"/>
      <c r="R11" s="76"/>
      <c r="S11" s="76"/>
      <c r="T11" s="76"/>
      <c r="AJ11" s="76" t="str">
        <f>"ADD CONSTRAINT "&amp;D$8&amp;"_pkey PRIMARY KEY"</f>
        <v>ADD CONSTRAINT sny_202310_annony_yakuzai_pkey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milscm_2023_009.sny_202310_annony_yakuzai IS '匿名化_薬剤情報';</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9" si="0">UPPER(G13)</f>
        <v>TEXT</v>
      </c>
      <c r="R13" s="76" t="str">
        <f t="shared" ref="R13:R19"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milscm_2023_009.sny_202310_annony_yakuzai.mask_id IS 'マスクID';</v>
      </c>
    </row>
    <row r="14" spans="1:45" s="25" customFormat="1">
      <c r="A14" s="4"/>
      <c r="B14" s="21">
        <f t="shared" ref="B14:B18" si="2">ROW()-12</f>
        <v>2</v>
      </c>
      <c r="C14" s="13" t="s">
        <v>4345</v>
      </c>
      <c r="D14" s="13" t="s">
        <v>4643</v>
      </c>
      <c r="E14" s="8" t="s">
        <v>127</v>
      </c>
      <c r="F14" s="7" t="s">
        <v>737</v>
      </c>
      <c r="G14" s="7" t="str">
        <f t="shared" ref="G14:G19" si="3">IF(F14="フラグ","boolean",IF(F14="文字列","text",IF(F14="整数","integer",IF(F14="実数","numeric",""))))</f>
        <v>text</v>
      </c>
      <c r="H14" s="58"/>
      <c r="I14" s="23" t="s">
        <v>127</v>
      </c>
      <c r="J14" s="24"/>
      <c r="M14" s="4"/>
      <c r="N14" s="76"/>
      <c r="O14" s="76"/>
      <c r="P14" s="76" t="str">
        <f t="shared" ref="P14:P19" si="4">IF(B14&lt;&gt;1,","&amp;D14,D14)</f>
        <v>,shoho_start_date</v>
      </c>
      <c r="Q14" s="76" t="str">
        <f t="shared" si="0"/>
        <v>TEXT</v>
      </c>
      <c r="R14" s="76" t="str">
        <f t="shared" si="1"/>
        <v/>
      </c>
      <c r="S14" s="76" t="str">
        <f t="shared" ref="S14:S19" si="5">IF(I14="○","NOT NULL","")</f>
        <v>NOT NULL</v>
      </c>
      <c r="T14" s="76" t="str">
        <f t="shared" ref="T14:T19" si="6">"-- "&amp;C14</f>
        <v>-- 実施年月日</v>
      </c>
      <c r="U14" s="4"/>
      <c r="AA14" s="4"/>
      <c r="AB14" s="4"/>
      <c r="AC14" s="4"/>
      <c r="AD14" s="4"/>
      <c r="AE14" s="4"/>
      <c r="AF14" s="4"/>
      <c r="AG14" s="4"/>
      <c r="AH14" s="4"/>
      <c r="AI14" s="4"/>
      <c r="AJ14" s="76" t="str">
        <f>IF(E14="○",IF(COUNTA(E$13:E14)=1,"",",")&amp;D14,"")</f>
        <v>,shoho_start_date</v>
      </c>
      <c r="AK14" s="4"/>
      <c r="AL14" s="4"/>
      <c r="AM14" s="4"/>
      <c r="AN14" s="4"/>
      <c r="AO14" s="4"/>
      <c r="AP14" s="4"/>
      <c r="AQ14" s="4"/>
      <c r="AR14" s="4"/>
      <c r="AS14" s="76" t="str">
        <f>"COMMENT ON COLUMN "&amp;エンティティ一覧!$O$2&amp;"."&amp;D$8&amp;"."&amp;D14&amp;" IS '"&amp;C14&amp;"';"</f>
        <v>COMMENT ON COLUMN milscm_2023_009.sny_202310_annony_yakuzai.shoho_start_date IS '実施年月日';</v>
      </c>
    </row>
    <row r="15" spans="1:45" s="25" customFormat="1" ht="37.5">
      <c r="A15" s="4"/>
      <c r="B15" s="21">
        <f t="shared" si="2"/>
        <v>3</v>
      </c>
      <c r="C15" s="13" t="s">
        <v>4301</v>
      </c>
      <c r="D15" s="13" t="s">
        <v>4562</v>
      </c>
      <c r="E15" s="8" t="s">
        <v>127</v>
      </c>
      <c r="F15" s="7" t="s">
        <v>1990</v>
      </c>
      <c r="G15" s="7" t="str">
        <f t="shared" ref="G15" si="7">IF(F15="フラグ","boolean",IF(F15="文字列","text",IF(F15="整数","integer",IF(F15="実数","numeric",""))))</f>
        <v>integer</v>
      </c>
      <c r="H15" s="58"/>
      <c r="I15" s="23" t="s">
        <v>127</v>
      </c>
      <c r="J15" s="24" t="s">
        <v>4642</v>
      </c>
      <c r="M15" s="4"/>
      <c r="N15" s="76"/>
      <c r="O15" s="76"/>
      <c r="P15" s="76" t="str">
        <f t="shared" ref="P15" si="8">IF(B15&lt;&gt;1,","&amp;D15,D15)</f>
        <v>,row_no</v>
      </c>
      <c r="Q15" s="76" t="str">
        <f t="shared" ref="Q15" si="9">UPPER(G15)</f>
        <v>INTEGER</v>
      </c>
      <c r="R15" s="76" t="str">
        <f t="shared" ref="R15" si="10">IF(H15&lt;&gt;"","default "&amp;IF(G15="text","'"&amp;H15&amp;"'",H15),"")</f>
        <v/>
      </c>
      <c r="S15" s="76" t="str">
        <f t="shared" ref="S15" si="11">IF(I15="○","NOT NULL","")</f>
        <v>NOT NULL</v>
      </c>
      <c r="T15" s="76" t="str">
        <f t="shared" ref="T15" si="12">"-- "&amp;C15</f>
        <v>-- 行番号</v>
      </c>
      <c r="U15" s="4"/>
      <c r="AA15" s="4"/>
      <c r="AB15" s="4"/>
      <c r="AC15" s="4"/>
      <c r="AD15" s="4"/>
      <c r="AE15" s="4"/>
      <c r="AF15" s="4"/>
      <c r="AG15" s="4"/>
      <c r="AH15" s="4"/>
      <c r="AI15" s="4"/>
      <c r="AJ15" s="76" t="str">
        <f>IF(E15="○",IF(COUNTA(E$13:E15)=1,"",",")&amp;D15,"")</f>
        <v>,row_no</v>
      </c>
      <c r="AK15" s="4"/>
      <c r="AL15" s="4"/>
      <c r="AM15" s="4"/>
      <c r="AN15" s="4"/>
      <c r="AO15" s="4"/>
      <c r="AP15" s="4"/>
      <c r="AQ15" s="4"/>
      <c r="AR15" s="4"/>
      <c r="AS15" s="76" t="str">
        <f>"COMMENT ON COLUMN "&amp;エンティティ一覧!$O$2&amp;"."&amp;D$8&amp;"."&amp;D15&amp;" IS '"&amp;C15&amp;"';"</f>
        <v>COMMENT ON COLUMN milscm_2023_009.sny_202310_annony_yakuzai.row_no IS '行番号';</v>
      </c>
    </row>
    <row r="16" spans="1:45" s="25" customFormat="1">
      <c r="A16" s="4"/>
      <c r="B16" s="21">
        <f t="shared" si="2"/>
        <v>4</v>
      </c>
      <c r="C16" s="13" t="s">
        <v>4335</v>
      </c>
      <c r="D16" s="13" t="s">
        <v>4344</v>
      </c>
      <c r="E16" s="8"/>
      <c r="F16" s="7" t="s">
        <v>737</v>
      </c>
      <c r="G16" s="7" t="str">
        <f>IF(F16="フラグ","boolean",IF(F16="文字列","text",IF(F16="整数","integer",IF(F16="実数","numeric",""))))</f>
        <v>text</v>
      </c>
      <c r="H16" s="58"/>
      <c r="I16" s="23" t="s">
        <v>127</v>
      </c>
      <c r="J16" s="24"/>
      <c r="M16" s="4"/>
      <c r="N16" s="76"/>
      <c r="O16" s="76"/>
      <c r="P16" s="76" t="str">
        <f>IF(B16&lt;&gt;1,","&amp;D16,D16)</f>
        <v>,iyakuhin_ippan_name</v>
      </c>
      <c r="Q16" s="76" t="str">
        <f>UPPER(G16)</f>
        <v>TEXT</v>
      </c>
      <c r="R16" s="76" t="str">
        <f>IF(H16&lt;&gt;"","default "&amp;IF(G16="text","'"&amp;H16&amp;"'",H16),"")</f>
        <v/>
      </c>
      <c r="S16" s="76" t="str">
        <f>IF(I16="○","NOT NULL","")</f>
        <v>NOT NULL</v>
      </c>
      <c r="T16" s="76" t="str">
        <f>"-- "&amp;C16</f>
        <v>-- 薬剤表示名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milscm_2023_009.sny_202310_annony_yakuzai.iyakuhin_ippan_name IS '薬剤表示名';</v>
      </c>
    </row>
    <row r="17" spans="1:52" s="25" customFormat="1">
      <c r="A17" s="4"/>
      <c r="B17" s="21">
        <f t="shared" si="2"/>
        <v>5</v>
      </c>
      <c r="C17" s="13" t="s">
        <v>4641</v>
      </c>
      <c r="D17" s="13" t="s">
        <v>4655</v>
      </c>
      <c r="E17" s="8"/>
      <c r="F17" s="7" t="s">
        <v>1990</v>
      </c>
      <c r="G17" s="7" t="str">
        <f t="shared" si="3"/>
        <v>integer</v>
      </c>
      <c r="H17" s="58"/>
      <c r="I17" s="23" t="s">
        <v>127</v>
      </c>
      <c r="J17" s="24"/>
      <c r="M17" s="4"/>
      <c r="N17" s="76"/>
      <c r="O17" s="76"/>
      <c r="P17" s="76" t="str">
        <f t="shared" si="4"/>
        <v>,shoho_days</v>
      </c>
      <c r="Q17" s="76" t="str">
        <f t="shared" si="0"/>
        <v>INTEGER</v>
      </c>
      <c r="R17" s="76" t="str">
        <f t="shared" si="1"/>
        <v/>
      </c>
      <c r="S17" s="76" t="str">
        <f t="shared" si="5"/>
        <v>NOT NULL</v>
      </c>
      <c r="T17" s="76" t="str">
        <f t="shared" si="6"/>
        <v>-- 処方日数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milscm_2023_009.sny_202310_annony_yakuzai.shoho_days IS '処方日数';</v>
      </c>
    </row>
    <row r="18" spans="1:52" s="25" customFormat="1">
      <c r="A18" s="4"/>
      <c r="B18" s="21">
        <f t="shared" si="2"/>
        <v>6</v>
      </c>
      <c r="C18" s="13" t="s">
        <v>4419</v>
      </c>
      <c r="D18" s="13" t="s">
        <v>4338</v>
      </c>
      <c r="E18" s="8"/>
      <c r="F18" s="7" t="s">
        <v>4340</v>
      </c>
      <c r="G18" s="7" t="str">
        <f t="shared" si="3"/>
        <v>numeric</v>
      </c>
      <c r="H18" s="58"/>
      <c r="I18" s="23" t="s">
        <v>127</v>
      </c>
      <c r="J18" s="122" t="s">
        <v>4420</v>
      </c>
      <c r="M18" s="4"/>
      <c r="N18" s="76"/>
      <c r="O18" s="76"/>
      <c r="P18" s="76" t="str">
        <f t="shared" si="4"/>
        <v>,toyoryo</v>
      </c>
      <c r="Q18" s="76" t="str">
        <f t="shared" si="0"/>
        <v>NUMERIC</v>
      </c>
      <c r="R18" s="76" t="str">
        <f t="shared" si="1"/>
        <v/>
      </c>
      <c r="S18" s="76" t="str">
        <f t="shared" si="5"/>
        <v>NOT NULL</v>
      </c>
      <c r="T18" s="76" t="str">
        <f t="shared" si="6"/>
        <v>-- 投与量</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milscm_2023_009.sny_202310_annony_yakuzai.toyoryo IS '投与量';</v>
      </c>
    </row>
    <row r="19" spans="1:52" s="25" customFormat="1" ht="19.5" thickBot="1">
      <c r="A19" s="4"/>
      <c r="B19" s="27">
        <f>ROW()-12</f>
        <v>7</v>
      </c>
      <c r="C19" s="57" t="s">
        <v>2684</v>
      </c>
      <c r="D19" s="57" t="s">
        <v>4339</v>
      </c>
      <c r="E19" s="56"/>
      <c r="F19" s="56" t="s">
        <v>1780</v>
      </c>
      <c r="G19" s="56" t="str">
        <f t="shared" si="3"/>
        <v>text</v>
      </c>
      <c r="H19" s="59"/>
      <c r="I19" s="60" t="s">
        <v>127</v>
      </c>
      <c r="J19" s="64"/>
      <c r="N19" s="76"/>
      <c r="O19" s="76"/>
      <c r="P19" s="76" t="str">
        <f t="shared" si="4"/>
        <v>,seibun_unit_name</v>
      </c>
      <c r="Q19" s="76" t="str">
        <f t="shared" si="0"/>
        <v>TEXT</v>
      </c>
      <c r="R19" s="76" t="str">
        <f t="shared" si="1"/>
        <v/>
      </c>
      <c r="S19" s="76" t="str">
        <f t="shared" si="5"/>
        <v>NOT NULL</v>
      </c>
      <c r="T19" s="76" t="str">
        <f t="shared" si="6"/>
        <v>-- 成分単位名称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milscm_2023_009.sny_202310_annony_yakuzai.seibun_unit_name IS '成分単位名称';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ENT_61_07</v>
      </c>
      <c r="E6" s="273"/>
      <c r="F6" s="273"/>
      <c r="G6" s="273"/>
      <c r="H6" s="273"/>
      <c r="I6" s="273"/>
      <c r="J6" s="274"/>
    </row>
    <row r="7" spans="1:45">
      <c r="B7" s="262" t="s">
        <v>115</v>
      </c>
      <c r="C7" s="263"/>
      <c r="D7" s="264" t="s">
        <v>4498</v>
      </c>
      <c r="E7" s="265"/>
      <c r="F7" s="265"/>
      <c r="G7" s="265"/>
      <c r="H7" s="265"/>
      <c r="I7" s="265"/>
      <c r="J7" s="266"/>
    </row>
    <row r="8" spans="1:45">
      <c r="B8" s="262" t="s">
        <v>116</v>
      </c>
      <c r="C8" s="263"/>
      <c r="D8" s="264" t="str">
        <f>エンティティ一覧!AE2&amp;"_"&amp;D5&amp;"_date_info"</f>
        <v>sny_202310_annony_date_info</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milscm_2023_009.sny_202310_annony_date_info;</v>
      </c>
      <c r="O10" s="76"/>
      <c r="P10" s="76"/>
      <c r="Q10" s="76"/>
      <c r="R10" s="76"/>
      <c r="S10" s="76"/>
      <c r="T10" s="76"/>
      <c r="AJ10" s="76" t="str">
        <f>"ALTER TABLE ONLY "&amp;エンティティ一覧!$O$2&amp;"."&amp;D$8</f>
        <v>ALTER TABLE ONLY milscm_2023_009.sny_202310_annony_date_info</v>
      </c>
      <c r="AS10" s="76" t="str">
        <f>"ALTER TABLE "&amp;エンティティ一覧!$O$2&amp;"."&amp;D$8&amp;" OWNER TO pgmisgrp1;"</f>
        <v>ALTER TABLE milscm_2023_009.sny_202310_annony_date_info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milscm_2023_009.sny_202310_annony_date_info</v>
      </c>
      <c r="O11" s="76"/>
      <c r="P11" s="76"/>
      <c r="Q11" s="76"/>
      <c r="R11" s="76"/>
      <c r="S11" s="76"/>
      <c r="T11" s="76"/>
      <c r="AJ11" s="76" t="str">
        <f>"ADD CONSTRAINT "&amp;D$8&amp;"_pkey PRIMARY KEY"</f>
        <v>ADD CONSTRAINT sny_202310_annony_date_info_pkey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milscm_2023_009.sny_202310_annony_date_info IS '匿名化_日付情報';</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milscm_2023_009.sny_202310_annony_date_info.mask_id IS 'マスクID';</v>
      </c>
    </row>
    <row r="14" spans="1:45" s="25" customFormat="1">
      <c r="A14" s="4"/>
      <c r="B14" s="21">
        <f t="shared" ref="B14:B17" si="2">ROW()-12</f>
        <v>2</v>
      </c>
      <c r="C14" s="13" t="s">
        <v>4499</v>
      </c>
      <c r="D14" s="13" t="s">
        <v>4500</v>
      </c>
      <c r="E14" s="8" t="s">
        <v>127</v>
      </c>
      <c r="F14" s="7" t="s">
        <v>4348</v>
      </c>
      <c r="G14" s="7" t="s">
        <v>99</v>
      </c>
      <c r="H14" s="58"/>
      <c r="I14" s="23" t="s">
        <v>127</v>
      </c>
      <c r="J14" s="122"/>
      <c r="M14" s="4"/>
      <c r="N14" s="76"/>
      <c r="O14" s="76"/>
      <c r="P14" s="76" t="str">
        <f t="shared" ref="P14" si="3">IF(B14&lt;&gt;1,","&amp;D14,D14)</f>
        <v>,event_date</v>
      </c>
      <c r="Q14" s="76" t="str">
        <f t="shared" ref="Q14" si="4">UPPER(G14)</f>
        <v>DATE</v>
      </c>
      <c r="R14" s="76" t="str">
        <f t="shared" ref="R14" si="5">IF(H14&lt;&gt;"","default "&amp;IF(G14="text","'"&amp;H14&amp;"'",H14),"")</f>
        <v/>
      </c>
      <c r="S14" s="76" t="str">
        <f t="shared" ref="S14" si="6">IF(I14="○","NOT NULL","")</f>
        <v>NOT NULL</v>
      </c>
      <c r="T14" s="76" t="str">
        <f t="shared" ref="T14" si="7">"-- "&amp;C14</f>
        <v>-- イベント日付</v>
      </c>
      <c r="U14" s="4"/>
      <c r="AA14" s="4"/>
      <c r="AB14" s="4"/>
      <c r="AC14" s="4"/>
      <c r="AD14" s="4"/>
      <c r="AE14" s="4"/>
      <c r="AF14" s="4"/>
      <c r="AG14" s="4"/>
      <c r="AH14" s="4"/>
      <c r="AI14" s="4"/>
      <c r="AJ14" s="76" t="str">
        <f>IF(E14="○",IF(COUNTA(E$13:E14)=1,"",",")&amp;D14,"")</f>
        <v>,event_date</v>
      </c>
      <c r="AK14" s="4"/>
      <c r="AL14" s="4"/>
      <c r="AM14" s="4"/>
      <c r="AN14" s="4"/>
      <c r="AO14" s="4"/>
      <c r="AP14" s="4"/>
      <c r="AQ14" s="4"/>
      <c r="AR14" s="4"/>
      <c r="AS14" s="76" t="str">
        <f>"COMMENT ON COLUMN "&amp;エンティティ一覧!$O$2&amp;"."&amp;D$8&amp;"."&amp;D14&amp;" IS '"&amp;C14&amp;"';"</f>
        <v>COMMENT ON COLUMN milscm_2023_009.sny_202310_annony_date_info.event_date IS 'イベント日付';</v>
      </c>
    </row>
    <row r="15" spans="1:45" s="25" customFormat="1">
      <c r="A15" s="4"/>
      <c r="B15" s="21">
        <f t="shared" si="2"/>
        <v>3</v>
      </c>
      <c r="C15" s="13" t="s">
        <v>4301</v>
      </c>
      <c r="D15" s="13" t="s">
        <v>4562</v>
      </c>
      <c r="E15" s="8" t="s">
        <v>127</v>
      </c>
      <c r="F15" s="7" t="s">
        <v>1990</v>
      </c>
      <c r="G15" s="7" t="str">
        <f t="shared" ref="G15:G16" si="8">IF(F15="フラグ","boolean",IF(F15="文字列","text",IF(F15="整数","integer",IF(F15="実数","numeric",""))))</f>
        <v>integer</v>
      </c>
      <c r="H15" s="58"/>
      <c r="I15" s="23" t="s">
        <v>127</v>
      </c>
      <c r="J15" s="122"/>
      <c r="M15" s="4"/>
      <c r="N15" s="76"/>
      <c r="O15" s="76"/>
      <c r="P15" s="76" t="str">
        <f t="shared" ref="P15" si="9">IF(B15&lt;&gt;1,","&amp;D15,D15)</f>
        <v>,row_no</v>
      </c>
      <c r="Q15" s="76" t="str">
        <f t="shared" ref="Q15" si="10">UPPER(G15)</f>
        <v>INTEGER</v>
      </c>
      <c r="R15" s="76" t="str">
        <f t="shared" ref="R15" si="11">IF(H15&lt;&gt;"","default "&amp;IF(G15="text","'"&amp;H15&amp;"'",H15),"")</f>
        <v/>
      </c>
      <c r="S15" s="76" t="str">
        <f t="shared" ref="S15" si="12">IF(I15="○","NOT NULL","")</f>
        <v>NOT NULL</v>
      </c>
      <c r="T15" s="76" t="str">
        <f t="shared" ref="T15" si="13">"-- "&amp;C15</f>
        <v>-- 行番号</v>
      </c>
      <c r="U15" s="4"/>
      <c r="AA15" s="4"/>
      <c r="AB15" s="4"/>
      <c r="AC15" s="4"/>
      <c r="AD15" s="4"/>
      <c r="AE15" s="4"/>
      <c r="AF15" s="4"/>
      <c r="AG15" s="4"/>
      <c r="AH15" s="4"/>
      <c r="AI15" s="4"/>
      <c r="AJ15" s="76" t="str">
        <f>IF(E15="○",IF(COUNTA(E$13:E15)=1,"",",")&amp;D15,"")</f>
        <v>,row_no</v>
      </c>
      <c r="AK15" s="4"/>
      <c r="AL15" s="4"/>
      <c r="AM15" s="4"/>
      <c r="AN15" s="4"/>
      <c r="AO15" s="4"/>
      <c r="AP15" s="4"/>
      <c r="AQ15" s="4"/>
      <c r="AR15" s="4"/>
      <c r="AS15" s="76" t="str">
        <f>"COMMENT ON COLUMN "&amp;エンティティ一覧!$O$2&amp;"."&amp;D$8&amp;"."&amp;D15&amp;" IS '"&amp;C15&amp;"';"</f>
        <v>COMMENT ON COLUMN milscm_2023_009.sny_202310_annony_date_info.row_no IS '行番号';</v>
      </c>
    </row>
    <row r="16" spans="1:45" s="25" customFormat="1">
      <c r="A16" s="4"/>
      <c r="B16" s="21">
        <f t="shared" si="2"/>
        <v>4</v>
      </c>
      <c r="C16" s="13" t="s">
        <v>4501</v>
      </c>
      <c r="D16" s="13" t="s">
        <v>4432</v>
      </c>
      <c r="E16" s="8"/>
      <c r="F16" s="7" t="s">
        <v>737</v>
      </c>
      <c r="G16" s="7" t="str">
        <f t="shared" si="8"/>
        <v>text</v>
      </c>
      <c r="H16" s="58"/>
      <c r="I16" s="23" t="s">
        <v>127</v>
      </c>
      <c r="J16" s="122" t="s">
        <v>4502</v>
      </c>
      <c r="M16" s="4"/>
      <c r="N16" s="76"/>
      <c r="O16" s="76"/>
      <c r="P16" s="76" t="str">
        <f t="shared" ref="P16:P18" si="14">IF(B16&lt;&gt;1,","&amp;D16,D16)</f>
        <v>,nyu_gai_kubun</v>
      </c>
      <c r="Q16" s="76" t="str">
        <f t="shared" si="0"/>
        <v>TEXT</v>
      </c>
      <c r="R16" s="76" t="str">
        <f t="shared" si="1"/>
        <v/>
      </c>
      <c r="S16" s="76" t="str">
        <f t="shared" ref="S16:S18" si="15">IF(I16="○","NOT NULL","")</f>
        <v>NOT NULL</v>
      </c>
      <c r="T16" s="76" t="str">
        <f t="shared" ref="T16:T18" si="16">"-- "&amp;C16</f>
        <v>-- 入外区分</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milscm_2023_009.sny_202310_annony_date_info.nyu_gai_kubun IS '入外区分';</v>
      </c>
    </row>
    <row r="17" spans="1:52" s="25" customFormat="1">
      <c r="A17" s="4"/>
      <c r="B17" s="21">
        <f t="shared" si="2"/>
        <v>5</v>
      </c>
      <c r="C17" s="13" t="s">
        <v>4329</v>
      </c>
      <c r="D17" s="13" t="s">
        <v>4433</v>
      </c>
      <c r="E17" s="8"/>
      <c r="F17" s="7" t="s">
        <v>4348</v>
      </c>
      <c r="G17" s="7" t="s">
        <v>25</v>
      </c>
      <c r="H17" s="58"/>
      <c r="I17" s="23"/>
      <c r="J17" s="122"/>
      <c r="M17" s="4"/>
      <c r="N17" s="76"/>
      <c r="O17" s="76"/>
      <c r="P17" s="76" t="str">
        <f t="shared" si="14"/>
        <v>,raiin_ymd</v>
      </c>
      <c r="Q17" s="76" t="str">
        <f t="shared" si="0"/>
        <v>DATE</v>
      </c>
      <c r="R17" s="76" t="str">
        <f t="shared" si="1"/>
        <v/>
      </c>
      <c r="S17" s="76" t="str">
        <f t="shared" si="15"/>
        <v/>
      </c>
      <c r="T17" s="76" t="str">
        <f t="shared" si="16"/>
        <v>-- 来院年月日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milscm_2023_009.sny_202310_annony_date_info.raiin_ymd IS '来院年月日';</v>
      </c>
    </row>
    <row r="18" spans="1:52" s="25" customFormat="1" ht="19.5" thickBot="1">
      <c r="A18" s="4"/>
      <c r="B18" s="27">
        <f>ROW()-12</f>
        <v>6</v>
      </c>
      <c r="C18" s="57" t="s">
        <v>211</v>
      </c>
      <c r="D18" s="57" t="s">
        <v>212</v>
      </c>
      <c r="E18" s="56"/>
      <c r="F18" s="56" t="s">
        <v>4348</v>
      </c>
      <c r="G18" s="56" t="s">
        <v>25</v>
      </c>
      <c r="H18" s="59"/>
      <c r="I18" s="60"/>
      <c r="J18" s="64"/>
      <c r="N18" s="76"/>
      <c r="O18" s="76"/>
      <c r="P18" s="76" t="str">
        <f t="shared" si="14"/>
        <v>,taiin_ymd</v>
      </c>
      <c r="Q18" s="76" t="str">
        <f t="shared" si="0"/>
        <v>DATE</v>
      </c>
      <c r="R18" s="76" t="str">
        <f t="shared" si="1"/>
        <v/>
      </c>
      <c r="S18" s="76" t="str">
        <f t="shared" si="15"/>
        <v/>
      </c>
      <c r="T18" s="76" t="str">
        <f t="shared" si="16"/>
        <v>-- 退院年月日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milscm_2023_009.sny_202310_annony_date_info.taiin_ymd IS '退院年月日';</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2"/>
  <sheetViews>
    <sheetView showGridLines="0" topLeftCell="B11" zoomScale="85" zoomScaleNormal="85" workbookViewId="0">
      <selection activeCell="P13" sqref="P1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ENT_61_08</v>
      </c>
      <c r="E6" s="273"/>
      <c r="F6" s="273"/>
      <c r="G6" s="273"/>
      <c r="H6" s="273"/>
      <c r="I6" s="273"/>
      <c r="J6" s="274"/>
    </row>
    <row r="7" spans="1:45">
      <c r="B7" s="262" t="s">
        <v>115</v>
      </c>
      <c r="C7" s="263"/>
      <c r="D7" s="264" t="s">
        <v>4585</v>
      </c>
      <c r="E7" s="265"/>
      <c r="F7" s="265"/>
      <c r="G7" s="265"/>
      <c r="H7" s="265"/>
      <c r="I7" s="265"/>
      <c r="J7" s="266"/>
    </row>
    <row r="8" spans="1:45">
      <c r="B8" s="262" t="s">
        <v>116</v>
      </c>
      <c r="C8" s="263"/>
      <c r="D8" s="264" t="str">
        <f>エンティティ一覧!AE2&amp;"_"&amp;D5&amp;"_bef"</f>
        <v>sny_202310_annony_bef</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milscm_2023_009.sny_202310_annony_bef;</v>
      </c>
      <c r="O10" s="76"/>
      <c r="P10" s="76"/>
      <c r="Q10" s="76"/>
      <c r="R10" s="76"/>
      <c r="S10" s="76"/>
      <c r="T10" s="76"/>
      <c r="AJ10" s="76" t="str">
        <f>"ALTER TABLE ONLY "&amp;エンティティ一覧!$O$2&amp;"."&amp;D$8</f>
        <v>ALTER TABLE ONLY milscm_2023_009.sny_202310_annony_bef</v>
      </c>
      <c r="AS10" s="76" t="str">
        <f>"ALTER TABLE "&amp;エンティティ一覧!$O$2&amp;"."&amp;D$8&amp;" OWNER TO pgmisgrp1;"</f>
        <v>ALTER TABLE milscm_2023_009.sny_202310_annony_bef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milscm_2023_009.sny_202310_annony_bef</v>
      </c>
      <c r="O11" s="76"/>
      <c r="P11" s="76"/>
      <c r="Q11" s="76"/>
      <c r="R11" s="76"/>
      <c r="S11" s="76"/>
      <c r="T11" s="76"/>
      <c r="AJ11" s="76" t="str">
        <f>"ADD CONSTRAINT "&amp;D$8&amp;"_pkey PRIMARY KEY"</f>
        <v>ADD CONSTRAINT sny_202310_annony_bef_pkey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milscm_2023_009.sny_202310_annony_bef IS '匿名化_匿名加工前データ';</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47" si="0">UPPER(G13)</f>
        <v>TEXT</v>
      </c>
      <c r="R13" s="76" t="str">
        <f t="shared" ref="R13:R47"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milscm_2023_009.sny_202310_annony_bef.mask_id IS 'マスクID';</v>
      </c>
    </row>
    <row r="14" spans="1:45" s="25" customFormat="1">
      <c r="A14" s="4"/>
      <c r="B14" s="21">
        <f t="shared" ref="B14:B17" si="2">ROW()-12</f>
        <v>2</v>
      </c>
      <c r="C14" s="13" t="s">
        <v>4177</v>
      </c>
      <c r="D14" s="13" t="s">
        <v>945</v>
      </c>
      <c r="E14" s="7"/>
      <c r="F14" s="7" t="s">
        <v>1780</v>
      </c>
      <c r="G14" s="7" t="str">
        <f t="shared" ref="G14:G15" si="3">IF(F14="フラグ","boolean",IF(F14="文字列","text",IF(F14="整数","integer",IF(F14="実数","numeric",""))))</f>
        <v>text</v>
      </c>
      <c r="H14" s="58"/>
      <c r="I14" s="23" t="s">
        <v>127</v>
      </c>
      <c r="J14" s="24" t="s">
        <v>4635</v>
      </c>
      <c r="M14" s="4"/>
      <c r="N14" s="76"/>
      <c r="O14" s="76"/>
      <c r="P14" s="76" t="str">
        <f t="shared" ref="P14:P47" si="4">IF(B14&lt;&gt;1,","&amp;D14,D14)</f>
        <v>,sex_kubun</v>
      </c>
      <c r="Q14" s="76" t="str">
        <f t="shared" si="0"/>
        <v>TEXT</v>
      </c>
      <c r="R14" s="76" t="str">
        <f t="shared" si="1"/>
        <v/>
      </c>
      <c r="S14" s="76" t="str">
        <f t="shared" ref="S14:S47" si="5">IF(I14="○","NOT NULL","")</f>
        <v>NOT NULL</v>
      </c>
      <c r="T14" s="76" t="str">
        <f t="shared" ref="T14:T47" si="6">"-- "&amp;C14</f>
        <v>-- 男女区分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milscm_2023_009.sny_202310_annony_bef.sex_kubun IS '男女区分';</v>
      </c>
    </row>
    <row r="15" spans="1:45" s="25" customFormat="1" ht="75">
      <c r="A15" s="4"/>
      <c r="B15" s="21">
        <f t="shared" si="2"/>
        <v>3</v>
      </c>
      <c r="C15" s="13" t="s">
        <v>4316</v>
      </c>
      <c r="D15" s="13" t="s">
        <v>4315</v>
      </c>
      <c r="E15" s="7"/>
      <c r="F15" s="7" t="s">
        <v>1780</v>
      </c>
      <c r="G15" s="7" t="str">
        <f t="shared" si="3"/>
        <v>text</v>
      </c>
      <c r="H15" s="58"/>
      <c r="I15" s="23" t="s">
        <v>127</v>
      </c>
      <c r="J15" s="24" t="s">
        <v>4636</v>
      </c>
      <c r="M15" s="4"/>
      <c r="N15" s="76"/>
      <c r="O15" s="76"/>
      <c r="P15" s="76" t="str">
        <f t="shared" si="4"/>
        <v>,age</v>
      </c>
      <c r="Q15" s="76" t="str">
        <f t="shared" si="0"/>
        <v>TEXT</v>
      </c>
      <c r="R15" s="76" t="str">
        <f t="shared" si="1"/>
        <v/>
      </c>
      <c r="S15" s="76" t="str">
        <f t="shared" si="5"/>
        <v>NOT NULL</v>
      </c>
      <c r="T15" s="76" t="str">
        <f t="shared" si="6"/>
        <v>-- 年齢</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milscm_2023_009.sny_202310_annony_bef.age IS '年齢';</v>
      </c>
    </row>
    <row r="16" spans="1:45" s="25" customFormat="1">
      <c r="A16" s="4"/>
      <c r="B16" s="21">
        <f t="shared" si="2"/>
        <v>4</v>
      </c>
      <c r="C16" s="13" t="s">
        <v>4588</v>
      </c>
      <c r="D16" s="13" t="s">
        <v>4297</v>
      </c>
      <c r="E16" s="7"/>
      <c r="F16" s="7" t="s">
        <v>4216</v>
      </c>
      <c r="G16" s="7" t="s">
        <v>4443</v>
      </c>
      <c r="H16" s="58"/>
      <c r="I16" s="23" t="s">
        <v>127</v>
      </c>
      <c r="J16" s="24"/>
      <c r="M16" s="4"/>
      <c r="N16" s="76"/>
      <c r="O16" s="76"/>
      <c r="P16" s="76" t="str">
        <f t="shared" si="4"/>
        <v>,kansatsu_start_date</v>
      </c>
      <c r="Q16" s="76" t="str">
        <f t="shared" si="0"/>
        <v>DATE</v>
      </c>
      <c r="R16" s="76" t="str">
        <f t="shared" si="1"/>
        <v/>
      </c>
      <c r="S16" s="76" t="str">
        <f t="shared" si="5"/>
        <v>NOT NULL</v>
      </c>
      <c r="T16" s="76" t="str">
        <f t="shared" si="6"/>
        <v>-- 観察開始日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milscm_2023_009.sny_202310_annony_bef.kansatsu_start_date IS '観察開始日';</v>
      </c>
    </row>
    <row r="17" spans="1:45" s="25" customFormat="1">
      <c r="A17" s="4"/>
      <c r="B17" s="21">
        <f t="shared" si="2"/>
        <v>5</v>
      </c>
      <c r="C17" s="13" t="s">
        <v>4589</v>
      </c>
      <c r="D17" s="13" t="s">
        <v>4298</v>
      </c>
      <c r="E17" s="7"/>
      <c r="F17" s="7" t="s">
        <v>4216</v>
      </c>
      <c r="G17" s="7" t="s">
        <v>25</v>
      </c>
      <c r="H17" s="58"/>
      <c r="I17" s="23" t="s">
        <v>127</v>
      </c>
      <c r="J17" s="24"/>
      <c r="M17" s="4"/>
      <c r="N17" s="76"/>
      <c r="O17" s="76"/>
      <c r="P17" s="76" t="str">
        <f t="shared" si="4"/>
        <v>,kansatsu_end_date</v>
      </c>
      <c r="Q17" s="76" t="str">
        <f t="shared" si="0"/>
        <v>DATE</v>
      </c>
      <c r="R17" s="76" t="str">
        <f t="shared" si="1"/>
        <v/>
      </c>
      <c r="S17" s="76" t="str">
        <f t="shared" si="5"/>
        <v>NOT NULL</v>
      </c>
      <c r="T17" s="76" t="str">
        <f t="shared" si="6"/>
        <v>-- 観察終了日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milscm_2023_009.sny_202310_annony_bef.kansatsu_end_date IS '観察終了日';</v>
      </c>
    </row>
    <row r="18" spans="1:45" s="25" customFormat="1" ht="31.5">
      <c r="A18" s="4"/>
      <c r="B18" s="21">
        <f>ROW()-12</f>
        <v>6</v>
      </c>
      <c r="C18" s="13" t="s">
        <v>4590</v>
      </c>
      <c r="D18" s="13" t="s">
        <v>4320</v>
      </c>
      <c r="E18" s="7"/>
      <c r="F18" s="7" t="s">
        <v>4216</v>
      </c>
      <c r="G18" s="7" t="s">
        <v>25</v>
      </c>
      <c r="H18" s="58"/>
      <c r="I18" s="23" t="s">
        <v>127</v>
      </c>
      <c r="J18" s="24"/>
      <c r="N18" s="76"/>
      <c r="O18" s="76"/>
      <c r="P18" s="76" t="str">
        <f t="shared" si="4"/>
        <v>,main_diagnosis_start_date</v>
      </c>
      <c r="Q18" s="76" t="str">
        <f t="shared" si="0"/>
        <v>DATE</v>
      </c>
      <c r="R18" s="76" t="str">
        <f t="shared" si="1"/>
        <v/>
      </c>
      <c r="S18" s="76" t="str">
        <f t="shared" si="5"/>
        <v>NOT NULL</v>
      </c>
      <c r="T18" s="76" t="str">
        <f t="shared" si="6"/>
        <v>-- 主傷病開始日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milscm_2023_009.sny_202310_annony_bef.main_diagnosis_start_date IS '主傷病開始日';</v>
      </c>
    </row>
    <row r="19" spans="1:45" s="25" customFormat="1" ht="31.5">
      <c r="A19" s="4"/>
      <c r="B19" s="21">
        <f t="shared" ref="B19:B34" si="7">ROW()-12</f>
        <v>7</v>
      </c>
      <c r="C19" s="13" t="s">
        <v>4591</v>
      </c>
      <c r="D19" s="13" t="s">
        <v>4464</v>
      </c>
      <c r="E19" s="7"/>
      <c r="F19" s="7" t="s">
        <v>4216</v>
      </c>
      <c r="G19" s="7" t="s">
        <v>99</v>
      </c>
      <c r="H19" s="58"/>
      <c r="I19" s="23"/>
      <c r="J19" s="24"/>
      <c r="M19" s="4"/>
      <c r="N19" s="76"/>
      <c r="O19" s="76"/>
      <c r="P19" s="76" t="str">
        <f t="shared" si="4"/>
        <v>,myocardial_infarction_start_date</v>
      </c>
      <c r="Q19" s="76" t="str">
        <f t="shared" si="0"/>
        <v>DATE</v>
      </c>
      <c r="R19" s="76" t="str">
        <f t="shared" si="1"/>
        <v/>
      </c>
      <c r="S19" s="76" t="str">
        <f t="shared" si="5"/>
        <v/>
      </c>
      <c r="T19" s="76" t="str">
        <f t="shared" si="6"/>
        <v>-- 心筋梗塞_疾患開始日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milscm_2023_009.sny_202310_annony_bef.myocardial_infarction_start_date IS '心筋梗塞_疾患開始日';</v>
      </c>
    </row>
    <row r="20" spans="1:45" s="25" customFormat="1" ht="31.5">
      <c r="A20" s="4"/>
      <c r="B20" s="21">
        <f t="shared" si="7"/>
        <v>8</v>
      </c>
      <c r="C20" s="13" t="s">
        <v>4592</v>
      </c>
      <c r="D20" s="13" t="s">
        <v>4465</v>
      </c>
      <c r="E20" s="7"/>
      <c r="F20" s="7" t="s">
        <v>4216</v>
      </c>
      <c r="G20" s="7" t="s">
        <v>25</v>
      </c>
      <c r="H20" s="58"/>
      <c r="I20" s="23"/>
      <c r="J20" s="24"/>
      <c r="M20" s="4"/>
      <c r="N20" s="76"/>
      <c r="O20" s="76"/>
      <c r="P20" s="76" t="str">
        <f t="shared" si="4"/>
        <v>,congestive_heart_failure_start_date</v>
      </c>
      <c r="Q20" s="76" t="str">
        <f t="shared" si="0"/>
        <v>DATE</v>
      </c>
      <c r="R20" s="76" t="str">
        <f t="shared" si="1"/>
        <v/>
      </c>
      <c r="S20" s="76" t="str">
        <f t="shared" si="5"/>
        <v/>
      </c>
      <c r="T20" s="76" t="str">
        <f t="shared" si="6"/>
        <v>-- うっ血性心不全_疾患開始日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milscm_2023_009.sny_202310_annony_bef.congestive_heart_failure_start_date IS 'うっ血性心不全_疾患開始日';</v>
      </c>
    </row>
    <row r="21" spans="1:45" s="25" customFormat="1" ht="31.5">
      <c r="A21" s="4"/>
      <c r="B21" s="21">
        <f t="shared" si="7"/>
        <v>9</v>
      </c>
      <c r="C21" s="13" t="s">
        <v>4593</v>
      </c>
      <c r="D21" s="13" t="s">
        <v>4466</v>
      </c>
      <c r="E21" s="7"/>
      <c r="F21" s="7" t="s">
        <v>4216</v>
      </c>
      <c r="G21" s="7" t="s">
        <v>25</v>
      </c>
      <c r="H21" s="58"/>
      <c r="I21" s="23"/>
      <c r="J21" s="24"/>
      <c r="M21" s="4"/>
      <c r="N21" s="76"/>
      <c r="O21" s="76"/>
      <c r="P21" s="76" t="str">
        <f t="shared" si="4"/>
        <v>,peripheral_vascular_start_date</v>
      </c>
      <c r="Q21" s="76" t="str">
        <f t="shared" si="0"/>
        <v>DATE</v>
      </c>
      <c r="R21" s="76" t="str">
        <f t="shared" si="1"/>
        <v/>
      </c>
      <c r="S21" s="76" t="str">
        <f t="shared" si="5"/>
        <v/>
      </c>
      <c r="T21" s="76" t="str">
        <f t="shared" si="6"/>
        <v>-- 末梢動脈疾患_疾患開始日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milscm_2023_009.sny_202310_annony_bef.peripheral_vascular_start_date IS '末梢動脈疾患_疾患開始日';</v>
      </c>
    </row>
    <row r="22" spans="1:45" s="25" customFormat="1" ht="31.5">
      <c r="A22" s="4"/>
      <c r="B22" s="21">
        <f t="shared" si="7"/>
        <v>10</v>
      </c>
      <c r="C22" s="13" t="s">
        <v>4594</v>
      </c>
      <c r="D22" s="13" t="s">
        <v>4467</v>
      </c>
      <c r="E22" s="7"/>
      <c r="F22" s="7" t="s">
        <v>4216</v>
      </c>
      <c r="G22" s="7" t="s">
        <v>25</v>
      </c>
      <c r="H22" s="58"/>
      <c r="I22" s="23"/>
      <c r="J22" s="24"/>
      <c r="M22" s="4"/>
      <c r="N22" s="76"/>
      <c r="O22" s="76"/>
      <c r="P22" s="76" t="str">
        <f t="shared" si="4"/>
        <v>,cerebrovascular_disease_start_date</v>
      </c>
      <c r="Q22" s="76" t="str">
        <f t="shared" si="0"/>
        <v>DATE</v>
      </c>
      <c r="R22" s="76" t="str">
        <f t="shared" si="1"/>
        <v/>
      </c>
      <c r="S22" s="76" t="str">
        <f t="shared" si="5"/>
        <v/>
      </c>
      <c r="T22" s="76" t="str">
        <f t="shared" si="6"/>
        <v>-- 脳血管障害_疾患開始日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milscm_2023_009.sny_202310_annony_bef.cerebrovascular_disease_start_date IS '脳血管障害_疾患開始日';</v>
      </c>
    </row>
    <row r="23" spans="1:45" s="25" customFormat="1">
      <c r="A23" s="4"/>
      <c r="B23" s="21">
        <f t="shared" si="7"/>
        <v>11</v>
      </c>
      <c r="C23" s="13" t="s">
        <v>4595</v>
      </c>
      <c r="D23" s="13" t="s">
        <v>4468</v>
      </c>
      <c r="E23" s="7"/>
      <c r="F23" s="7" t="s">
        <v>4216</v>
      </c>
      <c r="G23" s="7" t="s">
        <v>25</v>
      </c>
      <c r="H23" s="58"/>
      <c r="I23" s="23"/>
      <c r="J23" s="24"/>
      <c r="M23" s="4"/>
      <c r="N23" s="76"/>
      <c r="O23" s="76"/>
      <c r="P23" s="76" t="str">
        <f t="shared" si="4"/>
        <v>,dementia_start_date</v>
      </c>
      <c r="Q23" s="76" t="str">
        <f t="shared" si="0"/>
        <v>DATE</v>
      </c>
      <c r="R23" s="76" t="str">
        <f t="shared" si="1"/>
        <v/>
      </c>
      <c r="S23" s="76" t="str">
        <f t="shared" si="5"/>
        <v/>
      </c>
      <c r="T23" s="76" t="str">
        <f t="shared" si="6"/>
        <v>-- 認知症 _疾患開始日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milscm_2023_009.sny_202310_annony_bef.dementia_start_date IS '認知症 _疾患開始日';</v>
      </c>
    </row>
    <row r="24" spans="1:45" s="25" customFormat="1" ht="31.5">
      <c r="A24" s="4"/>
      <c r="B24" s="21">
        <f t="shared" si="7"/>
        <v>12</v>
      </c>
      <c r="C24" s="13" t="s">
        <v>4596</v>
      </c>
      <c r="D24" s="13" t="s">
        <v>4469</v>
      </c>
      <c r="E24" s="7"/>
      <c r="F24" s="7" t="s">
        <v>4216</v>
      </c>
      <c r="G24" s="7" t="s">
        <v>25</v>
      </c>
      <c r="H24" s="58"/>
      <c r="I24" s="23"/>
      <c r="J24" s="24"/>
      <c r="M24" s="4"/>
      <c r="N24" s="76"/>
      <c r="O24" s="76"/>
      <c r="P24" s="76" t="str">
        <f t="shared" si="4"/>
        <v>,chronic_pulmonary_start_date</v>
      </c>
      <c r="Q24" s="76" t="str">
        <f t="shared" si="0"/>
        <v>DATE</v>
      </c>
      <c r="R24" s="76" t="str">
        <f t="shared" si="1"/>
        <v/>
      </c>
      <c r="S24" s="76" t="str">
        <f t="shared" si="5"/>
        <v/>
      </c>
      <c r="T24" s="76" t="str">
        <f t="shared" si="6"/>
        <v>-- 慢性肺疾患_疾患開始日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milscm_2023_009.sny_202310_annony_bef.chronic_pulmonary_start_date IS '慢性肺疾患_疾患開始日';</v>
      </c>
    </row>
    <row r="25" spans="1:45" s="25" customFormat="1" ht="47.25">
      <c r="A25" s="4"/>
      <c r="B25" s="21">
        <f t="shared" si="7"/>
        <v>13</v>
      </c>
      <c r="C25" s="13" t="s">
        <v>4597</v>
      </c>
      <c r="D25" s="13" t="s">
        <v>4545</v>
      </c>
      <c r="E25" s="7"/>
      <c r="F25" s="7" t="s">
        <v>4216</v>
      </c>
      <c r="G25" s="7" t="s">
        <v>25</v>
      </c>
      <c r="H25" s="58"/>
      <c r="I25" s="23"/>
      <c r="J25" s="24"/>
      <c r="M25" s="4"/>
      <c r="N25" s="76"/>
      <c r="O25" s="76"/>
      <c r="P25" s="76" t="str">
        <f t="shared" si="4"/>
        <v>,connective_tissue_disease_rheumatic_disease_start_date</v>
      </c>
      <c r="Q25" s="76" t="str">
        <f t="shared" si="0"/>
        <v>DATE</v>
      </c>
      <c r="R25" s="76" t="str">
        <f t="shared" si="1"/>
        <v/>
      </c>
      <c r="S25" s="76" t="str">
        <f t="shared" si="5"/>
        <v/>
      </c>
      <c r="T25" s="76" t="str">
        <f t="shared" si="6"/>
        <v>-- 結合組織疾患_疾患開始日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milscm_2023_009.sny_202310_annony_bef.connective_tissue_disease_rheumatic_disease_start_date IS '結合組織疾患_疾患開始日';</v>
      </c>
    </row>
    <row r="26" spans="1:45" s="25" customFormat="1" ht="31.5">
      <c r="A26" s="4"/>
      <c r="B26" s="21">
        <f t="shared" si="7"/>
        <v>14</v>
      </c>
      <c r="C26" s="13" t="s">
        <v>4598</v>
      </c>
      <c r="D26" s="13" t="s">
        <v>4470</v>
      </c>
      <c r="E26" s="7"/>
      <c r="F26" s="7" t="s">
        <v>4216</v>
      </c>
      <c r="G26" s="7" t="s">
        <v>25</v>
      </c>
      <c r="H26" s="58"/>
      <c r="I26" s="23"/>
      <c r="J26" s="24"/>
      <c r="M26" s="4"/>
      <c r="N26" s="76"/>
      <c r="O26" s="76"/>
      <c r="P26" s="76" t="str">
        <f t="shared" si="4"/>
        <v>,peptic_ulcer_disease_start_date</v>
      </c>
      <c r="Q26" s="76" t="str">
        <f t="shared" si="0"/>
        <v>DATE</v>
      </c>
      <c r="R26" s="76" t="str">
        <f t="shared" si="1"/>
        <v/>
      </c>
      <c r="S26" s="76" t="str">
        <f t="shared" si="5"/>
        <v/>
      </c>
      <c r="T26" s="76" t="str">
        <f t="shared" si="6"/>
        <v>-- 潰瘍性疾患_疾患開始日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milscm_2023_009.sny_202310_annony_bef.peptic_ulcer_disease_start_date IS '潰瘍性疾患_疾患開始日';</v>
      </c>
    </row>
    <row r="27" spans="1:45" s="25" customFormat="1" ht="31.5">
      <c r="A27" s="4"/>
      <c r="B27" s="21">
        <f t="shared" si="7"/>
        <v>15</v>
      </c>
      <c r="C27" s="13" t="s">
        <v>4599</v>
      </c>
      <c r="D27" s="13" t="s">
        <v>4471</v>
      </c>
      <c r="E27" s="7"/>
      <c r="F27" s="7" t="s">
        <v>4216</v>
      </c>
      <c r="G27" s="7" t="s">
        <v>25</v>
      </c>
      <c r="H27" s="58"/>
      <c r="I27" s="23"/>
      <c r="J27" s="24"/>
      <c r="M27" s="4"/>
      <c r="N27" s="76"/>
      <c r="O27" s="76"/>
      <c r="P27" s="76" t="str">
        <f t="shared" si="4"/>
        <v>,mild_liver_disease_start_date</v>
      </c>
      <c r="Q27" s="76" t="str">
        <f t="shared" si="0"/>
        <v>DATE</v>
      </c>
      <c r="R27" s="76" t="str">
        <f t="shared" si="1"/>
        <v/>
      </c>
      <c r="S27" s="76" t="str">
        <f t="shared" si="5"/>
        <v/>
      </c>
      <c r="T27" s="76" t="str">
        <f t="shared" si="6"/>
        <v>-- 軽度の肝疾患_疾患開始日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milscm_2023_009.sny_202310_annony_bef.mild_liver_disease_start_date IS '軽度の肝疾患_疾患開始日';</v>
      </c>
    </row>
    <row r="28" spans="1:45" s="25" customFormat="1" ht="31.5">
      <c r="A28" s="4"/>
      <c r="B28" s="21">
        <f t="shared" si="7"/>
        <v>16</v>
      </c>
      <c r="C28" s="13" t="s">
        <v>4600</v>
      </c>
      <c r="D28" s="13" t="s">
        <v>4472</v>
      </c>
      <c r="E28" s="7"/>
      <c r="F28" s="7" t="s">
        <v>4216</v>
      </c>
      <c r="G28" s="7" t="s">
        <v>25</v>
      </c>
      <c r="H28" s="58"/>
      <c r="I28" s="23"/>
      <c r="J28" s="24"/>
      <c r="M28" s="4"/>
      <c r="N28" s="76"/>
      <c r="O28" s="76"/>
      <c r="P28" s="76" t="str">
        <f t="shared" si="4"/>
        <v>,diabetes_without_chronic_start_date</v>
      </c>
      <c r="Q28" s="76" t="str">
        <f t="shared" si="0"/>
        <v>DATE</v>
      </c>
      <c r="R28" s="76" t="str">
        <f t="shared" si="1"/>
        <v/>
      </c>
      <c r="S28" s="76" t="str">
        <f t="shared" si="5"/>
        <v/>
      </c>
      <c r="T28" s="76" t="str">
        <f t="shared" si="6"/>
        <v>-- 合併症を伴わない糖尿病_疾患開始日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milscm_2023_009.sny_202310_annony_bef.diabetes_without_chronic_start_date IS '合併症を伴わない糖尿病_疾患開始日';</v>
      </c>
    </row>
    <row r="29" spans="1:45" s="25" customFormat="1" ht="31.5">
      <c r="A29" s="4"/>
      <c r="B29" s="21">
        <f t="shared" si="7"/>
        <v>17</v>
      </c>
      <c r="C29" s="13" t="s">
        <v>4601</v>
      </c>
      <c r="D29" s="13" t="s">
        <v>4473</v>
      </c>
      <c r="E29" s="7"/>
      <c r="F29" s="7" t="s">
        <v>4216</v>
      </c>
      <c r="G29" s="7" t="s">
        <v>25</v>
      </c>
      <c r="H29" s="58"/>
      <c r="I29" s="23"/>
      <c r="J29" s="24"/>
      <c r="M29" s="4"/>
      <c r="N29" s="76"/>
      <c r="O29" s="76"/>
      <c r="P29" s="76" t="str">
        <f t="shared" si="4"/>
        <v>,diabetes_with_chronic_start_date</v>
      </c>
      <c r="Q29" s="76" t="str">
        <f t="shared" si="0"/>
        <v>DATE</v>
      </c>
      <c r="R29" s="76" t="str">
        <f t="shared" si="1"/>
        <v/>
      </c>
      <c r="S29" s="76" t="str">
        <f t="shared" si="5"/>
        <v/>
      </c>
      <c r="T29" s="76" t="str">
        <f t="shared" si="6"/>
        <v>-- 合併症を伴う糖尿病_疾患開始日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milscm_2023_009.sny_202310_annony_bef.diabetes_with_chronic_start_date IS '合併症を伴う糖尿病_疾患開始日';</v>
      </c>
    </row>
    <row r="30" spans="1:45" s="25" customFormat="1" ht="31.5">
      <c r="A30" s="4"/>
      <c r="B30" s="21">
        <f t="shared" si="7"/>
        <v>18</v>
      </c>
      <c r="C30" s="13" t="s">
        <v>4602</v>
      </c>
      <c r="D30" s="13" t="s">
        <v>4474</v>
      </c>
      <c r="E30" s="7"/>
      <c r="F30" s="7" t="s">
        <v>4216</v>
      </c>
      <c r="G30" s="7" t="s">
        <v>25</v>
      </c>
      <c r="H30" s="58"/>
      <c r="I30" s="23"/>
      <c r="J30" s="24"/>
      <c r="M30" s="4"/>
      <c r="N30" s="76"/>
      <c r="O30" s="76"/>
      <c r="P30" s="76" t="str">
        <f t="shared" si="4"/>
        <v>,paraplegia_and_hemiplegia_start_date</v>
      </c>
      <c r="Q30" s="76" t="str">
        <f t="shared" si="0"/>
        <v>DATE</v>
      </c>
      <c r="R30" s="76" t="str">
        <f t="shared" si="1"/>
        <v/>
      </c>
      <c r="S30" s="76" t="str">
        <f t="shared" si="5"/>
        <v/>
      </c>
      <c r="T30" s="76" t="str">
        <f t="shared" si="6"/>
        <v>-- 片麻痺・対麻痺_疾患開始日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milscm_2023_009.sny_202310_annony_bef.paraplegia_and_hemiplegia_start_date IS '片麻痺・対麻痺_疾患開始日';</v>
      </c>
    </row>
    <row r="31" spans="1:45" s="25" customFormat="1">
      <c r="A31" s="4"/>
      <c r="B31" s="21">
        <f t="shared" si="7"/>
        <v>19</v>
      </c>
      <c r="C31" s="13" t="s">
        <v>4603</v>
      </c>
      <c r="D31" s="13" t="s">
        <v>4475</v>
      </c>
      <c r="E31" s="7"/>
      <c r="F31" s="7" t="s">
        <v>4216</v>
      </c>
      <c r="G31" s="7" t="s">
        <v>25</v>
      </c>
      <c r="H31" s="58"/>
      <c r="I31" s="23"/>
      <c r="J31" s="24"/>
      <c r="M31" s="4"/>
      <c r="N31" s="76"/>
      <c r="O31" s="76"/>
      <c r="P31" s="76" t="str">
        <f t="shared" si="4"/>
        <v>,renal_disease_start_date</v>
      </c>
      <c r="Q31" s="76" t="str">
        <f t="shared" si="0"/>
        <v>DATE</v>
      </c>
      <c r="R31" s="76" t="str">
        <f t="shared" si="1"/>
        <v/>
      </c>
      <c r="S31" s="76" t="str">
        <f t="shared" si="5"/>
        <v/>
      </c>
      <c r="T31" s="76" t="str">
        <f t="shared" si="6"/>
        <v>-- 腎疾患_疾患開始日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milscm_2023_009.sny_202310_annony_bef.renal_disease_start_date IS '腎疾患_疾患開始日';</v>
      </c>
    </row>
    <row r="32" spans="1:45" s="25" customFormat="1">
      <c r="A32" s="4"/>
      <c r="B32" s="21">
        <f t="shared" si="7"/>
        <v>20</v>
      </c>
      <c r="C32" s="13" t="s">
        <v>4604</v>
      </c>
      <c r="D32" s="13" t="s">
        <v>4555</v>
      </c>
      <c r="E32" s="7"/>
      <c r="F32" s="7" t="s">
        <v>4216</v>
      </c>
      <c r="G32" s="7" t="s">
        <v>25</v>
      </c>
      <c r="H32" s="58"/>
      <c r="I32" s="23"/>
      <c r="J32" s="24"/>
      <c r="M32" s="4"/>
      <c r="N32" s="76"/>
      <c r="O32" s="76"/>
      <c r="P32" s="76" t="str">
        <f t="shared" si="4"/>
        <v>,cancer_start_date</v>
      </c>
      <c r="Q32" s="76" t="str">
        <f t="shared" si="0"/>
        <v>DATE</v>
      </c>
      <c r="R32" s="76" t="str">
        <f t="shared" si="1"/>
        <v/>
      </c>
      <c r="S32" s="76" t="str">
        <f t="shared" si="5"/>
        <v/>
      </c>
      <c r="T32" s="76" t="str">
        <f t="shared" si="6"/>
        <v>-- 悪性腫瘍_疾患開始日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milscm_2023_009.sny_202310_annony_bef.cancer_start_date IS '悪性腫瘍_疾患開始日';</v>
      </c>
    </row>
    <row r="33" spans="1:45" s="25" customFormat="1" ht="31.5">
      <c r="A33" s="4"/>
      <c r="B33" s="21">
        <f t="shared" si="7"/>
        <v>21</v>
      </c>
      <c r="C33" s="13" t="s">
        <v>4605</v>
      </c>
      <c r="D33" s="13" t="s">
        <v>4476</v>
      </c>
      <c r="E33" s="7"/>
      <c r="F33" s="7" t="s">
        <v>4216</v>
      </c>
      <c r="G33" s="7" t="s">
        <v>25</v>
      </c>
      <c r="H33" s="58"/>
      <c r="I33" s="23"/>
      <c r="J33" s="24"/>
      <c r="M33" s="4"/>
      <c r="N33" s="76"/>
      <c r="O33" s="76"/>
      <c r="P33" s="76" t="str">
        <f t="shared" si="4"/>
        <v>,moderate_or_severe_liver_start_date</v>
      </c>
      <c r="Q33" s="76" t="str">
        <f t="shared" si="0"/>
        <v>DATE</v>
      </c>
      <c r="R33" s="76" t="str">
        <f t="shared" si="1"/>
        <v/>
      </c>
      <c r="S33" s="76" t="str">
        <f t="shared" si="5"/>
        <v/>
      </c>
      <c r="T33" s="76" t="str">
        <f t="shared" si="6"/>
        <v>-- 中等度～重度の肝疾患_疾患開始日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milscm_2023_009.sny_202310_annony_bef.moderate_or_severe_liver_start_date IS '中等度～重度の肝疾患_疾患開始日';</v>
      </c>
    </row>
    <row r="34" spans="1:45" s="25" customFormat="1" ht="31.5">
      <c r="A34" s="4"/>
      <c r="B34" s="21">
        <f t="shared" si="7"/>
        <v>22</v>
      </c>
      <c r="C34" s="13" t="s">
        <v>4606</v>
      </c>
      <c r="D34" s="13" t="s">
        <v>4477</v>
      </c>
      <c r="E34" s="7"/>
      <c r="F34" s="7" t="s">
        <v>4216</v>
      </c>
      <c r="G34" s="7" t="s">
        <v>25</v>
      </c>
      <c r="H34" s="58"/>
      <c r="I34" s="23"/>
      <c r="J34" s="24"/>
      <c r="M34" s="4"/>
      <c r="N34" s="76"/>
      <c r="O34" s="76"/>
      <c r="P34" s="76" t="str">
        <f t="shared" si="4"/>
        <v>,metastatic_carcinoma_start_date</v>
      </c>
      <c r="Q34" s="76" t="str">
        <f t="shared" si="0"/>
        <v>DATE</v>
      </c>
      <c r="R34" s="76" t="str">
        <f t="shared" si="1"/>
        <v/>
      </c>
      <c r="S34" s="76" t="str">
        <f t="shared" si="5"/>
        <v/>
      </c>
      <c r="T34" s="76" t="str">
        <f t="shared" si="6"/>
        <v>-- 転移性充実性腫瘍_疾患開始日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milscm_2023_009.sny_202310_annony_bef.metastatic_carcinoma_start_date IS '転移性充実性腫瘍_疾患開始日';</v>
      </c>
    </row>
    <row r="35" spans="1:45" s="25" customFormat="1">
      <c r="A35" s="4"/>
      <c r="B35" s="21">
        <f>ROW()-12</f>
        <v>23</v>
      </c>
      <c r="C35" s="13" t="s">
        <v>4607</v>
      </c>
      <c r="D35" s="13" t="s">
        <v>4478</v>
      </c>
      <c r="E35" s="7"/>
      <c r="F35" s="7" t="s">
        <v>4216</v>
      </c>
      <c r="G35" s="7" t="s">
        <v>25</v>
      </c>
      <c r="H35" s="58"/>
      <c r="I35" s="23"/>
      <c r="J35" s="24"/>
      <c r="N35" s="76"/>
      <c r="O35" s="76"/>
      <c r="P35" s="76" t="str">
        <f t="shared" si="4"/>
        <v>,hiv_aids_start_date</v>
      </c>
      <c r="Q35" s="76" t="str">
        <f t="shared" si="0"/>
        <v>DATE</v>
      </c>
      <c r="R35" s="76" t="str">
        <f t="shared" si="1"/>
        <v/>
      </c>
      <c r="S35" s="76" t="str">
        <f t="shared" si="5"/>
        <v/>
      </c>
      <c r="T35" s="76" t="str">
        <f t="shared" si="6"/>
        <v>-- HIV/AIDS_疾患開始日</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milscm_2023_009.sny_202310_annony_bef.hiv_aids_start_date IS 'HIV/AIDS_疾患開始日';</v>
      </c>
    </row>
    <row r="36" spans="1:45" s="25" customFormat="1">
      <c r="A36" s="4"/>
      <c r="B36" s="21">
        <f t="shared" ref="B36:B37" si="8">ROW()-12</f>
        <v>24</v>
      </c>
      <c r="C36" s="13" t="s">
        <v>4608</v>
      </c>
      <c r="D36" s="13" t="s">
        <v>4432</v>
      </c>
      <c r="E36" s="7"/>
      <c r="F36" s="7" t="s">
        <v>4609</v>
      </c>
      <c r="G36" s="7" t="str">
        <f t="shared" ref="G36" si="9">IF(F36="フラグ","boolean",IF(F36="文字列","text",IF(F36="整数","integer",IF(F36="実数","numeric",""))))</f>
        <v>text</v>
      </c>
      <c r="H36" s="58"/>
      <c r="I36" s="23" t="s">
        <v>127</v>
      </c>
      <c r="J36" s="24" t="s">
        <v>4637</v>
      </c>
      <c r="M36" s="4"/>
      <c r="N36" s="76"/>
      <c r="O36" s="76"/>
      <c r="P36" s="76" t="str">
        <f t="shared" si="4"/>
        <v>,nyu_gai_kubun</v>
      </c>
      <c r="Q36" s="76" t="str">
        <f t="shared" si="0"/>
        <v>TEXT</v>
      </c>
      <c r="R36" s="76" t="str">
        <f t="shared" si="1"/>
        <v/>
      </c>
      <c r="S36" s="76" t="str">
        <f t="shared" si="5"/>
        <v>NOT NULL</v>
      </c>
      <c r="T36" s="76" t="str">
        <f t="shared" si="6"/>
        <v>-- 入外区分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milscm_2023_009.sny_202310_annony_bef.nyu_gai_kubun IS '入外区分';</v>
      </c>
    </row>
    <row r="37" spans="1:45" s="25" customFormat="1">
      <c r="A37" s="4"/>
      <c r="B37" s="21">
        <f t="shared" si="8"/>
        <v>25</v>
      </c>
      <c r="C37" s="13" t="s">
        <v>4610</v>
      </c>
      <c r="D37" s="13" t="s">
        <v>4433</v>
      </c>
      <c r="E37" s="7"/>
      <c r="F37" s="7" t="s">
        <v>4216</v>
      </c>
      <c r="G37" s="7" t="s">
        <v>25</v>
      </c>
      <c r="H37" s="58"/>
      <c r="I37" s="23"/>
      <c r="J37" s="24"/>
      <c r="M37" s="4"/>
      <c r="N37" s="76"/>
      <c r="O37" s="76"/>
      <c r="P37" s="76" t="str">
        <f t="shared" si="4"/>
        <v>,raiin_ymd</v>
      </c>
      <c r="Q37" s="76" t="str">
        <f t="shared" si="0"/>
        <v>DATE</v>
      </c>
      <c r="R37" s="76" t="str">
        <f t="shared" si="1"/>
        <v/>
      </c>
      <c r="S37" s="76" t="str">
        <f t="shared" si="5"/>
        <v/>
      </c>
      <c r="T37" s="76" t="str">
        <f t="shared" si="6"/>
        <v>-- 来院年月日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milscm_2023_009.sny_202310_annony_bef.raiin_ymd IS '来院年月日';</v>
      </c>
    </row>
    <row r="38" spans="1:45" s="25" customFormat="1">
      <c r="A38" s="4"/>
      <c r="B38" s="21">
        <f>ROW()-12</f>
        <v>26</v>
      </c>
      <c r="C38" s="13" t="s">
        <v>4611</v>
      </c>
      <c r="D38" s="13" t="s">
        <v>212</v>
      </c>
      <c r="E38" s="7"/>
      <c r="F38" s="7" t="s">
        <v>4216</v>
      </c>
      <c r="G38" s="7" t="s">
        <v>25</v>
      </c>
      <c r="H38" s="58"/>
      <c r="I38" s="23"/>
      <c r="J38" s="24"/>
      <c r="N38" s="76"/>
      <c r="O38" s="76"/>
      <c r="P38" s="76" t="str">
        <f t="shared" si="4"/>
        <v>,taiin_ymd</v>
      </c>
      <c r="Q38" s="76" t="str">
        <f t="shared" si="0"/>
        <v>DATE</v>
      </c>
      <c r="R38" s="76" t="str">
        <f t="shared" si="1"/>
        <v/>
      </c>
      <c r="S38" s="76" t="str">
        <f t="shared" si="5"/>
        <v/>
      </c>
      <c r="T38" s="76" t="str">
        <f t="shared" si="6"/>
        <v>-- 退院年月日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milscm_2023_009.sny_202310_annony_bef.taiin_ymd IS '退院年月日';</v>
      </c>
    </row>
    <row r="39" spans="1:45" s="25" customFormat="1">
      <c r="A39" s="4"/>
      <c r="B39" s="21">
        <f t="shared" ref="B39:B43" si="10">ROW()-12</f>
        <v>27</v>
      </c>
      <c r="C39" s="13" t="s">
        <v>4612</v>
      </c>
      <c r="D39" s="13" t="s">
        <v>4500</v>
      </c>
      <c r="E39" s="7" t="s">
        <v>127</v>
      </c>
      <c r="F39" s="7" t="s">
        <v>4216</v>
      </c>
      <c r="G39" s="7" t="s">
        <v>99</v>
      </c>
      <c r="H39" s="58"/>
      <c r="I39" s="23" t="s">
        <v>127</v>
      </c>
      <c r="J39" s="24"/>
      <c r="M39" s="4"/>
      <c r="N39" s="76"/>
      <c r="O39" s="76"/>
      <c r="P39" s="76" t="str">
        <f t="shared" si="4"/>
        <v>,event_date</v>
      </c>
      <c r="Q39" s="76" t="str">
        <f t="shared" si="0"/>
        <v>DATE</v>
      </c>
      <c r="R39" s="76" t="str">
        <f t="shared" si="1"/>
        <v/>
      </c>
      <c r="S39" s="76" t="str">
        <f t="shared" si="5"/>
        <v>NOT NULL</v>
      </c>
      <c r="T39" s="76" t="str">
        <f t="shared" si="6"/>
        <v>-- イベント日付</v>
      </c>
      <c r="U39" s="4"/>
      <c r="AA39" s="4"/>
      <c r="AB39" s="4"/>
      <c r="AC39" s="4"/>
      <c r="AD39" s="4"/>
      <c r="AE39" s="4"/>
      <c r="AF39" s="4"/>
      <c r="AG39" s="4"/>
      <c r="AH39" s="4"/>
      <c r="AI39" s="4"/>
      <c r="AJ39" s="76" t="str">
        <f>IF(E39="○",IF(COUNTA(E$13:E39)=1,"",",")&amp;D39,"")</f>
        <v>,event_date</v>
      </c>
      <c r="AK39" s="4"/>
      <c r="AL39" s="4"/>
      <c r="AM39" s="4"/>
      <c r="AN39" s="4"/>
      <c r="AO39" s="4"/>
      <c r="AP39" s="4"/>
      <c r="AQ39" s="4"/>
      <c r="AR39" s="4"/>
      <c r="AS39" s="76" t="str">
        <f>"COMMENT ON COLUMN "&amp;エンティティ一覧!$O$2&amp;"."&amp;D$8&amp;"."&amp;D39&amp;" IS '"&amp;C39&amp;"';"</f>
        <v>COMMENT ON COLUMN milscm_2023_009.sny_202310_annony_bef.event_date IS 'イベント日付';</v>
      </c>
    </row>
    <row r="40" spans="1:45" s="25" customFormat="1">
      <c r="A40" s="4"/>
      <c r="B40" s="21">
        <f t="shared" si="10"/>
        <v>28</v>
      </c>
      <c r="C40" s="13" t="s">
        <v>4301</v>
      </c>
      <c r="D40" s="13" t="s">
        <v>4562</v>
      </c>
      <c r="E40" s="8" t="s">
        <v>127</v>
      </c>
      <c r="F40" s="7" t="s">
        <v>1990</v>
      </c>
      <c r="G40" s="7" t="str">
        <f t="shared" ref="G40" si="11">IF(F40="フラグ","boolean",IF(F40="文字列","text",IF(F40="整数","integer",IF(F40="実数","numeric",""))))</f>
        <v>integer</v>
      </c>
      <c r="H40" s="58"/>
      <c r="I40" s="23" t="s">
        <v>127</v>
      </c>
      <c r="J40" s="24"/>
      <c r="M40" s="4"/>
      <c r="N40" s="76"/>
      <c r="O40" s="76"/>
      <c r="P40" s="76" t="str">
        <f t="shared" si="4"/>
        <v>,row_no</v>
      </c>
      <c r="Q40" s="76" t="str">
        <f t="shared" si="0"/>
        <v>INTEGER</v>
      </c>
      <c r="R40" s="76" t="str">
        <f t="shared" si="1"/>
        <v/>
      </c>
      <c r="S40" s="76" t="str">
        <f t="shared" si="5"/>
        <v>NOT NULL</v>
      </c>
      <c r="T40" s="76" t="str">
        <f t="shared" si="6"/>
        <v>-- 行番号</v>
      </c>
      <c r="U40" s="4"/>
      <c r="AA40" s="4"/>
      <c r="AB40" s="4"/>
      <c r="AC40" s="4"/>
      <c r="AD40" s="4"/>
      <c r="AE40" s="4"/>
      <c r="AF40" s="4"/>
      <c r="AG40" s="4"/>
      <c r="AH40" s="4"/>
      <c r="AI40" s="4"/>
      <c r="AJ40" s="76" t="str">
        <f>IF(E40="○",IF(COUNTA(E$13:E40)=1,"",",")&amp;D40,"")</f>
        <v>,row_no</v>
      </c>
      <c r="AK40" s="4"/>
      <c r="AL40" s="4"/>
      <c r="AM40" s="4"/>
      <c r="AN40" s="4"/>
      <c r="AO40" s="4"/>
      <c r="AP40" s="4"/>
      <c r="AQ40" s="4"/>
      <c r="AR40" s="4"/>
      <c r="AS40" s="76" t="str">
        <f>"COMMENT ON COLUMN "&amp;エンティティ一覧!$O$2&amp;"."&amp;D$8&amp;"."&amp;D40&amp;" IS '"&amp;C40&amp;"';"</f>
        <v>COMMENT ON COLUMN milscm_2023_009.sny_202310_annony_bef.row_no IS '行番号';</v>
      </c>
    </row>
    <row r="41" spans="1:45" s="25" customFormat="1">
      <c r="A41" s="4"/>
      <c r="B41" s="21">
        <f t="shared" si="10"/>
        <v>29</v>
      </c>
      <c r="C41" s="13" t="s">
        <v>4613</v>
      </c>
      <c r="D41" s="13" t="s">
        <v>4509</v>
      </c>
      <c r="E41" s="7"/>
      <c r="F41" s="7" t="s">
        <v>4609</v>
      </c>
      <c r="G41" s="7" t="str">
        <f t="shared" ref="G41:G47" si="12">IF(F41="フラグ","boolean",IF(F41="文字列","text",IF(F41="整数","integer",IF(F41="実数","numeric",""))))</f>
        <v>text</v>
      </c>
      <c r="H41" s="58"/>
      <c r="I41" s="23"/>
      <c r="J41" s="24" t="s">
        <v>4582</v>
      </c>
      <c r="M41" s="4"/>
      <c r="N41" s="76"/>
      <c r="O41" s="76"/>
      <c r="P41" s="76" t="str">
        <f t="shared" si="4"/>
        <v>,tp53</v>
      </c>
      <c r="Q41" s="76" t="str">
        <f t="shared" si="0"/>
        <v>TEXT</v>
      </c>
      <c r="R41" s="76" t="str">
        <f t="shared" si="1"/>
        <v/>
      </c>
      <c r="S41" s="76" t="str">
        <f t="shared" si="5"/>
        <v/>
      </c>
      <c r="T41" s="76" t="str">
        <f t="shared" si="6"/>
        <v>-- del（１７ｐ）</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milscm_2023_009.sny_202310_annony_bef.tp53 IS 'del（１７ｐ）';</v>
      </c>
    </row>
    <row r="42" spans="1:45" s="25" customFormat="1">
      <c r="A42" s="4"/>
      <c r="B42" s="21">
        <f t="shared" si="10"/>
        <v>30</v>
      </c>
      <c r="C42" s="13" t="s">
        <v>4614</v>
      </c>
      <c r="D42" s="13" t="s">
        <v>4508</v>
      </c>
      <c r="E42" s="7"/>
      <c r="F42" s="7" t="s">
        <v>4609</v>
      </c>
      <c r="G42" s="7" t="str">
        <f t="shared" si="12"/>
        <v>text</v>
      </c>
      <c r="H42" s="58"/>
      <c r="I42" s="23"/>
      <c r="J42" s="24" t="s">
        <v>4582</v>
      </c>
      <c r="M42" s="4"/>
      <c r="N42" s="76"/>
      <c r="O42" s="76"/>
      <c r="P42" s="76" t="str">
        <f t="shared" si="4"/>
        <v>,igh_fgfr3</v>
      </c>
      <c r="Q42" s="76" t="str">
        <f t="shared" si="0"/>
        <v>TEXT</v>
      </c>
      <c r="R42" s="76" t="str">
        <f t="shared" si="1"/>
        <v/>
      </c>
      <c r="S42" s="76" t="str">
        <f t="shared" si="5"/>
        <v/>
      </c>
      <c r="T42" s="76" t="str">
        <f t="shared" si="6"/>
        <v>-- t（４；１４）</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milscm_2023_009.sny_202310_annony_bef.igh_fgfr3 IS 't（４；１４）';</v>
      </c>
    </row>
    <row r="43" spans="1:45" s="25" customFormat="1">
      <c r="A43" s="4"/>
      <c r="B43" s="21">
        <f t="shared" si="10"/>
        <v>31</v>
      </c>
      <c r="C43" s="13" t="s">
        <v>4615</v>
      </c>
      <c r="D43" s="13" t="s">
        <v>4581</v>
      </c>
      <c r="E43" s="7"/>
      <c r="F43" s="7" t="s">
        <v>4609</v>
      </c>
      <c r="G43" s="7" t="str">
        <f t="shared" si="12"/>
        <v>text</v>
      </c>
      <c r="H43" s="58"/>
      <c r="I43" s="23"/>
      <c r="J43" s="24" t="s">
        <v>4582</v>
      </c>
      <c r="M43" s="4"/>
      <c r="N43" s="76"/>
      <c r="O43" s="76"/>
      <c r="P43" s="76" t="str">
        <f t="shared" si="4"/>
        <v>,igh_maf</v>
      </c>
      <c r="Q43" s="76" t="str">
        <f t="shared" si="0"/>
        <v>TEXT</v>
      </c>
      <c r="R43" s="76" t="str">
        <f t="shared" si="1"/>
        <v/>
      </c>
      <c r="S43" s="76" t="str">
        <f t="shared" si="5"/>
        <v/>
      </c>
      <c r="T43" s="76" t="str">
        <f t="shared" si="6"/>
        <v>-- t（１４；１６）</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milscm_2023_009.sny_202310_annony_bef.igh_maf IS 't（１４；１６）';</v>
      </c>
    </row>
    <row r="44" spans="1:45" s="25" customFormat="1">
      <c r="A44" s="4"/>
      <c r="B44" s="21">
        <f>ROW()-12</f>
        <v>32</v>
      </c>
      <c r="C44" s="13" t="s">
        <v>4616</v>
      </c>
      <c r="D44" s="13" t="s">
        <v>4579</v>
      </c>
      <c r="E44" s="7"/>
      <c r="F44" s="7" t="s">
        <v>4609</v>
      </c>
      <c r="G44" s="7" t="str">
        <f t="shared" si="12"/>
        <v>text</v>
      </c>
      <c r="H44" s="58"/>
      <c r="I44" s="23"/>
      <c r="J44" s="24" t="s">
        <v>4582</v>
      </c>
      <c r="N44" s="76"/>
      <c r="O44" s="76"/>
      <c r="P44" s="76" t="str">
        <f t="shared" si="4"/>
        <v>,gain_1q21</v>
      </c>
      <c r="Q44" s="76" t="str">
        <f t="shared" si="0"/>
        <v>TEXT</v>
      </c>
      <c r="R44" s="76" t="str">
        <f t="shared" si="1"/>
        <v/>
      </c>
      <c r="S44" s="76" t="str">
        <f t="shared" si="5"/>
        <v/>
      </c>
      <c r="T44" s="76" t="str">
        <f t="shared" si="6"/>
        <v>-- 1q21＋</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milscm_2023_009.sny_202310_annony_bef.gain_1q21 IS '1q21＋';</v>
      </c>
    </row>
    <row r="45" spans="1:45" s="25" customFormat="1" ht="37.5">
      <c r="A45" s="4"/>
      <c r="B45" s="21">
        <f t="shared" ref="B45:B57" si="13">ROW()-12</f>
        <v>33</v>
      </c>
      <c r="C45" s="13" t="s">
        <v>4617</v>
      </c>
      <c r="D45" s="13" t="s">
        <v>4344</v>
      </c>
      <c r="E45" s="7"/>
      <c r="F45" s="7" t="s">
        <v>4618</v>
      </c>
      <c r="G45" s="7" t="str">
        <f t="shared" si="12"/>
        <v>text</v>
      </c>
      <c r="H45" s="58"/>
      <c r="I45" s="23"/>
      <c r="J45" s="24" t="s">
        <v>4657</v>
      </c>
      <c r="M45" s="4"/>
      <c r="N45" s="76"/>
      <c r="O45" s="76"/>
      <c r="P45" s="76" t="str">
        <f t="shared" si="4"/>
        <v>,iyakuhin_ippan_name</v>
      </c>
      <c r="Q45" s="76" t="str">
        <f t="shared" si="0"/>
        <v>TEXT</v>
      </c>
      <c r="R45" s="76" t="str">
        <f t="shared" si="1"/>
        <v/>
      </c>
      <c r="S45" s="76" t="str">
        <f t="shared" si="5"/>
        <v/>
      </c>
      <c r="T45" s="76" t="str">
        <f t="shared" si="6"/>
        <v>-- 薬剤表示名</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milscm_2023_009.sny_202310_annony_bef.iyakuhin_ippan_name IS '薬剤表示名';</v>
      </c>
    </row>
    <row r="46" spans="1:45" s="25" customFormat="1">
      <c r="A46" s="4"/>
      <c r="B46" s="21">
        <f t="shared" si="13"/>
        <v>34</v>
      </c>
      <c r="C46" s="13" t="s">
        <v>4619</v>
      </c>
      <c r="D46" s="13" t="s">
        <v>4338</v>
      </c>
      <c r="E46" s="7"/>
      <c r="F46" s="7" t="s">
        <v>4200</v>
      </c>
      <c r="G46" s="7" t="str">
        <f t="shared" si="12"/>
        <v>numeric</v>
      </c>
      <c r="H46" s="58"/>
      <c r="I46" s="23"/>
      <c r="J46" s="24"/>
      <c r="M46" s="4"/>
      <c r="N46" s="76"/>
      <c r="O46" s="76"/>
      <c r="P46" s="76" t="str">
        <f t="shared" si="4"/>
        <v>,toyoryo</v>
      </c>
      <c r="Q46" s="76" t="str">
        <f t="shared" si="0"/>
        <v>NUMERIC</v>
      </c>
      <c r="R46" s="76" t="str">
        <f t="shared" si="1"/>
        <v/>
      </c>
      <c r="S46" s="76" t="str">
        <f t="shared" si="5"/>
        <v/>
      </c>
      <c r="T46" s="76" t="str">
        <f t="shared" si="6"/>
        <v>-- 投与量</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milscm_2023_009.sny_202310_annony_bef.toyoryo IS '投与量';</v>
      </c>
    </row>
    <row r="47" spans="1:45" s="25" customFormat="1">
      <c r="A47" s="4"/>
      <c r="B47" s="21">
        <f>ROW()-12</f>
        <v>35</v>
      </c>
      <c r="C47" s="13" t="s">
        <v>4620</v>
      </c>
      <c r="D47" s="13" t="s">
        <v>4339</v>
      </c>
      <c r="E47" s="7"/>
      <c r="F47" s="7" t="s">
        <v>1780</v>
      </c>
      <c r="G47" s="7" t="str">
        <f t="shared" si="12"/>
        <v>text</v>
      </c>
      <c r="H47" s="58"/>
      <c r="I47" s="23"/>
      <c r="J47" s="24"/>
      <c r="N47" s="76"/>
      <c r="O47" s="76"/>
      <c r="P47" s="76" t="str">
        <f t="shared" si="4"/>
        <v>,seibun_unit_name</v>
      </c>
      <c r="Q47" s="76" t="str">
        <f t="shared" si="0"/>
        <v>TEXT</v>
      </c>
      <c r="R47" s="76" t="str">
        <f t="shared" si="1"/>
        <v/>
      </c>
      <c r="S47" s="76" t="str">
        <f t="shared" si="5"/>
        <v/>
      </c>
      <c r="T47" s="76" t="str">
        <f t="shared" si="6"/>
        <v>-- 成分単位名称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milscm_2023_009.sny_202310_annony_bef.seibun_unit_name IS '成分単位名称';</v>
      </c>
    </row>
    <row r="48" spans="1:45" s="25" customFormat="1">
      <c r="A48" s="4"/>
      <c r="B48" s="21">
        <f t="shared" si="13"/>
        <v>36</v>
      </c>
      <c r="C48" s="13" t="s">
        <v>4202</v>
      </c>
      <c r="D48" s="13" t="s">
        <v>4587</v>
      </c>
      <c r="E48" s="7"/>
      <c r="F48" s="7" t="s">
        <v>4302</v>
      </c>
      <c r="G48" s="7" t="str">
        <f>IF(F48="フラグ","boolean",IF(F48="文字列","text",IF(F48="整数","integer",IF(F48="実数","numeric",""))))</f>
        <v>integer</v>
      </c>
      <c r="H48" s="58"/>
      <c r="I48" s="23"/>
      <c r="J48" s="24"/>
      <c r="M48" s="4"/>
      <c r="N48" s="76"/>
      <c r="O48" s="76"/>
      <c r="P48" s="76" t="str">
        <f>IF(B48&lt;&gt;1,","&amp;D48,D48)</f>
        <v>,koi_times</v>
      </c>
      <c r="Q48" s="76" t="str">
        <f>UPPER(G48)</f>
        <v>INTEGER</v>
      </c>
      <c r="R48" s="76" t="str">
        <f>IF(H48&lt;&gt;"","default "&amp;IF(G48="text","'"&amp;H48&amp;"'",H48),"")</f>
        <v/>
      </c>
      <c r="S48" s="76" t="str">
        <f>IF(I48="○","NOT NULL","")</f>
        <v/>
      </c>
      <c r="T48" s="76" t="str">
        <f>"-- "&amp;C48</f>
        <v>-- 行為回数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milscm_2023_009.sny_202310_annony_bef.koi_times IS '行為回数';</v>
      </c>
    </row>
    <row r="49" spans="1:45" s="25" customFormat="1">
      <c r="A49" s="4"/>
      <c r="B49" s="21">
        <f t="shared" si="13"/>
        <v>37</v>
      </c>
      <c r="C49" s="13" t="s">
        <v>4621</v>
      </c>
      <c r="D49" s="13" t="s">
        <v>4511</v>
      </c>
      <c r="E49" s="7"/>
      <c r="F49" s="7" t="s">
        <v>4200</v>
      </c>
      <c r="G49" s="7" t="str">
        <f>IF(F49="フラグ","boolean",IF(F49="文字列","text",IF(F49="整数","integer",IF(F49="実数","numeric",""))))</f>
        <v>numeric</v>
      </c>
      <c r="H49" s="58"/>
      <c r="I49" s="23"/>
      <c r="J49" s="24"/>
      <c r="M49" s="4"/>
      <c r="N49" s="76"/>
      <c r="O49" s="76"/>
      <c r="P49" s="76" t="str">
        <f>IF(B49&lt;&gt;1,","&amp;D49,D49)</f>
        <v>,ldh_value</v>
      </c>
      <c r="Q49" s="76" t="str">
        <f t="shared" ref="Q49:Q65" si="14">UPPER(G49)</f>
        <v>NUMERIC</v>
      </c>
      <c r="R49" s="76" t="str">
        <f t="shared" ref="R49:R65" si="15">IF(H49&lt;&gt;"","default "&amp;IF(G49="text","'"&amp;H49&amp;"'",H49),"")</f>
        <v/>
      </c>
      <c r="S49" s="76" t="str">
        <f t="shared" ref="S49:S65" si="16">IF(I49="○","NOT NULL","")</f>
        <v/>
      </c>
      <c r="T49" s="76" t="str">
        <f t="shared" ref="T49:T65" si="17">"-- "&amp;C49</f>
        <v>-- LDH_検査値</v>
      </c>
      <c r="U49" s="4"/>
      <c r="V49" s="25" t="str">
        <f>",max("&amp;D49&amp;")"</f>
        <v>,max(ldh_value)</v>
      </c>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milscm_2023_009.sny_202310_annony_bef.ldh_value IS 'LDH_検査値';</v>
      </c>
    </row>
    <row r="50" spans="1:45" s="25" customFormat="1">
      <c r="A50" s="4"/>
      <c r="B50" s="21">
        <f t="shared" si="13"/>
        <v>38</v>
      </c>
      <c r="C50" s="13" t="s">
        <v>4622</v>
      </c>
      <c r="D50" s="13" t="s">
        <v>4513</v>
      </c>
      <c r="E50" s="7"/>
      <c r="F50" s="7" t="s">
        <v>4200</v>
      </c>
      <c r="G50" s="7" t="str">
        <f t="shared" ref="G50:G57" si="18">IF(F50="フラグ","boolean",IF(F50="文字列","text",IF(F50="整数","integer",IF(F50="実数","numeric",""))))</f>
        <v>numeric</v>
      </c>
      <c r="H50" s="58"/>
      <c r="I50" s="23"/>
      <c r="J50" s="24"/>
      <c r="M50" s="4"/>
      <c r="N50" s="76"/>
      <c r="O50" s="76"/>
      <c r="P50" s="76" t="str">
        <f t="shared" ref="P50:P65" si="19">IF(B50&lt;&gt;1,","&amp;D50,D50)</f>
        <v>,albumin_value</v>
      </c>
      <c r="Q50" s="76" t="str">
        <f t="shared" si="14"/>
        <v>NUMERIC</v>
      </c>
      <c r="R50" s="76" t="str">
        <f t="shared" si="15"/>
        <v/>
      </c>
      <c r="S50" s="76" t="str">
        <f t="shared" si="16"/>
        <v/>
      </c>
      <c r="T50" s="76" t="str">
        <f t="shared" si="17"/>
        <v>-- アルブミン_検査値</v>
      </c>
      <c r="U50" s="4"/>
      <c r="V50" s="25" t="str">
        <f t="shared" ref="V50:V57" si="20">",max("&amp;D50&amp;")"</f>
        <v>,max(albumin_value)</v>
      </c>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milscm_2023_009.sny_202310_annony_bef.albumin_value IS 'アルブミン_検査値';</v>
      </c>
    </row>
    <row r="51" spans="1:45" s="25" customFormat="1">
      <c r="A51" s="4"/>
      <c r="B51" s="21">
        <f t="shared" si="13"/>
        <v>39</v>
      </c>
      <c r="C51" s="13" t="s">
        <v>4623</v>
      </c>
      <c r="D51" s="13" t="s">
        <v>4546</v>
      </c>
      <c r="E51" s="7"/>
      <c r="F51" s="7" t="s">
        <v>4200</v>
      </c>
      <c r="G51" s="7" t="str">
        <f t="shared" si="18"/>
        <v>numeric</v>
      </c>
      <c r="H51" s="58"/>
      <c r="I51" s="23"/>
      <c r="J51" s="24"/>
      <c r="M51" s="4"/>
      <c r="N51" s="76"/>
      <c r="O51" s="76"/>
      <c r="P51" s="76" t="str">
        <f t="shared" si="19"/>
        <v>,b2_microglobulin_value</v>
      </c>
      <c r="Q51" s="76" t="str">
        <f t="shared" si="14"/>
        <v>NUMERIC</v>
      </c>
      <c r="R51" s="76" t="str">
        <f t="shared" si="15"/>
        <v/>
      </c>
      <c r="S51" s="76" t="str">
        <f t="shared" si="16"/>
        <v/>
      </c>
      <c r="T51" s="76" t="str">
        <f t="shared" si="17"/>
        <v>-- β2ミクログロブリン_検査値</v>
      </c>
      <c r="U51" s="4"/>
      <c r="V51" s="25" t="str">
        <f t="shared" si="20"/>
        <v>,max(b2_microglobulin_value)</v>
      </c>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milscm_2023_009.sny_202310_annony_bef.b2_microglobulin_value IS 'β2ミクログロブリン_検査値';</v>
      </c>
    </row>
    <row r="52" spans="1:45" s="25" customFormat="1">
      <c r="A52" s="4"/>
      <c r="B52" s="21">
        <f t="shared" si="13"/>
        <v>40</v>
      </c>
      <c r="C52" s="13" t="s">
        <v>4624</v>
      </c>
      <c r="D52" s="13" t="s">
        <v>4516</v>
      </c>
      <c r="E52" s="7"/>
      <c r="F52" s="7" t="s">
        <v>4200</v>
      </c>
      <c r="G52" s="7" t="str">
        <f t="shared" si="18"/>
        <v>numeric</v>
      </c>
      <c r="H52" s="58"/>
      <c r="I52" s="23"/>
      <c r="J52" s="24"/>
      <c r="M52" s="4"/>
      <c r="N52" s="76"/>
      <c r="O52" s="76"/>
      <c r="P52" s="76" t="str">
        <f t="shared" si="19"/>
        <v>,ast_value</v>
      </c>
      <c r="Q52" s="76" t="str">
        <f t="shared" si="14"/>
        <v>NUMERIC</v>
      </c>
      <c r="R52" s="76" t="str">
        <f t="shared" si="15"/>
        <v/>
      </c>
      <c r="S52" s="76" t="str">
        <f t="shared" si="16"/>
        <v/>
      </c>
      <c r="T52" s="76" t="str">
        <f t="shared" si="17"/>
        <v>-- AST_検査値</v>
      </c>
      <c r="U52" s="4"/>
      <c r="V52" s="25" t="str">
        <f t="shared" si="20"/>
        <v>,max(ast_value)</v>
      </c>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milscm_2023_009.sny_202310_annony_bef.ast_value IS 'AST_検査値';</v>
      </c>
    </row>
    <row r="53" spans="1:45" s="25" customFormat="1">
      <c r="A53" s="4"/>
      <c r="B53" s="21">
        <f t="shared" si="13"/>
        <v>41</v>
      </c>
      <c r="C53" s="13" t="s">
        <v>4625</v>
      </c>
      <c r="D53" s="13" t="s">
        <v>4518</v>
      </c>
      <c r="E53" s="7"/>
      <c r="F53" s="7" t="s">
        <v>4200</v>
      </c>
      <c r="G53" s="7" t="str">
        <f t="shared" si="18"/>
        <v>numeric</v>
      </c>
      <c r="H53" s="58"/>
      <c r="I53" s="23"/>
      <c r="J53" s="24"/>
      <c r="M53" s="4"/>
      <c r="N53" s="76"/>
      <c r="O53" s="76"/>
      <c r="P53" s="76" t="str">
        <f t="shared" si="19"/>
        <v>,alt_value</v>
      </c>
      <c r="Q53" s="76" t="str">
        <f t="shared" si="14"/>
        <v>NUMERIC</v>
      </c>
      <c r="R53" s="76" t="str">
        <f t="shared" si="15"/>
        <v/>
      </c>
      <c r="S53" s="76" t="str">
        <f t="shared" si="16"/>
        <v/>
      </c>
      <c r="T53" s="76" t="str">
        <f t="shared" si="17"/>
        <v>-- ALT_検査値</v>
      </c>
      <c r="U53" s="4"/>
      <c r="V53" s="25" t="str">
        <f t="shared" si="20"/>
        <v>,max(alt_value)</v>
      </c>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milscm_2023_009.sny_202310_annony_bef.alt_value IS 'ALT_検査値';</v>
      </c>
    </row>
    <row r="54" spans="1:45" s="25" customFormat="1">
      <c r="A54" s="4"/>
      <c r="B54" s="21">
        <f t="shared" si="13"/>
        <v>42</v>
      </c>
      <c r="C54" s="13" t="s">
        <v>4647</v>
      </c>
      <c r="D54" s="13" t="s">
        <v>4651</v>
      </c>
      <c r="E54" s="7"/>
      <c r="F54" s="7" t="s">
        <v>4200</v>
      </c>
      <c r="G54" s="7" t="str">
        <f t="shared" si="18"/>
        <v>numeric</v>
      </c>
      <c r="H54" s="58"/>
      <c r="I54" s="23"/>
      <c r="J54" s="24"/>
      <c r="M54" s="4"/>
      <c r="N54" s="76"/>
      <c r="O54" s="76"/>
      <c r="P54" s="76" t="str">
        <f t="shared" si="19"/>
        <v>,all_bilirubin_value</v>
      </c>
      <c r="Q54" s="76" t="str">
        <f t="shared" si="14"/>
        <v>NUMERIC</v>
      </c>
      <c r="R54" s="76" t="str">
        <f t="shared" si="15"/>
        <v/>
      </c>
      <c r="S54" s="76" t="str">
        <f t="shared" si="16"/>
        <v/>
      </c>
      <c r="T54" s="76" t="str">
        <f t="shared" si="17"/>
        <v>-- 総ビリルビン_検査値</v>
      </c>
      <c r="U54" s="4"/>
      <c r="V54" s="25" t="str">
        <f t="shared" si="20"/>
        <v>,max(all_bilirubin_value)</v>
      </c>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milscm_2023_009.sny_202310_annony_bef.all_bilirubin_value IS '総ビリルビン_検査値';</v>
      </c>
    </row>
    <row r="55" spans="1:45" s="25" customFormat="1">
      <c r="A55" s="4"/>
      <c r="B55" s="21">
        <f t="shared" si="13"/>
        <v>43</v>
      </c>
      <c r="C55" s="13" t="s">
        <v>4648</v>
      </c>
      <c r="D55" s="13" t="s">
        <v>4652</v>
      </c>
      <c r="E55" s="7"/>
      <c r="F55" s="7" t="s">
        <v>4200</v>
      </c>
      <c r="G55" s="7" t="str">
        <f t="shared" ref="G55" si="21">IF(F55="フラグ","boolean",IF(F55="文字列","text",IF(F55="整数","integer",IF(F55="実数","numeric",""))))</f>
        <v>numeric</v>
      </c>
      <c r="H55" s="58"/>
      <c r="I55" s="23"/>
      <c r="J55" s="24"/>
      <c r="M55" s="4"/>
      <c r="N55" s="76"/>
      <c r="O55" s="76"/>
      <c r="P55" s="76" t="str">
        <f t="shared" ref="P55" si="22">IF(B55&lt;&gt;1,","&amp;D55,D55)</f>
        <v>,direct_bilirubin_value</v>
      </c>
      <c r="Q55" s="76" t="str">
        <f t="shared" ref="Q55" si="23">UPPER(G55)</f>
        <v>NUMERIC</v>
      </c>
      <c r="R55" s="76" t="str">
        <f t="shared" ref="R55" si="24">IF(H55&lt;&gt;"","default "&amp;IF(G55="text","'"&amp;H55&amp;"'",H55),"")</f>
        <v/>
      </c>
      <c r="S55" s="76" t="str">
        <f t="shared" ref="S55" si="25">IF(I55="○","NOT NULL","")</f>
        <v/>
      </c>
      <c r="T55" s="76" t="str">
        <f t="shared" ref="T55" si="26">"-- "&amp;C55</f>
        <v>-- 直接ビリルビン_検査値</v>
      </c>
      <c r="U55" s="4"/>
      <c r="V55" s="25" t="str">
        <f t="shared" ref="V55" si="27">",max("&amp;D55&amp;")"</f>
        <v>,max(direct_bilirubin_value)</v>
      </c>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milscm_2023_009.sny_202310_annony_bef.direct_bilirubin_value IS '直接ビリルビン_検査値';</v>
      </c>
    </row>
    <row r="56" spans="1:45" s="25" customFormat="1">
      <c r="A56" s="4"/>
      <c r="B56" s="21">
        <f t="shared" si="13"/>
        <v>44</v>
      </c>
      <c r="C56" s="13" t="s">
        <v>4626</v>
      </c>
      <c r="D56" s="13" t="s">
        <v>4520</v>
      </c>
      <c r="E56" s="7"/>
      <c r="F56" s="7" t="s">
        <v>4200</v>
      </c>
      <c r="G56" s="7" t="str">
        <f t="shared" si="18"/>
        <v>numeric</v>
      </c>
      <c r="H56" s="58"/>
      <c r="I56" s="23"/>
      <c r="J56" s="24"/>
      <c r="M56" s="4"/>
      <c r="N56" s="76"/>
      <c r="O56" s="76"/>
      <c r="P56" s="76" t="str">
        <f t="shared" si="19"/>
        <v>,bun_value</v>
      </c>
      <c r="Q56" s="76" t="str">
        <f t="shared" si="14"/>
        <v>NUMERIC</v>
      </c>
      <c r="R56" s="76" t="str">
        <f t="shared" si="15"/>
        <v/>
      </c>
      <c r="S56" s="76" t="str">
        <f t="shared" si="16"/>
        <v/>
      </c>
      <c r="T56" s="76" t="str">
        <f t="shared" si="17"/>
        <v>-- BUN_検査値</v>
      </c>
      <c r="U56" s="4"/>
      <c r="V56" s="25" t="str">
        <f t="shared" si="20"/>
        <v>,max(bun_value)</v>
      </c>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milscm_2023_009.sny_202310_annony_bef.bun_value IS 'BUN_検査値';</v>
      </c>
    </row>
    <row r="57" spans="1:45" s="25" customFormat="1">
      <c r="A57" s="4"/>
      <c r="B57" s="21">
        <f t="shared" si="13"/>
        <v>45</v>
      </c>
      <c r="C57" s="13" t="s">
        <v>4627</v>
      </c>
      <c r="D57" s="13" t="s">
        <v>4522</v>
      </c>
      <c r="E57" s="7"/>
      <c r="F57" s="7" t="s">
        <v>4200</v>
      </c>
      <c r="G57" s="7" t="str">
        <f t="shared" si="18"/>
        <v>numeric</v>
      </c>
      <c r="H57" s="58"/>
      <c r="I57" s="23"/>
      <c r="J57" s="24"/>
      <c r="M57" s="4"/>
      <c r="N57" s="76"/>
      <c r="O57" s="76"/>
      <c r="P57" s="76" t="str">
        <f t="shared" si="19"/>
        <v>,egfr_value</v>
      </c>
      <c r="Q57" s="76" t="str">
        <f t="shared" si="14"/>
        <v>NUMERIC</v>
      </c>
      <c r="R57" s="76" t="str">
        <f t="shared" si="15"/>
        <v/>
      </c>
      <c r="S57" s="76" t="str">
        <f t="shared" si="16"/>
        <v/>
      </c>
      <c r="T57" s="76" t="str">
        <f t="shared" si="17"/>
        <v>-- eGFR_検査値</v>
      </c>
      <c r="U57" s="4"/>
      <c r="V57" s="25" t="str">
        <f t="shared" si="20"/>
        <v>,max(egfr_value)</v>
      </c>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milscm_2023_009.sny_202310_annony_bef.egfr_value IS 'eGFR_検査値';</v>
      </c>
    </row>
    <row r="58" spans="1:45" s="25" customFormat="1" ht="31.5">
      <c r="A58" s="4"/>
      <c r="B58" s="21">
        <f t="shared" ref="B58:B64" si="28">ROW()-12</f>
        <v>46</v>
      </c>
      <c r="C58" s="13" t="s">
        <v>4628</v>
      </c>
      <c r="D58" s="13" t="s">
        <v>4539</v>
      </c>
      <c r="E58" s="7"/>
      <c r="F58" s="7" t="s">
        <v>4176</v>
      </c>
      <c r="G58" s="7" t="str">
        <f>IF(F58="フラグ","boolean",IF(F58="文字列","text",IF(F58="整数","integer",IF(F58="実数","numeric",""))))</f>
        <v>text</v>
      </c>
      <c r="H58" s="58"/>
      <c r="I58" s="23"/>
      <c r="J58" s="24"/>
      <c r="M58" s="4"/>
      <c r="N58" s="76"/>
      <c r="O58" s="76"/>
      <c r="P58" s="76" t="str">
        <f t="shared" si="19"/>
        <v>,ct_fish_flg</v>
      </c>
      <c r="Q58" s="76" t="str">
        <f t="shared" si="14"/>
        <v>TEXT</v>
      </c>
      <c r="R58" s="76" t="str">
        <f t="shared" si="15"/>
        <v/>
      </c>
      <c r="S58" s="76" t="str">
        <f t="shared" si="16"/>
        <v/>
      </c>
      <c r="T58" s="76" t="str">
        <f t="shared" si="17"/>
        <v>-- 染色体検査（ＦＩＳＨ法）_実施有無</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milscm_2023_009.sny_202310_annony_bef.ct_fish_flg IS '染色体検査（ＦＩＳＨ法）_実施有無';</v>
      </c>
    </row>
    <row r="59" spans="1:45" s="25" customFormat="1">
      <c r="A59" s="4"/>
      <c r="B59" s="21">
        <f t="shared" si="28"/>
        <v>47</v>
      </c>
      <c r="C59" s="13" t="s">
        <v>4629</v>
      </c>
      <c r="D59" s="13" t="s">
        <v>4540</v>
      </c>
      <c r="E59" s="7"/>
      <c r="F59" s="7" t="s">
        <v>4176</v>
      </c>
      <c r="G59" s="7" t="str">
        <f t="shared" ref="G59:G65" si="29">IF(F59="フラグ","boolean",IF(F59="文字列","text",IF(F59="整数","integer",IF(F59="実数","numeric",""))))</f>
        <v>text</v>
      </c>
      <c r="H59" s="58"/>
      <c r="I59" s="23"/>
      <c r="J59" s="24"/>
      <c r="M59" s="4"/>
      <c r="N59" s="76"/>
      <c r="O59" s="76"/>
      <c r="P59" s="76" t="str">
        <f t="shared" si="19"/>
        <v>,ct_etc_flg</v>
      </c>
      <c r="Q59" s="76" t="str">
        <f t="shared" si="14"/>
        <v>TEXT</v>
      </c>
      <c r="R59" s="76" t="str">
        <f t="shared" si="15"/>
        <v/>
      </c>
      <c r="S59" s="76" t="str">
        <f t="shared" si="16"/>
        <v/>
      </c>
      <c r="T59" s="76" t="str">
        <f t="shared" si="17"/>
        <v>-- 染色体検査（その他）_実施有無</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milscm_2023_009.sny_202310_annony_bef.ct_etc_flg IS '染色体検査（その他）_実施有無';</v>
      </c>
    </row>
    <row r="60" spans="1:45" s="25" customFormat="1" ht="31.5">
      <c r="A60" s="4"/>
      <c r="B60" s="21">
        <f t="shared" si="28"/>
        <v>48</v>
      </c>
      <c r="C60" s="13" t="s">
        <v>4630</v>
      </c>
      <c r="D60" s="13" t="s">
        <v>4541</v>
      </c>
      <c r="E60" s="7"/>
      <c r="F60" s="7" t="s">
        <v>4176</v>
      </c>
      <c r="G60" s="7" t="str">
        <f t="shared" si="29"/>
        <v>text</v>
      </c>
      <c r="H60" s="58"/>
      <c r="I60" s="23"/>
      <c r="J60" s="24"/>
      <c r="M60" s="4"/>
      <c r="N60" s="76"/>
      <c r="O60" s="76"/>
      <c r="P60" s="76" t="str">
        <f t="shared" si="19"/>
        <v>,pma_ct_flg</v>
      </c>
      <c r="Q60" s="76" t="str">
        <f t="shared" si="14"/>
        <v>TEXT</v>
      </c>
      <c r="R60" s="76" t="str">
        <f t="shared" si="15"/>
        <v/>
      </c>
      <c r="S60" s="76" t="str">
        <f t="shared" si="16"/>
        <v/>
      </c>
      <c r="T60" s="76" t="str">
        <f t="shared" si="17"/>
        <v>-- 分染法加算（染色体検査）_実施有無</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milscm_2023_009.sny_202310_annony_bef.pma_ct_flg IS '分染法加算（染色体検査）_実施有無';</v>
      </c>
    </row>
    <row r="61" spans="1:45" s="25" customFormat="1" ht="31.5">
      <c r="A61" s="4"/>
      <c r="B61" s="21">
        <f t="shared" si="28"/>
        <v>49</v>
      </c>
      <c r="C61" s="13" t="s">
        <v>4631</v>
      </c>
      <c r="D61" s="13" t="s">
        <v>4544</v>
      </c>
      <c r="E61" s="7"/>
      <c r="F61" s="7" t="s">
        <v>4176</v>
      </c>
      <c r="G61" s="7" t="str">
        <f t="shared" si="29"/>
        <v>text</v>
      </c>
      <c r="H61" s="58"/>
      <c r="I61" s="23"/>
      <c r="J61" s="24"/>
      <c r="M61" s="4"/>
      <c r="N61" s="76"/>
      <c r="O61" s="76"/>
      <c r="P61" s="76" t="str">
        <f t="shared" si="19"/>
        <v>,bmt_allogeneic_flg</v>
      </c>
      <c r="Q61" s="76" t="str">
        <f t="shared" si="14"/>
        <v>TEXT</v>
      </c>
      <c r="R61" s="76" t="str">
        <f t="shared" si="15"/>
        <v/>
      </c>
      <c r="S61" s="76" t="str">
        <f t="shared" si="16"/>
        <v/>
      </c>
      <c r="T61" s="76" t="str">
        <f t="shared" si="17"/>
        <v>-- 造血幹細胞移植（骨髄移植）（同種移植）_実施有無</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milscm_2023_009.sny_202310_annony_bef.bmt_allogeneic_flg IS '造血幹細胞移植（骨髄移植）（同種移植）_実施有無';</v>
      </c>
    </row>
    <row r="62" spans="1:45" s="25" customFormat="1" ht="31.5">
      <c r="A62" s="4"/>
      <c r="B62" s="21">
        <f t="shared" si="28"/>
        <v>50</v>
      </c>
      <c r="C62" s="13" t="s">
        <v>4632</v>
      </c>
      <c r="D62" s="13" t="s">
        <v>4547</v>
      </c>
      <c r="E62" s="7"/>
      <c r="F62" s="7" t="s">
        <v>4176</v>
      </c>
      <c r="G62" s="7" t="str">
        <f t="shared" si="29"/>
        <v>text</v>
      </c>
      <c r="H62" s="58"/>
      <c r="I62" s="23"/>
      <c r="J62" s="24"/>
      <c r="M62" s="4"/>
      <c r="N62" s="76"/>
      <c r="O62" s="76"/>
      <c r="P62" s="76" t="str">
        <f t="shared" si="19"/>
        <v>,bmt_autologous_flg</v>
      </c>
      <c r="Q62" s="76" t="str">
        <f t="shared" si="14"/>
        <v>TEXT</v>
      </c>
      <c r="R62" s="76" t="str">
        <f t="shared" si="15"/>
        <v/>
      </c>
      <c r="S62" s="76" t="str">
        <f t="shared" si="16"/>
        <v/>
      </c>
      <c r="T62" s="76" t="str">
        <f t="shared" si="17"/>
        <v>-- 造血幹細胞移植（骨髄移植）（自家移植）_実施有無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milscm_2023_009.sny_202310_annony_bef.bmt_autologous_flg IS '造血幹細胞移植（骨髄移植）（自家移植）_実施有無';</v>
      </c>
    </row>
    <row r="63" spans="1:45" s="25" customFormat="1" ht="31.5">
      <c r="A63" s="4"/>
      <c r="B63" s="21">
        <f t="shared" si="28"/>
        <v>51</v>
      </c>
      <c r="C63" s="13" t="s">
        <v>4633</v>
      </c>
      <c r="D63" s="13" t="s">
        <v>4548</v>
      </c>
      <c r="E63" s="7"/>
      <c r="F63" s="7" t="s">
        <v>4176</v>
      </c>
      <c r="G63" s="7" t="str">
        <f t="shared" si="29"/>
        <v>text</v>
      </c>
      <c r="H63" s="58"/>
      <c r="I63" s="23"/>
      <c r="J63" s="24"/>
      <c r="M63" s="4"/>
      <c r="N63" s="76"/>
      <c r="O63" s="76"/>
      <c r="P63" s="76" t="str">
        <f t="shared" si="19"/>
        <v>,pbsct_autologous_flg</v>
      </c>
      <c r="Q63" s="76" t="str">
        <f t="shared" si="14"/>
        <v>TEXT</v>
      </c>
      <c r="R63" s="76" t="str">
        <f t="shared" si="15"/>
        <v/>
      </c>
      <c r="S63" s="76" t="str">
        <f t="shared" si="16"/>
        <v/>
      </c>
      <c r="T63" s="76" t="str">
        <f t="shared" si="17"/>
        <v>-- 造血幹細胞移植（末梢血幹細胞移植）（自家移植）_実施有無</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milscm_2023_009.sny_202310_annony_bef.pbsct_autologous_flg IS '造血幹細胞移植（末梢血幹細胞移植）（自家移植）_実施有無';</v>
      </c>
    </row>
    <row r="64" spans="1:45" s="25" customFormat="1" ht="31.5">
      <c r="A64" s="4"/>
      <c r="B64" s="21">
        <f t="shared" si="28"/>
        <v>52</v>
      </c>
      <c r="C64" s="13" t="s">
        <v>4634</v>
      </c>
      <c r="D64" s="13" t="s">
        <v>4559</v>
      </c>
      <c r="E64" s="7"/>
      <c r="F64" s="7" t="s">
        <v>4176</v>
      </c>
      <c r="G64" s="7" t="str">
        <f t="shared" si="29"/>
        <v>text</v>
      </c>
      <c r="H64" s="58"/>
      <c r="I64" s="23"/>
      <c r="J64" s="24"/>
      <c r="M64" s="4"/>
      <c r="N64" s="76"/>
      <c r="O64" s="76"/>
      <c r="P64" s="76" t="str">
        <f t="shared" si="19"/>
        <v>,pbsct_allogeneic_flg</v>
      </c>
      <c r="Q64" s="76" t="str">
        <f t="shared" si="14"/>
        <v>TEXT</v>
      </c>
      <c r="R64" s="76" t="str">
        <f t="shared" si="15"/>
        <v/>
      </c>
      <c r="S64" s="76" t="str">
        <f t="shared" si="16"/>
        <v/>
      </c>
      <c r="T64" s="76" t="str">
        <f t="shared" si="17"/>
        <v>-- 造血幹細胞移植（末梢血幹細胞移植）（同種移植）_実施有無</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milscm_2023_009.sny_202310_annony_bef.pbsct_allogeneic_flg IS '造血幹細胞移植（末梢血幹細胞移植）（同種移植）_実施有無';</v>
      </c>
    </row>
    <row r="65" spans="1:52" s="25" customFormat="1" ht="32.25" thickBot="1">
      <c r="A65" s="4"/>
      <c r="B65" s="27">
        <f>ROW()-12</f>
        <v>53</v>
      </c>
      <c r="C65" s="57" t="s">
        <v>4537</v>
      </c>
      <c r="D65" s="57" t="s">
        <v>4543</v>
      </c>
      <c r="E65" s="56"/>
      <c r="F65" s="56" t="s">
        <v>4176</v>
      </c>
      <c r="G65" s="56" t="str">
        <f t="shared" si="29"/>
        <v>text</v>
      </c>
      <c r="H65" s="59"/>
      <c r="I65" s="60"/>
      <c r="J65" s="64"/>
      <c r="N65" s="76"/>
      <c r="O65" s="76"/>
      <c r="P65" s="76" t="str">
        <f t="shared" si="19"/>
        <v>,ucbt_flg</v>
      </c>
      <c r="Q65" s="76" t="str">
        <f t="shared" si="14"/>
        <v>TEXT</v>
      </c>
      <c r="R65" s="76" t="str">
        <f t="shared" si="15"/>
        <v/>
      </c>
      <c r="S65" s="76" t="str">
        <f t="shared" si="16"/>
        <v/>
      </c>
      <c r="T65" s="76" t="str">
        <f t="shared" si="17"/>
        <v>-- 造血幹細胞移植（臍帯血移植）_実施有無</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milscm_2023_009.sny_202310_annony_bef.ucbt_flg IS '造血幹細胞移植（臍帯血移植）_実施有無';</v>
      </c>
    </row>
    <row r="66" spans="1:52">
      <c r="L66" s="25"/>
      <c r="M66" s="25"/>
      <c r="N66" s="76" t="s">
        <v>142</v>
      </c>
      <c r="O66" s="76"/>
      <c r="P66" s="76"/>
      <c r="Q66" s="76"/>
      <c r="R66" s="76"/>
      <c r="S66" s="76"/>
      <c r="T66" s="76"/>
      <c r="V66" s="25"/>
      <c r="W66" s="25"/>
      <c r="X66" s="25"/>
      <c r="Y66" s="25"/>
      <c r="Z66" s="25"/>
      <c r="AJ66" s="76" t="s">
        <v>142</v>
      </c>
      <c r="AT66" s="25"/>
      <c r="AU66" s="25"/>
      <c r="AV66" s="25"/>
      <c r="AW66" s="25"/>
      <c r="AX66" s="25"/>
      <c r="AY66" s="25"/>
      <c r="AZ66" s="25"/>
    </row>
    <row r="67" spans="1:52">
      <c r="L67" s="25"/>
      <c r="M67" s="25"/>
      <c r="AT67" s="25"/>
      <c r="AU67" s="25"/>
      <c r="AV67" s="25"/>
      <c r="AW67" s="25"/>
      <c r="AX67" s="25"/>
      <c r="AY67" s="25"/>
      <c r="AZ67" s="25"/>
    </row>
    <row r="68" spans="1:52">
      <c r="L68" s="25"/>
      <c r="M68" s="25"/>
      <c r="AT68" s="25"/>
      <c r="AU68" s="25"/>
      <c r="AV68" s="25"/>
      <c r="AW68" s="25"/>
      <c r="AX68" s="25"/>
      <c r="AY68" s="25"/>
      <c r="AZ68" s="25"/>
    </row>
    <row r="69" spans="1:52">
      <c r="L69" s="25"/>
      <c r="M69" s="25"/>
      <c r="AT69" s="25"/>
      <c r="AU69" s="25"/>
      <c r="AV69" s="25"/>
      <c r="AW69" s="25"/>
      <c r="AX69" s="25"/>
      <c r="AY69" s="25"/>
      <c r="AZ69" s="25"/>
    </row>
    <row r="70" spans="1:52">
      <c r="L70" s="25"/>
      <c r="M70" s="25"/>
      <c r="AT70" s="25"/>
      <c r="AU70" s="25"/>
      <c r="AV70" s="25"/>
      <c r="AW70" s="25"/>
      <c r="AX70" s="25"/>
      <c r="AY70" s="25"/>
      <c r="AZ70" s="25"/>
    </row>
    <row r="71" spans="1:52">
      <c r="L71" s="25"/>
      <c r="M71" s="25"/>
      <c r="AT71" s="25"/>
      <c r="AU71" s="25"/>
      <c r="AV71" s="25"/>
      <c r="AW71" s="25"/>
      <c r="AX71" s="25"/>
      <c r="AY71" s="25"/>
      <c r="AZ71" s="25"/>
    </row>
    <row r="72" spans="1:52">
      <c r="L72" s="25"/>
      <c r="M72" s="25"/>
      <c r="AT72" s="25"/>
      <c r="AU72" s="25"/>
      <c r="AV72" s="25"/>
      <c r="AW72" s="25"/>
      <c r="AX72" s="25"/>
      <c r="AY72" s="25"/>
      <c r="AZ72" s="25"/>
    </row>
    <row r="73" spans="1:52">
      <c r="L73" s="25"/>
      <c r="M73" s="25"/>
      <c r="AT73" s="25"/>
      <c r="AU73" s="25"/>
      <c r="AV73" s="25"/>
      <c r="AW73" s="25"/>
      <c r="AX73" s="25"/>
      <c r="AY73" s="25"/>
      <c r="AZ73" s="25"/>
    </row>
    <row r="74" spans="1:52">
      <c r="L74" s="25"/>
      <c r="M74" s="25"/>
      <c r="AT74" s="25"/>
      <c r="AU74" s="25"/>
      <c r="AV74" s="25"/>
      <c r="AW74" s="25"/>
      <c r="AX74" s="25"/>
      <c r="AY74" s="25"/>
      <c r="AZ74" s="25"/>
    </row>
    <row r="75" spans="1:52">
      <c r="L75" s="25"/>
      <c r="M75" s="25"/>
      <c r="AT75" s="25"/>
      <c r="AU75" s="25"/>
      <c r="AV75" s="25"/>
      <c r="AW75" s="25"/>
      <c r="AX75" s="25"/>
      <c r="AY75" s="25"/>
      <c r="AZ75" s="25"/>
    </row>
    <row r="76" spans="1:52">
      <c r="L76" s="25"/>
      <c r="M76" s="25"/>
      <c r="AV76" s="25"/>
      <c r="AW76" s="25"/>
      <c r="AX76" s="25"/>
      <c r="AY76" s="25"/>
      <c r="AZ76" s="25"/>
    </row>
    <row r="77" spans="1:52">
      <c r="M77" s="25"/>
    </row>
    <row r="78" spans="1:52">
      <c r="M78" s="25"/>
    </row>
    <row r="79" spans="1:52">
      <c r="M79" s="25"/>
    </row>
    <row r="80" spans="1:52">
      <c r="M80" s="25"/>
    </row>
    <row r="81" spans="13:13">
      <c r="M81" s="25"/>
    </row>
    <row r="82" spans="13:13">
      <c r="M8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2"/>
  <sheetViews>
    <sheetView showGridLines="0" topLeftCell="E1" zoomScale="85" zoomScaleNormal="85" workbookViewId="0">
      <selection activeCell="G17" sqref="G17"/>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ENT_61_09</v>
      </c>
      <c r="E6" s="273"/>
      <c r="F6" s="273"/>
      <c r="G6" s="273"/>
      <c r="H6" s="273"/>
      <c r="I6" s="273"/>
      <c r="J6" s="274"/>
    </row>
    <row r="7" spans="1:45">
      <c r="B7" s="262" t="s">
        <v>115</v>
      </c>
      <c r="C7" s="263"/>
      <c r="D7" s="264" t="s">
        <v>4656</v>
      </c>
      <c r="E7" s="265"/>
      <c r="F7" s="265"/>
      <c r="G7" s="265"/>
      <c r="H7" s="265"/>
      <c r="I7" s="265"/>
      <c r="J7" s="266"/>
    </row>
    <row r="8" spans="1:45">
      <c r="B8" s="262" t="s">
        <v>116</v>
      </c>
      <c r="C8" s="263"/>
      <c r="D8" s="264" t="str">
        <f>エンティティ一覧!AE2&amp;"_"&amp;D5&amp;"_non_annony"</f>
        <v>sny_202310_annony_non_annony</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milscm_2023_009.sny_202310_annony_non_annony;</v>
      </c>
      <c r="O10" s="76"/>
      <c r="P10" s="76"/>
      <c r="Q10" s="76"/>
      <c r="R10" s="76"/>
      <c r="S10" s="76"/>
      <c r="T10" s="76"/>
      <c r="AJ10" s="76" t="str">
        <f>"ALTER TABLE ONLY "&amp;エンティティ一覧!$O$2&amp;"."&amp;D$8</f>
        <v>ALTER TABLE ONLY milscm_2023_009.sny_202310_annony_non_annony</v>
      </c>
      <c r="AS10" s="76" t="str">
        <f>"ALTER TABLE "&amp;エンティティ一覧!$O$2&amp;"."&amp;D$8&amp;" OWNER TO pgmisgrp1;"</f>
        <v>ALTER TABLE milscm_2023_009.sny_202310_annony_non_annony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milscm_2023_009.sny_202310_annony_non_annony</v>
      </c>
      <c r="O11" s="76"/>
      <c r="P11" s="76"/>
      <c r="Q11" s="76"/>
      <c r="R11" s="76"/>
      <c r="S11" s="76"/>
      <c r="T11" s="76"/>
      <c r="AJ11" s="76" t="str">
        <f>"ADD CONSTRAINT "&amp;D$8&amp;"_pkey PRIMARY KEY"</f>
        <v>ADD CONSTRAINT sny_202310_annony_non_annony_pkey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milscm_2023_009.sny_202310_annony_non_annony IS '匿名化_未加工データ';</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47" si="0">UPPER(G13)</f>
        <v>TEXT</v>
      </c>
      <c r="R13" s="76" t="str">
        <f t="shared" ref="R13:R47"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milscm_2023_009.sny_202310_annony_non_annony.mask_id IS 'マスクID';</v>
      </c>
    </row>
    <row r="14" spans="1:45" s="25" customFormat="1">
      <c r="A14" s="4"/>
      <c r="B14" s="21">
        <f t="shared" ref="B14:B17" si="2">ROW()-12</f>
        <v>2</v>
      </c>
      <c r="C14" s="13" t="s">
        <v>4177</v>
      </c>
      <c r="D14" s="13" t="s">
        <v>945</v>
      </c>
      <c r="E14" s="7"/>
      <c r="F14" s="7" t="s">
        <v>1780</v>
      </c>
      <c r="G14" s="7" t="str">
        <f t="shared" ref="G14:G15" si="3">IF(F14="フラグ","boolean",IF(F14="文字列","text",IF(F14="整数","integer",IF(F14="実数","numeric",""))))</f>
        <v>text</v>
      </c>
      <c r="H14" s="58"/>
      <c r="I14" s="23" t="s">
        <v>127</v>
      </c>
      <c r="J14" s="24" t="s">
        <v>4635</v>
      </c>
      <c r="M14" s="4"/>
      <c r="N14" s="76"/>
      <c r="O14" s="76"/>
      <c r="P14" s="76" t="str">
        <f t="shared" ref="P14:P47" si="4">IF(B14&lt;&gt;1,","&amp;D14,D14)</f>
        <v>,sex_kubun</v>
      </c>
      <c r="Q14" s="76" t="str">
        <f t="shared" si="0"/>
        <v>TEXT</v>
      </c>
      <c r="R14" s="76" t="str">
        <f t="shared" si="1"/>
        <v/>
      </c>
      <c r="S14" s="76" t="str">
        <f t="shared" ref="S14:S47" si="5">IF(I14="○","NOT NULL","")</f>
        <v>NOT NULL</v>
      </c>
      <c r="T14" s="76" t="str">
        <f t="shared" ref="T14:T47" si="6">"-- "&amp;C14</f>
        <v>-- 男女区分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milscm_2023_009.sny_202310_annony_non_annony.sex_kubun IS '男女区分';</v>
      </c>
    </row>
    <row r="15" spans="1:45" s="25" customFormat="1">
      <c r="A15" s="4"/>
      <c r="B15" s="21">
        <f t="shared" si="2"/>
        <v>3</v>
      </c>
      <c r="C15" s="13" t="s">
        <v>4316</v>
      </c>
      <c r="D15" s="13" t="s">
        <v>4315</v>
      </c>
      <c r="E15" s="7"/>
      <c r="F15" s="7" t="s">
        <v>4302</v>
      </c>
      <c r="G15" s="7" t="str">
        <f t="shared" si="3"/>
        <v>integer</v>
      </c>
      <c r="H15" s="58"/>
      <c r="I15" s="23" t="s">
        <v>127</v>
      </c>
      <c r="J15" s="24"/>
      <c r="M15" s="4"/>
      <c r="N15" s="76"/>
      <c r="O15" s="76"/>
      <c r="P15" s="76" t="str">
        <f t="shared" si="4"/>
        <v>,age</v>
      </c>
      <c r="Q15" s="76" t="str">
        <f t="shared" si="0"/>
        <v>INTEGER</v>
      </c>
      <c r="R15" s="76" t="str">
        <f t="shared" si="1"/>
        <v/>
      </c>
      <c r="S15" s="76" t="str">
        <f t="shared" si="5"/>
        <v>NOT NULL</v>
      </c>
      <c r="T15" s="76" t="str">
        <f t="shared" si="6"/>
        <v>-- 年齢</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milscm_2023_009.sny_202310_annony_non_annony.age IS '年齢';</v>
      </c>
    </row>
    <row r="16" spans="1:45" s="25" customFormat="1">
      <c r="A16" s="4"/>
      <c r="B16" s="21">
        <f t="shared" si="2"/>
        <v>4</v>
      </c>
      <c r="C16" s="13" t="s">
        <v>4588</v>
      </c>
      <c r="D16" s="13" t="s">
        <v>4297</v>
      </c>
      <c r="E16" s="7"/>
      <c r="F16" s="7" t="s">
        <v>4216</v>
      </c>
      <c r="G16" s="7" t="s">
        <v>4443</v>
      </c>
      <c r="H16" s="58"/>
      <c r="I16" s="23" t="s">
        <v>127</v>
      </c>
      <c r="J16" s="24"/>
      <c r="M16" s="4"/>
      <c r="N16" s="76"/>
      <c r="O16" s="76"/>
      <c r="P16" s="76" t="str">
        <f t="shared" si="4"/>
        <v>,kansatsu_start_date</v>
      </c>
      <c r="Q16" s="76" t="str">
        <f t="shared" si="0"/>
        <v>DATE</v>
      </c>
      <c r="R16" s="76" t="str">
        <f t="shared" si="1"/>
        <v/>
      </c>
      <c r="S16" s="76" t="str">
        <f t="shared" si="5"/>
        <v>NOT NULL</v>
      </c>
      <c r="T16" s="76" t="str">
        <f t="shared" si="6"/>
        <v>-- 観察開始日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milscm_2023_009.sny_202310_annony_non_annony.kansatsu_start_date IS '観察開始日';</v>
      </c>
    </row>
    <row r="17" spans="1:45" s="25" customFormat="1">
      <c r="A17" s="4"/>
      <c r="B17" s="21">
        <f t="shared" si="2"/>
        <v>5</v>
      </c>
      <c r="C17" s="13" t="s">
        <v>4589</v>
      </c>
      <c r="D17" s="13" t="s">
        <v>4298</v>
      </c>
      <c r="E17" s="7"/>
      <c r="F17" s="7" t="s">
        <v>4216</v>
      </c>
      <c r="G17" s="7" t="s">
        <v>25</v>
      </c>
      <c r="H17" s="58"/>
      <c r="I17" s="23" t="s">
        <v>127</v>
      </c>
      <c r="J17" s="24"/>
      <c r="M17" s="4"/>
      <c r="N17" s="76"/>
      <c r="O17" s="76"/>
      <c r="P17" s="76" t="str">
        <f t="shared" si="4"/>
        <v>,kansatsu_end_date</v>
      </c>
      <c r="Q17" s="76" t="str">
        <f t="shared" si="0"/>
        <v>DATE</v>
      </c>
      <c r="R17" s="76" t="str">
        <f t="shared" si="1"/>
        <v/>
      </c>
      <c r="S17" s="76" t="str">
        <f t="shared" si="5"/>
        <v>NOT NULL</v>
      </c>
      <c r="T17" s="76" t="str">
        <f t="shared" si="6"/>
        <v>-- 観察終了日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milscm_2023_009.sny_202310_annony_non_annony.kansatsu_end_date IS '観察終了日';</v>
      </c>
    </row>
    <row r="18" spans="1:45" s="25" customFormat="1" ht="31.5">
      <c r="A18" s="4"/>
      <c r="B18" s="21">
        <f>ROW()-12</f>
        <v>6</v>
      </c>
      <c r="C18" s="13" t="s">
        <v>4590</v>
      </c>
      <c r="D18" s="13" t="s">
        <v>4320</v>
      </c>
      <c r="E18" s="7"/>
      <c r="F18" s="7" t="s">
        <v>4216</v>
      </c>
      <c r="G18" s="7" t="s">
        <v>25</v>
      </c>
      <c r="H18" s="58"/>
      <c r="I18" s="23" t="s">
        <v>127</v>
      </c>
      <c r="J18" s="24"/>
      <c r="N18" s="76"/>
      <c r="O18" s="76"/>
      <c r="P18" s="76" t="str">
        <f t="shared" si="4"/>
        <v>,main_diagnosis_start_date</v>
      </c>
      <c r="Q18" s="76" t="str">
        <f t="shared" si="0"/>
        <v>DATE</v>
      </c>
      <c r="R18" s="76" t="str">
        <f t="shared" si="1"/>
        <v/>
      </c>
      <c r="S18" s="76" t="str">
        <f t="shared" si="5"/>
        <v>NOT NULL</v>
      </c>
      <c r="T18" s="76" t="str">
        <f t="shared" si="6"/>
        <v>-- 主傷病開始日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milscm_2023_009.sny_202310_annony_non_annony.main_diagnosis_start_date IS '主傷病開始日';</v>
      </c>
    </row>
    <row r="19" spans="1:45" s="25" customFormat="1" ht="31.5">
      <c r="A19" s="4"/>
      <c r="B19" s="21">
        <f t="shared" ref="B19:B34" si="7">ROW()-12</f>
        <v>7</v>
      </c>
      <c r="C19" s="13" t="s">
        <v>4591</v>
      </c>
      <c r="D19" s="13" t="s">
        <v>4464</v>
      </c>
      <c r="E19" s="7"/>
      <c r="F19" s="7" t="s">
        <v>4216</v>
      </c>
      <c r="G19" s="7" t="s">
        <v>99</v>
      </c>
      <c r="H19" s="58"/>
      <c r="I19" s="23"/>
      <c r="J19" s="24"/>
      <c r="M19" s="4"/>
      <c r="N19" s="76"/>
      <c r="O19" s="76"/>
      <c r="P19" s="76" t="str">
        <f t="shared" si="4"/>
        <v>,myocardial_infarction_start_date</v>
      </c>
      <c r="Q19" s="76" t="str">
        <f t="shared" si="0"/>
        <v>DATE</v>
      </c>
      <c r="R19" s="76" t="str">
        <f t="shared" si="1"/>
        <v/>
      </c>
      <c r="S19" s="76" t="str">
        <f t="shared" si="5"/>
        <v/>
      </c>
      <c r="T19" s="76" t="str">
        <f t="shared" si="6"/>
        <v>-- 心筋梗塞_疾患開始日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milscm_2023_009.sny_202310_annony_non_annony.myocardial_infarction_start_date IS '心筋梗塞_疾患開始日';</v>
      </c>
    </row>
    <row r="20" spans="1:45" s="25" customFormat="1" ht="31.5">
      <c r="A20" s="4"/>
      <c r="B20" s="21">
        <f t="shared" si="7"/>
        <v>8</v>
      </c>
      <c r="C20" s="13" t="s">
        <v>4592</v>
      </c>
      <c r="D20" s="13" t="s">
        <v>4465</v>
      </c>
      <c r="E20" s="7"/>
      <c r="F20" s="7" t="s">
        <v>4216</v>
      </c>
      <c r="G20" s="7" t="s">
        <v>25</v>
      </c>
      <c r="H20" s="58"/>
      <c r="I20" s="23"/>
      <c r="J20" s="24"/>
      <c r="M20" s="4"/>
      <c r="N20" s="76"/>
      <c r="O20" s="76"/>
      <c r="P20" s="76" t="str">
        <f t="shared" si="4"/>
        <v>,congestive_heart_failure_start_date</v>
      </c>
      <c r="Q20" s="76" t="str">
        <f t="shared" si="0"/>
        <v>DATE</v>
      </c>
      <c r="R20" s="76" t="str">
        <f t="shared" si="1"/>
        <v/>
      </c>
      <c r="S20" s="76" t="str">
        <f t="shared" si="5"/>
        <v/>
      </c>
      <c r="T20" s="76" t="str">
        <f t="shared" si="6"/>
        <v>-- うっ血性心不全_疾患開始日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milscm_2023_009.sny_202310_annony_non_annony.congestive_heart_failure_start_date IS 'うっ血性心不全_疾患開始日';</v>
      </c>
    </row>
    <row r="21" spans="1:45" s="25" customFormat="1" ht="31.5">
      <c r="A21" s="4"/>
      <c r="B21" s="21">
        <f t="shared" si="7"/>
        <v>9</v>
      </c>
      <c r="C21" s="13" t="s">
        <v>4593</v>
      </c>
      <c r="D21" s="13" t="s">
        <v>4466</v>
      </c>
      <c r="E21" s="7"/>
      <c r="F21" s="7" t="s">
        <v>4216</v>
      </c>
      <c r="G21" s="7" t="s">
        <v>25</v>
      </c>
      <c r="H21" s="58"/>
      <c r="I21" s="23"/>
      <c r="J21" s="24"/>
      <c r="M21" s="4"/>
      <c r="N21" s="76"/>
      <c r="O21" s="76"/>
      <c r="P21" s="76" t="str">
        <f t="shared" si="4"/>
        <v>,peripheral_vascular_start_date</v>
      </c>
      <c r="Q21" s="76" t="str">
        <f t="shared" si="0"/>
        <v>DATE</v>
      </c>
      <c r="R21" s="76" t="str">
        <f t="shared" si="1"/>
        <v/>
      </c>
      <c r="S21" s="76" t="str">
        <f t="shared" si="5"/>
        <v/>
      </c>
      <c r="T21" s="76" t="str">
        <f t="shared" si="6"/>
        <v>-- 末梢動脈疾患_疾患開始日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milscm_2023_009.sny_202310_annony_non_annony.peripheral_vascular_start_date IS '末梢動脈疾患_疾患開始日';</v>
      </c>
    </row>
    <row r="22" spans="1:45" s="25" customFormat="1" ht="31.5">
      <c r="A22" s="4"/>
      <c r="B22" s="21">
        <f t="shared" si="7"/>
        <v>10</v>
      </c>
      <c r="C22" s="13" t="s">
        <v>4594</v>
      </c>
      <c r="D22" s="13" t="s">
        <v>4467</v>
      </c>
      <c r="E22" s="7"/>
      <c r="F22" s="7" t="s">
        <v>4216</v>
      </c>
      <c r="G22" s="7" t="s">
        <v>25</v>
      </c>
      <c r="H22" s="58"/>
      <c r="I22" s="23"/>
      <c r="J22" s="24"/>
      <c r="M22" s="4"/>
      <c r="N22" s="76"/>
      <c r="O22" s="76"/>
      <c r="P22" s="76" t="str">
        <f t="shared" si="4"/>
        <v>,cerebrovascular_disease_start_date</v>
      </c>
      <c r="Q22" s="76" t="str">
        <f t="shared" si="0"/>
        <v>DATE</v>
      </c>
      <c r="R22" s="76" t="str">
        <f t="shared" si="1"/>
        <v/>
      </c>
      <c r="S22" s="76" t="str">
        <f t="shared" si="5"/>
        <v/>
      </c>
      <c r="T22" s="76" t="str">
        <f t="shared" si="6"/>
        <v>-- 脳血管障害_疾患開始日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milscm_2023_009.sny_202310_annony_non_annony.cerebrovascular_disease_start_date IS '脳血管障害_疾患開始日';</v>
      </c>
    </row>
    <row r="23" spans="1:45" s="25" customFormat="1">
      <c r="A23" s="4"/>
      <c r="B23" s="21">
        <f t="shared" si="7"/>
        <v>11</v>
      </c>
      <c r="C23" s="13" t="s">
        <v>4595</v>
      </c>
      <c r="D23" s="13" t="s">
        <v>4468</v>
      </c>
      <c r="E23" s="7"/>
      <c r="F23" s="7" t="s">
        <v>4216</v>
      </c>
      <c r="G23" s="7" t="s">
        <v>25</v>
      </c>
      <c r="H23" s="58"/>
      <c r="I23" s="23"/>
      <c r="J23" s="24"/>
      <c r="M23" s="4"/>
      <c r="N23" s="76"/>
      <c r="O23" s="76"/>
      <c r="P23" s="76" t="str">
        <f t="shared" si="4"/>
        <v>,dementia_start_date</v>
      </c>
      <c r="Q23" s="76" t="str">
        <f t="shared" si="0"/>
        <v>DATE</v>
      </c>
      <c r="R23" s="76" t="str">
        <f t="shared" si="1"/>
        <v/>
      </c>
      <c r="S23" s="76" t="str">
        <f t="shared" si="5"/>
        <v/>
      </c>
      <c r="T23" s="76" t="str">
        <f t="shared" si="6"/>
        <v>-- 認知症 _疾患開始日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milscm_2023_009.sny_202310_annony_non_annony.dementia_start_date IS '認知症 _疾患開始日';</v>
      </c>
    </row>
    <row r="24" spans="1:45" s="25" customFormat="1" ht="31.5">
      <c r="A24" s="4"/>
      <c r="B24" s="21">
        <f t="shared" si="7"/>
        <v>12</v>
      </c>
      <c r="C24" s="13" t="s">
        <v>4596</v>
      </c>
      <c r="D24" s="13" t="s">
        <v>4469</v>
      </c>
      <c r="E24" s="7"/>
      <c r="F24" s="7" t="s">
        <v>4216</v>
      </c>
      <c r="G24" s="7" t="s">
        <v>25</v>
      </c>
      <c r="H24" s="58"/>
      <c r="I24" s="23"/>
      <c r="J24" s="24"/>
      <c r="M24" s="4"/>
      <c r="N24" s="76"/>
      <c r="O24" s="76"/>
      <c r="P24" s="76" t="str">
        <f t="shared" si="4"/>
        <v>,chronic_pulmonary_start_date</v>
      </c>
      <c r="Q24" s="76" t="str">
        <f t="shared" si="0"/>
        <v>DATE</v>
      </c>
      <c r="R24" s="76" t="str">
        <f t="shared" si="1"/>
        <v/>
      </c>
      <c r="S24" s="76" t="str">
        <f t="shared" si="5"/>
        <v/>
      </c>
      <c r="T24" s="76" t="str">
        <f t="shared" si="6"/>
        <v>-- 慢性肺疾患_疾患開始日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milscm_2023_009.sny_202310_annony_non_annony.chronic_pulmonary_start_date IS '慢性肺疾患_疾患開始日';</v>
      </c>
    </row>
    <row r="25" spans="1:45" s="25" customFormat="1" ht="47.25">
      <c r="A25" s="4"/>
      <c r="B25" s="21">
        <f t="shared" si="7"/>
        <v>13</v>
      </c>
      <c r="C25" s="13" t="s">
        <v>4597</v>
      </c>
      <c r="D25" s="13" t="s">
        <v>4545</v>
      </c>
      <c r="E25" s="7"/>
      <c r="F25" s="7" t="s">
        <v>4216</v>
      </c>
      <c r="G25" s="7" t="s">
        <v>25</v>
      </c>
      <c r="H25" s="58"/>
      <c r="I25" s="23"/>
      <c r="J25" s="24"/>
      <c r="M25" s="4"/>
      <c r="N25" s="76"/>
      <c r="O25" s="76"/>
      <c r="P25" s="76" t="str">
        <f t="shared" si="4"/>
        <v>,connective_tissue_disease_rheumatic_disease_start_date</v>
      </c>
      <c r="Q25" s="76" t="str">
        <f t="shared" si="0"/>
        <v>DATE</v>
      </c>
      <c r="R25" s="76" t="str">
        <f t="shared" si="1"/>
        <v/>
      </c>
      <c r="S25" s="76" t="str">
        <f t="shared" si="5"/>
        <v/>
      </c>
      <c r="T25" s="76" t="str">
        <f t="shared" si="6"/>
        <v>-- 結合組織疾患_疾患開始日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milscm_2023_009.sny_202310_annony_non_annony.connective_tissue_disease_rheumatic_disease_start_date IS '結合組織疾患_疾患開始日';</v>
      </c>
    </row>
    <row r="26" spans="1:45" s="25" customFormat="1" ht="31.5">
      <c r="A26" s="4"/>
      <c r="B26" s="21">
        <f t="shared" si="7"/>
        <v>14</v>
      </c>
      <c r="C26" s="13" t="s">
        <v>4598</v>
      </c>
      <c r="D26" s="13" t="s">
        <v>4470</v>
      </c>
      <c r="E26" s="7"/>
      <c r="F26" s="7" t="s">
        <v>4216</v>
      </c>
      <c r="G26" s="7" t="s">
        <v>25</v>
      </c>
      <c r="H26" s="58"/>
      <c r="I26" s="23"/>
      <c r="J26" s="24"/>
      <c r="M26" s="4"/>
      <c r="N26" s="76"/>
      <c r="O26" s="76"/>
      <c r="P26" s="76" t="str">
        <f t="shared" si="4"/>
        <v>,peptic_ulcer_disease_start_date</v>
      </c>
      <c r="Q26" s="76" t="str">
        <f t="shared" si="0"/>
        <v>DATE</v>
      </c>
      <c r="R26" s="76" t="str">
        <f t="shared" si="1"/>
        <v/>
      </c>
      <c r="S26" s="76" t="str">
        <f t="shared" si="5"/>
        <v/>
      </c>
      <c r="T26" s="76" t="str">
        <f t="shared" si="6"/>
        <v>-- 潰瘍性疾患_疾患開始日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milscm_2023_009.sny_202310_annony_non_annony.peptic_ulcer_disease_start_date IS '潰瘍性疾患_疾患開始日';</v>
      </c>
    </row>
    <row r="27" spans="1:45" s="25" customFormat="1" ht="31.5">
      <c r="A27" s="4"/>
      <c r="B27" s="21">
        <f t="shared" si="7"/>
        <v>15</v>
      </c>
      <c r="C27" s="13" t="s">
        <v>4599</v>
      </c>
      <c r="D27" s="13" t="s">
        <v>4471</v>
      </c>
      <c r="E27" s="7"/>
      <c r="F27" s="7" t="s">
        <v>4216</v>
      </c>
      <c r="G27" s="7" t="s">
        <v>25</v>
      </c>
      <c r="H27" s="58"/>
      <c r="I27" s="23"/>
      <c r="J27" s="24"/>
      <c r="M27" s="4"/>
      <c r="N27" s="76"/>
      <c r="O27" s="76"/>
      <c r="P27" s="76" t="str">
        <f t="shared" si="4"/>
        <v>,mild_liver_disease_start_date</v>
      </c>
      <c r="Q27" s="76" t="str">
        <f t="shared" si="0"/>
        <v>DATE</v>
      </c>
      <c r="R27" s="76" t="str">
        <f t="shared" si="1"/>
        <v/>
      </c>
      <c r="S27" s="76" t="str">
        <f t="shared" si="5"/>
        <v/>
      </c>
      <c r="T27" s="76" t="str">
        <f t="shared" si="6"/>
        <v>-- 軽度の肝疾患_疾患開始日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milscm_2023_009.sny_202310_annony_non_annony.mild_liver_disease_start_date IS '軽度の肝疾患_疾患開始日';</v>
      </c>
    </row>
    <row r="28" spans="1:45" s="25" customFormat="1" ht="31.5">
      <c r="A28" s="4"/>
      <c r="B28" s="21">
        <f t="shared" si="7"/>
        <v>16</v>
      </c>
      <c r="C28" s="13" t="s">
        <v>4600</v>
      </c>
      <c r="D28" s="13" t="s">
        <v>4472</v>
      </c>
      <c r="E28" s="7"/>
      <c r="F28" s="7" t="s">
        <v>4216</v>
      </c>
      <c r="G28" s="7" t="s">
        <v>25</v>
      </c>
      <c r="H28" s="58"/>
      <c r="I28" s="23"/>
      <c r="J28" s="24"/>
      <c r="M28" s="4"/>
      <c r="N28" s="76"/>
      <c r="O28" s="76"/>
      <c r="P28" s="76" t="str">
        <f t="shared" si="4"/>
        <v>,diabetes_without_chronic_start_date</v>
      </c>
      <c r="Q28" s="76" t="str">
        <f t="shared" si="0"/>
        <v>DATE</v>
      </c>
      <c r="R28" s="76" t="str">
        <f t="shared" si="1"/>
        <v/>
      </c>
      <c r="S28" s="76" t="str">
        <f t="shared" si="5"/>
        <v/>
      </c>
      <c r="T28" s="76" t="str">
        <f t="shared" si="6"/>
        <v>-- 合併症を伴わない糖尿病_疾患開始日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milscm_2023_009.sny_202310_annony_non_annony.diabetes_without_chronic_start_date IS '合併症を伴わない糖尿病_疾患開始日';</v>
      </c>
    </row>
    <row r="29" spans="1:45" s="25" customFormat="1" ht="31.5">
      <c r="A29" s="4"/>
      <c r="B29" s="21">
        <f t="shared" si="7"/>
        <v>17</v>
      </c>
      <c r="C29" s="13" t="s">
        <v>4601</v>
      </c>
      <c r="D29" s="13" t="s">
        <v>4473</v>
      </c>
      <c r="E29" s="7"/>
      <c r="F29" s="7" t="s">
        <v>4216</v>
      </c>
      <c r="G29" s="7" t="s">
        <v>25</v>
      </c>
      <c r="H29" s="58"/>
      <c r="I29" s="23"/>
      <c r="J29" s="24"/>
      <c r="M29" s="4"/>
      <c r="N29" s="76"/>
      <c r="O29" s="76"/>
      <c r="P29" s="76" t="str">
        <f t="shared" si="4"/>
        <v>,diabetes_with_chronic_start_date</v>
      </c>
      <c r="Q29" s="76" t="str">
        <f t="shared" si="0"/>
        <v>DATE</v>
      </c>
      <c r="R29" s="76" t="str">
        <f t="shared" si="1"/>
        <v/>
      </c>
      <c r="S29" s="76" t="str">
        <f t="shared" si="5"/>
        <v/>
      </c>
      <c r="T29" s="76" t="str">
        <f t="shared" si="6"/>
        <v>-- 合併症を伴う糖尿病_疾患開始日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milscm_2023_009.sny_202310_annony_non_annony.diabetes_with_chronic_start_date IS '合併症を伴う糖尿病_疾患開始日';</v>
      </c>
    </row>
    <row r="30" spans="1:45" s="25" customFormat="1" ht="31.5">
      <c r="A30" s="4"/>
      <c r="B30" s="21">
        <f t="shared" si="7"/>
        <v>18</v>
      </c>
      <c r="C30" s="13" t="s">
        <v>4602</v>
      </c>
      <c r="D30" s="13" t="s">
        <v>4474</v>
      </c>
      <c r="E30" s="7"/>
      <c r="F30" s="7" t="s">
        <v>4216</v>
      </c>
      <c r="G30" s="7" t="s">
        <v>25</v>
      </c>
      <c r="H30" s="58"/>
      <c r="I30" s="23"/>
      <c r="J30" s="24"/>
      <c r="M30" s="4"/>
      <c r="N30" s="76"/>
      <c r="O30" s="76"/>
      <c r="P30" s="76" t="str">
        <f t="shared" si="4"/>
        <v>,paraplegia_and_hemiplegia_start_date</v>
      </c>
      <c r="Q30" s="76" t="str">
        <f t="shared" si="0"/>
        <v>DATE</v>
      </c>
      <c r="R30" s="76" t="str">
        <f t="shared" si="1"/>
        <v/>
      </c>
      <c r="S30" s="76" t="str">
        <f t="shared" si="5"/>
        <v/>
      </c>
      <c r="T30" s="76" t="str">
        <f t="shared" si="6"/>
        <v>-- 片麻痺・対麻痺_疾患開始日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milscm_2023_009.sny_202310_annony_non_annony.paraplegia_and_hemiplegia_start_date IS '片麻痺・対麻痺_疾患開始日';</v>
      </c>
    </row>
    <row r="31" spans="1:45" s="25" customFormat="1">
      <c r="A31" s="4"/>
      <c r="B31" s="21">
        <f t="shared" si="7"/>
        <v>19</v>
      </c>
      <c r="C31" s="13" t="s">
        <v>4603</v>
      </c>
      <c r="D31" s="13" t="s">
        <v>4475</v>
      </c>
      <c r="E31" s="7"/>
      <c r="F31" s="7" t="s">
        <v>4216</v>
      </c>
      <c r="G31" s="7" t="s">
        <v>25</v>
      </c>
      <c r="H31" s="58"/>
      <c r="I31" s="23"/>
      <c r="J31" s="24"/>
      <c r="M31" s="4"/>
      <c r="N31" s="76"/>
      <c r="O31" s="76"/>
      <c r="P31" s="76" t="str">
        <f t="shared" si="4"/>
        <v>,renal_disease_start_date</v>
      </c>
      <c r="Q31" s="76" t="str">
        <f t="shared" si="0"/>
        <v>DATE</v>
      </c>
      <c r="R31" s="76" t="str">
        <f t="shared" si="1"/>
        <v/>
      </c>
      <c r="S31" s="76" t="str">
        <f t="shared" si="5"/>
        <v/>
      </c>
      <c r="T31" s="76" t="str">
        <f t="shared" si="6"/>
        <v>-- 腎疾患_疾患開始日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milscm_2023_009.sny_202310_annony_non_annony.renal_disease_start_date IS '腎疾患_疾患開始日';</v>
      </c>
    </row>
    <row r="32" spans="1:45" s="25" customFormat="1">
      <c r="A32" s="4"/>
      <c r="B32" s="21">
        <f t="shared" si="7"/>
        <v>20</v>
      </c>
      <c r="C32" s="13" t="s">
        <v>4604</v>
      </c>
      <c r="D32" s="13" t="s">
        <v>4555</v>
      </c>
      <c r="E32" s="7"/>
      <c r="F32" s="7" t="s">
        <v>4216</v>
      </c>
      <c r="G32" s="7" t="s">
        <v>25</v>
      </c>
      <c r="H32" s="58"/>
      <c r="I32" s="23"/>
      <c r="J32" s="24"/>
      <c r="M32" s="4"/>
      <c r="N32" s="76"/>
      <c r="O32" s="76"/>
      <c r="P32" s="76" t="str">
        <f t="shared" si="4"/>
        <v>,cancer_start_date</v>
      </c>
      <c r="Q32" s="76" t="str">
        <f t="shared" si="0"/>
        <v>DATE</v>
      </c>
      <c r="R32" s="76" t="str">
        <f t="shared" si="1"/>
        <v/>
      </c>
      <c r="S32" s="76" t="str">
        <f t="shared" si="5"/>
        <v/>
      </c>
      <c r="T32" s="76" t="str">
        <f t="shared" si="6"/>
        <v>-- 悪性腫瘍_疾患開始日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milscm_2023_009.sny_202310_annony_non_annony.cancer_start_date IS '悪性腫瘍_疾患開始日';</v>
      </c>
    </row>
    <row r="33" spans="1:45" s="25" customFormat="1" ht="31.5">
      <c r="A33" s="4"/>
      <c r="B33" s="21">
        <f t="shared" si="7"/>
        <v>21</v>
      </c>
      <c r="C33" s="13" t="s">
        <v>4605</v>
      </c>
      <c r="D33" s="13" t="s">
        <v>4476</v>
      </c>
      <c r="E33" s="7"/>
      <c r="F33" s="7" t="s">
        <v>4216</v>
      </c>
      <c r="G33" s="7" t="s">
        <v>25</v>
      </c>
      <c r="H33" s="58"/>
      <c r="I33" s="23"/>
      <c r="J33" s="24"/>
      <c r="M33" s="4"/>
      <c r="N33" s="76"/>
      <c r="O33" s="76"/>
      <c r="P33" s="76" t="str">
        <f t="shared" si="4"/>
        <v>,moderate_or_severe_liver_start_date</v>
      </c>
      <c r="Q33" s="76" t="str">
        <f t="shared" si="0"/>
        <v>DATE</v>
      </c>
      <c r="R33" s="76" t="str">
        <f t="shared" si="1"/>
        <v/>
      </c>
      <c r="S33" s="76" t="str">
        <f t="shared" si="5"/>
        <v/>
      </c>
      <c r="T33" s="76" t="str">
        <f t="shared" si="6"/>
        <v>-- 中等度～重度の肝疾患_疾患開始日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milscm_2023_009.sny_202310_annony_non_annony.moderate_or_severe_liver_start_date IS '中等度～重度の肝疾患_疾患開始日';</v>
      </c>
    </row>
    <row r="34" spans="1:45" s="25" customFormat="1" ht="31.5">
      <c r="A34" s="4"/>
      <c r="B34" s="21">
        <f t="shared" si="7"/>
        <v>22</v>
      </c>
      <c r="C34" s="13" t="s">
        <v>4606</v>
      </c>
      <c r="D34" s="13" t="s">
        <v>4477</v>
      </c>
      <c r="E34" s="7"/>
      <c r="F34" s="7" t="s">
        <v>4216</v>
      </c>
      <c r="G34" s="7" t="s">
        <v>25</v>
      </c>
      <c r="H34" s="58"/>
      <c r="I34" s="23"/>
      <c r="J34" s="24"/>
      <c r="M34" s="4"/>
      <c r="N34" s="76"/>
      <c r="O34" s="76"/>
      <c r="P34" s="76" t="str">
        <f t="shared" si="4"/>
        <v>,metastatic_carcinoma_start_date</v>
      </c>
      <c r="Q34" s="76" t="str">
        <f t="shared" si="0"/>
        <v>DATE</v>
      </c>
      <c r="R34" s="76" t="str">
        <f t="shared" si="1"/>
        <v/>
      </c>
      <c r="S34" s="76" t="str">
        <f t="shared" si="5"/>
        <v/>
      </c>
      <c r="T34" s="76" t="str">
        <f t="shared" si="6"/>
        <v>-- 転移性充実性腫瘍_疾患開始日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milscm_2023_009.sny_202310_annony_non_annony.metastatic_carcinoma_start_date IS '転移性充実性腫瘍_疾患開始日';</v>
      </c>
    </row>
    <row r="35" spans="1:45" s="25" customFormat="1">
      <c r="A35" s="4"/>
      <c r="B35" s="21">
        <f>ROW()-12</f>
        <v>23</v>
      </c>
      <c r="C35" s="13" t="s">
        <v>4607</v>
      </c>
      <c r="D35" s="13" t="s">
        <v>4478</v>
      </c>
      <c r="E35" s="7"/>
      <c r="F35" s="7" t="s">
        <v>4216</v>
      </c>
      <c r="G35" s="7" t="s">
        <v>25</v>
      </c>
      <c r="H35" s="58"/>
      <c r="I35" s="23"/>
      <c r="J35" s="24"/>
      <c r="N35" s="76"/>
      <c r="O35" s="76"/>
      <c r="P35" s="76" t="str">
        <f t="shared" si="4"/>
        <v>,hiv_aids_start_date</v>
      </c>
      <c r="Q35" s="76" t="str">
        <f t="shared" si="0"/>
        <v>DATE</v>
      </c>
      <c r="R35" s="76" t="str">
        <f t="shared" si="1"/>
        <v/>
      </c>
      <c r="S35" s="76" t="str">
        <f t="shared" si="5"/>
        <v/>
      </c>
      <c r="T35" s="76" t="str">
        <f t="shared" si="6"/>
        <v>-- HIV/AIDS_疾患開始日</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milscm_2023_009.sny_202310_annony_non_annony.hiv_aids_start_date IS 'HIV/AIDS_疾患開始日';</v>
      </c>
    </row>
    <row r="36" spans="1:45" s="25" customFormat="1">
      <c r="A36" s="4"/>
      <c r="B36" s="21">
        <f t="shared" ref="B36:B37" si="8">ROW()-12</f>
        <v>24</v>
      </c>
      <c r="C36" s="13" t="s">
        <v>4608</v>
      </c>
      <c r="D36" s="13" t="s">
        <v>4432</v>
      </c>
      <c r="E36" s="7"/>
      <c r="F36" s="7" t="s">
        <v>4609</v>
      </c>
      <c r="G36" s="7" t="str">
        <f t="shared" ref="G36" si="9">IF(F36="フラグ","boolean",IF(F36="文字列","text",IF(F36="整数","integer",IF(F36="実数","numeric",""))))</f>
        <v>text</v>
      </c>
      <c r="H36" s="58"/>
      <c r="I36" s="23" t="s">
        <v>127</v>
      </c>
      <c r="J36" s="24" t="s">
        <v>4637</v>
      </c>
      <c r="M36" s="4"/>
      <c r="N36" s="76"/>
      <c r="O36" s="76"/>
      <c r="P36" s="76" t="str">
        <f t="shared" si="4"/>
        <v>,nyu_gai_kubun</v>
      </c>
      <c r="Q36" s="76" t="str">
        <f t="shared" si="0"/>
        <v>TEXT</v>
      </c>
      <c r="R36" s="76" t="str">
        <f t="shared" si="1"/>
        <v/>
      </c>
      <c r="S36" s="76" t="str">
        <f t="shared" si="5"/>
        <v>NOT NULL</v>
      </c>
      <c r="T36" s="76" t="str">
        <f t="shared" si="6"/>
        <v>-- 入外区分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milscm_2023_009.sny_202310_annony_non_annony.nyu_gai_kubun IS '入外区分';</v>
      </c>
    </row>
    <row r="37" spans="1:45" s="25" customFormat="1">
      <c r="A37" s="4"/>
      <c r="B37" s="21">
        <f t="shared" si="8"/>
        <v>25</v>
      </c>
      <c r="C37" s="13" t="s">
        <v>4610</v>
      </c>
      <c r="D37" s="13" t="s">
        <v>4433</v>
      </c>
      <c r="E37" s="7"/>
      <c r="F37" s="7" t="s">
        <v>4216</v>
      </c>
      <c r="G37" s="7" t="s">
        <v>25</v>
      </c>
      <c r="H37" s="58"/>
      <c r="I37" s="23"/>
      <c r="J37" s="24"/>
      <c r="M37" s="4"/>
      <c r="N37" s="76"/>
      <c r="O37" s="76"/>
      <c r="P37" s="76" t="str">
        <f t="shared" si="4"/>
        <v>,raiin_ymd</v>
      </c>
      <c r="Q37" s="76" t="str">
        <f t="shared" si="0"/>
        <v>DATE</v>
      </c>
      <c r="R37" s="76" t="str">
        <f t="shared" si="1"/>
        <v/>
      </c>
      <c r="S37" s="76" t="str">
        <f t="shared" si="5"/>
        <v/>
      </c>
      <c r="T37" s="76" t="str">
        <f t="shared" si="6"/>
        <v>-- 来院年月日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milscm_2023_009.sny_202310_annony_non_annony.raiin_ymd IS '来院年月日';</v>
      </c>
    </row>
    <row r="38" spans="1:45" s="25" customFormat="1">
      <c r="A38" s="4"/>
      <c r="B38" s="21">
        <f>ROW()-12</f>
        <v>26</v>
      </c>
      <c r="C38" s="13" t="s">
        <v>4611</v>
      </c>
      <c r="D38" s="13" t="s">
        <v>212</v>
      </c>
      <c r="E38" s="7"/>
      <c r="F38" s="7" t="s">
        <v>4216</v>
      </c>
      <c r="G38" s="7" t="s">
        <v>25</v>
      </c>
      <c r="H38" s="58"/>
      <c r="I38" s="23"/>
      <c r="J38" s="24"/>
      <c r="N38" s="76"/>
      <c r="O38" s="76"/>
      <c r="P38" s="76" t="str">
        <f t="shared" si="4"/>
        <v>,taiin_ymd</v>
      </c>
      <c r="Q38" s="76" t="str">
        <f t="shared" si="0"/>
        <v>DATE</v>
      </c>
      <c r="R38" s="76" t="str">
        <f t="shared" si="1"/>
        <v/>
      </c>
      <c r="S38" s="76" t="str">
        <f t="shared" si="5"/>
        <v/>
      </c>
      <c r="T38" s="76" t="str">
        <f t="shared" si="6"/>
        <v>-- 退院年月日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milscm_2023_009.sny_202310_annony_non_annony.taiin_ymd IS '退院年月日';</v>
      </c>
    </row>
    <row r="39" spans="1:45" s="25" customFormat="1">
      <c r="A39" s="4"/>
      <c r="B39" s="21">
        <f t="shared" ref="B39:B43" si="10">ROW()-12</f>
        <v>27</v>
      </c>
      <c r="C39" s="13" t="s">
        <v>4612</v>
      </c>
      <c r="D39" s="13" t="s">
        <v>4500</v>
      </c>
      <c r="E39" s="7" t="s">
        <v>127</v>
      </c>
      <c r="F39" s="7" t="s">
        <v>4216</v>
      </c>
      <c r="G39" s="7" t="s">
        <v>99</v>
      </c>
      <c r="H39" s="58"/>
      <c r="I39" s="23" t="s">
        <v>127</v>
      </c>
      <c r="J39" s="24"/>
      <c r="M39" s="4"/>
      <c r="N39" s="76"/>
      <c r="O39" s="76"/>
      <c r="P39" s="76" t="str">
        <f t="shared" si="4"/>
        <v>,event_date</v>
      </c>
      <c r="Q39" s="76" t="str">
        <f t="shared" si="0"/>
        <v>DATE</v>
      </c>
      <c r="R39" s="76" t="str">
        <f t="shared" si="1"/>
        <v/>
      </c>
      <c r="S39" s="76" t="str">
        <f t="shared" si="5"/>
        <v>NOT NULL</v>
      </c>
      <c r="T39" s="76" t="str">
        <f t="shared" si="6"/>
        <v>-- イベント日付</v>
      </c>
      <c r="U39" s="4"/>
      <c r="AA39" s="4"/>
      <c r="AB39" s="4"/>
      <c r="AC39" s="4"/>
      <c r="AD39" s="4"/>
      <c r="AE39" s="4"/>
      <c r="AF39" s="4"/>
      <c r="AG39" s="4"/>
      <c r="AH39" s="4"/>
      <c r="AI39" s="4"/>
      <c r="AJ39" s="76" t="str">
        <f>IF(E39="○",IF(COUNTA(E$13:E39)=1,"",",")&amp;D39,"")</f>
        <v>,event_date</v>
      </c>
      <c r="AK39" s="4"/>
      <c r="AL39" s="4"/>
      <c r="AM39" s="4"/>
      <c r="AN39" s="4"/>
      <c r="AO39" s="4"/>
      <c r="AP39" s="4"/>
      <c r="AQ39" s="4"/>
      <c r="AR39" s="4"/>
      <c r="AS39" s="76" t="str">
        <f>"COMMENT ON COLUMN "&amp;エンティティ一覧!$O$2&amp;"."&amp;D$8&amp;"."&amp;D39&amp;" IS '"&amp;C39&amp;"';"</f>
        <v>COMMENT ON COLUMN milscm_2023_009.sny_202310_annony_non_annony.event_date IS 'イベント日付';</v>
      </c>
    </row>
    <row r="40" spans="1:45" s="25" customFormat="1">
      <c r="A40" s="4"/>
      <c r="B40" s="21">
        <f t="shared" si="10"/>
        <v>28</v>
      </c>
      <c r="C40" s="13" t="s">
        <v>4301</v>
      </c>
      <c r="D40" s="13" t="s">
        <v>4300</v>
      </c>
      <c r="E40" s="8" t="s">
        <v>127</v>
      </c>
      <c r="F40" s="7" t="s">
        <v>1990</v>
      </c>
      <c r="G40" s="7" t="str">
        <f t="shared" ref="G40:G47" si="11">IF(F40="フラグ","boolean",IF(F40="文字列","text",IF(F40="整数","integer",IF(F40="実数","numeric",""))))</f>
        <v>integer</v>
      </c>
      <c r="H40" s="58"/>
      <c r="I40" s="23" t="s">
        <v>127</v>
      </c>
      <c r="J40" s="24"/>
      <c r="M40" s="4"/>
      <c r="N40" s="76"/>
      <c r="O40" s="76"/>
      <c r="P40" s="76" t="str">
        <f t="shared" si="4"/>
        <v>,row_no</v>
      </c>
      <c r="Q40" s="76" t="str">
        <f t="shared" si="0"/>
        <v>INTEGER</v>
      </c>
      <c r="R40" s="76" t="str">
        <f t="shared" si="1"/>
        <v/>
      </c>
      <c r="S40" s="76" t="str">
        <f t="shared" si="5"/>
        <v>NOT NULL</v>
      </c>
      <c r="T40" s="76" t="str">
        <f t="shared" si="6"/>
        <v>-- 行番号</v>
      </c>
      <c r="U40" s="4"/>
      <c r="AA40" s="4"/>
      <c r="AB40" s="4"/>
      <c r="AC40" s="4"/>
      <c r="AD40" s="4"/>
      <c r="AE40" s="4"/>
      <c r="AF40" s="4"/>
      <c r="AG40" s="4"/>
      <c r="AH40" s="4"/>
      <c r="AI40" s="4"/>
      <c r="AJ40" s="76" t="str">
        <f>IF(E40="○",IF(COUNTA(E$13:E40)=1,"",",")&amp;D40,"")</f>
        <v>,row_no</v>
      </c>
      <c r="AK40" s="4"/>
      <c r="AL40" s="4"/>
      <c r="AM40" s="4"/>
      <c r="AN40" s="4"/>
      <c r="AO40" s="4"/>
      <c r="AP40" s="4"/>
      <c r="AQ40" s="4"/>
      <c r="AR40" s="4"/>
      <c r="AS40" s="76" t="str">
        <f>"COMMENT ON COLUMN "&amp;エンティティ一覧!$O$2&amp;"."&amp;D$8&amp;"."&amp;D40&amp;" IS '"&amp;C40&amp;"';"</f>
        <v>COMMENT ON COLUMN milscm_2023_009.sny_202310_annony_non_annony.row_no IS '行番号';</v>
      </c>
    </row>
    <row r="41" spans="1:45" s="25" customFormat="1">
      <c r="A41" s="4"/>
      <c r="B41" s="21">
        <f t="shared" si="10"/>
        <v>29</v>
      </c>
      <c r="C41" s="13" t="s">
        <v>4613</v>
      </c>
      <c r="D41" s="13" t="s">
        <v>4509</v>
      </c>
      <c r="E41" s="7"/>
      <c r="F41" s="7" t="s">
        <v>4609</v>
      </c>
      <c r="G41" s="7" t="str">
        <f t="shared" si="11"/>
        <v>text</v>
      </c>
      <c r="H41" s="58"/>
      <c r="I41" s="23"/>
      <c r="J41" s="24" t="s">
        <v>4582</v>
      </c>
      <c r="M41" s="4"/>
      <c r="N41" s="76"/>
      <c r="O41" s="76"/>
      <c r="P41" s="76" t="str">
        <f t="shared" si="4"/>
        <v>,tp53</v>
      </c>
      <c r="Q41" s="76" t="str">
        <f t="shared" si="0"/>
        <v>TEXT</v>
      </c>
      <c r="R41" s="76" t="str">
        <f t="shared" si="1"/>
        <v/>
      </c>
      <c r="S41" s="76" t="str">
        <f t="shared" si="5"/>
        <v/>
      </c>
      <c r="T41" s="76" t="str">
        <f t="shared" si="6"/>
        <v>-- del（１７ｐ）</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milscm_2023_009.sny_202310_annony_non_annony.tp53 IS 'del（１７ｐ）';</v>
      </c>
    </row>
    <row r="42" spans="1:45" s="25" customFormat="1">
      <c r="A42" s="4"/>
      <c r="B42" s="21">
        <f t="shared" si="10"/>
        <v>30</v>
      </c>
      <c r="C42" s="13" t="s">
        <v>4614</v>
      </c>
      <c r="D42" s="13" t="s">
        <v>4508</v>
      </c>
      <c r="E42" s="7"/>
      <c r="F42" s="7" t="s">
        <v>4609</v>
      </c>
      <c r="G42" s="7" t="str">
        <f t="shared" si="11"/>
        <v>text</v>
      </c>
      <c r="H42" s="58"/>
      <c r="I42" s="23"/>
      <c r="J42" s="24" t="s">
        <v>4582</v>
      </c>
      <c r="M42" s="4"/>
      <c r="N42" s="76"/>
      <c r="O42" s="76"/>
      <c r="P42" s="76" t="str">
        <f t="shared" si="4"/>
        <v>,igh_fgfr3</v>
      </c>
      <c r="Q42" s="76" t="str">
        <f t="shared" si="0"/>
        <v>TEXT</v>
      </c>
      <c r="R42" s="76" t="str">
        <f t="shared" si="1"/>
        <v/>
      </c>
      <c r="S42" s="76" t="str">
        <f t="shared" si="5"/>
        <v/>
      </c>
      <c r="T42" s="76" t="str">
        <f t="shared" si="6"/>
        <v>-- t（４；１４）</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milscm_2023_009.sny_202310_annony_non_annony.igh_fgfr3 IS 't（４；１４）';</v>
      </c>
    </row>
    <row r="43" spans="1:45" s="25" customFormat="1">
      <c r="A43" s="4"/>
      <c r="B43" s="21">
        <f t="shared" si="10"/>
        <v>31</v>
      </c>
      <c r="C43" s="13" t="s">
        <v>4615</v>
      </c>
      <c r="D43" s="13" t="s">
        <v>4581</v>
      </c>
      <c r="E43" s="7"/>
      <c r="F43" s="7" t="s">
        <v>4609</v>
      </c>
      <c r="G43" s="7" t="str">
        <f t="shared" si="11"/>
        <v>text</v>
      </c>
      <c r="H43" s="58"/>
      <c r="I43" s="23"/>
      <c r="J43" s="24" t="s">
        <v>4582</v>
      </c>
      <c r="M43" s="4"/>
      <c r="N43" s="76"/>
      <c r="O43" s="76"/>
      <c r="P43" s="76" t="str">
        <f t="shared" si="4"/>
        <v>,igh_maf</v>
      </c>
      <c r="Q43" s="76" t="str">
        <f t="shared" si="0"/>
        <v>TEXT</v>
      </c>
      <c r="R43" s="76" t="str">
        <f t="shared" si="1"/>
        <v/>
      </c>
      <c r="S43" s="76" t="str">
        <f t="shared" si="5"/>
        <v/>
      </c>
      <c r="T43" s="76" t="str">
        <f t="shared" si="6"/>
        <v>-- t（１４；１６）</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milscm_2023_009.sny_202310_annony_non_annony.igh_maf IS 't（１４；１６）';</v>
      </c>
    </row>
    <row r="44" spans="1:45" s="25" customFormat="1">
      <c r="A44" s="4"/>
      <c r="B44" s="21">
        <f>ROW()-12</f>
        <v>32</v>
      </c>
      <c r="C44" s="13" t="s">
        <v>4616</v>
      </c>
      <c r="D44" s="13" t="s">
        <v>4579</v>
      </c>
      <c r="E44" s="7"/>
      <c r="F44" s="7" t="s">
        <v>4609</v>
      </c>
      <c r="G44" s="7" t="str">
        <f t="shared" si="11"/>
        <v>text</v>
      </c>
      <c r="H44" s="58"/>
      <c r="I44" s="23"/>
      <c r="J44" s="24" t="s">
        <v>4582</v>
      </c>
      <c r="N44" s="76"/>
      <c r="O44" s="76"/>
      <c r="P44" s="76" t="str">
        <f t="shared" si="4"/>
        <v>,gain_1q21</v>
      </c>
      <c r="Q44" s="76" t="str">
        <f t="shared" si="0"/>
        <v>TEXT</v>
      </c>
      <c r="R44" s="76" t="str">
        <f t="shared" si="1"/>
        <v/>
      </c>
      <c r="S44" s="76" t="str">
        <f t="shared" si="5"/>
        <v/>
      </c>
      <c r="T44" s="76" t="str">
        <f t="shared" si="6"/>
        <v>-- 1q21＋</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milscm_2023_009.sny_202310_annony_non_annony.gain_1q21 IS '1q21＋';</v>
      </c>
    </row>
    <row r="45" spans="1:45" s="25" customFormat="1">
      <c r="A45" s="4"/>
      <c r="B45" s="21">
        <f t="shared" ref="B45:B64" si="12">ROW()-12</f>
        <v>33</v>
      </c>
      <c r="C45" s="13" t="s">
        <v>4617</v>
      </c>
      <c r="D45" s="13" t="s">
        <v>4344</v>
      </c>
      <c r="E45" s="7"/>
      <c r="F45" s="7" t="s">
        <v>4609</v>
      </c>
      <c r="G45" s="7" t="str">
        <f t="shared" si="11"/>
        <v>text</v>
      </c>
      <c r="H45" s="58"/>
      <c r="I45" s="23"/>
      <c r="J45" s="24"/>
      <c r="M45" s="4"/>
      <c r="N45" s="76"/>
      <c r="O45" s="76"/>
      <c r="P45" s="76" t="str">
        <f t="shared" si="4"/>
        <v>,iyakuhin_ippan_name</v>
      </c>
      <c r="Q45" s="76" t="str">
        <f t="shared" si="0"/>
        <v>TEXT</v>
      </c>
      <c r="R45" s="76" t="str">
        <f t="shared" si="1"/>
        <v/>
      </c>
      <c r="S45" s="76" t="str">
        <f t="shared" si="5"/>
        <v/>
      </c>
      <c r="T45" s="76" t="str">
        <f t="shared" si="6"/>
        <v>-- 薬剤表示名</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milscm_2023_009.sny_202310_annony_non_annony.iyakuhin_ippan_name IS '薬剤表示名';</v>
      </c>
    </row>
    <row r="46" spans="1:45" s="25" customFormat="1">
      <c r="A46" s="4"/>
      <c r="B46" s="21">
        <f t="shared" si="12"/>
        <v>34</v>
      </c>
      <c r="C46" s="13" t="s">
        <v>4619</v>
      </c>
      <c r="D46" s="13" t="s">
        <v>4338</v>
      </c>
      <c r="E46" s="7"/>
      <c r="F46" s="7" t="s">
        <v>4200</v>
      </c>
      <c r="G46" s="7" t="str">
        <f t="shared" si="11"/>
        <v>numeric</v>
      </c>
      <c r="H46" s="58"/>
      <c r="I46" s="23"/>
      <c r="J46" s="24"/>
      <c r="M46" s="4"/>
      <c r="N46" s="76"/>
      <c r="O46" s="76"/>
      <c r="P46" s="76" t="str">
        <f t="shared" si="4"/>
        <v>,toyoryo</v>
      </c>
      <c r="Q46" s="76" t="str">
        <f t="shared" si="0"/>
        <v>NUMERIC</v>
      </c>
      <c r="R46" s="76" t="str">
        <f t="shared" si="1"/>
        <v/>
      </c>
      <c r="S46" s="76" t="str">
        <f t="shared" si="5"/>
        <v/>
      </c>
      <c r="T46" s="76" t="str">
        <f t="shared" si="6"/>
        <v>-- 投与量</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milscm_2023_009.sny_202310_annony_non_annony.toyoryo IS '投与量';</v>
      </c>
    </row>
    <row r="47" spans="1:45" s="25" customFormat="1">
      <c r="A47" s="4"/>
      <c r="B47" s="21">
        <f>ROW()-12</f>
        <v>35</v>
      </c>
      <c r="C47" s="13" t="s">
        <v>4620</v>
      </c>
      <c r="D47" s="13" t="s">
        <v>4339</v>
      </c>
      <c r="E47" s="7"/>
      <c r="F47" s="7" t="s">
        <v>1780</v>
      </c>
      <c r="G47" s="7" t="str">
        <f t="shared" si="11"/>
        <v>text</v>
      </c>
      <c r="H47" s="58"/>
      <c r="I47" s="23"/>
      <c r="J47" s="24"/>
      <c r="N47" s="76"/>
      <c r="O47" s="76"/>
      <c r="P47" s="76" t="str">
        <f t="shared" si="4"/>
        <v>,seibun_unit_name</v>
      </c>
      <c r="Q47" s="76" t="str">
        <f t="shared" si="0"/>
        <v>TEXT</v>
      </c>
      <c r="R47" s="76" t="str">
        <f t="shared" si="1"/>
        <v/>
      </c>
      <c r="S47" s="76" t="str">
        <f t="shared" si="5"/>
        <v/>
      </c>
      <c r="T47" s="76" t="str">
        <f t="shared" si="6"/>
        <v>-- 成分単位名称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milscm_2023_009.sny_202310_annony_non_annony.seibun_unit_name IS '成分単位名称';</v>
      </c>
    </row>
    <row r="48" spans="1:45" s="25" customFormat="1">
      <c r="A48" s="4"/>
      <c r="B48" s="21">
        <f t="shared" si="12"/>
        <v>36</v>
      </c>
      <c r="C48" s="13" t="s">
        <v>4202</v>
      </c>
      <c r="D48" s="13" t="s">
        <v>4587</v>
      </c>
      <c r="E48" s="7"/>
      <c r="F48" s="7" t="s">
        <v>4302</v>
      </c>
      <c r="G48" s="7" t="str">
        <f>IF(F48="フラグ","boolean",IF(F48="文字列","text",IF(F48="整数","integer",IF(F48="実数","numeric",""))))</f>
        <v>integer</v>
      </c>
      <c r="H48" s="58"/>
      <c r="I48" s="23"/>
      <c r="J48" s="24"/>
      <c r="M48" s="4"/>
      <c r="N48" s="76"/>
      <c r="O48" s="76"/>
      <c r="P48" s="76" t="str">
        <f>IF(B48&lt;&gt;1,","&amp;D48,D48)</f>
        <v>,koi_times</v>
      </c>
      <c r="Q48" s="76" t="str">
        <f>UPPER(G48)</f>
        <v>INTEGER</v>
      </c>
      <c r="R48" s="76" t="str">
        <f>IF(H48&lt;&gt;"","default "&amp;IF(G48="text","'"&amp;H48&amp;"'",H48),"")</f>
        <v/>
      </c>
      <c r="S48" s="76" t="str">
        <f>IF(I48="○","NOT NULL","")</f>
        <v/>
      </c>
      <c r="T48" s="76" t="str">
        <f>"-- "&amp;C48</f>
        <v>-- 行為回数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milscm_2023_009.sny_202310_annony_non_annony.koi_times IS '行為回数';</v>
      </c>
    </row>
    <row r="49" spans="1:45" s="25" customFormat="1">
      <c r="A49" s="4"/>
      <c r="B49" s="21">
        <f t="shared" si="12"/>
        <v>37</v>
      </c>
      <c r="C49" s="13" t="s">
        <v>4621</v>
      </c>
      <c r="D49" s="13" t="s">
        <v>4511</v>
      </c>
      <c r="E49" s="7"/>
      <c r="F49" s="7" t="s">
        <v>4200</v>
      </c>
      <c r="G49" s="7" t="str">
        <f>IF(F49="フラグ","boolean",IF(F49="文字列","text",IF(F49="整数","integer",IF(F49="実数","numeric",""))))</f>
        <v>numeric</v>
      </c>
      <c r="H49" s="58"/>
      <c r="I49" s="23"/>
      <c r="J49" s="24"/>
      <c r="M49" s="4"/>
      <c r="N49" s="76"/>
      <c r="O49" s="76"/>
      <c r="P49" s="76" t="str">
        <f>IF(B49&lt;&gt;1,","&amp;D49,D49)</f>
        <v>,ldh_value</v>
      </c>
      <c r="Q49" s="76" t="str">
        <f t="shared" ref="Q49:Q65" si="13">UPPER(G49)</f>
        <v>NUMERIC</v>
      </c>
      <c r="R49" s="76" t="str">
        <f t="shared" ref="R49:R65" si="14">IF(H49&lt;&gt;"","default "&amp;IF(G49="text","'"&amp;H49&amp;"'",H49),"")</f>
        <v/>
      </c>
      <c r="S49" s="76" t="str">
        <f t="shared" ref="S49:S65" si="15">IF(I49="○","NOT NULL","")</f>
        <v/>
      </c>
      <c r="T49" s="76" t="str">
        <f t="shared" ref="T49:T65" si="16">"-- "&amp;C49</f>
        <v>-- LDH_検査値</v>
      </c>
      <c r="U49" s="4"/>
      <c r="V49" s="25" t="str">
        <f>",max("&amp;D49&amp;")"</f>
        <v>,max(ldh_value)</v>
      </c>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milscm_2023_009.sny_202310_annony_non_annony.ldh_value IS 'LDH_検査値';</v>
      </c>
    </row>
    <row r="50" spans="1:45" s="25" customFormat="1">
      <c r="A50" s="4"/>
      <c r="B50" s="21">
        <f t="shared" si="12"/>
        <v>38</v>
      </c>
      <c r="C50" s="13" t="s">
        <v>4622</v>
      </c>
      <c r="D50" s="13" t="s">
        <v>4513</v>
      </c>
      <c r="E50" s="7"/>
      <c r="F50" s="7" t="s">
        <v>4200</v>
      </c>
      <c r="G50" s="7" t="str">
        <f t="shared" ref="G50:G57" si="17">IF(F50="フラグ","boolean",IF(F50="文字列","text",IF(F50="整数","integer",IF(F50="実数","numeric",""))))</f>
        <v>numeric</v>
      </c>
      <c r="H50" s="58"/>
      <c r="I50" s="23"/>
      <c r="J50" s="24"/>
      <c r="M50" s="4"/>
      <c r="N50" s="76"/>
      <c r="O50" s="76"/>
      <c r="P50" s="76" t="str">
        <f t="shared" ref="P50:P65" si="18">IF(B50&lt;&gt;1,","&amp;D50,D50)</f>
        <v>,albumin_value</v>
      </c>
      <c r="Q50" s="76" t="str">
        <f t="shared" si="13"/>
        <v>NUMERIC</v>
      </c>
      <c r="R50" s="76" t="str">
        <f t="shared" si="14"/>
        <v/>
      </c>
      <c r="S50" s="76" t="str">
        <f t="shared" si="15"/>
        <v/>
      </c>
      <c r="T50" s="76" t="str">
        <f t="shared" si="16"/>
        <v>-- アルブミン_検査値</v>
      </c>
      <c r="U50" s="4"/>
      <c r="V50" s="25" t="str">
        <f t="shared" ref="V50:V57" si="19">",max("&amp;D50&amp;")"</f>
        <v>,max(albumin_value)</v>
      </c>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milscm_2023_009.sny_202310_annony_non_annony.albumin_value IS 'アルブミン_検査値';</v>
      </c>
    </row>
    <row r="51" spans="1:45" s="25" customFormat="1">
      <c r="A51" s="4"/>
      <c r="B51" s="21">
        <f t="shared" si="12"/>
        <v>39</v>
      </c>
      <c r="C51" s="13" t="s">
        <v>4623</v>
      </c>
      <c r="D51" s="13" t="s">
        <v>4546</v>
      </c>
      <c r="E51" s="7"/>
      <c r="F51" s="7" t="s">
        <v>4200</v>
      </c>
      <c r="G51" s="7" t="str">
        <f t="shared" si="17"/>
        <v>numeric</v>
      </c>
      <c r="H51" s="58"/>
      <c r="I51" s="23"/>
      <c r="J51" s="24"/>
      <c r="M51" s="4"/>
      <c r="N51" s="76"/>
      <c r="O51" s="76"/>
      <c r="P51" s="76" t="str">
        <f t="shared" si="18"/>
        <v>,b2_microglobulin_value</v>
      </c>
      <c r="Q51" s="76" t="str">
        <f t="shared" si="13"/>
        <v>NUMERIC</v>
      </c>
      <c r="R51" s="76" t="str">
        <f t="shared" si="14"/>
        <v/>
      </c>
      <c r="S51" s="76" t="str">
        <f t="shared" si="15"/>
        <v/>
      </c>
      <c r="T51" s="76" t="str">
        <f t="shared" si="16"/>
        <v>-- β2ミクログロブリン_検査値</v>
      </c>
      <c r="U51" s="4"/>
      <c r="V51" s="25" t="str">
        <f t="shared" si="19"/>
        <v>,max(b2_microglobulin_value)</v>
      </c>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milscm_2023_009.sny_202310_annony_non_annony.b2_microglobulin_value IS 'β2ミクログロブリン_検査値';</v>
      </c>
    </row>
    <row r="52" spans="1:45" s="25" customFormat="1">
      <c r="A52" s="4"/>
      <c r="B52" s="21">
        <f t="shared" si="12"/>
        <v>40</v>
      </c>
      <c r="C52" s="13" t="s">
        <v>4624</v>
      </c>
      <c r="D52" s="13" t="s">
        <v>4516</v>
      </c>
      <c r="E52" s="7"/>
      <c r="F52" s="7" t="s">
        <v>4200</v>
      </c>
      <c r="G52" s="7" t="str">
        <f t="shared" si="17"/>
        <v>numeric</v>
      </c>
      <c r="H52" s="58"/>
      <c r="I52" s="23"/>
      <c r="J52" s="24"/>
      <c r="M52" s="4"/>
      <c r="N52" s="76"/>
      <c r="O52" s="76"/>
      <c r="P52" s="76" t="str">
        <f t="shared" si="18"/>
        <v>,ast_value</v>
      </c>
      <c r="Q52" s="76" t="str">
        <f t="shared" si="13"/>
        <v>NUMERIC</v>
      </c>
      <c r="R52" s="76" t="str">
        <f t="shared" si="14"/>
        <v/>
      </c>
      <c r="S52" s="76" t="str">
        <f t="shared" si="15"/>
        <v/>
      </c>
      <c r="T52" s="76" t="str">
        <f t="shared" si="16"/>
        <v>-- AST_検査値</v>
      </c>
      <c r="U52" s="4"/>
      <c r="V52" s="25" t="str">
        <f t="shared" si="19"/>
        <v>,max(ast_value)</v>
      </c>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milscm_2023_009.sny_202310_annony_non_annony.ast_value IS 'AST_検査値';</v>
      </c>
    </row>
    <row r="53" spans="1:45" s="25" customFormat="1">
      <c r="A53" s="4"/>
      <c r="B53" s="21">
        <f t="shared" si="12"/>
        <v>41</v>
      </c>
      <c r="C53" s="13" t="s">
        <v>4625</v>
      </c>
      <c r="D53" s="13" t="s">
        <v>4518</v>
      </c>
      <c r="E53" s="7"/>
      <c r="F53" s="7" t="s">
        <v>4200</v>
      </c>
      <c r="G53" s="7" t="str">
        <f t="shared" si="17"/>
        <v>numeric</v>
      </c>
      <c r="H53" s="58"/>
      <c r="I53" s="23"/>
      <c r="J53" s="24"/>
      <c r="M53" s="4"/>
      <c r="N53" s="76"/>
      <c r="O53" s="76"/>
      <c r="P53" s="76" t="str">
        <f t="shared" si="18"/>
        <v>,alt_value</v>
      </c>
      <c r="Q53" s="76" t="str">
        <f t="shared" si="13"/>
        <v>NUMERIC</v>
      </c>
      <c r="R53" s="76" t="str">
        <f t="shared" si="14"/>
        <v/>
      </c>
      <c r="S53" s="76" t="str">
        <f t="shared" si="15"/>
        <v/>
      </c>
      <c r="T53" s="76" t="str">
        <f t="shared" si="16"/>
        <v>-- ALT_検査値</v>
      </c>
      <c r="U53" s="4"/>
      <c r="V53" s="25" t="str">
        <f t="shared" si="19"/>
        <v>,max(alt_value)</v>
      </c>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milscm_2023_009.sny_202310_annony_non_annony.alt_value IS 'ALT_検査値';</v>
      </c>
    </row>
    <row r="54" spans="1:45" s="25" customFormat="1">
      <c r="A54" s="4"/>
      <c r="B54" s="21">
        <f t="shared" si="12"/>
        <v>42</v>
      </c>
      <c r="C54" s="13" t="s">
        <v>4647</v>
      </c>
      <c r="D54" s="13" t="s">
        <v>4651</v>
      </c>
      <c r="E54" s="7"/>
      <c r="F54" s="7" t="s">
        <v>4200</v>
      </c>
      <c r="G54" s="7" t="str">
        <f t="shared" si="17"/>
        <v>numeric</v>
      </c>
      <c r="H54" s="58"/>
      <c r="I54" s="23"/>
      <c r="J54" s="24"/>
      <c r="M54" s="4"/>
      <c r="N54" s="76"/>
      <c r="O54" s="76"/>
      <c r="P54" s="76" t="str">
        <f t="shared" si="18"/>
        <v>,all_bilirubin_value</v>
      </c>
      <c r="Q54" s="76" t="str">
        <f t="shared" si="13"/>
        <v>NUMERIC</v>
      </c>
      <c r="R54" s="76" t="str">
        <f t="shared" si="14"/>
        <v/>
      </c>
      <c r="S54" s="76" t="str">
        <f t="shared" si="15"/>
        <v/>
      </c>
      <c r="T54" s="76" t="str">
        <f t="shared" si="16"/>
        <v>-- 総ビリルビン_検査値</v>
      </c>
      <c r="U54" s="4"/>
      <c r="V54" s="25" t="str">
        <f t="shared" si="19"/>
        <v>,max(all_bilirubin_value)</v>
      </c>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milscm_2023_009.sny_202310_annony_non_annony.all_bilirubin_value IS '総ビリルビン_検査値';</v>
      </c>
    </row>
    <row r="55" spans="1:45" s="25" customFormat="1">
      <c r="A55" s="4"/>
      <c r="B55" s="21">
        <f t="shared" si="12"/>
        <v>43</v>
      </c>
      <c r="C55" s="13" t="s">
        <v>4648</v>
      </c>
      <c r="D55" s="13" t="s">
        <v>4652</v>
      </c>
      <c r="E55" s="7"/>
      <c r="F55" s="7" t="s">
        <v>4200</v>
      </c>
      <c r="G55" s="7" t="str">
        <f t="shared" si="17"/>
        <v>numeric</v>
      </c>
      <c r="H55" s="58"/>
      <c r="I55" s="23"/>
      <c r="J55" s="24"/>
      <c r="M55" s="4"/>
      <c r="N55" s="76"/>
      <c r="O55" s="76"/>
      <c r="P55" s="76" t="str">
        <f t="shared" si="18"/>
        <v>,direct_bilirubin_value</v>
      </c>
      <c r="Q55" s="76" t="str">
        <f t="shared" si="13"/>
        <v>NUMERIC</v>
      </c>
      <c r="R55" s="76" t="str">
        <f t="shared" si="14"/>
        <v/>
      </c>
      <c r="S55" s="76" t="str">
        <f t="shared" si="15"/>
        <v/>
      </c>
      <c r="T55" s="76" t="str">
        <f t="shared" si="16"/>
        <v>-- 直接ビリルビン_検査値</v>
      </c>
      <c r="U55" s="4"/>
      <c r="V55" s="25" t="str">
        <f t="shared" si="19"/>
        <v>,max(direct_bilirubin_value)</v>
      </c>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milscm_2023_009.sny_202310_annony_non_annony.direct_bilirubin_value IS '直接ビリルビン_検査値';</v>
      </c>
    </row>
    <row r="56" spans="1:45" s="25" customFormat="1">
      <c r="A56" s="4"/>
      <c r="B56" s="21">
        <f t="shared" si="12"/>
        <v>44</v>
      </c>
      <c r="C56" s="13" t="s">
        <v>4626</v>
      </c>
      <c r="D56" s="13" t="s">
        <v>4520</v>
      </c>
      <c r="E56" s="7"/>
      <c r="F56" s="7" t="s">
        <v>4200</v>
      </c>
      <c r="G56" s="7" t="str">
        <f t="shared" si="17"/>
        <v>numeric</v>
      </c>
      <c r="H56" s="58"/>
      <c r="I56" s="23"/>
      <c r="J56" s="24"/>
      <c r="M56" s="4"/>
      <c r="N56" s="76"/>
      <c r="O56" s="76"/>
      <c r="P56" s="76" t="str">
        <f t="shared" si="18"/>
        <v>,bun_value</v>
      </c>
      <c r="Q56" s="76" t="str">
        <f t="shared" si="13"/>
        <v>NUMERIC</v>
      </c>
      <c r="R56" s="76" t="str">
        <f t="shared" si="14"/>
        <v/>
      </c>
      <c r="S56" s="76" t="str">
        <f t="shared" si="15"/>
        <v/>
      </c>
      <c r="T56" s="76" t="str">
        <f t="shared" si="16"/>
        <v>-- BUN_検査値</v>
      </c>
      <c r="U56" s="4"/>
      <c r="V56" s="25" t="str">
        <f t="shared" si="19"/>
        <v>,max(bun_value)</v>
      </c>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milscm_2023_009.sny_202310_annony_non_annony.bun_value IS 'BUN_検査値';</v>
      </c>
    </row>
    <row r="57" spans="1:45" s="25" customFormat="1">
      <c r="A57" s="4"/>
      <c r="B57" s="21">
        <f t="shared" si="12"/>
        <v>45</v>
      </c>
      <c r="C57" s="13" t="s">
        <v>4627</v>
      </c>
      <c r="D57" s="13" t="s">
        <v>4522</v>
      </c>
      <c r="E57" s="7"/>
      <c r="F57" s="7" t="s">
        <v>4200</v>
      </c>
      <c r="G57" s="7" t="str">
        <f t="shared" si="17"/>
        <v>numeric</v>
      </c>
      <c r="H57" s="58"/>
      <c r="I57" s="23"/>
      <c r="J57" s="24"/>
      <c r="M57" s="4"/>
      <c r="N57" s="76"/>
      <c r="O57" s="76"/>
      <c r="P57" s="76" t="str">
        <f t="shared" si="18"/>
        <v>,egfr_value</v>
      </c>
      <c r="Q57" s="76" t="str">
        <f t="shared" si="13"/>
        <v>NUMERIC</v>
      </c>
      <c r="R57" s="76" t="str">
        <f t="shared" si="14"/>
        <v/>
      </c>
      <c r="S57" s="76" t="str">
        <f t="shared" si="15"/>
        <v/>
      </c>
      <c r="T57" s="76" t="str">
        <f t="shared" si="16"/>
        <v>-- eGFR_検査値</v>
      </c>
      <c r="U57" s="4"/>
      <c r="V57" s="25" t="str">
        <f t="shared" si="19"/>
        <v>,max(egfr_value)</v>
      </c>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milscm_2023_009.sny_202310_annony_non_annony.egfr_value IS 'eGFR_検査値';</v>
      </c>
    </row>
    <row r="58" spans="1:45" s="25" customFormat="1" ht="31.5">
      <c r="A58" s="4"/>
      <c r="B58" s="21">
        <f t="shared" si="12"/>
        <v>46</v>
      </c>
      <c r="C58" s="13" t="s">
        <v>4628</v>
      </c>
      <c r="D58" s="13" t="s">
        <v>4539</v>
      </c>
      <c r="E58" s="7"/>
      <c r="F58" s="7" t="s">
        <v>4176</v>
      </c>
      <c r="G58" s="7" t="str">
        <f>IF(F58="フラグ","boolean",IF(F58="文字列","text",IF(F58="整数","integer",IF(F58="実数","numeric",""))))</f>
        <v>text</v>
      </c>
      <c r="H58" s="58"/>
      <c r="I58" s="23"/>
      <c r="J58" s="24"/>
      <c r="M58" s="4"/>
      <c r="N58" s="76"/>
      <c r="O58" s="76"/>
      <c r="P58" s="76" t="str">
        <f t="shared" si="18"/>
        <v>,ct_fish_flg</v>
      </c>
      <c r="Q58" s="76" t="str">
        <f t="shared" si="13"/>
        <v>TEXT</v>
      </c>
      <c r="R58" s="76" t="str">
        <f t="shared" si="14"/>
        <v/>
      </c>
      <c r="S58" s="76" t="str">
        <f t="shared" si="15"/>
        <v/>
      </c>
      <c r="T58" s="76" t="str">
        <f t="shared" si="16"/>
        <v>-- 染色体検査（ＦＩＳＨ法）_実施有無</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milscm_2023_009.sny_202310_annony_non_annony.ct_fish_flg IS '染色体検査（ＦＩＳＨ法）_実施有無';</v>
      </c>
    </row>
    <row r="59" spans="1:45" s="25" customFormat="1">
      <c r="A59" s="4"/>
      <c r="B59" s="21">
        <f t="shared" si="12"/>
        <v>47</v>
      </c>
      <c r="C59" s="13" t="s">
        <v>4629</v>
      </c>
      <c r="D59" s="13" t="s">
        <v>4540</v>
      </c>
      <c r="E59" s="7"/>
      <c r="F59" s="7" t="s">
        <v>4176</v>
      </c>
      <c r="G59" s="7" t="str">
        <f t="shared" ref="G59:G65" si="20">IF(F59="フラグ","boolean",IF(F59="文字列","text",IF(F59="整数","integer",IF(F59="実数","numeric",""))))</f>
        <v>text</v>
      </c>
      <c r="H59" s="58"/>
      <c r="I59" s="23"/>
      <c r="J59" s="24"/>
      <c r="M59" s="4"/>
      <c r="N59" s="76"/>
      <c r="O59" s="76"/>
      <c r="P59" s="76" t="str">
        <f t="shared" si="18"/>
        <v>,ct_etc_flg</v>
      </c>
      <c r="Q59" s="76" t="str">
        <f t="shared" si="13"/>
        <v>TEXT</v>
      </c>
      <c r="R59" s="76" t="str">
        <f t="shared" si="14"/>
        <v/>
      </c>
      <c r="S59" s="76" t="str">
        <f t="shared" si="15"/>
        <v/>
      </c>
      <c r="T59" s="76" t="str">
        <f t="shared" si="16"/>
        <v>-- 染色体検査（その他）_実施有無</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milscm_2023_009.sny_202310_annony_non_annony.ct_etc_flg IS '染色体検査（その他）_実施有無';</v>
      </c>
    </row>
    <row r="60" spans="1:45" s="25" customFormat="1" ht="31.5">
      <c r="A60" s="4"/>
      <c r="B60" s="21">
        <f t="shared" si="12"/>
        <v>48</v>
      </c>
      <c r="C60" s="13" t="s">
        <v>4630</v>
      </c>
      <c r="D60" s="13" t="s">
        <v>4541</v>
      </c>
      <c r="E60" s="7"/>
      <c r="F60" s="7" t="s">
        <v>4176</v>
      </c>
      <c r="G60" s="7" t="str">
        <f t="shared" si="20"/>
        <v>text</v>
      </c>
      <c r="H60" s="58"/>
      <c r="I60" s="23"/>
      <c r="J60" s="24"/>
      <c r="M60" s="4"/>
      <c r="N60" s="76"/>
      <c r="O60" s="76"/>
      <c r="P60" s="76" t="str">
        <f t="shared" si="18"/>
        <v>,pma_ct_flg</v>
      </c>
      <c r="Q60" s="76" t="str">
        <f t="shared" si="13"/>
        <v>TEXT</v>
      </c>
      <c r="R60" s="76" t="str">
        <f t="shared" si="14"/>
        <v/>
      </c>
      <c r="S60" s="76" t="str">
        <f t="shared" si="15"/>
        <v/>
      </c>
      <c r="T60" s="76" t="str">
        <f t="shared" si="16"/>
        <v>-- 分染法加算（染色体検査）_実施有無</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milscm_2023_009.sny_202310_annony_non_annony.pma_ct_flg IS '分染法加算（染色体検査）_実施有無';</v>
      </c>
    </row>
    <row r="61" spans="1:45" s="25" customFormat="1" ht="31.5">
      <c r="A61" s="4"/>
      <c r="B61" s="21">
        <f t="shared" si="12"/>
        <v>49</v>
      </c>
      <c r="C61" s="13" t="s">
        <v>4631</v>
      </c>
      <c r="D61" s="13" t="s">
        <v>4544</v>
      </c>
      <c r="E61" s="7"/>
      <c r="F61" s="7" t="s">
        <v>4176</v>
      </c>
      <c r="G61" s="7" t="str">
        <f t="shared" si="20"/>
        <v>text</v>
      </c>
      <c r="H61" s="58"/>
      <c r="I61" s="23"/>
      <c r="J61" s="24"/>
      <c r="M61" s="4"/>
      <c r="N61" s="76"/>
      <c r="O61" s="76"/>
      <c r="P61" s="76" t="str">
        <f t="shared" si="18"/>
        <v>,bmt_allogeneic_flg</v>
      </c>
      <c r="Q61" s="76" t="str">
        <f t="shared" si="13"/>
        <v>TEXT</v>
      </c>
      <c r="R61" s="76" t="str">
        <f t="shared" si="14"/>
        <v/>
      </c>
      <c r="S61" s="76" t="str">
        <f t="shared" si="15"/>
        <v/>
      </c>
      <c r="T61" s="76" t="str">
        <f t="shared" si="16"/>
        <v>-- 造血幹細胞移植（骨髄移植）（同種移植）_実施有無</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milscm_2023_009.sny_202310_annony_non_annony.bmt_allogeneic_flg IS '造血幹細胞移植（骨髄移植）（同種移植）_実施有無';</v>
      </c>
    </row>
    <row r="62" spans="1:45" s="25" customFormat="1" ht="31.5">
      <c r="A62" s="4"/>
      <c r="B62" s="21">
        <f t="shared" si="12"/>
        <v>50</v>
      </c>
      <c r="C62" s="13" t="s">
        <v>4632</v>
      </c>
      <c r="D62" s="13" t="s">
        <v>4547</v>
      </c>
      <c r="E62" s="7"/>
      <c r="F62" s="7" t="s">
        <v>4176</v>
      </c>
      <c r="G62" s="7" t="str">
        <f t="shared" si="20"/>
        <v>text</v>
      </c>
      <c r="H62" s="58"/>
      <c r="I62" s="23"/>
      <c r="J62" s="24"/>
      <c r="M62" s="4"/>
      <c r="N62" s="76"/>
      <c r="O62" s="76"/>
      <c r="P62" s="76" t="str">
        <f t="shared" si="18"/>
        <v>,bmt_autologous_flg</v>
      </c>
      <c r="Q62" s="76" t="str">
        <f t="shared" si="13"/>
        <v>TEXT</v>
      </c>
      <c r="R62" s="76" t="str">
        <f t="shared" si="14"/>
        <v/>
      </c>
      <c r="S62" s="76" t="str">
        <f t="shared" si="15"/>
        <v/>
      </c>
      <c r="T62" s="76" t="str">
        <f t="shared" si="16"/>
        <v>-- 造血幹細胞移植（骨髄移植）（自家移植）_実施有無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milscm_2023_009.sny_202310_annony_non_annony.bmt_autologous_flg IS '造血幹細胞移植（骨髄移植）（自家移植）_実施有無';</v>
      </c>
    </row>
    <row r="63" spans="1:45" s="25" customFormat="1" ht="31.5">
      <c r="A63" s="4"/>
      <c r="B63" s="21">
        <f t="shared" si="12"/>
        <v>51</v>
      </c>
      <c r="C63" s="13" t="s">
        <v>4633</v>
      </c>
      <c r="D63" s="13" t="s">
        <v>4548</v>
      </c>
      <c r="E63" s="7"/>
      <c r="F63" s="7" t="s">
        <v>4176</v>
      </c>
      <c r="G63" s="7" t="str">
        <f t="shared" si="20"/>
        <v>text</v>
      </c>
      <c r="H63" s="58"/>
      <c r="I63" s="23"/>
      <c r="J63" s="24"/>
      <c r="M63" s="4"/>
      <c r="N63" s="76"/>
      <c r="O63" s="76"/>
      <c r="P63" s="76" t="str">
        <f t="shared" si="18"/>
        <v>,pbsct_autologous_flg</v>
      </c>
      <c r="Q63" s="76" t="str">
        <f t="shared" si="13"/>
        <v>TEXT</v>
      </c>
      <c r="R63" s="76" t="str">
        <f t="shared" si="14"/>
        <v/>
      </c>
      <c r="S63" s="76" t="str">
        <f t="shared" si="15"/>
        <v/>
      </c>
      <c r="T63" s="76" t="str">
        <f t="shared" si="16"/>
        <v>-- 造血幹細胞移植（末梢血幹細胞移植）（自家移植）_実施有無</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milscm_2023_009.sny_202310_annony_non_annony.pbsct_autologous_flg IS '造血幹細胞移植（末梢血幹細胞移植）（自家移植）_実施有無';</v>
      </c>
    </row>
    <row r="64" spans="1:45" s="25" customFormat="1" ht="31.5">
      <c r="A64" s="4"/>
      <c r="B64" s="21">
        <f t="shared" si="12"/>
        <v>52</v>
      </c>
      <c r="C64" s="13" t="s">
        <v>4634</v>
      </c>
      <c r="D64" s="13" t="s">
        <v>4559</v>
      </c>
      <c r="E64" s="7"/>
      <c r="F64" s="7" t="s">
        <v>4176</v>
      </c>
      <c r="G64" s="7" t="str">
        <f t="shared" si="20"/>
        <v>text</v>
      </c>
      <c r="H64" s="58"/>
      <c r="I64" s="23"/>
      <c r="J64" s="24"/>
      <c r="M64" s="4"/>
      <c r="N64" s="76"/>
      <c r="O64" s="76"/>
      <c r="P64" s="76" t="str">
        <f t="shared" si="18"/>
        <v>,pbsct_allogeneic_flg</v>
      </c>
      <c r="Q64" s="76" t="str">
        <f t="shared" si="13"/>
        <v>TEXT</v>
      </c>
      <c r="R64" s="76" t="str">
        <f t="shared" si="14"/>
        <v/>
      </c>
      <c r="S64" s="76" t="str">
        <f t="shared" si="15"/>
        <v/>
      </c>
      <c r="T64" s="76" t="str">
        <f t="shared" si="16"/>
        <v>-- 造血幹細胞移植（末梢血幹細胞移植）（同種移植）_実施有無</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milscm_2023_009.sny_202310_annony_non_annony.pbsct_allogeneic_flg IS '造血幹細胞移植（末梢血幹細胞移植）（同種移植）_実施有無';</v>
      </c>
    </row>
    <row r="65" spans="1:52" s="25" customFormat="1" ht="32.25" thickBot="1">
      <c r="A65" s="4"/>
      <c r="B65" s="27">
        <f>ROW()-12</f>
        <v>53</v>
      </c>
      <c r="C65" s="57" t="s">
        <v>4537</v>
      </c>
      <c r="D65" s="57" t="s">
        <v>4543</v>
      </c>
      <c r="E65" s="56"/>
      <c r="F65" s="56" t="s">
        <v>4176</v>
      </c>
      <c r="G65" s="56" t="str">
        <f t="shared" si="20"/>
        <v>text</v>
      </c>
      <c r="H65" s="59"/>
      <c r="I65" s="60"/>
      <c r="J65" s="64"/>
      <c r="N65" s="76"/>
      <c r="O65" s="76"/>
      <c r="P65" s="76" t="str">
        <f t="shared" si="18"/>
        <v>,ucbt_flg</v>
      </c>
      <c r="Q65" s="76" t="str">
        <f t="shared" si="13"/>
        <v>TEXT</v>
      </c>
      <c r="R65" s="76" t="str">
        <f t="shared" si="14"/>
        <v/>
      </c>
      <c r="S65" s="76" t="str">
        <f t="shared" si="15"/>
        <v/>
      </c>
      <c r="T65" s="76" t="str">
        <f t="shared" si="16"/>
        <v>-- 造血幹細胞移植（臍帯血移植）_実施有無</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milscm_2023_009.sny_202310_annony_non_annony.ucbt_flg IS '造血幹細胞移植（臍帯血移植）_実施有無';</v>
      </c>
    </row>
    <row r="66" spans="1:52">
      <c r="L66" s="25"/>
      <c r="M66" s="25"/>
      <c r="N66" s="76" t="s">
        <v>142</v>
      </c>
      <c r="O66" s="76"/>
      <c r="P66" s="76"/>
      <c r="Q66" s="76"/>
      <c r="R66" s="76"/>
      <c r="S66" s="76"/>
      <c r="T66" s="76"/>
      <c r="V66" s="25"/>
      <c r="W66" s="25"/>
      <c r="X66" s="25"/>
      <c r="Y66" s="25"/>
      <c r="Z66" s="25"/>
      <c r="AJ66" s="76" t="s">
        <v>142</v>
      </c>
      <c r="AT66" s="25"/>
      <c r="AU66" s="25"/>
      <c r="AV66" s="25"/>
      <c r="AW66" s="25"/>
      <c r="AX66" s="25"/>
      <c r="AY66" s="25"/>
      <c r="AZ66" s="25"/>
    </row>
    <row r="67" spans="1:52">
      <c r="L67" s="25"/>
      <c r="M67" s="25"/>
      <c r="AT67" s="25"/>
      <c r="AU67" s="25"/>
      <c r="AV67" s="25"/>
      <c r="AW67" s="25"/>
      <c r="AX67" s="25"/>
      <c r="AY67" s="25"/>
      <c r="AZ67" s="25"/>
    </row>
    <row r="68" spans="1:52">
      <c r="L68" s="25"/>
      <c r="M68" s="25"/>
      <c r="AT68" s="25"/>
      <c r="AU68" s="25"/>
      <c r="AV68" s="25"/>
      <c r="AW68" s="25"/>
      <c r="AX68" s="25"/>
      <c r="AY68" s="25"/>
      <c r="AZ68" s="25"/>
    </row>
    <row r="69" spans="1:52">
      <c r="L69" s="25"/>
      <c r="M69" s="25"/>
      <c r="AT69" s="25"/>
      <c r="AU69" s="25"/>
      <c r="AV69" s="25"/>
      <c r="AW69" s="25"/>
      <c r="AX69" s="25"/>
      <c r="AY69" s="25"/>
      <c r="AZ69" s="25"/>
    </row>
    <row r="70" spans="1:52">
      <c r="L70" s="25"/>
      <c r="M70" s="25"/>
      <c r="AT70" s="25"/>
      <c r="AU70" s="25"/>
      <c r="AV70" s="25"/>
      <c r="AW70" s="25"/>
      <c r="AX70" s="25"/>
      <c r="AY70" s="25"/>
      <c r="AZ70" s="25"/>
    </row>
    <row r="71" spans="1:52">
      <c r="L71" s="25"/>
      <c r="M71" s="25"/>
      <c r="AT71" s="25"/>
      <c r="AU71" s="25"/>
      <c r="AV71" s="25"/>
      <c r="AW71" s="25"/>
      <c r="AX71" s="25"/>
      <c r="AY71" s="25"/>
      <c r="AZ71" s="25"/>
    </row>
    <row r="72" spans="1:52">
      <c r="L72" s="25"/>
      <c r="M72" s="25"/>
      <c r="AT72" s="25"/>
      <c r="AU72" s="25"/>
      <c r="AV72" s="25"/>
      <c r="AW72" s="25"/>
      <c r="AX72" s="25"/>
      <c r="AY72" s="25"/>
      <c r="AZ72" s="25"/>
    </row>
    <row r="73" spans="1:52">
      <c r="L73" s="25"/>
      <c r="M73" s="25"/>
      <c r="AT73" s="25"/>
      <c r="AU73" s="25"/>
      <c r="AV73" s="25"/>
      <c r="AW73" s="25"/>
      <c r="AX73" s="25"/>
      <c r="AY73" s="25"/>
      <c r="AZ73" s="25"/>
    </row>
    <row r="74" spans="1:52">
      <c r="L74" s="25"/>
      <c r="M74" s="25"/>
      <c r="AT74" s="25"/>
      <c r="AU74" s="25"/>
      <c r="AV74" s="25"/>
      <c r="AW74" s="25"/>
      <c r="AX74" s="25"/>
      <c r="AY74" s="25"/>
      <c r="AZ74" s="25"/>
    </row>
    <row r="75" spans="1:52">
      <c r="L75" s="25"/>
      <c r="M75" s="25"/>
      <c r="AT75" s="25"/>
      <c r="AU75" s="25"/>
      <c r="AV75" s="25"/>
      <c r="AW75" s="25"/>
      <c r="AX75" s="25"/>
      <c r="AY75" s="25"/>
      <c r="AZ75" s="25"/>
    </row>
    <row r="76" spans="1:52">
      <c r="L76" s="25"/>
      <c r="M76" s="25"/>
      <c r="AV76" s="25"/>
      <c r="AW76" s="25"/>
      <c r="AX76" s="25"/>
      <c r="AY76" s="25"/>
      <c r="AZ76" s="25"/>
    </row>
    <row r="77" spans="1:52">
      <c r="M77" s="25"/>
    </row>
    <row r="78" spans="1:52">
      <c r="M78" s="25"/>
    </row>
    <row r="79" spans="1:52">
      <c r="M79" s="25"/>
    </row>
    <row r="80" spans="1:52">
      <c r="M80" s="25"/>
    </row>
    <row r="81" spans="13:13">
      <c r="M81" s="25"/>
    </row>
    <row r="82" spans="13:13">
      <c r="M8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2"/>
  <sheetViews>
    <sheetView showGridLines="0" topLeftCell="D3" zoomScale="85" zoomScaleNormal="85" workbookViewId="0">
      <selection activeCell="V6" sqref="V6"/>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12" width="2.625" style="4"/>
    <col min="13" max="13" width="2.875" style="4" bestFit="1" customWidth="1"/>
    <col min="14" max="22" width="2.625" style="4"/>
    <col min="23" max="25" width="2.875" style="4" bestFit="1" customWidth="1"/>
    <col min="26" max="16384" width="2.625" style="4"/>
  </cols>
  <sheetData>
    <row r="1" spans="1:35" ht="19.5" thickBot="1">
      <c r="B1" s="20" t="s">
        <v>118</v>
      </c>
      <c r="C1" s="19"/>
      <c r="D1" s="5"/>
      <c r="E1" s="5"/>
      <c r="F1" s="5"/>
      <c r="G1" s="5"/>
      <c r="H1" s="5"/>
      <c r="I1" s="5"/>
      <c r="J1" s="18"/>
      <c r="N1" s="76" t="e">
        <f>"CREATE TABLE  "&amp;エンティティ一覧!$O$2&amp;"."&amp;#REF!</f>
        <v>#REF!</v>
      </c>
      <c r="O1" s="76"/>
      <c r="P1" s="76"/>
      <c r="Q1" s="76"/>
      <c r="R1" s="76"/>
      <c r="S1" s="76"/>
      <c r="T1" s="76"/>
    </row>
    <row r="2" spans="1:35">
      <c r="B2" s="47" t="s">
        <v>119</v>
      </c>
      <c r="C2" s="48" t="s">
        <v>120</v>
      </c>
      <c r="D2" s="46" t="s">
        <v>121</v>
      </c>
      <c r="E2" s="44" t="s">
        <v>161</v>
      </c>
      <c r="F2" s="49" t="s">
        <v>122</v>
      </c>
      <c r="G2" s="49" t="s">
        <v>123</v>
      </c>
      <c r="H2" s="44" t="s">
        <v>124</v>
      </c>
      <c r="I2" s="44" t="s">
        <v>125</v>
      </c>
      <c r="J2" s="45" t="s">
        <v>126</v>
      </c>
      <c r="N2" s="76" t="s">
        <v>141</v>
      </c>
      <c r="O2" s="76"/>
      <c r="P2" s="76"/>
      <c r="Q2" s="76"/>
      <c r="R2" s="76"/>
      <c r="S2" s="76"/>
      <c r="T2" s="76"/>
      <c r="W2" s="4" t="s">
        <v>4658</v>
      </c>
      <c r="X2" s="4" t="s">
        <v>4659</v>
      </c>
      <c r="Y2" s="4" t="s">
        <v>4660</v>
      </c>
    </row>
    <row r="3" spans="1:35" s="25" customFormat="1">
      <c r="A3" s="4"/>
      <c r="B3" s="21">
        <f>ROW()-2</f>
        <v>1</v>
      </c>
      <c r="C3" s="6" t="s">
        <v>4071</v>
      </c>
      <c r="D3" s="6" t="s">
        <v>4072</v>
      </c>
      <c r="E3" s="8" t="s">
        <v>127</v>
      </c>
      <c r="F3" s="8" t="s">
        <v>4176</v>
      </c>
      <c r="G3" s="7" t="str">
        <f>IF(F3="フラグ","boolean",IF(F3="文字列","text",IF(F3="整数","integer",IF(F3="実数","numeric",""))))</f>
        <v>text</v>
      </c>
      <c r="H3" s="9"/>
      <c r="I3" s="10" t="s">
        <v>127</v>
      </c>
      <c r="J3" s="11"/>
      <c r="M3" s="4"/>
      <c r="N3" s="76"/>
      <c r="O3" s="76"/>
      <c r="P3" s="76" t="str">
        <f>IF(B3&lt;&gt;1,","&amp;D3,D3)</f>
        <v>mask_id</v>
      </c>
      <c r="Q3" s="76" t="str">
        <f t="shared" ref="Q3:Q37" si="0">UPPER(G3)</f>
        <v>TEXT</v>
      </c>
      <c r="R3" s="76" t="str">
        <f t="shared" ref="R3:R37" si="1">IF(H3&lt;&gt;"","default "&amp;IF(G3="text","'"&amp;H3&amp;"'",H3),"")</f>
        <v/>
      </c>
      <c r="S3" s="76" t="str">
        <f>IF(I3="○","NOT NULL","")</f>
        <v>NOT NULL</v>
      </c>
      <c r="T3" s="76" t="str">
        <f>"-- "&amp;C3</f>
        <v>-- マスクID</v>
      </c>
      <c r="U3" s="4" t="str">
        <f>IF(B3&lt;&gt;1,",","")&amp;"'"&amp;D3&amp;"'"</f>
        <v>'mask_id'</v>
      </c>
      <c r="V3" s="25" t="str">
        <f>U3&amp;" : '"&amp;C3&amp;"'"</f>
        <v>'mask_id' : 'マスクID'</v>
      </c>
      <c r="W3" s="25">
        <v>1</v>
      </c>
      <c r="X3" s="25">
        <v>1</v>
      </c>
      <c r="Y3" s="25">
        <v>1</v>
      </c>
      <c r="AA3" s="4"/>
      <c r="AB3" s="4"/>
      <c r="AC3" s="4"/>
      <c r="AD3" s="4"/>
      <c r="AE3" s="4"/>
      <c r="AF3" s="4"/>
      <c r="AG3" s="4"/>
      <c r="AH3" s="4"/>
      <c r="AI3" s="4"/>
    </row>
    <row r="4" spans="1:35" s="25" customFormat="1">
      <c r="A4" s="4"/>
      <c r="B4" s="21">
        <f t="shared" ref="B4:B55" si="2">ROW()-2</f>
        <v>2</v>
      </c>
      <c r="C4" s="13" t="s">
        <v>4177</v>
      </c>
      <c r="D4" s="13" t="s">
        <v>945</v>
      </c>
      <c r="E4" s="7"/>
      <c r="F4" s="7" t="s">
        <v>1780</v>
      </c>
      <c r="G4" s="7" t="str">
        <f t="shared" ref="G4:G5" si="3">IF(F4="フラグ","boolean",IF(F4="文字列","text",IF(F4="整数","integer",IF(F4="実数","numeric",""))))</f>
        <v>text</v>
      </c>
      <c r="H4" s="58"/>
      <c r="I4" s="23" t="s">
        <v>127</v>
      </c>
      <c r="J4" s="24" t="s">
        <v>4635</v>
      </c>
      <c r="M4" s="4"/>
      <c r="N4" s="76"/>
      <c r="O4" s="76"/>
      <c r="P4" s="76" t="str">
        <f t="shared" ref="P4:P37" si="4">IF(B4&lt;&gt;1,","&amp;D4,D4)</f>
        <v>,sex_kubun</v>
      </c>
      <c r="Q4" s="76" t="str">
        <f t="shared" si="0"/>
        <v>TEXT</v>
      </c>
      <c r="R4" s="76" t="str">
        <f t="shared" si="1"/>
        <v/>
      </c>
      <c r="S4" s="76" t="str">
        <f t="shared" ref="S4:S37" si="5">IF(I4="○","NOT NULL","")</f>
        <v>NOT NULL</v>
      </c>
      <c r="T4" s="76" t="str">
        <f t="shared" ref="T4:T37" si="6">"-- "&amp;C4</f>
        <v>-- 男女区分</v>
      </c>
      <c r="U4" s="4" t="str">
        <f t="shared" ref="U4:U55" si="7">IF(B4&lt;&gt;1,",","")&amp;"'"&amp;D4&amp;"'"</f>
        <v>,'sex_kubun'</v>
      </c>
      <c r="V4" s="25" t="str">
        <f t="shared" ref="V4:V38" si="8">U4&amp;" : '"&amp;C4&amp;"'"</f>
        <v>,'sex_kubun' : '男女区分'</v>
      </c>
      <c r="W4" s="25">
        <v>1</v>
      </c>
      <c r="X4" s="25">
        <v>1</v>
      </c>
      <c r="Y4" s="25">
        <v>1</v>
      </c>
      <c r="AA4" s="4"/>
      <c r="AB4" s="4"/>
      <c r="AC4" s="4"/>
      <c r="AD4" s="4"/>
      <c r="AE4" s="4"/>
      <c r="AF4" s="4"/>
      <c r="AG4" s="4"/>
      <c r="AH4" s="4"/>
      <c r="AI4" s="4"/>
    </row>
    <row r="5" spans="1:35" s="25" customFormat="1" ht="75">
      <c r="A5" s="4"/>
      <c r="B5" s="21">
        <f t="shared" si="2"/>
        <v>3</v>
      </c>
      <c r="C5" s="13" t="s">
        <v>4316</v>
      </c>
      <c r="D5" s="13" t="s">
        <v>4315</v>
      </c>
      <c r="E5" s="7"/>
      <c r="F5" s="7" t="s">
        <v>1780</v>
      </c>
      <c r="G5" s="7" t="str">
        <f t="shared" si="3"/>
        <v>text</v>
      </c>
      <c r="H5" s="58"/>
      <c r="I5" s="23" t="s">
        <v>127</v>
      </c>
      <c r="J5" s="24" t="s">
        <v>4636</v>
      </c>
      <c r="M5" s="4"/>
      <c r="N5" s="76"/>
      <c r="O5" s="76"/>
      <c r="P5" s="76" t="str">
        <f t="shared" si="4"/>
        <v>,age</v>
      </c>
      <c r="Q5" s="76" t="str">
        <f t="shared" si="0"/>
        <v>TEXT</v>
      </c>
      <c r="R5" s="76" t="str">
        <f t="shared" si="1"/>
        <v/>
      </c>
      <c r="S5" s="76" t="str">
        <f t="shared" si="5"/>
        <v>NOT NULL</v>
      </c>
      <c r="T5" s="76" t="str">
        <f t="shared" si="6"/>
        <v>-- 年齢</v>
      </c>
      <c r="U5" s="4" t="str">
        <f t="shared" si="7"/>
        <v>,'age'</v>
      </c>
      <c r="V5" s="25" t="str">
        <f t="shared" si="8"/>
        <v>,'age' : '年齢'</v>
      </c>
      <c r="W5" s="25">
        <v>1</v>
      </c>
      <c r="X5" s="25">
        <v>1</v>
      </c>
      <c r="Y5" s="25">
        <v>1</v>
      </c>
      <c r="AA5" s="4"/>
      <c r="AB5" s="4"/>
      <c r="AC5" s="4"/>
      <c r="AD5" s="4"/>
      <c r="AE5" s="4"/>
      <c r="AF5" s="4"/>
      <c r="AG5" s="4"/>
      <c r="AH5" s="4"/>
      <c r="AI5" s="4"/>
    </row>
    <row r="6" spans="1:35" s="25" customFormat="1">
      <c r="A6" s="4"/>
      <c r="B6" s="21">
        <f t="shared" si="2"/>
        <v>4</v>
      </c>
      <c r="C6" s="13" t="s">
        <v>4588</v>
      </c>
      <c r="D6" s="13" t="s">
        <v>4297</v>
      </c>
      <c r="E6" s="7"/>
      <c r="F6" s="7" t="s">
        <v>4216</v>
      </c>
      <c r="G6" s="7" t="s">
        <v>4443</v>
      </c>
      <c r="H6" s="58"/>
      <c r="I6" s="23" t="s">
        <v>127</v>
      </c>
      <c r="J6" s="24"/>
      <c r="M6" s="4"/>
      <c r="N6" s="76"/>
      <c r="O6" s="76"/>
      <c r="P6" s="76" t="str">
        <f t="shared" si="4"/>
        <v>,kansatsu_start_date</v>
      </c>
      <c r="Q6" s="76" t="str">
        <f t="shared" si="0"/>
        <v>DATE</v>
      </c>
      <c r="R6" s="76" t="str">
        <f t="shared" si="1"/>
        <v/>
      </c>
      <c r="S6" s="76" t="str">
        <f t="shared" si="5"/>
        <v>NOT NULL</v>
      </c>
      <c r="T6" s="76" t="str">
        <f t="shared" si="6"/>
        <v>-- 観察開始日</v>
      </c>
      <c r="U6" s="4" t="str">
        <f t="shared" si="7"/>
        <v>,'kansatsu_start_date'</v>
      </c>
      <c r="V6" s="25" t="str">
        <f t="shared" si="8"/>
        <v>,'kansatsu_start_date' : '観察開始日'</v>
      </c>
      <c r="X6" s="25">
        <v>1</v>
      </c>
      <c r="AA6" s="4"/>
      <c r="AB6" s="4"/>
      <c r="AC6" s="4"/>
      <c r="AD6" s="4"/>
      <c r="AE6" s="4"/>
      <c r="AF6" s="4"/>
      <c r="AG6" s="4"/>
      <c r="AH6" s="4"/>
      <c r="AI6" s="4"/>
    </row>
    <row r="7" spans="1:35" s="25" customFormat="1">
      <c r="A7" s="4"/>
      <c r="B7" s="21">
        <f t="shared" si="2"/>
        <v>5</v>
      </c>
      <c r="C7" s="13" t="s">
        <v>4589</v>
      </c>
      <c r="D7" s="13" t="s">
        <v>4298</v>
      </c>
      <c r="E7" s="7"/>
      <c r="F7" s="7" t="s">
        <v>4216</v>
      </c>
      <c r="G7" s="7" t="s">
        <v>25</v>
      </c>
      <c r="H7" s="58"/>
      <c r="I7" s="23" t="s">
        <v>127</v>
      </c>
      <c r="J7" s="24"/>
      <c r="M7" s="4"/>
      <c r="N7" s="76"/>
      <c r="O7" s="76"/>
      <c r="P7" s="76" t="str">
        <f t="shared" si="4"/>
        <v>,kansatsu_end_date</v>
      </c>
      <c r="Q7" s="76" t="str">
        <f t="shared" si="0"/>
        <v>DATE</v>
      </c>
      <c r="R7" s="76" t="str">
        <f t="shared" si="1"/>
        <v/>
      </c>
      <c r="S7" s="76" t="str">
        <f t="shared" si="5"/>
        <v>NOT NULL</v>
      </c>
      <c r="T7" s="76" t="str">
        <f t="shared" si="6"/>
        <v>-- 観察終了日</v>
      </c>
      <c r="U7" s="4" t="str">
        <f t="shared" si="7"/>
        <v>,'kansatsu_end_date'</v>
      </c>
      <c r="V7" s="25" t="str">
        <f t="shared" si="8"/>
        <v>,'kansatsu_end_date' : '観察終了日'</v>
      </c>
      <c r="X7" s="25">
        <v>1</v>
      </c>
      <c r="AA7" s="4"/>
      <c r="AB7" s="4"/>
      <c r="AC7" s="4"/>
      <c r="AD7" s="4"/>
      <c r="AE7" s="4"/>
      <c r="AF7" s="4"/>
      <c r="AG7" s="4"/>
      <c r="AH7" s="4"/>
      <c r="AI7" s="4"/>
    </row>
    <row r="8" spans="1:35" s="25" customFormat="1" ht="31.5">
      <c r="A8" s="4"/>
      <c r="B8" s="21">
        <f t="shared" si="2"/>
        <v>6</v>
      </c>
      <c r="C8" s="13" t="s">
        <v>4590</v>
      </c>
      <c r="D8" s="13" t="s">
        <v>4320</v>
      </c>
      <c r="E8" s="7"/>
      <c r="F8" s="7" t="s">
        <v>4216</v>
      </c>
      <c r="G8" s="7" t="s">
        <v>25</v>
      </c>
      <c r="H8" s="58"/>
      <c r="I8" s="23" t="s">
        <v>127</v>
      </c>
      <c r="J8" s="24"/>
      <c r="N8" s="76"/>
      <c r="O8" s="76"/>
      <c r="P8" s="76" t="str">
        <f t="shared" si="4"/>
        <v>,main_diagnosis_start_date</v>
      </c>
      <c r="Q8" s="76" t="str">
        <f t="shared" si="0"/>
        <v>DATE</v>
      </c>
      <c r="R8" s="76" t="str">
        <f t="shared" si="1"/>
        <v/>
      </c>
      <c r="S8" s="76" t="str">
        <f t="shared" si="5"/>
        <v>NOT NULL</v>
      </c>
      <c r="T8" s="76" t="str">
        <f t="shared" si="6"/>
        <v>-- 主傷病開始日</v>
      </c>
      <c r="U8" s="4" t="str">
        <f t="shared" si="7"/>
        <v>,'main_diagnosis_start_date'</v>
      </c>
      <c r="V8" s="25" t="str">
        <f t="shared" si="8"/>
        <v>,'main_diagnosis_start_date' : '主傷病開始日'</v>
      </c>
      <c r="X8" s="25">
        <v>1</v>
      </c>
      <c r="AA8" s="4"/>
      <c r="AB8" s="4"/>
      <c r="AC8" s="4"/>
      <c r="AD8" s="4"/>
      <c r="AE8" s="4"/>
      <c r="AF8" s="4"/>
      <c r="AG8" s="4"/>
      <c r="AH8" s="4"/>
      <c r="AI8" s="4"/>
    </row>
    <row r="9" spans="1:35" s="25" customFormat="1" ht="31.5">
      <c r="A9" s="4"/>
      <c r="B9" s="21">
        <f t="shared" si="2"/>
        <v>7</v>
      </c>
      <c r="C9" s="13" t="s">
        <v>4591</v>
      </c>
      <c r="D9" s="13" t="s">
        <v>4464</v>
      </c>
      <c r="E9" s="7"/>
      <c r="F9" s="7" t="s">
        <v>4216</v>
      </c>
      <c r="G9" s="7" t="s">
        <v>99</v>
      </c>
      <c r="H9" s="58"/>
      <c r="I9" s="23"/>
      <c r="J9" s="24"/>
      <c r="M9" s="4">
        <v>1</v>
      </c>
      <c r="N9" s="76"/>
      <c r="O9" s="76"/>
      <c r="P9" s="76" t="str">
        <f t="shared" si="4"/>
        <v>,myocardial_infarction_start_date</v>
      </c>
      <c r="Q9" s="76" t="str">
        <f t="shared" si="0"/>
        <v>DATE</v>
      </c>
      <c r="R9" s="76" t="str">
        <f t="shared" si="1"/>
        <v/>
      </c>
      <c r="S9" s="76" t="str">
        <f t="shared" si="5"/>
        <v/>
      </c>
      <c r="T9" s="76" t="str">
        <f t="shared" si="6"/>
        <v>-- 心筋梗塞_疾患開始日</v>
      </c>
      <c r="U9" s="4" t="str">
        <f t="shared" si="7"/>
        <v>,'myocardial_infarction_start_date'</v>
      </c>
      <c r="V9" s="25" t="str">
        <f t="shared" si="8"/>
        <v>,'myocardial_infarction_start_date' : '心筋梗塞_疾患開始日'</v>
      </c>
      <c r="X9" s="25">
        <v>1</v>
      </c>
      <c r="AA9" s="4"/>
      <c r="AB9" s="4"/>
      <c r="AC9" s="4"/>
      <c r="AD9" s="4"/>
      <c r="AE9" s="4"/>
      <c r="AF9" s="4"/>
      <c r="AG9" s="4"/>
      <c r="AH9" s="4"/>
      <c r="AI9" s="4"/>
    </row>
    <row r="10" spans="1:35" s="25" customFormat="1" ht="31.5">
      <c r="A10" s="4"/>
      <c r="B10" s="21">
        <f t="shared" si="2"/>
        <v>8</v>
      </c>
      <c r="C10" s="13" t="s">
        <v>4592</v>
      </c>
      <c r="D10" s="13" t="s">
        <v>4465</v>
      </c>
      <c r="E10" s="7"/>
      <c r="F10" s="7" t="s">
        <v>4216</v>
      </c>
      <c r="G10" s="7" t="s">
        <v>25</v>
      </c>
      <c r="H10" s="58"/>
      <c r="I10" s="23"/>
      <c r="J10" s="24"/>
      <c r="M10" s="4">
        <v>1</v>
      </c>
      <c r="N10" s="76"/>
      <c r="O10" s="76"/>
      <c r="P10" s="76" t="str">
        <f t="shared" si="4"/>
        <v>,congestive_heart_failure_start_date</v>
      </c>
      <c r="Q10" s="76" t="str">
        <f t="shared" si="0"/>
        <v>DATE</v>
      </c>
      <c r="R10" s="76" t="str">
        <f t="shared" si="1"/>
        <v/>
      </c>
      <c r="S10" s="76" t="str">
        <f t="shared" si="5"/>
        <v/>
      </c>
      <c r="T10" s="76" t="str">
        <f t="shared" si="6"/>
        <v>-- うっ血性心不全_疾患開始日</v>
      </c>
      <c r="U10" s="4" t="str">
        <f t="shared" si="7"/>
        <v>,'congestive_heart_failure_start_date'</v>
      </c>
      <c r="V10" s="25" t="str">
        <f t="shared" si="8"/>
        <v>,'congestive_heart_failure_start_date' : 'うっ血性心不全_疾患開始日'</v>
      </c>
      <c r="X10" s="25">
        <v>1</v>
      </c>
      <c r="AA10" s="4"/>
      <c r="AB10" s="4"/>
      <c r="AC10" s="4"/>
      <c r="AD10" s="4"/>
      <c r="AE10" s="4"/>
      <c r="AF10" s="4"/>
      <c r="AG10" s="4"/>
      <c r="AH10" s="4"/>
      <c r="AI10" s="4"/>
    </row>
    <row r="11" spans="1:35" s="25" customFormat="1" ht="31.5">
      <c r="A11" s="4"/>
      <c r="B11" s="21">
        <f t="shared" si="2"/>
        <v>9</v>
      </c>
      <c r="C11" s="13" t="s">
        <v>4593</v>
      </c>
      <c r="D11" s="13" t="s">
        <v>4466</v>
      </c>
      <c r="E11" s="7"/>
      <c r="F11" s="7" t="s">
        <v>4216</v>
      </c>
      <c r="G11" s="7" t="s">
        <v>25</v>
      </c>
      <c r="H11" s="58"/>
      <c r="I11" s="23"/>
      <c r="J11" s="24"/>
      <c r="M11" s="4">
        <v>1</v>
      </c>
      <c r="N11" s="76"/>
      <c r="O11" s="76"/>
      <c r="P11" s="76" t="str">
        <f t="shared" si="4"/>
        <v>,peripheral_vascular_start_date</v>
      </c>
      <c r="Q11" s="76" t="str">
        <f t="shared" si="0"/>
        <v>DATE</v>
      </c>
      <c r="R11" s="76" t="str">
        <f t="shared" si="1"/>
        <v/>
      </c>
      <c r="S11" s="76" t="str">
        <f t="shared" si="5"/>
        <v/>
      </c>
      <c r="T11" s="76" t="str">
        <f t="shared" si="6"/>
        <v>-- 末梢動脈疾患_疾患開始日</v>
      </c>
      <c r="U11" s="4" t="str">
        <f t="shared" si="7"/>
        <v>,'peripheral_vascular_start_date'</v>
      </c>
      <c r="V11" s="25" t="str">
        <f t="shared" si="8"/>
        <v>,'peripheral_vascular_start_date' : '末梢動脈疾患_疾患開始日'</v>
      </c>
      <c r="X11" s="25">
        <v>1</v>
      </c>
      <c r="AA11" s="4"/>
      <c r="AB11" s="4"/>
      <c r="AC11" s="4"/>
      <c r="AD11" s="4"/>
      <c r="AE11" s="4"/>
      <c r="AF11" s="4"/>
      <c r="AG11" s="4"/>
      <c r="AH11" s="4"/>
      <c r="AI11" s="4"/>
    </row>
    <row r="12" spans="1:35" s="25" customFormat="1" ht="31.5">
      <c r="A12" s="4"/>
      <c r="B12" s="21">
        <f t="shared" si="2"/>
        <v>10</v>
      </c>
      <c r="C12" s="13" t="s">
        <v>4594</v>
      </c>
      <c r="D12" s="13" t="s">
        <v>4467</v>
      </c>
      <c r="E12" s="7"/>
      <c r="F12" s="7" t="s">
        <v>4216</v>
      </c>
      <c r="G12" s="7" t="s">
        <v>25</v>
      </c>
      <c r="H12" s="58"/>
      <c r="I12" s="23"/>
      <c r="J12" s="24"/>
      <c r="M12" s="4">
        <v>1</v>
      </c>
      <c r="N12" s="76"/>
      <c r="O12" s="76"/>
      <c r="P12" s="76" t="str">
        <f t="shared" si="4"/>
        <v>,cerebrovascular_disease_start_date</v>
      </c>
      <c r="Q12" s="76" t="str">
        <f t="shared" si="0"/>
        <v>DATE</v>
      </c>
      <c r="R12" s="76" t="str">
        <f t="shared" si="1"/>
        <v/>
      </c>
      <c r="S12" s="76" t="str">
        <f t="shared" si="5"/>
        <v/>
      </c>
      <c r="T12" s="76" t="str">
        <f t="shared" si="6"/>
        <v>-- 脳血管障害_疾患開始日</v>
      </c>
      <c r="U12" s="4" t="str">
        <f t="shared" si="7"/>
        <v>,'cerebrovascular_disease_start_date'</v>
      </c>
      <c r="V12" s="25" t="str">
        <f t="shared" si="8"/>
        <v>,'cerebrovascular_disease_start_date' : '脳血管障害_疾患開始日'</v>
      </c>
      <c r="X12" s="25">
        <v>1</v>
      </c>
      <c r="AA12" s="4"/>
      <c r="AB12" s="4"/>
      <c r="AC12" s="4"/>
      <c r="AD12" s="4"/>
      <c r="AE12" s="4"/>
      <c r="AF12" s="4"/>
      <c r="AG12" s="4"/>
      <c r="AH12" s="4"/>
      <c r="AI12" s="4"/>
    </row>
    <row r="13" spans="1:35" s="25" customFormat="1">
      <c r="A13" s="4"/>
      <c r="B13" s="21">
        <f t="shared" si="2"/>
        <v>11</v>
      </c>
      <c r="C13" s="13" t="s">
        <v>4595</v>
      </c>
      <c r="D13" s="13" t="s">
        <v>4468</v>
      </c>
      <c r="E13" s="7"/>
      <c r="F13" s="7" t="s">
        <v>4216</v>
      </c>
      <c r="G13" s="7" t="s">
        <v>25</v>
      </c>
      <c r="H13" s="58"/>
      <c r="I13" s="23"/>
      <c r="J13" s="24"/>
      <c r="M13" s="4">
        <v>1</v>
      </c>
      <c r="N13" s="76"/>
      <c r="O13" s="76"/>
      <c r="P13" s="76" t="str">
        <f t="shared" si="4"/>
        <v>,dementia_start_date</v>
      </c>
      <c r="Q13" s="76" t="str">
        <f t="shared" si="0"/>
        <v>DATE</v>
      </c>
      <c r="R13" s="76" t="str">
        <f t="shared" si="1"/>
        <v/>
      </c>
      <c r="S13" s="76" t="str">
        <f t="shared" si="5"/>
        <v/>
      </c>
      <c r="T13" s="76" t="str">
        <f t="shared" si="6"/>
        <v>-- 認知症 _疾患開始日</v>
      </c>
      <c r="U13" s="4" t="str">
        <f t="shared" si="7"/>
        <v>,'dementia_start_date'</v>
      </c>
      <c r="V13" s="25" t="str">
        <f t="shared" si="8"/>
        <v>,'dementia_start_date' : '認知症 _疾患開始日'</v>
      </c>
      <c r="X13" s="25">
        <v>1</v>
      </c>
      <c r="AA13" s="4"/>
      <c r="AB13" s="4"/>
      <c r="AC13" s="4"/>
      <c r="AD13" s="4"/>
      <c r="AE13" s="4"/>
      <c r="AF13" s="4"/>
      <c r="AG13" s="4"/>
      <c r="AH13" s="4"/>
      <c r="AI13" s="4"/>
    </row>
    <row r="14" spans="1:35" s="25" customFormat="1" ht="31.5">
      <c r="A14" s="4"/>
      <c r="B14" s="21">
        <f t="shared" si="2"/>
        <v>12</v>
      </c>
      <c r="C14" s="13" t="s">
        <v>4596</v>
      </c>
      <c r="D14" s="13" t="s">
        <v>4469</v>
      </c>
      <c r="E14" s="7"/>
      <c r="F14" s="7" t="s">
        <v>4216</v>
      </c>
      <c r="G14" s="7" t="s">
        <v>25</v>
      </c>
      <c r="H14" s="58"/>
      <c r="I14" s="23"/>
      <c r="J14" s="24"/>
      <c r="M14" s="4">
        <v>1</v>
      </c>
      <c r="N14" s="76"/>
      <c r="O14" s="76"/>
      <c r="P14" s="76" t="str">
        <f t="shared" si="4"/>
        <v>,chronic_pulmonary_start_date</v>
      </c>
      <c r="Q14" s="76" t="str">
        <f t="shared" si="0"/>
        <v>DATE</v>
      </c>
      <c r="R14" s="76" t="str">
        <f t="shared" si="1"/>
        <v/>
      </c>
      <c r="S14" s="76" t="str">
        <f t="shared" si="5"/>
        <v/>
      </c>
      <c r="T14" s="76" t="str">
        <f t="shared" si="6"/>
        <v>-- 慢性肺疾患_疾患開始日</v>
      </c>
      <c r="U14" s="4" t="str">
        <f t="shared" si="7"/>
        <v>,'chronic_pulmonary_start_date'</v>
      </c>
      <c r="V14" s="25" t="str">
        <f t="shared" si="8"/>
        <v>,'chronic_pulmonary_start_date' : '慢性肺疾患_疾患開始日'</v>
      </c>
      <c r="X14" s="25">
        <v>1</v>
      </c>
      <c r="AA14" s="4"/>
      <c r="AB14" s="4"/>
      <c r="AC14" s="4"/>
      <c r="AD14" s="4"/>
      <c r="AE14" s="4"/>
      <c r="AF14" s="4"/>
      <c r="AG14" s="4"/>
      <c r="AH14" s="4"/>
      <c r="AI14" s="4"/>
    </row>
    <row r="15" spans="1:35" s="25" customFormat="1" ht="47.25">
      <c r="A15" s="4"/>
      <c r="B15" s="21">
        <f t="shared" si="2"/>
        <v>13</v>
      </c>
      <c r="C15" s="13" t="s">
        <v>4597</v>
      </c>
      <c r="D15" s="13" t="s">
        <v>4545</v>
      </c>
      <c r="E15" s="7"/>
      <c r="F15" s="7" t="s">
        <v>4216</v>
      </c>
      <c r="G15" s="7" t="s">
        <v>25</v>
      </c>
      <c r="H15" s="58"/>
      <c r="I15" s="23"/>
      <c r="J15" s="24"/>
      <c r="M15" s="4">
        <v>1</v>
      </c>
      <c r="N15" s="76"/>
      <c r="O15" s="76"/>
      <c r="P15" s="76" t="str">
        <f t="shared" si="4"/>
        <v>,connective_tissue_disease_rheumatic_disease_start_date</v>
      </c>
      <c r="Q15" s="76" t="str">
        <f t="shared" si="0"/>
        <v>DATE</v>
      </c>
      <c r="R15" s="76" t="str">
        <f t="shared" si="1"/>
        <v/>
      </c>
      <c r="S15" s="76" t="str">
        <f t="shared" si="5"/>
        <v/>
      </c>
      <c r="T15" s="76" t="str">
        <f t="shared" si="6"/>
        <v>-- 結合組織疾患_疾患開始日</v>
      </c>
      <c r="U15" s="4" t="str">
        <f t="shared" si="7"/>
        <v>,'connective_tissue_disease_rheumatic_disease_start_date'</v>
      </c>
      <c r="V15" s="25" t="str">
        <f t="shared" si="8"/>
        <v>,'connective_tissue_disease_rheumatic_disease_start_date' : '結合組織疾患_疾患開始日'</v>
      </c>
      <c r="X15" s="25">
        <v>1</v>
      </c>
      <c r="AA15" s="4"/>
      <c r="AB15" s="4"/>
      <c r="AC15" s="4"/>
      <c r="AD15" s="4"/>
      <c r="AE15" s="4"/>
      <c r="AF15" s="4"/>
      <c r="AG15" s="4"/>
      <c r="AH15" s="4"/>
      <c r="AI15" s="4"/>
    </row>
    <row r="16" spans="1:35" s="25" customFormat="1" ht="31.5">
      <c r="A16" s="4"/>
      <c r="B16" s="21">
        <f t="shared" si="2"/>
        <v>14</v>
      </c>
      <c r="C16" s="13" t="s">
        <v>4598</v>
      </c>
      <c r="D16" s="13" t="s">
        <v>4470</v>
      </c>
      <c r="E16" s="7"/>
      <c r="F16" s="7" t="s">
        <v>4216</v>
      </c>
      <c r="G16" s="7" t="s">
        <v>25</v>
      </c>
      <c r="H16" s="58"/>
      <c r="I16" s="23"/>
      <c r="J16" s="24"/>
      <c r="M16" s="4">
        <v>1</v>
      </c>
      <c r="N16" s="76"/>
      <c r="O16" s="76"/>
      <c r="P16" s="76" t="str">
        <f t="shared" si="4"/>
        <v>,peptic_ulcer_disease_start_date</v>
      </c>
      <c r="Q16" s="76" t="str">
        <f t="shared" si="0"/>
        <v>DATE</v>
      </c>
      <c r="R16" s="76" t="str">
        <f t="shared" si="1"/>
        <v/>
      </c>
      <c r="S16" s="76" t="str">
        <f t="shared" si="5"/>
        <v/>
      </c>
      <c r="T16" s="76" t="str">
        <f t="shared" si="6"/>
        <v>-- 潰瘍性疾患_疾患開始日</v>
      </c>
      <c r="U16" s="4" t="str">
        <f t="shared" si="7"/>
        <v>,'peptic_ulcer_disease_start_date'</v>
      </c>
      <c r="V16" s="25" t="str">
        <f t="shared" si="8"/>
        <v>,'peptic_ulcer_disease_start_date' : '潰瘍性疾患_疾患開始日'</v>
      </c>
      <c r="X16" s="25">
        <v>1</v>
      </c>
      <c r="AA16" s="4"/>
      <c r="AB16" s="4"/>
      <c r="AC16" s="4"/>
      <c r="AD16" s="4"/>
      <c r="AE16" s="4"/>
      <c r="AF16" s="4"/>
      <c r="AG16" s="4"/>
      <c r="AH16" s="4"/>
      <c r="AI16" s="4"/>
    </row>
    <row r="17" spans="1:35" s="25" customFormat="1" ht="31.5">
      <c r="A17" s="4"/>
      <c r="B17" s="21">
        <f t="shared" si="2"/>
        <v>15</v>
      </c>
      <c r="C17" s="13" t="s">
        <v>4599</v>
      </c>
      <c r="D17" s="13" t="s">
        <v>4471</v>
      </c>
      <c r="E17" s="7"/>
      <c r="F17" s="7" t="s">
        <v>4216</v>
      </c>
      <c r="G17" s="7" t="s">
        <v>25</v>
      </c>
      <c r="H17" s="58"/>
      <c r="I17" s="23"/>
      <c r="J17" s="24"/>
      <c r="M17" s="4">
        <v>1</v>
      </c>
      <c r="N17" s="76"/>
      <c r="O17" s="76"/>
      <c r="P17" s="76" t="str">
        <f t="shared" si="4"/>
        <v>,mild_liver_disease_start_date</v>
      </c>
      <c r="Q17" s="76" t="str">
        <f t="shared" si="0"/>
        <v>DATE</v>
      </c>
      <c r="R17" s="76" t="str">
        <f t="shared" si="1"/>
        <v/>
      </c>
      <c r="S17" s="76" t="str">
        <f t="shared" si="5"/>
        <v/>
      </c>
      <c r="T17" s="76" t="str">
        <f t="shared" si="6"/>
        <v>-- 軽度の肝疾患_疾患開始日</v>
      </c>
      <c r="U17" s="4" t="str">
        <f t="shared" si="7"/>
        <v>,'mild_liver_disease_start_date'</v>
      </c>
      <c r="V17" s="25" t="str">
        <f t="shared" si="8"/>
        <v>,'mild_liver_disease_start_date' : '軽度の肝疾患_疾患開始日'</v>
      </c>
      <c r="X17" s="25">
        <v>1</v>
      </c>
      <c r="AA17" s="4"/>
      <c r="AB17" s="4"/>
      <c r="AC17" s="4"/>
      <c r="AD17" s="4"/>
      <c r="AE17" s="4"/>
      <c r="AF17" s="4"/>
      <c r="AG17" s="4"/>
      <c r="AH17" s="4"/>
      <c r="AI17" s="4"/>
    </row>
    <row r="18" spans="1:35" s="25" customFormat="1" ht="31.5">
      <c r="A18" s="4"/>
      <c r="B18" s="21">
        <f t="shared" si="2"/>
        <v>16</v>
      </c>
      <c r="C18" s="13" t="s">
        <v>4600</v>
      </c>
      <c r="D18" s="13" t="s">
        <v>4472</v>
      </c>
      <c r="E18" s="7"/>
      <c r="F18" s="7" t="s">
        <v>4216</v>
      </c>
      <c r="G18" s="7" t="s">
        <v>25</v>
      </c>
      <c r="H18" s="58"/>
      <c r="I18" s="23"/>
      <c r="J18" s="24"/>
      <c r="M18" s="4">
        <v>1</v>
      </c>
      <c r="N18" s="76"/>
      <c r="O18" s="76"/>
      <c r="P18" s="76" t="str">
        <f t="shared" si="4"/>
        <v>,diabetes_without_chronic_start_date</v>
      </c>
      <c r="Q18" s="76" t="str">
        <f t="shared" si="0"/>
        <v>DATE</v>
      </c>
      <c r="R18" s="76" t="str">
        <f t="shared" si="1"/>
        <v/>
      </c>
      <c r="S18" s="76" t="str">
        <f t="shared" si="5"/>
        <v/>
      </c>
      <c r="T18" s="76" t="str">
        <f t="shared" si="6"/>
        <v>-- 合併症を伴わない糖尿病_疾患開始日</v>
      </c>
      <c r="U18" s="4" t="str">
        <f t="shared" si="7"/>
        <v>,'diabetes_without_chronic_start_date'</v>
      </c>
      <c r="V18" s="25" t="str">
        <f t="shared" si="8"/>
        <v>,'diabetes_without_chronic_start_date' : '合併症を伴わない糖尿病_疾患開始日'</v>
      </c>
      <c r="X18" s="25">
        <v>1</v>
      </c>
      <c r="AA18" s="4"/>
      <c r="AB18" s="4"/>
      <c r="AC18" s="4"/>
      <c r="AD18" s="4"/>
      <c r="AE18" s="4"/>
      <c r="AF18" s="4"/>
      <c r="AG18" s="4"/>
      <c r="AH18" s="4"/>
      <c r="AI18" s="4"/>
    </row>
    <row r="19" spans="1:35" s="25" customFormat="1" ht="31.5">
      <c r="A19" s="4"/>
      <c r="B19" s="21">
        <f t="shared" si="2"/>
        <v>17</v>
      </c>
      <c r="C19" s="13" t="s">
        <v>4601</v>
      </c>
      <c r="D19" s="13" t="s">
        <v>4473</v>
      </c>
      <c r="E19" s="7"/>
      <c r="F19" s="7" t="s">
        <v>4216</v>
      </c>
      <c r="G19" s="7" t="s">
        <v>25</v>
      </c>
      <c r="H19" s="58"/>
      <c r="I19" s="23"/>
      <c r="J19" s="24"/>
      <c r="M19" s="4">
        <v>1</v>
      </c>
      <c r="N19" s="76"/>
      <c r="O19" s="76"/>
      <c r="P19" s="76" t="str">
        <f t="shared" si="4"/>
        <v>,diabetes_with_chronic_start_date</v>
      </c>
      <c r="Q19" s="76" t="str">
        <f t="shared" si="0"/>
        <v>DATE</v>
      </c>
      <c r="R19" s="76" t="str">
        <f t="shared" si="1"/>
        <v/>
      </c>
      <c r="S19" s="76" t="str">
        <f t="shared" si="5"/>
        <v/>
      </c>
      <c r="T19" s="76" t="str">
        <f t="shared" si="6"/>
        <v>-- 合併症を伴う糖尿病_疾患開始日</v>
      </c>
      <c r="U19" s="4" t="str">
        <f t="shared" si="7"/>
        <v>,'diabetes_with_chronic_start_date'</v>
      </c>
      <c r="V19" s="25" t="str">
        <f t="shared" si="8"/>
        <v>,'diabetes_with_chronic_start_date' : '合併症を伴う糖尿病_疾患開始日'</v>
      </c>
      <c r="X19" s="25">
        <v>1</v>
      </c>
      <c r="AA19" s="4"/>
      <c r="AB19" s="4"/>
      <c r="AC19" s="4"/>
      <c r="AD19" s="4"/>
      <c r="AE19" s="4"/>
      <c r="AF19" s="4"/>
      <c r="AG19" s="4"/>
      <c r="AH19" s="4"/>
      <c r="AI19" s="4"/>
    </row>
    <row r="20" spans="1:35" s="25" customFormat="1" ht="31.5">
      <c r="A20" s="4"/>
      <c r="B20" s="21">
        <f t="shared" si="2"/>
        <v>18</v>
      </c>
      <c r="C20" s="13" t="s">
        <v>4602</v>
      </c>
      <c r="D20" s="13" t="s">
        <v>4474</v>
      </c>
      <c r="E20" s="7"/>
      <c r="F20" s="7" t="s">
        <v>4216</v>
      </c>
      <c r="G20" s="7" t="s">
        <v>25</v>
      </c>
      <c r="H20" s="58"/>
      <c r="I20" s="23"/>
      <c r="J20" s="24"/>
      <c r="M20" s="4">
        <v>1</v>
      </c>
      <c r="N20" s="76"/>
      <c r="O20" s="76"/>
      <c r="P20" s="76" t="str">
        <f t="shared" si="4"/>
        <v>,paraplegia_and_hemiplegia_start_date</v>
      </c>
      <c r="Q20" s="76" t="str">
        <f t="shared" si="0"/>
        <v>DATE</v>
      </c>
      <c r="R20" s="76" t="str">
        <f t="shared" si="1"/>
        <v/>
      </c>
      <c r="S20" s="76" t="str">
        <f t="shared" si="5"/>
        <v/>
      </c>
      <c r="T20" s="76" t="str">
        <f t="shared" si="6"/>
        <v>-- 片麻痺・対麻痺_疾患開始日</v>
      </c>
      <c r="U20" s="4" t="str">
        <f t="shared" si="7"/>
        <v>,'paraplegia_and_hemiplegia_start_date'</v>
      </c>
      <c r="V20" s="25" t="str">
        <f t="shared" si="8"/>
        <v>,'paraplegia_and_hemiplegia_start_date' : '片麻痺・対麻痺_疾患開始日'</v>
      </c>
      <c r="X20" s="25">
        <v>1</v>
      </c>
      <c r="AA20" s="4"/>
      <c r="AB20" s="4"/>
      <c r="AC20" s="4"/>
      <c r="AD20" s="4"/>
      <c r="AE20" s="4"/>
      <c r="AF20" s="4"/>
      <c r="AG20" s="4"/>
      <c r="AH20" s="4"/>
      <c r="AI20" s="4"/>
    </row>
    <row r="21" spans="1:35" s="25" customFormat="1">
      <c r="A21" s="4"/>
      <c r="B21" s="21">
        <f t="shared" si="2"/>
        <v>19</v>
      </c>
      <c r="C21" s="13" t="s">
        <v>4603</v>
      </c>
      <c r="D21" s="13" t="s">
        <v>4475</v>
      </c>
      <c r="E21" s="7"/>
      <c r="F21" s="7" t="s">
        <v>4216</v>
      </c>
      <c r="G21" s="7" t="s">
        <v>25</v>
      </c>
      <c r="H21" s="58"/>
      <c r="I21" s="23"/>
      <c r="J21" s="24"/>
      <c r="M21" s="4">
        <v>1</v>
      </c>
      <c r="N21" s="76"/>
      <c r="O21" s="76"/>
      <c r="P21" s="76" t="str">
        <f t="shared" si="4"/>
        <v>,renal_disease_start_date</v>
      </c>
      <c r="Q21" s="76" t="str">
        <f t="shared" si="0"/>
        <v>DATE</v>
      </c>
      <c r="R21" s="76" t="str">
        <f t="shared" si="1"/>
        <v/>
      </c>
      <c r="S21" s="76" t="str">
        <f t="shared" si="5"/>
        <v/>
      </c>
      <c r="T21" s="76" t="str">
        <f t="shared" si="6"/>
        <v>-- 腎疾患_疾患開始日</v>
      </c>
      <c r="U21" s="4" t="str">
        <f t="shared" si="7"/>
        <v>,'renal_disease_start_date'</v>
      </c>
      <c r="V21" s="25" t="str">
        <f t="shared" si="8"/>
        <v>,'renal_disease_start_date' : '腎疾患_疾患開始日'</v>
      </c>
      <c r="X21" s="25">
        <v>1</v>
      </c>
      <c r="AA21" s="4"/>
      <c r="AB21" s="4"/>
      <c r="AC21" s="4"/>
      <c r="AD21" s="4"/>
      <c r="AE21" s="4"/>
      <c r="AF21" s="4"/>
      <c r="AG21" s="4"/>
      <c r="AH21" s="4"/>
      <c r="AI21" s="4"/>
    </row>
    <row r="22" spans="1:35" s="25" customFormat="1">
      <c r="A22" s="4"/>
      <c r="B22" s="21">
        <f t="shared" si="2"/>
        <v>20</v>
      </c>
      <c r="C22" s="13" t="s">
        <v>4604</v>
      </c>
      <c r="D22" s="13" t="s">
        <v>4555</v>
      </c>
      <c r="E22" s="7"/>
      <c r="F22" s="7" t="s">
        <v>4216</v>
      </c>
      <c r="G22" s="7" t="s">
        <v>25</v>
      </c>
      <c r="H22" s="58"/>
      <c r="I22" s="23"/>
      <c r="J22" s="24"/>
      <c r="M22" s="4">
        <v>1</v>
      </c>
      <c r="N22" s="76"/>
      <c r="O22" s="76"/>
      <c r="P22" s="76" t="str">
        <f t="shared" si="4"/>
        <v>,cancer_start_date</v>
      </c>
      <c r="Q22" s="76" t="str">
        <f t="shared" si="0"/>
        <v>DATE</v>
      </c>
      <c r="R22" s="76" t="str">
        <f t="shared" si="1"/>
        <v/>
      </c>
      <c r="S22" s="76" t="str">
        <f t="shared" si="5"/>
        <v/>
      </c>
      <c r="T22" s="76" t="str">
        <f t="shared" si="6"/>
        <v>-- 悪性腫瘍_疾患開始日</v>
      </c>
      <c r="U22" s="4" t="str">
        <f t="shared" si="7"/>
        <v>,'cancer_start_date'</v>
      </c>
      <c r="V22" s="25" t="str">
        <f t="shared" si="8"/>
        <v>,'cancer_start_date' : '悪性腫瘍_疾患開始日'</v>
      </c>
      <c r="X22" s="25">
        <v>1</v>
      </c>
      <c r="AA22" s="4"/>
      <c r="AB22" s="4"/>
      <c r="AC22" s="4"/>
      <c r="AD22" s="4"/>
      <c r="AE22" s="4"/>
      <c r="AF22" s="4"/>
      <c r="AG22" s="4"/>
      <c r="AH22" s="4"/>
      <c r="AI22" s="4"/>
    </row>
    <row r="23" spans="1:35" s="25" customFormat="1" ht="31.5">
      <c r="A23" s="4"/>
      <c r="B23" s="21">
        <f t="shared" si="2"/>
        <v>21</v>
      </c>
      <c r="C23" s="13" t="s">
        <v>4605</v>
      </c>
      <c r="D23" s="13" t="s">
        <v>4476</v>
      </c>
      <c r="E23" s="7"/>
      <c r="F23" s="7" t="s">
        <v>4216</v>
      </c>
      <c r="G23" s="7" t="s">
        <v>25</v>
      </c>
      <c r="H23" s="58"/>
      <c r="I23" s="23"/>
      <c r="J23" s="24"/>
      <c r="M23" s="4">
        <v>1</v>
      </c>
      <c r="N23" s="76"/>
      <c r="O23" s="76"/>
      <c r="P23" s="76" t="str">
        <f t="shared" si="4"/>
        <v>,moderate_or_severe_liver_start_date</v>
      </c>
      <c r="Q23" s="76" t="str">
        <f t="shared" si="0"/>
        <v>DATE</v>
      </c>
      <c r="R23" s="76" t="str">
        <f t="shared" si="1"/>
        <v/>
      </c>
      <c r="S23" s="76" t="str">
        <f t="shared" si="5"/>
        <v/>
      </c>
      <c r="T23" s="76" t="str">
        <f t="shared" si="6"/>
        <v>-- 中等度～重度の肝疾患_疾患開始日</v>
      </c>
      <c r="U23" s="4" t="str">
        <f t="shared" si="7"/>
        <v>,'moderate_or_severe_liver_start_date'</v>
      </c>
      <c r="V23" s="25" t="str">
        <f t="shared" si="8"/>
        <v>,'moderate_or_severe_liver_start_date' : '中等度～重度の肝疾患_疾患開始日'</v>
      </c>
      <c r="X23" s="25">
        <v>1</v>
      </c>
      <c r="AA23" s="4"/>
      <c r="AB23" s="4"/>
      <c r="AC23" s="4"/>
      <c r="AD23" s="4"/>
      <c r="AE23" s="4"/>
      <c r="AF23" s="4"/>
      <c r="AG23" s="4"/>
      <c r="AH23" s="4"/>
      <c r="AI23" s="4"/>
    </row>
    <row r="24" spans="1:35" s="25" customFormat="1" ht="31.5">
      <c r="A24" s="4"/>
      <c r="B24" s="21">
        <f t="shared" si="2"/>
        <v>22</v>
      </c>
      <c r="C24" s="13" t="s">
        <v>4606</v>
      </c>
      <c r="D24" s="13" t="s">
        <v>4477</v>
      </c>
      <c r="E24" s="7"/>
      <c r="F24" s="7" t="s">
        <v>4216</v>
      </c>
      <c r="G24" s="7" t="s">
        <v>25</v>
      </c>
      <c r="H24" s="58"/>
      <c r="I24" s="23"/>
      <c r="J24" s="24"/>
      <c r="M24" s="4">
        <v>1</v>
      </c>
      <c r="N24" s="76"/>
      <c r="O24" s="76"/>
      <c r="P24" s="76" t="str">
        <f t="shared" si="4"/>
        <v>,metastatic_carcinoma_start_date</v>
      </c>
      <c r="Q24" s="76" t="str">
        <f t="shared" si="0"/>
        <v>DATE</v>
      </c>
      <c r="R24" s="76" t="str">
        <f t="shared" si="1"/>
        <v/>
      </c>
      <c r="S24" s="76" t="str">
        <f t="shared" si="5"/>
        <v/>
      </c>
      <c r="T24" s="76" t="str">
        <f t="shared" si="6"/>
        <v>-- 転移性充実性腫瘍_疾患開始日</v>
      </c>
      <c r="U24" s="4" t="str">
        <f t="shared" si="7"/>
        <v>,'metastatic_carcinoma_start_date'</v>
      </c>
      <c r="V24" s="25" t="str">
        <f t="shared" si="8"/>
        <v>,'metastatic_carcinoma_start_date' : '転移性充実性腫瘍_疾患開始日'</v>
      </c>
      <c r="X24" s="25">
        <v>1</v>
      </c>
      <c r="AA24" s="4"/>
      <c r="AB24" s="4"/>
      <c r="AC24" s="4"/>
      <c r="AD24" s="4"/>
      <c r="AE24" s="4"/>
      <c r="AF24" s="4"/>
      <c r="AG24" s="4"/>
      <c r="AH24" s="4"/>
      <c r="AI24" s="4"/>
    </row>
    <row r="25" spans="1:35" s="25" customFormat="1">
      <c r="A25" s="4"/>
      <c r="B25" s="21">
        <f t="shared" si="2"/>
        <v>23</v>
      </c>
      <c r="C25" s="13" t="s">
        <v>4607</v>
      </c>
      <c r="D25" s="13" t="s">
        <v>4478</v>
      </c>
      <c r="E25" s="7"/>
      <c r="F25" s="7" t="s">
        <v>4216</v>
      </c>
      <c r="G25" s="7" t="s">
        <v>25</v>
      </c>
      <c r="H25" s="58"/>
      <c r="I25" s="23"/>
      <c r="J25" s="24"/>
      <c r="M25" s="4">
        <v>1</v>
      </c>
      <c r="N25" s="76"/>
      <c r="O25" s="76"/>
      <c r="P25" s="76" t="str">
        <f t="shared" si="4"/>
        <v>,hiv_aids_start_date</v>
      </c>
      <c r="Q25" s="76" t="str">
        <f t="shared" si="0"/>
        <v>DATE</v>
      </c>
      <c r="R25" s="76" t="str">
        <f t="shared" si="1"/>
        <v/>
      </c>
      <c r="S25" s="76" t="str">
        <f t="shared" si="5"/>
        <v/>
      </c>
      <c r="T25" s="76" t="str">
        <f t="shared" si="6"/>
        <v>-- HIV/AIDS_疾患開始日</v>
      </c>
      <c r="U25" s="4" t="str">
        <f t="shared" si="7"/>
        <v>,'hiv_aids_start_date'</v>
      </c>
      <c r="V25" s="25" t="str">
        <f t="shared" si="8"/>
        <v>,'hiv_aids_start_date' : 'HIV/AIDS_疾患開始日'</v>
      </c>
      <c r="X25" s="25">
        <v>1</v>
      </c>
      <c r="AA25" s="4"/>
      <c r="AB25" s="4"/>
      <c r="AC25" s="4"/>
      <c r="AD25" s="4"/>
      <c r="AE25" s="4"/>
      <c r="AF25" s="4"/>
      <c r="AG25" s="4"/>
      <c r="AH25" s="4"/>
      <c r="AI25" s="4"/>
    </row>
    <row r="26" spans="1:35" s="25" customFormat="1">
      <c r="A26" s="4"/>
      <c r="B26" s="21">
        <f t="shared" si="2"/>
        <v>24</v>
      </c>
      <c r="C26" s="13" t="s">
        <v>4608</v>
      </c>
      <c r="D26" s="13" t="s">
        <v>4432</v>
      </c>
      <c r="E26" s="7"/>
      <c r="F26" s="7" t="s">
        <v>4609</v>
      </c>
      <c r="G26" s="7" t="str">
        <f t="shared" ref="G26" si="9">IF(F26="フラグ","boolean",IF(F26="文字列","text",IF(F26="整数","integer",IF(F26="実数","numeric",""))))</f>
        <v>text</v>
      </c>
      <c r="H26" s="58"/>
      <c r="I26" s="23" t="s">
        <v>127</v>
      </c>
      <c r="J26" s="24" t="s">
        <v>4637</v>
      </c>
      <c r="M26" s="4"/>
      <c r="N26" s="76"/>
      <c r="O26" s="76"/>
      <c r="P26" s="76" t="str">
        <f t="shared" si="4"/>
        <v>,nyu_gai_kubun</v>
      </c>
      <c r="Q26" s="76" t="str">
        <f t="shared" si="0"/>
        <v>TEXT</v>
      </c>
      <c r="R26" s="76" t="str">
        <f t="shared" si="1"/>
        <v/>
      </c>
      <c r="S26" s="76" t="str">
        <f t="shared" si="5"/>
        <v>NOT NULL</v>
      </c>
      <c r="T26" s="76" t="str">
        <f t="shared" si="6"/>
        <v>-- 入外区分</v>
      </c>
      <c r="U26" s="4" t="str">
        <f t="shared" si="7"/>
        <v>,'nyu_gai_kubun'</v>
      </c>
      <c r="V26" s="25" t="str">
        <f t="shared" si="8"/>
        <v>,'nyu_gai_kubun' : '入外区分'</v>
      </c>
      <c r="W26" s="25">
        <v>1</v>
      </c>
      <c r="AA26" s="4"/>
      <c r="AB26" s="4"/>
      <c r="AC26" s="4"/>
      <c r="AD26" s="4"/>
      <c r="AE26" s="4"/>
      <c r="AF26" s="4"/>
      <c r="AG26" s="4"/>
      <c r="AH26" s="4"/>
      <c r="AI26" s="4"/>
    </row>
    <row r="27" spans="1:35" s="25" customFormat="1">
      <c r="A27" s="4"/>
      <c r="B27" s="21">
        <f t="shared" si="2"/>
        <v>25</v>
      </c>
      <c r="C27" s="13" t="s">
        <v>4610</v>
      </c>
      <c r="D27" s="13" t="s">
        <v>4433</v>
      </c>
      <c r="E27" s="7"/>
      <c r="F27" s="7" t="s">
        <v>4216</v>
      </c>
      <c r="G27" s="7" t="s">
        <v>25</v>
      </c>
      <c r="H27" s="58"/>
      <c r="I27" s="23"/>
      <c r="J27" s="24"/>
      <c r="M27" s="4"/>
      <c r="N27" s="76"/>
      <c r="O27" s="76"/>
      <c r="P27" s="76" t="str">
        <f t="shared" si="4"/>
        <v>,raiin_ymd</v>
      </c>
      <c r="Q27" s="76" t="str">
        <f t="shared" si="0"/>
        <v>DATE</v>
      </c>
      <c r="R27" s="76" t="str">
        <f t="shared" si="1"/>
        <v/>
      </c>
      <c r="S27" s="76" t="str">
        <f t="shared" si="5"/>
        <v/>
      </c>
      <c r="T27" s="76" t="str">
        <f t="shared" si="6"/>
        <v>-- 来院年月日</v>
      </c>
      <c r="U27" s="4" t="str">
        <f t="shared" si="7"/>
        <v>,'raiin_ymd'</v>
      </c>
      <c r="V27" s="25" t="str">
        <f t="shared" si="8"/>
        <v>,'raiin_ymd' : '来院年月日'</v>
      </c>
      <c r="X27" s="25">
        <v>1</v>
      </c>
      <c r="AA27" s="4"/>
      <c r="AB27" s="4"/>
      <c r="AC27" s="4"/>
      <c r="AD27" s="4"/>
      <c r="AE27" s="4"/>
      <c r="AF27" s="4"/>
      <c r="AG27" s="4"/>
      <c r="AH27" s="4"/>
      <c r="AI27" s="4"/>
    </row>
    <row r="28" spans="1:35" s="25" customFormat="1">
      <c r="A28" s="4"/>
      <c r="B28" s="21">
        <f t="shared" si="2"/>
        <v>26</v>
      </c>
      <c r="C28" s="13" t="s">
        <v>4611</v>
      </c>
      <c r="D28" s="13" t="s">
        <v>212</v>
      </c>
      <c r="E28" s="7"/>
      <c r="F28" s="7" t="s">
        <v>4216</v>
      </c>
      <c r="G28" s="7" t="s">
        <v>25</v>
      </c>
      <c r="H28" s="58"/>
      <c r="I28" s="23"/>
      <c r="J28" s="24"/>
      <c r="N28" s="76"/>
      <c r="O28" s="76"/>
      <c r="P28" s="76" t="str">
        <f t="shared" si="4"/>
        <v>,taiin_ymd</v>
      </c>
      <c r="Q28" s="76" t="str">
        <f t="shared" si="0"/>
        <v>DATE</v>
      </c>
      <c r="R28" s="76" t="str">
        <f t="shared" si="1"/>
        <v/>
      </c>
      <c r="S28" s="76" t="str">
        <f t="shared" si="5"/>
        <v/>
      </c>
      <c r="T28" s="76" t="str">
        <f t="shared" si="6"/>
        <v>-- 退院年月日</v>
      </c>
      <c r="U28" s="4" t="str">
        <f t="shared" si="7"/>
        <v>,'taiin_ymd'</v>
      </c>
      <c r="V28" s="25" t="str">
        <f t="shared" si="8"/>
        <v>,'taiin_ymd' : '退院年月日'</v>
      </c>
      <c r="X28" s="25">
        <v>1</v>
      </c>
      <c r="AA28" s="4"/>
      <c r="AB28" s="4"/>
      <c r="AC28" s="4"/>
      <c r="AD28" s="4"/>
      <c r="AE28" s="4"/>
      <c r="AF28" s="4"/>
      <c r="AG28" s="4"/>
      <c r="AH28" s="4"/>
      <c r="AI28" s="4"/>
    </row>
    <row r="29" spans="1:35" s="25" customFormat="1">
      <c r="A29" s="4"/>
      <c r="B29" s="21">
        <f t="shared" si="2"/>
        <v>27</v>
      </c>
      <c r="C29" s="13" t="s">
        <v>4612</v>
      </c>
      <c r="D29" s="13" t="s">
        <v>4661</v>
      </c>
      <c r="E29" s="7" t="s">
        <v>127</v>
      </c>
      <c r="F29" s="7" t="s">
        <v>4216</v>
      </c>
      <c r="G29" s="7" t="s">
        <v>99</v>
      </c>
      <c r="H29" s="58"/>
      <c r="I29" s="23" t="s">
        <v>127</v>
      </c>
      <c r="J29" s="24"/>
      <c r="M29" s="4"/>
      <c r="N29" s="76"/>
      <c r="O29" s="76"/>
      <c r="P29" s="76" t="str">
        <f t="shared" si="4"/>
        <v>,event_date</v>
      </c>
      <c r="Q29" s="76" t="str">
        <f t="shared" si="0"/>
        <v>DATE</v>
      </c>
      <c r="R29" s="76" t="str">
        <f t="shared" si="1"/>
        <v/>
      </c>
      <c r="S29" s="76" t="str">
        <f t="shared" si="5"/>
        <v>NOT NULL</v>
      </c>
      <c r="T29" s="76" t="str">
        <f t="shared" si="6"/>
        <v>-- イベント日付</v>
      </c>
      <c r="U29" s="4" t="str">
        <f t="shared" si="7"/>
        <v>,'event_date'</v>
      </c>
      <c r="V29" s="25" t="str">
        <f t="shared" si="8"/>
        <v>,'event_date' : 'イベント日付'</v>
      </c>
      <c r="X29" s="25">
        <v>1</v>
      </c>
      <c r="AA29" s="4"/>
      <c r="AB29" s="4"/>
      <c r="AC29" s="4"/>
      <c r="AD29" s="4"/>
      <c r="AE29" s="4"/>
      <c r="AF29" s="4"/>
      <c r="AG29" s="4"/>
      <c r="AH29" s="4"/>
      <c r="AI29" s="4"/>
    </row>
    <row r="30" spans="1:35" s="25" customFormat="1">
      <c r="A30" s="4"/>
      <c r="B30" s="21">
        <f t="shared" si="2"/>
        <v>28</v>
      </c>
      <c r="C30" s="13" t="s">
        <v>4301</v>
      </c>
      <c r="D30" s="13" t="s">
        <v>4300</v>
      </c>
      <c r="E30" s="8" t="s">
        <v>127</v>
      </c>
      <c r="F30" s="7" t="s">
        <v>1990</v>
      </c>
      <c r="G30" s="7" t="str">
        <f t="shared" ref="G30:G37" si="10">IF(F30="フラグ","boolean",IF(F30="文字列","text",IF(F30="整数","integer",IF(F30="実数","numeric",""))))</f>
        <v>integer</v>
      </c>
      <c r="H30" s="58"/>
      <c r="I30" s="23" t="s">
        <v>127</v>
      </c>
      <c r="J30" s="24"/>
      <c r="M30" s="4"/>
      <c r="N30" s="76"/>
      <c r="O30" s="76"/>
      <c r="P30" s="76" t="str">
        <f t="shared" si="4"/>
        <v>,row_no</v>
      </c>
      <c r="Q30" s="76" t="str">
        <f t="shared" si="0"/>
        <v>INTEGER</v>
      </c>
      <c r="R30" s="76" t="str">
        <f t="shared" si="1"/>
        <v/>
      </c>
      <c r="S30" s="76" t="str">
        <f t="shared" si="5"/>
        <v>NOT NULL</v>
      </c>
      <c r="T30" s="76" t="str">
        <f t="shared" si="6"/>
        <v>-- 行番号</v>
      </c>
      <c r="U30" s="4" t="str">
        <f t="shared" si="7"/>
        <v>,'row_no'</v>
      </c>
      <c r="V30" s="25" t="str">
        <f t="shared" si="8"/>
        <v>,'row_no' : '行番号'</v>
      </c>
      <c r="W30" s="25">
        <v>1</v>
      </c>
      <c r="AA30" s="4"/>
      <c r="AB30" s="4"/>
      <c r="AC30" s="4"/>
      <c r="AD30" s="4"/>
      <c r="AE30" s="4"/>
      <c r="AF30" s="4"/>
      <c r="AG30" s="4"/>
      <c r="AH30" s="4"/>
      <c r="AI30" s="4"/>
    </row>
    <row r="31" spans="1:35" s="25" customFormat="1">
      <c r="A31" s="4"/>
      <c r="B31" s="21">
        <f t="shared" si="2"/>
        <v>29</v>
      </c>
      <c r="C31" s="13" t="s">
        <v>4613</v>
      </c>
      <c r="D31" s="13" t="s">
        <v>4509</v>
      </c>
      <c r="E31" s="7"/>
      <c r="F31" s="7" t="s">
        <v>4609</v>
      </c>
      <c r="G31" s="7" t="str">
        <f t="shared" si="10"/>
        <v>text</v>
      </c>
      <c r="H31" s="58"/>
      <c r="I31" s="23"/>
      <c r="J31" s="24" t="s">
        <v>4582</v>
      </c>
      <c r="M31" s="4"/>
      <c r="N31" s="76"/>
      <c r="O31" s="76"/>
      <c r="P31" s="76" t="str">
        <f t="shared" si="4"/>
        <v>,tp53</v>
      </c>
      <c r="Q31" s="76" t="str">
        <f t="shared" si="0"/>
        <v>TEXT</v>
      </c>
      <c r="R31" s="76" t="str">
        <f t="shared" si="1"/>
        <v/>
      </c>
      <c r="S31" s="76" t="str">
        <f t="shared" si="5"/>
        <v/>
      </c>
      <c r="T31" s="76" t="str">
        <f t="shared" si="6"/>
        <v>-- del（１７ｐ）</v>
      </c>
      <c r="U31" s="4" t="str">
        <f t="shared" si="7"/>
        <v>,'tp53'</v>
      </c>
      <c r="V31" s="25" t="str">
        <f t="shared" si="8"/>
        <v>,'tp53' : 'del（１７ｐ）'</v>
      </c>
      <c r="W31" s="25">
        <v>1</v>
      </c>
      <c r="AA31" s="4"/>
      <c r="AB31" s="4"/>
      <c r="AC31" s="4"/>
      <c r="AD31" s="4"/>
      <c r="AE31" s="4"/>
      <c r="AF31" s="4"/>
      <c r="AG31" s="4"/>
      <c r="AH31" s="4"/>
      <c r="AI31" s="4"/>
    </row>
    <row r="32" spans="1:35" s="25" customFormat="1">
      <c r="A32" s="4"/>
      <c r="B32" s="21">
        <f t="shared" si="2"/>
        <v>30</v>
      </c>
      <c r="C32" s="13" t="s">
        <v>4614</v>
      </c>
      <c r="D32" s="13" t="s">
        <v>4508</v>
      </c>
      <c r="E32" s="7"/>
      <c r="F32" s="7" t="s">
        <v>4609</v>
      </c>
      <c r="G32" s="7" t="str">
        <f t="shared" si="10"/>
        <v>text</v>
      </c>
      <c r="H32" s="58"/>
      <c r="I32" s="23"/>
      <c r="J32" s="24" t="s">
        <v>4582</v>
      </c>
      <c r="M32" s="4"/>
      <c r="N32" s="76"/>
      <c r="O32" s="76"/>
      <c r="P32" s="76" t="str">
        <f t="shared" si="4"/>
        <v>,igh_fgfr3</v>
      </c>
      <c r="Q32" s="76" t="str">
        <f t="shared" si="0"/>
        <v>TEXT</v>
      </c>
      <c r="R32" s="76" t="str">
        <f t="shared" si="1"/>
        <v/>
      </c>
      <c r="S32" s="76" t="str">
        <f t="shared" si="5"/>
        <v/>
      </c>
      <c r="T32" s="76" t="str">
        <f t="shared" si="6"/>
        <v>-- t（４；１４）</v>
      </c>
      <c r="U32" s="4" t="str">
        <f t="shared" si="7"/>
        <v>,'igh_fgfr3'</v>
      </c>
      <c r="V32" s="25" t="str">
        <f t="shared" si="8"/>
        <v>,'igh_fgfr3' : 't（４；１４）'</v>
      </c>
      <c r="W32" s="25">
        <v>1</v>
      </c>
      <c r="AA32" s="4"/>
      <c r="AB32" s="4"/>
      <c r="AC32" s="4"/>
      <c r="AD32" s="4"/>
      <c r="AE32" s="4"/>
      <c r="AF32" s="4"/>
      <c r="AG32" s="4"/>
      <c r="AH32" s="4"/>
      <c r="AI32" s="4"/>
    </row>
    <row r="33" spans="1:35" s="25" customFormat="1">
      <c r="A33" s="4"/>
      <c r="B33" s="21">
        <f t="shared" si="2"/>
        <v>31</v>
      </c>
      <c r="C33" s="13" t="s">
        <v>4615</v>
      </c>
      <c r="D33" s="13" t="s">
        <v>4581</v>
      </c>
      <c r="E33" s="7"/>
      <c r="F33" s="7" t="s">
        <v>4609</v>
      </c>
      <c r="G33" s="7" t="str">
        <f t="shared" si="10"/>
        <v>text</v>
      </c>
      <c r="H33" s="58"/>
      <c r="I33" s="23"/>
      <c r="J33" s="24" t="s">
        <v>4582</v>
      </c>
      <c r="M33" s="4"/>
      <c r="N33" s="76"/>
      <c r="O33" s="76"/>
      <c r="P33" s="76" t="str">
        <f t="shared" si="4"/>
        <v>,igh_maf</v>
      </c>
      <c r="Q33" s="76" t="str">
        <f t="shared" si="0"/>
        <v>TEXT</v>
      </c>
      <c r="R33" s="76" t="str">
        <f t="shared" si="1"/>
        <v/>
      </c>
      <c r="S33" s="76" t="str">
        <f t="shared" si="5"/>
        <v/>
      </c>
      <c r="T33" s="76" t="str">
        <f t="shared" si="6"/>
        <v>-- t（１４；１６）</v>
      </c>
      <c r="U33" s="4" t="str">
        <f t="shared" si="7"/>
        <v>,'igh_maf'</v>
      </c>
      <c r="V33" s="25" t="str">
        <f t="shared" si="8"/>
        <v>,'igh_maf' : 't（１４；１６）'</v>
      </c>
      <c r="W33" s="25">
        <v>1</v>
      </c>
      <c r="AA33" s="4"/>
      <c r="AB33" s="4"/>
      <c r="AC33" s="4"/>
      <c r="AD33" s="4"/>
      <c r="AE33" s="4"/>
      <c r="AF33" s="4"/>
      <c r="AG33" s="4"/>
      <c r="AH33" s="4"/>
      <c r="AI33" s="4"/>
    </row>
    <row r="34" spans="1:35" s="25" customFormat="1">
      <c r="A34" s="4"/>
      <c r="B34" s="21">
        <f t="shared" si="2"/>
        <v>32</v>
      </c>
      <c r="C34" s="13" t="s">
        <v>4616</v>
      </c>
      <c r="D34" s="13" t="s">
        <v>4579</v>
      </c>
      <c r="E34" s="7"/>
      <c r="F34" s="7" t="s">
        <v>4609</v>
      </c>
      <c r="G34" s="7" t="str">
        <f t="shared" si="10"/>
        <v>text</v>
      </c>
      <c r="H34" s="58"/>
      <c r="I34" s="23"/>
      <c r="J34" s="24" t="s">
        <v>4582</v>
      </c>
      <c r="N34" s="76"/>
      <c r="O34" s="76"/>
      <c r="P34" s="76" t="str">
        <f t="shared" si="4"/>
        <v>,gain_1q21</v>
      </c>
      <c r="Q34" s="76" t="str">
        <f t="shared" si="0"/>
        <v>TEXT</v>
      </c>
      <c r="R34" s="76" t="str">
        <f t="shared" si="1"/>
        <v/>
      </c>
      <c r="S34" s="76" t="str">
        <f t="shared" si="5"/>
        <v/>
      </c>
      <c r="T34" s="76" t="str">
        <f t="shared" si="6"/>
        <v>-- 1q21＋</v>
      </c>
      <c r="U34" s="4" t="str">
        <f t="shared" si="7"/>
        <v>,'gain_1q21'</v>
      </c>
      <c r="V34" s="25" t="str">
        <f t="shared" si="8"/>
        <v>,'gain_1q21' : '1q21＋'</v>
      </c>
      <c r="W34" s="25">
        <v>1</v>
      </c>
      <c r="AA34" s="4"/>
      <c r="AB34" s="4"/>
      <c r="AC34" s="4"/>
      <c r="AD34" s="4"/>
      <c r="AE34" s="4"/>
      <c r="AF34" s="4"/>
      <c r="AG34" s="4"/>
      <c r="AH34" s="4"/>
      <c r="AI34" s="4"/>
    </row>
    <row r="35" spans="1:35" s="25" customFormat="1" ht="37.5">
      <c r="A35" s="4"/>
      <c r="B35" s="21">
        <f t="shared" si="2"/>
        <v>33</v>
      </c>
      <c r="C35" s="13" t="s">
        <v>4617</v>
      </c>
      <c r="D35" s="13" t="s">
        <v>4344</v>
      </c>
      <c r="E35" s="7"/>
      <c r="F35" s="7" t="s">
        <v>4609</v>
      </c>
      <c r="G35" s="7" t="str">
        <f t="shared" si="10"/>
        <v>text</v>
      </c>
      <c r="H35" s="58"/>
      <c r="I35" s="23"/>
      <c r="J35" s="24" t="s">
        <v>4657</v>
      </c>
      <c r="M35" s="4"/>
      <c r="N35" s="76"/>
      <c r="O35" s="76"/>
      <c r="P35" s="76" t="str">
        <f t="shared" si="4"/>
        <v>,iyakuhin_ippan_name</v>
      </c>
      <c r="Q35" s="76" t="str">
        <f t="shared" si="0"/>
        <v>TEXT</v>
      </c>
      <c r="R35" s="76" t="str">
        <f t="shared" si="1"/>
        <v/>
      </c>
      <c r="S35" s="76" t="str">
        <f t="shared" si="5"/>
        <v/>
      </c>
      <c r="T35" s="76" t="str">
        <f t="shared" si="6"/>
        <v>-- 薬剤表示名</v>
      </c>
      <c r="U35" s="4" t="str">
        <f t="shared" si="7"/>
        <v>,'iyakuhin_ippan_name'</v>
      </c>
      <c r="V35" s="25" t="str">
        <f t="shared" si="8"/>
        <v>,'iyakuhin_ippan_name' : '薬剤表示名'</v>
      </c>
      <c r="W35" s="25">
        <v>1</v>
      </c>
      <c r="X35" s="25">
        <v>1</v>
      </c>
      <c r="Y35" s="25">
        <v>1</v>
      </c>
      <c r="AA35" s="4"/>
      <c r="AB35" s="4"/>
      <c r="AC35" s="4"/>
      <c r="AD35" s="4"/>
      <c r="AE35" s="4"/>
      <c r="AF35" s="4"/>
      <c r="AG35" s="4"/>
      <c r="AH35" s="4"/>
      <c r="AI35" s="4"/>
    </row>
    <row r="36" spans="1:35" s="25" customFormat="1">
      <c r="A36" s="4"/>
      <c r="B36" s="21">
        <f t="shared" si="2"/>
        <v>34</v>
      </c>
      <c r="C36" s="13" t="s">
        <v>4619</v>
      </c>
      <c r="D36" s="13" t="s">
        <v>4338</v>
      </c>
      <c r="E36" s="7"/>
      <c r="F36" s="7" t="s">
        <v>4200</v>
      </c>
      <c r="G36" s="7" t="str">
        <f t="shared" si="10"/>
        <v>numeric</v>
      </c>
      <c r="H36" s="58"/>
      <c r="I36" s="23"/>
      <c r="J36" s="24"/>
      <c r="M36" s="4"/>
      <c r="N36" s="76"/>
      <c r="O36" s="76"/>
      <c r="P36" s="76" t="str">
        <f t="shared" si="4"/>
        <v>,toyoryo</v>
      </c>
      <c r="Q36" s="76" t="str">
        <f t="shared" si="0"/>
        <v>NUMERIC</v>
      </c>
      <c r="R36" s="76" t="str">
        <f t="shared" si="1"/>
        <v/>
      </c>
      <c r="S36" s="76" t="str">
        <f t="shared" si="5"/>
        <v/>
      </c>
      <c r="T36" s="76" t="str">
        <f t="shared" si="6"/>
        <v>-- 投与量</v>
      </c>
      <c r="U36" s="4" t="str">
        <f t="shared" si="7"/>
        <v>,'toyoryo'</v>
      </c>
      <c r="V36" s="25" t="str">
        <f t="shared" si="8"/>
        <v>,'toyoryo' : '投与量'</v>
      </c>
      <c r="W36" s="25">
        <v>1</v>
      </c>
      <c r="X36" s="25">
        <v>1</v>
      </c>
      <c r="Y36" s="25">
        <v>1</v>
      </c>
      <c r="AA36" s="4"/>
      <c r="AB36" s="4"/>
      <c r="AC36" s="4"/>
      <c r="AD36" s="4"/>
      <c r="AE36" s="4"/>
      <c r="AF36" s="4"/>
      <c r="AG36" s="4"/>
      <c r="AH36" s="4"/>
      <c r="AI36" s="4"/>
    </row>
    <row r="37" spans="1:35" s="25" customFormat="1">
      <c r="A37" s="4"/>
      <c r="B37" s="21">
        <f t="shared" si="2"/>
        <v>35</v>
      </c>
      <c r="C37" s="13" t="s">
        <v>4620</v>
      </c>
      <c r="D37" s="13" t="s">
        <v>4339</v>
      </c>
      <c r="E37" s="7"/>
      <c r="F37" s="7" t="s">
        <v>1780</v>
      </c>
      <c r="G37" s="7" t="str">
        <f t="shared" si="10"/>
        <v>text</v>
      </c>
      <c r="H37" s="58"/>
      <c r="I37" s="23"/>
      <c r="J37" s="24"/>
      <c r="N37" s="76"/>
      <c r="O37" s="76"/>
      <c r="P37" s="76" t="str">
        <f t="shared" si="4"/>
        <v>,seibun_unit_name</v>
      </c>
      <c r="Q37" s="76" t="str">
        <f t="shared" si="0"/>
        <v>TEXT</v>
      </c>
      <c r="R37" s="76" t="str">
        <f t="shared" si="1"/>
        <v/>
      </c>
      <c r="S37" s="76" t="str">
        <f t="shared" si="5"/>
        <v/>
      </c>
      <c r="T37" s="76" t="str">
        <f t="shared" si="6"/>
        <v>-- 成分単位名称</v>
      </c>
      <c r="U37" s="4" t="str">
        <f t="shared" si="7"/>
        <v>,'seibun_unit_name'</v>
      </c>
      <c r="V37" s="25" t="str">
        <f t="shared" si="8"/>
        <v>,'seibun_unit_name' : '成分単位名称'</v>
      </c>
      <c r="W37" s="25">
        <v>1</v>
      </c>
      <c r="X37" s="25">
        <v>1</v>
      </c>
      <c r="Y37" s="25">
        <v>1</v>
      </c>
      <c r="AA37" s="4"/>
      <c r="AB37" s="4"/>
      <c r="AC37" s="4"/>
      <c r="AD37" s="4"/>
      <c r="AE37" s="4"/>
      <c r="AF37" s="4"/>
      <c r="AG37" s="4"/>
      <c r="AH37" s="4"/>
      <c r="AI37" s="4"/>
    </row>
    <row r="38" spans="1:35" s="25" customFormat="1">
      <c r="A38" s="4"/>
      <c r="B38" s="21">
        <f t="shared" si="2"/>
        <v>36</v>
      </c>
      <c r="C38" s="13" t="s">
        <v>4202</v>
      </c>
      <c r="D38" s="13" t="s">
        <v>4587</v>
      </c>
      <c r="E38" s="7"/>
      <c r="F38" s="7" t="s">
        <v>4302</v>
      </c>
      <c r="G38" s="7" t="str">
        <f>IF(F38="フラグ","boolean",IF(F38="文字列","text",IF(F38="整数","integer",IF(F38="実数","numeric",""))))</f>
        <v>integer</v>
      </c>
      <c r="H38" s="58"/>
      <c r="I38" s="23"/>
      <c r="J38" s="24"/>
      <c r="M38" s="4"/>
      <c r="N38" s="76"/>
      <c r="O38" s="76"/>
      <c r="P38" s="76" t="str">
        <f>IF(B38&lt;&gt;1,","&amp;D38,D38)</f>
        <v>,koi_times</v>
      </c>
      <c r="Q38" s="76" t="str">
        <f>UPPER(G38)</f>
        <v>INTEGER</v>
      </c>
      <c r="R38" s="76" t="str">
        <f>IF(H38&lt;&gt;"","default "&amp;IF(G38="text","'"&amp;H38&amp;"'",H38),"")</f>
        <v/>
      </c>
      <c r="S38" s="76" t="str">
        <f>IF(I38="○","NOT NULL","")</f>
        <v/>
      </c>
      <c r="T38" s="76" t="str">
        <f>"-- "&amp;C38</f>
        <v>-- 行為回数</v>
      </c>
      <c r="U38" s="4" t="str">
        <f t="shared" si="7"/>
        <v>,'koi_times'</v>
      </c>
      <c r="V38" s="25" t="str">
        <f t="shared" si="8"/>
        <v>,'koi_times' : '行為回数'</v>
      </c>
      <c r="W38" s="25">
        <v>1</v>
      </c>
      <c r="X38" s="25">
        <v>1</v>
      </c>
      <c r="Y38" s="25">
        <v>1</v>
      </c>
      <c r="AA38" s="4"/>
      <c r="AB38" s="4"/>
      <c r="AC38" s="4"/>
      <c r="AD38" s="4"/>
      <c r="AE38" s="4"/>
      <c r="AF38" s="4"/>
      <c r="AG38" s="4"/>
      <c r="AH38" s="4"/>
      <c r="AI38" s="4"/>
    </row>
    <row r="39" spans="1:35" s="25" customFormat="1">
      <c r="A39" s="4"/>
      <c r="B39" s="21">
        <f t="shared" si="2"/>
        <v>37</v>
      </c>
      <c r="C39" s="13" t="s">
        <v>4621</v>
      </c>
      <c r="D39" s="13" t="s">
        <v>4511</v>
      </c>
      <c r="E39" s="7"/>
      <c r="F39" s="7" t="s">
        <v>4200</v>
      </c>
      <c r="G39" s="7" t="str">
        <f>IF(F39="フラグ","boolean",IF(F39="文字列","text",IF(F39="整数","integer",IF(F39="実数","numeric",""))))</f>
        <v>numeric</v>
      </c>
      <c r="H39" s="58"/>
      <c r="I39" s="23"/>
      <c r="J39" s="24"/>
      <c r="M39" s="4"/>
      <c r="N39" s="76"/>
      <c r="O39" s="76"/>
      <c r="P39" s="76" t="str">
        <f>IF(B39&lt;&gt;1,","&amp;D39,D39)</f>
        <v>,ldh_value</v>
      </c>
      <c r="Q39" s="76" t="str">
        <f t="shared" ref="Q39:Q55" si="11">UPPER(G39)</f>
        <v>NUMERIC</v>
      </c>
      <c r="R39" s="76" t="str">
        <f t="shared" ref="R39:R55" si="12">IF(H39&lt;&gt;"","default "&amp;IF(G39="text","'"&amp;H39&amp;"'",H39),"")</f>
        <v/>
      </c>
      <c r="S39" s="76" t="str">
        <f t="shared" ref="S39:S55" si="13">IF(I39="○","NOT NULL","")</f>
        <v/>
      </c>
      <c r="T39" s="76" t="str">
        <f t="shared" ref="T39:T55" si="14">"-- "&amp;C39</f>
        <v>-- LDH_検査値</v>
      </c>
      <c r="U39" s="4" t="str">
        <f t="shared" si="7"/>
        <v>,'ldh_value'</v>
      </c>
      <c r="V39" s="25" t="str">
        <f>",max("&amp;D39&amp;")"</f>
        <v>,max(ldh_value)</v>
      </c>
      <c r="W39" s="25">
        <v>1</v>
      </c>
      <c r="AA39" s="4"/>
      <c r="AB39" s="4"/>
      <c r="AC39" s="4"/>
      <c r="AD39" s="4"/>
      <c r="AE39" s="4"/>
      <c r="AF39" s="4"/>
      <c r="AG39" s="4"/>
      <c r="AH39" s="4"/>
      <c r="AI39" s="4"/>
    </row>
    <row r="40" spans="1:35" s="25" customFormat="1">
      <c r="A40" s="4"/>
      <c r="B40" s="21">
        <f t="shared" si="2"/>
        <v>38</v>
      </c>
      <c r="C40" s="13" t="s">
        <v>4622</v>
      </c>
      <c r="D40" s="13" t="s">
        <v>4513</v>
      </c>
      <c r="E40" s="7"/>
      <c r="F40" s="7" t="s">
        <v>4200</v>
      </c>
      <c r="G40" s="7" t="str">
        <f t="shared" ref="G40:G47" si="15">IF(F40="フラグ","boolean",IF(F40="文字列","text",IF(F40="整数","integer",IF(F40="実数","numeric",""))))</f>
        <v>numeric</v>
      </c>
      <c r="H40" s="58"/>
      <c r="I40" s="23"/>
      <c r="J40" s="24"/>
      <c r="M40" s="4"/>
      <c r="N40" s="76"/>
      <c r="O40" s="76"/>
      <c r="P40" s="76" t="str">
        <f t="shared" ref="P40:P55" si="16">IF(B40&lt;&gt;1,","&amp;D40,D40)</f>
        <v>,albumin_value</v>
      </c>
      <c r="Q40" s="76" t="str">
        <f t="shared" si="11"/>
        <v>NUMERIC</v>
      </c>
      <c r="R40" s="76" t="str">
        <f t="shared" si="12"/>
        <v/>
      </c>
      <c r="S40" s="76" t="str">
        <f t="shared" si="13"/>
        <v/>
      </c>
      <c r="T40" s="76" t="str">
        <f t="shared" si="14"/>
        <v>-- アルブミン_検査値</v>
      </c>
      <c r="U40" s="4" t="str">
        <f t="shared" si="7"/>
        <v>,'albumin_value'</v>
      </c>
      <c r="V40" s="25" t="str">
        <f t="shared" ref="V40:V47" si="17">",max("&amp;D40&amp;")"</f>
        <v>,max(albumin_value)</v>
      </c>
      <c r="W40" s="25">
        <v>1</v>
      </c>
      <c r="AA40" s="4"/>
      <c r="AB40" s="4"/>
      <c r="AC40" s="4"/>
      <c r="AD40" s="4"/>
      <c r="AE40" s="4"/>
      <c r="AF40" s="4"/>
      <c r="AG40" s="4"/>
      <c r="AH40" s="4"/>
      <c r="AI40" s="4"/>
    </row>
    <row r="41" spans="1:35" s="25" customFormat="1">
      <c r="A41" s="4"/>
      <c r="B41" s="21">
        <f t="shared" si="2"/>
        <v>39</v>
      </c>
      <c r="C41" s="13" t="s">
        <v>4623</v>
      </c>
      <c r="D41" s="13" t="s">
        <v>4546</v>
      </c>
      <c r="E41" s="7"/>
      <c r="F41" s="7" t="s">
        <v>4200</v>
      </c>
      <c r="G41" s="7" t="str">
        <f t="shared" si="15"/>
        <v>numeric</v>
      </c>
      <c r="H41" s="58"/>
      <c r="I41" s="23"/>
      <c r="J41" s="24"/>
      <c r="M41" s="4"/>
      <c r="N41" s="76"/>
      <c r="O41" s="76"/>
      <c r="P41" s="76" t="str">
        <f t="shared" si="16"/>
        <v>,b2_microglobulin_value</v>
      </c>
      <c r="Q41" s="76" t="str">
        <f t="shared" si="11"/>
        <v>NUMERIC</v>
      </c>
      <c r="R41" s="76" t="str">
        <f t="shared" si="12"/>
        <v/>
      </c>
      <c r="S41" s="76" t="str">
        <f t="shared" si="13"/>
        <v/>
      </c>
      <c r="T41" s="76" t="str">
        <f t="shared" si="14"/>
        <v>-- β2ミクログロブリン_検査値</v>
      </c>
      <c r="U41" s="4" t="str">
        <f t="shared" si="7"/>
        <v>,'b2_microglobulin_value'</v>
      </c>
      <c r="V41" s="25" t="str">
        <f t="shared" si="17"/>
        <v>,max(b2_microglobulin_value)</v>
      </c>
      <c r="W41" s="25">
        <v>1</v>
      </c>
      <c r="AA41" s="4"/>
      <c r="AB41" s="4"/>
      <c r="AC41" s="4"/>
      <c r="AD41" s="4"/>
      <c r="AE41" s="4"/>
      <c r="AF41" s="4"/>
      <c r="AG41" s="4"/>
      <c r="AH41" s="4"/>
      <c r="AI41" s="4"/>
    </row>
    <row r="42" spans="1:35" s="25" customFormat="1">
      <c r="A42" s="4"/>
      <c r="B42" s="21">
        <f t="shared" si="2"/>
        <v>40</v>
      </c>
      <c r="C42" s="13" t="s">
        <v>4624</v>
      </c>
      <c r="D42" s="13" t="s">
        <v>4516</v>
      </c>
      <c r="E42" s="7"/>
      <c r="F42" s="7" t="s">
        <v>4200</v>
      </c>
      <c r="G42" s="7" t="str">
        <f t="shared" si="15"/>
        <v>numeric</v>
      </c>
      <c r="H42" s="58"/>
      <c r="I42" s="23"/>
      <c r="J42" s="24"/>
      <c r="M42" s="4"/>
      <c r="N42" s="76"/>
      <c r="O42" s="76"/>
      <c r="P42" s="76" t="str">
        <f t="shared" si="16"/>
        <v>,ast_value</v>
      </c>
      <c r="Q42" s="76" t="str">
        <f t="shared" si="11"/>
        <v>NUMERIC</v>
      </c>
      <c r="R42" s="76" t="str">
        <f t="shared" si="12"/>
        <v/>
      </c>
      <c r="S42" s="76" t="str">
        <f t="shared" si="13"/>
        <v/>
      </c>
      <c r="T42" s="76" t="str">
        <f t="shared" si="14"/>
        <v>-- AST_検査値</v>
      </c>
      <c r="U42" s="4" t="str">
        <f t="shared" si="7"/>
        <v>,'ast_value'</v>
      </c>
      <c r="V42" s="25" t="str">
        <f t="shared" si="17"/>
        <v>,max(ast_value)</v>
      </c>
      <c r="W42" s="25">
        <v>1</v>
      </c>
      <c r="AA42" s="4"/>
      <c r="AB42" s="4"/>
      <c r="AC42" s="4"/>
      <c r="AD42" s="4"/>
      <c r="AE42" s="4"/>
      <c r="AF42" s="4"/>
      <c r="AG42" s="4"/>
      <c r="AH42" s="4"/>
      <c r="AI42" s="4"/>
    </row>
    <row r="43" spans="1:35" s="25" customFormat="1">
      <c r="A43" s="4"/>
      <c r="B43" s="21">
        <f t="shared" si="2"/>
        <v>41</v>
      </c>
      <c r="C43" s="13" t="s">
        <v>4625</v>
      </c>
      <c r="D43" s="13" t="s">
        <v>4518</v>
      </c>
      <c r="E43" s="7"/>
      <c r="F43" s="7" t="s">
        <v>4200</v>
      </c>
      <c r="G43" s="7" t="str">
        <f t="shared" si="15"/>
        <v>numeric</v>
      </c>
      <c r="H43" s="58"/>
      <c r="I43" s="23"/>
      <c r="J43" s="24"/>
      <c r="M43" s="4"/>
      <c r="N43" s="76"/>
      <c r="O43" s="76"/>
      <c r="P43" s="76" t="str">
        <f t="shared" si="16"/>
        <v>,alt_value</v>
      </c>
      <c r="Q43" s="76" t="str">
        <f t="shared" si="11"/>
        <v>NUMERIC</v>
      </c>
      <c r="R43" s="76" t="str">
        <f t="shared" si="12"/>
        <v/>
      </c>
      <c r="S43" s="76" t="str">
        <f t="shared" si="13"/>
        <v/>
      </c>
      <c r="T43" s="76" t="str">
        <f t="shared" si="14"/>
        <v>-- ALT_検査値</v>
      </c>
      <c r="U43" s="4" t="str">
        <f t="shared" si="7"/>
        <v>,'alt_value'</v>
      </c>
      <c r="V43" s="25" t="str">
        <f t="shared" si="17"/>
        <v>,max(alt_value)</v>
      </c>
      <c r="W43" s="25">
        <v>1</v>
      </c>
      <c r="AA43" s="4"/>
      <c r="AB43" s="4"/>
      <c r="AC43" s="4"/>
      <c r="AD43" s="4"/>
      <c r="AE43" s="4"/>
      <c r="AF43" s="4"/>
      <c r="AG43" s="4"/>
      <c r="AH43" s="4"/>
      <c r="AI43" s="4"/>
    </row>
    <row r="44" spans="1:35" s="25" customFormat="1">
      <c r="A44" s="4"/>
      <c r="B44" s="21">
        <f t="shared" si="2"/>
        <v>42</v>
      </c>
      <c r="C44" s="13" t="s">
        <v>4647</v>
      </c>
      <c r="D44" s="13" t="s">
        <v>4651</v>
      </c>
      <c r="E44" s="7"/>
      <c r="F44" s="7" t="s">
        <v>4200</v>
      </c>
      <c r="G44" s="7" t="str">
        <f t="shared" si="15"/>
        <v>numeric</v>
      </c>
      <c r="H44" s="58"/>
      <c r="I44" s="23"/>
      <c r="J44" s="24"/>
      <c r="M44" s="4"/>
      <c r="N44" s="76"/>
      <c r="O44" s="76"/>
      <c r="P44" s="76" t="str">
        <f t="shared" si="16"/>
        <v>,all_bilirubin_value</v>
      </c>
      <c r="Q44" s="76" t="str">
        <f t="shared" si="11"/>
        <v>NUMERIC</v>
      </c>
      <c r="R44" s="76" t="str">
        <f t="shared" si="12"/>
        <v/>
      </c>
      <c r="S44" s="76" t="str">
        <f t="shared" si="13"/>
        <v/>
      </c>
      <c r="T44" s="76" t="str">
        <f t="shared" si="14"/>
        <v>-- 総ビリルビン_検査値</v>
      </c>
      <c r="U44" s="4" t="str">
        <f t="shared" si="7"/>
        <v>,'all_bilirubin_value'</v>
      </c>
      <c r="V44" s="25" t="str">
        <f t="shared" si="17"/>
        <v>,max(all_bilirubin_value)</v>
      </c>
      <c r="W44" s="25">
        <v>1</v>
      </c>
      <c r="AA44" s="4"/>
      <c r="AB44" s="4"/>
      <c r="AC44" s="4"/>
      <c r="AD44" s="4"/>
      <c r="AE44" s="4"/>
      <c r="AF44" s="4"/>
      <c r="AG44" s="4"/>
      <c r="AH44" s="4"/>
      <c r="AI44" s="4"/>
    </row>
    <row r="45" spans="1:35" s="25" customFormat="1">
      <c r="A45" s="4"/>
      <c r="B45" s="21">
        <f t="shared" si="2"/>
        <v>43</v>
      </c>
      <c r="C45" s="13" t="s">
        <v>4648</v>
      </c>
      <c r="D45" s="13" t="s">
        <v>4652</v>
      </c>
      <c r="E45" s="7"/>
      <c r="F45" s="7" t="s">
        <v>4200</v>
      </c>
      <c r="G45" s="7" t="str">
        <f t="shared" si="15"/>
        <v>numeric</v>
      </c>
      <c r="H45" s="58"/>
      <c r="I45" s="23"/>
      <c r="J45" s="24"/>
      <c r="M45" s="4"/>
      <c r="N45" s="76"/>
      <c r="O45" s="76"/>
      <c r="P45" s="76" t="str">
        <f t="shared" si="16"/>
        <v>,direct_bilirubin_value</v>
      </c>
      <c r="Q45" s="76" t="str">
        <f t="shared" si="11"/>
        <v>NUMERIC</v>
      </c>
      <c r="R45" s="76" t="str">
        <f t="shared" si="12"/>
        <v/>
      </c>
      <c r="S45" s="76" t="str">
        <f t="shared" si="13"/>
        <v/>
      </c>
      <c r="T45" s="76" t="str">
        <f t="shared" si="14"/>
        <v>-- 直接ビリルビン_検査値</v>
      </c>
      <c r="U45" s="4" t="str">
        <f t="shared" si="7"/>
        <v>,'direct_bilirubin_value'</v>
      </c>
      <c r="V45" s="25" t="str">
        <f t="shared" si="17"/>
        <v>,max(direct_bilirubin_value)</v>
      </c>
      <c r="W45" s="25">
        <v>1</v>
      </c>
      <c r="AA45" s="4"/>
      <c r="AB45" s="4"/>
      <c r="AC45" s="4"/>
      <c r="AD45" s="4"/>
      <c r="AE45" s="4"/>
      <c r="AF45" s="4"/>
      <c r="AG45" s="4"/>
      <c r="AH45" s="4"/>
      <c r="AI45" s="4"/>
    </row>
    <row r="46" spans="1:35" s="25" customFormat="1">
      <c r="A46" s="4"/>
      <c r="B46" s="21">
        <f t="shared" si="2"/>
        <v>44</v>
      </c>
      <c r="C46" s="13" t="s">
        <v>4626</v>
      </c>
      <c r="D46" s="13" t="s">
        <v>4520</v>
      </c>
      <c r="E46" s="7"/>
      <c r="F46" s="7" t="s">
        <v>4200</v>
      </c>
      <c r="G46" s="7" t="str">
        <f t="shared" si="15"/>
        <v>numeric</v>
      </c>
      <c r="H46" s="58"/>
      <c r="I46" s="23"/>
      <c r="J46" s="24"/>
      <c r="M46" s="4"/>
      <c r="N46" s="76"/>
      <c r="O46" s="76"/>
      <c r="P46" s="76" t="str">
        <f t="shared" si="16"/>
        <v>,bun_value</v>
      </c>
      <c r="Q46" s="76" t="str">
        <f t="shared" si="11"/>
        <v>NUMERIC</v>
      </c>
      <c r="R46" s="76" t="str">
        <f t="shared" si="12"/>
        <v/>
      </c>
      <c r="S46" s="76" t="str">
        <f t="shared" si="13"/>
        <v/>
      </c>
      <c r="T46" s="76" t="str">
        <f t="shared" si="14"/>
        <v>-- BUN_検査値</v>
      </c>
      <c r="U46" s="4" t="str">
        <f t="shared" si="7"/>
        <v>,'bun_value'</v>
      </c>
      <c r="V46" s="25" t="str">
        <f t="shared" si="17"/>
        <v>,max(bun_value)</v>
      </c>
      <c r="W46" s="25">
        <v>1</v>
      </c>
      <c r="AA46" s="4"/>
      <c r="AB46" s="4"/>
      <c r="AC46" s="4"/>
      <c r="AD46" s="4"/>
      <c r="AE46" s="4"/>
      <c r="AF46" s="4"/>
      <c r="AG46" s="4"/>
      <c r="AH46" s="4"/>
      <c r="AI46" s="4"/>
    </row>
    <row r="47" spans="1:35" s="25" customFormat="1">
      <c r="A47" s="4"/>
      <c r="B47" s="21">
        <f t="shared" si="2"/>
        <v>45</v>
      </c>
      <c r="C47" s="13" t="s">
        <v>4627</v>
      </c>
      <c r="D47" s="13" t="s">
        <v>4522</v>
      </c>
      <c r="E47" s="7"/>
      <c r="F47" s="7" t="s">
        <v>4200</v>
      </c>
      <c r="G47" s="7" t="str">
        <f t="shared" si="15"/>
        <v>numeric</v>
      </c>
      <c r="H47" s="58"/>
      <c r="I47" s="23"/>
      <c r="J47" s="24"/>
      <c r="M47" s="4"/>
      <c r="N47" s="76"/>
      <c r="O47" s="76"/>
      <c r="P47" s="76" t="str">
        <f t="shared" si="16"/>
        <v>,egfr_value</v>
      </c>
      <c r="Q47" s="76" t="str">
        <f t="shared" si="11"/>
        <v>NUMERIC</v>
      </c>
      <c r="R47" s="76" t="str">
        <f t="shared" si="12"/>
        <v/>
      </c>
      <c r="S47" s="76" t="str">
        <f t="shared" si="13"/>
        <v/>
      </c>
      <c r="T47" s="76" t="str">
        <f t="shared" si="14"/>
        <v>-- eGFR_検査値</v>
      </c>
      <c r="U47" s="4" t="str">
        <f t="shared" si="7"/>
        <v>,'egfr_value'</v>
      </c>
      <c r="V47" s="25" t="str">
        <f t="shared" si="17"/>
        <v>,max(egfr_value)</v>
      </c>
      <c r="W47" s="25">
        <v>1</v>
      </c>
      <c r="AA47" s="4"/>
      <c r="AB47" s="4"/>
      <c r="AC47" s="4"/>
      <c r="AD47" s="4"/>
      <c r="AE47" s="4"/>
      <c r="AF47" s="4"/>
      <c r="AG47" s="4"/>
      <c r="AH47" s="4"/>
      <c r="AI47" s="4"/>
    </row>
    <row r="48" spans="1:35" s="25" customFormat="1" ht="31.5">
      <c r="A48" s="4"/>
      <c r="B48" s="21">
        <f t="shared" si="2"/>
        <v>46</v>
      </c>
      <c r="C48" s="13" t="s">
        <v>4628</v>
      </c>
      <c r="D48" s="13" t="s">
        <v>4539</v>
      </c>
      <c r="E48" s="7"/>
      <c r="F48" s="7" t="s">
        <v>4176</v>
      </c>
      <c r="G48" s="7" t="str">
        <f>IF(F48="フラグ","boolean",IF(F48="文字列","text",IF(F48="整数","integer",IF(F48="実数","numeric",""))))</f>
        <v>text</v>
      </c>
      <c r="H48" s="58"/>
      <c r="I48" s="23"/>
      <c r="J48" s="24"/>
      <c r="M48" s="4"/>
      <c r="N48" s="76"/>
      <c r="O48" s="76"/>
      <c r="P48" s="76" t="str">
        <f t="shared" si="16"/>
        <v>,ct_fish_flg</v>
      </c>
      <c r="Q48" s="76" t="str">
        <f t="shared" si="11"/>
        <v>TEXT</v>
      </c>
      <c r="R48" s="76" t="str">
        <f t="shared" si="12"/>
        <v/>
      </c>
      <c r="S48" s="76" t="str">
        <f t="shared" si="13"/>
        <v/>
      </c>
      <c r="T48" s="76" t="str">
        <f t="shared" si="14"/>
        <v>-- 染色体検査（ＦＩＳＨ法）_実施有無</v>
      </c>
      <c r="U48" s="4" t="str">
        <f t="shared" si="7"/>
        <v>,'ct_fish_flg'</v>
      </c>
      <c r="W48" s="25">
        <v>1</v>
      </c>
      <c r="AA48" s="4"/>
      <c r="AB48" s="4"/>
      <c r="AC48" s="4"/>
      <c r="AD48" s="4"/>
      <c r="AE48" s="4"/>
      <c r="AF48" s="4"/>
      <c r="AG48" s="4"/>
      <c r="AH48" s="4"/>
      <c r="AI48" s="4"/>
    </row>
    <row r="49" spans="1:42" s="25" customFormat="1">
      <c r="A49" s="4"/>
      <c r="B49" s="21">
        <f t="shared" si="2"/>
        <v>47</v>
      </c>
      <c r="C49" s="13" t="s">
        <v>4629</v>
      </c>
      <c r="D49" s="13" t="s">
        <v>4540</v>
      </c>
      <c r="E49" s="7"/>
      <c r="F49" s="7" t="s">
        <v>4176</v>
      </c>
      <c r="G49" s="7" t="str">
        <f t="shared" ref="G49:G55" si="18">IF(F49="フラグ","boolean",IF(F49="文字列","text",IF(F49="整数","integer",IF(F49="実数","numeric",""))))</f>
        <v>text</v>
      </c>
      <c r="H49" s="58"/>
      <c r="I49" s="23"/>
      <c r="J49" s="24"/>
      <c r="M49" s="4"/>
      <c r="N49" s="76"/>
      <c r="O49" s="76"/>
      <c r="P49" s="76" t="str">
        <f t="shared" si="16"/>
        <v>,ct_etc_flg</v>
      </c>
      <c r="Q49" s="76" t="str">
        <f t="shared" si="11"/>
        <v>TEXT</v>
      </c>
      <c r="R49" s="76" t="str">
        <f t="shared" si="12"/>
        <v/>
      </c>
      <c r="S49" s="76" t="str">
        <f t="shared" si="13"/>
        <v/>
      </c>
      <c r="T49" s="76" t="str">
        <f t="shared" si="14"/>
        <v>-- 染色体検査（その他）_実施有無</v>
      </c>
      <c r="U49" s="4" t="str">
        <f t="shared" si="7"/>
        <v>,'ct_etc_flg'</v>
      </c>
      <c r="W49" s="25">
        <v>1</v>
      </c>
      <c r="AA49" s="4"/>
      <c r="AB49" s="4"/>
      <c r="AC49" s="4"/>
      <c r="AD49" s="4"/>
      <c r="AE49" s="4"/>
      <c r="AF49" s="4"/>
      <c r="AG49" s="4"/>
      <c r="AH49" s="4"/>
      <c r="AI49" s="4"/>
    </row>
    <row r="50" spans="1:42" s="25" customFormat="1" ht="31.5">
      <c r="A50" s="4"/>
      <c r="B50" s="21">
        <f t="shared" si="2"/>
        <v>48</v>
      </c>
      <c r="C50" s="13" t="s">
        <v>4630</v>
      </c>
      <c r="D50" s="13" t="s">
        <v>4541</v>
      </c>
      <c r="E50" s="7"/>
      <c r="F50" s="7" t="s">
        <v>4176</v>
      </c>
      <c r="G50" s="7" t="str">
        <f t="shared" si="18"/>
        <v>text</v>
      </c>
      <c r="H50" s="58"/>
      <c r="I50" s="23"/>
      <c r="J50" s="24"/>
      <c r="M50" s="4"/>
      <c r="N50" s="76"/>
      <c r="O50" s="76"/>
      <c r="P50" s="76" t="str">
        <f t="shared" si="16"/>
        <v>,pma_ct_flg</v>
      </c>
      <c r="Q50" s="76" t="str">
        <f t="shared" si="11"/>
        <v>TEXT</v>
      </c>
      <c r="R50" s="76" t="str">
        <f t="shared" si="12"/>
        <v/>
      </c>
      <c r="S50" s="76" t="str">
        <f t="shared" si="13"/>
        <v/>
      </c>
      <c r="T50" s="76" t="str">
        <f t="shared" si="14"/>
        <v>-- 分染法加算（染色体検査）_実施有無</v>
      </c>
      <c r="U50" s="4" t="str">
        <f t="shared" si="7"/>
        <v>,'pma_ct_flg'</v>
      </c>
      <c r="W50" s="25">
        <v>1</v>
      </c>
      <c r="AA50" s="4"/>
      <c r="AB50" s="4"/>
      <c r="AC50" s="4"/>
      <c r="AD50" s="4"/>
      <c r="AE50" s="4"/>
      <c r="AF50" s="4"/>
      <c r="AG50" s="4"/>
      <c r="AH50" s="4"/>
      <c r="AI50" s="4"/>
    </row>
    <row r="51" spans="1:42" s="25" customFormat="1" ht="31.5">
      <c r="A51" s="4"/>
      <c r="B51" s="21">
        <f t="shared" si="2"/>
        <v>49</v>
      </c>
      <c r="C51" s="13" t="s">
        <v>4631</v>
      </c>
      <c r="D51" s="13" t="s">
        <v>4544</v>
      </c>
      <c r="E51" s="7"/>
      <c r="F51" s="7" t="s">
        <v>4176</v>
      </c>
      <c r="G51" s="7" t="str">
        <f t="shared" si="18"/>
        <v>text</v>
      </c>
      <c r="H51" s="58"/>
      <c r="I51" s="23"/>
      <c r="J51" s="24"/>
      <c r="M51" s="4"/>
      <c r="N51" s="76"/>
      <c r="O51" s="76"/>
      <c r="P51" s="76" t="str">
        <f t="shared" si="16"/>
        <v>,bmt_allogeneic_flg</v>
      </c>
      <c r="Q51" s="76" t="str">
        <f t="shared" si="11"/>
        <v>TEXT</v>
      </c>
      <c r="R51" s="76" t="str">
        <f t="shared" si="12"/>
        <v/>
      </c>
      <c r="S51" s="76" t="str">
        <f t="shared" si="13"/>
        <v/>
      </c>
      <c r="T51" s="76" t="str">
        <f t="shared" si="14"/>
        <v>-- 造血幹細胞移植（骨髄移植）（同種移植）_実施有無</v>
      </c>
      <c r="U51" s="4" t="str">
        <f t="shared" si="7"/>
        <v>,'bmt_allogeneic_flg'</v>
      </c>
      <c r="W51" s="25">
        <v>1</v>
      </c>
      <c r="AA51" s="4"/>
      <c r="AB51" s="4"/>
      <c r="AC51" s="4"/>
      <c r="AD51" s="4"/>
      <c r="AE51" s="4"/>
      <c r="AF51" s="4"/>
      <c r="AG51" s="4"/>
      <c r="AH51" s="4"/>
      <c r="AI51" s="4"/>
    </row>
    <row r="52" spans="1:42" s="25" customFormat="1" ht="31.5">
      <c r="A52" s="4"/>
      <c r="B52" s="21">
        <f t="shared" si="2"/>
        <v>50</v>
      </c>
      <c r="C52" s="13" t="s">
        <v>4632</v>
      </c>
      <c r="D52" s="13" t="s">
        <v>4547</v>
      </c>
      <c r="E52" s="7"/>
      <c r="F52" s="7" t="s">
        <v>4176</v>
      </c>
      <c r="G52" s="7" t="str">
        <f t="shared" si="18"/>
        <v>text</v>
      </c>
      <c r="H52" s="58"/>
      <c r="I52" s="23"/>
      <c r="J52" s="24"/>
      <c r="M52" s="4"/>
      <c r="N52" s="76"/>
      <c r="O52" s="76"/>
      <c r="P52" s="76" t="str">
        <f t="shared" si="16"/>
        <v>,bmt_autologous_flg</v>
      </c>
      <c r="Q52" s="76" t="str">
        <f t="shared" si="11"/>
        <v>TEXT</v>
      </c>
      <c r="R52" s="76" t="str">
        <f t="shared" si="12"/>
        <v/>
      </c>
      <c r="S52" s="76" t="str">
        <f t="shared" si="13"/>
        <v/>
      </c>
      <c r="T52" s="76" t="str">
        <f t="shared" si="14"/>
        <v>-- 造血幹細胞移植（骨髄移植）（自家移植）_実施有無</v>
      </c>
      <c r="U52" s="4" t="str">
        <f t="shared" si="7"/>
        <v>,'bmt_autologous_flg'</v>
      </c>
      <c r="W52" s="25">
        <v>1</v>
      </c>
      <c r="AA52" s="4"/>
      <c r="AB52" s="4"/>
      <c r="AC52" s="4"/>
      <c r="AD52" s="4"/>
      <c r="AE52" s="4"/>
      <c r="AF52" s="4"/>
      <c r="AG52" s="4"/>
      <c r="AH52" s="4"/>
      <c r="AI52" s="4"/>
    </row>
    <row r="53" spans="1:42" s="25" customFormat="1" ht="31.5">
      <c r="A53" s="4"/>
      <c r="B53" s="21">
        <f t="shared" si="2"/>
        <v>51</v>
      </c>
      <c r="C53" s="13" t="s">
        <v>4633</v>
      </c>
      <c r="D53" s="13" t="s">
        <v>4548</v>
      </c>
      <c r="E53" s="7"/>
      <c r="F53" s="7" t="s">
        <v>4176</v>
      </c>
      <c r="G53" s="7" t="str">
        <f t="shared" si="18"/>
        <v>text</v>
      </c>
      <c r="H53" s="58"/>
      <c r="I53" s="23"/>
      <c r="J53" s="24"/>
      <c r="M53" s="4"/>
      <c r="N53" s="76"/>
      <c r="O53" s="76"/>
      <c r="P53" s="76" t="str">
        <f t="shared" si="16"/>
        <v>,pbsct_autologous_flg</v>
      </c>
      <c r="Q53" s="76" t="str">
        <f t="shared" si="11"/>
        <v>TEXT</v>
      </c>
      <c r="R53" s="76" t="str">
        <f t="shared" si="12"/>
        <v/>
      </c>
      <c r="S53" s="76" t="str">
        <f t="shared" si="13"/>
        <v/>
      </c>
      <c r="T53" s="76" t="str">
        <f t="shared" si="14"/>
        <v>-- 造血幹細胞移植（末梢血幹細胞移植）（自家移植）_実施有無</v>
      </c>
      <c r="U53" s="4" t="str">
        <f t="shared" si="7"/>
        <v>,'pbsct_autologous_flg'</v>
      </c>
      <c r="W53" s="25">
        <v>1</v>
      </c>
      <c r="AA53" s="4"/>
      <c r="AB53" s="4"/>
      <c r="AC53" s="4"/>
      <c r="AD53" s="4"/>
      <c r="AE53" s="4"/>
      <c r="AF53" s="4"/>
      <c r="AG53" s="4"/>
      <c r="AH53" s="4"/>
      <c r="AI53" s="4"/>
    </row>
    <row r="54" spans="1:42" s="25" customFormat="1" ht="31.5">
      <c r="A54" s="4"/>
      <c r="B54" s="21">
        <f t="shared" si="2"/>
        <v>52</v>
      </c>
      <c r="C54" s="13" t="s">
        <v>4634</v>
      </c>
      <c r="D54" s="13" t="s">
        <v>4559</v>
      </c>
      <c r="E54" s="7"/>
      <c r="F54" s="7" t="s">
        <v>4176</v>
      </c>
      <c r="G54" s="7" t="str">
        <f t="shared" si="18"/>
        <v>text</v>
      </c>
      <c r="H54" s="58"/>
      <c r="I54" s="23"/>
      <c r="J54" s="24"/>
      <c r="M54" s="4"/>
      <c r="N54" s="76"/>
      <c r="O54" s="76"/>
      <c r="P54" s="76" t="str">
        <f t="shared" si="16"/>
        <v>,pbsct_allogeneic_flg</v>
      </c>
      <c r="Q54" s="76" t="str">
        <f t="shared" si="11"/>
        <v>TEXT</v>
      </c>
      <c r="R54" s="76" t="str">
        <f t="shared" si="12"/>
        <v/>
      </c>
      <c r="S54" s="76" t="str">
        <f t="shared" si="13"/>
        <v/>
      </c>
      <c r="T54" s="76" t="str">
        <f t="shared" si="14"/>
        <v>-- 造血幹細胞移植（末梢血幹細胞移植）（同種移植）_実施有無</v>
      </c>
      <c r="U54" s="4" t="str">
        <f t="shared" si="7"/>
        <v>,'pbsct_allogeneic_flg'</v>
      </c>
      <c r="W54" s="25">
        <v>1</v>
      </c>
      <c r="AA54" s="4"/>
      <c r="AB54" s="4"/>
      <c r="AC54" s="4"/>
      <c r="AD54" s="4"/>
      <c r="AE54" s="4"/>
      <c r="AF54" s="4"/>
      <c r="AG54" s="4"/>
      <c r="AH54" s="4"/>
      <c r="AI54" s="4"/>
    </row>
    <row r="55" spans="1:42" s="25" customFormat="1" ht="32.25" thickBot="1">
      <c r="A55" s="4"/>
      <c r="B55" s="21">
        <f t="shared" si="2"/>
        <v>53</v>
      </c>
      <c r="C55" s="57" t="s">
        <v>4537</v>
      </c>
      <c r="D55" s="57" t="s">
        <v>4543</v>
      </c>
      <c r="E55" s="56"/>
      <c r="F55" s="56" t="s">
        <v>4176</v>
      </c>
      <c r="G55" s="56" t="str">
        <f t="shared" si="18"/>
        <v>text</v>
      </c>
      <c r="H55" s="59"/>
      <c r="I55" s="60"/>
      <c r="J55" s="64"/>
      <c r="N55" s="76"/>
      <c r="O55" s="76"/>
      <c r="P55" s="76" t="str">
        <f t="shared" si="16"/>
        <v>,ucbt_flg</v>
      </c>
      <c r="Q55" s="76" t="str">
        <f t="shared" si="11"/>
        <v>TEXT</v>
      </c>
      <c r="R55" s="76" t="str">
        <f t="shared" si="12"/>
        <v/>
      </c>
      <c r="S55" s="76" t="str">
        <f t="shared" si="13"/>
        <v/>
      </c>
      <c r="T55" s="76" t="str">
        <f t="shared" si="14"/>
        <v>-- 造血幹細胞移植（臍帯血移植）_実施有無</v>
      </c>
      <c r="U55" s="4" t="str">
        <f t="shared" si="7"/>
        <v>,'ucbt_flg'</v>
      </c>
      <c r="W55" s="25">
        <v>1</v>
      </c>
      <c r="AA55" s="4"/>
      <c r="AB55" s="4"/>
      <c r="AC55" s="4"/>
      <c r="AD55" s="4"/>
      <c r="AE55" s="4"/>
      <c r="AF55" s="4"/>
      <c r="AG55" s="4"/>
      <c r="AH55" s="4"/>
      <c r="AI55" s="4"/>
    </row>
    <row r="56" spans="1:42">
      <c r="L56" s="25"/>
      <c r="M56" s="25"/>
      <c r="N56" s="76" t="s">
        <v>142</v>
      </c>
      <c r="O56" s="76"/>
      <c r="P56" s="76"/>
      <c r="Q56" s="76"/>
      <c r="R56" s="76"/>
      <c r="S56" s="76"/>
      <c r="T56" s="76"/>
      <c r="V56" s="25"/>
      <c r="W56" s="25"/>
      <c r="X56" s="25"/>
      <c r="Y56" s="25"/>
      <c r="Z56" s="25"/>
      <c r="AJ56" s="25"/>
      <c r="AK56" s="25"/>
      <c r="AL56" s="25"/>
      <c r="AM56" s="25"/>
      <c r="AN56" s="25"/>
      <c r="AO56" s="25"/>
      <c r="AP56" s="25"/>
    </row>
    <row r="57" spans="1:42">
      <c r="L57" s="25"/>
      <c r="M57" s="25"/>
      <c r="AJ57" s="25"/>
      <c r="AK57" s="25"/>
      <c r="AL57" s="25"/>
      <c r="AM57" s="25"/>
      <c r="AN57" s="25"/>
      <c r="AO57" s="25"/>
      <c r="AP57" s="25"/>
    </row>
    <row r="58" spans="1:42">
      <c r="L58" s="25"/>
      <c r="M58" s="25"/>
      <c r="AJ58" s="25"/>
      <c r="AK58" s="25"/>
      <c r="AL58" s="25"/>
      <c r="AM58" s="25"/>
      <c r="AN58" s="25"/>
      <c r="AO58" s="25"/>
      <c r="AP58" s="25"/>
    </row>
    <row r="59" spans="1:42">
      <c r="L59" s="25"/>
      <c r="M59" s="25"/>
      <c r="AJ59" s="25"/>
      <c r="AK59" s="25"/>
      <c r="AL59" s="25"/>
      <c r="AM59" s="25"/>
      <c r="AN59" s="25"/>
      <c r="AO59" s="25"/>
      <c r="AP59" s="25"/>
    </row>
    <row r="60" spans="1:42">
      <c r="L60" s="25"/>
      <c r="M60" s="25"/>
      <c r="AJ60" s="25"/>
      <c r="AK60" s="25"/>
      <c r="AL60" s="25"/>
      <c r="AM60" s="25"/>
      <c r="AN60" s="25"/>
      <c r="AO60" s="25"/>
      <c r="AP60" s="25"/>
    </row>
    <row r="61" spans="1:42">
      <c r="L61" s="25"/>
      <c r="M61" s="25"/>
      <c r="AJ61" s="25"/>
      <c r="AK61" s="25"/>
      <c r="AL61" s="25"/>
      <c r="AM61" s="25"/>
      <c r="AN61" s="25"/>
      <c r="AO61" s="25"/>
      <c r="AP61" s="25"/>
    </row>
    <row r="62" spans="1:42">
      <c r="L62" s="25"/>
      <c r="M62" s="25"/>
      <c r="AJ62" s="25"/>
      <c r="AK62" s="25"/>
      <c r="AL62" s="25"/>
      <c r="AM62" s="25"/>
      <c r="AN62" s="25"/>
      <c r="AO62" s="25"/>
      <c r="AP62" s="25"/>
    </row>
    <row r="63" spans="1:42">
      <c r="L63" s="25"/>
      <c r="M63" s="25"/>
      <c r="AJ63" s="25"/>
      <c r="AK63" s="25"/>
      <c r="AL63" s="25"/>
      <c r="AM63" s="25"/>
      <c r="AN63" s="25"/>
      <c r="AO63" s="25"/>
      <c r="AP63" s="25"/>
    </row>
    <row r="64" spans="1:42">
      <c r="L64" s="25"/>
      <c r="M64" s="25"/>
      <c r="AJ64" s="25"/>
      <c r="AK64" s="25"/>
      <c r="AL64" s="25"/>
      <c r="AM64" s="25"/>
      <c r="AN64" s="25"/>
      <c r="AO64" s="25"/>
      <c r="AP64" s="25"/>
    </row>
    <row r="65" spans="12:42">
      <c r="L65" s="25"/>
      <c r="M65" s="25"/>
      <c r="AJ65" s="25"/>
      <c r="AK65" s="25"/>
      <c r="AL65" s="25"/>
      <c r="AM65" s="25"/>
      <c r="AN65" s="25"/>
      <c r="AO65" s="25"/>
      <c r="AP65" s="25"/>
    </row>
    <row r="66" spans="12:42">
      <c r="L66" s="25"/>
      <c r="M66" s="25"/>
      <c r="AL66" s="25"/>
      <c r="AM66" s="25"/>
      <c r="AN66" s="25"/>
      <c r="AO66" s="25"/>
      <c r="AP66" s="25"/>
    </row>
    <row r="67" spans="12:42">
      <c r="M67" s="25"/>
    </row>
    <row r="68" spans="12:42">
      <c r="M68" s="25"/>
    </row>
    <row r="69" spans="12:42">
      <c r="M69" s="25"/>
    </row>
    <row r="70" spans="12:42">
      <c r="M70" s="25"/>
    </row>
    <row r="71" spans="12:42">
      <c r="M71" s="25"/>
    </row>
    <row r="72" spans="12:42">
      <c r="M72" s="25"/>
    </row>
  </sheetData>
  <autoFilter ref="A2:AP55"/>
  <phoneticPr fontId="8"/>
  <pageMargins left="0.7" right="0.7" top="0.75" bottom="0.75" header="0.3" footer="0.3"/>
  <pageSetup paperSize="0" orientation="portrait" horizontalDpi="0" verticalDpi="0" copies="0"/>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25"/>
  <sheetViews>
    <sheetView showGridLines="0" topLeftCell="A892" zoomScale="85" zoomScaleNormal="85" workbookViewId="0">
      <selection activeCell="A14" sqref="A14:XFD90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ENT_61_10</v>
      </c>
      <c r="E6" s="273"/>
      <c r="F6" s="273"/>
      <c r="G6" s="273"/>
      <c r="H6" s="273"/>
      <c r="I6" s="273"/>
      <c r="J6" s="274"/>
    </row>
    <row r="7" spans="1:45">
      <c r="B7" s="262" t="s">
        <v>115</v>
      </c>
      <c r="C7" s="263"/>
      <c r="D7" s="264" t="s">
        <v>4667</v>
      </c>
      <c r="E7" s="265"/>
      <c r="F7" s="265"/>
      <c r="G7" s="265"/>
      <c r="H7" s="265"/>
      <c r="I7" s="265"/>
      <c r="J7" s="266"/>
    </row>
    <row r="8" spans="1:45">
      <c r="B8" s="262" t="s">
        <v>116</v>
      </c>
      <c r="C8" s="263"/>
      <c r="D8" s="264" t="str">
        <f>エンティティ一覧!AE2&amp;"_"&amp;D5&amp;"_shikkan2"</f>
        <v>sny_202310_annony_shikkan2</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milscm_2023_009.sny_202310_annony_shikkan2;</v>
      </c>
      <c r="O10" s="76"/>
      <c r="P10" s="76"/>
      <c r="Q10" s="76"/>
      <c r="R10" s="76"/>
      <c r="S10" s="76"/>
      <c r="T10" s="76"/>
      <c r="AJ10" s="76" t="str">
        <f>"ALTER TABLE ONLY "&amp;エンティティ一覧!$O$2&amp;"."&amp;D$8</f>
        <v>ALTER TABLE ONLY milscm_2023_009.sny_202310_annony_shikkan2</v>
      </c>
      <c r="AS10" s="76" t="str">
        <f>"ALTER TABLE "&amp;エンティティ一覧!$O$2&amp;"."&amp;D$8&amp;" OWNER TO pgmisgrp1;"</f>
        <v>ALTER TABLE milscm_2023_009.sny_202310_annony_shikkan2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milscm_2023_009.sny_202310_annony_shikkan2</v>
      </c>
      <c r="O11" s="76"/>
      <c r="P11" s="76"/>
      <c r="Q11" s="76"/>
      <c r="R11" s="76"/>
      <c r="S11" s="76"/>
      <c r="T11" s="76"/>
      <c r="AJ11" s="76" t="str">
        <f>"ADD CONSTRAINT "&amp;D$8&amp;"_pkey PRIMARY KEY"</f>
        <v>ADD CONSTRAINT sny_202310_annony_shikkan2_pkey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milscm_2023_009.sny_202310_annony_shikkan2 IS '匿名化_併発疾患情報2';</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903" si="0">UPPER(G13)</f>
        <v>TEXT</v>
      </c>
      <c r="R13" s="76" t="str">
        <f t="shared" ref="R13:R903"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milscm_2023_009.sny_202310_annony_shikkan2.mask_id IS 'マスクID';</v>
      </c>
    </row>
    <row r="14" spans="1:45" s="25" customFormat="1">
      <c r="A14" s="4" t="s">
        <v>5161</v>
      </c>
      <c r="B14" s="21">
        <f t="shared" ref="B14:B78" si="2">ROW()-12</f>
        <v>2</v>
      </c>
      <c r="C14" s="13" t="str">
        <f>A14&amp;"_疾患開始日"</f>
        <v>B180_疾患開始日</v>
      </c>
      <c r="D14" s="13" t="s">
        <v>4769</v>
      </c>
      <c r="E14" s="8"/>
      <c r="F14" s="7" t="s">
        <v>4348</v>
      </c>
      <c r="G14" s="7" t="s">
        <v>99</v>
      </c>
      <c r="H14" s="58"/>
      <c r="I14" s="23"/>
      <c r="J14" s="24"/>
      <c r="M14" s="4"/>
      <c r="N14" s="76"/>
      <c r="O14" s="76"/>
      <c r="P14" s="76" t="str">
        <f t="shared" ref="P14:P903" si="3">IF(B14&lt;&gt;1,","&amp;D14,D14)</f>
        <v>,shikkan1_start_date</v>
      </c>
      <c r="Q14" s="76" t="str">
        <f t="shared" si="0"/>
        <v>DATE</v>
      </c>
      <c r="R14" s="76" t="str">
        <f t="shared" si="1"/>
        <v/>
      </c>
      <c r="S14" s="76" t="str">
        <f t="shared" ref="S14:S903" si="4">IF(I14="○","NOT NULL","")</f>
        <v/>
      </c>
      <c r="T14" s="76" t="str">
        <f t="shared" ref="T14:T903" si="5">"-- "&amp;C14</f>
        <v>-- B180_疾患開始日</v>
      </c>
      <c r="U14" s="4" t="str">
        <f>", CASE WHEN shikkan_disp_name = '"&amp;A14&amp;"' THEN min_shikkan_start_date ::DATE ELSE NULL END AS "&amp;D14</f>
        <v>, CASE WHEN shikkan_disp_name = 'B180' THEN min_shikkan_start_date ::DATE ELSE NULL END AS shikkan1_start_date</v>
      </c>
      <c r="V14" s="25" t="str">
        <f>", max("&amp;D14&amp;")"</f>
        <v>, max(shikkan1_start_date)</v>
      </c>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milscm_2023_009.sny_202310_annony_shikkan2.shikkan1_start_date IS 'B180_疾患開始日';</v>
      </c>
    </row>
    <row r="15" spans="1:45" s="25" customFormat="1">
      <c r="A15" s="4" t="s">
        <v>5162</v>
      </c>
      <c r="B15" s="21">
        <f t="shared" si="2"/>
        <v>3</v>
      </c>
      <c r="C15" s="13" t="str">
        <f t="shared" ref="C15:C78" si="6">A15&amp;"_疾患開始日"</f>
        <v>B181_疾患開始日</v>
      </c>
      <c r="D15" s="13" t="s">
        <v>4770</v>
      </c>
      <c r="E15" s="8"/>
      <c r="F15" s="7" t="s">
        <v>4348</v>
      </c>
      <c r="G15" s="7" t="s">
        <v>25</v>
      </c>
      <c r="H15" s="58"/>
      <c r="I15" s="23"/>
      <c r="J15" s="24"/>
      <c r="M15" s="4"/>
      <c r="N15" s="76"/>
      <c r="O15" s="76"/>
      <c r="P15" s="76" t="str">
        <f t="shared" si="3"/>
        <v>,shikkan2_start_date</v>
      </c>
      <c r="Q15" s="76" t="str">
        <f t="shared" si="0"/>
        <v>DATE</v>
      </c>
      <c r="R15" s="76" t="str">
        <f t="shared" si="1"/>
        <v/>
      </c>
      <c r="S15" s="76" t="str">
        <f t="shared" si="4"/>
        <v/>
      </c>
      <c r="T15" s="76" t="str">
        <f t="shared" si="5"/>
        <v>-- B181_疾患開始日</v>
      </c>
      <c r="U15" s="4" t="str">
        <f t="shared" ref="U15:U78" si="7">", CASE WHEN shikkan_disp_name = '"&amp;A15&amp;"' THEN min_shikkan_start_date ::DATE ELSE NULL END AS "&amp;D15</f>
        <v>, CASE WHEN shikkan_disp_name = 'B181' THEN min_shikkan_start_date ::DATE ELSE NULL END AS shikkan2_start_date</v>
      </c>
      <c r="V15" s="25" t="str">
        <f t="shared" ref="V15:V78" si="8">", max("&amp;D15&amp;")"</f>
        <v>, max(shikkan2_start_date)</v>
      </c>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milscm_2023_009.sny_202310_annony_shikkan2.shikkan2_start_date IS 'B181_疾患開始日';</v>
      </c>
    </row>
    <row r="16" spans="1:45" s="25" customFormat="1">
      <c r="A16" s="4" t="s">
        <v>5163</v>
      </c>
      <c r="B16" s="21">
        <f t="shared" si="2"/>
        <v>4</v>
      </c>
      <c r="C16" s="13" t="str">
        <f t="shared" si="6"/>
        <v>B182_疾患開始日</v>
      </c>
      <c r="D16" s="13" t="s">
        <v>4771</v>
      </c>
      <c r="E16" s="8"/>
      <c r="F16" s="7" t="s">
        <v>4348</v>
      </c>
      <c r="G16" s="7" t="s">
        <v>25</v>
      </c>
      <c r="H16" s="58"/>
      <c r="I16" s="23"/>
      <c r="J16" s="24"/>
      <c r="M16" s="4"/>
      <c r="N16" s="76"/>
      <c r="O16" s="76"/>
      <c r="P16" s="76" t="str">
        <f t="shared" si="3"/>
        <v>,shikkan3_start_date</v>
      </c>
      <c r="Q16" s="76" t="str">
        <f t="shared" si="0"/>
        <v>DATE</v>
      </c>
      <c r="R16" s="76" t="str">
        <f t="shared" si="1"/>
        <v/>
      </c>
      <c r="S16" s="76" t="str">
        <f t="shared" si="4"/>
        <v/>
      </c>
      <c r="T16" s="76" t="str">
        <f t="shared" si="5"/>
        <v>-- B182_疾患開始日</v>
      </c>
      <c r="U16" s="4" t="str">
        <f t="shared" si="7"/>
        <v>, CASE WHEN shikkan_disp_name = 'B182' THEN min_shikkan_start_date ::DATE ELSE NULL END AS shikkan3_start_date</v>
      </c>
      <c r="V16" s="25" t="str">
        <f t="shared" si="8"/>
        <v>, max(shikkan3_start_date)</v>
      </c>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milscm_2023_009.sny_202310_annony_shikkan2.shikkan3_start_date IS 'B182_疾患開始日';</v>
      </c>
    </row>
    <row r="17" spans="1:45" s="25" customFormat="1">
      <c r="A17" s="4" t="s">
        <v>5164</v>
      </c>
      <c r="B17" s="21">
        <f t="shared" si="2"/>
        <v>5</v>
      </c>
      <c r="C17" s="13" t="str">
        <f t="shared" si="6"/>
        <v>B188_疾患開始日</v>
      </c>
      <c r="D17" s="13" t="s">
        <v>4772</v>
      </c>
      <c r="E17" s="8"/>
      <c r="F17" s="7" t="s">
        <v>4348</v>
      </c>
      <c r="G17" s="7" t="s">
        <v>25</v>
      </c>
      <c r="H17" s="58"/>
      <c r="I17" s="23"/>
      <c r="J17" s="24"/>
      <c r="M17" s="4"/>
      <c r="N17" s="76"/>
      <c r="O17" s="76"/>
      <c r="P17" s="76" t="str">
        <f t="shared" si="3"/>
        <v>,shikkan4_start_date</v>
      </c>
      <c r="Q17" s="76" t="str">
        <f t="shared" si="0"/>
        <v>DATE</v>
      </c>
      <c r="R17" s="76" t="str">
        <f t="shared" si="1"/>
        <v/>
      </c>
      <c r="S17" s="76" t="str">
        <f t="shared" si="4"/>
        <v/>
      </c>
      <c r="T17" s="76" t="str">
        <f t="shared" si="5"/>
        <v>-- B188_疾患開始日</v>
      </c>
      <c r="U17" s="4" t="str">
        <f t="shared" si="7"/>
        <v>, CASE WHEN shikkan_disp_name = 'B188' THEN min_shikkan_start_date ::DATE ELSE NULL END AS shikkan4_start_date</v>
      </c>
      <c r="V17" s="25" t="str">
        <f t="shared" si="8"/>
        <v>, max(shikkan4_start_date)</v>
      </c>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milscm_2023_009.sny_202310_annony_shikkan2.shikkan4_start_date IS 'B188_疾患開始日';</v>
      </c>
    </row>
    <row r="18" spans="1:45" s="25" customFormat="1">
      <c r="A18" s="4" t="s">
        <v>5165</v>
      </c>
      <c r="B18" s="21">
        <f t="shared" si="2"/>
        <v>6</v>
      </c>
      <c r="C18" s="13" t="str">
        <f t="shared" si="6"/>
        <v>B189_疾患開始日</v>
      </c>
      <c r="D18" s="13" t="s">
        <v>4773</v>
      </c>
      <c r="E18" s="8"/>
      <c r="F18" s="7" t="s">
        <v>4348</v>
      </c>
      <c r="G18" s="7" t="s">
        <v>25</v>
      </c>
      <c r="H18" s="58"/>
      <c r="I18" s="23"/>
      <c r="J18" s="24"/>
      <c r="M18" s="4"/>
      <c r="N18" s="76"/>
      <c r="O18" s="76"/>
      <c r="P18" s="76" t="str">
        <f t="shared" si="3"/>
        <v>,shikkan5_start_date</v>
      </c>
      <c r="Q18" s="76" t="str">
        <f t="shared" si="0"/>
        <v>DATE</v>
      </c>
      <c r="R18" s="76" t="str">
        <f t="shared" si="1"/>
        <v/>
      </c>
      <c r="S18" s="76" t="str">
        <f t="shared" si="4"/>
        <v/>
      </c>
      <c r="T18" s="76" t="str">
        <f t="shared" si="5"/>
        <v>-- B189_疾患開始日</v>
      </c>
      <c r="U18" s="4" t="str">
        <f t="shared" si="7"/>
        <v>, CASE WHEN shikkan_disp_name = 'B189' THEN min_shikkan_start_date ::DATE ELSE NULL END AS shikkan5_start_date</v>
      </c>
      <c r="V18" s="25" t="str">
        <f t="shared" si="8"/>
        <v>, max(shikkan5_start_date)</v>
      </c>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milscm_2023_009.sny_202310_annony_shikkan2.shikkan5_start_date IS 'B189_疾患開始日';</v>
      </c>
    </row>
    <row r="19" spans="1:45" s="25" customFormat="1">
      <c r="A19" s="4" t="s">
        <v>5166</v>
      </c>
      <c r="B19" s="21">
        <f t="shared" si="2"/>
        <v>7</v>
      </c>
      <c r="C19" s="13" t="str">
        <f t="shared" si="6"/>
        <v>B200_疾患開始日</v>
      </c>
      <c r="D19" s="13" t="s">
        <v>4774</v>
      </c>
      <c r="E19" s="8"/>
      <c r="F19" s="7" t="s">
        <v>4348</v>
      </c>
      <c r="G19" s="7" t="s">
        <v>25</v>
      </c>
      <c r="H19" s="58"/>
      <c r="I19" s="23"/>
      <c r="J19" s="24"/>
      <c r="M19" s="4"/>
      <c r="N19" s="76"/>
      <c r="O19" s="76"/>
      <c r="P19" s="76" t="str">
        <f t="shared" si="3"/>
        <v>,shikkan6_start_date</v>
      </c>
      <c r="Q19" s="76" t="str">
        <f t="shared" si="0"/>
        <v>DATE</v>
      </c>
      <c r="R19" s="76" t="str">
        <f t="shared" si="1"/>
        <v/>
      </c>
      <c r="S19" s="76" t="str">
        <f t="shared" si="4"/>
        <v/>
      </c>
      <c r="T19" s="76" t="str">
        <f t="shared" si="5"/>
        <v>-- B200_疾患開始日</v>
      </c>
      <c r="U19" s="4" t="str">
        <f t="shared" si="7"/>
        <v>, CASE WHEN shikkan_disp_name = 'B200' THEN min_shikkan_start_date ::DATE ELSE NULL END AS shikkan6_start_date</v>
      </c>
      <c r="V19" s="25" t="str">
        <f t="shared" si="8"/>
        <v>, max(shikkan6_start_date)</v>
      </c>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milscm_2023_009.sny_202310_annony_shikkan2.shikkan6_start_date IS 'B200_疾患開始日';</v>
      </c>
    </row>
    <row r="20" spans="1:45" s="25" customFormat="1">
      <c r="A20" s="4" t="s">
        <v>5167</v>
      </c>
      <c r="B20" s="21">
        <f t="shared" si="2"/>
        <v>8</v>
      </c>
      <c r="C20" s="13" t="str">
        <f t="shared" si="6"/>
        <v>B201_疾患開始日</v>
      </c>
      <c r="D20" s="13" t="s">
        <v>4775</v>
      </c>
      <c r="E20" s="8"/>
      <c r="F20" s="7" t="s">
        <v>4348</v>
      </c>
      <c r="G20" s="7" t="s">
        <v>25</v>
      </c>
      <c r="H20" s="58"/>
      <c r="I20" s="23"/>
      <c r="J20" s="24"/>
      <c r="M20" s="4"/>
      <c r="N20" s="76"/>
      <c r="O20" s="76"/>
      <c r="P20" s="76" t="str">
        <f t="shared" si="3"/>
        <v>,shikkan7_start_date</v>
      </c>
      <c r="Q20" s="76" t="str">
        <f t="shared" si="0"/>
        <v>DATE</v>
      </c>
      <c r="R20" s="76" t="str">
        <f t="shared" si="1"/>
        <v/>
      </c>
      <c r="S20" s="76" t="str">
        <f t="shared" si="4"/>
        <v/>
      </c>
      <c r="T20" s="76" t="str">
        <f t="shared" si="5"/>
        <v>-- B201_疾患開始日</v>
      </c>
      <c r="U20" s="4" t="str">
        <f t="shared" si="7"/>
        <v>, CASE WHEN shikkan_disp_name = 'B201' THEN min_shikkan_start_date ::DATE ELSE NULL END AS shikkan7_start_date</v>
      </c>
      <c r="V20" s="25" t="str">
        <f t="shared" si="8"/>
        <v>, max(shikkan7_start_date)</v>
      </c>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milscm_2023_009.sny_202310_annony_shikkan2.shikkan7_start_date IS 'B201_疾患開始日';</v>
      </c>
    </row>
    <row r="21" spans="1:45" s="25" customFormat="1">
      <c r="A21" s="4" t="s">
        <v>5168</v>
      </c>
      <c r="B21" s="21">
        <f t="shared" si="2"/>
        <v>9</v>
      </c>
      <c r="C21" s="13" t="str">
        <f t="shared" si="6"/>
        <v>B202_疾患開始日</v>
      </c>
      <c r="D21" s="13" t="s">
        <v>4776</v>
      </c>
      <c r="E21" s="8"/>
      <c r="F21" s="7" t="s">
        <v>4348</v>
      </c>
      <c r="G21" s="7" t="s">
        <v>25</v>
      </c>
      <c r="H21" s="58"/>
      <c r="I21" s="23"/>
      <c r="J21" s="24"/>
      <c r="M21" s="4"/>
      <c r="N21" s="76"/>
      <c r="O21" s="76"/>
      <c r="P21" s="76" t="str">
        <f t="shared" si="3"/>
        <v>,shikkan8_start_date</v>
      </c>
      <c r="Q21" s="76" t="str">
        <f t="shared" si="0"/>
        <v>DATE</v>
      </c>
      <c r="R21" s="76" t="str">
        <f t="shared" si="1"/>
        <v/>
      </c>
      <c r="S21" s="76" t="str">
        <f t="shared" si="4"/>
        <v/>
      </c>
      <c r="T21" s="76" t="str">
        <f t="shared" si="5"/>
        <v>-- B202_疾患開始日</v>
      </c>
      <c r="U21" s="4" t="str">
        <f t="shared" si="7"/>
        <v>, CASE WHEN shikkan_disp_name = 'B202' THEN min_shikkan_start_date ::DATE ELSE NULL END AS shikkan8_start_date</v>
      </c>
      <c r="V21" s="25" t="str">
        <f t="shared" si="8"/>
        <v>, max(shikkan8_start_date)</v>
      </c>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milscm_2023_009.sny_202310_annony_shikkan2.shikkan8_start_date IS 'B202_疾患開始日';</v>
      </c>
    </row>
    <row r="22" spans="1:45" s="25" customFormat="1">
      <c r="A22" s="4" t="s">
        <v>5169</v>
      </c>
      <c r="B22" s="21">
        <f t="shared" si="2"/>
        <v>10</v>
      </c>
      <c r="C22" s="13" t="str">
        <f t="shared" si="6"/>
        <v>B203_疾患開始日</v>
      </c>
      <c r="D22" s="13" t="s">
        <v>4777</v>
      </c>
      <c r="E22" s="8"/>
      <c r="F22" s="7" t="s">
        <v>4348</v>
      </c>
      <c r="G22" s="7" t="s">
        <v>25</v>
      </c>
      <c r="H22" s="58"/>
      <c r="I22" s="23"/>
      <c r="J22" s="24"/>
      <c r="M22" s="4"/>
      <c r="N22" s="76"/>
      <c r="O22" s="76"/>
      <c r="P22" s="76" t="str">
        <f t="shared" si="3"/>
        <v>,shikkan9_start_date</v>
      </c>
      <c r="Q22" s="76" t="str">
        <f t="shared" si="0"/>
        <v>DATE</v>
      </c>
      <c r="R22" s="76" t="str">
        <f t="shared" si="1"/>
        <v/>
      </c>
      <c r="S22" s="76" t="str">
        <f t="shared" si="4"/>
        <v/>
      </c>
      <c r="T22" s="76" t="str">
        <f t="shared" si="5"/>
        <v>-- B203_疾患開始日</v>
      </c>
      <c r="U22" s="4" t="str">
        <f t="shared" si="7"/>
        <v>, CASE WHEN shikkan_disp_name = 'B203' THEN min_shikkan_start_date ::DATE ELSE NULL END AS shikkan9_start_date</v>
      </c>
      <c r="V22" s="25" t="str">
        <f t="shared" si="8"/>
        <v>, max(shikkan9_start_date)</v>
      </c>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milscm_2023_009.sny_202310_annony_shikkan2.shikkan9_start_date IS 'B203_疾患開始日';</v>
      </c>
    </row>
    <row r="23" spans="1:45" s="25" customFormat="1">
      <c r="A23" s="4" t="s">
        <v>5170</v>
      </c>
      <c r="B23" s="21">
        <f t="shared" si="2"/>
        <v>11</v>
      </c>
      <c r="C23" s="13" t="str">
        <f t="shared" si="6"/>
        <v>B204_疾患開始日</v>
      </c>
      <c r="D23" s="13" t="s">
        <v>4778</v>
      </c>
      <c r="E23" s="8"/>
      <c r="F23" s="7" t="s">
        <v>4348</v>
      </c>
      <c r="G23" s="7" t="s">
        <v>25</v>
      </c>
      <c r="H23" s="58"/>
      <c r="I23" s="23"/>
      <c r="J23" s="24"/>
      <c r="M23" s="4"/>
      <c r="N23" s="76"/>
      <c r="O23" s="76"/>
      <c r="P23" s="76" t="str">
        <f t="shared" si="3"/>
        <v>,shikkan10_start_date</v>
      </c>
      <c r="Q23" s="76" t="str">
        <f t="shared" si="0"/>
        <v>DATE</v>
      </c>
      <c r="R23" s="76" t="str">
        <f t="shared" si="1"/>
        <v/>
      </c>
      <c r="S23" s="76" t="str">
        <f t="shared" si="4"/>
        <v/>
      </c>
      <c r="T23" s="76" t="str">
        <f t="shared" si="5"/>
        <v>-- B204_疾患開始日</v>
      </c>
      <c r="U23" s="4" t="str">
        <f t="shared" si="7"/>
        <v>, CASE WHEN shikkan_disp_name = 'B204' THEN min_shikkan_start_date ::DATE ELSE NULL END AS shikkan10_start_date</v>
      </c>
      <c r="V23" s="25" t="str">
        <f t="shared" si="8"/>
        <v>, max(shikkan10_start_date)</v>
      </c>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milscm_2023_009.sny_202310_annony_shikkan2.shikkan10_start_date IS 'B204_疾患開始日';</v>
      </c>
    </row>
    <row r="24" spans="1:45" s="25" customFormat="1">
      <c r="A24" s="4" t="s">
        <v>5171</v>
      </c>
      <c r="B24" s="21">
        <f t="shared" si="2"/>
        <v>12</v>
      </c>
      <c r="C24" s="13" t="str">
        <f t="shared" si="6"/>
        <v>B205_疾患開始日</v>
      </c>
      <c r="D24" s="13" t="s">
        <v>4779</v>
      </c>
      <c r="E24" s="8"/>
      <c r="F24" s="7" t="s">
        <v>4348</v>
      </c>
      <c r="G24" s="7" t="s">
        <v>25</v>
      </c>
      <c r="H24" s="58"/>
      <c r="I24" s="23"/>
      <c r="J24" s="24"/>
      <c r="M24" s="4"/>
      <c r="N24" s="76"/>
      <c r="O24" s="76"/>
      <c r="P24" s="76" t="str">
        <f t="shared" si="3"/>
        <v>,shikkan11_start_date</v>
      </c>
      <c r="Q24" s="76" t="str">
        <f t="shared" si="0"/>
        <v>DATE</v>
      </c>
      <c r="R24" s="76" t="str">
        <f t="shared" si="1"/>
        <v/>
      </c>
      <c r="S24" s="76" t="str">
        <f t="shared" si="4"/>
        <v/>
      </c>
      <c r="T24" s="76" t="str">
        <f t="shared" si="5"/>
        <v>-- B205_疾患開始日</v>
      </c>
      <c r="U24" s="4" t="str">
        <f t="shared" si="7"/>
        <v>, CASE WHEN shikkan_disp_name = 'B205' THEN min_shikkan_start_date ::DATE ELSE NULL END AS shikkan11_start_date</v>
      </c>
      <c r="V24" s="25" t="str">
        <f t="shared" si="8"/>
        <v>, max(shikkan11_start_date)</v>
      </c>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milscm_2023_009.sny_202310_annony_shikkan2.shikkan11_start_date IS 'B205_疾患開始日';</v>
      </c>
    </row>
    <row r="25" spans="1:45" s="25" customFormat="1">
      <c r="A25" s="4" t="s">
        <v>5172</v>
      </c>
      <c r="B25" s="21">
        <f t="shared" si="2"/>
        <v>13</v>
      </c>
      <c r="C25" s="13" t="str">
        <f t="shared" si="6"/>
        <v>B206_疾患開始日</v>
      </c>
      <c r="D25" s="13" t="s">
        <v>4780</v>
      </c>
      <c r="E25" s="8"/>
      <c r="F25" s="7" t="s">
        <v>4348</v>
      </c>
      <c r="G25" s="7" t="s">
        <v>25</v>
      </c>
      <c r="H25" s="58"/>
      <c r="I25" s="23"/>
      <c r="J25" s="24"/>
      <c r="M25" s="4"/>
      <c r="N25" s="76"/>
      <c r="O25" s="76"/>
      <c r="P25" s="76" t="str">
        <f t="shared" si="3"/>
        <v>,shikkan12_start_date</v>
      </c>
      <c r="Q25" s="76" t="str">
        <f t="shared" si="0"/>
        <v>DATE</v>
      </c>
      <c r="R25" s="76" t="str">
        <f t="shared" si="1"/>
        <v/>
      </c>
      <c r="S25" s="76" t="str">
        <f t="shared" si="4"/>
        <v/>
      </c>
      <c r="T25" s="76" t="str">
        <f t="shared" si="5"/>
        <v>-- B206_疾患開始日</v>
      </c>
      <c r="U25" s="4" t="str">
        <f t="shared" si="7"/>
        <v>, CASE WHEN shikkan_disp_name = 'B206' THEN min_shikkan_start_date ::DATE ELSE NULL END AS shikkan12_start_date</v>
      </c>
      <c r="V25" s="25" t="str">
        <f t="shared" si="8"/>
        <v>, max(shikkan12_start_date)</v>
      </c>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milscm_2023_009.sny_202310_annony_shikkan2.shikkan12_start_date IS 'B206_疾患開始日';</v>
      </c>
    </row>
    <row r="26" spans="1:45" s="25" customFormat="1">
      <c r="A26" s="4" t="s">
        <v>5173</v>
      </c>
      <c r="B26" s="21">
        <f t="shared" si="2"/>
        <v>14</v>
      </c>
      <c r="C26" s="13" t="str">
        <f t="shared" si="6"/>
        <v>B207_疾患開始日</v>
      </c>
      <c r="D26" s="13" t="s">
        <v>4781</v>
      </c>
      <c r="E26" s="8"/>
      <c r="F26" s="7" t="s">
        <v>4348</v>
      </c>
      <c r="G26" s="7" t="s">
        <v>25</v>
      </c>
      <c r="H26" s="58"/>
      <c r="I26" s="23"/>
      <c r="J26" s="24"/>
      <c r="M26" s="4"/>
      <c r="N26" s="76"/>
      <c r="O26" s="76"/>
      <c r="P26" s="76" t="str">
        <f t="shared" si="3"/>
        <v>,shikkan13_start_date</v>
      </c>
      <c r="Q26" s="76" t="str">
        <f t="shared" si="0"/>
        <v>DATE</v>
      </c>
      <c r="R26" s="76" t="str">
        <f t="shared" si="1"/>
        <v/>
      </c>
      <c r="S26" s="76" t="str">
        <f t="shared" si="4"/>
        <v/>
      </c>
      <c r="T26" s="76" t="str">
        <f t="shared" si="5"/>
        <v>-- B207_疾患開始日</v>
      </c>
      <c r="U26" s="4" t="str">
        <f t="shared" si="7"/>
        <v>, CASE WHEN shikkan_disp_name = 'B207' THEN min_shikkan_start_date ::DATE ELSE NULL END AS shikkan13_start_date</v>
      </c>
      <c r="V26" s="25" t="str">
        <f t="shared" si="8"/>
        <v>, max(shikkan13_start_date)</v>
      </c>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milscm_2023_009.sny_202310_annony_shikkan2.shikkan13_start_date IS 'B207_疾患開始日';</v>
      </c>
    </row>
    <row r="27" spans="1:45" s="25" customFormat="1">
      <c r="A27" s="4" t="s">
        <v>5174</v>
      </c>
      <c r="B27" s="21">
        <f t="shared" si="2"/>
        <v>15</v>
      </c>
      <c r="C27" s="13" t="str">
        <f t="shared" si="6"/>
        <v>B208_疾患開始日</v>
      </c>
      <c r="D27" s="13" t="s">
        <v>4782</v>
      </c>
      <c r="E27" s="8"/>
      <c r="F27" s="7" t="s">
        <v>4348</v>
      </c>
      <c r="G27" s="7" t="s">
        <v>25</v>
      </c>
      <c r="H27" s="58"/>
      <c r="I27" s="23"/>
      <c r="J27" s="24"/>
      <c r="M27" s="4"/>
      <c r="N27" s="76"/>
      <c r="O27" s="76"/>
      <c r="P27" s="76" t="str">
        <f t="shared" si="3"/>
        <v>,shikkan14_start_date</v>
      </c>
      <c r="Q27" s="76" t="str">
        <f t="shared" si="0"/>
        <v>DATE</v>
      </c>
      <c r="R27" s="76" t="str">
        <f t="shared" si="1"/>
        <v/>
      </c>
      <c r="S27" s="76" t="str">
        <f t="shared" si="4"/>
        <v/>
      </c>
      <c r="T27" s="76" t="str">
        <f t="shared" si="5"/>
        <v>-- B208_疾患開始日</v>
      </c>
      <c r="U27" s="4" t="str">
        <f t="shared" si="7"/>
        <v>, CASE WHEN shikkan_disp_name = 'B208' THEN min_shikkan_start_date ::DATE ELSE NULL END AS shikkan14_start_date</v>
      </c>
      <c r="V27" s="25" t="str">
        <f t="shared" si="8"/>
        <v>, max(shikkan14_start_date)</v>
      </c>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milscm_2023_009.sny_202310_annony_shikkan2.shikkan14_start_date IS 'B208_疾患開始日';</v>
      </c>
    </row>
    <row r="28" spans="1:45" s="25" customFormat="1">
      <c r="A28" s="4" t="s">
        <v>5175</v>
      </c>
      <c r="B28" s="21">
        <f t="shared" si="2"/>
        <v>16</v>
      </c>
      <c r="C28" s="13" t="str">
        <f t="shared" si="6"/>
        <v>B209_疾患開始日</v>
      </c>
      <c r="D28" s="13" t="s">
        <v>4783</v>
      </c>
      <c r="E28" s="8"/>
      <c r="F28" s="7" t="s">
        <v>4348</v>
      </c>
      <c r="G28" s="7" t="s">
        <v>25</v>
      </c>
      <c r="H28" s="58"/>
      <c r="I28" s="23"/>
      <c r="J28" s="24"/>
      <c r="M28" s="4"/>
      <c r="N28" s="76"/>
      <c r="O28" s="76"/>
      <c r="P28" s="76" t="str">
        <f t="shared" si="3"/>
        <v>,shikkan15_start_date</v>
      </c>
      <c r="Q28" s="76" t="str">
        <f t="shared" si="0"/>
        <v>DATE</v>
      </c>
      <c r="R28" s="76" t="str">
        <f t="shared" si="1"/>
        <v/>
      </c>
      <c r="S28" s="76" t="str">
        <f t="shared" si="4"/>
        <v/>
      </c>
      <c r="T28" s="76" t="str">
        <f t="shared" si="5"/>
        <v>-- B209_疾患開始日</v>
      </c>
      <c r="U28" s="4" t="str">
        <f t="shared" si="7"/>
        <v>, CASE WHEN shikkan_disp_name = 'B209' THEN min_shikkan_start_date ::DATE ELSE NULL END AS shikkan15_start_date</v>
      </c>
      <c r="V28" s="25" t="str">
        <f t="shared" si="8"/>
        <v>, max(shikkan15_start_date)</v>
      </c>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milscm_2023_009.sny_202310_annony_shikkan2.shikkan15_start_date IS 'B209_疾患開始日';</v>
      </c>
    </row>
    <row r="29" spans="1:45" s="25" customFormat="1">
      <c r="A29" s="4" t="s">
        <v>5176</v>
      </c>
      <c r="B29" s="21">
        <f t="shared" si="2"/>
        <v>17</v>
      </c>
      <c r="C29" s="13" t="str">
        <f t="shared" si="6"/>
        <v>B210_疾患開始日</v>
      </c>
      <c r="D29" s="13" t="s">
        <v>4784</v>
      </c>
      <c r="E29" s="8"/>
      <c r="F29" s="7" t="s">
        <v>4348</v>
      </c>
      <c r="G29" s="7" t="s">
        <v>25</v>
      </c>
      <c r="H29" s="58"/>
      <c r="I29" s="23"/>
      <c r="J29" s="24"/>
      <c r="M29" s="4"/>
      <c r="N29" s="76"/>
      <c r="O29" s="76"/>
      <c r="P29" s="76" t="str">
        <f t="shared" si="3"/>
        <v>,shikkan16_start_date</v>
      </c>
      <c r="Q29" s="76" t="str">
        <f t="shared" si="0"/>
        <v>DATE</v>
      </c>
      <c r="R29" s="76" t="str">
        <f t="shared" si="1"/>
        <v/>
      </c>
      <c r="S29" s="76" t="str">
        <f t="shared" si="4"/>
        <v/>
      </c>
      <c r="T29" s="76" t="str">
        <f t="shared" si="5"/>
        <v>-- B210_疾患開始日</v>
      </c>
      <c r="U29" s="4" t="str">
        <f t="shared" si="7"/>
        <v>, CASE WHEN shikkan_disp_name = 'B210' THEN min_shikkan_start_date ::DATE ELSE NULL END AS shikkan16_start_date</v>
      </c>
      <c r="V29" s="25" t="str">
        <f t="shared" si="8"/>
        <v>, max(shikkan16_start_date)</v>
      </c>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milscm_2023_009.sny_202310_annony_shikkan2.shikkan16_start_date IS 'B210_疾患開始日';</v>
      </c>
    </row>
    <row r="30" spans="1:45" s="25" customFormat="1">
      <c r="A30" s="4" t="s">
        <v>5177</v>
      </c>
      <c r="B30" s="21">
        <f t="shared" si="2"/>
        <v>18</v>
      </c>
      <c r="C30" s="13" t="str">
        <f t="shared" si="6"/>
        <v>B211_疾患開始日</v>
      </c>
      <c r="D30" s="13" t="s">
        <v>4785</v>
      </c>
      <c r="E30" s="8"/>
      <c r="F30" s="7" t="s">
        <v>4348</v>
      </c>
      <c r="G30" s="7" t="s">
        <v>99</v>
      </c>
      <c r="H30" s="58"/>
      <c r="I30" s="23"/>
      <c r="J30" s="24"/>
      <c r="M30" s="4"/>
      <c r="N30" s="76"/>
      <c r="O30" s="76"/>
      <c r="P30" s="76" t="str">
        <f t="shared" ref="P30:P61" si="9">IF(B30&lt;&gt;1,","&amp;D30,D30)</f>
        <v>,shikkan17_start_date</v>
      </c>
      <c r="Q30" s="76" t="str">
        <f t="shared" ref="Q30:Q61" si="10">UPPER(G30)</f>
        <v>DATE</v>
      </c>
      <c r="R30" s="76" t="str">
        <f t="shared" ref="R30:R61" si="11">IF(H30&lt;&gt;"","default "&amp;IF(G30="text","'"&amp;H30&amp;"'",H30),"")</f>
        <v/>
      </c>
      <c r="S30" s="76" t="str">
        <f t="shared" ref="S30:S61" si="12">IF(I30="○","NOT NULL","")</f>
        <v/>
      </c>
      <c r="T30" s="76" t="str">
        <f t="shared" ref="T30:T61" si="13">"-- "&amp;C30</f>
        <v>-- B211_疾患開始日</v>
      </c>
      <c r="U30" s="4" t="str">
        <f t="shared" si="7"/>
        <v>, CASE WHEN shikkan_disp_name = 'B211' THEN min_shikkan_start_date ::DATE ELSE NULL END AS shikkan17_start_date</v>
      </c>
      <c r="V30" s="25" t="str">
        <f t="shared" si="8"/>
        <v>, max(shikkan17_start_date)</v>
      </c>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milscm_2023_009.sny_202310_annony_shikkan2.shikkan17_start_date IS 'B211_疾患開始日';</v>
      </c>
    </row>
    <row r="31" spans="1:45" s="25" customFormat="1">
      <c r="A31" s="4" t="s">
        <v>5178</v>
      </c>
      <c r="B31" s="21">
        <f t="shared" si="2"/>
        <v>19</v>
      </c>
      <c r="C31" s="13" t="str">
        <f t="shared" si="6"/>
        <v>B212_疾患開始日</v>
      </c>
      <c r="D31" s="13" t="s">
        <v>4786</v>
      </c>
      <c r="E31" s="8"/>
      <c r="F31" s="7" t="s">
        <v>4348</v>
      </c>
      <c r="G31" s="7" t="s">
        <v>25</v>
      </c>
      <c r="H31" s="58"/>
      <c r="I31" s="23"/>
      <c r="J31" s="24"/>
      <c r="M31" s="4"/>
      <c r="N31" s="76"/>
      <c r="O31" s="76"/>
      <c r="P31" s="76" t="str">
        <f t="shared" si="9"/>
        <v>,shikkan18_start_date</v>
      </c>
      <c r="Q31" s="76" t="str">
        <f t="shared" si="10"/>
        <v>DATE</v>
      </c>
      <c r="R31" s="76" t="str">
        <f t="shared" si="11"/>
        <v/>
      </c>
      <c r="S31" s="76" t="str">
        <f t="shared" si="12"/>
        <v/>
      </c>
      <c r="T31" s="76" t="str">
        <f t="shared" si="13"/>
        <v>-- B212_疾患開始日</v>
      </c>
      <c r="U31" s="4" t="str">
        <f t="shared" si="7"/>
        <v>, CASE WHEN shikkan_disp_name = 'B212' THEN min_shikkan_start_date ::DATE ELSE NULL END AS shikkan18_start_date</v>
      </c>
      <c r="V31" s="25" t="str">
        <f t="shared" si="8"/>
        <v>, max(shikkan18_start_date)</v>
      </c>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milscm_2023_009.sny_202310_annony_shikkan2.shikkan18_start_date IS 'B212_疾患開始日';</v>
      </c>
    </row>
    <row r="32" spans="1:45" s="25" customFormat="1">
      <c r="A32" s="4" t="s">
        <v>5179</v>
      </c>
      <c r="B32" s="21">
        <f t="shared" si="2"/>
        <v>20</v>
      </c>
      <c r="C32" s="13" t="str">
        <f t="shared" si="6"/>
        <v>B213_疾患開始日</v>
      </c>
      <c r="D32" s="13" t="s">
        <v>4787</v>
      </c>
      <c r="E32" s="8"/>
      <c r="F32" s="7" t="s">
        <v>4348</v>
      </c>
      <c r="G32" s="7" t="s">
        <v>25</v>
      </c>
      <c r="H32" s="58"/>
      <c r="I32" s="23"/>
      <c r="J32" s="24"/>
      <c r="M32" s="4"/>
      <c r="N32" s="76"/>
      <c r="O32" s="76"/>
      <c r="P32" s="76" t="str">
        <f t="shared" si="9"/>
        <v>,shikkan19_start_date</v>
      </c>
      <c r="Q32" s="76" t="str">
        <f t="shared" si="10"/>
        <v>DATE</v>
      </c>
      <c r="R32" s="76" t="str">
        <f t="shared" si="11"/>
        <v/>
      </c>
      <c r="S32" s="76" t="str">
        <f t="shared" si="12"/>
        <v/>
      </c>
      <c r="T32" s="76" t="str">
        <f t="shared" si="13"/>
        <v>-- B213_疾患開始日</v>
      </c>
      <c r="U32" s="4" t="str">
        <f t="shared" si="7"/>
        <v>, CASE WHEN shikkan_disp_name = 'B213' THEN min_shikkan_start_date ::DATE ELSE NULL END AS shikkan19_start_date</v>
      </c>
      <c r="V32" s="25" t="str">
        <f t="shared" si="8"/>
        <v>, max(shikkan19_start_date)</v>
      </c>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milscm_2023_009.sny_202310_annony_shikkan2.shikkan19_start_date IS 'B213_疾患開始日';</v>
      </c>
    </row>
    <row r="33" spans="1:45" s="25" customFormat="1">
      <c r="A33" s="4" t="s">
        <v>5180</v>
      </c>
      <c r="B33" s="21">
        <f t="shared" si="2"/>
        <v>21</v>
      </c>
      <c r="C33" s="13" t="str">
        <f t="shared" si="6"/>
        <v>B217_疾患開始日</v>
      </c>
      <c r="D33" s="13" t="s">
        <v>4788</v>
      </c>
      <c r="E33" s="8"/>
      <c r="F33" s="7" t="s">
        <v>4348</v>
      </c>
      <c r="G33" s="7" t="s">
        <v>25</v>
      </c>
      <c r="H33" s="58"/>
      <c r="I33" s="23"/>
      <c r="J33" s="24"/>
      <c r="M33" s="4"/>
      <c r="N33" s="76"/>
      <c r="O33" s="76"/>
      <c r="P33" s="76" t="str">
        <f t="shared" si="9"/>
        <v>,shikkan20_start_date</v>
      </c>
      <c r="Q33" s="76" t="str">
        <f t="shared" si="10"/>
        <v>DATE</v>
      </c>
      <c r="R33" s="76" t="str">
        <f t="shared" si="11"/>
        <v/>
      </c>
      <c r="S33" s="76" t="str">
        <f t="shared" si="12"/>
        <v/>
      </c>
      <c r="T33" s="76" t="str">
        <f t="shared" si="13"/>
        <v>-- B217_疾患開始日</v>
      </c>
      <c r="U33" s="4" t="str">
        <f t="shared" si="7"/>
        <v>, CASE WHEN shikkan_disp_name = 'B217' THEN min_shikkan_start_date ::DATE ELSE NULL END AS shikkan20_start_date</v>
      </c>
      <c r="V33" s="25" t="str">
        <f t="shared" si="8"/>
        <v>, max(shikkan20_start_date)</v>
      </c>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milscm_2023_009.sny_202310_annony_shikkan2.shikkan20_start_date IS 'B217_疾患開始日';</v>
      </c>
    </row>
    <row r="34" spans="1:45" s="25" customFormat="1">
      <c r="A34" s="4" t="s">
        <v>5181</v>
      </c>
      <c r="B34" s="21">
        <f t="shared" si="2"/>
        <v>22</v>
      </c>
      <c r="C34" s="13" t="str">
        <f t="shared" si="6"/>
        <v>B218_疾患開始日</v>
      </c>
      <c r="D34" s="13" t="s">
        <v>4789</v>
      </c>
      <c r="E34" s="8"/>
      <c r="F34" s="7" t="s">
        <v>4348</v>
      </c>
      <c r="G34" s="7" t="s">
        <v>25</v>
      </c>
      <c r="H34" s="58"/>
      <c r="I34" s="23"/>
      <c r="J34" s="24"/>
      <c r="M34" s="4"/>
      <c r="N34" s="76"/>
      <c r="O34" s="76"/>
      <c r="P34" s="76" t="str">
        <f t="shared" si="9"/>
        <v>,shikkan21_start_date</v>
      </c>
      <c r="Q34" s="76" t="str">
        <f t="shared" si="10"/>
        <v>DATE</v>
      </c>
      <c r="R34" s="76" t="str">
        <f t="shared" si="11"/>
        <v/>
      </c>
      <c r="S34" s="76" t="str">
        <f t="shared" si="12"/>
        <v/>
      </c>
      <c r="T34" s="76" t="str">
        <f t="shared" si="13"/>
        <v>-- B218_疾患開始日</v>
      </c>
      <c r="U34" s="4" t="str">
        <f t="shared" si="7"/>
        <v>, CASE WHEN shikkan_disp_name = 'B218' THEN min_shikkan_start_date ::DATE ELSE NULL END AS shikkan21_start_date</v>
      </c>
      <c r="V34" s="25" t="str">
        <f t="shared" si="8"/>
        <v>, max(shikkan21_start_date)</v>
      </c>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milscm_2023_009.sny_202310_annony_shikkan2.shikkan21_start_date IS 'B218_疾患開始日';</v>
      </c>
    </row>
    <row r="35" spans="1:45" s="25" customFormat="1">
      <c r="A35" s="4" t="s">
        <v>5182</v>
      </c>
      <c r="B35" s="21">
        <f t="shared" si="2"/>
        <v>23</v>
      </c>
      <c r="C35" s="13" t="str">
        <f t="shared" si="6"/>
        <v>B219_疾患開始日</v>
      </c>
      <c r="D35" s="13" t="s">
        <v>4790</v>
      </c>
      <c r="E35" s="8"/>
      <c r="F35" s="7" t="s">
        <v>4348</v>
      </c>
      <c r="G35" s="7" t="s">
        <v>25</v>
      </c>
      <c r="H35" s="58"/>
      <c r="I35" s="23"/>
      <c r="J35" s="24"/>
      <c r="M35" s="4"/>
      <c r="N35" s="76"/>
      <c r="O35" s="76"/>
      <c r="P35" s="76" t="str">
        <f t="shared" si="9"/>
        <v>,shikkan22_start_date</v>
      </c>
      <c r="Q35" s="76" t="str">
        <f t="shared" si="10"/>
        <v>DATE</v>
      </c>
      <c r="R35" s="76" t="str">
        <f t="shared" si="11"/>
        <v/>
      </c>
      <c r="S35" s="76" t="str">
        <f t="shared" si="12"/>
        <v/>
      </c>
      <c r="T35" s="76" t="str">
        <f t="shared" si="13"/>
        <v>-- B219_疾患開始日</v>
      </c>
      <c r="U35" s="4" t="str">
        <f t="shared" si="7"/>
        <v>, CASE WHEN shikkan_disp_name = 'B219' THEN min_shikkan_start_date ::DATE ELSE NULL END AS shikkan22_start_date</v>
      </c>
      <c r="V35" s="25" t="str">
        <f t="shared" si="8"/>
        <v>, max(shikkan22_start_date)</v>
      </c>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milscm_2023_009.sny_202310_annony_shikkan2.shikkan22_start_date IS 'B219_疾患開始日';</v>
      </c>
    </row>
    <row r="36" spans="1:45" s="25" customFormat="1">
      <c r="A36" s="4" t="s">
        <v>5183</v>
      </c>
      <c r="B36" s="21">
        <f t="shared" si="2"/>
        <v>24</v>
      </c>
      <c r="C36" s="13" t="str">
        <f t="shared" si="6"/>
        <v>B220_疾患開始日</v>
      </c>
      <c r="D36" s="13" t="s">
        <v>4791</v>
      </c>
      <c r="E36" s="8"/>
      <c r="F36" s="7" t="s">
        <v>4348</v>
      </c>
      <c r="G36" s="7" t="s">
        <v>25</v>
      </c>
      <c r="H36" s="58"/>
      <c r="I36" s="23"/>
      <c r="J36" s="24"/>
      <c r="M36" s="4"/>
      <c r="N36" s="76"/>
      <c r="O36" s="76"/>
      <c r="P36" s="76" t="str">
        <f t="shared" si="9"/>
        <v>,shikkan23_start_date</v>
      </c>
      <c r="Q36" s="76" t="str">
        <f t="shared" si="10"/>
        <v>DATE</v>
      </c>
      <c r="R36" s="76" t="str">
        <f t="shared" si="11"/>
        <v/>
      </c>
      <c r="S36" s="76" t="str">
        <f t="shared" si="12"/>
        <v/>
      </c>
      <c r="T36" s="76" t="str">
        <f t="shared" si="13"/>
        <v>-- B220_疾患開始日</v>
      </c>
      <c r="U36" s="4" t="str">
        <f t="shared" si="7"/>
        <v>, CASE WHEN shikkan_disp_name = 'B220' THEN min_shikkan_start_date ::DATE ELSE NULL END AS shikkan23_start_date</v>
      </c>
      <c r="V36" s="25" t="str">
        <f t="shared" si="8"/>
        <v>, max(shikkan23_start_date)</v>
      </c>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milscm_2023_009.sny_202310_annony_shikkan2.shikkan23_start_date IS 'B220_疾患開始日';</v>
      </c>
    </row>
    <row r="37" spans="1:45" s="25" customFormat="1">
      <c r="A37" s="4" t="s">
        <v>5184</v>
      </c>
      <c r="B37" s="21">
        <f t="shared" si="2"/>
        <v>25</v>
      </c>
      <c r="C37" s="13" t="str">
        <f t="shared" si="6"/>
        <v>B221_疾患開始日</v>
      </c>
      <c r="D37" s="13" t="s">
        <v>4792</v>
      </c>
      <c r="E37" s="8"/>
      <c r="F37" s="7" t="s">
        <v>4348</v>
      </c>
      <c r="G37" s="7" t="s">
        <v>25</v>
      </c>
      <c r="H37" s="58"/>
      <c r="I37" s="23"/>
      <c r="J37" s="24"/>
      <c r="M37" s="4"/>
      <c r="N37" s="76"/>
      <c r="O37" s="76"/>
      <c r="P37" s="76" t="str">
        <f t="shared" si="9"/>
        <v>,shikkan24_start_date</v>
      </c>
      <c r="Q37" s="76" t="str">
        <f t="shared" si="10"/>
        <v>DATE</v>
      </c>
      <c r="R37" s="76" t="str">
        <f t="shared" si="11"/>
        <v/>
      </c>
      <c r="S37" s="76" t="str">
        <f t="shared" si="12"/>
        <v/>
      </c>
      <c r="T37" s="76" t="str">
        <f t="shared" si="13"/>
        <v>-- B221_疾患開始日</v>
      </c>
      <c r="U37" s="4" t="str">
        <f t="shared" si="7"/>
        <v>, CASE WHEN shikkan_disp_name = 'B221' THEN min_shikkan_start_date ::DATE ELSE NULL END AS shikkan24_start_date</v>
      </c>
      <c r="V37" s="25" t="str">
        <f t="shared" si="8"/>
        <v>, max(shikkan24_start_date)</v>
      </c>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milscm_2023_009.sny_202310_annony_shikkan2.shikkan24_start_date IS 'B221_疾患開始日';</v>
      </c>
    </row>
    <row r="38" spans="1:45" s="25" customFormat="1">
      <c r="A38" s="4" t="s">
        <v>5185</v>
      </c>
      <c r="B38" s="21">
        <f t="shared" si="2"/>
        <v>26</v>
      </c>
      <c r="C38" s="13" t="str">
        <f t="shared" si="6"/>
        <v>B222_疾患開始日</v>
      </c>
      <c r="D38" s="13" t="s">
        <v>4793</v>
      </c>
      <c r="E38" s="8"/>
      <c r="F38" s="7" t="s">
        <v>4348</v>
      </c>
      <c r="G38" s="7" t="s">
        <v>25</v>
      </c>
      <c r="H38" s="58"/>
      <c r="I38" s="23"/>
      <c r="J38" s="24"/>
      <c r="M38" s="4"/>
      <c r="N38" s="76"/>
      <c r="O38" s="76"/>
      <c r="P38" s="76" t="str">
        <f t="shared" si="9"/>
        <v>,shikkan25_start_date</v>
      </c>
      <c r="Q38" s="76" t="str">
        <f t="shared" si="10"/>
        <v>DATE</v>
      </c>
      <c r="R38" s="76" t="str">
        <f t="shared" si="11"/>
        <v/>
      </c>
      <c r="S38" s="76" t="str">
        <f t="shared" si="12"/>
        <v/>
      </c>
      <c r="T38" s="76" t="str">
        <f t="shared" si="13"/>
        <v>-- B222_疾患開始日</v>
      </c>
      <c r="U38" s="4" t="str">
        <f t="shared" si="7"/>
        <v>, CASE WHEN shikkan_disp_name = 'B222' THEN min_shikkan_start_date ::DATE ELSE NULL END AS shikkan25_start_date</v>
      </c>
      <c r="V38" s="25" t="str">
        <f t="shared" si="8"/>
        <v>, max(shikkan25_start_date)</v>
      </c>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milscm_2023_009.sny_202310_annony_shikkan2.shikkan25_start_date IS 'B222_疾患開始日';</v>
      </c>
    </row>
    <row r="39" spans="1:45" s="25" customFormat="1">
      <c r="A39" s="4" t="s">
        <v>5186</v>
      </c>
      <c r="B39" s="21">
        <f t="shared" si="2"/>
        <v>27</v>
      </c>
      <c r="C39" s="13" t="str">
        <f t="shared" si="6"/>
        <v>B227_疾患開始日</v>
      </c>
      <c r="D39" s="13" t="s">
        <v>4794</v>
      </c>
      <c r="E39" s="8"/>
      <c r="F39" s="7" t="s">
        <v>4348</v>
      </c>
      <c r="G39" s="7" t="s">
        <v>25</v>
      </c>
      <c r="H39" s="58"/>
      <c r="I39" s="23"/>
      <c r="J39" s="24"/>
      <c r="M39" s="4"/>
      <c r="N39" s="76"/>
      <c r="O39" s="76"/>
      <c r="P39" s="76" t="str">
        <f t="shared" si="9"/>
        <v>,shikkan26_start_date</v>
      </c>
      <c r="Q39" s="76" t="str">
        <f t="shared" si="10"/>
        <v>DATE</v>
      </c>
      <c r="R39" s="76" t="str">
        <f t="shared" si="11"/>
        <v/>
      </c>
      <c r="S39" s="76" t="str">
        <f t="shared" si="12"/>
        <v/>
      </c>
      <c r="T39" s="76" t="str">
        <f t="shared" si="13"/>
        <v>-- B227_疾患開始日</v>
      </c>
      <c r="U39" s="4" t="str">
        <f t="shared" si="7"/>
        <v>, CASE WHEN shikkan_disp_name = 'B227' THEN min_shikkan_start_date ::DATE ELSE NULL END AS shikkan26_start_date</v>
      </c>
      <c r="V39" s="25" t="str">
        <f t="shared" si="8"/>
        <v>, max(shikkan26_start_date)</v>
      </c>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milscm_2023_009.sny_202310_annony_shikkan2.shikkan26_start_date IS 'B227_疾患開始日';</v>
      </c>
    </row>
    <row r="40" spans="1:45" s="25" customFormat="1">
      <c r="A40" s="4" t="s">
        <v>5158</v>
      </c>
      <c r="B40" s="21">
        <f t="shared" si="2"/>
        <v>28</v>
      </c>
      <c r="C40" s="13" t="str">
        <f t="shared" si="6"/>
        <v>B24_疾患開始日</v>
      </c>
      <c r="D40" s="13" t="s">
        <v>4795</v>
      </c>
      <c r="E40" s="8"/>
      <c r="F40" s="7" t="s">
        <v>4348</v>
      </c>
      <c r="G40" s="7" t="s">
        <v>25</v>
      </c>
      <c r="H40" s="58"/>
      <c r="I40" s="23"/>
      <c r="J40" s="24"/>
      <c r="M40" s="4"/>
      <c r="N40" s="76"/>
      <c r="O40" s="76"/>
      <c r="P40" s="76" t="str">
        <f t="shared" si="9"/>
        <v>,shikkan27_start_date</v>
      </c>
      <c r="Q40" s="76" t="str">
        <f t="shared" si="10"/>
        <v>DATE</v>
      </c>
      <c r="R40" s="76" t="str">
        <f t="shared" si="11"/>
        <v/>
      </c>
      <c r="S40" s="76" t="str">
        <f t="shared" si="12"/>
        <v/>
      </c>
      <c r="T40" s="76" t="str">
        <f t="shared" si="13"/>
        <v>-- B24_疾患開始日</v>
      </c>
      <c r="U40" s="4" t="str">
        <f t="shared" si="7"/>
        <v>, CASE WHEN shikkan_disp_name = 'B24' THEN min_shikkan_start_date ::DATE ELSE NULL END AS shikkan27_start_date</v>
      </c>
      <c r="V40" s="25" t="str">
        <f t="shared" si="8"/>
        <v>, max(shikkan27_start_date)</v>
      </c>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milscm_2023_009.sny_202310_annony_shikkan2.shikkan27_start_date IS 'B24_疾患開始日';</v>
      </c>
    </row>
    <row r="41" spans="1:45" s="25" customFormat="1">
      <c r="A41" s="4" t="s">
        <v>5187</v>
      </c>
      <c r="B41" s="21">
        <f t="shared" si="2"/>
        <v>29</v>
      </c>
      <c r="C41" s="13" t="str">
        <f t="shared" si="6"/>
        <v>C000_疾患開始日</v>
      </c>
      <c r="D41" s="13" t="s">
        <v>4796</v>
      </c>
      <c r="E41" s="8"/>
      <c r="F41" s="7" t="s">
        <v>4348</v>
      </c>
      <c r="G41" s="7" t="s">
        <v>25</v>
      </c>
      <c r="H41" s="58"/>
      <c r="I41" s="23"/>
      <c r="J41" s="24"/>
      <c r="M41" s="4"/>
      <c r="N41" s="76"/>
      <c r="O41" s="76"/>
      <c r="P41" s="76" t="str">
        <f t="shared" si="9"/>
        <v>,shikkan28_start_date</v>
      </c>
      <c r="Q41" s="76" t="str">
        <f t="shared" si="10"/>
        <v>DATE</v>
      </c>
      <c r="R41" s="76" t="str">
        <f t="shared" si="11"/>
        <v/>
      </c>
      <c r="S41" s="76" t="str">
        <f t="shared" si="12"/>
        <v/>
      </c>
      <c r="T41" s="76" t="str">
        <f t="shared" si="13"/>
        <v>-- C000_疾患開始日</v>
      </c>
      <c r="U41" s="4" t="str">
        <f t="shared" si="7"/>
        <v>, CASE WHEN shikkan_disp_name = 'C000' THEN min_shikkan_start_date ::DATE ELSE NULL END AS shikkan28_start_date</v>
      </c>
      <c r="V41" s="25" t="str">
        <f t="shared" si="8"/>
        <v>, max(shikkan28_start_date)</v>
      </c>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milscm_2023_009.sny_202310_annony_shikkan2.shikkan28_start_date IS 'C000_疾患開始日';</v>
      </c>
    </row>
    <row r="42" spans="1:45" s="25" customFormat="1">
      <c r="A42" s="4" t="s">
        <v>5188</v>
      </c>
      <c r="B42" s="21">
        <f t="shared" si="2"/>
        <v>30</v>
      </c>
      <c r="C42" s="13" t="str">
        <f t="shared" si="6"/>
        <v>C001_疾患開始日</v>
      </c>
      <c r="D42" s="13" t="s">
        <v>4797</v>
      </c>
      <c r="E42" s="8"/>
      <c r="F42" s="7" t="s">
        <v>4348</v>
      </c>
      <c r="G42" s="7" t="s">
        <v>25</v>
      </c>
      <c r="H42" s="58"/>
      <c r="I42" s="23"/>
      <c r="J42" s="24"/>
      <c r="M42" s="4"/>
      <c r="N42" s="76"/>
      <c r="O42" s="76"/>
      <c r="P42" s="76" t="str">
        <f t="shared" si="9"/>
        <v>,shikkan29_start_date</v>
      </c>
      <c r="Q42" s="76" t="str">
        <f t="shared" si="10"/>
        <v>DATE</v>
      </c>
      <c r="R42" s="76" t="str">
        <f t="shared" si="11"/>
        <v/>
      </c>
      <c r="S42" s="76" t="str">
        <f t="shared" si="12"/>
        <v/>
      </c>
      <c r="T42" s="76" t="str">
        <f t="shared" si="13"/>
        <v>-- C001_疾患開始日</v>
      </c>
      <c r="U42" s="4" t="str">
        <f t="shared" si="7"/>
        <v>, CASE WHEN shikkan_disp_name = 'C001' THEN min_shikkan_start_date ::DATE ELSE NULL END AS shikkan29_start_date</v>
      </c>
      <c r="V42" s="25" t="str">
        <f t="shared" si="8"/>
        <v>, max(shikkan29_start_date)</v>
      </c>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milscm_2023_009.sny_202310_annony_shikkan2.shikkan29_start_date IS 'C001_疾患開始日';</v>
      </c>
    </row>
    <row r="43" spans="1:45" s="25" customFormat="1">
      <c r="A43" s="4" t="s">
        <v>5189</v>
      </c>
      <c r="B43" s="21">
        <f t="shared" si="2"/>
        <v>31</v>
      </c>
      <c r="C43" s="13" t="str">
        <f t="shared" si="6"/>
        <v>C002_疾患開始日</v>
      </c>
      <c r="D43" s="13" t="s">
        <v>4798</v>
      </c>
      <c r="E43" s="8"/>
      <c r="F43" s="7" t="s">
        <v>4348</v>
      </c>
      <c r="G43" s="7" t="s">
        <v>25</v>
      </c>
      <c r="H43" s="58"/>
      <c r="I43" s="23"/>
      <c r="J43" s="24"/>
      <c r="M43" s="4"/>
      <c r="N43" s="76"/>
      <c r="O43" s="76"/>
      <c r="P43" s="76" t="str">
        <f t="shared" si="9"/>
        <v>,shikkan30_start_date</v>
      </c>
      <c r="Q43" s="76" t="str">
        <f t="shared" si="10"/>
        <v>DATE</v>
      </c>
      <c r="R43" s="76" t="str">
        <f t="shared" si="11"/>
        <v/>
      </c>
      <c r="S43" s="76" t="str">
        <f t="shared" si="12"/>
        <v/>
      </c>
      <c r="T43" s="76" t="str">
        <f t="shared" si="13"/>
        <v>-- C002_疾患開始日</v>
      </c>
      <c r="U43" s="4" t="str">
        <f t="shared" si="7"/>
        <v>, CASE WHEN shikkan_disp_name = 'C002' THEN min_shikkan_start_date ::DATE ELSE NULL END AS shikkan30_start_date</v>
      </c>
      <c r="V43" s="25" t="str">
        <f t="shared" si="8"/>
        <v>, max(shikkan30_start_date)</v>
      </c>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milscm_2023_009.sny_202310_annony_shikkan2.shikkan30_start_date IS 'C002_疾患開始日';</v>
      </c>
    </row>
    <row r="44" spans="1:45" s="25" customFormat="1">
      <c r="A44" s="4" t="s">
        <v>5190</v>
      </c>
      <c r="B44" s="21">
        <f t="shared" si="2"/>
        <v>32</v>
      </c>
      <c r="C44" s="13" t="str">
        <f t="shared" si="6"/>
        <v>C003_疾患開始日</v>
      </c>
      <c r="D44" s="13" t="s">
        <v>4799</v>
      </c>
      <c r="E44" s="8"/>
      <c r="F44" s="7" t="s">
        <v>4348</v>
      </c>
      <c r="G44" s="7" t="s">
        <v>25</v>
      </c>
      <c r="H44" s="58"/>
      <c r="I44" s="23"/>
      <c r="J44" s="24"/>
      <c r="M44" s="4"/>
      <c r="N44" s="76"/>
      <c r="O44" s="76"/>
      <c r="P44" s="76" t="str">
        <f t="shared" si="9"/>
        <v>,shikkan31_start_date</v>
      </c>
      <c r="Q44" s="76" t="str">
        <f t="shared" si="10"/>
        <v>DATE</v>
      </c>
      <c r="R44" s="76" t="str">
        <f t="shared" si="11"/>
        <v/>
      </c>
      <c r="S44" s="76" t="str">
        <f t="shared" si="12"/>
        <v/>
      </c>
      <c r="T44" s="76" t="str">
        <f t="shared" si="13"/>
        <v>-- C003_疾患開始日</v>
      </c>
      <c r="U44" s="4" t="str">
        <f t="shared" si="7"/>
        <v>, CASE WHEN shikkan_disp_name = 'C003' THEN min_shikkan_start_date ::DATE ELSE NULL END AS shikkan31_start_date</v>
      </c>
      <c r="V44" s="25" t="str">
        <f t="shared" si="8"/>
        <v>, max(shikkan31_start_date)</v>
      </c>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milscm_2023_009.sny_202310_annony_shikkan2.shikkan31_start_date IS 'C003_疾患開始日';</v>
      </c>
    </row>
    <row r="45" spans="1:45" s="25" customFormat="1">
      <c r="A45" s="4" t="s">
        <v>5191</v>
      </c>
      <c r="B45" s="21">
        <f t="shared" si="2"/>
        <v>33</v>
      </c>
      <c r="C45" s="13" t="str">
        <f t="shared" si="6"/>
        <v>C004_疾患開始日</v>
      </c>
      <c r="D45" s="13" t="s">
        <v>4800</v>
      </c>
      <c r="E45" s="8"/>
      <c r="F45" s="7" t="s">
        <v>4348</v>
      </c>
      <c r="G45" s="7" t="s">
        <v>25</v>
      </c>
      <c r="H45" s="58"/>
      <c r="I45" s="23"/>
      <c r="J45" s="24"/>
      <c r="M45" s="4"/>
      <c r="N45" s="76"/>
      <c r="O45" s="76"/>
      <c r="P45" s="76" t="str">
        <f t="shared" si="9"/>
        <v>,shikkan32_start_date</v>
      </c>
      <c r="Q45" s="76" t="str">
        <f t="shared" si="10"/>
        <v>DATE</v>
      </c>
      <c r="R45" s="76" t="str">
        <f t="shared" si="11"/>
        <v/>
      </c>
      <c r="S45" s="76" t="str">
        <f t="shared" si="12"/>
        <v/>
      </c>
      <c r="T45" s="76" t="str">
        <f t="shared" si="13"/>
        <v>-- C004_疾患開始日</v>
      </c>
      <c r="U45" s="4" t="str">
        <f t="shared" si="7"/>
        <v>, CASE WHEN shikkan_disp_name = 'C004' THEN min_shikkan_start_date ::DATE ELSE NULL END AS shikkan32_start_date</v>
      </c>
      <c r="V45" s="25" t="str">
        <f t="shared" si="8"/>
        <v>, max(shikkan32_start_date)</v>
      </c>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milscm_2023_009.sny_202310_annony_shikkan2.shikkan32_start_date IS 'C004_疾患開始日';</v>
      </c>
    </row>
    <row r="46" spans="1:45" s="25" customFormat="1">
      <c r="A46" s="4" t="s">
        <v>5192</v>
      </c>
      <c r="B46" s="21">
        <f t="shared" si="2"/>
        <v>34</v>
      </c>
      <c r="C46" s="13" t="str">
        <f t="shared" si="6"/>
        <v>C005_疾患開始日</v>
      </c>
      <c r="D46" s="13" t="s">
        <v>4801</v>
      </c>
      <c r="E46" s="8"/>
      <c r="F46" s="7" t="s">
        <v>4348</v>
      </c>
      <c r="G46" s="7" t="s">
        <v>99</v>
      </c>
      <c r="H46" s="58"/>
      <c r="I46" s="23"/>
      <c r="J46" s="24"/>
      <c r="M46" s="4"/>
      <c r="N46" s="76"/>
      <c r="O46" s="76"/>
      <c r="P46" s="76" t="str">
        <f t="shared" si="9"/>
        <v>,shikkan33_start_date</v>
      </c>
      <c r="Q46" s="76" t="str">
        <f t="shared" si="10"/>
        <v>DATE</v>
      </c>
      <c r="R46" s="76" t="str">
        <f t="shared" si="11"/>
        <v/>
      </c>
      <c r="S46" s="76" t="str">
        <f t="shared" si="12"/>
        <v/>
      </c>
      <c r="T46" s="76" t="str">
        <f t="shared" si="13"/>
        <v>-- C005_疾患開始日</v>
      </c>
      <c r="U46" s="4" t="str">
        <f t="shared" si="7"/>
        <v>, CASE WHEN shikkan_disp_name = 'C005' THEN min_shikkan_start_date ::DATE ELSE NULL END AS shikkan33_start_date</v>
      </c>
      <c r="V46" s="25" t="str">
        <f t="shared" si="8"/>
        <v>, max(shikkan33_start_date)</v>
      </c>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milscm_2023_009.sny_202310_annony_shikkan2.shikkan33_start_date IS 'C005_疾患開始日';</v>
      </c>
    </row>
    <row r="47" spans="1:45" s="25" customFormat="1">
      <c r="A47" s="4" t="s">
        <v>5193</v>
      </c>
      <c r="B47" s="21">
        <f t="shared" si="2"/>
        <v>35</v>
      </c>
      <c r="C47" s="13" t="str">
        <f t="shared" si="6"/>
        <v>C006_疾患開始日</v>
      </c>
      <c r="D47" s="13" t="s">
        <v>4802</v>
      </c>
      <c r="E47" s="8"/>
      <c r="F47" s="7" t="s">
        <v>4348</v>
      </c>
      <c r="G47" s="7" t="s">
        <v>25</v>
      </c>
      <c r="H47" s="58"/>
      <c r="I47" s="23"/>
      <c r="J47" s="24"/>
      <c r="M47" s="4"/>
      <c r="N47" s="76"/>
      <c r="O47" s="76"/>
      <c r="P47" s="76" t="str">
        <f t="shared" si="9"/>
        <v>,shikkan34_start_date</v>
      </c>
      <c r="Q47" s="76" t="str">
        <f t="shared" si="10"/>
        <v>DATE</v>
      </c>
      <c r="R47" s="76" t="str">
        <f t="shared" si="11"/>
        <v/>
      </c>
      <c r="S47" s="76" t="str">
        <f t="shared" si="12"/>
        <v/>
      </c>
      <c r="T47" s="76" t="str">
        <f t="shared" si="13"/>
        <v>-- C006_疾患開始日</v>
      </c>
      <c r="U47" s="4" t="str">
        <f t="shared" si="7"/>
        <v>, CASE WHEN shikkan_disp_name = 'C006' THEN min_shikkan_start_date ::DATE ELSE NULL END AS shikkan34_start_date</v>
      </c>
      <c r="V47" s="25" t="str">
        <f t="shared" si="8"/>
        <v>, max(shikkan34_start_date)</v>
      </c>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milscm_2023_009.sny_202310_annony_shikkan2.shikkan34_start_date IS 'C006_疾患開始日';</v>
      </c>
    </row>
    <row r="48" spans="1:45" s="25" customFormat="1">
      <c r="A48" s="4" t="s">
        <v>5194</v>
      </c>
      <c r="B48" s="21">
        <f t="shared" si="2"/>
        <v>36</v>
      </c>
      <c r="C48" s="13" t="str">
        <f t="shared" si="6"/>
        <v>C008_疾患開始日</v>
      </c>
      <c r="D48" s="13" t="s">
        <v>4803</v>
      </c>
      <c r="E48" s="8"/>
      <c r="F48" s="7" t="s">
        <v>4348</v>
      </c>
      <c r="G48" s="7" t="s">
        <v>25</v>
      </c>
      <c r="H48" s="58"/>
      <c r="I48" s="23"/>
      <c r="J48" s="24"/>
      <c r="M48" s="4"/>
      <c r="N48" s="76"/>
      <c r="O48" s="76"/>
      <c r="P48" s="76" t="str">
        <f t="shared" si="9"/>
        <v>,shikkan35_start_date</v>
      </c>
      <c r="Q48" s="76" t="str">
        <f t="shared" si="10"/>
        <v>DATE</v>
      </c>
      <c r="R48" s="76" t="str">
        <f t="shared" si="11"/>
        <v/>
      </c>
      <c r="S48" s="76" t="str">
        <f t="shared" si="12"/>
        <v/>
      </c>
      <c r="T48" s="76" t="str">
        <f t="shared" si="13"/>
        <v>-- C008_疾患開始日</v>
      </c>
      <c r="U48" s="4" t="str">
        <f t="shared" si="7"/>
        <v>, CASE WHEN shikkan_disp_name = 'C008' THEN min_shikkan_start_date ::DATE ELSE NULL END AS shikkan35_start_date</v>
      </c>
      <c r="V48" s="25" t="str">
        <f t="shared" si="8"/>
        <v>, max(shikkan35_start_date)</v>
      </c>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milscm_2023_009.sny_202310_annony_shikkan2.shikkan35_start_date IS 'C008_疾患開始日';</v>
      </c>
    </row>
    <row r="49" spans="1:45" s="25" customFormat="1">
      <c r="A49" s="4" t="s">
        <v>5195</v>
      </c>
      <c r="B49" s="21">
        <f t="shared" si="2"/>
        <v>37</v>
      </c>
      <c r="C49" s="13" t="str">
        <f t="shared" si="6"/>
        <v>C009_疾患開始日</v>
      </c>
      <c r="D49" s="13" t="s">
        <v>4804</v>
      </c>
      <c r="E49" s="8"/>
      <c r="F49" s="7" t="s">
        <v>4348</v>
      </c>
      <c r="G49" s="7" t="s">
        <v>25</v>
      </c>
      <c r="H49" s="58"/>
      <c r="I49" s="23"/>
      <c r="J49" s="24"/>
      <c r="M49" s="4"/>
      <c r="N49" s="76"/>
      <c r="O49" s="76"/>
      <c r="P49" s="76" t="str">
        <f t="shared" si="9"/>
        <v>,shikkan36_start_date</v>
      </c>
      <c r="Q49" s="76" t="str">
        <f t="shared" si="10"/>
        <v>DATE</v>
      </c>
      <c r="R49" s="76" t="str">
        <f t="shared" si="11"/>
        <v/>
      </c>
      <c r="S49" s="76" t="str">
        <f t="shared" si="12"/>
        <v/>
      </c>
      <c r="T49" s="76" t="str">
        <f t="shared" si="13"/>
        <v>-- C009_疾患開始日</v>
      </c>
      <c r="U49" s="4" t="str">
        <f t="shared" si="7"/>
        <v>, CASE WHEN shikkan_disp_name = 'C009' THEN min_shikkan_start_date ::DATE ELSE NULL END AS shikkan36_start_date</v>
      </c>
      <c r="V49" s="25" t="str">
        <f t="shared" si="8"/>
        <v>, max(shikkan36_start_date)</v>
      </c>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milscm_2023_009.sny_202310_annony_shikkan2.shikkan36_start_date IS 'C009_疾患開始日';</v>
      </c>
    </row>
    <row r="50" spans="1:45" s="25" customFormat="1">
      <c r="A50" s="4" t="s">
        <v>5140</v>
      </c>
      <c r="B50" s="21">
        <f t="shared" si="2"/>
        <v>38</v>
      </c>
      <c r="C50" s="13" t="str">
        <f t="shared" si="6"/>
        <v>C01_疾患開始日</v>
      </c>
      <c r="D50" s="13" t="s">
        <v>4805</v>
      </c>
      <c r="E50" s="8"/>
      <c r="F50" s="7" t="s">
        <v>4348</v>
      </c>
      <c r="G50" s="7" t="s">
        <v>25</v>
      </c>
      <c r="H50" s="58"/>
      <c r="I50" s="23"/>
      <c r="J50" s="24"/>
      <c r="M50" s="4"/>
      <c r="N50" s="76"/>
      <c r="O50" s="76"/>
      <c r="P50" s="76" t="str">
        <f t="shared" si="9"/>
        <v>,shikkan37_start_date</v>
      </c>
      <c r="Q50" s="76" t="str">
        <f t="shared" si="10"/>
        <v>DATE</v>
      </c>
      <c r="R50" s="76" t="str">
        <f t="shared" si="11"/>
        <v/>
      </c>
      <c r="S50" s="76" t="str">
        <f t="shared" si="12"/>
        <v/>
      </c>
      <c r="T50" s="76" t="str">
        <f t="shared" si="13"/>
        <v>-- C01_疾患開始日</v>
      </c>
      <c r="U50" s="4" t="str">
        <f t="shared" si="7"/>
        <v>, CASE WHEN shikkan_disp_name = 'C01' THEN min_shikkan_start_date ::DATE ELSE NULL END AS shikkan37_start_date</v>
      </c>
      <c r="V50" s="25" t="str">
        <f t="shared" si="8"/>
        <v>, max(shikkan37_start_date)</v>
      </c>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milscm_2023_009.sny_202310_annony_shikkan2.shikkan37_start_date IS 'C01_疾患開始日';</v>
      </c>
    </row>
    <row r="51" spans="1:45" s="25" customFormat="1">
      <c r="A51" s="4" t="s">
        <v>5196</v>
      </c>
      <c r="B51" s="21">
        <f t="shared" si="2"/>
        <v>39</v>
      </c>
      <c r="C51" s="13" t="str">
        <f t="shared" si="6"/>
        <v>C020_疾患開始日</v>
      </c>
      <c r="D51" s="13" t="s">
        <v>4806</v>
      </c>
      <c r="E51" s="8"/>
      <c r="F51" s="7" t="s">
        <v>4348</v>
      </c>
      <c r="G51" s="7" t="s">
        <v>25</v>
      </c>
      <c r="H51" s="58"/>
      <c r="I51" s="23"/>
      <c r="J51" s="24"/>
      <c r="M51" s="4"/>
      <c r="N51" s="76"/>
      <c r="O51" s="76"/>
      <c r="P51" s="76" t="str">
        <f t="shared" si="9"/>
        <v>,shikkan38_start_date</v>
      </c>
      <c r="Q51" s="76" t="str">
        <f t="shared" si="10"/>
        <v>DATE</v>
      </c>
      <c r="R51" s="76" t="str">
        <f t="shared" si="11"/>
        <v/>
      </c>
      <c r="S51" s="76" t="str">
        <f t="shared" si="12"/>
        <v/>
      </c>
      <c r="T51" s="76" t="str">
        <f t="shared" si="13"/>
        <v>-- C020_疾患開始日</v>
      </c>
      <c r="U51" s="4" t="str">
        <f t="shared" si="7"/>
        <v>, CASE WHEN shikkan_disp_name = 'C020' THEN min_shikkan_start_date ::DATE ELSE NULL END AS shikkan38_start_date</v>
      </c>
      <c r="V51" s="25" t="str">
        <f t="shared" si="8"/>
        <v>, max(shikkan38_start_date)</v>
      </c>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milscm_2023_009.sny_202310_annony_shikkan2.shikkan38_start_date IS 'C020_疾患開始日';</v>
      </c>
    </row>
    <row r="52" spans="1:45" s="25" customFormat="1">
      <c r="A52" s="4" t="s">
        <v>5197</v>
      </c>
      <c r="B52" s="21">
        <f t="shared" si="2"/>
        <v>40</v>
      </c>
      <c r="C52" s="13" t="str">
        <f t="shared" si="6"/>
        <v>C021_疾患開始日</v>
      </c>
      <c r="D52" s="13" t="s">
        <v>4807</v>
      </c>
      <c r="E52" s="8"/>
      <c r="F52" s="7" t="s">
        <v>4348</v>
      </c>
      <c r="G52" s="7" t="s">
        <v>25</v>
      </c>
      <c r="H52" s="58"/>
      <c r="I52" s="23"/>
      <c r="J52" s="24"/>
      <c r="M52" s="4"/>
      <c r="N52" s="76"/>
      <c r="O52" s="76"/>
      <c r="P52" s="76" t="str">
        <f t="shared" si="9"/>
        <v>,shikkan39_start_date</v>
      </c>
      <c r="Q52" s="76" t="str">
        <f t="shared" si="10"/>
        <v>DATE</v>
      </c>
      <c r="R52" s="76" t="str">
        <f t="shared" si="11"/>
        <v/>
      </c>
      <c r="S52" s="76" t="str">
        <f t="shared" si="12"/>
        <v/>
      </c>
      <c r="T52" s="76" t="str">
        <f t="shared" si="13"/>
        <v>-- C021_疾患開始日</v>
      </c>
      <c r="U52" s="4" t="str">
        <f t="shared" si="7"/>
        <v>, CASE WHEN shikkan_disp_name = 'C021' THEN min_shikkan_start_date ::DATE ELSE NULL END AS shikkan39_start_date</v>
      </c>
      <c r="V52" s="25" t="str">
        <f t="shared" si="8"/>
        <v>, max(shikkan39_start_date)</v>
      </c>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milscm_2023_009.sny_202310_annony_shikkan2.shikkan39_start_date IS 'C021_疾患開始日';</v>
      </c>
    </row>
    <row r="53" spans="1:45" s="25" customFormat="1">
      <c r="A53" s="4" t="s">
        <v>5198</v>
      </c>
      <c r="B53" s="21">
        <f t="shared" si="2"/>
        <v>41</v>
      </c>
      <c r="C53" s="13" t="str">
        <f t="shared" si="6"/>
        <v>C022_疾患開始日</v>
      </c>
      <c r="D53" s="13" t="s">
        <v>4808</v>
      </c>
      <c r="E53" s="8"/>
      <c r="F53" s="7" t="s">
        <v>4348</v>
      </c>
      <c r="G53" s="7" t="s">
        <v>25</v>
      </c>
      <c r="H53" s="58"/>
      <c r="I53" s="23"/>
      <c r="J53" s="24"/>
      <c r="M53" s="4"/>
      <c r="N53" s="76"/>
      <c r="O53" s="76"/>
      <c r="P53" s="76" t="str">
        <f t="shared" si="9"/>
        <v>,shikkan40_start_date</v>
      </c>
      <c r="Q53" s="76" t="str">
        <f t="shared" si="10"/>
        <v>DATE</v>
      </c>
      <c r="R53" s="76" t="str">
        <f t="shared" si="11"/>
        <v/>
      </c>
      <c r="S53" s="76" t="str">
        <f t="shared" si="12"/>
        <v/>
      </c>
      <c r="T53" s="76" t="str">
        <f t="shared" si="13"/>
        <v>-- C022_疾患開始日</v>
      </c>
      <c r="U53" s="4" t="str">
        <f t="shared" si="7"/>
        <v>, CASE WHEN shikkan_disp_name = 'C022' THEN min_shikkan_start_date ::DATE ELSE NULL END AS shikkan40_start_date</v>
      </c>
      <c r="V53" s="25" t="str">
        <f t="shared" si="8"/>
        <v>, max(shikkan40_start_date)</v>
      </c>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milscm_2023_009.sny_202310_annony_shikkan2.shikkan40_start_date IS 'C022_疾患開始日';</v>
      </c>
    </row>
    <row r="54" spans="1:45" s="25" customFormat="1">
      <c r="A54" s="4" t="s">
        <v>5199</v>
      </c>
      <c r="B54" s="21">
        <f t="shared" si="2"/>
        <v>42</v>
      </c>
      <c r="C54" s="13" t="str">
        <f t="shared" si="6"/>
        <v>C023_疾患開始日</v>
      </c>
      <c r="D54" s="13" t="s">
        <v>4809</v>
      </c>
      <c r="E54" s="8"/>
      <c r="F54" s="7" t="s">
        <v>4348</v>
      </c>
      <c r="G54" s="7" t="s">
        <v>25</v>
      </c>
      <c r="H54" s="58"/>
      <c r="I54" s="23"/>
      <c r="J54" s="24"/>
      <c r="M54" s="4"/>
      <c r="N54" s="76"/>
      <c r="O54" s="76"/>
      <c r="P54" s="76" t="str">
        <f t="shared" si="9"/>
        <v>,shikkan41_start_date</v>
      </c>
      <c r="Q54" s="76" t="str">
        <f t="shared" si="10"/>
        <v>DATE</v>
      </c>
      <c r="R54" s="76" t="str">
        <f t="shared" si="11"/>
        <v/>
      </c>
      <c r="S54" s="76" t="str">
        <f t="shared" si="12"/>
        <v/>
      </c>
      <c r="T54" s="76" t="str">
        <f t="shared" si="13"/>
        <v>-- C023_疾患開始日</v>
      </c>
      <c r="U54" s="4" t="str">
        <f t="shared" si="7"/>
        <v>, CASE WHEN shikkan_disp_name = 'C023' THEN min_shikkan_start_date ::DATE ELSE NULL END AS shikkan41_start_date</v>
      </c>
      <c r="V54" s="25" t="str">
        <f t="shared" si="8"/>
        <v>, max(shikkan41_start_date)</v>
      </c>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milscm_2023_009.sny_202310_annony_shikkan2.shikkan41_start_date IS 'C023_疾患開始日';</v>
      </c>
    </row>
    <row r="55" spans="1:45" s="25" customFormat="1">
      <c r="A55" s="4" t="s">
        <v>5200</v>
      </c>
      <c r="B55" s="21">
        <f t="shared" si="2"/>
        <v>43</v>
      </c>
      <c r="C55" s="13" t="str">
        <f t="shared" si="6"/>
        <v>C024_疾患開始日</v>
      </c>
      <c r="D55" s="13" t="s">
        <v>4810</v>
      </c>
      <c r="E55" s="8"/>
      <c r="F55" s="7" t="s">
        <v>4348</v>
      </c>
      <c r="G55" s="7" t="s">
        <v>25</v>
      </c>
      <c r="H55" s="58"/>
      <c r="I55" s="23"/>
      <c r="J55" s="24"/>
      <c r="M55" s="4"/>
      <c r="N55" s="76"/>
      <c r="O55" s="76"/>
      <c r="P55" s="76" t="str">
        <f t="shared" si="9"/>
        <v>,shikkan42_start_date</v>
      </c>
      <c r="Q55" s="76" t="str">
        <f t="shared" si="10"/>
        <v>DATE</v>
      </c>
      <c r="R55" s="76" t="str">
        <f t="shared" si="11"/>
        <v/>
      </c>
      <c r="S55" s="76" t="str">
        <f t="shared" si="12"/>
        <v/>
      </c>
      <c r="T55" s="76" t="str">
        <f t="shared" si="13"/>
        <v>-- C024_疾患開始日</v>
      </c>
      <c r="U55" s="4" t="str">
        <f t="shared" si="7"/>
        <v>, CASE WHEN shikkan_disp_name = 'C024' THEN min_shikkan_start_date ::DATE ELSE NULL END AS shikkan42_start_date</v>
      </c>
      <c r="V55" s="25" t="str">
        <f t="shared" si="8"/>
        <v>, max(shikkan42_start_date)</v>
      </c>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milscm_2023_009.sny_202310_annony_shikkan2.shikkan42_start_date IS 'C024_疾患開始日';</v>
      </c>
    </row>
    <row r="56" spans="1:45" s="25" customFormat="1">
      <c r="A56" s="4" t="s">
        <v>5201</v>
      </c>
      <c r="B56" s="21">
        <f t="shared" si="2"/>
        <v>44</v>
      </c>
      <c r="C56" s="13" t="str">
        <f t="shared" si="6"/>
        <v>C028_疾患開始日</v>
      </c>
      <c r="D56" s="13" t="s">
        <v>4811</v>
      </c>
      <c r="E56" s="8"/>
      <c r="F56" s="7" t="s">
        <v>4348</v>
      </c>
      <c r="G56" s="7" t="s">
        <v>25</v>
      </c>
      <c r="H56" s="58"/>
      <c r="I56" s="23"/>
      <c r="J56" s="24"/>
      <c r="M56" s="4"/>
      <c r="N56" s="76"/>
      <c r="O56" s="76"/>
      <c r="P56" s="76" t="str">
        <f t="shared" si="9"/>
        <v>,shikkan43_start_date</v>
      </c>
      <c r="Q56" s="76" t="str">
        <f t="shared" si="10"/>
        <v>DATE</v>
      </c>
      <c r="R56" s="76" t="str">
        <f t="shared" si="11"/>
        <v/>
      </c>
      <c r="S56" s="76" t="str">
        <f t="shared" si="12"/>
        <v/>
      </c>
      <c r="T56" s="76" t="str">
        <f t="shared" si="13"/>
        <v>-- C028_疾患開始日</v>
      </c>
      <c r="U56" s="4" t="str">
        <f t="shared" si="7"/>
        <v>, CASE WHEN shikkan_disp_name = 'C028' THEN min_shikkan_start_date ::DATE ELSE NULL END AS shikkan43_start_date</v>
      </c>
      <c r="V56" s="25" t="str">
        <f t="shared" si="8"/>
        <v>, max(shikkan43_start_date)</v>
      </c>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milscm_2023_009.sny_202310_annony_shikkan2.shikkan43_start_date IS 'C028_疾患開始日';</v>
      </c>
    </row>
    <row r="57" spans="1:45" s="25" customFormat="1">
      <c r="A57" s="4" t="s">
        <v>5202</v>
      </c>
      <c r="B57" s="21">
        <f t="shared" si="2"/>
        <v>45</v>
      </c>
      <c r="C57" s="13" t="str">
        <f t="shared" si="6"/>
        <v>C029_疾患開始日</v>
      </c>
      <c r="D57" s="13" t="s">
        <v>4812</v>
      </c>
      <c r="E57" s="8"/>
      <c r="F57" s="7" t="s">
        <v>4348</v>
      </c>
      <c r="G57" s="7" t="s">
        <v>25</v>
      </c>
      <c r="H57" s="58"/>
      <c r="I57" s="23"/>
      <c r="J57" s="24"/>
      <c r="M57" s="4"/>
      <c r="N57" s="76"/>
      <c r="O57" s="76"/>
      <c r="P57" s="76" t="str">
        <f t="shared" si="9"/>
        <v>,shikkan44_start_date</v>
      </c>
      <c r="Q57" s="76" t="str">
        <f t="shared" si="10"/>
        <v>DATE</v>
      </c>
      <c r="R57" s="76" t="str">
        <f t="shared" si="11"/>
        <v/>
      </c>
      <c r="S57" s="76" t="str">
        <f t="shared" si="12"/>
        <v/>
      </c>
      <c r="T57" s="76" t="str">
        <f t="shared" si="13"/>
        <v>-- C029_疾患開始日</v>
      </c>
      <c r="U57" s="4" t="str">
        <f t="shared" si="7"/>
        <v>, CASE WHEN shikkan_disp_name = 'C029' THEN min_shikkan_start_date ::DATE ELSE NULL END AS shikkan44_start_date</v>
      </c>
      <c r="V57" s="25" t="str">
        <f t="shared" si="8"/>
        <v>, max(shikkan44_start_date)</v>
      </c>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milscm_2023_009.sny_202310_annony_shikkan2.shikkan44_start_date IS 'C029_疾患開始日';</v>
      </c>
    </row>
    <row r="58" spans="1:45" s="25" customFormat="1">
      <c r="A58" s="4" t="s">
        <v>5203</v>
      </c>
      <c r="B58" s="21">
        <f t="shared" si="2"/>
        <v>46</v>
      </c>
      <c r="C58" s="13" t="str">
        <f t="shared" si="6"/>
        <v>C030_疾患開始日</v>
      </c>
      <c r="D58" s="13" t="s">
        <v>4813</v>
      </c>
      <c r="E58" s="8"/>
      <c r="F58" s="7" t="s">
        <v>4348</v>
      </c>
      <c r="G58" s="7" t="s">
        <v>25</v>
      </c>
      <c r="H58" s="58"/>
      <c r="I58" s="23"/>
      <c r="J58" s="24"/>
      <c r="M58" s="4"/>
      <c r="N58" s="76"/>
      <c r="O58" s="76"/>
      <c r="P58" s="76" t="str">
        <f t="shared" si="9"/>
        <v>,shikkan45_start_date</v>
      </c>
      <c r="Q58" s="76" t="str">
        <f t="shared" si="10"/>
        <v>DATE</v>
      </c>
      <c r="R58" s="76" t="str">
        <f t="shared" si="11"/>
        <v/>
      </c>
      <c r="S58" s="76" t="str">
        <f t="shared" si="12"/>
        <v/>
      </c>
      <c r="T58" s="76" t="str">
        <f t="shared" si="13"/>
        <v>-- C030_疾患開始日</v>
      </c>
      <c r="U58" s="4" t="str">
        <f t="shared" si="7"/>
        <v>, CASE WHEN shikkan_disp_name = 'C030' THEN min_shikkan_start_date ::DATE ELSE NULL END AS shikkan45_start_date</v>
      </c>
      <c r="V58" s="25" t="str">
        <f t="shared" si="8"/>
        <v>, max(shikkan45_start_date)</v>
      </c>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milscm_2023_009.sny_202310_annony_shikkan2.shikkan45_start_date IS 'C030_疾患開始日';</v>
      </c>
    </row>
    <row r="59" spans="1:45" s="25" customFormat="1">
      <c r="A59" s="4" t="s">
        <v>5204</v>
      </c>
      <c r="B59" s="21">
        <f t="shared" si="2"/>
        <v>47</v>
      </c>
      <c r="C59" s="13" t="str">
        <f t="shared" si="6"/>
        <v>C031_疾患開始日</v>
      </c>
      <c r="D59" s="13" t="s">
        <v>4814</v>
      </c>
      <c r="E59" s="8"/>
      <c r="F59" s="7" t="s">
        <v>4348</v>
      </c>
      <c r="G59" s="7" t="s">
        <v>25</v>
      </c>
      <c r="H59" s="58"/>
      <c r="I59" s="23"/>
      <c r="J59" s="24"/>
      <c r="M59" s="4"/>
      <c r="N59" s="76"/>
      <c r="O59" s="76"/>
      <c r="P59" s="76" t="str">
        <f t="shared" si="9"/>
        <v>,shikkan46_start_date</v>
      </c>
      <c r="Q59" s="76" t="str">
        <f t="shared" si="10"/>
        <v>DATE</v>
      </c>
      <c r="R59" s="76" t="str">
        <f t="shared" si="11"/>
        <v/>
      </c>
      <c r="S59" s="76" t="str">
        <f t="shared" si="12"/>
        <v/>
      </c>
      <c r="T59" s="76" t="str">
        <f t="shared" si="13"/>
        <v>-- C031_疾患開始日</v>
      </c>
      <c r="U59" s="4" t="str">
        <f t="shared" si="7"/>
        <v>, CASE WHEN shikkan_disp_name = 'C031' THEN min_shikkan_start_date ::DATE ELSE NULL END AS shikkan46_start_date</v>
      </c>
      <c r="V59" s="25" t="str">
        <f t="shared" si="8"/>
        <v>, max(shikkan46_start_date)</v>
      </c>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milscm_2023_009.sny_202310_annony_shikkan2.shikkan46_start_date IS 'C031_疾患開始日';</v>
      </c>
    </row>
    <row r="60" spans="1:45" s="25" customFormat="1">
      <c r="A60" s="4" t="s">
        <v>5205</v>
      </c>
      <c r="B60" s="21">
        <f t="shared" si="2"/>
        <v>48</v>
      </c>
      <c r="C60" s="13" t="str">
        <f t="shared" si="6"/>
        <v>C039_疾患開始日</v>
      </c>
      <c r="D60" s="13" t="s">
        <v>4815</v>
      </c>
      <c r="E60" s="8"/>
      <c r="F60" s="7" t="s">
        <v>4348</v>
      </c>
      <c r="G60" s="7" t="s">
        <v>25</v>
      </c>
      <c r="H60" s="58"/>
      <c r="I60" s="23"/>
      <c r="J60" s="24"/>
      <c r="M60" s="4"/>
      <c r="N60" s="76"/>
      <c r="O60" s="76"/>
      <c r="P60" s="76" t="str">
        <f t="shared" si="9"/>
        <v>,shikkan47_start_date</v>
      </c>
      <c r="Q60" s="76" t="str">
        <f t="shared" si="10"/>
        <v>DATE</v>
      </c>
      <c r="R60" s="76" t="str">
        <f t="shared" si="11"/>
        <v/>
      </c>
      <c r="S60" s="76" t="str">
        <f t="shared" si="12"/>
        <v/>
      </c>
      <c r="T60" s="76" t="str">
        <f t="shared" si="13"/>
        <v>-- C039_疾患開始日</v>
      </c>
      <c r="U60" s="4" t="str">
        <f t="shared" si="7"/>
        <v>, CASE WHEN shikkan_disp_name = 'C039' THEN min_shikkan_start_date ::DATE ELSE NULL END AS shikkan47_start_date</v>
      </c>
      <c r="V60" s="25" t="str">
        <f t="shared" si="8"/>
        <v>, max(shikkan47_start_date)</v>
      </c>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milscm_2023_009.sny_202310_annony_shikkan2.shikkan47_start_date IS 'C039_疾患開始日';</v>
      </c>
    </row>
    <row r="61" spans="1:45" s="25" customFormat="1">
      <c r="A61" s="4" t="s">
        <v>5206</v>
      </c>
      <c r="B61" s="21">
        <f t="shared" si="2"/>
        <v>49</v>
      </c>
      <c r="C61" s="13" t="str">
        <f t="shared" si="6"/>
        <v>C040_疾患開始日</v>
      </c>
      <c r="D61" s="13" t="s">
        <v>4816</v>
      </c>
      <c r="E61" s="8"/>
      <c r="F61" s="7" t="s">
        <v>4348</v>
      </c>
      <c r="G61" s="7" t="s">
        <v>25</v>
      </c>
      <c r="H61" s="58"/>
      <c r="I61" s="23"/>
      <c r="J61" s="24"/>
      <c r="M61" s="4"/>
      <c r="N61" s="76"/>
      <c r="O61" s="76"/>
      <c r="P61" s="76" t="str">
        <f t="shared" si="9"/>
        <v>,shikkan48_start_date</v>
      </c>
      <c r="Q61" s="76" t="str">
        <f t="shared" si="10"/>
        <v>DATE</v>
      </c>
      <c r="R61" s="76" t="str">
        <f t="shared" si="11"/>
        <v/>
      </c>
      <c r="S61" s="76" t="str">
        <f t="shared" si="12"/>
        <v/>
      </c>
      <c r="T61" s="76" t="str">
        <f t="shared" si="13"/>
        <v>-- C040_疾患開始日</v>
      </c>
      <c r="U61" s="4" t="str">
        <f t="shared" si="7"/>
        <v>, CASE WHEN shikkan_disp_name = 'C040' THEN min_shikkan_start_date ::DATE ELSE NULL END AS shikkan48_start_date</v>
      </c>
      <c r="V61" s="25" t="str">
        <f t="shared" si="8"/>
        <v>, max(shikkan48_start_date)</v>
      </c>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milscm_2023_009.sny_202310_annony_shikkan2.shikkan48_start_date IS 'C040_疾患開始日';</v>
      </c>
    </row>
    <row r="62" spans="1:45" s="25" customFormat="1">
      <c r="A62" s="4" t="s">
        <v>5207</v>
      </c>
      <c r="B62" s="21">
        <f t="shared" si="2"/>
        <v>50</v>
      </c>
      <c r="C62" s="13" t="str">
        <f t="shared" si="6"/>
        <v>C041_疾患開始日</v>
      </c>
      <c r="D62" s="13" t="s">
        <v>4817</v>
      </c>
      <c r="E62" s="8"/>
      <c r="F62" s="7" t="s">
        <v>4348</v>
      </c>
      <c r="G62" s="7" t="s">
        <v>99</v>
      </c>
      <c r="H62" s="58"/>
      <c r="I62" s="23"/>
      <c r="J62" s="24"/>
      <c r="M62" s="4"/>
      <c r="N62" s="76"/>
      <c r="O62" s="76"/>
      <c r="P62" s="76" t="str">
        <f t="shared" ref="P62:P93" si="14">IF(B62&lt;&gt;1,","&amp;D62,D62)</f>
        <v>,shikkan49_start_date</v>
      </c>
      <c r="Q62" s="76" t="str">
        <f t="shared" ref="Q62:Q93" si="15">UPPER(G62)</f>
        <v>DATE</v>
      </c>
      <c r="R62" s="76" t="str">
        <f t="shared" ref="R62:R93" si="16">IF(H62&lt;&gt;"","default "&amp;IF(G62="text","'"&amp;H62&amp;"'",H62),"")</f>
        <v/>
      </c>
      <c r="S62" s="76" t="str">
        <f t="shared" ref="S62:S93" si="17">IF(I62="○","NOT NULL","")</f>
        <v/>
      </c>
      <c r="T62" s="76" t="str">
        <f t="shared" ref="T62:T93" si="18">"-- "&amp;C62</f>
        <v>-- C041_疾患開始日</v>
      </c>
      <c r="U62" s="4" t="str">
        <f t="shared" si="7"/>
        <v>, CASE WHEN shikkan_disp_name = 'C041' THEN min_shikkan_start_date ::DATE ELSE NULL END AS shikkan49_start_date</v>
      </c>
      <c r="V62" s="25" t="str">
        <f t="shared" si="8"/>
        <v>, max(shikkan49_start_date)</v>
      </c>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milscm_2023_009.sny_202310_annony_shikkan2.shikkan49_start_date IS 'C041_疾患開始日';</v>
      </c>
    </row>
    <row r="63" spans="1:45" s="25" customFormat="1">
      <c r="A63" s="4" t="s">
        <v>5208</v>
      </c>
      <c r="B63" s="21">
        <f t="shared" si="2"/>
        <v>51</v>
      </c>
      <c r="C63" s="13" t="str">
        <f t="shared" si="6"/>
        <v>C048_疾患開始日</v>
      </c>
      <c r="D63" s="13" t="s">
        <v>4818</v>
      </c>
      <c r="E63" s="8"/>
      <c r="F63" s="7" t="s">
        <v>4348</v>
      </c>
      <c r="G63" s="7" t="s">
        <v>25</v>
      </c>
      <c r="H63" s="58"/>
      <c r="I63" s="23"/>
      <c r="J63" s="24"/>
      <c r="M63" s="4"/>
      <c r="N63" s="76"/>
      <c r="O63" s="76"/>
      <c r="P63" s="76" t="str">
        <f t="shared" si="14"/>
        <v>,shikkan50_start_date</v>
      </c>
      <c r="Q63" s="76" t="str">
        <f t="shared" si="15"/>
        <v>DATE</v>
      </c>
      <c r="R63" s="76" t="str">
        <f t="shared" si="16"/>
        <v/>
      </c>
      <c r="S63" s="76" t="str">
        <f t="shared" si="17"/>
        <v/>
      </c>
      <c r="T63" s="76" t="str">
        <f t="shared" si="18"/>
        <v>-- C048_疾患開始日</v>
      </c>
      <c r="U63" s="4" t="str">
        <f t="shared" si="7"/>
        <v>, CASE WHEN shikkan_disp_name = 'C048' THEN min_shikkan_start_date ::DATE ELSE NULL END AS shikkan50_start_date</v>
      </c>
      <c r="V63" s="25" t="str">
        <f t="shared" si="8"/>
        <v>, max(shikkan50_start_date)</v>
      </c>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milscm_2023_009.sny_202310_annony_shikkan2.shikkan50_start_date IS 'C048_疾患開始日';</v>
      </c>
    </row>
    <row r="64" spans="1:45" s="25" customFormat="1">
      <c r="A64" s="4" t="s">
        <v>5209</v>
      </c>
      <c r="B64" s="21">
        <f t="shared" si="2"/>
        <v>52</v>
      </c>
      <c r="C64" s="13" t="str">
        <f t="shared" si="6"/>
        <v>C049_疾患開始日</v>
      </c>
      <c r="D64" s="13" t="s">
        <v>4819</v>
      </c>
      <c r="E64" s="8"/>
      <c r="F64" s="7" t="s">
        <v>4348</v>
      </c>
      <c r="G64" s="7" t="s">
        <v>25</v>
      </c>
      <c r="H64" s="58"/>
      <c r="I64" s="23"/>
      <c r="J64" s="24"/>
      <c r="M64" s="4"/>
      <c r="N64" s="76"/>
      <c r="O64" s="76"/>
      <c r="P64" s="76" t="str">
        <f t="shared" si="14"/>
        <v>,shikkan51_start_date</v>
      </c>
      <c r="Q64" s="76" t="str">
        <f t="shared" si="15"/>
        <v>DATE</v>
      </c>
      <c r="R64" s="76" t="str">
        <f t="shared" si="16"/>
        <v/>
      </c>
      <c r="S64" s="76" t="str">
        <f t="shared" si="17"/>
        <v/>
      </c>
      <c r="T64" s="76" t="str">
        <f t="shared" si="18"/>
        <v>-- C049_疾患開始日</v>
      </c>
      <c r="U64" s="4" t="str">
        <f t="shared" si="7"/>
        <v>, CASE WHEN shikkan_disp_name = 'C049' THEN min_shikkan_start_date ::DATE ELSE NULL END AS shikkan51_start_date</v>
      </c>
      <c r="V64" s="25" t="str">
        <f t="shared" si="8"/>
        <v>, max(shikkan51_start_date)</v>
      </c>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milscm_2023_009.sny_202310_annony_shikkan2.shikkan51_start_date IS 'C049_疾患開始日';</v>
      </c>
    </row>
    <row r="65" spans="1:45" s="25" customFormat="1">
      <c r="A65" s="4" t="s">
        <v>5210</v>
      </c>
      <c r="B65" s="21">
        <f t="shared" si="2"/>
        <v>53</v>
      </c>
      <c r="C65" s="13" t="str">
        <f t="shared" si="6"/>
        <v>C050_疾患開始日</v>
      </c>
      <c r="D65" s="13" t="s">
        <v>4820</v>
      </c>
      <c r="E65" s="8"/>
      <c r="F65" s="7" t="s">
        <v>4348</v>
      </c>
      <c r="G65" s="7" t="s">
        <v>25</v>
      </c>
      <c r="H65" s="58"/>
      <c r="I65" s="23"/>
      <c r="J65" s="24"/>
      <c r="M65" s="4"/>
      <c r="N65" s="76"/>
      <c r="O65" s="76"/>
      <c r="P65" s="76" t="str">
        <f t="shared" si="14"/>
        <v>,shikkan52_start_date</v>
      </c>
      <c r="Q65" s="76" t="str">
        <f t="shared" si="15"/>
        <v>DATE</v>
      </c>
      <c r="R65" s="76" t="str">
        <f t="shared" si="16"/>
        <v/>
      </c>
      <c r="S65" s="76" t="str">
        <f t="shared" si="17"/>
        <v/>
      </c>
      <c r="T65" s="76" t="str">
        <f t="shared" si="18"/>
        <v>-- C050_疾患開始日</v>
      </c>
      <c r="U65" s="4" t="str">
        <f t="shared" si="7"/>
        <v>, CASE WHEN shikkan_disp_name = 'C050' THEN min_shikkan_start_date ::DATE ELSE NULL END AS shikkan52_start_date</v>
      </c>
      <c r="V65" s="25" t="str">
        <f t="shared" si="8"/>
        <v>, max(shikkan52_start_date)</v>
      </c>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milscm_2023_009.sny_202310_annony_shikkan2.shikkan52_start_date IS 'C050_疾患開始日';</v>
      </c>
    </row>
    <row r="66" spans="1:45" s="25" customFormat="1">
      <c r="A66" s="4" t="s">
        <v>5211</v>
      </c>
      <c r="B66" s="21">
        <f t="shared" si="2"/>
        <v>54</v>
      </c>
      <c r="C66" s="13" t="str">
        <f t="shared" si="6"/>
        <v>C051_疾患開始日</v>
      </c>
      <c r="D66" s="13" t="s">
        <v>4821</v>
      </c>
      <c r="E66" s="8"/>
      <c r="F66" s="7" t="s">
        <v>4348</v>
      </c>
      <c r="G66" s="7" t="s">
        <v>25</v>
      </c>
      <c r="H66" s="58"/>
      <c r="I66" s="23"/>
      <c r="J66" s="24"/>
      <c r="M66" s="4"/>
      <c r="N66" s="76"/>
      <c r="O66" s="76"/>
      <c r="P66" s="76" t="str">
        <f t="shared" si="14"/>
        <v>,shikkan53_start_date</v>
      </c>
      <c r="Q66" s="76" t="str">
        <f t="shared" si="15"/>
        <v>DATE</v>
      </c>
      <c r="R66" s="76" t="str">
        <f t="shared" si="16"/>
        <v/>
      </c>
      <c r="S66" s="76" t="str">
        <f t="shared" si="17"/>
        <v/>
      </c>
      <c r="T66" s="76" t="str">
        <f t="shared" si="18"/>
        <v>-- C051_疾患開始日</v>
      </c>
      <c r="U66" s="4" t="str">
        <f t="shared" si="7"/>
        <v>, CASE WHEN shikkan_disp_name = 'C051' THEN min_shikkan_start_date ::DATE ELSE NULL END AS shikkan53_start_date</v>
      </c>
      <c r="V66" s="25" t="str">
        <f t="shared" si="8"/>
        <v>, max(shikkan53_start_date)</v>
      </c>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milscm_2023_009.sny_202310_annony_shikkan2.shikkan53_start_date IS 'C051_疾患開始日';</v>
      </c>
    </row>
    <row r="67" spans="1:45" s="25" customFormat="1">
      <c r="A67" s="4" t="s">
        <v>5212</v>
      </c>
      <c r="B67" s="21">
        <f t="shared" si="2"/>
        <v>55</v>
      </c>
      <c r="C67" s="13" t="str">
        <f t="shared" si="6"/>
        <v>C052_疾患開始日</v>
      </c>
      <c r="D67" s="13" t="s">
        <v>4822</v>
      </c>
      <c r="E67" s="8"/>
      <c r="F67" s="7" t="s">
        <v>4348</v>
      </c>
      <c r="G67" s="7" t="s">
        <v>25</v>
      </c>
      <c r="H67" s="58"/>
      <c r="I67" s="23"/>
      <c r="J67" s="24"/>
      <c r="M67" s="4"/>
      <c r="N67" s="76"/>
      <c r="O67" s="76"/>
      <c r="P67" s="76" t="str">
        <f t="shared" si="14"/>
        <v>,shikkan54_start_date</v>
      </c>
      <c r="Q67" s="76" t="str">
        <f t="shared" si="15"/>
        <v>DATE</v>
      </c>
      <c r="R67" s="76" t="str">
        <f t="shared" si="16"/>
        <v/>
      </c>
      <c r="S67" s="76" t="str">
        <f t="shared" si="17"/>
        <v/>
      </c>
      <c r="T67" s="76" t="str">
        <f t="shared" si="18"/>
        <v>-- C052_疾患開始日</v>
      </c>
      <c r="U67" s="4" t="str">
        <f t="shared" si="7"/>
        <v>, CASE WHEN shikkan_disp_name = 'C052' THEN min_shikkan_start_date ::DATE ELSE NULL END AS shikkan54_start_date</v>
      </c>
      <c r="V67" s="25" t="str">
        <f t="shared" si="8"/>
        <v>, max(shikkan54_start_date)</v>
      </c>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milscm_2023_009.sny_202310_annony_shikkan2.shikkan54_start_date IS 'C052_疾患開始日';</v>
      </c>
    </row>
    <row r="68" spans="1:45" s="25" customFormat="1">
      <c r="A68" s="4" t="s">
        <v>5213</v>
      </c>
      <c r="B68" s="21">
        <f t="shared" si="2"/>
        <v>56</v>
      </c>
      <c r="C68" s="13" t="str">
        <f t="shared" si="6"/>
        <v>C058_疾患開始日</v>
      </c>
      <c r="D68" s="13" t="s">
        <v>4823</v>
      </c>
      <c r="E68" s="8"/>
      <c r="F68" s="7" t="s">
        <v>4348</v>
      </c>
      <c r="G68" s="7" t="s">
        <v>25</v>
      </c>
      <c r="H68" s="58"/>
      <c r="I68" s="23"/>
      <c r="J68" s="24"/>
      <c r="M68" s="4"/>
      <c r="N68" s="76"/>
      <c r="O68" s="76"/>
      <c r="P68" s="76" t="str">
        <f t="shared" si="14"/>
        <v>,shikkan55_start_date</v>
      </c>
      <c r="Q68" s="76" t="str">
        <f t="shared" si="15"/>
        <v>DATE</v>
      </c>
      <c r="R68" s="76" t="str">
        <f t="shared" si="16"/>
        <v/>
      </c>
      <c r="S68" s="76" t="str">
        <f t="shared" si="17"/>
        <v/>
      </c>
      <c r="T68" s="76" t="str">
        <f t="shared" si="18"/>
        <v>-- C058_疾患開始日</v>
      </c>
      <c r="U68" s="4" t="str">
        <f t="shared" si="7"/>
        <v>, CASE WHEN shikkan_disp_name = 'C058' THEN min_shikkan_start_date ::DATE ELSE NULL END AS shikkan55_start_date</v>
      </c>
      <c r="V68" s="25" t="str">
        <f t="shared" si="8"/>
        <v>, max(shikkan55_start_date)</v>
      </c>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milscm_2023_009.sny_202310_annony_shikkan2.shikkan55_start_date IS 'C058_疾患開始日';</v>
      </c>
    </row>
    <row r="69" spans="1:45" s="25" customFormat="1">
      <c r="A69" s="4" t="s">
        <v>5214</v>
      </c>
      <c r="B69" s="21">
        <f t="shared" si="2"/>
        <v>57</v>
      </c>
      <c r="C69" s="13" t="str">
        <f t="shared" si="6"/>
        <v>C059_疾患開始日</v>
      </c>
      <c r="D69" s="13" t="s">
        <v>4824</v>
      </c>
      <c r="E69" s="8"/>
      <c r="F69" s="7" t="s">
        <v>4348</v>
      </c>
      <c r="G69" s="7" t="s">
        <v>25</v>
      </c>
      <c r="H69" s="58"/>
      <c r="I69" s="23"/>
      <c r="J69" s="24"/>
      <c r="M69" s="4"/>
      <c r="N69" s="76"/>
      <c r="O69" s="76"/>
      <c r="P69" s="76" t="str">
        <f t="shared" si="14"/>
        <v>,shikkan56_start_date</v>
      </c>
      <c r="Q69" s="76" t="str">
        <f t="shared" si="15"/>
        <v>DATE</v>
      </c>
      <c r="R69" s="76" t="str">
        <f t="shared" si="16"/>
        <v/>
      </c>
      <c r="S69" s="76" t="str">
        <f t="shared" si="17"/>
        <v/>
      </c>
      <c r="T69" s="76" t="str">
        <f t="shared" si="18"/>
        <v>-- C059_疾患開始日</v>
      </c>
      <c r="U69" s="4" t="str">
        <f t="shared" si="7"/>
        <v>, CASE WHEN shikkan_disp_name = 'C059' THEN min_shikkan_start_date ::DATE ELSE NULL END AS shikkan56_start_date</v>
      </c>
      <c r="V69" s="25" t="str">
        <f t="shared" si="8"/>
        <v>, max(shikkan56_start_date)</v>
      </c>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milscm_2023_009.sny_202310_annony_shikkan2.shikkan56_start_date IS 'C059_疾患開始日';</v>
      </c>
    </row>
    <row r="70" spans="1:45" s="25" customFormat="1">
      <c r="A70" s="4" t="s">
        <v>5215</v>
      </c>
      <c r="B70" s="21">
        <f t="shared" si="2"/>
        <v>58</v>
      </c>
      <c r="C70" s="13" t="str">
        <f t="shared" si="6"/>
        <v>C060_疾患開始日</v>
      </c>
      <c r="D70" s="13" t="s">
        <v>4825</v>
      </c>
      <c r="E70" s="8"/>
      <c r="F70" s="7" t="s">
        <v>4348</v>
      </c>
      <c r="G70" s="7" t="s">
        <v>25</v>
      </c>
      <c r="H70" s="58"/>
      <c r="I70" s="23"/>
      <c r="J70" s="24"/>
      <c r="M70" s="4"/>
      <c r="N70" s="76"/>
      <c r="O70" s="76"/>
      <c r="P70" s="76" t="str">
        <f t="shared" si="14"/>
        <v>,shikkan57_start_date</v>
      </c>
      <c r="Q70" s="76" t="str">
        <f t="shared" si="15"/>
        <v>DATE</v>
      </c>
      <c r="R70" s="76" t="str">
        <f t="shared" si="16"/>
        <v/>
      </c>
      <c r="S70" s="76" t="str">
        <f t="shared" si="17"/>
        <v/>
      </c>
      <c r="T70" s="76" t="str">
        <f t="shared" si="18"/>
        <v>-- C060_疾患開始日</v>
      </c>
      <c r="U70" s="4" t="str">
        <f t="shared" si="7"/>
        <v>, CASE WHEN shikkan_disp_name = 'C060' THEN min_shikkan_start_date ::DATE ELSE NULL END AS shikkan57_start_date</v>
      </c>
      <c r="V70" s="25" t="str">
        <f t="shared" si="8"/>
        <v>, max(shikkan57_start_date)</v>
      </c>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milscm_2023_009.sny_202310_annony_shikkan2.shikkan57_start_date IS 'C060_疾患開始日';</v>
      </c>
    </row>
    <row r="71" spans="1:45" s="25" customFormat="1">
      <c r="A71" s="4" t="s">
        <v>5216</v>
      </c>
      <c r="B71" s="21">
        <f t="shared" si="2"/>
        <v>59</v>
      </c>
      <c r="C71" s="13" t="str">
        <f t="shared" si="6"/>
        <v>C061_疾患開始日</v>
      </c>
      <c r="D71" s="13" t="s">
        <v>4826</v>
      </c>
      <c r="E71" s="8"/>
      <c r="F71" s="7" t="s">
        <v>4348</v>
      </c>
      <c r="G71" s="7" t="s">
        <v>25</v>
      </c>
      <c r="H71" s="58"/>
      <c r="I71" s="23"/>
      <c r="J71" s="24"/>
      <c r="M71" s="4"/>
      <c r="N71" s="76"/>
      <c r="O71" s="76"/>
      <c r="P71" s="76" t="str">
        <f t="shared" si="14"/>
        <v>,shikkan58_start_date</v>
      </c>
      <c r="Q71" s="76" t="str">
        <f t="shared" si="15"/>
        <v>DATE</v>
      </c>
      <c r="R71" s="76" t="str">
        <f t="shared" si="16"/>
        <v/>
      </c>
      <c r="S71" s="76" t="str">
        <f t="shared" si="17"/>
        <v/>
      </c>
      <c r="T71" s="76" t="str">
        <f t="shared" si="18"/>
        <v>-- C061_疾患開始日</v>
      </c>
      <c r="U71" s="4" t="str">
        <f t="shared" si="7"/>
        <v>, CASE WHEN shikkan_disp_name = 'C061' THEN min_shikkan_start_date ::DATE ELSE NULL END AS shikkan58_start_date</v>
      </c>
      <c r="V71" s="25" t="str">
        <f t="shared" si="8"/>
        <v>, max(shikkan58_start_date)</v>
      </c>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milscm_2023_009.sny_202310_annony_shikkan2.shikkan58_start_date IS 'C061_疾患開始日';</v>
      </c>
    </row>
    <row r="72" spans="1:45" s="25" customFormat="1">
      <c r="A72" s="4" t="s">
        <v>5217</v>
      </c>
      <c r="B72" s="21">
        <f t="shared" si="2"/>
        <v>60</v>
      </c>
      <c r="C72" s="13" t="str">
        <f t="shared" si="6"/>
        <v>C062_疾患開始日</v>
      </c>
      <c r="D72" s="13" t="s">
        <v>4827</v>
      </c>
      <c r="E72" s="8"/>
      <c r="F72" s="7" t="s">
        <v>4348</v>
      </c>
      <c r="G72" s="7" t="s">
        <v>25</v>
      </c>
      <c r="H72" s="58"/>
      <c r="I72" s="23"/>
      <c r="J72" s="24"/>
      <c r="M72" s="4"/>
      <c r="N72" s="76"/>
      <c r="O72" s="76"/>
      <c r="P72" s="76" t="str">
        <f t="shared" si="14"/>
        <v>,shikkan59_start_date</v>
      </c>
      <c r="Q72" s="76" t="str">
        <f t="shared" si="15"/>
        <v>DATE</v>
      </c>
      <c r="R72" s="76" t="str">
        <f t="shared" si="16"/>
        <v/>
      </c>
      <c r="S72" s="76" t="str">
        <f t="shared" si="17"/>
        <v/>
      </c>
      <c r="T72" s="76" t="str">
        <f t="shared" si="18"/>
        <v>-- C062_疾患開始日</v>
      </c>
      <c r="U72" s="4" t="str">
        <f t="shared" si="7"/>
        <v>, CASE WHEN shikkan_disp_name = 'C062' THEN min_shikkan_start_date ::DATE ELSE NULL END AS shikkan59_start_date</v>
      </c>
      <c r="V72" s="25" t="str">
        <f t="shared" si="8"/>
        <v>, max(shikkan59_start_date)</v>
      </c>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milscm_2023_009.sny_202310_annony_shikkan2.shikkan59_start_date IS 'C062_疾患開始日';</v>
      </c>
    </row>
    <row r="73" spans="1:45" s="25" customFormat="1">
      <c r="A73" s="4" t="s">
        <v>5218</v>
      </c>
      <c r="B73" s="21">
        <f t="shared" si="2"/>
        <v>61</v>
      </c>
      <c r="C73" s="13" t="str">
        <f t="shared" si="6"/>
        <v>C068_疾患開始日</v>
      </c>
      <c r="D73" s="13" t="s">
        <v>4828</v>
      </c>
      <c r="E73" s="8"/>
      <c r="F73" s="7" t="s">
        <v>4348</v>
      </c>
      <c r="G73" s="7" t="s">
        <v>25</v>
      </c>
      <c r="H73" s="58"/>
      <c r="I73" s="23"/>
      <c r="J73" s="24"/>
      <c r="M73" s="4"/>
      <c r="N73" s="76"/>
      <c r="O73" s="76"/>
      <c r="P73" s="76" t="str">
        <f t="shared" si="14"/>
        <v>,shikkan60_start_date</v>
      </c>
      <c r="Q73" s="76" t="str">
        <f t="shared" si="15"/>
        <v>DATE</v>
      </c>
      <c r="R73" s="76" t="str">
        <f t="shared" si="16"/>
        <v/>
      </c>
      <c r="S73" s="76" t="str">
        <f t="shared" si="17"/>
        <v/>
      </c>
      <c r="T73" s="76" t="str">
        <f t="shared" si="18"/>
        <v>-- C068_疾患開始日</v>
      </c>
      <c r="U73" s="4" t="str">
        <f t="shared" si="7"/>
        <v>, CASE WHEN shikkan_disp_name = 'C068' THEN min_shikkan_start_date ::DATE ELSE NULL END AS shikkan60_start_date</v>
      </c>
      <c r="V73" s="25" t="str">
        <f t="shared" si="8"/>
        <v>, max(shikkan60_start_date)</v>
      </c>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milscm_2023_009.sny_202310_annony_shikkan2.shikkan60_start_date IS 'C068_疾患開始日';</v>
      </c>
    </row>
    <row r="74" spans="1:45" s="25" customFormat="1">
      <c r="A74" s="4" t="s">
        <v>5219</v>
      </c>
      <c r="B74" s="21">
        <f t="shared" si="2"/>
        <v>62</v>
      </c>
      <c r="C74" s="13" t="str">
        <f t="shared" si="6"/>
        <v>C069_疾患開始日</v>
      </c>
      <c r="D74" s="13" t="s">
        <v>4829</v>
      </c>
      <c r="E74" s="8"/>
      <c r="F74" s="7" t="s">
        <v>4348</v>
      </c>
      <c r="G74" s="7" t="s">
        <v>25</v>
      </c>
      <c r="H74" s="58"/>
      <c r="I74" s="23"/>
      <c r="J74" s="24"/>
      <c r="M74" s="4"/>
      <c r="N74" s="76"/>
      <c r="O74" s="76"/>
      <c r="P74" s="76" t="str">
        <f t="shared" si="14"/>
        <v>,shikkan61_start_date</v>
      </c>
      <c r="Q74" s="76" t="str">
        <f t="shared" si="15"/>
        <v>DATE</v>
      </c>
      <c r="R74" s="76" t="str">
        <f t="shared" si="16"/>
        <v/>
      </c>
      <c r="S74" s="76" t="str">
        <f t="shared" si="17"/>
        <v/>
      </c>
      <c r="T74" s="76" t="str">
        <f t="shared" si="18"/>
        <v>-- C069_疾患開始日</v>
      </c>
      <c r="U74" s="4" t="str">
        <f t="shared" si="7"/>
        <v>, CASE WHEN shikkan_disp_name = 'C069' THEN min_shikkan_start_date ::DATE ELSE NULL END AS shikkan61_start_date</v>
      </c>
      <c r="V74" s="25" t="str">
        <f t="shared" si="8"/>
        <v>, max(shikkan61_start_date)</v>
      </c>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milscm_2023_009.sny_202310_annony_shikkan2.shikkan61_start_date IS 'C069_疾患開始日';</v>
      </c>
    </row>
    <row r="75" spans="1:45" s="25" customFormat="1">
      <c r="A75" s="4" t="s">
        <v>5141</v>
      </c>
      <c r="B75" s="21">
        <f t="shared" si="2"/>
        <v>63</v>
      </c>
      <c r="C75" s="13" t="str">
        <f t="shared" si="6"/>
        <v>C07_疾患開始日</v>
      </c>
      <c r="D75" s="13" t="s">
        <v>4830</v>
      </c>
      <c r="E75" s="8"/>
      <c r="F75" s="7" t="s">
        <v>4348</v>
      </c>
      <c r="G75" s="7" t="s">
        <v>25</v>
      </c>
      <c r="H75" s="58"/>
      <c r="I75" s="23"/>
      <c r="J75" s="24"/>
      <c r="M75" s="4"/>
      <c r="N75" s="76"/>
      <c r="O75" s="76"/>
      <c r="P75" s="76" t="str">
        <f t="shared" si="14"/>
        <v>,shikkan62_start_date</v>
      </c>
      <c r="Q75" s="76" t="str">
        <f t="shared" si="15"/>
        <v>DATE</v>
      </c>
      <c r="R75" s="76" t="str">
        <f t="shared" si="16"/>
        <v/>
      </c>
      <c r="S75" s="76" t="str">
        <f t="shared" si="17"/>
        <v/>
      </c>
      <c r="T75" s="76" t="str">
        <f t="shared" si="18"/>
        <v>-- C07_疾患開始日</v>
      </c>
      <c r="U75" s="4" t="str">
        <f t="shared" si="7"/>
        <v>, CASE WHEN shikkan_disp_name = 'C07' THEN min_shikkan_start_date ::DATE ELSE NULL END AS shikkan62_start_date</v>
      </c>
      <c r="V75" s="25" t="str">
        <f t="shared" si="8"/>
        <v>, max(shikkan62_start_date)</v>
      </c>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milscm_2023_009.sny_202310_annony_shikkan2.shikkan62_start_date IS 'C07_疾患開始日';</v>
      </c>
    </row>
    <row r="76" spans="1:45" s="25" customFormat="1">
      <c r="A76" s="4" t="s">
        <v>5220</v>
      </c>
      <c r="B76" s="21">
        <f t="shared" si="2"/>
        <v>64</v>
      </c>
      <c r="C76" s="13" t="str">
        <f t="shared" si="6"/>
        <v>C080_疾患開始日</v>
      </c>
      <c r="D76" s="13" t="s">
        <v>4831</v>
      </c>
      <c r="E76" s="8"/>
      <c r="F76" s="7" t="s">
        <v>4348</v>
      </c>
      <c r="G76" s="7" t="s">
        <v>25</v>
      </c>
      <c r="H76" s="58"/>
      <c r="I76" s="23"/>
      <c r="J76" s="24"/>
      <c r="M76" s="4"/>
      <c r="N76" s="76"/>
      <c r="O76" s="76"/>
      <c r="P76" s="76" t="str">
        <f t="shared" si="14"/>
        <v>,shikkan63_start_date</v>
      </c>
      <c r="Q76" s="76" t="str">
        <f t="shared" si="15"/>
        <v>DATE</v>
      </c>
      <c r="R76" s="76" t="str">
        <f t="shared" si="16"/>
        <v/>
      </c>
      <c r="S76" s="76" t="str">
        <f t="shared" si="17"/>
        <v/>
      </c>
      <c r="T76" s="76" t="str">
        <f t="shared" si="18"/>
        <v>-- C080_疾患開始日</v>
      </c>
      <c r="U76" s="4" t="str">
        <f t="shared" si="7"/>
        <v>, CASE WHEN shikkan_disp_name = 'C080' THEN min_shikkan_start_date ::DATE ELSE NULL END AS shikkan63_start_date</v>
      </c>
      <c r="V76" s="25" t="str">
        <f t="shared" si="8"/>
        <v>, max(shikkan63_start_date)</v>
      </c>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milscm_2023_009.sny_202310_annony_shikkan2.shikkan63_start_date IS 'C080_疾患開始日';</v>
      </c>
    </row>
    <row r="77" spans="1:45" s="25" customFormat="1">
      <c r="A77" s="4" t="s">
        <v>5221</v>
      </c>
      <c r="B77" s="21">
        <f t="shared" si="2"/>
        <v>65</v>
      </c>
      <c r="C77" s="13" t="str">
        <f t="shared" si="6"/>
        <v>C081_疾患開始日</v>
      </c>
      <c r="D77" s="13" t="s">
        <v>4832</v>
      </c>
      <c r="E77" s="8"/>
      <c r="F77" s="7" t="s">
        <v>4348</v>
      </c>
      <c r="G77" s="7" t="s">
        <v>25</v>
      </c>
      <c r="H77" s="58"/>
      <c r="I77" s="23"/>
      <c r="J77" s="24"/>
      <c r="M77" s="4"/>
      <c r="N77" s="76"/>
      <c r="O77" s="76"/>
      <c r="P77" s="76" t="str">
        <f t="shared" si="14"/>
        <v>,shikkan64_start_date</v>
      </c>
      <c r="Q77" s="76" t="str">
        <f t="shared" si="15"/>
        <v>DATE</v>
      </c>
      <c r="R77" s="76" t="str">
        <f t="shared" si="16"/>
        <v/>
      </c>
      <c r="S77" s="76" t="str">
        <f t="shared" si="17"/>
        <v/>
      </c>
      <c r="T77" s="76" t="str">
        <f t="shared" si="18"/>
        <v>-- C081_疾患開始日</v>
      </c>
      <c r="U77" s="4" t="str">
        <f t="shared" si="7"/>
        <v>, CASE WHEN shikkan_disp_name = 'C081' THEN min_shikkan_start_date ::DATE ELSE NULL END AS shikkan64_start_date</v>
      </c>
      <c r="V77" s="25" t="str">
        <f t="shared" si="8"/>
        <v>, max(shikkan64_start_date)</v>
      </c>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milscm_2023_009.sny_202310_annony_shikkan2.shikkan64_start_date IS 'C081_疾患開始日';</v>
      </c>
    </row>
    <row r="78" spans="1:45" s="25" customFormat="1">
      <c r="A78" s="4" t="s">
        <v>5222</v>
      </c>
      <c r="B78" s="21">
        <f t="shared" si="2"/>
        <v>66</v>
      </c>
      <c r="C78" s="13" t="str">
        <f t="shared" si="6"/>
        <v>C088_疾患開始日</v>
      </c>
      <c r="D78" s="13" t="s">
        <v>4833</v>
      </c>
      <c r="E78" s="8"/>
      <c r="F78" s="7" t="s">
        <v>4348</v>
      </c>
      <c r="G78" s="7" t="s">
        <v>99</v>
      </c>
      <c r="H78" s="58"/>
      <c r="I78" s="23"/>
      <c r="J78" s="24"/>
      <c r="M78" s="4"/>
      <c r="N78" s="76"/>
      <c r="O78" s="76"/>
      <c r="P78" s="76" t="str">
        <f t="shared" si="14"/>
        <v>,shikkan65_start_date</v>
      </c>
      <c r="Q78" s="76" t="str">
        <f t="shared" si="15"/>
        <v>DATE</v>
      </c>
      <c r="R78" s="76" t="str">
        <f t="shared" si="16"/>
        <v/>
      </c>
      <c r="S78" s="76" t="str">
        <f t="shared" si="17"/>
        <v/>
      </c>
      <c r="T78" s="76" t="str">
        <f t="shared" si="18"/>
        <v>-- C088_疾患開始日</v>
      </c>
      <c r="U78" s="4" t="str">
        <f t="shared" si="7"/>
        <v>, CASE WHEN shikkan_disp_name = 'C088' THEN min_shikkan_start_date ::DATE ELSE NULL END AS shikkan65_start_date</v>
      </c>
      <c r="V78" s="25" t="str">
        <f t="shared" si="8"/>
        <v>, max(shikkan65_start_date)</v>
      </c>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milscm_2023_009.sny_202310_annony_shikkan2.shikkan65_start_date IS 'C088_疾患開始日';</v>
      </c>
    </row>
    <row r="79" spans="1:45" s="25" customFormat="1">
      <c r="A79" s="4" t="s">
        <v>5223</v>
      </c>
      <c r="B79" s="21">
        <f t="shared" ref="B79:B142" si="19">ROW()-12</f>
        <v>67</v>
      </c>
      <c r="C79" s="13" t="str">
        <f t="shared" ref="C79:C142" si="20">A79&amp;"_疾患開始日"</f>
        <v>C089_疾患開始日</v>
      </c>
      <c r="D79" s="13" t="s">
        <v>4834</v>
      </c>
      <c r="E79" s="8"/>
      <c r="F79" s="7" t="s">
        <v>4348</v>
      </c>
      <c r="G79" s="7" t="s">
        <v>25</v>
      </c>
      <c r="H79" s="58"/>
      <c r="I79" s="23"/>
      <c r="J79" s="24"/>
      <c r="M79" s="4"/>
      <c r="N79" s="76"/>
      <c r="O79" s="76"/>
      <c r="P79" s="76" t="str">
        <f t="shared" si="14"/>
        <v>,shikkan66_start_date</v>
      </c>
      <c r="Q79" s="76" t="str">
        <f t="shared" si="15"/>
        <v>DATE</v>
      </c>
      <c r="R79" s="76" t="str">
        <f t="shared" si="16"/>
        <v/>
      </c>
      <c r="S79" s="76" t="str">
        <f t="shared" si="17"/>
        <v/>
      </c>
      <c r="T79" s="76" t="str">
        <f t="shared" si="18"/>
        <v>-- C089_疾患開始日</v>
      </c>
      <c r="U79" s="4" t="str">
        <f t="shared" ref="U79:U142" si="21">", CASE WHEN shikkan_disp_name = '"&amp;A79&amp;"' THEN min_shikkan_start_date ::DATE ELSE NULL END AS "&amp;D79</f>
        <v>, CASE WHEN shikkan_disp_name = 'C089' THEN min_shikkan_start_date ::DATE ELSE NULL END AS shikkan66_start_date</v>
      </c>
      <c r="V79" s="25" t="str">
        <f t="shared" ref="V79:V142" si="22">", max("&amp;D79&amp;")"</f>
        <v>, max(shikkan66_start_date)</v>
      </c>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milscm_2023_009.sny_202310_annony_shikkan2.shikkan66_start_date IS 'C089_疾患開始日';</v>
      </c>
    </row>
    <row r="80" spans="1:45" s="25" customFormat="1">
      <c r="A80" s="4" t="s">
        <v>5224</v>
      </c>
      <c r="B80" s="21">
        <f t="shared" si="19"/>
        <v>68</v>
      </c>
      <c r="C80" s="13" t="str">
        <f t="shared" si="20"/>
        <v>C090_疾患開始日</v>
      </c>
      <c r="D80" s="13" t="s">
        <v>4835</v>
      </c>
      <c r="E80" s="8"/>
      <c r="F80" s="7" t="s">
        <v>4348</v>
      </c>
      <c r="G80" s="7" t="s">
        <v>25</v>
      </c>
      <c r="H80" s="58"/>
      <c r="I80" s="23"/>
      <c r="J80" s="24"/>
      <c r="M80" s="4"/>
      <c r="N80" s="76"/>
      <c r="O80" s="76"/>
      <c r="P80" s="76" t="str">
        <f t="shared" si="14"/>
        <v>,shikkan67_start_date</v>
      </c>
      <c r="Q80" s="76" t="str">
        <f t="shared" si="15"/>
        <v>DATE</v>
      </c>
      <c r="R80" s="76" t="str">
        <f t="shared" si="16"/>
        <v/>
      </c>
      <c r="S80" s="76" t="str">
        <f t="shared" si="17"/>
        <v/>
      </c>
      <c r="T80" s="76" t="str">
        <f t="shared" si="18"/>
        <v>-- C090_疾患開始日</v>
      </c>
      <c r="U80" s="4" t="str">
        <f t="shared" si="21"/>
        <v>, CASE WHEN shikkan_disp_name = 'C090' THEN min_shikkan_start_date ::DATE ELSE NULL END AS shikkan67_start_date</v>
      </c>
      <c r="V80" s="25" t="str">
        <f t="shared" si="22"/>
        <v>, max(shikkan67_start_date)</v>
      </c>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milscm_2023_009.sny_202310_annony_shikkan2.shikkan67_start_date IS 'C090_疾患開始日';</v>
      </c>
    </row>
    <row r="81" spans="1:45" s="25" customFormat="1">
      <c r="A81" s="4" t="s">
        <v>5225</v>
      </c>
      <c r="B81" s="21">
        <f t="shared" si="19"/>
        <v>69</v>
      </c>
      <c r="C81" s="13" t="str">
        <f t="shared" si="20"/>
        <v>C091_疾患開始日</v>
      </c>
      <c r="D81" s="13" t="s">
        <v>4836</v>
      </c>
      <c r="E81" s="8"/>
      <c r="F81" s="7" t="s">
        <v>4348</v>
      </c>
      <c r="G81" s="7" t="s">
        <v>25</v>
      </c>
      <c r="H81" s="58"/>
      <c r="I81" s="23"/>
      <c r="J81" s="24"/>
      <c r="M81" s="4"/>
      <c r="N81" s="76"/>
      <c r="O81" s="76"/>
      <c r="P81" s="76" t="str">
        <f t="shared" si="14"/>
        <v>,shikkan68_start_date</v>
      </c>
      <c r="Q81" s="76" t="str">
        <f t="shared" si="15"/>
        <v>DATE</v>
      </c>
      <c r="R81" s="76" t="str">
        <f t="shared" si="16"/>
        <v/>
      </c>
      <c r="S81" s="76" t="str">
        <f t="shared" si="17"/>
        <v/>
      </c>
      <c r="T81" s="76" t="str">
        <f t="shared" si="18"/>
        <v>-- C091_疾患開始日</v>
      </c>
      <c r="U81" s="4" t="str">
        <f t="shared" si="21"/>
        <v>, CASE WHEN shikkan_disp_name = 'C091' THEN min_shikkan_start_date ::DATE ELSE NULL END AS shikkan68_start_date</v>
      </c>
      <c r="V81" s="25" t="str">
        <f t="shared" si="22"/>
        <v>, max(shikkan68_start_date)</v>
      </c>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milscm_2023_009.sny_202310_annony_shikkan2.shikkan68_start_date IS 'C091_疾患開始日';</v>
      </c>
    </row>
    <row r="82" spans="1:45" s="25" customFormat="1">
      <c r="A82" s="4" t="s">
        <v>5226</v>
      </c>
      <c r="B82" s="21">
        <f t="shared" si="19"/>
        <v>70</v>
      </c>
      <c r="C82" s="13" t="str">
        <f t="shared" si="20"/>
        <v>C098_疾患開始日</v>
      </c>
      <c r="D82" s="13" t="s">
        <v>4837</v>
      </c>
      <c r="E82" s="8"/>
      <c r="F82" s="7" t="s">
        <v>4348</v>
      </c>
      <c r="G82" s="7" t="s">
        <v>25</v>
      </c>
      <c r="H82" s="58"/>
      <c r="I82" s="23"/>
      <c r="J82" s="24"/>
      <c r="M82" s="4"/>
      <c r="N82" s="76"/>
      <c r="O82" s="76"/>
      <c r="P82" s="76" t="str">
        <f t="shared" si="14"/>
        <v>,shikkan69_start_date</v>
      </c>
      <c r="Q82" s="76" t="str">
        <f t="shared" si="15"/>
        <v>DATE</v>
      </c>
      <c r="R82" s="76" t="str">
        <f t="shared" si="16"/>
        <v/>
      </c>
      <c r="S82" s="76" t="str">
        <f t="shared" si="17"/>
        <v/>
      </c>
      <c r="T82" s="76" t="str">
        <f t="shared" si="18"/>
        <v>-- C098_疾患開始日</v>
      </c>
      <c r="U82" s="4" t="str">
        <f t="shared" si="21"/>
        <v>, CASE WHEN shikkan_disp_name = 'C098' THEN min_shikkan_start_date ::DATE ELSE NULL END AS shikkan69_start_date</v>
      </c>
      <c r="V82" s="25" t="str">
        <f t="shared" si="22"/>
        <v>, max(shikkan69_start_date)</v>
      </c>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milscm_2023_009.sny_202310_annony_shikkan2.shikkan69_start_date IS 'C098_疾患開始日';</v>
      </c>
    </row>
    <row r="83" spans="1:45" s="25" customFormat="1">
      <c r="A83" s="4" t="s">
        <v>5227</v>
      </c>
      <c r="B83" s="21">
        <f t="shared" si="19"/>
        <v>71</v>
      </c>
      <c r="C83" s="13" t="str">
        <f t="shared" si="20"/>
        <v>C099_疾患開始日</v>
      </c>
      <c r="D83" s="13" t="s">
        <v>4838</v>
      </c>
      <c r="E83" s="8"/>
      <c r="F83" s="7" t="s">
        <v>4348</v>
      </c>
      <c r="G83" s="7" t="s">
        <v>25</v>
      </c>
      <c r="H83" s="58"/>
      <c r="I83" s="23"/>
      <c r="J83" s="24"/>
      <c r="M83" s="4"/>
      <c r="N83" s="76"/>
      <c r="O83" s="76"/>
      <c r="P83" s="76" t="str">
        <f t="shared" si="14"/>
        <v>,shikkan70_start_date</v>
      </c>
      <c r="Q83" s="76" t="str">
        <f t="shared" si="15"/>
        <v>DATE</v>
      </c>
      <c r="R83" s="76" t="str">
        <f t="shared" si="16"/>
        <v/>
      </c>
      <c r="S83" s="76" t="str">
        <f t="shared" si="17"/>
        <v/>
      </c>
      <c r="T83" s="76" t="str">
        <f t="shared" si="18"/>
        <v>-- C099_疾患開始日</v>
      </c>
      <c r="U83" s="4" t="str">
        <f t="shared" si="21"/>
        <v>, CASE WHEN shikkan_disp_name = 'C099' THEN min_shikkan_start_date ::DATE ELSE NULL END AS shikkan70_start_date</v>
      </c>
      <c r="V83" s="25" t="str">
        <f t="shared" si="22"/>
        <v>, max(shikkan70_start_date)</v>
      </c>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milscm_2023_009.sny_202310_annony_shikkan2.shikkan70_start_date IS 'C099_疾患開始日';</v>
      </c>
    </row>
    <row r="84" spans="1:45" s="25" customFormat="1">
      <c r="A84" s="4" t="s">
        <v>5228</v>
      </c>
      <c r="B84" s="21">
        <f t="shared" si="19"/>
        <v>72</v>
      </c>
      <c r="C84" s="13" t="str">
        <f t="shared" si="20"/>
        <v>C100_疾患開始日</v>
      </c>
      <c r="D84" s="13" t="s">
        <v>4839</v>
      </c>
      <c r="E84" s="8"/>
      <c r="F84" s="7" t="s">
        <v>4348</v>
      </c>
      <c r="G84" s="7" t="s">
        <v>25</v>
      </c>
      <c r="H84" s="58"/>
      <c r="I84" s="23"/>
      <c r="J84" s="24"/>
      <c r="M84" s="4"/>
      <c r="N84" s="76"/>
      <c r="O84" s="76"/>
      <c r="P84" s="76" t="str">
        <f t="shared" si="14"/>
        <v>,shikkan71_start_date</v>
      </c>
      <c r="Q84" s="76" t="str">
        <f t="shared" si="15"/>
        <v>DATE</v>
      </c>
      <c r="R84" s="76" t="str">
        <f t="shared" si="16"/>
        <v/>
      </c>
      <c r="S84" s="76" t="str">
        <f t="shared" si="17"/>
        <v/>
      </c>
      <c r="T84" s="76" t="str">
        <f t="shared" si="18"/>
        <v>-- C100_疾患開始日</v>
      </c>
      <c r="U84" s="4" t="str">
        <f t="shared" si="21"/>
        <v>, CASE WHEN shikkan_disp_name = 'C100' THEN min_shikkan_start_date ::DATE ELSE NULL END AS shikkan71_start_date</v>
      </c>
      <c r="V84" s="25" t="str">
        <f t="shared" si="22"/>
        <v>, max(shikkan71_start_date)</v>
      </c>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milscm_2023_009.sny_202310_annony_shikkan2.shikkan71_start_date IS 'C100_疾患開始日';</v>
      </c>
    </row>
    <row r="85" spans="1:45" s="25" customFormat="1">
      <c r="A85" s="4" t="s">
        <v>5229</v>
      </c>
      <c r="B85" s="21">
        <f t="shared" si="19"/>
        <v>73</v>
      </c>
      <c r="C85" s="13" t="str">
        <f t="shared" si="20"/>
        <v>C101_疾患開始日</v>
      </c>
      <c r="D85" s="13" t="s">
        <v>4840</v>
      </c>
      <c r="E85" s="8"/>
      <c r="F85" s="7" t="s">
        <v>4348</v>
      </c>
      <c r="G85" s="7" t="s">
        <v>25</v>
      </c>
      <c r="H85" s="58"/>
      <c r="I85" s="23"/>
      <c r="J85" s="24"/>
      <c r="M85" s="4"/>
      <c r="N85" s="76"/>
      <c r="O85" s="76"/>
      <c r="P85" s="76" t="str">
        <f t="shared" si="14"/>
        <v>,shikkan72_start_date</v>
      </c>
      <c r="Q85" s="76" t="str">
        <f t="shared" si="15"/>
        <v>DATE</v>
      </c>
      <c r="R85" s="76" t="str">
        <f t="shared" si="16"/>
        <v/>
      </c>
      <c r="S85" s="76" t="str">
        <f t="shared" si="17"/>
        <v/>
      </c>
      <c r="T85" s="76" t="str">
        <f t="shared" si="18"/>
        <v>-- C101_疾患開始日</v>
      </c>
      <c r="U85" s="4" t="str">
        <f t="shared" si="21"/>
        <v>, CASE WHEN shikkan_disp_name = 'C101' THEN min_shikkan_start_date ::DATE ELSE NULL END AS shikkan72_start_date</v>
      </c>
      <c r="V85" s="25" t="str">
        <f t="shared" si="22"/>
        <v>, max(shikkan72_start_date)</v>
      </c>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milscm_2023_009.sny_202310_annony_shikkan2.shikkan72_start_date IS 'C101_疾患開始日';</v>
      </c>
    </row>
    <row r="86" spans="1:45" s="25" customFormat="1">
      <c r="A86" s="4" t="s">
        <v>5230</v>
      </c>
      <c r="B86" s="21">
        <f t="shared" si="19"/>
        <v>74</v>
      </c>
      <c r="C86" s="13" t="str">
        <f t="shared" si="20"/>
        <v>C102_疾患開始日</v>
      </c>
      <c r="D86" s="13" t="s">
        <v>4841</v>
      </c>
      <c r="E86" s="8"/>
      <c r="F86" s="7" t="s">
        <v>4348</v>
      </c>
      <c r="G86" s="7" t="s">
        <v>25</v>
      </c>
      <c r="H86" s="58"/>
      <c r="I86" s="23"/>
      <c r="J86" s="24"/>
      <c r="M86" s="4"/>
      <c r="N86" s="76"/>
      <c r="O86" s="76"/>
      <c r="P86" s="76" t="str">
        <f t="shared" si="14"/>
        <v>,shikkan73_start_date</v>
      </c>
      <c r="Q86" s="76" t="str">
        <f t="shared" si="15"/>
        <v>DATE</v>
      </c>
      <c r="R86" s="76" t="str">
        <f t="shared" si="16"/>
        <v/>
      </c>
      <c r="S86" s="76" t="str">
        <f t="shared" si="17"/>
        <v/>
      </c>
      <c r="T86" s="76" t="str">
        <f t="shared" si="18"/>
        <v>-- C102_疾患開始日</v>
      </c>
      <c r="U86" s="4" t="str">
        <f t="shared" si="21"/>
        <v>, CASE WHEN shikkan_disp_name = 'C102' THEN min_shikkan_start_date ::DATE ELSE NULL END AS shikkan73_start_date</v>
      </c>
      <c r="V86" s="25" t="str">
        <f t="shared" si="22"/>
        <v>, max(shikkan73_start_date)</v>
      </c>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milscm_2023_009.sny_202310_annony_shikkan2.shikkan73_start_date IS 'C102_疾患開始日';</v>
      </c>
    </row>
    <row r="87" spans="1:45" s="25" customFormat="1">
      <c r="A87" s="4" t="s">
        <v>5231</v>
      </c>
      <c r="B87" s="21">
        <f t="shared" si="19"/>
        <v>75</v>
      </c>
      <c r="C87" s="13" t="str">
        <f t="shared" si="20"/>
        <v>C103_疾患開始日</v>
      </c>
      <c r="D87" s="13" t="s">
        <v>4842</v>
      </c>
      <c r="E87" s="8"/>
      <c r="F87" s="7" t="s">
        <v>4348</v>
      </c>
      <c r="G87" s="7" t="s">
        <v>25</v>
      </c>
      <c r="H87" s="58"/>
      <c r="I87" s="23"/>
      <c r="J87" s="24"/>
      <c r="M87" s="4"/>
      <c r="N87" s="76"/>
      <c r="O87" s="76"/>
      <c r="P87" s="76" t="str">
        <f t="shared" si="14"/>
        <v>,shikkan74_start_date</v>
      </c>
      <c r="Q87" s="76" t="str">
        <f t="shared" si="15"/>
        <v>DATE</v>
      </c>
      <c r="R87" s="76" t="str">
        <f t="shared" si="16"/>
        <v/>
      </c>
      <c r="S87" s="76" t="str">
        <f t="shared" si="17"/>
        <v/>
      </c>
      <c r="T87" s="76" t="str">
        <f t="shared" si="18"/>
        <v>-- C103_疾患開始日</v>
      </c>
      <c r="U87" s="4" t="str">
        <f t="shared" si="21"/>
        <v>, CASE WHEN shikkan_disp_name = 'C103' THEN min_shikkan_start_date ::DATE ELSE NULL END AS shikkan74_start_date</v>
      </c>
      <c r="V87" s="25" t="str">
        <f t="shared" si="22"/>
        <v>, max(shikkan74_start_date)</v>
      </c>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milscm_2023_009.sny_202310_annony_shikkan2.shikkan74_start_date IS 'C103_疾患開始日';</v>
      </c>
    </row>
    <row r="88" spans="1:45" s="25" customFormat="1">
      <c r="A88" s="4" t="s">
        <v>5232</v>
      </c>
      <c r="B88" s="21">
        <f t="shared" si="19"/>
        <v>76</v>
      </c>
      <c r="C88" s="13" t="str">
        <f t="shared" si="20"/>
        <v>C104_疾患開始日</v>
      </c>
      <c r="D88" s="13" t="s">
        <v>4843</v>
      </c>
      <c r="E88" s="8"/>
      <c r="F88" s="7" t="s">
        <v>4348</v>
      </c>
      <c r="G88" s="7" t="s">
        <v>25</v>
      </c>
      <c r="H88" s="58"/>
      <c r="I88" s="23"/>
      <c r="J88" s="24"/>
      <c r="M88" s="4"/>
      <c r="N88" s="76"/>
      <c r="O88" s="76"/>
      <c r="P88" s="76" t="str">
        <f t="shared" si="14"/>
        <v>,shikkan75_start_date</v>
      </c>
      <c r="Q88" s="76" t="str">
        <f t="shared" si="15"/>
        <v>DATE</v>
      </c>
      <c r="R88" s="76" t="str">
        <f t="shared" si="16"/>
        <v/>
      </c>
      <c r="S88" s="76" t="str">
        <f t="shared" si="17"/>
        <v/>
      </c>
      <c r="T88" s="76" t="str">
        <f t="shared" si="18"/>
        <v>-- C104_疾患開始日</v>
      </c>
      <c r="U88" s="4" t="str">
        <f t="shared" si="21"/>
        <v>, CASE WHEN shikkan_disp_name = 'C104' THEN min_shikkan_start_date ::DATE ELSE NULL END AS shikkan75_start_date</v>
      </c>
      <c r="V88" s="25" t="str">
        <f t="shared" si="22"/>
        <v>, max(shikkan75_start_date)</v>
      </c>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milscm_2023_009.sny_202310_annony_shikkan2.shikkan75_start_date IS 'C104_疾患開始日';</v>
      </c>
    </row>
    <row r="89" spans="1:45" s="25" customFormat="1">
      <c r="A89" s="4" t="s">
        <v>5233</v>
      </c>
      <c r="B89" s="21">
        <f t="shared" si="19"/>
        <v>77</v>
      </c>
      <c r="C89" s="13" t="str">
        <f t="shared" si="20"/>
        <v>C108_疾患開始日</v>
      </c>
      <c r="D89" s="13" t="s">
        <v>4844</v>
      </c>
      <c r="E89" s="8"/>
      <c r="F89" s="7" t="s">
        <v>4348</v>
      </c>
      <c r="G89" s="7" t="s">
        <v>25</v>
      </c>
      <c r="H89" s="58"/>
      <c r="I89" s="23"/>
      <c r="J89" s="24"/>
      <c r="M89" s="4"/>
      <c r="N89" s="76"/>
      <c r="O89" s="76"/>
      <c r="P89" s="76" t="str">
        <f t="shared" si="14"/>
        <v>,shikkan76_start_date</v>
      </c>
      <c r="Q89" s="76" t="str">
        <f t="shared" si="15"/>
        <v>DATE</v>
      </c>
      <c r="R89" s="76" t="str">
        <f t="shared" si="16"/>
        <v/>
      </c>
      <c r="S89" s="76" t="str">
        <f t="shared" si="17"/>
        <v/>
      </c>
      <c r="T89" s="76" t="str">
        <f t="shared" si="18"/>
        <v>-- C108_疾患開始日</v>
      </c>
      <c r="U89" s="4" t="str">
        <f t="shared" si="21"/>
        <v>, CASE WHEN shikkan_disp_name = 'C108' THEN min_shikkan_start_date ::DATE ELSE NULL END AS shikkan76_start_date</v>
      </c>
      <c r="V89" s="25" t="str">
        <f t="shared" si="22"/>
        <v>, max(shikkan76_start_date)</v>
      </c>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milscm_2023_009.sny_202310_annony_shikkan2.shikkan76_start_date IS 'C108_疾患開始日';</v>
      </c>
    </row>
    <row r="90" spans="1:45" s="25" customFormat="1">
      <c r="A90" s="4" t="s">
        <v>5234</v>
      </c>
      <c r="B90" s="21">
        <f t="shared" si="19"/>
        <v>78</v>
      </c>
      <c r="C90" s="13" t="str">
        <f t="shared" si="20"/>
        <v>C109_疾患開始日</v>
      </c>
      <c r="D90" s="13" t="s">
        <v>4845</v>
      </c>
      <c r="E90" s="8"/>
      <c r="F90" s="7" t="s">
        <v>4348</v>
      </c>
      <c r="G90" s="7" t="s">
        <v>25</v>
      </c>
      <c r="H90" s="58"/>
      <c r="I90" s="23"/>
      <c r="J90" s="24"/>
      <c r="M90" s="4"/>
      <c r="N90" s="76"/>
      <c r="O90" s="76"/>
      <c r="P90" s="76" t="str">
        <f t="shared" si="14"/>
        <v>,shikkan77_start_date</v>
      </c>
      <c r="Q90" s="76" t="str">
        <f t="shared" si="15"/>
        <v>DATE</v>
      </c>
      <c r="R90" s="76" t="str">
        <f t="shared" si="16"/>
        <v/>
      </c>
      <c r="S90" s="76" t="str">
        <f t="shared" si="17"/>
        <v/>
      </c>
      <c r="T90" s="76" t="str">
        <f t="shared" si="18"/>
        <v>-- C109_疾患開始日</v>
      </c>
      <c r="U90" s="4" t="str">
        <f t="shared" si="21"/>
        <v>, CASE WHEN shikkan_disp_name = 'C109' THEN min_shikkan_start_date ::DATE ELSE NULL END AS shikkan77_start_date</v>
      </c>
      <c r="V90" s="25" t="str">
        <f t="shared" si="22"/>
        <v>, max(shikkan77_start_date)</v>
      </c>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milscm_2023_009.sny_202310_annony_shikkan2.shikkan77_start_date IS 'C109_疾患開始日';</v>
      </c>
    </row>
    <row r="91" spans="1:45" s="25" customFormat="1">
      <c r="A91" s="4" t="s">
        <v>5235</v>
      </c>
      <c r="B91" s="21">
        <f t="shared" si="19"/>
        <v>79</v>
      </c>
      <c r="C91" s="13" t="str">
        <f t="shared" si="20"/>
        <v>C110_疾患開始日</v>
      </c>
      <c r="D91" s="13" t="s">
        <v>4846</v>
      </c>
      <c r="E91" s="8"/>
      <c r="F91" s="7" t="s">
        <v>4348</v>
      </c>
      <c r="G91" s="7" t="s">
        <v>25</v>
      </c>
      <c r="H91" s="58"/>
      <c r="I91" s="23"/>
      <c r="J91" s="24"/>
      <c r="M91" s="4"/>
      <c r="N91" s="76"/>
      <c r="O91" s="76"/>
      <c r="P91" s="76" t="str">
        <f t="shared" si="14"/>
        <v>,shikkan78_start_date</v>
      </c>
      <c r="Q91" s="76" t="str">
        <f t="shared" si="15"/>
        <v>DATE</v>
      </c>
      <c r="R91" s="76" t="str">
        <f t="shared" si="16"/>
        <v/>
      </c>
      <c r="S91" s="76" t="str">
        <f t="shared" si="17"/>
        <v/>
      </c>
      <c r="T91" s="76" t="str">
        <f t="shared" si="18"/>
        <v>-- C110_疾患開始日</v>
      </c>
      <c r="U91" s="4" t="str">
        <f t="shared" si="21"/>
        <v>, CASE WHEN shikkan_disp_name = 'C110' THEN min_shikkan_start_date ::DATE ELSE NULL END AS shikkan78_start_date</v>
      </c>
      <c r="V91" s="25" t="str">
        <f t="shared" si="22"/>
        <v>, max(shikkan78_start_date)</v>
      </c>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milscm_2023_009.sny_202310_annony_shikkan2.shikkan78_start_date IS 'C110_疾患開始日';</v>
      </c>
    </row>
    <row r="92" spans="1:45" s="25" customFormat="1">
      <c r="A92" s="4" t="s">
        <v>5236</v>
      </c>
      <c r="B92" s="21">
        <f t="shared" si="19"/>
        <v>80</v>
      </c>
      <c r="C92" s="13" t="str">
        <f t="shared" si="20"/>
        <v>C111_疾患開始日</v>
      </c>
      <c r="D92" s="13" t="s">
        <v>4847</v>
      </c>
      <c r="E92" s="8"/>
      <c r="F92" s="7" t="s">
        <v>4348</v>
      </c>
      <c r="G92" s="7" t="s">
        <v>25</v>
      </c>
      <c r="H92" s="58"/>
      <c r="I92" s="23"/>
      <c r="J92" s="24"/>
      <c r="M92" s="4"/>
      <c r="N92" s="76"/>
      <c r="O92" s="76"/>
      <c r="P92" s="76" t="str">
        <f t="shared" si="14"/>
        <v>,shikkan79_start_date</v>
      </c>
      <c r="Q92" s="76" t="str">
        <f t="shared" si="15"/>
        <v>DATE</v>
      </c>
      <c r="R92" s="76" t="str">
        <f t="shared" si="16"/>
        <v/>
      </c>
      <c r="S92" s="76" t="str">
        <f t="shared" si="17"/>
        <v/>
      </c>
      <c r="T92" s="76" t="str">
        <f t="shared" si="18"/>
        <v>-- C111_疾患開始日</v>
      </c>
      <c r="U92" s="4" t="str">
        <f t="shared" si="21"/>
        <v>, CASE WHEN shikkan_disp_name = 'C111' THEN min_shikkan_start_date ::DATE ELSE NULL END AS shikkan79_start_date</v>
      </c>
      <c r="V92" s="25" t="str">
        <f t="shared" si="22"/>
        <v>, max(shikkan79_start_date)</v>
      </c>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milscm_2023_009.sny_202310_annony_shikkan2.shikkan79_start_date IS 'C111_疾患開始日';</v>
      </c>
    </row>
    <row r="93" spans="1:45" s="25" customFormat="1">
      <c r="A93" s="4" t="s">
        <v>5237</v>
      </c>
      <c r="B93" s="21">
        <f t="shared" si="19"/>
        <v>81</v>
      </c>
      <c r="C93" s="13" t="str">
        <f t="shared" si="20"/>
        <v>C112_疾患開始日</v>
      </c>
      <c r="D93" s="13" t="s">
        <v>4848</v>
      </c>
      <c r="E93" s="8"/>
      <c r="F93" s="7" t="s">
        <v>4348</v>
      </c>
      <c r="G93" s="7" t="s">
        <v>25</v>
      </c>
      <c r="H93" s="58"/>
      <c r="I93" s="23"/>
      <c r="J93" s="24"/>
      <c r="M93" s="4"/>
      <c r="N93" s="76"/>
      <c r="O93" s="76"/>
      <c r="P93" s="76" t="str">
        <f t="shared" si="14"/>
        <v>,shikkan80_start_date</v>
      </c>
      <c r="Q93" s="76" t="str">
        <f t="shared" si="15"/>
        <v>DATE</v>
      </c>
      <c r="R93" s="76" t="str">
        <f t="shared" si="16"/>
        <v/>
      </c>
      <c r="S93" s="76" t="str">
        <f t="shared" si="17"/>
        <v/>
      </c>
      <c r="T93" s="76" t="str">
        <f t="shared" si="18"/>
        <v>-- C112_疾患開始日</v>
      </c>
      <c r="U93" s="4" t="str">
        <f t="shared" si="21"/>
        <v>, CASE WHEN shikkan_disp_name = 'C112' THEN min_shikkan_start_date ::DATE ELSE NULL END AS shikkan80_start_date</v>
      </c>
      <c r="V93" s="25" t="str">
        <f t="shared" si="22"/>
        <v>, max(shikkan80_start_date)</v>
      </c>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milscm_2023_009.sny_202310_annony_shikkan2.shikkan80_start_date IS 'C112_疾患開始日';</v>
      </c>
    </row>
    <row r="94" spans="1:45" s="25" customFormat="1">
      <c r="A94" s="4" t="s">
        <v>5238</v>
      </c>
      <c r="B94" s="21">
        <f t="shared" si="19"/>
        <v>82</v>
      </c>
      <c r="C94" s="13" t="str">
        <f t="shared" si="20"/>
        <v>C113_疾患開始日</v>
      </c>
      <c r="D94" s="13" t="s">
        <v>4849</v>
      </c>
      <c r="E94" s="8"/>
      <c r="F94" s="7" t="s">
        <v>4348</v>
      </c>
      <c r="G94" s="7" t="s">
        <v>99</v>
      </c>
      <c r="H94" s="58"/>
      <c r="I94" s="23"/>
      <c r="J94" s="24"/>
      <c r="M94" s="4"/>
      <c r="N94" s="76"/>
      <c r="O94" s="76"/>
      <c r="P94" s="76" t="str">
        <f t="shared" ref="P94:P125" si="23">IF(B94&lt;&gt;1,","&amp;D94,D94)</f>
        <v>,shikkan81_start_date</v>
      </c>
      <c r="Q94" s="76" t="str">
        <f t="shared" ref="Q94:Q125" si="24">UPPER(G94)</f>
        <v>DATE</v>
      </c>
      <c r="R94" s="76" t="str">
        <f t="shared" ref="R94:R125" si="25">IF(H94&lt;&gt;"","default "&amp;IF(G94="text","'"&amp;H94&amp;"'",H94),"")</f>
        <v/>
      </c>
      <c r="S94" s="76" t="str">
        <f t="shared" ref="S94:S125" si="26">IF(I94="○","NOT NULL","")</f>
        <v/>
      </c>
      <c r="T94" s="76" t="str">
        <f t="shared" ref="T94:T125" si="27">"-- "&amp;C94</f>
        <v>-- C113_疾患開始日</v>
      </c>
      <c r="U94" s="4" t="str">
        <f t="shared" si="21"/>
        <v>, CASE WHEN shikkan_disp_name = 'C113' THEN min_shikkan_start_date ::DATE ELSE NULL END AS shikkan81_start_date</v>
      </c>
      <c r="V94" s="25" t="str">
        <f t="shared" si="22"/>
        <v>, max(shikkan81_start_date)</v>
      </c>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milscm_2023_009.sny_202310_annony_shikkan2.shikkan81_start_date IS 'C113_疾患開始日';</v>
      </c>
    </row>
    <row r="95" spans="1:45" s="25" customFormat="1">
      <c r="A95" s="4" t="s">
        <v>5239</v>
      </c>
      <c r="B95" s="21">
        <f t="shared" si="19"/>
        <v>83</v>
      </c>
      <c r="C95" s="13" t="str">
        <f t="shared" si="20"/>
        <v>C118_疾患開始日</v>
      </c>
      <c r="D95" s="13" t="s">
        <v>4850</v>
      </c>
      <c r="E95" s="8"/>
      <c r="F95" s="7" t="s">
        <v>4348</v>
      </c>
      <c r="G95" s="7" t="s">
        <v>25</v>
      </c>
      <c r="H95" s="58"/>
      <c r="I95" s="23"/>
      <c r="J95" s="24"/>
      <c r="M95" s="4"/>
      <c r="N95" s="76"/>
      <c r="O95" s="76"/>
      <c r="P95" s="76" t="str">
        <f t="shared" si="23"/>
        <v>,shikkan82_start_date</v>
      </c>
      <c r="Q95" s="76" t="str">
        <f t="shared" si="24"/>
        <v>DATE</v>
      </c>
      <c r="R95" s="76" t="str">
        <f t="shared" si="25"/>
        <v/>
      </c>
      <c r="S95" s="76" t="str">
        <f t="shared" si="26"/>
        <v/>
      </c>
      <c r="T95" s="76" t="str">
        <f t="shared" si="27"/>
        <v>-- C118_疾患開始日</v>
      </c>
      <c r="U95" s="4" t="str">
        <f t="shared" si="21"/>
        <v>, CASE WHEN shikkan_disp_name = 'C118' THEN min_shikkan_start_date ::DATE ELSE NULL END AS shikkan82_start_date</v>
      </c>
      <c r="V95" s="25" t="str">
        <f t="shared" si="22"/>
        <v>, max(shikkan82_start_date)</v>
      </c>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milscm_2023_009.sny_202310_annony_shikkan2.shikkan82_start_date IS 'C118_疾患開始日';</v>
      </c>
    </row>
    <row r="96" spans="1:45" s="25" customFormat="1">
      <c r="A96" s="4" t="s">
        <v>5240</v>
      </c>
      <c r="B96" s="21">
        <f t="shared" si="19"/>
        <v>84</v>
      </c>
      <c r="C96" s="13" t="str">
        <f t="shared" si="20"/>
        <v>C119_疾患開始日</v>
      </c>
      <c r="D96" s="13" t="s">
        <v>4851</v>
      </c>
      <c r="E96" s="8"/>
      <c r="F96" s="7" t="s">
        <v>4348</v>
      </c>
      <c r="G96" s="7" t="s">
        <v>25</v>
      </c>
      <c r="H96" s="58"/>
      <c r="I96" s="23"/>
      <c r="J96" s="24"/>
      <c r="M96" s="4"/>
      <c r="N96" s="76"/>
      <c r="O96" s="76"/>
      <c r="P96" s="76" t="str">
        <f t="shared" si="23"/>
        <v>,shikkan83_start_date</v>
      </c>
      <c r="Q96" s="76" t="str">
        <f t="shared" si="24"/>
        <v>DATE</v>
      </c>
      <c r="R96" s="76" t="str">
        <f t="shared" si="25"/>
        <v/>
      </c>
      <c r="S96" s="76" t="str">
        <f t="shared" si="26"/>
        <v/>
      </c>
      <c r="T96" s="76" t="str">
        <f t="shared" si="27"/>
        <v>-- C119_疾患開始日</v>
      </c>
      <c r="U96" s="4" t="str">
        <f t="shared" si="21"/>
        <v>, CASE WHEN shikkan_disp_name = 'C119' THEN min_shikkan_start_date ::DATE ELSE NULL END AS shikkan83_start_date</v>
      </c>
      <c r="V96" s="25" t="str">
        <f t="shared" si="22"/>
        <v>, max(shikkan83_start_date)</v>
      </c>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milscm_2023_009.sny_202310_annony_shikkan2.shikkan83_start_date IS 'C119_疾患開始日';</v>
      </c>
    </row>
    <row r="97" spans="1:45" s="25" customFormat="1">
      <c r="A97" s="4" t="s">
        <v>5142</v>
      </c>
      <c r="B97" s="21">
        <f t="shared" si="19"/>
        <v>85</v>
      </c>
      <c r="C97" s="13" t="str">
        <f t="shared" si="20"/>
        <v>C12_疾患開始日</v>
      </c>
      <c r="D97" s="13" t="s">
        <v>4852</v>
      </c>
      <c r="E97" s="8"/>
      <c r="F97" s="7" t="s">
        <v>4348</v>
      </c>
      <c r="G97" s="7" t="s">
        <v>25</v>
      </c>
      <c r="H97" s="58"/>
      <c r="I97" s="23"/>
      <c r="J97" s="24"/>
      <c r="M97" s="4"/>
      <c r="N97" s="76"/>
      <c r="O97" s="76"/>
      <c r="P97" s="76" t="str">
        <f t="shared" si="23"/>
        <v>,shikkan84_start_date</v>
      </c>
      <c r="Q97" s="76" t="str">
        <f t="shared" si="24"/>
        <v>DATE</v>
      </c>
      <c r="R97" s="76" t="str">
        <f t="shared" si="25"/>
        <v/>
      </c>
      <c r="S97" s="76" t="str">
        <f t="shared" si="26"/>
        <v/>
      </c>
      <c r="T97" s="76" t="str">
        <f t="shared" si="27"/>
        <v>-- C12_疾患開始日</v>
      </c>
      <c r="U97" s="4" t="str">
        <f t="shared" si="21"/>
        <v>, CASE WHEN shikkan_disp_name = 'C12' THEN min_shikkan_start_date ::DATE ELSE NULL END AS shikkan84_start_date</v>
      </c>
      <c r="V97" s="25" t="str">
        <f t="shared" si="22"/>
        <v>, max(shikkan84_start_date)</v>
      </c>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milscm_2023_009.sny_202310_annony_shikkan2.shikkan84_start_date IS 'C12_疾患開始日';</v>
      </c>
    </row>
    <row r="98" spans="1:45" s="25" customFormat="1">
      <c r="A98" s="4" t="s">
        <v>5241</v>
      </c>
      <c r="B98" s="21">
        <f t="shared" si="19"/>
        <v>86</v>
      </c>
      <c r="C98" s="13" t="str">
        <f t="shared" si="20"/>
        <v>C130_疾患開始日</v>
      </c>
      <c r="D98" s="13" t="s">
        <v>4853</v>
      </c>
      <c r="E98" s="8"/>
      <c r="F98" s="7" t="s">
        <v>4348</v>
      </c>
      <c r="G98" s="7" t="s">
        <v>25</v>
      </c>
      <c r="H98" s="58"/>
      <c r="I98" s="23"/>
      <c r="J98" s="24"/>
      <c r="M98" s="4"/>
      <c r="N98" s="76"/>
      <c r="O98" s="76"/>
      <c r="P98" s="76" t="str">
        <f t="shared" si="23"/>
        <v>,shikkan85_start_date</v>
      </c>
      <c r="Q98" s="76" t="str">
        <f t="shared" si="24"/>
        <v>DATE</v>
      </c>
      <c r="R98" s="76" t="str">
        <f t="shared" si="25"/>
        <v/>
      </c>
      <c r="S98" s="76" t="str">
        <f t="shared" si="26"/>
        <v/>
      </c>
      <c r="T98" s="76" t="str">
        <f t="shared" si="27"/>
        <v>-- C130_疾患開始日</v>
      </c>
      <c r="U98" s="4" t="str">
        <f t="shared" si="21"/>
        <v>, CASE WHEN shikkan_disp_name = 'C130' THEN min_shikkan_start_date ::DATE ELSE NULL END AS shikkan85_start_date</v>
      </c>
      <c r="V98" s="25" t="str">
        <f t="shared" si="22"/>
        <v>, max(shikkan85_start_date)</v>
      </c>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milscm_2023_009.sny_202310_annony_shikkan2.shikkan85_start_date IS 'C130_疾患開始日';</v>
      </c>
    </row>
    <row r="99" spans="1:45" s="25" customFormat="1">
      <c r="A99" s="4" t="s">
        <v>5242</v>
      </c>
      <c r="B99" s="21">
        <f t="shared" si="19"/>
        <v>87</v>
      </c>
      <c r="C99" s="13" t="str">
        <f t="shared" si="20"/>
        <v>C131_疾患開始日</v>
      </c>
      <c r="D99" s="13" t="s">
        <v>4854</v>
      </c>
      <c r="E99" s="8"/>
      <c r="F99" s="7" t="s">
        <v>4348</v>
      </c>
      <c r="G99" s="7" t="s">
        <v>25</v>
      </c>
      <c r="H99" s="58"/>
      <c r="I99" s="23"/>
      <c r="J99" s="24"/>
      <c r="M99" s="4"/>
      <c r="N99" s="76"/>
      <c r="O99" s="76"/>
      <c r="P99" s="76" t="str">
        <f t="shared" si="23"/>
        <v>,shikkan86_start_date</v>
      </c>
      <c r="Q99" s="76" t="str">
        <f t="shared" si="24"/>
        <v>DATE</v>
      </c>
      <c r="R99" s="76" t="str">
        <f t="shared" si="25"/>
        <v/>
      </c>
      <c r="S99" s="76" t="str">
        <f t="shared" si="26"/>
        <v/>
      </c>
      <c r="T99" s="76" t="str">
        <f t="shared" si="27"/>
        <v>-- C131_疾患開始日</v>
      </c>
      <c r="U99" s="4" t="str">
        <f t="shared" si="21"/>
        <v>, CASE WHEN shikkan_disp_name = 'C131' THEN min_shikkan_start_date ::DATE ELSE NULL END AS shikkan86_start_date</v>
      </c>
      <c r="V99" s="25" t="str">
        <f t="shared" si="22"/>
        <v>, max(shikkan86_start_date)</v>
      </c>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milscm_2023_009.sny_202310_annony_shikkan2.shikkan86_start_date IS 'C131_疾患開始日';</v>
      </c>
    </row>
    <row r="100" spans="1:45" s="25" customFormat="1">
      <c r="A100" s="4" t="s">
        <v>5243</v>
      </c>
      <c r="B100" s="21">
        <f t="shared" si="19"/>
        <v>88</v>
      </c>
      <c r="C100" s="13" t="str">
        <f t="shared" si="20"/>
        <v>C132_疾患開始日</v>
      </c>
      <c r="D100" s="13" t="s">
        <v>4855</v>
      </c>
      <c r="E100" s="8"/>
      <c r="F100" s="7" t="s">
        <v>4348</v>
      </c>
      <c r="G100" s="7" t="s">
        <v>25</v>
      </c>
      <c r="H100" s="58"/>
      <c r="I100" s="23"/>
      <c r="J100" s="24"/>
      <c r="M100" s="4"/>
      <c r="N100" s="76"/>
      <c r="O100" s="76"/>
      <c r="P100" s="76" t="str">
        <f t="shared" si="23"/>
        <v>,shikkan87_start_date</v>
      </c>
      <c r="Q100" s="76" t="str">
        <f t="shared" si="24"/>
        <v>DATE</v>
      </c>
      <c r="R100" s="76" t="str">
        <f t="shared" si="25"/>
        <v/>
      </c>
      <c r="S100" s="76" t="str">
        <f t="shared" si="26"/>
        <v/>
      </c>
      <c r="T100" s="76" t="str">
        <f t="shared" si="27"/>
        <v>-- C132_疾患開始日</v>
      </c>
      <c r="U100" s="4" t="str">
        <f t="shared" si="21"/>
        <v>, CASE WHEN shikkan_disp_name = 'C132' THEN min_shikkan_start_date ::DATE ELSE NULL END AS shikkan87_start_date</v>
      </c>
      <c r="V100" s="25" t="str">
        <f t="shared" si="22"/>
        <v>, max(shikkan87_start_date)</v>
      </c>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milscm_2023_009.sny_202310_annony_shikkan2.shikkan87_start_date IS 'C132_疾患開始日';</v>
      </c>
    </row>
    <row r="101" spans="1:45" s="25" customFormat="1">
      <c r="A101" s="4" t="s">
        <v>5244</v>
      </c>
      <c r="B101" s="21">
        <f t="shared" si="19"/>
        <v>89</v>
      </c>
      <c r="C101" s="13" t="str">
        <f t="shared" si="20"/>
        <v>C138_疾患開始日</v>
      </c>
      <c r="D101" s="13" t="s">
        <v>4856</v>
      </c>
      <c r="E101" s="8"/>
      <c r="F101" s="7" t="s">
        <v>4348</v>
      </c>
      <c r="G101" s="7" t="s">
        <v>25</v>
      </c>
      <c r="H101" s="58"/>
      <c r="I101" s="23"/>
      <c r="J101" s="24"/>
      <c r="M101" s="4"/>
      <c r="N101" s="76"/>
      <c r="O101" s="76"/>
      <c r="P101" s="76" t="str">
        <f t="shared" si="23"/>
        <v>,shikkan88_start_date</v>
      </c>
      <c r="Q101" s="76" t="str">
        <f t="shared" si="24"/>
        <v>DATE</v>
      </c>
      <c r="R101" s="76" t="str">
        <f t="shared" si="25"/>
        <v/>
      </c>
      <c r="S101" s="76" t="str">
        <f t="shared" si="26"/>
        <v/>
      </c>
      <c r="T101" s="76" t="str">
        <f t="shared" si="27"/>
        <v>-- C138_疾患開始日</v>
      </c>
      <c r="U101" s="4" t="str">
        <f t="shared" si="21"/>
        <v>, CASE WHEN shikkan_disp_name = 'C138' THEN min_shikkan_start_date ::DATE ELSE NULL END AS shikkan88_start_date</v>
      </c>
      <c r="V101" s="25" t="str">
        <f t="shared" si="22"/>
        <v>, max(shikkan88_start_date)</v>
      </c>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milscm_2023_009.sny_202310_annony_shikkan2.shikkan88_start_date IS 'C138_疾患開始日';</v>
      </c>
    </row>
    <row r="102" spans="1:45" s="25" customFormat="1">
      <c r="A102" s="4" t="s">
        <v>5245</v>
      </c>
      <c r="B102" s="21">
        <f t="shared" si="19"/>
        <v>90</v>
      </c>
      <c r="C102" s="13" t="str">
        <f t="shared" si="20"/>
        <v>C139_疾患開始日</v>
      </c>
      <c r="D102" s="13" t="s">
        <v>4857</v>
      </c>
      <c r="E102" s="8"/>
      <c r="F102" s="7" t="s">
        <v>4348</v>
      </c>
      <c r="G102" s="7" t="s">
        <v>25</v>
      </c>
      <c r="H102" s="58"/>
      <c r="I102" s="23"/>
      <c r="J102" s="24"/>
      <c r="M102" s="4"/>
      <c r="N102" s="76"/>
      <c r="O102" s="76"/>
      <c r="P102" s="76" t="str">
        <f t="shared" si="23"/>
        <v>,shikkan89_start_date</v>
      </c>
      <c r="Q102" s="76" t="str">
        <f t="shared" si="24"/>
        <v>DATE</v>
      </c>
      <c r="R102" s="76" t="str">
        <f t="shared" si="25"/>
        <v/>
      </c>
      <c r="S102" s="76" t="str">
        <f t="shared" si="26"/>
        <v/>
      </c>
      <c r="T102" s="76" t="str">
        <f t="shared" si="27"/>
        <v>-- C139_疾患開始日</v>
      </c>
      <c r="U102" s="4" t="str">
        <f t="shared" si="21"/>
        <v>, CASE WHEN shikkan_disp_name = 'C139' THEN min_shikkan_start_date ::DATE ELSE NULL END AS shikkan89_start_date</v>
      </c>
      <c r="V102" s="25" t="str">
        <f t="shared" si="22"/>
        <v>, max(shikkan89_start_date)</v>
      </c>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milscm_2023_009.sny_202310_annony_shikkan2.shikkan89_start_date IS 'C139_疾患開始日';</v>
      </c>
    </row>
    <row r="103" spans="1:45" s="25" customFormat="1">
      <c r="A103" s="4" t="s">
        <v>5246</v>
      </c>
      <c r="B103" s="21">
        <f t="shared" si="19"/>
        <v>91</v>
      </c>
      <c r="C103" s="13" t="str">
        <f t="shared" si="20"/>
        <v>C140_疾患開始日</v>
      </c>
      <c r="D103" s="13" t="s">
        <v>4858</v>
      </c>
      <c r="E103" s="8"/>
      <c r="F103" s="7" t="s">
        <v>4348</v>
      </c>
      <c r="G103" s="7" t="s">
        <v>25</v>
      </c>
      <c r="H103" s="58"/>
      <c r="I103" s="23"/>
      <c r="J103" s="24"/>
      <c r="M103" s="4"/>
      <c r="N103" s="76"/>
      <c r="O103" s="76"/>
      <c r="P103" s="76" t="str">
        <f t="shared" si="23"/>
        <v>,shikkan90_start_date</v>
      </c>
      <c r="Q103" s="76" t="str">
        <f t="shared" si="24"/>
        <v>DATE</v>
      </c>
      <c r="R103" s="76" t="str">
        <f t="shared" si="25"/>
        <v/>
      </c>
      <c r="S103" s="76" t="str">
        <f t="shared" si="26"/>
        <v/>
      </c>
      <c r="T103" s="76" t="str">
        <f t="shared" si="27"/>
        <v>-- C140_疾患開始日</v>
      </c>
      <c r="U103" s="4" t="str">
        <f t="shared" si="21"/>
        <v>, CASE WHEN shikkan_disp_name = 'C140' THEN min_shikkan_start_date ::DATE ELSE NULL END AS shikkan90_start_date</v>
      </c>
      <c r="V103" s="25" t="str">
        <f t="shared" si="22"/>
        <v>, max(shikkan90_start_date)</v>
      </c>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milscm_2023_009.sny_202310_annony_shikkan2.shikkan90_start_date IS 'C140_疾患開始日';</v>
      </c>
    </row>
    <row r="104" spans="1:45" s="25" customFormat="1">
      <c r="A104" s="4" t="s">
        <v>5247</v>
      </c>
      <c r="B104" s="21">
        <f t="shared" si="19"/>
        <v>92</v>
      </c>
      <c r="C104" s="13" t="str">
        <f t="shared" si="20"/>
        <v>C142_疾患開始日</v>
      </c>
      <c r="D104" s="13" t="s">
        <v>4859</v>
      </c>
      <c r="E104" s="8"/>
      <c r="F104" s="7" t="s">
        <v>4348</v>
      </c>
      <c r="G104" s="7" t="s">
        <v>25</v>
      </c>
      <c r="H104" s="58"/>
      <c r="I104" s="23"/>
      <c r="J104" s="24"/>
      <c r="M104" s="4"/>
      <c r="N104" s="76"/>
      <c r="O104" s="76"/>
      <c r="P104" s="76" t="str">
        <f t="shared" si="23"/>
        <v>,shikkan91_start_date</v>
      </c>
      <c r="Q104" s="76" t="str">
        <f t="shared" si="24"/>
        <v>DATE</v>
      </c>
      <c r="R104" s="76" t="str">
        <f t="shared" si="25"/>
        <v/>
      </c>
      <c r="S104" s="76" t="str">
        <f t="shared" si="26"/>
        <v/>
      </c>
      <c r="T104" s="76" t="str">
        <f t="shared" si="27"/>
        <v>-- C142_疾患開始日</v>
      </c>
      <c r="U104" s="4" t="str">
        <f t="shared" si="21"/>
        <v>, CASE WHEN shikkan_disp_name = 'C142' THEN min_shikkan_start_date ::DATE ELSE NULL END AS shikkan91_start_date</v>
      </c>
      <c r="V104" s="25" t="str">
        <f t="shared" si="22"/>
        <v>, max(shikkan91_start_date)</v>
      </c>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milscm_2023_009.sny_202310_annony_shikkan2.shikkan91_start_date IS 'C142_疾患開始日';</v>
      </c>
    </row>
    <row r="105" spans="1:45" s="25" customFormat="1">
      <c r="A105" s="4" t="s">
        <v>5248</v>
      </c>
      <c r="B105" s="21">
        <f t="shared" si="19"/>
        <v>93</v>
      </c>
      <c r="C105" s="13" t="str">
        <f t="shared" si="20"/>
        <v>C148_疾患開始日</v>
      </c>
      <c r="D105" s="13" t="s">
        <v>4860</v>
      </c>
      <c r="E105" s="8"/>
      <c r="F105" s="7" t="s">
        <v>4348</v>
      </c>
      <c r="G105" s="7" t="s">
        <v>25</v>
      </c>
      <c r="H105" s="58"/>
      <c r="I105" s="23"/>
      <c r="J105" s="24"/>
      <c r="M105" s="4"/>
      <c r="N105" s="76"/>
      <c r="O105" s="76"/>
      <c r="P105" s="76" t="str">
        <f t="shared" si="23"/>
        <v>,shikkan92_start_date</v>
      </c>
      <c r="Q105" s="76" t="str">
        <f t="shared" si="24"/>
        <v>DATE</v>
      </c>
      <c r="R105" s="76" t="str">
        <f t="shared" si="25"/>
        <v/>
      </c>
      <c r="S105" s="76" t="str">
        <f t="shared" si="26"/>
        <v/>
      </c>
      <c r="T105" s="76" t="str">
        <f t="shared" si="27"/>
        <v>-- C148_疾患開始日</v>
      </c>
      <c r="U105" s="4" t="str">
        <f t="shared" si="21"/>
        <v>, CASE WHEN shikkan_disp_name = 'C148' THEN min_shikkan_start_date ::DATE ELSE NULL END AS shikkan92_start_date</v>
      </c>
      <c r="V105" s="25" t="str">
        <f t="shared" si="22"/>
        <v>, max(shikkan92_start_date)</v>
      </c>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milscm_2023_009.sny_202310_annony_shikkan2.shikkan92_start_date IS 'C148_疾患開始日';</v>
      </c>
    </row>
    <row r="106" spans="1:45" s="25" customFormat="1">
      <c r="A106" s="4" t="s">
        <v>5249</v>
      </c>
      <c r="B106" s="21">
        <f t="shared" si="19"/>
        <v>94</v>
      </c>
      <c r="C106" s="13" t="str">
        <f t="shared" si="20"/>
        <v>C150_疾患開始日</v>
      </c>
      <c r="D106" s="13" t="s">
        <v>4861</v>
      </c>
      <c r="E106" s="8"/>
      <c r="F106" s="7" t="s">
        <v>4348</v>
      </c>
      <c r="G106" s="7" t="s">
        <v>25</v>
      </c>
      <c r="H106" s="58"/>
      <c r="I106" s="23"/>
      <c r="J106" s="24"/>
      <c r="M106" s="4"/>
      <c r="N106" s="76"/>
      <c r="O106" s="76"/>
      <c r="P106" s="76" t="str">
        <f t="shared" si="23"/>
        <v>,shikkan93_start_date</v>
      </c>
      <c r="Q106" s="76" t="str">
        <f t="shared" si="24"/>
        <v>DATE</v>
      </c>
      <c r="R106" s="76" t="str">
        <f t="shared" si="25"/>
        <v/>
      </c>
      <c r="S106" s="76" t="str">
        <f t="shared" si="26"/>
        <v/>
      </c>
      <c r="T106" s="76" t="str">
        <f t="shared" si="27"/>
        <v>-- C150_疾患開始日</v>
      </c>
      <c r="U106" s="4" t="str">
        <f t="shared" si="21"/>
        <v>, CASE WHEN shikkan_disp_name = 'C150' THEN min_shikkan_start_date ::DATE ELSE NULL END AS shikkan93_start_date</v>
      </c>
      <c r="V106" s="25" t="str">
        <f t="shared" si="22"/>
        <v>, max(shikkan93_start_date)</v>
      </c>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milscm_2023_009.sny_202310_annony_shikkan2.shikkan93_start_date IS 'C150_疾患開始日';</v>
      </c>
    </row>
    <row r="107" spans="1:45" s="25" customFormat="1">
      <c r="A107" s="4" t="s">
        <v>5250</v>
      </c>
      <c r="B107" s="21">
        <f t="shared" si="19"/>
        <v>95</v>
      </c>
      <c r="C107" s="13" t="str">
        <f t="shared" si="20"/>
        <v>C151_疾患開始日</v>
      </c>
      <c r="D107" s="13" t="s">
        <v>4862</v>
      </c>
      <c r="E107" s="8"/>
      <c r="F107" s="7" t="s">
        <v>4348</v>
      </c>
      <c r="G107" s="7" t="s">
        <v>25</v>
      </c>
      <c r="H107" s="58"/>
      <c r="I107" s="23"/>
      <c r="J107" s="24"/>
      <c r="M107" s="4"/>
      <c r="N107" s="76"/>
      <c r="O107" s="76"/>
      <c r="P107" s="76" t="str">
        <f t="shared" si="23"/>
        <v>,shikkan94_start_date</v>
      </c>
      <c r="Q107" s="76" t="str">
        <f t="shared" si="24"/>
        <v>DATE</v>
      </c>
      <c r="R107" s="76" t="str">
        <f t="shared" si="25"/>
        <v/>
      </c>
      <c r="S107" s="76" t="str">
        <f t="shared" si="26"/>
        <v/>
      </c>
      <c r="T107" s="76" t="str">
        <f t="shared" si="27"/>
        <v>-- C151_疾患開始日</v>
      </c>
      <c r="U107" s="4" t="str">
        <f t="shared" si="21"/>
        <v>, CASE WHEN shikkan_disp_name = 'C151' THEN min_shikkan_start_date ::DATE ELSE NULL END AS shikkan94_start_date</v>
      </c>
      <c r="V107" s="25" t="str">
        <f t="shared" si="22"/>
        <v>, max(shikkan94_start_date)</v>
      </c>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milscm_2023_009.sny_202310_annony_shikkan2.shikkan94_start_date IS 'C151_疾患開始日';</v>
      </c>
    </row>
    <row r="108" spans="1:45" s="25" customFormat="1">
      <c r="A108" s="4" t="s">
        <v>5251</v>
      </c>
      <c r="B108" s="21">
        <f t="shared" si="19"/>
        <v>96</v>
      </c>
      <c r="C108" s="13" t="str">
        <f t="shared" si="20"/>
        <v>C152_疾患開始日</v>
      </c>
      <c r="D108" s="13" t="s">
        <v>4863</v>
      </c>
      <c r="E108" s="8"/>
      <c r="F108" s="7" t="s">
        <v>4348</v>
      </c>
      <c r="G108" s="7" t="s">
        <v>25</v>
      </c>
      <c r="H108" s="58"/>
      <c r="I108" s="23"/>
      <c r="J108" s="24"/>
      <c r="M108" s="4"/>
      <c r="N108" s="76"/>
      <c r="O108" s="76"/>
      <c r="P108" s="76" t="str">
        <f t="shared" si="23"/>
        <v>,shikkan95_start_date</v>
      </c>
      <c r="Q108" s="76" t="str">
        <f t="shared" si="24"/>
        <v>DATE</v>
      </c>
      <c r="R108" s="76" t="str">
        <f t="shared" si="25"/>
        <v/>
      </c>
      <c r="S108" s="76" t="str">
        <f t="shared" si="26"/>
        <v/>
      </c>
      <c r="T108" s="76" t="str">
        <f t="shared" si="27"/>
        <v>-- C152_疾患開始日</v>
      </c>
      <c r="U108" s="4" t="str">
        <f t="shared" si="21"/>
        <v>, CASE WHEN shikkan_disp_name = 'C152' THEN min_shikkan_start_date ::DATE ELSE NULL END AS shikkan95_start_date</v>
      </c>
      <c r="V108" s="25" t="str">
        <f t="shared" si="22"/>
        <v>, max(shikkan95_start_date)</v>
      </c>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milscm_2023_009.sny_202310_annony_shikkan2.shikkan95_start_date IS 'C152_疾患開始日';</v>
      </c>
    </row>
    <row r="109" spans="1:45" s="25" customFormat="1">
      <c r="A109" s="4" t="s">
        <v>5252</v>
      </c>
      <c r="B109" s="21">
        <f t="shared" si="19"/>
        <v>97</v>
      </c>
      <c r="C109" s="13" t="str">
        <f t="shared" si="20"/>
        <v>C153_疾患開始日</v>
      </c>
      <c r="D109" s="13" t="s">
        <v>4864</v>
      </c>
      <c r="E109" s="8"/>
      <c r="F109" s="7" t="s">
        <v>4348</v>
      </c>
      <c r="G109" s="7" t="s">
        <v>25</v>
      </c>
      <c r="H109" s="58"/>
      <c r="I109" s="23"/>
      <c r="J109" s="24"/>
      <c r="M109" s="4"/>
      <c r="N109" s="76"/>
      <c r="O109" s="76"/>
      <c r="P109" s="76" t="str">
        <f t="shared" si="23"/>
        <v>,shikkan96_start_date</v>
      </c>
      <c r="Q109" s="76" t="str">
        <f t="shared" si="24"/>
        <v>DATE</v>
      </c>
      <c r="R109" s="76" t="str">
        <f t="shared" si="25"/>
        <v/>
      </c>
      <c r="S109" s="76" t="str">
        <f t="shared" si="26"/>
        <v/>
      </c>
      <c r="T109" s="76" t="str">
        <f t="shared" si="27"/>
        <v>-- C153_疾患開始日</v>
      </c>
      <c r="U109" s="4" t="str">
        <f t="shared" si="21"/>
        <v>, CASE WHEN shikkan_disp_name = 'C153' THEN min_shikkan_start_date ::DATE ELSE NULL END AS shikkan96_start_date</v>
      </c>
      <c r="V109" s="25" t="str">
        <f t="shared" si="22"/>
        <v>, max(shikkan96_start_date)</v>
      </c>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milscm_2023_009.sny_202310_annony_shikkan2.shikkan96_start_date IS 'C153_疾患開始日';</v>
      </c>
    </row>
    <row r="110" spans="1:45" s="25" customFormat="1">
      <c r="A110" s="4" t="s">
        <v>5253</v>
      </c>
      <c r="B110" s="21">
        <f t="shared" si="19"/>
        <v>98</v>
      </c>
      <c r="C110" s="13" t="str">
        <f t="shared" si="20"/>
        <v>C154_疾患開始日</v>
      </c>
      <c r="D110" s="13" t="s">
        <v>4865</v>
      </c>
      <c r="E110" s="8"/>
      <c r="F110" s="7" t="s">
        <v>4348</v>
      </c>
      <c r="G110" s="7" t="s">
        <v>99</v>
      </c>
      <c r="H110" s="58"/>
      <c r="I110" s="23"/>
      <c r="J110" s="24"/>
      <c r="M110" s="4"/>
      <c r="N110" s="76"/>
      <c r="O110" s="76"/>
      <c r="P110" s="76" t="str">
        <f t="shared" si="23"/>
        <v>,shikkan97_start_date</v>
      </c>
      <c r="Q110" s="76" t="str">
        <f t="shared" si="24"/>
        <v>DATE</v>
      </c>
      <c r="R110" s="76" t="str">
        <f t="shared" si="25"/>
        <v/>
      </c>
      <c r="S110" s="76" t="str">
        <f t="shared" si="26"/>
        <v/>
      </c>
      <c r="T110" s="76" t="str">
        <f t="shared" si="27"/>
        <v>-- C154_疾患開始日</v>
      </c>
      <c r="U110" s="4" t="str">
        <f t="shared" si="21"/>
        <v>, CASE WHEN shikkan_disp_name = 'C154' THEN min_shikkan_start_date ::DATE ELSE NULL END AS shikkan97_start_date</v>
      </c>
      <c r="V110" s="25" t="str">
        <f t="shared" si="22"/>
        <v>, max(shikkan97_start_date)</v>
      </c>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milscm_2023_009.sny_202310_annony_shikkan2.shikkan97_start_date IS 'C154_疾患開始日';</v>
      </c>
    </row>
    <row r="111" spans="1:45" s="25" customFormat="1">
      <c r="A111" s="4" t="s">
        <v>5254</v>
      </c>
      <c r="B111" s="21">
        <f t="shared" si="19"/>
        <v>99</v>
      </c>
      <c r="C111" s="13" t="str">
        <f t="shared" si="20"/>
        <v>C155_疾患開始日</v>
      </c>
      <c r="D111" s="13" t="s">
        <v>4866</v>
      </c>
      <c r="E111" s="8"/>
      <c r="F111" s="7" t="s">
        <v>4348</v>
      </c>
      <c r="G111" s="7" t="s">
        <v>25</v>
      </c>
      <c r="H111" s="58"/>
      <c r="I111" s="23"/>
      <c r="J111" s="24"/>
      <c r="M111" s="4"/>
      <c r="N111" s="76"/>
      <c r="O111" s="76"/>
      <c r="P111" s="76" t="str">
        <f t="shared" si="23"/>
        <v>,shikkan98_start_date</v>
      </c>
      <c r="Q111" s="76" t="str">
        <f t="shared" si="24"/>
        <v>DATE</v>
      </c>
      <c r="R111" s="76" t="str">
        <f t="shared" si="25"/>
        <v/>
      </c>
      <c r="S111" s="76" t="str">
        <f t="shared" si="26"/>
        <v/>
      </c>
      <c r="T111" s="76" t="str">
        <f t="shared" si="27"/>
        <v>-- C155_疾患開始日</v>
      </c>
      <c r="U111" s="4" t="str">
        <f t="shared" si="21"/>
        <v>, CASE WHEN shikkan_disp_name = 'C155' THEN min_shikkan_start_date ::DATE ELSE NULL END AS shikkan98_start_date</v>
      </c>
      <c r="V111" s="25" t="str">
        <f t="shared" si="22"/>
        <v>, max(shikkan98_start_date)</v>
      </c>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milscm_2023_009.sny_202310_annony_shikkan2.shikkan98_start_date IS 'C155_疾患開始日';</v>
      </c>
    </row>
    <row r="112" spans="1:45" s="25" customFormat="1">
      <c r="A112" s="4" t="s">
        <v>5255</v>
      </c>
      <c r="B112" s="21">
        <f t="shared" si="19"/>
        <v>100</v>
      </c>
      <c r="C112" s="13" t="str">
        <f t="shared" si="20"/>
        <v>C158_疾患開始日</v>
      </c>
      <c r="D112" s="13" t="s">
        <v>4867</v>
      </c>
      <c r="E112" s="8"/>
      <c r="F112" s="7" t="s">
        <v>4348</v>
      </c>
      <c r="G112" s="7" t="s">
        <v>25</v>
      </c>
      <c r="H112" s="58"/>
      <c r="I112" s="23"/>
      <c r="J112" s="24"/>
      <c r="M112" s="4"/>
      <c r="N112" s="76"/>
      <c r="O112" s="76"/>
      <c r="P112" s="76" t="str">
        <f t="shared" si="23"/>
        <v>,shikkan99_start_date</v>
      </c>
      <c r="Q112" s="76" t="str">
        <f t="shared" si="24"/>
        <v>DATE</v>
      </c>
      <c r="R112" s="76" t="str">
        <f t="shared" si="25"/>
        <v/>
      </c>
      <c r="S112" s="76" t="str">
        <f t="shared" si="26"/>
        <v/>
      </c>
      <c r="T112" s="76" t="str">
        <f t="shared" si="27"/>
        <v>-- C158_疾患開始日</v>
      </c>
      <c r="U112" s="4" t="str">
        <f t="shared" si="21"/>
        <v>, CASE WHEN shikkan_disp_name = 'C158' THEN min_shikkan_start_date ::DATE ELSE NULL END AS shikkan99_start_date</v>
      </c>
      <c r="V112" s="25" t="str">
        <f t="shared" si="22"/>
        <v>, max(shikkan99_start_date)</v>
      </c>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milscm_2023_009.sny_202310_annony_shikkan2.shikkan99_start_date IS 'C158_疾患開始日';</v>
      </c>
    </row>
    <row r="113" spans="1:45" s="25" customFormat="1">
      <c r="A113" s="4" t="s">
        <v>5256</v>
      </c>
      <c r="B113" s="21">
        <f t="shared" si="19"/>
        <v>101</v>
      </c>
      <c r="C113" s="13" t="str">
        <f t="shared" si="20"/>
        <v>C159_疾患開始日</v>
      </c>
      <c r="D113" s="13" t="s">
        <v>4868</v>
      </c>
      <c r="E113" s="8"/>
      <c r="F113" s="7" t="s">
        <v>4348</v>
      </c>
      <c r="G113" s="7" t="s">
        <v>25</v>
      </c>
      <c r="H113" s="58"/>
      <c r="I113" s="23"/>
      <c r="J113" s="24"/>
      <c r="M113" s="4"/>
      <c r="N113" s="76"/>
      <c r="O113" s="76"/>
      <c r="P113" s="76" t="str">
        <f t="shared" si="23"/>
        <v>,shikkan100_start_date</v>
      </c>
      <c r="Q113" s="76" t="str">
        <f t="shared" si="24"/>
        <v>DATE</v>
      </c>
      <c r="R113" s="76" t="str">
        <f t="shared" si="25"/>
        <v/>
      </c>
      <c r="S113" s="76" t="str">
        <f t="shared" si="26"/>
        <v/>
      </c>
      <c r="T113" s="76" t="str">
        <f t="shared" si="27"/>
        <v>-- C159_疾患開始日</v>
      </c>
      <c r="U113" s="4" t="str">
        <f t="shared" si="21"/>
        <v>, CASE WHEN shikkan_disp_name = 'C159' THEN min_shikkan_start_date ::DATE ELSE NULL END AS shikkan100_start_date</v>
      </c>
      <c r="V113" s="25" t="str">
        <f t="shared" si="22"/>
        <v>, max(shikkan100_start_date)</v>
      </c>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milscm_2023_009.sny_202310_annony_shikkan2.shikkan100_start_date IS 'C159_疾患開始日';</v>
      </c>
    </row>
    <row r="114" spans="1:45" s="25" customFormat="1">
      <c r="A114" s="4" t="s">
        <v>5257</v>
      </c>
      <c r="B114" s="21">
        <f t="shared" si="19"/>
        <v>102</v>
      </c>
      <c r="C114" s="13" t="str">
        <f t="shared" si="20"/>
        <v>C160_疾患開始日</v>
      </c>
      <c r="D114" s="13" t="s">
        <v>4869</v>
      </c>
      <c r="E114" s="8"/>
      <c r="F114" s="7" t="s">
        <v>4348</v>
      </c>
      <c r="G114" s="7" t="s">
        <v>25</v>
      </c>
      <c r="H114" s="58"/>
      <c r="I114" s="23"/>
      <c r="J114" s="24"/>
      <c r="M114" s="4"/>
      <c r="N114" s="76"/>
      <c r="O114" s="76"/>
      <c r="P114" s="76" t="str">
        <f t="shared" si="23"/>
        <v>,shikkan101_start_date</v>
      </c>
      <c r="Q114" s="76" t="str">
        <f t="shared" si="24"/>
        <v>DATE</v>
      </c>
      <c r="R114" s="76" t="str">
        <f t="shared" si="25"/>
        <v/>
      </c>
      <c r="S114" s="76" t="str">
        <f t="shared" si="26"/>
        <v/>
      </c>
      <c r="T114" s="76" t="str">
        <f t="shared" si="27"/>
        <v>-- C160_疾患開始日</v>
      </c>
      <c r="U114" s="4" t="str">
        <f t="shared" si="21"/>
        <v>, CASE WHEN shikkan_disp_name = 'C160' THEN min_shikkan_start_date ::DATE ELSE NULL END AS shikkan101_start_date</v>
      </c>
      <c r="V114" s="25" t="str">
        <f t="shared" si="22"/>
        <v>, max(shikkan101_start_date)</v>
      </c>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milscm_2023_009.sny_202310_annony_shikkan2.shikkan101_start_date IS 'C160_疾患開始日';</v>
      </c>
    </row>
    <row r="115" spans="1:45" s="25" customFormat="1">
      <c r="A115" s="4" t="s">
        <v>5258</v>
      </c>
      <c r="B115" s="21">
        <f t="shared" si="19"/>
        <v>103</v>
      </c>
      <c r="C115" s="13" t="str">
        <f t="shared" si="20"/>
        <v>C161_疾患開始日</v>
      </c>
      <c r="D115" s="13" t="s">
        <v>4870</v>
      </c>
      <c r="E115" s="8"/>
      <c r="F115" s="7" t="s">
        <v>4348</v>
      </c>
      <c r="G115" s="7" t="s">
        <v>25</v>
      </c>
      <c r="H115" s="58"/>
      <c r="I115" s="23"/>
      <c r="J115" s="24"/>
      <c r="M115" s="4"/>
      <c r="N115" s="76"/>
      <c r="O115" s="76"/>
      <c r="P115" s="76" t="str">
        <f t="shared" si="23"/>
        <v>,shikkan102_start_date</v>
      </c>
      <c r="Q115" s="76" t="str">
        <f t="shared" si="24"/>
        <v>DATE</v>
      </c>
      <c r="R115" s="76" t="str">
        <f t="shared" si="25"/>
        <v/>
      </c>
      <c r="S115" s="76" t="str">
        <f t="shared" si="26"/>
        <v/>
      </c>
      <c r="T115" s="76" t="str">
        <f t="shared" si="27"/>
        <v>-- C161_疾患開始日</v>
      </c>
      <c r="U115" s="4" t="str">
        <f t="shared" si="21"/>
        <v>, CASE WHEN shikkan_disp_name = 'C161' THEN min_shikkan_start_date ::DATE ELSE NULL END AS shikkan102_start_date</v>
      </c>
      <c r="V115" s="25" t="str">
        <f t="shared" si="22"/>
        <v>, max(shikkan102_start_date)</v>
      </c>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milscm_2023_009.sny_202310_annony_shikkan2.shikkan102_start_date IS 'C161_疾患開始日';</v>
      </c>
    </row>
    <row r="116" spans="1:45" s="25" customFormat="1">
      <c r="A116" s="4" t="s">
        <v>5259</v>
      </c>
      <c r="B116" s="21">
        <f t="shared" si="19"/>
        <v>104</v>
      </c>
      <c r="C116" s="13" t="str">
        <f t="shared" si="20"/>
        <v>C162_疾患開始日</v>
      </c>
      <c r="D116" s="13" t="s">
        <v>4871</v>
      </c>
      <c r="E116" s="8"/>
      <c r="F116" s="7" t="s">
        <v>4348</v>
      </c>
      <c r="G116" s="7" t="s">
        <v>25</v>
      </c>
      <c r="H116" s="58"/>
      <c r="I116" s="23"/>
      <c r="J116" s="24"/>
      <c r="M116" s="4"/>
      <c r="N116" s="76"/>
      <c r="O116" s="76"/>
      <c r="P116" s="76" t="str">
        <f t="shared" si="23"/>
        <v>,shikkan103_start_date</v>
      </c>
      <c r="Q116" s="76" t="str">
        <f t="shared" si="24"/>
        <v>DATE</v>
      </c>
      <c r="R116" s="76" t="str">
        <f t="shared" si="25"/>
        <v/>
      </c>
      <c r="S116" s="76" t="str">
        <f t="shared" si="26"/>
        <v/>
      </c>
      <c r="T116" s="76" t="str">
        <f t="shared" si="27"/>
        <v>-- C162_疾患開始日</v>
      </c>
      <c r="U116" s="4" t="str">
        <f t="shared" si="21"/>
        <v>, CASE WHEN shikkan_disp_name = 'C162' THEN min_shikkan_start_date ::DATE ELSE NULL END AS shikkan103_start_date</v>
      </c>
      <c r="V116" s="25" t="str">
        <f t="shared" si="22"/>
        <v>, max(shikkan103_start_date)</v>
      </c>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milscm_2023_009.sny_202310_annony_shikkan2.shikkan103_start_date IS 'C162_疾患開始日';</v>
      </c>
    </row>
    <row r="117" spans="1:45" s="25" customFormat="1">
      <c r="A117" s="4" t="s">
        <v>5260</v>
      </c>
      <c r="B117" s="21">
        <f t="shared" si="19"/>
        <v>105</v>
      </c>
      <c r="C117" s="13" t="str">
        <f t="shared" si="20"/>
        <v>C163_疾患開始日</v>
      </c>
      <c r="D117" s="13" t="s">
        <v>4872</v>
      </c>
      <c r="E117" s="8"/>
      <c r="F117" s="7" t="s">
        <v>4348</v>
      </c>
      <c r="G117" s="7" t="s">
        <v>25</v>
      </c>
      <c r="H117" s="58"/>
      <c r="I117" s="23"/>
      <c r="J117" s="24"/>
      <c r="M117" s="4"/>
      <c r="N117" s="76"/>
      <c r="O117" s="76"/>
      <c r="P117" s="76" t="str">
        <f t="shared" si="23"/>
        <v>,shikkan104_start_date</v>
      </c>
      <c r="Q117" s="76" t="str">
        <f t="shared" si="24"/>
        <v>DATE</v>
      </c>
      <c r="R117" s="76" t="str">
        <f t="shared" si="25"/>
        <v/>
      </c>
      <c r="S117" s="76" t="str">
        <f t="shared" si="26"/>
        <v/>
      </c>
      <c r="T117" s="76" t="str">
        <f t="shared" si="27"/>
        <v>-- C163_疾患開始日</v>
      </c>
      <c r="U117" s="4" t="str">
        <f t="shared" si="21"/>
        <v>, CASE WHEN shikkan_disp_name = 'C163' THEN min_shikkan_start_date ::DATE ELSE NULL END AS shikkan104_start_date</v>
      </c>
      <c r="V117" s="25" t="str">
        <f t="shared" si="22"/>
        <v>, max(shikkan104_start_date)</v>
      </c>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milscm_2023_009.sny_202310_annony_shikkan2.shikkan104_start_date IS 'C163_疾患開始日';</v>
      </c>
    </row>
    <row r="118" spans="1:45" s="25" customFormat="1">
      <c r="A118" s="4" t="s">
        <v>5261</v>
      </c>
      <c r="B118" s="21">
        <f t="shared" si="19"/>
        <v>106</v>
      </c>
      <c r="C118" s="13" t="str">
        <f t="shared" si="20"/>
        <v>C164_疾患開始日</v>
      </c>
      <c r="D118" s="13" t="s">
        <v>4873</v>
      </c>
      <c r="E118" s="8"/>
      <c r="F118" s="7" t="s">
        <v>4348</v>
      </c>
      <c r="G118" s="7" t="s">
        <v>25</v>
      </c>
      <c r="H118" s="58"/>
      <c r="I118" s="23"/>
      <c r="J118" s="24"/>
      <c r="M118" s="4"/>
      <c r="N118" s="76"/>
      <c r="O118" s="76"/>
      <c r="P118" s="76" t="str">
        <f t="shared" si="23"/>
        <v>,shikkan105_start_date</v>
      </c>
      <c r="Q118" s="76" t="str">
        <f t="shared" si="24"/>
        <v>DATE</v>
      </c>
      <c r="R118" s="76" t="str">
        <f t="shared" si="25"/>
        <v/>
      </c>
      <c r="S118" s="76" t="str">
        <f t="shared" si="26"/>
        <v/>
      </c>
      <c r="T118" s="76" t="str">
        <f t="shared" si="27"/>
        <v>-- C164_疾患開始日</v>
      </c>
      <c r="U118" s="4" t="str">
        <f t="shared" si="21"/>
        <v>, CASE WHEN shikkan_disp_name = 'C164' THEN min_shikkan_start_date ::DATE ELSE NULL END AS shikkan105_start_date</v>
      </c>
      <c r="V118" s="25" t="str">
        <f t="shared" si="22"/>
        <v>, max(shikkan105_start_date)</v>
      </c>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milscm_2023_009.sny_202310_annony_shikkan2.shikkan105_start_date IS 'C164_疾患開始日';</v>
      </c>
    </row>
    <row r="119" spans="1:45" s="25" customFormat="1">
      <c r="A119" s="4" t="s">
        <v>5262</v>
      </c>
      <c r="B119" s="21">
        <f t="shared" si="19"/>
        <v>107</v>
      </c>
      <c r="C119" s="13" t="str">
        <f t="shared" si="20"/>
        <v>C165_疾患開始日</v>
      </c>
      <c r="D119" s="13" t="s">
        <v>4874</v>
      </c>
      <c r="E119" s="8"/>
      <c r="F119" s="7" t="s">
        <v>4348</v>
      </c>
      <c r="G119" s="7" t="s">
        <v>25</v>
      </c>
      <c r="H119" s="58"/>
      <c r="I119" s="23"/>
      <c r="J119" s="24"/>
      <c r="M119" s="4"/>
      <c r="N119" s="76"/>
      <c r="O119" s="76"/>
      <c r="P119" s="76" t="str">
        <f t="shared" si="23"/>
        <v>,shikkan106_start_date</v>
      </c>
      <c r="Q119" s="76" t="str">
        <f t="shared" si="24"/>
        <v>DATE</v>
      </c>
      <c r="R119" s="76" t="str">
        <f t="shared" si="25"/>
        <v/>
      </c>
      <c r="S119" s="76" t="str">
        <f t="shared" si="26"/>
        <v/>
      </c>
      <c r="T119" s="76" t="str">
        <f t="shared" si="27"/>
        <v>-- C165_疾患開始日</v>
      </c>
      <c r="U119" s="4" t="str">
        <f t="shared" si="21"/>
        <v>, CASE WHEN shikkan_disp_name = 'C165' THEN min_shikkan_start_date ::DATE ELSE NULL END AS shikkan106_start_date</v>
      </c>
      <c r="V119" s="25" t="str">
        <f t="shared" si="22"/>
        <v>, max(shikkan106_start_date)</v>
      </c>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milscm_2023_009.sny_202310_annony_shikkan2.shikkan106_start_date IS 'C165_疾患開始日';</v>
      </c>
    </row>
    <row r="120" spans="1:45" s="25" customFormat="1">
      <c r="A120" s="4" t="s">
        <v>5263</v>
      </c>
      <c r="B120" s="21">
        <f t="shared" si="19"/>
        <v>108</v>
      </c>
      <c r="C120" s="13" t="str">
        <f t="shared" si="20"/>
        <v>C166_疾患開始日</v>
      </c>
      <c r="D120" s="13" t="s">
        <v>4875</v>
      </c>
      <c r="E120" s="8"/>
      <c r="F120" s="7" t="s">
        <v>4348</v>
      </c>
      <c r="G120" s="7" t="s">
        <v>25</v>
      </c>
      <c r="H120" s="58"/>
      <c r="I120" s="23"/>
      <c r="J120" s="24"/>
      <c r="M120" s="4"/>
      <c r="N120" s="76"/>
      <c r="O120" s="76"/>
      <c r="P120" s="76" t="str">
        <f t="shared" si="23"/>
        <v>,shikkan107_start_date</v>
      </c>
      <c r="Q120" s="76" t="str">
        <f t="shared" si="24"/>
        <v>DATE</v>
      </c>
      <c r="R120" s="76" t="str">
        <f t="shared" si="25"/>
        <v/>
      </c>
      <c r="S120" s="76" t="str">
        <f t="shared" si="26"/>
        <v/>
      </c>
      <c r="T120" s="76" t="str">
        <f t="shared" si="27"/>
        <v>-- C166_疾患開始日</v>
      </c>
      <c r="U120" s="4" t="str">
        <f t="shared" si="21"/>
        <v>, CASE WHEN shikkan_disp_name = 'C166' THEN min_shikkan_start_date ::DATE ELSE NULL END AS shikkan107_start_date</v>
      </c>
      <c r="V120" s="25" t="str">
        <f t="shared" si="22"/>
        <v>, max(shikkan107_start_date)</v>
      </c>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milscm_2023_009.sny_202310_annony_shikkan2.shikkan107_start_date IS 'C166_疾患開始日';</v>
      </c>
    </row>
    <row r="121" spans="1:45" s="25" customFormat="1">
      <c r="A121" s="4" t="s">
        <v>5264</v>
      </c>
      <c r="B121" s="21">
        <f t="shared" si="19"/>
        <v>109</v>
      </c>
      <c r="C121" s="13" t="str">
        <f t="shared" si="20"/>
        <v>C168_疾患開始日</v>
      </c>
      <c r="D121" s="13" t="s">
        <v>4876</v>
      </c>
      <c r="E121" s="8"/>
      <c r="F121" s="7" t="s">
        <v>4348</v>
      </c>
      <c r="G121" s="7" t="s">
        <v>25</v>
      </c>
      <c r="H121" s="58"/>
      <c r="I121" s="23"/>
      <c r="J121" s="24"/>
      <c r="M121" s="4"/>
      <c r="N121" s="76"/>
      <c r="O121" s="76"/>
      <c r="P121" s="76" t="str">
        <f t="shared" si="23"/>
        <v>,shikkan108_start_date</v>
      </c>
      <c r="Q121" s="76" t="str">
        <f t="shared" si="24"/>
        <v>DATE</v>
      </c>
      <c r="R121" s="76" t="str">
        <f t="shared" si="25"/>
        <v/>
      </c>
      <c r="S121" s="76" t="str">
        <f t="shared" si="26"/>
        <v/>
      </c>
      <c r="T121" s="76" t="str">
        <f t="shared" si="27"/>
        <v>-- C168_疾患開始日</v>
      </c>
      <c r="U121" s="4" t="str">
        <f t="shared" si="21"/>
        <v>, CASE WHEN shikkan_disp_name = 'C168' THEN min_shikkan_start_date ::DATE ELSE NULL END AS shikkan108_start_date</v>
      </c>
      <c r="V121" s="25" t="str">
        <f t="shared" si="22"/>
        <v>, max(shikkan108_start_date)</v>
      </c>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milscm_2023_009.sny_202310_annony_shikkan2.shikkan108_start_date IS 'C168_疾患開始日';</v>
      </c>
    </row>
    <row r="122" spans="1:45" s="25" customFormat="1">
      <c r="A122" s="4" t="s">
        <v>5265</v>
      </c>
      <c r="B122" s="21">
        <f t="shared" si="19"/>
        <v>110</v>
      </c>
      <c r="C122" s="13" t="str">
        <f t="shared" si="20"/>
        <v>C169_疾患開始日</v>
      </c>
      <c r="D122" s="13" t="s">
        <v>4877</v>
      </c>
      <c r="E122" s="8"/>
      <c r="F122" s="7" t="s">
        <v>4348</v>
      </c>
      <c r="G122" s="7" t="s">
        <v>25</v>
      </c>
      <c r="H122" s="58"/>
      <c r="I122" s="23"/>
      <c r="J122" s="24"/>
      <c r="M122" s="4"/>
      <c r="N122" s="76"/>
      <c r="O122" s="76"/>
      <c r="P122" s="76" t="str">
        <f t="shared" si="23"/>
        <v>,shikkan109_start_date</v>
      </c>
      <c r="Q122" s="76" t="str">
        <f t="shared" si="24"/>
        <v>DATE</v>
      </c>
      <c r="R122" s="76" t="str">
        <f t="shared" si="25"/>
        <v/>
      </c>
      <c r="S122" s="76" t="str">
        <f t="shared" si="26"/>
        <v/>
      </c>
      <c r="T122" s="76" t="str">
        <f t="shared" si="27"/>
        <v>-- C169_疾患開始日</v>
      </c>
      <c r="U122" s="4" t="str">
        <f t="shared" si="21"/>
        <v>, CASE WHEN shikkan_disp_name = 'C169' THEN min_shikkan_start_date ::DATE ELSE NULL END AS shikkan109_start_date</v>
      </c>
      <c r="V122" s="25" t="str">
        <f t="shared" si="22"/>
        <v>, max(shikkan109_start_date)</v>
      </c>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milscm_2023_009.sny_202310_annony_shikkan2.shikkan109_start_date IS 'C169_疾患開始日';</v>
      </c>
    </row>
    <row r="123" spans="1:45" s="25" customFormat="1">
      <c r="A123" s="4" t="s">
        <v>5266</v>
      </c>
      <c r="B123" s="21">
        <f t="shared" si="19"/>
        <v>111</v>
      </c>
      <c r="C123" s="13" t="str">
        <f t="shared" si="20"/>
        <v>C170_疾患開始日</v>
      </c>
      <c r="D123" s="13" t="s">
        <v>4878</v>
      </c>
      <c r="E123" s="8"/>
      <c r="F123" s="7" t="s">
        <v>4348</v>
      </c>
      <c r="G123" s="7" t="s">
        <v>25</v>
      </c>
      <c r="H123" s="58"/>
      <c r="I123" s="23"/>
      <c r="J123" s="24"/>
      <c r="M123" s="4"/>
      <c r="N123" s="76"/>
      <c r="O123" s="76"/>
      <c r="P123" s="76" t="str">
        <f t="shared" si="23"/>
        <v>,shikkan110_start_date</v>
      </c>
      <c r="Q123" s="76" t="str">
        <f t="shared" si="24"/>
        <v>DATE</v>
      </c>
      <c r="R123" s="76" t="str">
        <f t="shared" si="25"/>
        <v/>
      </c>
      <c r="S123" s="76" t="str">
        <f t="shared" si="26"/>
        <v/>
      </c>
      <c r="T123" s="76" t="str">
        <f t="shared" si="27"/>
        <v>-- C170_疾患開始日</v>
      </c>
      <c r="U123" s="4" t="str">
        <f t="shared" si="21"/>
        <v>, CASE WHEN shikkan_disp_name = 'C170' THEN min_shikkan_start_date ::DATE ELSE NULL END AS shikkan110_start_date</v>
      </c>
      <c r="V123" s="25" t="str">
        <f t="shared" si="22"/>
        <v>, max(shikkan110_start_date)</v>
      </c>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milscm_2023_009.sny_202310_annony_shikkan2.shikkan110_start_date IS 'C170_疾患開始日';</v>
      </c>
    </row>
    <row r="124" spans="1:45" s="25" customFormat="1">
      <c r="A124" s="4" t="s">
        <v>5267</v>
      </c>
      <c r="B124" s="21">
        <f t="shared" si="19"/>
        <v>112</v>
      </c>
      <c r="C124" s="13" t="str">
        <f t="shared" si="20"/>
        <v>C171_疾患開始日</v>
      </c>
      <c r="D124" s="13" t="s">
        <v>4879</v>
      </c>
      <c r="E124" s="8"/>
      <c r="F124" s="7" t="s">
        <v>4348</v>
      </c>
      <c r="G124" s="7" t="s">
        <v>25</v>
      </c>
      <c r="H124" s="58"/>
      <c r="I124" s="23"/>
      <c r="J124" s="24"/>
      <c r="M124" s="4"/>
      <c r="N124" s="76"/>
      <c r="O124" s="76"/>
      <c r="P124" s="76" t="str">
        <f t="shared" si="23"/>
        <v>,shikkan111_start_date</v>
      </c>
      <c r="Q124" s="76" t="str">
        <f t="shared" si="24"/>
        <v>DATE</v>
      </c>
      <c r="R124" s="76" t="str">
        <f t="shared" si="25"/>
        <v/>
      </c>
      <c r="S124" s="76" t="str">
        <f t="shared" si="26"/>
        <v/>
      </c>
      <c r="T124" s="76" t="str">
        <f t="shared" si="27"/>
        <v>-- C171_疾患開始日</v>
      </c>
      <c r="U124" s="4" t="str">
        <f t="shared" si="21"/>
        <v>, CASE WHEN shikkan_disp_name = 'C171' THEN min_shikkan_start_date ::DATE ELSE NULL END AS shikkan111_start_date</v>
      </c>
      <c r="V124" s="25" t="str">
        <f t="shared" si="22"/>
        <v>, max(shikkan111_start_date)</v>
      </c>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milscm_2023_009.sny_202310_annony_shikkan2.shikkan111_start_date IS 'C171_疾患開始日';</v>
      </c>
    </row>
    <row r="125" spans="1:45" s="25" customFormat="1">
      <c r="A125" s="4" t="s">
        <v>5268</v>
      </c>
      <c r="B125" s="21">
        <f t="shared" si="19"/>
        <v>113</v>
      </c>
      <c r="C125" s="13" t="str">
        <f t="shared" si="20"/>
        <v>C172_疾患開始日</v>
      </c>
      <c r="D125" s="13" t="s">
        <v>4880</v>
      </c>
      <c r="E125" s="8"/>
      <c r="F125" s="7" t="s">
        <v>4348</v>
      </c>
      <c r="G125" s="7" t="s">
        <v>25</v>
      </c>
      <c r="H125" s="58"/>
      <c r="I125" s="23"/>
      <c r="J125" s="24"/>
      <c r="M125" s="4"/>
      <c r="N125" s="76"/>
      <c r="O125" s="76"/>
      <c r="P125" s="76" t="str">
        <f t="shared" si="23"/>
        <v>,shikkan112_start_date</v>
      </c>
      <c r="Q125" s="76" t="str">
        <f t="shared" si="24"/>
        <v>DATE</v>
      </c>
      <c r="R125" s="76" t="str">
        <f t="shared" si="25"/>
        <v/>
      </c>
      <c r="S125" s="76" t="str">
        <f t="shared" si="26"/>
        <v/>
      </c>
      <c r="T125" s="76" t="str">
        <f t="shared" si="27"/>
        <v>-- C172_疾患開始日</v>
      </c>
      <c r="U125" s="4" t="str">
        <f t="shared" si="21"/>
        <v>, CASE WHEN shikkan_disp_name = 'C172' THEN min_shikkan_start_date ::DATE ELSE NULL END AS shikkan112_start_date</v>
      </c>
      <c r="V125" s="25" t="str">
        <f t="shared" si="22"/>
        <v>, max(shikkan112_start_date)</v>
      </c>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milscm_2023_009.sny_202310_annony_shikkan2.shikkan112_start_date IS 'C172_疾患開始日';</v>
      </c>
    </row>
    <row r="126" spans="1:45" s="25" customFormat="1">
      <c r="A126" s="4" t="s">
        <v>5269</v>
      </c>
      <c r="B126" s="21">
        <f t="shared" si="19"/>
        <v>114</v>
      </c>
      <c r="C126" s="13" t="str">
        <f t="shared" si="20"/>
        <v>C173_疾患開始日</v>
      </c>
      <c r="D126" s="13" t="s">
        <v>4881</v>
      </c>
      <c r="E126" s="8"/>
      <c r="F126" s="7" t="s">
        <v>4348</v>
      </c>
      <c r="G126" s="7" t="s">
        <v>99</v>
      </c>
      <c r="H126" s="58"/>
      <c r="I126" s="23"/>
      <c r="J126" s="24"/>
      <c r="M126" s="4"/>
      <c r="N126" s="76"/>
      <c r="O126" s="76"/>
      <c r="P126" s="76" t="str">
        <f t="shared" ref="P126:P157" si="28">IF(B126&lt;&gt;1,","&amp;D126,D126)</f>
        <v>,shikkan113_start_date</v>
      </c>
      <c r="Q126" s="76" t="str">
        <f t="shared" ref="Q126:Q157" si="29">UPPER(G126)</f>
        <v>DATE</v>
      </c>
      <c r="R126" s="76" t="str">
        <f t="shared" ref="R126:R157" si="30">IF(H126&lt;&gt;"","default "&amp;IF(G126="text","'"&amp;H126&amp;"'",H126),"")</f>
        <v/>
      </c>
      <c r="S126" s="76" t="str">
        <f t="shared" ref="S126:S157" si="31">IF(I126="○","NOT NULL","")</f>
        <v/>
      </c>
      <c r="T126" s="76" t="str">
        <f t="shared" ref="T126:T157" si="32">"-- "&amp;C126</f>
        <v>-- C173_疾患開始日</v>
      </c>
      <c r="U126" s="4" t="str">
        <f t="shared" si="21"/>
        <v>, CASE WHEN shikkan_disp_name = 'C173' THEN min_shikkan_start_date ::DATE ELSE NULL END AS shikkan113_start_date</v>
      </c>
      <c r="V126" s="25" t="str">
        <f t="shared" si="22"/>
        <v>, max(shikkan113_start_date)</v>
      </c>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milscm_2023_009.sny_202310_annony_shikkan2.shikkan113_start_date IS 'C173_疾患開始日';</v>
      </c>
    </row>
    <row r="127" spans="1:45" s="25" customFormat="1">
      <c r="A127" s="4" t="s">
        <v>5270</v>
      </c>
      <c r="B127" s="21">
        <f t="shared" si="19"/>
        <v>115</v>
      </c>
      <c r="C127" s="13" t="str">
        <f t="shared" si="20"/>
        <v>C178_疾患開始日</v>
      </c>
      <c r="D127" s="13" t="s">
        <v>4882</v>
      </c>
      <c r="E127" s="8"/>
      <c r="F127" s="7" t="s">
        <v>4348</v>
      </c>
      <c r="G127" s="7" t="s">
        <v>25</v>
      </c>
      <c r="H127" s="58"/>
      <c r="I127" s="23"/>
      <c r="J127" s="24"/>
      <c r="M127" s="4"/>
      <c r="N127" s="76"/>
      <c r="O127" s="76"/>
      <c r="P127" s="76" t="str">
        <f t="shared" si="28"/>
        <v>,shikkan114_start_date</v>
      </c>
      <c r="Q127" s="76" t="str">
        <f t="shared" si="29"/>
        <v>DATE</v>
      </c>
      <c r="R127" s="76" t="str">
        <f t="shared" si="30"/>
        <v/>
      </c>
      <c r="S127" s="76" t="str">
        <f t="shared" si="31"/>
        <v/>
      </c>
      <c r="T127" s="76" t="str">
        <f t="shared" si="32"/>
        <v>-- C178_疾患開始日</v>
      </c>
      <c r="U127" s="4" t="str">
        <f t="shared" si="21"/>
        <v>, CASE WHEN shikkan_disp_name = 'C178' THEN min_shikkan_start_date ::DATE ELSE NULL END AS shikkan114_start_date</v>
      </c>
      <c r="V127" s="25" t="str">
        <f t="shared" si="22"/>
        <v>, max(shikkan114_start_date)</v>
      </c>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milscm_2023_009.sny_202310_annony_shikkan2.shikkan114_start_date IS 'C178_疾患開始日';</v>
      </c>
    </row>
    <row r="128" spans="1:45" s="25" customFormat="1">
      <c r="A128" s="4" t="s">
        <v>5271</v>
      </c>
      <c r="B128" s="21">
        <f t="shared" si="19"/>
        <v>116</v>
      </c>
      <c r="C128" s="13" t="str">
        <f t="shared" si="20"/>
        <v>C179_疾患開始日</v>
      </c>
      <c r="D128" s="13" t="s">
        <v>4883</v>
      </c>
      <c r="E128" s="8"/>
      <c r="F128" s="7" t="s">
        <v>4348</v>
      </c>
      <c r="G128" s="7" t="s">
        <v>25</v>
      </c>
      <c r="H128" s="58"/>
      <c r="I128" s="23"/>
      <c r="J128" s="24"/>
      <c r="M128" s="4"/>
      <c r="N128" s="76"/>
      <c r="O128" s="76"/>
      <c r="P128" s="76" t="str">
        <f t="shared" si="28"/>
        <v>,shikkan115_start_date</v>
      </c>
      <c r="Q128" s="76" t="str">
        <f t="shared" si="29"/>
        <v>DATE</v>
      </c>
      <c r="R128" s="76" t="str">
        <f t="shared" si="30"/>
        <v/>
      </c>
      <c r="S128" s="76" t="str">
        <f t="shared" si="31"/>
        <v/>
      </c>
      <c r="T128" s="76" t="str">
        <f t="shared" si="32"/>
        <v>-- C179_疾患開始日</v>
      </c>
      <c r="U128" s="4" t="str">
        <f t="shared" si="21"/>
        <v>, CASE WHEN shikkan_disp_name = 'C179' THEN min_shikkan_start_date ::DATE ELSE NULL END AS shikkan115_start_date</v>
      </c>
      <c r="V128" s="25" t="str">
        <f t="shared" si="22"/>
        <v>, max(shikkan115_start_date)</v>
      </c>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milscm_2023_009.sny_202310_annony_shikkan2.shikkan115_start_date IS 'C179_疾患開始日';</v>
      </c>
    </row>
    <row r="129" spans="1:45" s="25" customFormat="1">
      <c r="A129" s="4" t="s">
        <v>5272</v>
      </c>
      <c r="B129" s="21">
        <f t="shared" si="19"/>
        <v>117</v>
      </c>
      <c r="C129" s="13" t="str">
        <f t="shared" si="20"/>
        <v>C180_疾患開始日</v>
      </c>
      <c r="D129" s="13" t="s">
        <v>4884</v>
      </c>
      <c r="E129" s="8"/>
      <c r="F129" s="7" t="s">
        <v>4348</v>
      </c>
      <c r="G129" s="7" t="s">
        <v>25</v>
      </c>
      <c r="H129" s="58"/>
      <c r="I129" s="23"/>
      <c r="J129" s="24"/>
      <c r="M129" s="4"/>
      <c r="N129" s="76"/>
      <c r="O129" s="76"/>
      <c r="P129" s="76" t="str">
        <f t="shared" si="28"/>
        <v>,shikkan116_start_date</v>
      </c>
      <c r="Q129" s="76" t="str">
        <f t="shared" si="29"/>
        <v>DATE</v>
      </c>
      <c r="R129" s="76" t="str">
        <f t="shared" si="30"/>
        <v/>
      </c>
      <c r="S129" s="76" t="str">
        <f t="shared" si="31"/>
        <v/>
      </c>
      <c r="T129" s="76" t="str">
        <f t="shared" si="32"/>
        <v>-- C180_疾患開始日</v>
      </c>
      <c r="U129" s="4" t="str">
        <f t="shared" si="21"/>
        <v>, CASE WHEN shikkan_disp_name = 'C180' THEN min_shikkan_start_date ::DATE ELSE NULL END AS shikkan116_start_date</v>
      </c>
      <c r="V129" s="25" t="str">
        <f t="shared" si="22"/>
        <v>, max(shikkan116_start_date)</v>
      </c>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milscm_2023_009.sny_202310_annony_shikkan2.shikkan116_start_date IS 'C180_疾患開始日';</v>
      </c>
    </row>
    <row r="130" spans="1:45" s="25" customFormat="1">
      <c r="A130" s="4" t="s">
        <v>5273</v>
      </c>
      <c r="B130" s="21">
        <f t="shared" si="19"/>
        <v>118</v>
      </c>
      <c r="C130" s="13" t="str">
        <f t="shared" si="20"/>
        <v>C181_疾患開始日</v>
      </c>
      <c r="D130" s="13" t="s">
        <v>4885</v>
      </c>
      <c r="E130" s="8"/>
      <c r="F130" s="7" t="s">
        <v>4348</v>
      </c>
      <c r="G130" s="7" t="s">
        <v>25</v>
      </c>
      <c r="H130" s="58"/>
      <c r="I130" s="23"/>
      <c r="J130" s="24"/>
      <c r="M130" s="4"/>
      <c r="N130" s="76"/>
      <c r="O130" s="76"/>
      <c r="P130" s="76" t="str">
        <f t="shared" si="28"/>
        <v>,shikkan117_start_date</v>
      </c>
      <c r="Q130" s="76" t="str">
        <f t="shared" si="29"/>
        <v>DATE</v>
      </c>
      <c r="R130" s="76" t="str">
        <f t="shared" si="30"/>
        <v/>
      </c>
      <c r="S130" s="76" t="str">
        <f t="shared" si="31"/>
        <v/>
      </c>
      <c r="T130" s="76" t="str">
        <f t="shared" si="32"/>
        <v>-- C181_疾患開始日</v>
      </c>
      <c r="U130" s="4" t="str">
        <f t="shared" si="21"/>
        <v>, CASE WHEN shikkan_disp_name = 'C181' THEN min_shikkan_start_date ::DATE ELSE NULL END AS shikkan117_start_date</v>
      </c>
      <c r="V130" s="25" t="str">
        <f t="shared" si="22"/>
        <v>, max(shikkan117_start_date)</v>
      </c>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milscm_2023_009.sny_202310_annony_shikkan2.shikkan117_start_date IS 'C181_疾患開始日';</v>
      </c>
    </row>
    <row r="131" spans="1:45" s="25" customFormat="1">
      <c r="A131" s="4" t="s">
        <v>5274</v>
      </c>
      <c r="B131" s="21">
        <f t="shared" si="19"/>
        <v>119</v>
      </c>
      <c r="C131" s="13" t="str">
        <f t="shared" si="20"/>
        <v>C182_疾患開始日</v>
      </c>
      <c r="D131" s="13" t="s">
        <v>4886</v>
      </c>
      <c r="E131" s="8"/>
      <c r="F131" s="7" t="s">
        <v>4348</v>
      </c>
      <c r="G131" s="7" t="s">
        <v>25</v>
      </c>
      <c r="H131" s="58"/>
      <c r="I131" s="23"/>
      <c r="J131" s="24"/>
      <c r="M131" s="4"/>
      <c r="N131" s="76"/>
      <c r="O131" s="76"/>
      <c r="P131" s="76" t="str">
        <f t="shared" si="28"/>
        <v>,shikkan118_start_date</v>
      </c>
      <c r="Q131" s="76" t="str">
        <f t="shared" si="29"/>
        <v>DATE</v>
      </c>
      <c r="R131" s="76" t="str">
        <f t="shared" si="30"/>
        <v/>
      </c>
      <c r="S131" s="76" t="str">
        <f t="shared" si="31"/>
        <v/>
      </c>
      <c r="T131" s="76" t="str">
        <f t="shared" si="32"/>
        <v>-- C182_疾患開始日</v>
      </c>
      <c r="U131" s="4" t="str">
        <f t="shared" si="21"/>
        <v>, CASE WHEN shikkan_disp_name = 'C182' THEN min_shikkan_start_date ::DATE ELSE NULL END AS shikkan118_start_date</v>
      </c>
      <c r="V131" s="25" t="str">
        <f t="shared" si="22"/>
        <v>, max(shikkan118_start_date)</v>
      </c>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milscm_2023_009.sny_202310_annony_shikkan2.shikkan118_start_date IS 'C182_疾患開始日';</v>
      </c>
    </row>
    <row r="132" spans="1:45" s="25" customFormat="1">
      <c r="A132" s="4" t="s">
        <v>5275</v>
      </c>
      <c r="B132" s="21">
        <f t="shared" si="19"/>
        <v>120</v>
      </c>
      <c r="C132" s="13" t="str">
        <f t="shared" si="20"/>
        <v>C183_疾患開始日</v>
      </c>
      <c r="D132" s="13" t="s">
        <v>4887</v>
      </c>
      <c r="E132" s="8"/>
      <c r="F132" s="7" t="s">
        <v>4348</v>
      </c>
      <c r="G132" s="7" t="s">
        <v>25</v>
      </c>
      <c r="H132" s="58"/>
      <c r="I132" s="23"/>
      <c r="J132" s="24"/>
      <c r="M132" s="4"/>
      <c r="N132" s="76"/>
      <c r="O132" s="76"/>
      <c r="P132" s="76" t="str">
        <f t="shared" si="28"/>
        <v>,shikkan119_start_date</v>
      </c>
      <c r="Q132" s="76" t="str">
        <f t="shared" si="29"/>
        <v>DATE</v>
      </c>
      <c r="R132" s="76" t="str">
        <f t="shared" si="30"/>
        <v/>
      </c>
      <c r="S132" s="76" t="str">
        <f t="shared" si="31"/>
        <v/>
      </c>
      <c r="T132" s="76" t="str">
        <f t="shared" si="32"/>
        <v>-- C183_疾患開始日</v>
      </c>
      <c r="U132" s="4" t="str">
        <f t="shared" si="21"/>
        <v>, CASE WHEN shikkan_disp_name = 'C183' THEN min_shikkan_start_date ::DATE ELSE NULL END AS shikkan119_start_date</v>
      </c>
      <c r="V132" s="25" t="str">
        <f t="shared" si="22"/>
        <v>, max(shikkan119_start_date)</v>
      </c>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milscm_2023_009.sny_202310_annony_shikkan2.shikkan119_start_date IS 'C183_疾患開始日';</v>
      </c>
    </row>
    <row r="133" spans="1:45" s="25" customFormat="1">
      <c r="A133" s="4" t="s">
        <v>5276</v>
      </c>
      <c r="B133" s="21">
        <f t="shared" si="19"/>
        <v>121</v>
      </c>
      <c r="C133" s="13" t="str">
        <f t="shared" si="20"/>
        <v>C184_疾患開始日</v>
      </c>
      <c r="D133" s="13" t="s">
        <v>4888</v>
      </c>
      <c r="E133" s="8"/>
      <c r="F133" s="7" t="s">
        <v>4348</v>
      </c>
      <c r="G133" s="7" t="s">
        <v>25</v>
      </c>
      <c r="H133" s="58"/>
      <c r="I133" s="23"/>
      <c r="J133" s="24"/>
      <c r="M133" s="4"/>
      <c r="N133" s="76"/>
      <c r="O133" s="76"/>
      <c r="P133" s="76" t="str">
        <f t="shared" si="28"/>
        <v>,shikkan120_start_date</v>
      </c>
      <c r="Q133" s="76" t="str">
        <f t="shared" si="29"/>
        <v>DATE</v>
      </c>
      <c r="R133" s="76" t="str">
        <f t="shared" si="30"/>
        <v/>
      </c>
      <c r="S133" s="76" t="str">
        <f t="shared" si="31"/>
        <v/>
      </c>
      <c r="T133" s="76" t="str">
        <f t="shared" si="32"/>
        <v>-- C184_疾患開始日</v>
      </c>
      <c r="U133" s="4" t="str">
        <f t="shared" si="21"/>
        <v>, CASE WHEN shikkan_disp_name = 'C184' THEN min_shikkan_start_date ::DATE ELSE NULL END AS shikkan120_start_date</v>
      </c>
      <c r="V133" s="25" t="str">
        <f t="shared" si="22"/>
        <v>, max(shikkan120_start_date)</v>
      </c>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milscm_2023_009.sny_202310_annony_shikkan2.shikkan120_start_date IS 'C184_疾患開始日';</v>
      </c>
    </row>
    <row r="134" spans="1:45" s="25" customFormat="1">
      <c r="A134" s="4" t="s">
        <v>5277</v>
      </c>
      <c r="B134" s="21">
        <f t="shared" si="19"/>
        <v>122</v>
      </c>
      <c r="C134" s="13" t="str">
        <f t="shared" si="20"/>
        <v>C185_疾患開始日</v>
      </c>
      <c r="D134" s="13" t="s">
        <v>4889</v>
      </c>
      <c r="E134" s="8"/>
      <c r="F134" s="7" t="s">
        <v>4348</v>
      </c>
      <c r="G134" s="7" t="s">
        <v>25</v>
      </c>
      <c r="H134" s="58"/>
      <c r="I134" s="23"/>
      <c r="J134" s="24"/>
      <c r="M134" s="4"/>
      <c r="N134" s="76"/>
      <c r="O134" s="76"/>
      <c r="P134" s="76" t="str">
        <f t="shared" si="28"/>
        <v>,shikkan121_start_date</v>
      </c>
      <c r="Q134" s="76" t="str">
        <f t="shared" si="29"/>
        <v>DATE</v>
      </c>
      <c r="R134" s="76" t="str">
        <f t="shared" si="30"/>
        <v/>
      </c>
      <c r="S134" s="76" t="str">
        <f t="shared" si="31"/>
        <v/>
      </c>
      <c r="T134" s="76" t="str">
        <f t="shared" si="32"/>
        <v>-- C185_疾患開始日</v>
      </c>
      <c r="U134" s="4" t="str">
        <f t="shared" si="21"/>
        <v>, CASE WHEN shikkan_disp_name = 'C185' THEN min_shikkan_start_date ::DATE ELSE NULL END AS shikkan121_start_date</v>
      </c>
      <c r="V134" s="25" t="str">
        <f t="shared" si="22"/>
        <v>, max(shikkan121_start_date)</v>
      </c>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milscm_2023_009.sny_202310_annony_shikkan2.shikkan121_start_date IS 'C185_疾患開始日';</v>
      </c>
    </row>
    <row r="135" spans="1:45" s="25" customFormat="1">
      <c r="A135" s="4" t="s">
        <v>5278</v>
      </c>
      <c r="B135" s="21">
        <f t="shared" si="19"/>
        <v>123</v>
      </c>
      <c r="C135" s="13" t="str">
        <f t="shared" si="20"/>
        <v>C186_疾患開始日</v>
      </c>
      <c r="D135" s="13" t="s">
        <v>4890</v>
      </c>
      <c r="E135" s="8"/>
      <c r="F135" s="7" t="s">
        <v>4348</v>
      </c>
      <c r="G135" s="7" t="s">
        <v>25</v>
      </c>
      <c r="H135" s="58"/>
      <c r="I135" s="23"/>
      <c r="J135" s="24"/>
      <c r="M135" s="4"/>
      <c r="N135" s="76"/>
      <c r="O135" s="76"/>
      <c r="P135" s="76" t="str">
        <f t="shared" si="28"/>
        <v>,shikkan122_start_date</v>
      </c>
      <c r="Q135" s="76" t="str">
        <f t="shared" si="29"/>
        <v>DATE</v>
      </c>
      <c r="R135" s="76" t="str">
        <f t="shared" si="30"/>
        <v/>
      </c>
      <c r="S135" s="76" t="str">
        <f t="shared" si="31"/>
        <v/>
      </c>
      <c r="T135" s="76" t="str">
        <f t="shared" si="32"/>
        <v>-- C186_疾患開始日</v>
      </c>
      <c r="U135" s="4" t="str">
        <f t="shared" si="21"/>
        <v>, CASE WHEN shikkan_disp_name = 'C186' THEN min_shikkan_start_date ::DATE ELSE NULL END AS shikkan122_start_date</v>
      </c>
      <c r="V135" s="25" t="str">
        <f t="shared" si="22"/>
        <v>, max(shikkan122_start_date)</v>
      </c>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milscm_2023_009.sny_202310_annony_shikkan2.shikkan122_start_date IS 'C186_疾患開始日';</v>
      </c>
    </row>
    <row r="136" spans="1:45" s="25" customFormat="1">
      <c r="A136" s="4" t="s">
        <v>5279</v>
      </c>
      <c r="B136" s="21">
        <f t="shared" si="19"/>
        <v>124</v>
      </c>
      <c r="C136" s="13" t="str">
        <f t="shared" si="20"/>
        <v>C187_疾患開始日</v>
      </c>
      <c r="D136" s="13" t="s">
        <v>4891</v>
      </c>
      <c r="E136" s="8"/>
      <c r="F136" s="7" t="s">
        <v>4348</v>
      </c>
      <c r="G136" s="7" t="s">
        <v>25</v>
      </c>
      <c r="H136" s="58"/>
      <c r="I136" s="23"/>
      <c r="J136" s="24"/>
      <c r="M136" s="4"/>
      <c r="N136" s="76"/>
      <c r="O136" s="76"/>
      <c r="P136" s="76" t="str">
        <f t="shared" si="28"/>
        <v>,shikkan123_start_date</v>
      </c>
      <c r="Q136" s="76" t="str">
        <f t="shared" si="29"/>
        <v>DATE</v>
      </c>
      <c r="R136" s="76" t="str">
        <f t="shared" si="30"/>
        <v/>
      </c>
      <c r="S136" s="76" t="str">
        <f t="shared" si="31"/>
        <v/>
      </c>
      <c r="T136" s="76" t="str">
        <f t="shared" si="32"/>
        <v>-- C187_疾患開始日</v>
      </c>
      <c r="U136" s="4" t="str">
        <f t="shared" si="21"/>
        <v>, CASE WHEN shikkan_disp_name = 'C187' THEN min_shikkan_start_date ::DATE ELSE NULL END AS shikkan123_start_date</v>
      </c>
      <c r="V136" s="25" t="str">
        <f t="shared" si="22"/>
        <v>, max(shikkan123_start_date)</v>
      </c>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milscm_2023_009.sny_202310_annony_shikkan2.shikkan123_start_date IS 'C187_疾患開始日';</v>
      </c>
    </row>
    <row r="137" spans="1:45" s="25" customFormat="1">
      <c r="A137" s="4" t="s">
        <v>5280</v>
      </c>
      <c r="B137" s="21">
        <f t="shared" si="19"/>
        <v>125</v>
      </c>
      <c r="C137" s="13" t="str">
        <f t="shared" si="20"/>
        <v>C188_疾患開始日</v>
      </c>
      <c r="D137" s="13" t="s">
        <v>4892</v>
      </c>
      <c r="E137" s="8"/>
      <c r="F137" s="7" t="s">
        <v>4348</v>
      </c>
      <c r="G137" s="7" t="s">
        <v>25</v>
      </c>
      <c r="H137" s="58"/>
      <c r="I137" s="23"/>
      <c r="J137" s="24"/>
      <c r="M137" s="4"/>
      <c r="N137" s="76"/>
      <c r="O137" s="76"/>
      <c r="P137" s="76" t="str">
        <f t="shared" si="28"/>
        <v>,shikkan124_start_date</v>
      </c>
      <c r="Q137" s="76" t="str">
        <f t="shared" si="29"/>
        <v>DATE</v>
      </c>
      <c r="R137" s="76" t="str">
        <f t="shared" si="30"/>
        <v/>
      </c>
      <c r="S137" s="76" t="str">
        <f t="shared" si="31"/>
        <v/>
      </c>
      <c r="T137" s="76" t="str">
        <f t="shared" si="32"/>
        <v>-- C188_疾患開始日</v>
      </c>
      <c r="U137" s="4" t="str">
        <f t="shared" si="21"/>
        <v>, CASE WHEN shikkan_disp_name = 'C188' THEN min_shikkan_start_date ::DATE ELSE NULL END AS shikkan124_start_date</v>
      </c>
      <c r="V137" s="25" t="str">
        <f t="shared" si="22"/>
        <v>, max(shikkan124_start_date)</v>
      </c>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milscm_2023_009.sny_202310_annony_shikkan2.shikkan124_start_date IS 'C188_疾患開始日';</v>
      </c>
    </row>
    <row r="138" spans="1:45" s="25" customFormat="1">
      <c r="A138" s="4" t="s">
        <v>5281</v>
      </c>
      <c r="B138" s="21">
        <f t="shared" si="19"/>
        <v>126</v>
      </c>
      <c r="C138" s="13" t="str">
        <f t="shared" si="20"/>
        <v>C189_疾患開始日</v>
      </c>
      <c r="D138" s="13" t="s">
        <v>4893</v>
      </c>
      <c r="E138" s="8"/>
      <c r="F138" s="7" t="s">
        <v>4348</v>
      </c>
      <c r="G138" s="7" t="s">
        <v>25</v>
      </c>
      <c r="H138" s="58"/>
      <c r="I138" s="23"/>
      <c r="J138" s="24"/>
      <c r="M138" s="4"/>
      <c r="N138" s="76"/>
      <c r="O138" s="76"/>
      <c r="P138" s="76" t="str">
        <f t="shared" si="28"/>
        <v>,shikkan125_start_date</v>
      </c>
      <c r="Q138" s="76" t="str">
        <f t="shared" si="29"/>
        <v>DATE</v>
      </c>
      <c r="R138" s="76" t="str">
        <f t="shared" si="30"/>
        <v/>
      </c>
      <c r="S138" s="76" t="str">
        <f t="shared" si="31"/>
        <v/>
      </c>
      <c r="T138" s="76" t="str">
        <f t="shared" si="32"/>
        <v>-- C189_疾患開始日</v>
      </c>
      <c r="U138" s="4" t="str">
        <f t="shared" si="21"/>
        <v>, CASE WHEN shikkan_disp_name = 'C189' THEN min_shikkan_start_date ::DATE ELSE NULL END AS shikkan125_start_date</v>
      </c>
      <c r="V138" s="25" t="str">
        <f t="shared" si="22"/>
        <v>, max(shikkan125_start_date)</v>
      </c>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milscm_2023_009.sny_202310_annony_shikkan2.shikkan125_start_date IS 'C189_疾患開始日';</v>
      </c>
    </row>
    <row r="139" spans="1:45" s="25" customFormat="1">
      <c r="A139" s="4" t="s">
        <v>5143</v>
      </c>
      <c r="B139" s="21">
        <f t="shared" si="19"/>
        <v>127</v>
      </c>
      <c r="C139" s="13" t="str">
        <f t="shared" si="20"/>
        <v>C19_疾患開始日</v>
      </c>
      <c r="D139" s="13" t="s">
        <v>4894</v>
      </c>
      <c r="E139" s="8"/>
      <c r="F139" s="7" t="s">
        <v>4348</v>
      </c>
      <c r="G139" s="7" t="s">
        <v>25</v>
      </c>
      <c r="H139" s="58"/>
      <c r="I139" s="23"/>
      <c r="J139" s="24"/>
      <c r="M139" s="4"/>
      <c r="N139" s="76"/>
      <c r="O139" s="76"/>
      <c r="P139" s="76" t="str">
        <f t="shared" si="28"/>
        <v>,shikkan126_start_date</v>
      </c>
      <c r="Q139" s="76" t="str">
        <f t="shared" si="29"/>
        <v>DATE</v>
      </c>
      <c r="R139" s="76" t="str">
        <f t="shared" si="30"/>
        <v/>
      </c>
      <c r="S139" s="76" t="str">
        <f t="shared" si="31"/>
        <v/>
      </c>
      <c r="T139" s="76" t="str">
        <f t="shared" si="32"/>
        <v>-- C19_疾患開始日</v>
      </c>
      <c r="U139" s="4" t="str">
        <f t="shared" si="21"/>
        <v>, CASE WHEN shikkan_disp_name = 'C19' THEN min_shikkan_start_date ::DATE ELSE NULL END AS shikkan126_start_date</v>
      </c>
      <c r="V139" s="25" t="str">
        <f t="shared" si="22"/>
        <v>, max(shikkan126_start_date)</v>
      </c>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milscm_2023_009.sny_202310_annony_shikkan2.shikkan126_start_date IS 'C19_疾患開始日';</v>
      </c>
    </row>
    <row r="140" spans="1:45" s="25" customFormat="1">
      <c r="A140" s="4" t="s">
        <v>5144</v>
      </c>
      <c r="B140" s="21">
        <f t="shared" si="19"/>
        <v>128</v>
      </c>
      <c r="C140" s="13" t="str">
        <f t="shared" si="20"/>
        <v>C20_疾患開始日</v>
      </c>
      <c r="D140" s="13" t="s">
        <v>4895</v>
      </c>
      <c r="E140" s="8"/>
      <c r="F140" s="7" t="s">
        <v>4348</v>
      </c>
      <c r="G140" s="7" t="s">
        <v>25</v>
      </c>
      <c r="H140" s="58"/>
      <c r="I140" s="23"/>
      <c r="J140" s="24"/>
      <c r="M140" s="4"/>
      <c r="N140" s="76"/>
      <c r="O140" s="76"/>
      <c r="P140" s="76" t="str">
        <f t="shared" si="28"/>
        <v>,shikkan127_start_date</v>
      </c>
      <c r="Q140" s="76" t="str">
        <f t="shared" si="29"/>
        <v>DATE</v>
      </c>
      <c r="R140" s="76" t="str">
        <f t="shared" si="30"/>
        <v/>
      </c>
      <c r="S140" s="76" t="str">
        <f t="shared" si="31"/>
        <v/>
      </c>
      <c r="T140" s="76" t="str">
        <f t="shared" si="32"/>
        <v>-- C20_疾患開始日</v>
      </c>
      <c r="U140" s="4" t="str">
        <f t="shared" si="21"/>
        <v>, CASE WHEN shikkan_disp_name = 'C20' THEN min_shikkan_start_date ::DATE ELSE NULL END AS shikkan127_start_date</v>
      </c>
      <c r="V140" s="25" t="str">
        <f t="shared" si="22"/>
        <v>, max(shikkan127_start_date)</v>
      </c>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milscm_2023_009.sny_202310_annony_shikkan2.shikkan127_start_date IS 'C20_疾患開始日';</v>
      </c>
    </row>
    <row r="141" spans="1:45" s="25" customFormat="1">
      <c r="A141" s="4" t="s">
        <v>5282</v>
      </c>
      <c r="B141" s="21">
        <f t="shared" si="19"/>
        <v>129</v>
      </c>
      <c r="C141" s="13" t="str">
        <f t="shared" si="20"/>
        <v>C210_疾患開始日</v>
      </c>
      <c r="D141" s="13" t="s">
        <v>4896</v>
      </c>
      <c r="E141" s="8"/>
      <c r="F141" s="7" t="s">
        <v>4348</v>
      </c>
      <c r="G141" s="7" t="s">
        <v>25</v>
      </c>
      <c r="H141" s="58"/>
      <c r="I141" s="23"/>
      <c r="J141" s="24"/>
      <c r="M141" s="4"/>
      <c r="N141" s="76"/>
      <c r="O141" s="76"/>
      <c r="P141" s="76" t="str">
        <f t="shared" si="28"/>
        <v>,shikkan128_start_date</v>
      </c>
      <c r="Q141" s="76" t="str">
        <f t="shared" si="29"/>
        <v>DATE</v>
      </c>
      <c r="R141" s="76" t="str">
        <f t="shared" si="30"/>
        <v/>
      </c>
      <c r="S141" s="76" t="str">
        <f t="shared" si="31"/>
        <v/>
      </c>
      <c r="T141" s="76" t="str">
        <f t="shared" si="32"/>
        <v>-- C210_疾患開始日</v>
      </c>
      <c r="U141" s="4" t="str">
        <f t="shared" si="21"/>
        <v>, CASE WHEN shikkan_disp_name = 'C210' THEN min_shikkan_start_date ::DATE ELSE NULL END AS shikkan128_start_date</v>
      </c>
      <c r="V141" s="25" t="str">
        <f t="shared" si="22"/>
        <v>, max(shikkan128_start_date)</v>
      </c>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milscm_2023_009.sny_202310_annony_shikkan2.shikkan128_start_date IS 'C210_疾患開始日';</v>
      </c>
    </row>
    <row r="142" spans="1:45" s="25" customFormat="1">
      <c r="A142" s="4" t="s">
        <v>5283</v>
      </c>
      <c r="B142" s="21">
        <f t="shared" si="19"/>
        <v>130</v>
      </c>
      <c r="C142" s="13" t="str">
        <f t="shared" si="20"/>
        <v>C211_疾患開始日</v>
      </c>
      <c r="D142" s="13" t="s">
        <v>4897</v>
      </c>
      <c r="E142" s="8"/>
      <c r="F142" s="7" t="s">
        <v>4348</v>
      </c>
      <c r="G142" s="7" t="s">
        <v>99</v>
      </c>
      <c r="H142" s="58"/>
      <c r="I142" s="23"/>
      <c r="J142" s="24"/>
      <c r="M142" s="4"/>
      <c r="N142" s="76"/>
      <c r="O142" s="76"/>
      <c r="P142" s="76" t="str">
        <f t="shared" si="28"/>
        <v>,shikkan129_start_date</v>
      </c>
      <c r="Q142" s="76" t="str">
        <f t="shared" si="29"/>
        <v>DATE</v>
      </c>
      <c r="R142" s="76" t="str">
        <f t="shared" si="30"/>
        <v/>
      </c>
      <c r="S142" s="76" t="str">
        <f t="shared" si="31"/>
        <v/>
      </c>
      <c r="T142" s="76" t="str">
        <f t="shared" si="32"/>
        <v>-- C211_疾患開始日</v>
      </c>
      <c r="U142" s="4" t="str">
        <f t="shared" si="21"/>
        <v>, CASE WHEN shikkan_disp_name = 'C211' THEN min_shikkan_start_date ::DATE ELSE NULL END AS shikkan129_start_date</v>
      </c>
      <c r="V142" s="25" t="str">
        <f t="shared" si="22"/>
        <v>, max(shikkan129_start_date)</v>
      </c>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milscm_2023_009.sny_202310_annony_shikkan2.shikkan129_start_date IS 'C211_疾患開始日';</v>
      </c>
    </row>
    <row r="143" spans="1:45" s="25" customFormat="1">
      <c r="A143" s="4" t="s">
        <v>5284</v>
      </c>
      <c r="B143" s="21">
        <f t="shared" ref="B143:B206" si="33">ROW()-12</f>
        <v>131</v>
      </c>
      <c r="C143" s="13" t="str">
        <f t="shared" ref="C143:C206" si="34">A143&amp;"_疾患開始日"</f>
        <v>C212_疾患開始日</v>
      </c>
      <c r="D143" s="13" t="s">
        <v>4898</v>
      </c>
      <c r="E143" s="8"/>
      <c r="F143" s="7" t="s">
        <v>4348</v>
      </c>
      <c r="G143" s="7" t="s">
        <v>25</v>
      </c>
      <c r="H143" s="58"/>
      <c r="I143" s="23"/>
      <c r="J143" s="24"/>
      <c r="M143" s="4"/>
      <c r="N143" s="76"/>
      <c r="O143" s="76"/>
      <c r="P143" s="76" t="str">
        <f t="shared" si="28"/>
        <v>,shikkan130_start_date</v>
      </c>
      <c r="Q143" s="76" t="str">
        <f t="shared" si="29"/>
        <v>DATE</v>
      </c>
      <c r="R143" s="76" t="str">
        <f t="shared" si="30"/>
        <v/>
      </c>
      <c r="S143" s="76" t="str">
        <f t="shared" si="31"/>
        <v/>
      </c>
      <c r="T143" s="76" t="str">
        <f t="shared" si="32"/>
        <v>-- C212_疾患開始日</v>
      </c>
      <c r="U143" s="4" t="str">
        <f t="shared" ref="U143:U206" si="35">", CASE WHEN shikkan_disp_name = '"&amp;A143&amp;"' THEN min_shikkan_start_date ::DATE ELSE NULL END AS "&amp;D143</f>
        <v>, CASE WHEN shikkan_disp_name = 'C212' THEN min_shikkan_start_date ::DATE ELSE NULL END AS shikkan130_start_date</v>
      </c>
      <c r="V143" s="25" t="str">
        <f t="shared" ref="V143:V206" si="36">", max("&amp;D143&amp;")"</f>
        <v>, max(shikkan130_start_date)</v>
      </c>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milscm_2023_009.sny_202310_annony_shikkan2.shikkan130_start_date IS 'C212_疾患開始日';</v>
      </c>
    </row>
    <row r="144" spans="1:45" s="25" customFormat="1">
      <c r="A144" s="4" t="s">
        <v>5285</v>
      </c>
      <c r="B144" s="21">
        <f t="shared" si="33"/>
        <v>132</v>
      </c>
      <c r="C144" s="13" t="str">
        <f t="shared" si="34"/>
        <v>C218_疾患開始日</v>
      </c>
      <c r="D144" s="13" t="s">
        <v>4899</v>
      </c>
      <c r="E144" s="8"/>
      <c r="F144" s="7" t="s">
        <v>4348</v>
      </c>
      <c r="G144" s="7" t="s">
        <v>25</v>
      </c>
      <c r="H144" s="58"/>
      <c r="I144" s="23"/>
      <c r="J144" s="24"/>
      <c r="M144" s="4"/>
      <c r="N144" s="76"/>
      <c r="O144" s="76"/>
      <c r="P144" s="76" t="str">
        <f t="shared" si="28"/>
        <v>,shikkan131_start_date</v>
      </c>
      <c r="Q144" s="76" t="str">
        <f t="shared" si="29"/>
        <v>DATE</v>
      </c>
      <c r="R144" s="76" t="str">
        <f t="shared" si="30"/>
        <v/>
      </c>
      <c r="S144" s="76" t="str">
        <f t="shared" si="31"/>
        <v/>
      </c>
      <c r="T144" s="76" t="str">
        <f t="shared" si="32"/>
        <v>-- C218_疾患開始日</v>
      </c>
      <c r="U144" s="4" t="str">
        <f t="shared" si="35"/>
        <v>, CASE WHEN shikkan_disp_name = 'C218' THEN min_shikkan_start_date ::DATE ELSE NULL END AS shikkan131_start_date</v>
      </c>
      <c r="V144" s="25" t="str">
        <f t="shared" si="36"/>
        <v>, max(shikkan131_start_date)</v>
      </c>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milscm_2023_009.sny_202310_annony_shikkan2.shikkan131_start_date IS 'C218_疾患開始日';</v>
      </c>
    </row>
    <row r="145" spans="1:45" s="25" customFormat="1">
      <c r="A145" s="4" t="s">
        <v>5286</v>
      </c>
      <c r="B145" s="21">
        <f t="shared" si="33"/>
        <v>133</v>
      </c>
      <c r="C145" s="13" t="str">
        <f t="shared" si="34"/>
        <v>C220_疾患開始日</v>
      </c>
      <c r="D145" s="13" t="s">
        <v>4900</v>
      </c>
      <c r="E145" s="8"/>
      <c r="F145" s="7" t="s">
        <v>4348</v>
      </c>
      <c r="G145" s="7" t="s">
        <v>25</v>
      </c>
      <c r="H145" s="58"/>
      <c r="I145" s="23"/>
      <c r="J145" s="24"/>
      <c r="M145" s="4"/>
      <c r="N145" s="76"/>
      <c r="O145" s="76"/>
      <c r="P145" s="76" t="str">
        <f t="shared" si="28"/>
        <v>,shikkan132_start_date</v>
      </c>
      <c r="Q145" s="76" t="str">
        <f t="shared" si="29"/>
        <v>DATE</v>
      </c>
      <c r="R145" s="76" t="str">
        <f t="shared" si="30"/>
        <v/>
      </c>
      <c r="S145" s="76" t="str">
        <f t="shared" si="31"/>
        <v/>
      </c>
      <c r="T145" s="76" t="str">
        <f t="shared" si="32"/>
        <v>-- C220_疾患開始日</v>
      </c>
      <c r="U145" s="4" t="str">
        <f t="shared" si="35"/>
        <v>, CASE WHEN shikkan_disp_name = 'C220' THEN min_shikkan_start_date ::DATE ELSE NULL END AS shikkan132_start_date</v>
      </c>
      <c r="V145" s="25" t="str">
        <f t="shared" si="36"/>
        <v>, max(shikkan132_start_date)</v>
      </c>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milscm_2023_009.sny_202310_annony_shikkan2.shikkan132_start_date IS 'C220_疾患開始日';</v>
      </c>
    </row>
    <row r="146" spans="1:45" s="25" customFormat="1">
      <c r="A146" s="4" t="s">
        <v>5287</v>
      </c>
      <c r="B146" s="21">
        <f t="shared" si="33"/>
        <v>134</v>
      </c>
      <c r="C146" s="13" t="str">
        <f t="shared" si="34"/>
        <v>C221_疾患開始日</v>
      </c>
      <c r="D146" s="13" t="s">
        <v>4901</v>
      </c>
      <c r="E146" s="8"/>
      <c r="F146" s="7" t="s">
        <v>4348</v>
      </c>
      <c r="G146" s="7" t="s">
        <v>25</v>
      </c>
      <c r="H146" s="58"/>
      <c r="I146" s="23"/>
      <c r="J146" s="24"/>
      <c r="M146" s="4"/>
      <c r="N146" s="76"/>
      <c r="O146" s="76"/>
      <c r="P146" s="76" t="str">
        <f t="shared" si="28"/>
        <v>,shikkan133_start_date</v>
      </c>
      <c r="Q146" s="76" t="str">
        <f t="shared" si="29"/>
        <v>DATE</v>
      </c>
      <c r="R146" s="76" t="str">
        <f t="shared" si="30"/>
        <v/>
      </c>
      <c r="S146" s="76" t="str">
        <f t="shared" si="31"/>
        <v/>
      </c>
      <c r="T146" s="76" t="str">
        <f t="shared" si="32"/>
        <v>-- C221_疾患開始日</v>
      </c>
      <c r="U146" s="4" t="str">
        <f t="shared" si="35"/>
        <v>, CASE WHEN shikkan_disp_name = 'C221' THEN min_shikkan_start_date ::DATE ELSE NULL END AS shikkan133_start_date</v>
      </c>
      <c r="V146" s="25" t="str">
        <f t="shared" si="36"/>
        <v>, max(shikkan133_start_date)</v>
      </c>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milscm_2023_009.sny_202310_annony_shikkan2.shikkan133_start_date IS 'C221_疾患開始日';</v>
      </c>
    </row>
    <row r="147" spans="1:45" s="25" customFormat="1">
      <c r="A147" s="4" t="s">
        <v>5288</v>
      </c>
      <c r="B147" s="21">
        <f t="shared" si="33"/>
        <v>135</v>
      </c>
      <c r="C147" s="13" t="str">
        <f t="shared" si="34"/>
        <v>C222_疾患開始日</v>
      </c>
      <c r="D147" s="13" t="s">
        <v>4902</v>
      </c>
      <c r="E147" s="8"/>
      <c r="F147" s="7" t="s">
        <v>4348</v>
      </c>
      <c r="G147" s="7" t="s">
        <v>25</v>
      </c>
      <c r="H147" s="58"/>
      <c r="I147" s="23"/>
      <c r="J147" s="24"/>
      <c r="M147" s="4"/>
      <c r="N147" s="76"/>
      <c r="O147" s="76"/>
      <c r="P147" s="76" t="str">
        <f t="shared" si="28"/>
        <v>,shikkan134_start_date</v>
      </c>
      <c r="Q147" s="76" t="str">
        <f t="shared" si="29"/>
        <v>DATE</v>
      </c>
      <c r="R147" s="76" t="str">
        <f t="shared" si="30"/>
        <v/>
      </c>
      <c r="S147" s="76" t="str">
        <f t="shared" si="31"/>
        <v/>
      </c>
      <c r="T147" s="76" t="str">
        <f t="shared" si="32"/>
        <v>-- C222_疾患開始日</v>
      </c>
      <c r="U147" s="4" t="str">
        <f t="shared" si="35"/>
        <v>, CASE WHEN shikkan_disp_name = 'C222' THEN min_shikkan_start_date ::DATE ELSE NULL END AS shikkan134_start_date</v>
      </c>
      <c r="V147" s="25" t="str">
        <f t="shared" si="36"/>
        <v>, max(shikkan134_start_date)</v>
      </c>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milscm_2023_009.sny_202310_annony_shikkan2.shikkan134_start_date IS 'C222_疾患開始日';</v>
      </c>
    </row>
    <row r="148" spans="1:45" s="25" customFormat="1">
      <c r="A148" s="4" t="s">
        <v>5289</v>
      </c>
      <c r="B148" s="21">
        <f t="shared" si="33"/>
        <v>136</v>
      </c>
      <c r="C148" s="13" t="str">
        <f t="shared" si="34"/>
        <v>C223_疾患開始日</v>
      </c>
      <c r="D148" s="13" t="s">
        <v>4903</v>
      </c>
      <c r="E148" s="8"/>
      <c r="F148" s="7" t="s">
        <v>4348</v>
      </c>
      <c r="G148" s="7" t="s">
        <v>25</v>
      </c>
      <c r="H148" s="58"/>
      <c r="I148" s="23"/>
      <c r="J148" s="24"/>
      <c r="M148" s="4"/>
      <c r="N148" s="76"/>
      <c r="O148" s="76"/>
      <c r="P148" s="76" t="str">
        <f t="shared" si="28"/>
        <v>,shikkan135_start_date</v>
      </c>
      <c r="Q148" s="76" t="str">
        <f t="shared" si="29"/>
        <v>DATE</v>
      </c>
      <c r="R148" s="76" t="str">
        <f t="shared" si="30"/>
        <v/>
      </c>
      <c r="S148" s="76" t="str">
        <f t="shared" si="31"/>
        <v/>
      </c>
      <c r="T148" s="76" t="str">
        <f t="shared" si="32"/>
        <v>-- C223_疾患開始日</v>
      </c>
      <c r="U148" s="4" t="str">
        <f t="shared" si="35"/>
        <v>, CASE WHEN shikkan_disp_name = 'C223' THEN min_shikkan_start_date ::DATE ELSE NULL END AS shikkan135_start_date</v>
      </c>
      <c r="V148" s="25" t="str">
        <f t="shared" si="36"/>
        <v>, max(shikkan135_start_date)</v>
      </c>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milscm_2023_009.sny_202310_annony_shikkan2.shikkan135_start_date IS 'C223_疾患開始日';</v>
      </c>
    </row>
    <row r="149" spans="1:45" s="25" customFormat="1">
      <c r="A149" s="4" t="s">
        <v>5290</v>
      </c>
      <c r="B149" s="21">
        <f t="shared" si="33"/>
        <v>137</v>
      </c>
      <c r="C149" s="13" t="str">
        <f t="shared" si="34"/>
        <v>C224_疾患開始日</v>
      </c>
      <c r="D149" s="13" t="s">
        <v>4904</v>
      </c>
      <c r="E149" s="8"/>
      <c r="F149" s="7" t="s">
        <v>4348</v>
      </c>
      <c r="G149" s="7" t="s">
        <v>25</v>
      </c>
      <c r="H149" s="58"/>
      <c r="I149" s="23"/>
      <c r="J149" s="24"/>
      <c r="M149" s="4"/>
      <c r="N149" s="76"/>
      <c r="O149" s="76"/>
      <c r="P149" s="76" t="str">
        <f t="shared" si="28"/>
        <v>,shikkan136_start_date</v>
      </c>
      <c r="Q149" s="76" t="str">
        <f t="shared" si="29"/>
        <v>DATE</v>
      </c>
      <c r="R149" s="76" t="str">
        <f t="shared" si="30"/>
        <v/>
      </c>
      <c r="S149" s="76" t="str">
        <f t="shared" si="31"/>
        <v/>
      </c>
      <c r="T149" s="76" t="str">
        <f t="shared" si="32"/>
        <v>-- C224_疾患開始日</v>
      </c>
      <c r="U149" s="4" t="str">
        <f t="shared" si="35"/>
        <v>, CASE WHEN shikkan_disp_name = 'C224' THEN min_shikkan_start_date ::DATE ELSE NULL END AS shikkan136_start_date</v>
      </c>
      <c r="V149" s="25" t="str">
        <f t="shared" si="36"/>
        <v>, max(shikkan136_start_date)</v>
      </c>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milscm_2023_009.sny_202310_annony_shikkan2.shikkan136_start_date IS 'C224_疾患開始日';</v>
      </c>
    </row>
    <row r="150" spans="1:45" s="25" customFormat="1">
      <c r="A150" s="4" t="s">
        <v>5291</v>
      </c>
      <c r="B150" s="21">
        <f t="shared" si="33"/>
        <v>138</v>
      </c>
      <c r="C150" s="13" t="str">
        <f t="shared" si="34"/>
        <v>C227_疾患開始日</v>
      </c>
      <c r="D150" s="13" t="s">
        <v>4905</v>
      </c>
      <c r="E150" s="8"/>
      <c r="F150" s="7" t="s">
        <v>4348</v>
      </c>
      <c r="G150" s="7" t="s">
        <v>25</v>
      </c>
      <c r="H150" s="58"/>
      <c r="I150" s="23"/>
      <c r="J150" s="24"/>
      <c r="M150" s="4"/>
      <c r="N150" s="76"/>
      <c r="O150" s="76"/>
      <c r="P150" s="76" t="str">
        <f t="shared" si="28"/>
        <v>,shikkan137_start_date</v>
      </c>
      <c r="Q150" s="76" t="str">
        <f t="shared" si="29"/>
        <v>DATE</v>
      </c>
      <c r="R150" s="76" t="str">
        <f t="shared" si="30"/>
        <v/>
      </c>
      <c r="S150" s="76" t="str">
        <f t="shared" si="31"/>
        <v/>
      </c>
      <c r="T150" s="76" t="str">
        <f t="shared" si="32"/>
        <v>-- C227_疾患開始日</v>
      </c>
      <c r="U150" s="4" t="str">
        <f t="shared" si="35"/>
        <v>, CASE WHEN shikkan_disp_name = 'C227' THEN min_shikkan_start_date ::DATE ELSE NULL END AS shikkan137_start_date</v>
      </c>
      <c r="V150" s="25" t="str">
        <f t="shared" si="36"/>
        <v>, max(shikkan137_start_date)</v>
      </c>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milscm_2023_009.sny_202310_annony_shikkan2.shikkan137_start_date IS 'C227_疾患開始日';</v>
      </c>
    </row>
    <row r="151" spans="1:45" s="25" customFormat="1">
      <c r="A151" s="4" t="s">
        <v>5292</v>
      </c>
      <c r="B151" s="21">
        <f t="shared" si="33"/>
        <v>139</v>
      </c>
      <c r="C151" s="13" t="str">
        <f t="shared" si="34"/>
        <v>C229_疾患開始日</v>
      </c>
      <c r="D151" s="13" t="s">
        <v>4906</v>
      </c>
      <c r="E151" s="8"/>
      <c r="F151" s="7" t="s">
        <v>4348</v>
      </c>
      <c r="G151" s="7" t="s">
        <v>25</v>
      </c>
      <c r="H151" s="58"/>
      <c r="I151" s="23"/>
      <c r="J151" s="24"/>
      <c r="M151" s="4"/>
      <c r="N151" s="76"/>
      <c r="O151" s="76"/>
      <c r="P151" s="76" t="str">
        <f t="shared" si="28"/>
        <v>,shikkan138_start_date</v>
      </c>
      <c r="Q151" s="76" t="str">
        <f t="shared" si="29"/>
        <v>DATE</v>
      </c>
      <c r="R151" s="76" t="str">
        <f t="shared" si="30"/>
        <v/>
      </c>
      <c r="S151" s="76" t="str">
        <f t="shared" si="31"/>
        <v/>
      </c>
      <c r="T151" s="76" t="str">
        <f t="shared" si="32"/>
        <v>-- C229_疾患開始日</v>
      </c>
      <c r="U151" s="4" t="str">
        <f t="shared" si="35"/>
        <v>, CASE WHEN shikkan_disp_name = 'C229' THEN min_shikkan_start_date ::DATE ELSE NULL END AS shikkan138_start_date</v>
      </c>
      <c r="V151" s="25" t="str">
        <f t="shared" si="36"/>
        <v>, max(shikkan138_start_date)</v>
      </c>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milscm_2023_009.sny_202310_annony_shikkan2.shikkan138_start_date IS 'C229_疾患開始日';</v>
      </c>
    </row>
    <row r="152" spans="1:45" s="25" customFormat="1">
      <c r="A152" s="4" t="s">
        <v>5145</v>
      </c>
      <c r="B152" s="21">
        <f t="shared" si="33"/>
        <v>140</v>
      </c>
      <c r="C152" s="13" t="str">
        <f t="shared" si="34"/>
        <v>C23_疾患開始日</v>
      </c>
      <c r="D152" s="13" t="s">
        <v>4907</v>
      </c>
      <c r="E152" s="8"/>
      <c r="F152" s="7" t="s">
        <v>4348</v>
      </c>
      <c r="G152" s="7" t="s">
        <v>25</v>
      </c>
      <c r="H152" s="58"/>
      <c r="I152" s="23"/>
      <c r="J152" s="24"/>
      <c r="M152" s="4"/>
      <c r="N152" s="76"/>
      <c r="O152" s="76"/>
      <c r="P152" s="76" t="str">
        <f t="shared" si="28"/>
        <v>,shikkan139_start_date</v>
      </c>
      <c r="Q152" s="76" t="str">
        <f t="shared" si="29"/>
        <v>DATE</v>
      </c>
      <c r="R152" s="76" t="str">
        <f t="shared" si="30"/>
        <v/>
      </c>
      <c r="S152" s="76" t="str">
        <f t="shared" si="31"/>
        <v/>
      </c>
      <c r="T152" s="76" t="str">
        <f t="shared" si="32"/>
        <v>-- C23_疾患開始日</v>
      </c>
      <c r="U152" s="4" t="str">
        <f t="shared" si="35"/>
        <v>, CASE WHEN shikkan_disp_name = 'C23' THEN min_shikkan_start_date ::DATE ELSE NULL END AS shikkan139_start_date</v>
      </c>
      <c r="V152" s="25" t="str">
        <f t="shared" si="36"/>
        <v>, max(shikkan139_start_date)</v>
      </c>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milscm_2023_009.sny_202310_annony_shikkan2.shikkan139_start_date IS 'C23_疾患開始日';</v>
      </c>
    </row>
    <row r="153" spans="1:45" s="25" customFormat="1">
      <c r="A153" s="4" t="s">
        <v>5293</v>
      </c>
      <c r="B153" s="21">
        <f t="shared" si="33"/>
        <v>141</v>
      </c>
      <c r="C153" s="13" t="str">
        <f t="shared" si="34"/>
        <v>C240_疾患開始日</v>
      </c>
      <c r="D153" s="13" t="s">
        <v>4908</v>
      </c>
      <c r="E153" s="8"/>
      <c r="F153" s="7" t="s">
        <v>4348</v>
      </c>
      <c r="G153" s="7" t="s">
        <v>25</v>
      </c>
      <c r="H153" s="58"/>
      <c r="I153" s="23"/>
      <c r="J153" s="24"/>
      <c r="M153" s="4"/>
      <c r="N153" s="76"/>
      <c r="O153" s="76"/>
      <c r="P153" s="76" t="str">
        <f t="shared" si="28"/>
        <v>,shikkan140_start_date</v>
      </c>
      <c r="Q153" s="76" t="str">
        <f t="shared" si="29"/>
        <v>DATE</v>
      </c>
      <c r="R153" s="76" t="str">
        <f t="shared" si="30"/>
        <v/>
      </c>
      <c r="S153" s="76" t="str">
        <f t="shared" si="31"/>
        <v/>
      </c>
      <c r="T153" s="76" t="str">
        <f t="shared" si="32"/>
        <v>-- C240_疾患開始日</v>
      </c>
      <c r="U153" s="4" t="str">
        <f t="shared" si="35"/>
        <v>, CASE WHEN shikkan_disp_name = 'C240' THEN min_shikkan_start_date ::DATE ELSE NULL END AS shikkan140_start_date</v>
      </c>
      <c r="V153" s="25" t="str">
        <f t="shared" si="36"/>
        <v>, max(shikkan140_start_date)</v>
      </c>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milscm_2023_009.sny_202310_annony_shikkan2.shikkan140_start_date IS 'C240_疾患開始日';</v>
      </c>
    </row>
    <row r="154" spans="1:45" s="25" customFormat="1">
      <c r="A154" s="4" t="s">
        <v>5294</v>
      </c>
      <c r="B154" s="21">
        <f t="shared" si="33"/>
        <v>142</v>
      </c>
      <c r="C154" s="13" t="str">
        <f t="shared" si="34"/>
        <v>C241_疾患開始日</v>
      </c>
      <c r="D154" s="13" t="s">
        <v>4909</v>
      </c>
      <c r="E154" s="8"/>
      <c r="F154" s="7" t="s">
        <v>4348</v>
      </c>
      <c r="G154" s="7" t="s">
        <v>25</v>
      </c>
      <c r="H154" s="58"/>
      <c r="I154" s="23"/>
      <c r="J154" s="24"/>
      <c r="M154" s="4"/>
      <c r="N154" s="76"/>
      <c r="O154" s="76"/>
      <c r="P154" s="76" t="str">
        <f t="shared" si="28"/>
        <v>,shikkan141_start_date</v>
      </c>
      <c r="Q154" s="76" t="str">
        <f t="shared" si="29"/>
        <v>DATE</v>
      </c>
      <c r="R154" s="76" t="str">
        <f t="shared" si="30"/>
        <v/>
      </c>
      <c r="S154" s="76" t="str">
        <f t="shared" si="31"/>
        <v/>
      </c>
      <c r="T154" s="76" t="str">
        <f t="shared" si="32"/>
        <v>-- C241_疾患開始日</v>
      </c>
      <c r="U154" s="4" t="str">
        <f t="shared" si="35"/>
        <v>, CASE WHEN shikkan_disp_name = 'C241' THEN min_shikkan_start_date ::DATE ELSE NULL END AS shikkan141_start_date</v>
      </c>
      <c r="V154" s="25" t="str">
        <f t="shared" si="36"/>
        <v>, max(shikkan141_start_date)</v>
      </c>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milscm_2023_009.sny_202310_annony_shikkan2.shikkan141_start_date IS 'C241_疾患開始日';</v>
      </c>
    </row>
    <row r="155" spans="1:45" s="25" customFormat="1">
      <c r="A155" s="4" t="s">
        <v>5295</v>
      </c>
      <c r="B155" s="21">
        <f t="shared" si="33"/>
        <v>143</v>
      </c>
      <c r="C155" s="13" t="str">
        <f t="shared" si="34"/>
        <v>C248_疾患開始日</v>
      </c>
      <c r="D155" s="13" t="s">
        <v>4910</v>
      </c>
      <c r="E155" s="8"/>
      <c r="F155" s="7" t="s">
        <v>4348</v>
      </c>
      <c r="G155" s="7" t="s">
        <v>25</v>
      </c>
      <c r="H155" s="58"/>
      <c r="I155" s="23"/>
      <c r="J155" s="24"/>
      <c r="M155" s="4"/>
      <c r="N155" s="76"/>
      <c r="O155" s="76"/>
      <c r="P155" s="76" t="str">
        <f t="shared" si="28"/>
        <v>,shikkan142_start_date</v>
      </c>
      <c r="Q155" s="76" t="str">
        <f t="shared" si="29"/>
        <v>DATE</v>
      </c>
      <c r="R155" s="76" t="str">
        <f t="shared" si="30"/>
        <v/>
      </c>
      <c r="S155" s="76" t="str">
        <f t="shared" si="31"/>
        <v/>
      </c>
      <c r="T155" s="76" t="str">
        <f t="shared" si="32"/>
        <v>-- C248_疾患開始日</v>
      </c>
      <c r="U155" s="4" t="str">
        <f t="shared" si="35"/>
        <v>, CASE WHEN shikkan_disp_name = 'C248' THEN min_shikkan_start_date ::DATE ELSE NULL END AS shikkan142_start_date</v>
      </c>
      <c r="V155" s="25" t="str">
        <f t="shared" si="36"/>
        <v>, max(shikkan142_start_date)</v>
      </c>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milscm_2023_009.sny_202310_annony_shikkan2.shikkan142_start_date IS 'C248_疾患開始日';</v>
      </c>
    </row>
    <row r="156" spans="1:45" s="25" customFormat="1">
      <c r="A156" s="4" t="s">
        <v>5296</v>
      </c>
      <c r="B156" s="21">
        <f t="shared" si="33"/>
        <v>144</v>
      </c>
      <c r="C156" s="13" t="str">
        <f t="shared" si="34"/>
        <v>C249_疾患開始日</v>
      </c>
      <c r="D156" s="13" t="s">
        <v>4911</v>
      </c>
      <c r="E156" s="8"/>
      <c r="F156" s="7" t="s">
        <v>4348</v>
      </c>
      <c r="G156" s="7" t="s">
        <v>25</v>
      </c>
      <c r="H156" s="58"/>
      <c r="I156" s="23"/>
      <c r="J156" s="24"/>
      <c r="M156" s="4"/>
      <c r="N156" s="76"/>
      <c r="O156" s="76"/>
      <c r="P156" s="76" t="str">
        <f t="shared" si="28"/>
        <v>,shikkan143_start_date</v>
      </c>
      <c r="Q156" s="76" t="str">
        <f t="shared" si="29"/>
        <v>DATE</v>
      </c>
      <c r="R156" s="76" t="str">
        <f t="shared" si="30"/>
        <v/>
      </c>
      <c r="S156" s="76" t="str">
        <f t="shared" si="31"/>
        <v/>
      </c>
      <c r="T156" s="76" t="str">
        <f t="shared" si="32"/>
        <v>-- C249_疾患開始日</v>
      </c>
      <c r="U156" s="4" t="str">
        <f t="shared" si="35"/>
        <v>, CASE WHEN shikkan_disp_name = 'C249' THEN min_shikkan_start_date ::DATE ELSE NULL END AS shikkan143_start_date</v>
      </c>
      <c r="V156" s="25" t="str">
        <f t="shared" si="36"/>
        <v>, max(shikkan143_start_date)</v>
      </c>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milscm_2023_009.sny_202310_annony_shikkan2.shikkan143_start_date IS 'C249_疾患開始日';</v>
      </c>
    </row>
    <row r="157" spans="1:45" s="25" customFormat="1">
      <c r="A157" s="4" t="s">
        <v>5297</v>
      </c>
      <c r="B157" s="21">
        <f t="shared" si="33"/>
        <v>145</v>
      </c>
      <c r="C157" s="13" t="str">
        <f t="shared" si="34"/>
        <v>C250_疾患開始日</v>
      </c>
      <c r="D157" s="13" t="s">
        <v>4912</v>
      </c>
      <c r="E157" s="8"/>
      <c r="F157" s="7" t="s">
        <v>4348</v>
      </c>
      <c r="G157" s="7" t="s">
        <v>25</v>
      </c>
      <c r="H157" s="58"/>
      <c r="I157" s="23"/>
      <c r="J157" s="24"/>
      <c r="M157" s="4"/>
      <c r="N157" s="76"/>
      <c r="O157" s="76"/>
      <c r="P157" s="76" t="str">
        <f t="shared" si="28"/>
        <v>,shikkan144_start_date</v>
      </c>
      <c r="Q157" s="76" t="str">
        <f t="shared" si="29"/>
        <v>DATE</v>
      </c>
      <c r="R157" s="76" t="str">
        <f t="shared" si="30"/>
        <v/>
      </c>
      <c r="S157" s="76" t="str">
        <f t="shared" si="31"/>
        <v/>
      </c>
      <c r="T157" s="76" t="str">
        <f t="shared" si="32"/>
        <v>-- C250_疾患開始日</v>
      </c>
      <c r="U157" s="4" t="str">
        <f t="shared" si="35"/>
        <v>, CASE WHEN shikkan_disp_name = 'C250' THEN min_shikkan_start_date ::DATE ELSE NULL END AS shikkan144_start_date</v>
      </c>
      <c r="V157" s="25" t="str">
        <f t="shared" si="36"/>
        <v>, max(shikkan144_start_date)</v>
      </c>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milscm_2023_009.sny_202310_annony_shikkan2.shikkan144_start_date IS 'C250_疾患開始日';</v>
      </c>
    </row>
    <row r="158" spans="1:45" s="25" customFormat="1">
      <c r="A158" s="4" t="s">
        <v>5298</v>
      </c>
      <c r="B158" s="21">
        <f t="shared" si="33"/>
        <v>146</v>
      </c>
      <c r="C158" s="13" t="str">
        <f t="shared" si="34"/>
        <v>C251_疾患開始日</v>
      </c>
      <c r="D158" s="13" t="s">
        <v>4913</v>
      </c>
      <c r="E158" s="8"/>
      <c r="F158" s="7" t="s">
        <v>4348</v>
      </c>
      <c r="G158" s="7" t="s">
        <v>99</v>
      </c>
      <c r="H158" s="58"/>
      <c r="I158" s="23"/>
      <c r="J158" s="24"/>
      <c r="M158" s="4"/>
      <c r="N158" s="76"/>
      <c r="O158" s="76"/>
      <c r="P158" s="76" t="str">
        <f t="shared" ref="P158:P189" si="37">IF(B158&lt;&gt;1,","&amp;D158,D158)</f>
        <v>,shikkan145_start_date</v>
      </c>
      <c r="Q158" s="76" t="str">
        <f t="shared" ref="Q158:Q189" si="38">UPPER(G158)</f>
        <v>DATE</v>
      </c>
      <c r="R158" s="76" t="str">
        <f t="shared" ref="R158:R189" si="39">IF(H158&lt;&gt;"","default "&amp;IF(G158="text","'"&amp;H158&amp;"'",H158),"")</f>
        <v/>
      </c>
      <c r="S158" s="76" t="str">
        <f t="shared" ref="S158:S189" si="40">IF(I158="○","NOT NULL","")</f>
        <v/>
      </c>
      <c r="T158" s="76" t="str">
        <f t="shared" ref="T158:T189" si="41">"-- "&amp;C158</f>
        <v>-- C251_疾患開始日</v>
      </c>
      <c r="U158" s="4" t="str">
        <f t="shared" si="35"/>
        <v>, CASE WHEN shikkan_disp_name = 'C251' THEN min_shikkan_start_date ::DATE ELSE NULL END AS shikkan145_start_date</v>
      </c>
      <c r="V158" s="25" t="str">
        <f t="shared" si="36"/>
        <v>, max(shikkan145_start_date)</v>
      </c>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milscm_2023_009.sny_202310_annony_shikkan2.shikkan145_start_date IS 'C251_疾患開始日';</v>
      </c>
    </row>
    <row r="159" spans="1:45" s="25" customFormat="1">
      <c r="A159" s="4" t="s">
        <v>5299</v>
      </c>
      <c r="B159" s="21">
        <f t="shared" si="33"/>
        <v>147</v>
      </c>
      <c r="C159" s="13" t="str">
        <f t="shared" si="34"/>
        <v>C252_疾患開始日</v>
      </c>
      <c r="D159" s="13" t="s">
        <v>4914</v>
      </c>
      <c r="E159" s="8"/>
      <c r="F159" s="7" t="s">
        <v>4348</v>
      </c>
      <c r="G159" s="7" t="s">
        <v>25</v>
      </c>
      <c r="H159" s="58"/>
      <c r="I159" s="23"/>
      <c r="J159" s="24"/>
      <c r="M159" s="4"/>
      <c r="N159" s="76"/>
      <c r="O159" s="76"/>
      <c r="P159" s="76" t="str">
        <f t="shared" si="37"/>
        <v>,shikkan146_start_date</v>
      </c>
      <c r="Q159" s="76" t="str">
        <f t="shared" si="38"/>
        <v>DATE</v>
      </c>
      <c r="R159" s="76" t="str">
        <f t="shared" si="39"/>
        <v/>
      </c>
      <c r="S159" s="76" t="str">
        <f t="shared" si="40"/>
        <v/>
      </c>
      <c r="T159" s="76" t="str">
        <f t="shared" si="41"/>
        <v>-- C252_疾患開始日</v>
      </c>
      <c r="U159" s="4" t="str">
        <f t="shared" si="35"/>
        <v>, CASE WHEN shikkan_disp_name = 'C252' THEN min_shikkan_start_date ::DATE ELSE NULL END AS shikkan146_start_date</v>
      </c>
      <c r="V159" s="25" t="str">
        <f t="shared" si="36"/>
        <v>, max(shikkan146_start_date)</v>
      </c>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milscm_2023_009.sny_202310_annony_shikkan2.shikkan146_start_date IS 'C252_疾患開始日';</v>
      </c>
    </row>
    <row r="160" spans="1:45" s="25" customFormat="1">
      <c r="A160" s="4" t="s">
        <v>5300</v>
      </c>
      <c r="B160" s="21">
        <f t="shared" si="33"/>
        <v>148</v>
      </c>
      <c r="C160" s="13" t="str">
        <f t="shared" si="34"/>
        <v>C253_疾患開始日</v>
      </c>
      <c r="D160" s="13" t="s">
        <v>4915</v>
      </c>
      <c r="E160" s="8"/>
      <c r="F160" s="7" t="s">
        <v>4348</v>
      </c>
      <c r="G160" s="7" t="s">
        <v>25</v>
      </c>
      <c r="H160" s="58"/>
      <c r="I160" s="23"/>
      <c r="J160" s="24"/>
      <c r="M160" s="4"/>
      <c r="N160" s="76"/>
      <c r="O160" s="76"/>
      <c r="P160" s="76" t="str">
        <f t="shared" si="37"/>
        <v>,shikkan147_start_date</v>
      </c>
      <c r="Q160" s="76" t="str">
        <f t="shared" si="38"/>
        <v>DATE</v>
      </c>
      <c r="R160" s="76" t="str">
        <f t="shared" si="39"/>
        <v/>
      </c>
      <c r="S160" s="76" t="str">
        <f t="shared" si="40"/>
        <v/>
      </c>
      <c r="T160" s="76" t="str">
        <f t="shared" si="41"/>
        <v>-- C253_疾患開始日</v>
      </c>
      <c r="U160" s="4" t="str">
        <f t="shared" si="35"/>
        <v>, CASE WHEN shikkan_disp_name = 'C253' THEN min_shikkan_start_date ::DATE ELSE NULL END AS shikkan147_start_date</v>
      </c>
      <c r="V160" s="25" t="str">
        <f t="shared" si="36"/>
        <v>, max(shikkan147_start_date)</v>
      </c>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milscm_2023_009.sny_202310_annony_shikkan2.shikkan147_start_date IS 'C253_疾患開始日';</v>
      </c>
    </row>
    <row r="161" spans="1:45" s="25" customFormat="1">
      <c r="A161" s="4" t="s">
        <v>5301</v>
      </c>
      <c r="B161" s="21">
        <f t="shared" si="33"/>
        <v>149</v>
      </c>
      <c r="C161" s="13" t="str">
        <f t="shared" si="34"/>
        <v>C254_疾患開始日</v>
      </c>
      <c r="D161" s="13" t="s">
        <v>4916</v>
      </c>
      <c r="E161" s="8"/>
      <c r="F161" s="7" t="s">
        <v>4348</v>
      </c>
      <c r="G161" s="7" t="s">
        <v>25</v>
      </c>
      <c r="H161" s="58"/>
      <c r="I161" s="23"/>
      <c r="J161" s="24"/>
      <c r="M161" s="4"/>
      <c r="N161" s="76"/>
      <c r="O161" s="76"/>
      <c r="P161" s="76" t="str">
        <f t="shared" si="37"/>
        <v>,shikkan148_start_date</v>
      </c>
      <c r="Q161" s="76" t="str">
        <f t="shared" si="38"/>
        <v>DATE</v>
      </c>
      <c r="R161" s="76" t="str">
        <f t="shared" si="39"/>
        <v/>
      </c>
      <c r="S161" s="76" t="str">
        <f t="shared" si="40"/>
        <v/>
      </c>
      <c r="T161" s="76" t="str">
        <f t="shared" si="41"/>
        <v>-- C254_疾患開始日</v>
      </c>
      <c r="U161" s="4" t="str">
        <f t="shared" si="35"/>
        <v>, CASE WHEN shikkan_disp_name = 'C254' THEN min_shikkan_start_date ::DATE ELSE NULL END AS shikkan148_start_date</v>
      </c>
      <c r="V161" s="25" t="str">
        <f t="shared" si="36"/>
        <v>, max(shikkan148_start_date)</v>
      </c>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milscm_2023_009.sny_202310_annony_shikkan2.shikkan148_start_date IS 'C254_疾患開始日';</v>
      </c>
    </row>
    <row r="162" spans="1:45" s="25" customFormat="1">
      <c r="A162" s="4" t="s">
        <v>5302</v>
      </c>
      <c r="B162" s="21">
        <f t="shared" si="33"/>
        <v>150</v>
      </c>
      <c r="C162" s="13" t="str">
        <f t="shared" si="34"/>
        <v>C257_疾患開始日</v>
      </c>
      <c r="D162" s="13" t="s">
        <v>4917</v>
      </c>
      <c r="E162" s="8"/>
      <c r="F162" s="7" t="s">
        <v>4348</v>
      </c>
      <c r="G162" s="7" t="s">
        <v>25</v>
      </c>
      <c r="H162" s="58"/>
      <c r="I162" s="23"/>
      <c r="J162" s="24"/>
      <c r="M162" s="4"/>
      <c r="N162" s="76"/>
      <c r="O162" s="76"/>
      <c r="P162" s="76" t="str">
        <f t="shared" si="37"/>
        <v>,shikkan149_start_date</v>
      </c>
      <c r="Q162" s="76" t="str">
        <f t="shared" si="38"/>
        <v>DATE</v>
      </c>
      <c r="R162" s="76" t="str">
        <f t="shared" si="39"/>
        <v/>
      </c>
      <c r="S162" s="76" t="str">
        <f t="shared" si="40"/>
        <v/>
      </c>
      <c r="T162" s="76" t="str">
        <f t="shared" si="41"/>
        <v>-- C257_疾患開始日</v>
      </c>
      <c r="U162" s="4" t="str">
        <f t="shared" si="35"/>
        <v>, CASE WHEN shikkan_disp_name = 'C257' THEN min_shikkan_start_date ::DATE ELSE NULL END AS shikkan149_start_date</v>
      </c>
      <c r="V162" s="25" t="str">
        <f t="shared" si="36"/>
        <v>, max(shikkan149_start_date)</v>
      </c>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milscm_2023_009.sny_202310_annony_shikkan2.shikkan149_start_date IS 'C257_疾患開始日';</v>
      </c>
    </row>
    <row r="163" spans="1:45" s="25" customFormat="1">
      <c r="A163" s="4" t="s">
        <v>5303</v>
      </c>
      <c r="B163" s="21">
        <f t="shared" si="33"/>
        <v>151</v>
      </c>
      <c r="C163" s="13" t="str">
        <f t="shared" si="34"/>
        <v>C258_疾患開始日</v>
      </c>
      <c r="D163" s="13" t="s">
        <v>4918</v>
      </c>
      <c r="E163" s="8"/>
      <c r="F163" s="7" t="s">
        <v>4348</v>
      </c>
      <c r="G163" s="7" t="s">
        <v>25</v>
      </c>
      <c r="H163" s="58"/>
      <c r="I163" s="23"/>
      <c r="J163" s="24"/>
      <c r="M163" s="4"/>
      <c r="N163" s="76"/>
      <c r="O163" s="76"/>
      <c r="P163" s="76" t="str">
        <f t="shared" si="37"/>
        <v>,shikkan150_start_date</v>
      </c>
      <c r="Q163" s="76" t="str">
        <f t="shared" si="38"/>
        <v>DATE</v>
      </c>
      <c r="R163" s="76" t="str">
        <f t="shared" si="39"/>
        <v/>
      </c>
      <c r="S163" s="76" t="str">
        <f t="shared" si="40"/>
        <v/>
      </c>
      <c r="T163" s="76" t="str">
        <f t="shared" si="41"/>
        <v>-- C258_疾患開始日</v>
      </c>
      <c r="U163" s="4" t="str">
        <f t="shared" si="35"/>
        <v>, CASE WHEN shikkan_disp_name = 'C258' THEN min_shikkan_start_date ::DATE ELSE NULL END AS shikkan150_start_date</v>
      </c>
      <c r="V163" s="25" t="str">
        <f t="shared" si="36"/>
        <v>, max(shikkan150_start_date)</v>
      </c>
      <c r="AA163" s="4"/>
      <c r="AB163" s="4"/>
      <c r="AC163" s="4"/>
      <c r="AD163" s="4"/>
      <c r="AE163" s="4"/>
      <c r="AF163" s="4"/>
      <c r="AG163" s="4"/>
      <c r="AH163" s="4"/>
      <c r="AI163" s="4"/>
      <c r="AJ163" s="76" t="str">
        <f>IF(E163="○",IF(COUNTA(E$13:E163)=1,"",",")&amp;D163,"")</f>
        <v/>
      </c>
      <c r="AK163" s="4"/>
      <c r="AL163" s="4"/>
      <c r="AM163" s="4"/>
      <c r="AN163" s="4"/>
      <c r="AO163" s="4"/>
      <c r="AP163" s="4"/>
      <c r="AQ163" s="4"/>
      <c r="AR163" s="4"/>
      <c r="AS163" s="76" t="str">
        <f>"COMMENT ON COLUMN "&amp;エンティティ一覧!$O$2&amp;"."&amp;D$8&amp;"."&amp;D163&amp;" IS '"&amp;C163&amp;"';"</f>
        <v>COMMENT ON COLUMN milscm_2023_009.sny_202310_annony_shikkan2.shikkan150_start_date IS 'C258_疾患開始日';</v>
      </c>
    </row>
    <row r="164" spans="1:45" s="25" customFormat="1">
      <c r="A164" s="4" t="s">
        <v>5304</v>
      </c>
      <c r="B164" s="21">
        <f t="shared" si="33"/>
        <v>152</v>
      </c>
      <c r="C164" s="13" t="str">
        <f t="shared" si="34"/>
        <v>C259_疾患開始日</v>
      </c>
      <c r="D164" s="13" t="s">
        <v>4919</v>
      </c>
      <c r="E164" s="8"/>
      <c r="F164" s="7" t="s">
        <v>4348</v>
      </c>
      <c r="G164" s="7" t="s">
        <v>25</v>
      </c>
      <c r="H164" s="58"/>
      <c r="I164" s="23"/>
      <c r="J164" s="24"/>
      <c r="M164" s="4"/>
      <c r="N164" s="76"/>
      <c r="O164" s="76"/>
      <c r="P164" s="76" t="str">
        <f t="shared" si="37"/>
        <v>,shikkan151_start_date</v>
      </c>
      <c r="Q164" s="76" t="str">
        <f t="shared" si="38"/>
        <v>DATE</v>
      </c>
      <c r="R164" s="76" t="str">
        <f t="shared" si="39"/>
        <v/>
      </c>
      <c r="S164" s="76" t="str">
        <f t="shared" si="40"/>
        <v/>
      </c>
      <c r="T164" s="76" t="str">
        <f t="shared" si="41"/>
        <v>-- C259_疾患開始日</v>
      </c>
      <c r="U164" s="4" t="str">
        <f t="shared" si="35"/>
        <v>, CASE WHEN shikkan_disp_name = 'C259' THEN min_shikkan_start_date ::DATE ELSE NULL END AS shikkan151_start_date</v>
      </c>
      <c r="V164" s="25" t="str">
        <f t="shared" si="36"/>
        <v>, max(shikkan151_start_date)</v>
      </c>
      <c r="AA164" s="4"/>
      <c r="AB164" s="4"/>
      <c r="AC164" s="4"/>
      <c r="AD164" s="4"/>
      <c r="AE164" s="4"/>
      <c r="AF164" s="4"/>
      <c r="AG164" s="4"/>
      <c r="AH164" s="4"/>
      <c r="AI164" s="4"/>
      <c r="AJ164" s="76" t="str">
        <f>IF(E164="○",IF(COUNTA(E$13:E164)=1,"",",")&amp;D164,"")</f>
        <v/>
      </c>
      <c r="AK164" s="4"/>
      <c r="AL164" s="4"/>
      <c r="AM164" s="4"/>
      <c r="AN164" s="4"/>
      <c r="AO164" s="4"/>
      <c r="AP164" s="4"/>
      <c r="AQ164" s="4"/>
      <c r="AR164" s="4"/>
      <c r="AS164" s="76" t="str">
        <f>"COMMENT ON COLUMN "&amp;エンティティ一覧!$O$2&amp;"."&amp;D$8&amp;"."&amp;D164&amp;" IS '"&amp;C164&amp;"';"</f>
        <v>COMMENT ON COLUMN milscm_2023_009.sny_202310_annony_shikkan2.shikkan151_start_date IS 'C259_疾患開始日';</v>
      </c>
    </row>
    <row r="165" spans="1:45" s="25" customFormat="1">
      <c r="A165" s="4" t="s">
        <v>5305</v>
      </c>
      <c r="B165" s="21">
        <f t="shared" si="33"/>
        <v>153</v>
      </c>
      <c r="C165" s="13" t="str">
        <f t="shared" si="34"/>
        <v>C260_疾患開始日</v>
      </c>
      <c r="D165" s="13" t="s">
        <v>4920</v>
      </c>
      <c r="E165" s="8"/>
      <c r="F165" s="7" t="s">
        <v>4348</v>
      </c>
      <c r="G165" s="7" t="s">
        <v>25</v>
      </c>
      <c r="H165" s="58"/>
      <c r="I165" s="23"/>
      <c r="J165" s="24"/>
      <c r="M165" s="4"/>
      <c r="N165" s="76"/>
      <c r="O165" s="76"/>
      <c r="P165" s="76" t="str">
        <f t="shared" si="37"/>
        <v>,shikkan152_start_date</v>
      </c>
      <c r="Q165" s="76" t="str">
        <f t="shared" si="38"/>
        <v>DATE</v>
      </c>
      <c r="R165" s="76" t="str">
        <f t="shared" si="39"/>
        <v/>
      </c>
      <c r="S165" s="76" t="str">
        <f t="shared" si="40"/>
        <v/>
      </c>
      <c r="T165" s="76" t="str">
        <f t="shared" si="41"/>
        <v>-- C260_疾患開始日</v>
      </c>
      <c r="U165" s="4" t="str">
        <f t="shared" si="35"/>
        <v>, CASE WHEN shikkan_disp_name = 'C260' THEN min_shikkan_start_date ::DATE ELSE NULL END AS shikkan152_start_date</v>
      </c>
      <c r="V165" s="25" t="str">
        <f t="shared" si="36"/>
        <v>, max(shikkan152_start_date)</v>
      </c>
      <c r="AA165" s="4"/>
      <c r="AB165" s="4"/>
      <c r="AC165" s="4"/>
      <c r="AD165" s="4"/>
      <c r="AE165" s="4"/>
      <c r="AF165" s="4"/>
      <c r="AG165" s="4"/>
      <c r="AH165" s="4"/>
      <c r="AI165" s="4"/>
      <c r="AJ165" s="76" t="str">
        <f>IF(E165="○",IF(COUNTA(E$13:E165)=1,"",",")&amp;D165,"")</f>
        <v/>
      </c>
      <c r="AK165" s="4"/>
      <c r="AL165" s="4"/>
      <c r="AM165" s="4"/>
      <c r="AN165" s="4"/>
      <c r="AO165" s="4"/>
      <c r="AP165" s="4"/>
      <c r="AQ165" s="4"/>
      <c r="AR165" s="4"/>
      <c r="AS165" s="76" t="str">
        <f>"COMMENT ON COLUMN "&amp;エンティティ一覧!$O$2&amp;"."&amp;D$8&amp;"."&amp;D165&amp;" IS '"&amp;C165&amp;"';"</f>
        <v>COMMENT ON COLUMN milscm_2023_009.sny_202310_annony_shikkan2.shikkan152_start_date IS 'C260_疾患開始日';</v>
      </c>
    </row>
    <row r="166" spans="1:45" s="25" customFormat="1">
      <c r="A166" s="4" t="s">
        <v>5306</v>
      </c>
      <c r="B166" s="21">
        <f t="shared" si="33"/>
        <v>154</v>
      </c>
      <c r="C166" s="13" t="str">
        <f t="shared" si="34"/>
        <v>C261_疾患開始日</v>
      </c>
      <c r="D166" s="13" t="s">
        <v>4921</v>
      </c>
      <c r="E166" s="8"/>
      <c r="F166" s="7" t="s">
        <v>4348</v>
      </c>
      <c r="G166" s="7" t="s">
        <v>25</v>
      </c>
      <c r="H166" s="58"/>
      <c r="I166" s="23"/>
      <c r="J166" s="24"/>
      <c r="M166" s="4"/>
      <c r="N166" s="76"/>
      <c r="O166" s="76"/>
      <c r="P166" s="76" t="str">
        <f t="shared" si="37"/>
        <v>,shikkan153_start_date</v>
      </c>
      <c r="Q166" s="76" t="str">
        <f t="shared" si="38"/>
        <v>DATE</v>
      </c>
      <c r="R166" s="76" t="str">
        <f t="shared" si="39"/>
        <v/>
      </c>
      <c r="S166" s="76" t="str">
        <f t="shared" si="40"/>
        <v/>
      </c>
      <c r="T166" s="76" t="str">
        <f t="shared" si="41"/>
        <v>-- C261_疾患開始日</v>
      </c>
      <c r="U166" s="4" t="str">
        <f t="shared" si="35"/>
        <v>, CASE WHEN shikkan_disp_name = 'C261' THEN min_shikkan_start_date ::DATE ELSE NULL END AS shikkan153_start_date</v>
      </c>
      <c r="V166" s="25" t="str">
        <f t="shared" si="36"/>
        <v>, max(shikkan153_start_date)</v>
      </c>
      <c r="AA166" s="4"/>
      <c r="AB166" s="4"/>
      <c r="AC166" s="4"/>
      <c r="AD166" s="4"/>
      <c r="AE166" s="4"/>
      <c r="AF166" s="4"/>
      <c r="AG166" s="4"/>
      <c r="AH166" s="4"/>
      <c r="AI166" s="4"/>
      <c r="AJ166" s="76" t="str">
        <f>IF(E166="○",IF(COUNTA(E$13:E166)=1,"",",")&amp;D166,"")</f>
        <v/>
      </c>
      <c r="AK166" s="4"/>
      <c r="AL166" s="4"/>
      <c r="AM166" s="4"/>
      <c r="AN166" s="4"/>
      <c r="AO166" s="4"/>
      <c r="AP166" s="4"/>
      <c r="AQ166" s="4"/>
      <c r="AR166" s="4"/>
      <c r="AS166" s="76" t="str">
        <f>"COMMENT ON COLUMN "&amp;エンティティ一覧!$O$2&amp;"."&amp;D$8&amp;"."&amp;D166&amp;" IS '"&amp;C166&amp;"';"</f>
        <v>COMMENT ON COLUMN milscm_2023_009.sny_202310_annony_shikkan2.shikkan153_start_date IS 'C261_疾患開始日';</v>
      </c>
    </row>
    <row r="167" spans="1:45" s="25" customFormat="1">
      <c r="A167" s="4" t="s">
        <v>5307</v>
      </c>
      <c r="B167" s="21">
        <f t="shared" si="33"/>
        <v>155</v>
      </c>
      <c r="C167" s="13" t="str">
        <f t="shared" si="34"/>
        <v>C268_疾患開始日</v>
      </c>
      <c r="D167" s="13" t="s">
        <v>4922</v>
      </c>
      <c r="E167" s="8"/>
      <c r="F167" s="7" t="s">
        <v>4348</v>
      </c>
      <c r="G167" s="7" t="s">
        <v>25</v>
      </c>
      <c r="H167" s="58"/>
      <c r="I167" s="23"/>
      <c r="J167" s="24"/>
      <c r="M167" s="4"/>
      <c r="N167" s="76"/>
      <c r="O167" s="76"/>
      <c r="P167" s="76" t="str">
        <f t="shared" si="37"/>
        <v>,shikkan154_start_date</v>
      </c>
      <c r="Q167" s="76" t="str">
        <f t="shared" si="38"/>
        <v>DATE</v>
      </c>
      <c r="R167" s="76" t="str">
        <f t="shared" si="39"/>
        <v/>
      </c>
      <c r="S167" s="76" t="str">
        <f t="shared" si="40"/>
        <v/>
      </c>
      <c r="T167" s="76" t="str">
        <f t="shared" si="41"/>
        <v>-- C268_疾患開始日</v>
      </c>
      <c r="U167" s="4" t="str">
        <f t="shared" si="35"/>
        <v>, CASE WHEN shikkan_disp_name = 'C268' THEN min_shikkan_start_date ::DATE ELSE NULL END AS shikkan154_start_date</v>
      </c>
      <c r="V167" s="25" t="str">
        <f t="shared" si="36"/>
        <v>, max(shikkan154_start_date)</v>
      </c>
      <c r="AA167" s="4"/>
      <c r="AB167" s="4"/>
      <c r="AC167" s="4"/>
      <c r="AD167" s="4"/>
      <c r="AE167" s="4"/>
      <c r="AF167" s="4"/>
      <c r="AG167" s="4"/>
      <c r="AH167" s="4"/>
      <c r="AI167" s="4"/>
      <c r="AJ167" s="76" t="str">
        <f>IF(E167="○",IF(COUNTA(E$13:E167)=1,"",",")&amp;D167,"")</f>
        <v/>
      </c>
      <c r="AK167" s="4"/>
      <c r="AL167" s="4"/>
      <c r="AM167" s="4"/>
      <c r="AN167" s="4"/>
      <c r="AO167" s="4"/>
      <c r="AP167" s="4"/>
      <c r="AQ167" s="4"/>
      <c r="AR167" s="4"/>
      <c r="AS167" s="76" t="str">
        <f>"COMMENT ON COLUMN "&amp;エンティティ一覧!$O$2&amp;"."&amp;D$8&amp;"."&amp;D167&amp;" IS '"&amp;C167&amp;"';"</f>
        <v>COMMENT ON COLUMN milscm_2023_009.sny_202310_annony_shikkan2.shikkan154_start_date IS 'C268_疾患開始日';</v>
      </c>
    </row>
    <row r="168" spans="1:45" s="25" customFormat="1">
      <c r="A168" s="4" t="s">
        <v>5308</v>
      </c>
      <c r="B168" s="21">
        <f t="shared" si="33"/>
        <v>156</v>
      </c>
      <c r="C168" s="13" t="str">
        <f t="shared" si="34"/>
        <v>C269_疾患開始日</v>
      </c>
      <c r="D168" s="13" t="s">
        <v>4923</v>
      </c>
      <c r="E168" s="8"/>
      <c r="F168" s="7" t="s">
        <v>4348</v>
      </c>
      <c r="G168" s="7" t="s">
        <v>25</v>
      </c>
      <c r="H168" s="58"/>
      <c r="I168" s="23"/>
      <c r="J168" s="24"/>
      <c r="M168" s="4"/>
      <c r="N168" s="76"/>
      <c r="O168" s="76"/>
      <c r="P168" s="76" t="str">
        <f t="shared" si="37"/>
        <v>,shikkan155_start_date</v>
      </c>
      <c r="Q168" s="76" t="str">
        <f t="shared" si="38"/>
        <v>DATE</v>
      </c>
      <c r="R168" s="76" t="str">
        <f t="shared" si="39"/>
        <v/>
      </c>
      <c r="S168" s="76" t="str">
        <f t="shared" si="40"/>
        <v/>
      </c>
      <c r="T168" s="76" t="str">
        <f t="shared" si="41"/>
        <v>-- C269_疾患開始日</v>
      </c>
      <c r="U168" s="4" t="str">
        <f t="shared" si="35"/>
        <v>, CASE WHEN shikkan_disp_name = 'C269' THEN min_shikkan_start_date ::DATE ELSE NULL END AS shikkan155_start_date</v>
      </c>
      <c r="V168" s="25" t="str">
        <f t="shared" si="36"/>
        <v>, max(shikkan155_start_date)</v>
      </c>
      <c r="AA168" s="4"/>
      <c r="AB168" s="4"/>
      <c r="AC168" s="4"/>
      <c r="AD168" s="4"/>
      <c r="AE168" s="4"/>
      <c r="AF168" s="4"/>
      <c r="AG168" s="4"/>
      <c r="AH168" s="4"/>
      <c r="AI168" s="4"/>
      <c r="AJ168" s="76" t="str">
        <f>IF(E168="○",IF(COUNTA(E$13:E168)=1,"",",")&amp;D168,"")</f>
        <v/>
      </c>
      <c r="AK168" s="4"/>
      <c r="AL168" s="4"/>
      <c r="AM168" s="4"/>
      <c r="AN168" s="4"/>
      <c r="AO168" s="4"/>
      <c r="AP168" s="4"/>
      <c r="AQ168" s="4"/>
      <c r="AR168" s="4"/>
      <c r="AS168" s="76" t="str">
        <f>"COMMENT ON COLUMN "&amp;エンティティ一覧!$O$2&amp;"."&amp;D$8&amp;"."&amp;D168&amp;" IS '"&amp;C168&amp;"';"</f>
        <v>COMMENT ON COLUMN milscm_2023_009.sny_202310_annony_shikkan2.shikkan155_start_date IS 'C269_疾患開始日';</v>
      </c>
    </row>
    <row r="169" spans="1:45" s="25" customFormat="1">
      <c r="A169" s="4" t="s">
        <v>5309</v>
      </c>
      <c r="B169" s="21">
        <f t="shared" si="33"/>
        <v>157</v>
      </c>
      <c r="C169" s="13" t="str">
        <f t="shared" si="34"/>
        <v>C300_疾患開始日</v>
      </c>
      <c r="D169" s="13" t="s">
        <v>4924</v>
      </c>
      <c r="E169" s="8"/>
      <c r="F169" s="7" t="s">
        <v>4348</v>
      </c>
      <c r="G169" s="7" t="s">
        <v>25</v>
      </c>
      <c r="H169" s="58"/>
      <c r="I169" s="23"/>
      <c r="J169" s="24"/>
      <c r="M169" s="4"/>
      <c r="N169" s="76"/>
      <c r="O169" s="76"/>
      <c r="P169" s="76" t="str">
        <f t="shared" si="37"/>
        <v>,shikkan156_start_date</v>
      </c>
      <c r="Q169" s="76" t="str">
        <f t="shared" si="38"/>
        <v>DATE</v>
      </c>
      <c r="R169" s="76" t="str">
        <f t="shared" si="39"/>
        <v/>
      </c>
      <c r="S169" s="76" t="str">
        <f t="shared" si="40"/>
        <v/>
      </c>
      <c r="T169" s="76" t="str">
        <f t="shared" si="41"/>
        <v>-- C300_疾患開始日</v>
      </c>
      <c r="U169" s="4" t="str">
        <f t="shared" si="35"/>
        <v>, CASE WHEN shikkan_disp_name = 'C300' THEN min_shikkan_start_date ::DATE ELSE NULL END AS shikkan156_start_date</v>
      </c>
      <c r="V169" s="25" t="str">
        <f t="shared" si="36"/>
        <v>, max(shikkan156_start_date)</v>
      </c>
      <c r="AA169" s="4"/>
      <c r="AB169" s="4"/>
      <c r="AC169" s="4"/>
      <c r="AD169" s="4"/>
      <c r="AE169" s="4"/>
      <c r="AF169" s="4"/>
      <c r="AG169" s="4"/>
      <c r="AH169" s="4"/>
      <c r="AI169" s="4"/>
      <c r="AJ169" s="76" t="str">
        <f>IF(E169="○",IF(COUNTA(E$13:E169)=1,"",",")&amp;D169,"")</f>
        <v/>
      </c>
      <c r="AK169" s="4"/>
      <c r="AL169" s="4"/>
      <c r="AM169" s="4"/>
      <c r="AN169" s="4"/>
      <c r="AO169" s="4"/>
      <c r="AP169" s="4"/>
      <c r="AQ169" s="4"/>
      <c r="AR169" s="4"/>
      <c r="AS169" s="76" t="str">
        <f>"COMMENT ON COLUMN "&amp;エンティティ一覧!$O$2&amp;"."&amp;D$8&amp;"."&amp;D169&amp;" IS '"&amp;C169&amp;"';"</f>
        <v>COMMENT ON COLUMN milscm_2023_009.sny_202310_annony_shikkan2.shikkan156_start_date IS 'C300_疾患開始日';</v>
      </c>
    </row>
    <row r="170" spans="1:45" s="25" customFormat="1">
      <c r="A170" s="4" t="s">
        <v>5310</v>
      </c>
      <c r="B170" s="21">
        <f t="shared" si="33"/>
        <v>158</v>
      </c>
      <c r="C170" s="13" t="str">
        <f t="shared" si="34"/>
        <v>C301_疾患開始日</v>
      </c>
      <c r="D170" s="13" t="s">
        <v>4925</v>
      </c>
      <c r="E170" s="8"/>
      <c r="F170" s="7" t="s">
        <v>4348</v>
      </c>
      <c r="G170" s="7" t="s">
        <v>25</v>
      </c>
      <c r="H170" s="58"/>
      <c r="I170" s="23"/>
      <c r="J170" s="24"/>
      <c r="M170" s="4"/>
      <c r="N170" s="76"/>
      <c r="O170" s="76"/>
      <c r="P170" s="76" t="str">
        <f t="shared" si="37"/>
        <v>,shikkan157_start_date</v>
      </c>
      <c r="Q170" s="76" t="str">
        <f t="shared" si="38"/>
        <v>DATE</v>
      </c>
      <c r="R170" s="76" t="str">
        <f t="shared" si="39"/>
        <v/>
      </c>
      <c r="S170" s="76" t="str">
        <f t="shared" si="40"/>
        <v/>
      </c>
      <c r="T170" s="76" t="str">
        <f t="shared" si="41"/>
        <v>-- C301_疾患開始日</v>
      </c>
      <c r="U170" s="4" t="str">
        <f t="shared" si="35"/>
        <v>, CASE WHEN shikkan_disp_name = 'C301' THEN min_shikkan_start_date ::DATE ELSE NULL END AS shikkan157_start_date</v>
      </c>
      <c r="V170" s="25" t="str">
        <f t="shared" si="36"/>
        <v>, max(shikkan157_start_date)</v>
      </c>
      <c r="AA170" s="4"/>
      <c r="AB170" s="4"/>
      <c r="AC170" s="4"/>
      <c r="AD170" s="4"/>
      <c r="AE170" s="4"/>
      <c r="AF170" s="4"/>
      <c r="AG170" s="4"/>
      <c r="AH170" s="4"/>
      <c r="AI170" s="4"/>
      <c r="AJ170" s="76" t="str">
        <f>IF(E170="○",IF(COUNTA(E$13:E170)=1,"",",")&amp;D170,"")</f>
        <v/>
      </c>
      <c r="AK170" s="4"/>
      <c r="AL170" s="4"/>
      <c r="AM170" s="4"/>
      <c r="AN170" s="4"/>
      <c r="AO170" s="4"/>
      <c r="AP170" s="4"/>
      <c r="AQ170" s="4"/>
      <c r="AR170" s="4"/>
      <c r="AS170" s="76" t="str">
        <f>"COMMENT ON COLUMN "&amp;エンティティ一覧!$O$2&amp;"."&amp;D$8&amp;"."&amp;D170&amp;" IS '"&amp;C170&amp;"';"</f>
        <v>COMMENT ON COLUMN milscm_2023_009.sny_202310_annony_shikkan2.shikkan157_start_date IS 'C301_疾患開始日';</v>
      </c>
    </row>
    <row r="171" spans="1:45" s="25" customFormat="1">
      <c r="A171" s="4" t="s">
        <v>5311</v>
      </c>
      <c r="B171" s="21">
        <f t="shared" si="33"/>
        <v>159</v>
      </c>
      <c r="C171" s="13" t="str">
        <f t="shared" si="34"/>
        <v>C310_疾患開始日</v>
      </c>
      <c r="D171" s="13" t="s">
        <v>4926</v>
      </c>
      <c r="E171" s="8"/>
      <c r="F171" s="7" t="s">
        <v>4348</v>
      </c>
      <c r="G171" s="7" t="s">
        <v>25</v>
      </c>
      <c r="H171" s="58"/>
      <c r="I171" s="23"/>
      <c r="J171" s="24"/>
      <c r="M171" s="4"/>
      <c r="N171" s="76"/>
      <c r="O171" s="76"/>
      <c r="P171" s="76" t="str">
        <f t="shared" si="37"/>
        <v>,shikkan158_start_date</v>
      </c>
      <c r="Q171" s="76" t="str">
        <f t="shared" si="38"/>
        <v>DATE</v>
      </c>
      <c r="R171" s="76" t="str">
        <f t="shared" si="39"/>
        <v/>
      </c>
      <c r="S171" s="76" t="str">
        <f t="shared" si="40"/>
        <v/>
      </c>
      <c r="T171" s="76" t="str">
        <f t="shared" si="41"/>
        <v>-- C310_疾患開始日</v>
      </c>
      <c r="U171" s="4" t="str">
        <f t="shared" si="35"/>
        <v>, CASE WHEN shikkan_disp_name = 'C310' THEN min_shikkan_start_date ::DATE ELSE NULL END AS shikkan158_start_date</v>
      </c>
      <c r="V171" s="25" t="str">
        <f t="shared" si="36"/>
        <v>, max(shikkan158_start_date)</v>
      </c>
      <c r="AA171" s="4"/>
      <c r="AB171" s="4"/>
      <c r="AC171" s="4"/>
      <c r="AD171" s="4"/>
      <c r="AE171" s="4"/>
      <c r="AF171" s="4"/>
      <c r="AG171" s="4"/>
      <c r="AH171" s="4"/>
      <c r="AI171" s="4"/>
      <c r="AJ171" s="76" t="str">
        <f>IF(E171="○",IF(COUNTA(E$13:E171)=1,"",",")&amp;D171,"")</f>
        <v/>
      </c>
      <c r="AK171" s="4"/>
      <c r="AL171" s="4"/>
      <c r="AM171" s="4"/>
      <c r="AN171" s="4"/>
      <c r="AO171" s="4"/>
      <c r="AP171" s="4"/>
      <c r="AQ171" s="4"/>
      <c r="AR171" s="4"/>
      <c r="AS171" s="76" t="str">
        <f>"COMMENT ON COLUMN "&amp;エンティティ一覧!$O$2&amp;"."&amp;D$8&amp;"."&amp;D171&amp;" IS '"&amp;C171&amp;"';"</f>
        <v>COMMENT ON COLUMN milscm_2023_009.sny_202310_annony_shikkan2.shikkan158_start_date IS 'C310_疾患開始日';</v>
      </c>
    </row>
    <row r="172" spans="1:45" s="25" customFormat="1">
      <c r="A172" s="4" t="s">
        <v>5312</v>
      </c>
      <c r="B172" s="21">
        <f t="shared" si="33"/>
        <v>160</v>
      </c>
      <c r="C172" s="13" t="str">
        <f t="shared" si="34"/>
        <v>C311_疾患開始日</v>
      </c>
      <c r="D172" s="13" t="s">
        <v>4927</v>
      </c>
      <c r="E172" s="8"/>
      <c r="F172" s="7" t="s">
        <v>4348</v>
      </c>
      <c r="G172" s="7" t="s">
        <v>25</v>
      </c>
      <c r="H172" s="58"/>
      <c r="I172" s="23"/>
      <c r="J172" s="24"/>
      <c r="M172" s="4"/>
      <c r="N172" s="76"/>
      <c r="O172" s="76"/>
      <c r="P172" s="76" t="str">
        <f t="shared" si="37"/>
        <v>,shikkan159_start_date</v>
      </c>
      <c r="Q172" s="76" t="str">
        <f t="shared" si="38"/>
        <v>DATE</v>
      </c>
      <c r="R172" s="76" t="str">
        <f t="shared" si="39"/>
        <v/>
      </c>
      <c r="S172" s="76" t="str">
        <f t="shared" si="40"/>
        <v/>
      </c>
      <c r="T172" s="76" t="str">
        <f t="shared" si="41"/>
        <v>-- C311_疾患開始日</v>
      </c>
      <c r="U172" s="4" t="str">
        <f t="shared" si="35"/>
        <v>, CASE WHEN shikkan_disp_name = 'C311' THEN min_shikkan_start_date ::DATE ELSE NULL END AS shikkan159_start_date</v>
      </c>
      <c r="V172" s="25" t="str">
        <f t="shared" si="36"/>
        <v>, max(shikkan159_start_date)</v>
      </c>
      <c r="AA172" s="4"/>
      <c r="AB172" s="4"/>
      <c r="AC172" s="4"/>
      <c r="AD172" s="4"/>
      <c r="AE172" s="4"/>
      <c r="AF172" s="4"/>
      <c r="AG172" s="4"/>
      <c r="AH172" s="4"/>
      <c r="AI172" s="4"/>
      <c r="AJ172" s="76" t="str">
        <f>IF(E172="○",IF(COUNTA(E$13:E172)=1,"",",")&amp;D172,"")</f>
        <v/>
      </c>
      <c r="AK172" s="4"/>
      <c r="AL172" s="4"/>
      <c r="AM172" s="4"/>
      <c r="AN172" s="4"/>
      <c r="AO172" s="4"/>
      <c r="AP172" s="4"/>
      <c r="AQ172" s="4"/>
      <c r="AR172" s="4"/>
      <c r="AS172" s="76" t="str">
        <f>"COMMENT ON COLUMN "&amp;エンティティ一覧!$O$2&amp;"."&amp;D$8&amp;"."&amp;D172&amp;" IS '"&amp;C172&amp;"';"</f>
        <v>COMMENT ON COLUMN milscm_2023_009.sny_202310_annony_shikkan2.shikkan159_start_date IS 'C311_疾患開始日';</v>
      </c>
    </row>
    <row r="173" spans="1:45" s="25" customFormat="1">
      <c r="A173" s="4" t="s">
        <v>5313</v>
      </c>
      <c r="B173" s="21">
        <f t="shared" si="33"/>
        <v>161</v>
      </c>
      <c r="C173" s="13" t="str">
        <f t="shared" si="34"/>
        <v>C312_疾患開始日</v>
      </c>
      <c r="D173" s="13" t="s">
        <v>4928</v>
      </c>
      <c r="E173" s="8"/>
      <c r="F173" s="7" t="s">
        <v>4348</v>
      </c>
      <c r="G173" s="7" t="s">
        <v>25</v>
      </c>
      <c r="H173" s="58"/>
      <c r="I173" s="23"/>
      <c r="J173" s="24"/>
      <c r="M173" s="4"/>
      <c r="N173" s="76"/>
      <c r="O173" s="76"/>
      <c r="P173" s="76" t="str">
        <f t="shared" si="37"/>
        <v>,shikkan160_start_date</v>
      </c>
      <c r="Q173" s="76" t="str">
        <f t="shared" si="38"/>
        <v>DATE</v>
      </c>
      <c r="R173" s="76" t="str">
        <f t="shared" si="39"/>
        <v/>
      </c>
      <c r="S173" s="76" t="str">
        <f t="shared" si="40"/>
        <v/>
      </c>
      <c r="T173" s="76" t="str">
        <f t="shared" si="41"/>
        <v>-- C312_疾患開始日</v>
      </c>
      <c r="U173" s="4" t="str">
        <f t="shared" si="35"/>
        <v>, CASE WHEN shikkan_disp_name = 'C312' THEN min_shikkan_start_date ::DATE ELSE NULL END AS shikkan160_start_date</v>
      </c>
      <c r="V173" s="25" t="str">
        <f t="shared" si="36"/>
        <v>, max(shikkan160_start_date)</v>
      </c>
      <c r="AA173" s="4"/>
      <c r="AB173" s="4"/>
      <c r="AC173" s="4"/>
      <c r="AD173" s="4"/>
      <c r="AE173" s="4"/>
      <c r="AF173" s="4"/>
      <c r="AG173" s="4"/>
      <c r="AH173" s="4"/>
      <c r="AI173" s="4"/>
      <c r="AJ173" s="76" t="str">
        <f>IF(E173="○",IF(COUNTA(E$13:E173)=1,"",",")&amp;D173,"")</f>
        <v/>
      </c>
      <c r="AK173" s="4"/>
      <c r="AL173" s="4"/>
      <c r="AM173" s="4"/>
      <c r="AN173" s="4"/>
      <c r="AO173" s="4"/>
      <c r="AP173" s="4"/>
      <c r="AQ173" s="4"/>
      <c r="AR173" s="4"/>
      <c r="AS173" s="76" t="str">
        <f>"COMMENT ON COLUMN "&amp;エンティティ一覧!$O$2&amp;"."&amp;D$8&amp;"."&amp;D173&amp;" IS '"&amp;C173&amp;"';"</f>
        <v>COMMENT ON COLUMN milscm_2023_009.sny_202310_annony_shikkan2.shikkan160_start_date IS 'C312_疾患開始日';</v>
      </c>
    </row>
    <row r="174" spans="1:45" s="25" customFormat="1">
      <c r="A174" s="4" t="s">
        <v>5314</v>
      </c>
      <c r="B174" s="21">
        <f t="shared" si="33"/>
        <v>162</v>
      </c>
      <c r="C174" s="13" t="str">
        <f t="shared" si="34"/>
        <v>C313_疾患開始日</v>
      </c>
      <c r="D174" s="13" t="s">
        <v>4929</v>
      </c>
      <c r="E174" s="8"/>
      <c r="F174" s="7" t="s">
        <v>4348</v>
      </c>
      <c r="G174" s="7" t="s">
        <v>99</v>
      </c>
      <c r="H174" s="58"/>
      <c r="I174" s="23"/>
      <c r="J174" s="24"/>
      <c r="M174" s="4"/>
      <c r="N174" s="76"/>
      <c r="O174" s="76"/>
      <c r="P174" s="76" t="str">
        <f t="shared" si="37"/>
        <v>,shikkan161_start_date</v>
      </c>
      <c r="Q174" s="76" t="str">
        <f t="shared" si="38"/>
        <v>DATE</v>
      </c>
      <c r="R174" s="76" t="str">
        <f t="shared" si="39"/>
        <v/>
      </c>
      <c r="S174" s="76" t="str">
        <f t="shared" si="40"/>
        <v/>
      </c>
      <c r="T174" s="76" t="str">
        <f t="shared" si="41"/>
        <v>-- C313_疾患開始日</v>
      </c>
      <c r="U174" s="4" t="str">
        <f t="shared" si="35"/>
        <v>, CASE WHEN shikkan_disp_name = 'C313' THEN min_shikkan_start_date ::DATE ELSE NULL END AS shikkan161_start_date</v>
      </c>
      <c r="V174" s="25" t="str">
        <f t="shared" si="36"/>
        <v>, max(shikkan161_start_date)</v>
      </c>
      <c r="AA174" s="4"/>
      <c r="AB174" s="4"/>
      <c r="AC174" s="4"/>
      <c r="AD174" s="4"/>
      <c r="AE174" s="4"/>
      <c r="AF174" s="4"/>
      <c r="AG174" s="4"/>
      <c r="AH174" s="4"/>
      <c r="AI174" s="4"/>
      <c r="AJ174" s="76" t="str">
        <f>IF(E174="○",IF(COUNTA(E$13:E174)=1,"",",")&amp;D174,"")</f>
        <v/>
      </c>
      <c r="AK174" s="4"/>
      <c r="AL174" s="4"/>
      <c r="AM174" s="4"/>
      <c r="AN174" s="4"/>
      <c r="AO174" s="4"/>
      <c r="AP174" s="4"/>
      <c r="AQ174" s="4"/>
      <c r="AR174" s="4"/>
      <c r="AS174" s="76" t="str">
        <f>"COMMENT ON COLUMN "&amp;エンティティ一覧!$O$2&amp;"."&amp;D$8&amp;"."&amp;D174&amp;" IS '"&amp;C174&amp;"';"</f>
        <v>COMMENT ON COLUMN milscm_2023_009.sny_202310_annony_shikkan2.shikkan161_start_date IS 'C313_疾患開始日';</v>
      </c>
    </row>
    <row r="175" spans="1:45" s="25" customFormat="1">
      <c r="A175" s="4" t="s">
        <v>5315</v>
      </c>
      <c r="B175" s="21">
        <f t="shared" si="33"/>
        <v>163</v>
      </c>
      <c r="C175" s="13" t="str">
        <f t="shared" si="34"/>
        <v>C318_疾患開始日</v>
      </c>
      <c r="D175" s="13" t="s">
        <v>4930</v>
      </c>
      <c r="E175" s="8"/>
      <c r="F175" s="7" t="s">
        <v>4348</v>
      </c>
      <c r="G175" s="7" t="s">
        <v>25</v>
      </c>
      <c r="H175" s="58"/>
      <c r="I175" s="23"/>
      <c r="J175" s="24"/>
      <c r="M175" s="4"/>
      <c r="N175" s="76"/>
      <c r="O175" s="76"/>
      <c r="P175" s="76" t="str">
        <f t="shared" si="37"/>
        <v>,shikkan162_start_date</v>
      </c>
      <c r="Q175" s="76" t="str">
        <f t="shared" si="38"/>
        <v>DATE</v>
      </c>
      <c r="R175" s="76" t="str">
        <f t="shared" si="39"/>
        <v/>
      </c>
      <c r="S175" s="76" t="str">
        <f t="shared" si="40"/>
        <v/>
      </c>
      <c r="T175" s="76" t="str">
        <f t="shared" si="41"/>
        <v>-- C318_疾患開始日</v>
      </c>
      <c r="U175" s="4" t="str">
        <f t="shared" si="35"/>
        <v>, CASE WHEN shikkan_disp_name = 'C318' THEN min_shikkan_start_date ::DATE ELSE NULL END AS shikkan162_start_date</v>
      </c>
      <c r="V175" s="25" t="str">
        <f t="shared" si="36"/>
        <v>, max(shikkan162_start_date)</v>
      </c>
      <c r="AA175" s="4"/>
      <c r="AB175" s="4"/>
      <c r="AC175" s="4"/>
      <c r="AD175" s="4"/>
      <c r="AE175" s="4"/>
      <c r="AF175" s="4"/>
      <c r="AG175" s="4"/>
      <c r="AH175" s="4"/>
      <c r="AI175" s="4"/>
      <c r="AJ175" s="76" t="str">
        <f>IF(E175="○",IF(COUNTA(E$13:E175)=1,"",",")&amp;D175,"")</f>
        <v/>
      </c>
      <c r="AK175" s="4"/>
      <c r="AL175" s="4"/>
      <c r="AM175" s="4"/>
      <c r="AN175" s="4"/>
      <c r="AO175" s="4"/>
      <c r="AP175" s="4"/>
      <c r="AQ175" s="4"/>
      <c r="AR175" s="4"/>
      <c r="AS175" s="76" t="str">
        <f>"COMMENT ON COLUMN "&amp;エンティティ一覧!$O$2&amp;"."&amp;D$8&amp;"."&amp;D175&amp;" IS '"&amp;C175&amp;"';"</f>
        <v>COMMENT ON COLUMN milscm_2023_009.sny_202310_annony_shikkan2.shikkan162_start_date IS 'C318_疾患開始日';</v>
      </c>
    </row>
    <row r="176" spans="1:45" s="25" customFormat="1">
      <c r="A176" s="4" t="s">
        <v>5316</v>
      </c>
      <c r="B176" s="21">
        <f t="shared" si="33"/>
        <v>164</v>
      </c>
      <c r="C176" s="13" t="str">
        <f t="shared" si="34"/>
        <v>C319_疾患開始日</v>
      </c>
      <c r="D176" s="13" t="s">
        <v>4931</v>
      </c>
      <c r="E176" s="8"/>
      <c r="F176" s="7" t="s">
        <v>4348</v>
      </c>
      <c r="G176" s="7" t="s">
        <v>25</v>
      </c>
      <c r="H176" s="58"/>
      <c r="I176" s="23"/>
      <c r="J176" s="24"/>
      <c r="M176" s="4"/>
      <c r="N176" s="76"/>
      <c r="O176" s="76"/>
      <c r="P176" s="76" t="str">
        <f t="shared" si="37"/>
        <v>,shikkan163_start_date</v>
      </c>
      <c r="Q176" s="76" t="str">
        <f t="shared" si="38"/>
        <v>DATE</v>
      </c>
      <c r="R176" s="76" t="str">
        <f t="shared" si="39"/>
        <v/>
      </c>
      <c r="S176" s="76" t="str">
        <f t="shared" si="40"/>
        <v/>
      </c>
      <c r="T176" s="76" t="str">
        <f t="shared" si="41"/>
        <v>-- C319_疾患開始日</v>
      </c>
      <c r="U176" s="4" t="str">
        <f t="shared" si="35"/>
        <v>, CASE WHEN shikkan_disp_name = 'C319' THEN min_shikkan_start_date ::DATE ELSE NULL END AS shikkan163_start_date</v>
      </c>
      <c r="V176" s="25" t="str">
        <f t="shared" si="36"/>
        <v>, max(shikkan163_start_date)</v>
      </c>
      <c r="AA176" s="4"/>
      <c r="AB176" s="4"/>
      <c r="AC176" s="4"/>
      <c r="AD176" s="4"/>
      <c r="AE176" s="4"/>
      <c r="AF176" s="4"/>
      <c r="AG176" s="4"/>
      <c r="AH176" s="4"/>
      <c r="AI176" s="4"/>
      <c r="AJ176" s="76" t="str">
        <f>IF(E176="○",IF(COUNTA(E$13:E176)=1,"",",")&amp;D176,"")</f>
        <v/>
      </c>
      <c r="AK176" s="4"/>
      <c r="AL176" s="4"/>
      <c r="AM176" s="4"/>
      <c r="AN176" s="4"/>
      <c r="AO176" s="4"/>
      <c r="AP176" s="4"/>
      <c r="AQ176" s="4"/>
      <c r="AR176" s="4"/>
      <c r="AS176" s="76" t="str">
        <f>"COMMENT ON COLUMN "&amp;エンティティ一覧!$O$2&amp;"."&amp;D$8&amp;"."&amp;D176&amp;" IS '"&amp;C176&amp;"';"</f>
        <v>COMMENT ON COLUMN milscm_2023_009.sny_202310_annony_shikkan2.shikkan163_start_date IS 'C319_疾患開始日';</v>
      </c>
    </row>
    <row r="177" spans="1:45" s="25" customFormat="1">
      <c r="A177" s="4" t="s">
        <v>5317</v>
      </c>
      <c r="B177" s="21">
        <f t="shared" si="33"/>
        <v>165</v>
      </c>
      <c r="C177" s="13" t="str">
        <f t="shared" si="34"/>
        <v>C320_疾患開始日</v>
      </c>
      <c r="D177" s="13" t="s">
        <v>4932</v>
      </c>
      <c r="E177" s="8"/>
      <c r="F177" s="7" t="s">
        <v>4348</v>
      </c>
      <c r="G177" s="7" t="s">
        <v>25</v>
      </c>
      <c r="H177" s="58"/>
      <c r="I177" s="23"/>
      <c r="J177" s="24"/>
      <c r="M177" s="4"/>
      <c r="N177" s="76"/>
      <c r="O177" s="76"/>
      <c r="P177" s="76" t="str">
        <f t="shared" si="37"/>
        <v>,shikkan164_start_date</v>
      </c>
      <c r="Q177" s="76" t="str">
        <f t="shared" si="38"/>
        <v>DATE</v>
      </c>
      <c r="R177" s="76" t="str">
        <f t="shared" si="39"/>
        <v/>
      </c>
      <c r="S177" s="76" t="str">
        <f t="shared" si="40"/>
        <v/>
      </c>
      <c r="T177" s="76" t="str">
        <f t="shared" si="41"/>
        <v>-- C320_疾患開始日</v>
      </c>
      <c r="U177" s="4" t="str">
        <f t="shared" si="35"/>
        <v>, CASE WHEN shikkan_disp_name = 'C320' THEN min_shikkan_start_date ::DATE ELSE NULL END AS shikkan164_start_date</v>
      </c>
      <c r="V177" s="25" t="str">
        <f t="shared" si="36"/>
        <v>, max(shikkan164_start_date)</v>
      </c>
      <c r="AA177" s="4"/>
      <c r="AB177" s="4"/>
      <c r="AC177" s="4"/>
      <c r="AD177" s="4"/>
      <c r="AE177" s="4"/>
      <c r="AF177" s="4"/>
      <c r="AG177" s="4"/>
      <c r="AH177" s="4"/>
      <c r="AI177" s="4"/>
      <c r="AJ177" s="76" t="str">
        <f>IF(E177="○",IF(COUNTA(E$13:E177)=1,"",",")&amp;D177,"")</f>
        <v/>
      </c>
      <c r="AK177" s="4"/>
      <c r="AL177" s="4"/>
      <c r="AM177" s="4"/>
      <c r="AN177" s="4"/>
      <c r="AO177" s="4"/>
      <c r="AP177" s="4"/>
      <c r="AQ177" s="4"/>
      <c r="AR177" s="4"/>
      <c r="AS177" s="76" t="str">
        <f>"COMMENT ON COLUMN "&amp;エンティティ一覧!$O$2&amp;"."&amp;D$8&amp;"."&amp;D177&amp;" IS '"&amp;C177&amp;"';"</f>
        <v>COMMENT ON COLUMN milscm_2023_009.sny_202310_annony_shikkan2.shikkan164_start_date IS 'C320_疾患開始日';</v>
      </c>
    </row>
    <row r="178" spans="1:45" s="25" customFormat="1">
      <c r="A178" s="4" t="s">
        <v>5318</v>
      </c>
      <c r="B178" s="21">
        <f t="shared" si="33"/>
        <v>166</v>
      </c>
      <c r="C178" s="13" t="str">
        <f t="shared" si="34"/>
        <v>C321_疾患開始日</v>
      </c>
      <c r="D178" s="13" t="s">
        <v>4933</v>
      </c>
      <c r="E178" s="8"/>
      <c r="F178" s="7" t="s">
        <v>4348</v>
      </c>
      <c r="G178" s="7" t="s">
        <v>25</v>
      </c>
      <c r="H178" s="58"/>
      <c r="I178" s="23"/>
      <c r="J178" s="24"/>
      <c r="M178" s="4"/>
      <c r="N178" s="76"/>
      <c r="O178" s="76"/>
      <c r="P178" s="76" t="str">
        <f t="shared" si="37"/>
        <v>,shikkan165_start_date</v>
      </c>
      <c r="Q178" s="76" t="str">
        <f t="shared" si="38"/>
        <v>DATE</v>
      </c>
      <c r="R178" s="76" t="str">
        <f t="shared" si="39"/>
        <v/>
      </c>
      <c r="S178" s="76" t="str">
        <f t="shared" si="40"/>
        <v/>
      </c>
      <c r="T178" s="76" t="str">
        <f t="shared" si="41"/>
        <v>-- C321_疾患開始日</v>
      </c>
      <c r="U178" s="4" t="str">
        <f t="shared" si="35"/>
        <v>, CASE WHEN shikkan_disp_name = 'C321' THEN min_shikkan_start_date ::DATE ELSE NULL END AS shikkan165_start_date</v>
      </c>
      <c r="V178" s="25" t="str">
        <f t="shared" si="36"/>
        <v>, max(shikkan165_start_date)</v>
      </c>
      <c r="AA178" s="4"/>
      <c r="AB178" s="4"/>
      <c r="AC178" s="4"/>
      <c r="AD178" s="4"/>
      <c r="AE178" s="4"/>
      <c r="AF178" s="4"/>
      <c r="AG178" s="4"/>
      <c r="AH178" s="4"/>
      <c r="AI178" s="4"/>
      <c r="AJ178" s="76" t="str">
        <f>IF(E178="○",IF(COUNTA(E$13:E178)=1,"",",")&amp;D178,"")</f>
        <v/>
      </c>
      <c r="AK178" s="4"/>
      <c r="AL178" s="4"/>
      <c r="AM178" s="4"/>
      <c r="AN178" s="4"/>
      <c r="AO178" s="4"/>
      <c r="AP178" s="4"/>
      <c r="AQ178" s="4"/>
      <c r="AR178" s="4"/>
      <c r="AS178" s="76" t="str">
        <f>"COMMENT ON COLUMN "&amp;エンティティ一覧!$O$2&amp;"."&amp;D$8&amp;"."&amp;D178&amp;" IS '"&amp;C178&amp;"';"</f>
        <v>COMMENT ON COLUMN milscm_2023_009.sny_202310_annony_shikkan2.shikkan165_start_date IS 'C321_疾患開始日';</v>
      </c>
    </row>
    <row r="179" spans="1:45" s="25" customFormat="1">
      <c r="A179" s="4" t="s">
        <v>5319</v>
      </c>
      <c r="B179" s="21">
        <f t="shared" si="33"/>
        <v>167</v>
      </c>
      <c r="C179" s="13" t="str">
        <f t="shared" si="34"/>
        <v>C322_疾患開始日</v>
      </c>
      <c r="D179" s="13" t="s">
        <v>4934</v>
      </c>
      <c r="E179" s="8"/>
      <c r="F179" s="7" t="s">
        <v>4348</v>
      </c>
      <c r="G179" s="7" t="s">
        <v>25</v>
      </c>
      <c r="H179" s="58"/>
      <c r="I179" s="23"/>
      <c r="J179" s="24"/>
      <c r="M179" s="4"/>
      <c r="N179" s="76"/>
      <c r="O179" s="76"/>
      <c r="P179" s="76" t="str">
        <f t="shared" si="37"/>
        <v>,shikkan166_start_date</v>
      </c>
      <c r="Q179" s="76" t="str">
        <f t="shared" si="38"/>
        <v>DATE</v>
      </c>
      <c r="R179" s="76" t="str">
        <f t="shared" si="39"/>
        <v/>
      </c>
      <c r="S179" s="76" t="str">
        <f t="shared" si="40"/>
        <v/>
      </c>
      <c r="T179" s="76" t="str">
        <f t="shared" si="41"/>
        <v>-- C322_疾患開始日</v>
      </c>
      <c r="U179" s="4" t="str">
        <f t="shared" si="35"/>
        <v>, CASE WHEN shikkan_disp_name = 'C322' THEN min_shikkan_start_date ::DATE ELSE NULL END AS shikkan166_start_date</v>
      </c>
      <c r="V179" s="25" t="str">
        <f t="shared" si="36"/>
        <v>, max(shikkan166_start_date)</v>
      </c>
      <c r="AA179" s="4"/>
      <c r="AB179" s="4"/>
      <c r="AC179" s="4"/>
      <c r="AD179" s="4"/>
      <c r="AE179" s="4"/>
      <c r="AF179" s="4"/>
      <c r="AG179" s="4"/>
      <c r="AH179" s="4"/>
      <c r="AI179" s="4"/>
      <c r="AJ179" s="76" t="str">
        <f>IF(E179="○",IF(COUNTA(E$13:E179)=1,"",",")&amp;D179,"")</f>
        <v/>
      </c>
      <c r="AK179" s="4"/>
      <c r="AL179" s="4"/>
      <c r="AM179" s="4"/>
      <c r="AN179" s="4"/>
      <c r="AO179" s="4"/>
      <c r="AP179" s="4"/>
      <c r="AQ179" s="4"/>
      <c r="AR179" s="4"/>
      <c r="AS179" s="76" t="str">
        <f>"COMMENT ON COLUMN "&amp;エンティティ一覧!$O$2&amp;"."&amp;D$8&amp;"."&amp;D179&amp;" IS '"&amp;C179&amp;"';"</f>
        <v>COMMENT ON COLUMN milscm_2023_009.sny_202310_annony_shikkan2.shikkan166_start_date IS 'C322_疾患開始日';</v>
      </c>
    </row>
    <row r="180" spans="1:45" s="25" customFormat="1">
      <c r="A180" s="4" t="s">
        <v>5320</v>
      </c>
      <c r="B180" s="21">
        <f t="shared" si="33"/>
        <v>168</v>
      </c>
      <c r="C180" s="13" t="str">
        <f t="shared" si="34"/>
        <v>C323_疾患開始日</v>
      </c>
      <c r="D180" s="13" t="s">
        <v>4935</v>
      </c>
      <c r="E180" s="8"/>
      <c r="F180" s="7" t="s">
        <v>4348</v>
      </c>
      <c r="G180" s="7" t="s">
        <v>25</v>
      </c>
      <c r="H180" s="58"/>
      <c r="I180" s="23"/>
      <c r="J180" s="24"/>
      <c r="M180" s="4"/>
      <c r="N180" s="76"/>
      <c r="O180" s="76"/>
      <c r="P180" s="76" t="str">
        <f t="shared" si="37"/>
        <v>,shikkan167_start_date</v>
      </c>
      <c r="Q180" s="76" t="str">
        <f t="shared" si="38"/>
        <v>DATE</v>
      </c>
      <c r="R180" s="76" t="str">
        <f t="shared" si="39"/>
        <v/>
      </c>
      <c r="S180" s="76" t="str">
        <f t="shared" si="40"/>
        <v/>
      </c>
      <c r="T180" s="76" t="str">
        <f t="shared" si="41"/>
        <v>-- C323_疾患開始日</v>
      </c>
      <c r="U180" s="4" t="str">
        <f t="shared" si="35"/>
        <v>, CASE WHEN shikkan_disp_name = 'C323' THEN min_shikkan_start_date ::DATE ELSE NULL END AS shikkan167_start_date</v>
      </c>
      <c r="V180" s="25" t="str">
        <f t="shared" si="36"/>
        <v>, max(shikkan167_start_date)</v>
      </c>
      <c r="AA180" s="4"/>
      <c r="AB180" s="4"/>
      <c r="AC180" s="4"/>
      <c r="AD180" s="4"/>
      <c r="AE180" s="4"/>
      <c r="AF180" s="4"/>
      <c r="AG180" s="4"/>
      <c r="AH180" s="4"/>
      <c r="AI180" s="4"/>
      <c r="AJ180" s="76" t="str">
        <f>IF(E180="○",IF(COUNTA(E$13:E180)=1,"",",")&amp;D180,"")</f>
        <v/>
      </c>
      <c r="AK180" s="4"/>
      <c r="AL180" s="4"/>
      <c r="AM180" s="4"/>
      <c r="AN180" s="4"/>
      <c r="AO180" s="4"/>
      <c r="AP180" s="4"/>
      <c r="AQ180" s="4"/>
      <c r="AR180" s="4"/>
      <c r="AS180" s="76" t="str">
        <f>"COMMENT ON COLUMN "&amp;エンティティ一覧!$O$2&amp;"."&amp;D$8&amp;"."&amp;D180&amp;" IS '"&amp;C180&amp;"';"</f>
        <v>COMMENT ON COLUMN milscm_2023_009.sny_202310_annony_shikkan2.shikkan167_start_date IS 'C323_疾患開始日';</v>
      </c>
    </row>
    <row r="181" spans="1:45" s="25" customFormat="1">
      <c r="A181" s="4" t="s">
        <v>5321</v>
      </c>
      <c r="B181" s="21">
        <f t="shared" si="33"/>
        <v>169</v>
      </c>
      <c r="C181" s="13" t="str">
        <f t="shared" si="34"/>
        <v>C328_疾患開始日</v>
      </c>
      <c r="D181" s="13" t="s">
        <v>4936</v>
      </c>
      <c r="E181" s="8"/>
      <c r="F181" s="7" t="s">
        <v>4348</v>
      </c>
      <c r="G181" s="7" t="s">
        <v>25</v>
      </c>
      <c r="H181" s="58"/>
      <c r="I181" s="23"/>
      <c r="J181" s="24"/>
      <c r="M181" s="4"/>
      <c r="N181" s="76"/>
      <c r="O181" s="76"/>
      <c r="P181" s="76" t="str">
        <f t="shared" si="37"/>
        <v>,shikkan168_start_date</v>
      </c>
      <c r="Q181" s="76" t="str">
        <f t="shared" si="38"/>
        <v>DATE</v>
      </c>
      <c r="R181" s="76" t="str">
        <f t="shared" si="39"/>
        <v/>
      </c>
      <c r="S181" s="76" t="str">
        <f t="shared" si="40"/>
        <v/>
      </c>
      <c r="T181" s="76" t="str">
        <f t="shared" si="41"/>
        <v>-- C328_疾患開始日</v>
      </c>
      <c r="U181" s="4" t="str">
        <f t="shared" si="35"/>
        <v>, CASE WHEN shikkan_disp_name = 'C328' THEN min_shikkan_start_date ::DATE ELSE NULL END AS shikkan168_start_date</v>
      </c>
      <c r="V181" s="25" t="str">
        <f t="shared" si="36"/>
        <v>, max(shikkan168_start_date)</v>
      </c>
      <c r="AA181" s="4"/>
      <c r="AB181" s="4"/>
      <c r="AC181" s="4"/>
      <c r="AD181" s="4"/>
      <c r="AE181" s="4"/>
      <c r="AF181" s="4"/>
      <c r="AG181" s="4"/>
      <c r="AH181" s="4"/>
      <c r="AI181" s="4"/>
      <c r="AJ181" s="76" t="str">
        <f>IF(E181="○",IF(COUNTA(E$13:E181)=1,"",",")&amp;D181,"")</f>
        <v/>
      </c>
      <c r="AK181" s="4"/>
      <c r="AL181" s="4"/>
      <c r="AM181" s="4"/>
      <c r="AN181" s="4"/>
      <c r="AO181" s="4"/>
      <c r="AP181" s="4"/>
      <c r="AQ181" s="4"/>
      <c r="AR181" s="4"/>
      <c r="AS181" s="76" t="str">
        <f>"COMMENT ON COLUMN "&amp;エンティティ一覧!$O$2&amp;"."&amp;D$8&amp;"."&amp;D181&amp;" IS '"&amp;C181&amp;"';"</f>
        <v>COMMENT ON COLUMN milscm_2023_009.sny_202310_annony_shikkan2.shikkan168_start_date IS 'C328_疾患開始日';</v>
      </c>
    </row>
    <row r="182" spans="1:45" s="25" customFormat="1">
      <c r="A182" s="4" t="s">
        <v>5322</v>
      </c>
      <c r="B182" s="21">
        <f t="shared" si="33"/>
        <v>170</v>
      </c>
      <c r="C182" s="13" t="str">
        <f t="shared" si="34"/>
        <v>C329_疾患開始日</v>
      </c>
      <c r="D182" s="13" t="s">
        <v>4937</v>
      </c>
      <c r="E182" s="8"/>
      <c r="F182" s="7" t="s">
        <v>4348</v>
      </c>
      <c r="G182" s="7" t="s">
        <v>25</v>
      </c>
      <c r="H182" s="58"/>
      <c r="I182" s="23"/>
      <c r="J182" s="24"/>
      <c r="M182" s="4"/>
      <c r="N182" s="76"/>
      <c r="O182" s="76"/>
      <c r="P182" s="76" t="str">
        <f t="shared" si="37"/>
        <v>,shikkan169_start_date</v>
      </c>
      <c r="Q182" s="76" t="str">
        <f t="shared" si="38"/>
        <v>DATE</v>
      </c>
      <c r="R182" s="76" t="str">
        <f t="shared" si="39"/>
        <v/>
      </c>
      <c r="S182" s="76" t="str">
        <f t="shared" si="40"/>
        <v/>
      </c>
      <c r="T182" s="76" t="str">
        <f t="shared" si="41"/>
        <v>-- C329_疾患開始日</v>
      </c>
      <c r="U182" s="4" t="str">
        <f t="shared" si="35"/>
        <v>, CASE WHEN shikkan_disp_name = 'C329' THEN min_shikkan_start_date ::DATE ELSE NULL END AS shikkan169_start_date</v>
      </c>
      <c r="V182" s="25" t="str">
        <f t="shared" si="36"/>
        <v>, max(shikkan169_start_date)</v>
      </c>
      <c r="AA182" s="4"/>
      <c r="AB182" s="4"/>
      <c r="AC182" s="4"/>
      <c r="AD182" s="4"/>
      <c r="AE182" s="4"/>
      <c r="AF182" s="4"/>
      <c r="AG182" s="4"/>
      <c r="AH182" s="4"/>
      <c r="AI182" s="4"/>
      <c r="AJ182" s="76" t="str">
        <f>IF(E182="○",IF(COUNTA(E$13:E182)=1,"",",")&amp;D182,"")</f>
        <v/>
      </c>
      <c r="AK182" s="4"/>
      <c r="AL182" s="4"/>
      <c r="AM182" s="4"/>
      <c r="AN182" s="4"/>
      <c r="AO182" s="4"/>
      <c r="AP182" s="4"/>
      <c r="AQ182" s="4"/>
      <c r="AR182" s="4"/>
      <c r="AS182" s="76" t="str">
        <f>"COMMENT ON COLUMN "&amp;エンティティ一覧!$O$2&amp;"."&amp;D$8&amp;"."&amp;D182&amp;" IS '"&amp;C182&amp;"';"</f>
        <v>COMMENT ON COLUMN milscm_2023_009.sny_202310_annony_shikkan2.shikkan169_start_date IS 'C329_疾患開始日';</v>
      </c>
    </row>
    <row r="183" spans="1:45" s="25" customFormat="1">
      <c r="A183" s="4" t="s">
        <v>5146</v>
      </c>
      <c r="B183" s="21">
        <f t="shared" si="33"/>
        <v>171</v>
      </c>
      <c r="C183" s="13" t="str">
        <f t="shared" si="34"/>
        <v>C33_疾患開始日</v>
      </c>
      <c r="D183" s="13" t="s">
        <v>4938</v>
      </c>
      <c r="E183" s="8"/>
      <c r="F183" s="7" t="s">
        <v>4348</v>
      </c>
      <c r="G183" s="7" t="s">
        <v>25</v>
      </c>
      <c r="H183" s="58"/>
      <c r="I183" s="23"/>
      <c r="J183" s="24"/>
      <c r="M183" s="4"/>
      <c r="N183" s="76"/>
      <c r="O183" s="76"/>
      <c r="P183" s="76" t="str">
        <f t="shared" si="37"/>
        <v>,shikkan170_start_date</v>
      </c>
      <c r="Q183" s="76" t="str">
        <f t="shared" si="38"/>
        <v>DATE</v>
      </c>
      <c r="R183" s="76" t="str">
        <f t="shared" si="39"/>
        <v/>
      </c>
      <c r="S183" s="76" t="str">
        <f t="shared" si="40"/>
        <v/>
      </c>
      <c r="T183" s="76" t="str">
        <f t="shared" si="41"/>
        <v>-- C33_疾患開始日</v>
      </c>
      <c r="U183" s="4" t="str">
        <f t="shared" si="35"/>
        <v>, CASE WHEN shikkan_disp_name = 'C33' THEN min_shikkan_start_date ::DATE ELSE NULL END AS shikkan170_start_date</v>
      </c>
      <c r="V183" s="25" t="str">
        <f t="shared" si="36"/>
        <v>, max(shikkan170_start_date)</v>
      </c>
      <c r="AA183" s="4"/>
      <c r="AB183" s="4"/>
      <c r="AC183" s="4"/>
      <c r="AD183" s="4"/>
      <c r="AE183" s="4"/>
      <c r="AF183" s="4"/>
      <c r="AG183" s="4"/>
      <c r="AH183" s="4"/>
      <c r="AI183" s="4"/>
      <c r="AJ183" s="76" t="str">
        <f>IF(E183="○",IF(COUNTA(E$13:E183)=1,"",",")&amp;D183,"")</f>
        <v/>
      </c>
      <c r="AK183" s="4"/>
      <c r="AL183" s="4"/>
      <c r="AM183" s="4"/>
      <c r="AN183" s="4"/>
      <c r="AO183" s="4"/>
      <c r="AP183" s="4"/>
      <c r="AQ183" s="4"/>
      <c r="AR183" s="4"/>
      <c r="AS183" s="76" t="str">
        <f>"COMMENT ON COLUMN "&amp;エンティティ一覧!$O$2&amp;"."&amp;D$8&amp;"."&amp;D183&amp;" IS '"&amp;C183&amp;"';"</f>
        <v>COMMENT ON COLUMN milscm_2023_009.sny_202310_annony_shikkan2.shikkan170_start_date IS 'C33_疾患開始日';</v>
      </c>
    </row>
    <row r="184" spans="1:45" s="25" customFormat="1">
      <c r="A184" s="4" t="s">
        <v>5323</v>
      </c>
      <c r="B184" s="21">
        <f t="shared" si="33"/>
        <v>172</v>
      </c>
      <c r="C184" s="13" t="str">
        <f t="shared" si="34"/>
        <v>C340_疾患開始日</v>
      </c>
      <c r="D184" s="13" t="s">
        <v>4939</v>
      </c>
      <c r="E184" s="8"/>
      <c r="F184" s="7" t="s">
        <v>4348</v>
      </c>
      <c r="G184" s="7" t="s">
        <v>25</v>
      </c>
      <c r="H184" s="58"/>
      <c r="I184" s="23"/>
      <c r="J184" s="24"/>
      <c r="M184" s="4"/>
      <c r="N184" s="76"/>
      <c r="O184" s="76"/>
      <c r="P184" s="76" t="str">
        <f t="shared" si="37"/>
        <v>,shikkan171_start_date</v>
      </c>
      <c r="Q184" s="76" t="str">
        <f t="shared" si="38"/>
        <v>DATE</v>
      </c>
      <c r="R184" s="76" t="str">
        <f t="shared" si="39"/>
        <v/>
      </c>
      <c r="S184" s="76" t="str">
        <f t="shared" si="40"/>
        <v/>
      </c>
      <c r="T184" s="76" t="str">
        <f t="shared" si="41"/>
        <v>-- C340_疾患開始日</v>
      </c>
      <c r="U184" s="4" t="str">
        <f t="shared" si="35"/>
        <v>, CASE WHEN shikkan_disp_name = 'C340' THEN min_shikkan_start_date ::DATE ELSE NULL END AS shikkan171_start_date</v>
      </c>
      <c r="V184" s="25" t="str">
        <f t="shared" si="36"/>
        <v>, max(shikkan171_start_date)</v>
      </c>
      <c r="AA184" s="4"/>
      <c r="AB184" s="4"/>
      <c r="AC184" s="4"/>
      <c r="AD184" s="4"/>
      <c r="AE184" s="4"/>
      <c r="AF184" s="4"/>
      <c r="AG184" s="4"/>
      <c r="AH184" s="4"/>
      <c r="AI184" s="4"/>
      <c r="AJ184" s="76" t="str">
        <f>IF(E184="○",IF(COUNTA(E$13:E184)=1,"",",")&amp;D184,"")</f>
        <v/>
      </c>
      <c r="AK184" s="4"/>
      <c r="AL184" s="4"/>
      <c r="AM184" s="4"/>
      <c r="AN184" s="4"/>
      <c r="AO184" s="4"/>
      <c r="AP184" s="4"/>
      <c r="AQ184" s="4"/>
      <c r="AR184" s="4"/>
      <c r="AS184" s="76" t="str">
        <f>"COMMENT ON COLUMN "&amp;エンティティ一覧!$O$2&amp;"."&amp;D$8&amp;"."&amp;D184&amp;" IS '"&amp;C184&amp;"';"</f>
        <v>COMMENT ON COLUMN milscm_2023_009.sny_202310_annony_shikkan2.shikkan171_start_date IS 'C340_疾患開始日';</v>
      </c>
    </row>
    <row r="185" spans="1:45" s="25" customFormat="1">
      <c r="A185" s="4" t="s">
        <v>5324</v>
      </c>
      <c r="B185" s="21">
        <f t="shared" si="33"/>
        <v>173</v>
      </c>
      <c r="C185" s="13" t="str">
        <f t="shared" si="34"/>
        <v>C341_疾患開始日</v>
      </c>
      <c r="D185" s="13" t="s">
        <v>4940</v>
      </c>
      <c r="E185" s="8"/>
      <c r="F185" s="7" t="s">
        <v>4348</v>
      </c>
      <c r="G185" s="7" t="s">
        <v>25</v>
      </c>
      <c r="H185" s="58"/>
      <c r="I185" s="23"/>
      <c r="J185" s="24"/>
      <c r="M185" s="4"/>
      <c r="N185" s="76"/>
      <c r="O185" s="76"/>
      <c r="P185" s="76" t="str">
        <f t="shared" si="37"/>
        <v>,shikkan172_start_date</v>
      </c>
      <c r="Q185" s="76" t="str">
        <f t="shared" si="38"/>
        <v>DATE</v>
      </c>
      <c r="R185" s="76" t="str">
        <f t="shared" si="39"/>
        <v/>
      </c>
      <c r="S185" s="76" t="str">
        <f t="shared" si="40"/>
        <v/>
      </c>
      <c r="T185" s="76" t="str">
        <f t="shared" si="41"/>
        <v>-- C341_疾患開始日</v>
      </c>
      <c r="U185" s="4" t="str">
        <f t="shared" si="35"/>
        <v>, CASE WHEN shikkan_disp_name = 'C341' THEN min_shikkan_start_date ::DATE ELSE NULL END AS shikkan172_start_date</v>
      </c>
      <c r="V185" s="25" t="str">
        <f t="shared" si="36"/>
        <v>, max(shikkan172_start_date)</v>
      </c>
      <c r="AA185" s="4"/>
      <c r="AB185" s="4"/>
      <c r="AC185" s="4"/>
      <c r="AD185" s="4"/>
      <c r="AE185" s="4"/>
      <c r="AF185" s="4"/>
      <c r="AG185" s="4"/>
      <c r="AH185" s="4"/>
      <c r="AI185" s="4"/>
      <c r="AJ185" s="76" t="str">
        <f>IF(E185="○",IF(COUNTA(E$13:E185)=1,"",",")&amp;D185,"")</f>
        <v/>
      </c>
      <c r="AK185" s="4"/>
      <c r="AL185" s="4"/>
      <c r="AM185" s="4"/>
      <c r="AN185" s="4"/>
      <c r="AO185" s="4"/>
      <c r="AP185" s="4"/>
      <c r="AQ185" s="4"/>
      <c r="AR185" s="4"/>
      <c r="AS185" s="76" t="str">
        <f>"COMMENT ON COLUMN "&amp;エンティティ一覧!$O$2&amp;"."&amp;D$8&amp;"."&amp;D185&amp;" IS '"&amp;C185&amp;"';"</f>
        <v>COMMENT ON COLUMN milscm_2023_009.sny_202310_annony_shikkan2.shikkan172_start_date IS 'C341_疾患開始日';</v>
      </c>
    </row>
    <row r="186" spans="1:45" s="25" customFormat="1">
      <c r="A186" s="4" t="s">
        <v>5325</v>
      </c>
      <c r="B186" s="21">
        <f t="shared" si="33"/>
        <v>174</v>
      </c>
      <c r="C186" s="13" t="str">
        <f t="shared" si="34"/>
        <v>C342_疾患開始日</v>
      </c>
      <c r="D186" s="13" t="s">
        <v>4941</v>
      </c>
      <c r="E186" s="8"/>
      <c r="F186" s="7" t="s">
        <v>4348</v>
      </c>
      <c r="G186" s="7" t="s">
        <v>25</v>
      </c>
      <c r="H186" s="58"/>
      <c r="I186" s="23"/>
      <c r="J186" s="24"/>
      <c r="M186" s="4"/>
      <c r="N186" s="76"/>
      <c r="O186" s="76"/>
      <c r="P186" s="76" t="str">
        <f t="shared" si="37"/>
        <v>,shikkan173_start_date</v>
      </c>
      <c r="Q186" s="76" t="str">
        <f t="shared" si="38"/>
        <v>DATE</v>
      </c>
      <c r="R186" s="76" t="str">
        <f t="shared" si="39"/>
        <v/>
      </c>
      <c r="S186" s="76" t="str">
        <f t="shared" si="40"/>
        <v/>
      </c>
      <c r="T186" s="76" t="str">
        <f t="shared" si="41"/>
        <v>-- C342_疾患開始日</v>
      </c>
      <c r="U186" s="4" t="str">
        <f t="shared" si="35"/>
        <v>, CASE WHEN shikkan_disp_name = 'C342' THEN min_shikkan_start_date ::DATE ELSE NULL END AS shikkan173_start_date</v>
      </c>
      <c r="V186" s="25" t="str">
        <f t="shared" si="36"/>
        <v>, max(shikkan173_start_date)</v>
      </c>
      <c r="AA186" s="4"/>
      <c r="AB186" s="4"/>
      <c r="AC186" s="4"/>
      <c r="AD186" s="4"/>
      <c r="AE186" s="4"/>
      <c r="AF186" s="4"/>
      <c r="AG186" s="4"/>
      <c r="AH186" s="4"/>
      <c r="AI186" s="4"/>
      <c r="AJ186" s="76" t="str">
        <f>IF(E186="○",IF(COUNTA(E$13:E186)=1,"",",")&amp;D186,"")</f>
        <v/>
      </c>
      <c r="AK186" s="4"/>
      <c r="AL186" s="4"/>
      <c r="AM186" s="4"/>
      <c r="AN186" s="4"/>
      <c r="AO186" s="4"/>
      <c r="AP186" s="4"/>
      <c r="AQ186" s="4"/>
      <c r="AR186" s="4"/>
      <c r="AS186" s="76" t="str">
        <f>"COMMENT ON COLUMN "&amp;エンティティ一覧!$O$2&amp;"."&amp;D$8&amp;"."&amp;D186&amp;" IS '"&amp;C186&amp;"';"</f>
        <v>COMMENT ON COLUMN milscm_2023_009.sny_202310_annony_shikkan2.shikkan173_start_date IS 'C342_疾患開始日';</v>
      </c>
    </row>
    <row r="187" spans="1:45" s="25" customFormat="1">
      <c r="A187" s="4" t="s">
        <v>5326</v>
      </c>
      <c r="B187" s="21">
        <f t="shared" si="33"/>
        <v>175</v>
      </c>
      <c r="C187" s="13" t="str">
        <f t="shared" si="34"/>
        <v>C343_疾患開始日</v>
      </c>
      <c r="D187" s="13" t="s">
        <v>4942</v>
      </c>
      <c r="E187" s="8"/>
      <c r="F187" s="7" t="s">
        <v>4348</v>
      </c>
      <c r="G187" s="7" t="s">
        <v>25</v>
      </c>
      <c r="H187" s="58"/>
      <c r="I187" s="23"/>
      <c r="J187" s="24"/>
      <c r="M187" s="4"/>
      <c r="N187" s="76"/>
      <c r="O187" s="76"/>
      <c r="P187" s="76" t="str">
        <f t="shared" si="37"/>
        <v>,shikkan174_start_date</v>
      </c>
      <c r="Q187" s="76" t="str">
        <f t="shared" si="38"/>
        <v>DATE</v>
      </c>
      <c r="R187" s="76" t="str">
        <f t="shared" si="39"/>
        <v/>
      </c>
      <c r="S187" s="76" t="str">
        <f t="shared" si="40"/>
        <v/>
      </c>
      <c r="T187" s="76" t="str">
        <f t="shared" si="41"/>
        <v>-- C343_疾患開始日</v>
      </c>
      <c r="U187" s="4" t="str">
        <f t="shared" si="35"/>
        <v>, CASE WHEN shikkan_disp_name = 'C343' THEN min_shikkan_start_date ::DATE ELSE NULL END AS shikkan174_start_date</v>
      </c>
      <c r="V187" s="25" t="str">
        <f t="shared" si="36"/>
        <v>, max(shikkan174_start_date)</v>
      </c>
      <c r="AA187" s="4"/>
      <c r="AB187" s="4"/>
      <c r="AC187" s="4"/>
      <c r="AD187" s="4"/>
      <c r="AE187" s="4"/>
      <c r="AF187" s="4"/>
      <c r="AG187" s="4"/>
      <c r="AH187" s="4"/>
      <c r="AI187" s="4"/>
      <c r="AJ187" s="76" t="str">
        <f>IF(E187="○",IF(COUNTA(E$13:E187)=1,"",",")&amp;D187,"")</f>
        <v/>
      </c>
      <c r="AK187" s="4"/>
      <c r="AL187" s="4"/>
      <c r="AM187" s="4"/>
      <c r="AN187" s="4"/>
      <c r="AO187" s="4"/>
      <c r="AP187" s="4"/>
      <c r="AQ187" s="4"/>
      <c r="AR187" s="4"/>
      <c r="AS187" s="76" t="str">
        <f>"COMMENT ON COLUMN "&amp;エンティティ一覧!$O$2&amp;"."&amp;D$8&amp;"."&amp;D187&amp;" IS '"&amp;C187&amp;"';"</f>
        <v>COMMENT ON COLUMN milscm_2023_009.sny_202310_annony_shikkan2.shikkan174_start_date IS 'C343_疾患開始日';</v>
      </c>
    </row>
    <row r="188" spans="1:45" s="25" customFormat="1">
      <c r="A188" s="4" t="s">
        <v>5327</v>
      </c>
      <c r="B188" s="21">
        <f t="shared" si="33"/>
        <v>176</v>
      </c>
      <c r="C188" s="13" t="str">
        <f t="shared" si="34"/>
        <v>C348_疾患開始日</v>
      </c>
      <c r="D188" s="13" t="s">
        <v>4943</v>
      </c>
      <c r="E188" s="8"/>
      <c r="F188" s="7" t="s">
        <v>4348</v>
      </c>
      <c r="G188" s="7" t="s">
        <v>25</v>
      </c>
      <c r="H188" s="58"/>
      <c r="I188" s="23"/>
      <c r="J188" s="24"/>
      <c r="M188" s="4"/>
      <c r="N188" s="76"/>
      <c r="O188" s="76"/>
      <c r="P188" s="76" t="str">
        <f t="shared" si="37"/>
        <v>,shikkan175_start_date</v>
      </c>
      <c r="Q188" s="76" t="str">
        <f t="shared" si="38"/>
        <v>DATE</v>
      </c>
      <c r="R188" s="76" t="str">
        <f t="shared" si="39"/>
        <v/>
      </c>
      <c r="S188" s="76" t="str">
        <f t="shared" si="40"/>
        <v/>
      </c>
      <c r="T188" s="76" t="str">
        <f t="shared" si="41"/>
        <v>-- C348_疾患開始日</v>
      </c>
      <c r="U188" s="4" t="str">
        <f t="shared" si="35"/>
        <v>, CASE WHEN shikkan_disp_name = 'C348' THEN min_shikkan_start_date ::DATE ELSE NULL END AS shikkan175_start_date</v>
      </c>
      <c r="V188" s="25" t="str">
        <f t="shared" si="36"/>
        <v>, max(shikkan175_start_date)</v>
      </c>
      <c r="AA188" s="4"/>
      <c r="AB188" s="4"/>
      <c r="AC188" s="4"/>
      <c r="AD188" s="4"/>
      <c r="AE188" s="4"/>
      <c r="AF188" s="4"/>
      <c r="AG188" s="4"/>
      <c r="AH188" s="4"/>
      <c r="AI188" s="4"/>
      <c r="AJ188" s="76" t="str">
        <f>IF(E188="○",IF(COUNTA(E$13:E188)=1,"",",")&amp;D188,"")</f>
        <v/>
      </c>
      <c r="AK188" s="4"/>
      <c r="AL188" s="4"/>
      <c r="AM188" s="4"/>
      <c r="AN188" s="4"/>
      <c r="AO188" s="4"/>
      <c r="AP188" s="4"/>
      <c r="AQ188" s="4"/>
      <c r="AR188" s="4"/>
      <c r="AS188" s="76" t="str">
        <f>"COMMENT ON COLUMN "&amp;エンティティ一覧!$O$2&amp;"."&amp;D$8&amp;"."&amp;D188&amp;" IS '"&amp;C188&amp;"';"</f>
        <v>COMMENT ON COLUMN milscm_2023_009.sny_202310_annony_shikkan2.shikkan175_start_date IS 'C348_疾患開始日';</v>
      </c>
    </row>
    <row r="189" spans="1:45" s="25" customFormat="1">
      <c r="A189" s="4" t="s">
        <v>5328</v>
      </c>
      <c r="B189" s="21">
        <f t="shared" si="33"/>
        <v>177</v>
      </c>
      <c r="C189" s="13" t="str">
        <f t="shared" si="34"/>
        <v>C349_疾患開始日</v>
      </c>
      <c r="D189" s="13" t="s">
        <v>4944</v>
      </c>
      <c r="E189" s="8"/>
      <c r="F189" s="7" t="s">
        <v>4348</v>
      </c>
      <c r="G189" s="7" t="s">
        <v>25</v>
      </c>
      <c r="H189" s="58"/>
      <c r="I189" s="23"/>
      <c r="J189" s="24"/>
      <c r="M189" s="4"/>
      <c r="N189" s="76"/>
      <c r="O189" s="76"/>
      <c r="P189" s="76" t="str">
        <f t="shared" si="37"/>
        <v>,shikkan176_start_date</v>
      </c>
      <c r="Q189" s="76" t="str">
        <f t="shared" si="38"/>
        <v>DATE</v>
      </c>
      <c r="R189" s="76" t="str">
        <f t="shared" si="39"/>
        <v/>
      </c>
      <c r="S189" s="76" t="str">
        <f t="shared" si="40"/>
        <v/>
      </c>
      <c r="T189" s="76" t="str">
        <f t="shared" si="41"/>
        <v>-- C349_疾患開始日</v>
      </c>
      <c r="U189" s="4" t="str">
        <f t="shared" si="35"/>
        <v>, CASE WHEN shikkan_disp_name = 'C349' THEN min_shikkan_start_date ::DATE ELSE NULL END AS shikkan176_start_date</v>
      </c>
      <c r="V189" s="25" t="str">
        <f t="shared" si="36"/>
        <v>, max(shikkan176_start_date)</v>
      </c>
      <c r="AA189" s="4"/>
      <c r="AB189" s="4"/>
      <c r="AC189" s="4"/>
      <c r="AD189" s="4"/>
      <c r="AE189" s="4"/>
      <c r="AF189" s="4"/>
      <c r="AG189" s="4"/>
      <c r="AH189" s="4"/>
      <c r="AI189" s="4"/>
      <c r="AJ189" s="76" t="str">
        <f>IF(E189="○",IF(COUNTA(E$13:E189)=1,"",",")&amp;D189,"")</f>
        <v/>
      </c>
      <c r="AK189" s="4"/>
      <c r="AL189" s="4"/>
      <c r="AM189" s="4"/>
      <c r="AN189" s="4"/>
      <c r="AO189" s="4"/>
      <c r="AP189" s="4"/>
      <c r="AQ189" s="4"/>
      <c r="AR189" s="4"/>
      <c r="AS189" s="76" t="str">
        <f>"COMMENT ON COLUMN "&amp;エンティティ一覧!$O$2&amp;"."&amp;D$8&amp;"."&amp;D189&amp;" IS '"&amp;C189&amp;"';"</f>
        <v>COMMENT ON COLUMN milscm_2023_009.sny_202310_annony_shikkan2.shikkan176_start_date IS 'C349_疾患開始日';</v>
      </c>
    </row>
    <row r="190" spans="1:45" s="25" customFormat="1">
      <c r="A190" s="4" t="s">
        <v>5147</v>
      </c>
      <c r="B190" s="21">
        <f t="shared" si="33"/>
        <v>178</v>
      </c>
      <c r="C190" s="13" t="str">
        <f t="shared" si="34"/>
        <v>C37_疾患開始日</v>
      </c>
      <c r="D190" s="13" t="s">
        <v>4945</v>
      </c>
      <c r="E190" s="8"/>
      <c r="F190" s="7" t="s">
        <v>4348</v>
      </c>
      <c r="G190" s="7" t="s">
        <v>99</v>
      </c>
      <c r="H190" s="58"/>
      <c r="I190" s="23"/>
      <c r="J190" s="24"/>
      <c r="M190" s="4"/>
      <c r="N190" s="76"/>
      <c r="O190" s="76"/>
      <c r="P190" s="76" t="str">
        <f t="shared" ref="P190:P221" si="42">IF(B190&lt;&gt;1,","&amp;D190,D190)</f>
        <v>,shikkan177_start_date</v>
      </c>
      <c r="Q190" s="76" t="str">
        <f t="shared" ref="Q190:Q221" si="43">UPPER(G190)</f>
        <v>DATE</v>
      </c>
      <c r="R190" s="76" t="str">
        <f t="shared" ref="R190:R221" si="44">IF(H190&lt;&gt;"","default "&amp;IF(G190="text","'"&amp;H190&amp;"'",H190),"")</f>
        <v/>
      </c>
      <c r="S190" s="76" t="str">
        <f t="shared" ref="S190:S221" si="45">IF(I190="○","NOT NULL","")</f>
        <v/>
      </c>
      <c r="T190" s="76" t="str">
        <f t="shared" ref="T190:T221" si="46">"-- "&amp;C190</f>
        <v>-- C37_疾患開始日</v>
      </c>
      <c r="U190" s="4" t="str">
        <f t="shared" si="35"/>
        <v>, CASE WHEN shikkan_disp_name = 'C37' THEN min_shikkan_start_date ::DATE ELSE NULL END AS shikkan177_start_date</v>
      </c>
      <c r="V190" s="25" t="str">
        <f t="shared" si="36"/>
        <v>, max(shikkan177_start_date)</v>
      </c>
      <c r="AA190" s="4"/>
      <c r="AB190" s="4"/>
      <c r="AC190" s="4"/>
      <c r="AD190" s="4"/>
      <c r="AE190" s="4"/>
      <c r="AF190" s="4"/>
      <c r="AG190" s="4"/>
      <c r="AH190" s="4"/>
      <c r="AI190" s="4"/>
      <c r="AJ190" s="76" t="str">
        <f>IF(E190="○",IF(COUNTA(E$13:E190)=1,"",",")&amp;D190,"")</f>
        <v/>
      </c>
      <c r="AK190" s="4"/>
      <c r="AL190" s="4"/>
      <c r="AM190" s="4"/>
      <c r="AN190" s="4"/>
      <c r="AO190" s="4"/>
      <c r="AP190" s="4"/>
      <c r="AQ190" s="4"/>
      <c r="AR190" s="4"/>
      <c r="AS190" s="76" t="str">
        <f>"COMMENT ON COLUMN "&amp;エンティティ一覧!$O$2&amp;"."&amp;D$8&amp;"."&amp;D190&amp;" IS '"&amp;C190&amp;"';"</f>
        <v>COMMENT ON COLUMN milscm_2023_009.sny_202310_annony_shikkan2.shikkan177_start_date IS 'C37_疾患開始日';</v>
      </c>
    </row>
    <row r="191" spans="1:45" s="25" customFormat="1">
      <c r="A191" s="4" t="s">
        <v>5329</v>
      </c>
      <c r="B191" s="21">
        <f t="shared" si="33"/>
        <v>179</v>
      </c>
      <c r="C191" s="13" t="str">
        <f t="shared" si="34"/>
        <v>C380_疾患開始日</v>
      </c>
      <c r="D191" s="13" t="s">
        <v>4946</v>
      </c>
      <c r="E191" s="8"/>
      <c r="F191" s="7" t="s">
        <v>4348</v>
      </c>
      <c r="G191" s="7" t="s">
        <v>25</v>
      </c>
      <c r="H191" s="58"/>
      <c r="I191" s="23"/>
      <c r="J191" s="24"/>
      <c r="M191" s="4"/>
      <c r="N191" s="76"/>
      <c r="O191" s="76"/>
      <c r="P191" s="76" t="str">
        <f t="shared" si="42"/>
        <v>,shikkan178_start_date</v>
      </c>
      <c r="Q191" s="76" t="str">
        <f t="shared" si="43"/>
        <v>DATE</v>
      </c>
      <c r="R191" s="76" t="str">
        <f t="shared" si="44"/>
        <v/>
      </c>
      <c r="S191" s="76" t="str">
        <f t="shared" si="45"/>
        <v/>
      </c>
      <c r="T191" s="76" t="str">
        <f t="shared" si="46"/>
        <v>-- C380_疾患開始日</v>
      </c>
      <c r="U191" s="4" t="str">
        <f t="shared" si="35"/>
        <v>, CASE WHEN shikkan_disp_name = 'C380' THEN min_shikkan_start_date ::DATE ELSE NULL END AS shikkan178_start_date</v>
      </c>
      <c r="V191" s="25" t="str">
        <f t="shared" si="36"/>
        <v>, max(shikkan178_start_date)</v>
      </c>
      <c r="AA191" s="4"/>
      <c r="AB191" s="4"/>
      <c r="AC191" s="4"/>
      <c r="AD191" s="4"/>
      <c r="AE191" s="4"/>
      <c r="AF191" s="4"/>
      <c r="AG191" s="4"/>
      <c r="AH191" s="4"/>
      <c r="AI191" s="4"/>
      <c r="AJ191" s="76" t="str">
        <f>IF(E191="○",IF(COUNTA(E$13:E191)=1,"",",")&amp;D191,"")</f>
        <v/>
      </c>
      <c r="AK191" s="4"/>
      <c r="AL191" s="4"/>
      <c r="AM191" s="4"/>
      <c r="AN191" s="4"/>
      <c r="AO191" s="4"/>
      <c r="AP191" s="4"/>
      <c r="AQ191" s="4"/>
      <c r="AR191" s="4"/>
      <c r="AS191" s="76" t="str">
        <f>"COMMENT ON COLUMN "&amp;エンティティ一覧!$O$2&amp;"."&amp;D$8&amp;"."&amp;D191&amp;" IS '"&amp;C191&amp;"';"</f>
        <v>COMMENT ON COLUMN milscm_2023_009.sny_202310_annony_shikkan2.shikkan178_start_date IS 'C380_疾患開始日';</v>
      </c>
    </row>
    <row r="192" spans="1:45" s="25" customFormat="1">
      <c r="A192" s="4" t="s">
        <v>5330</v>
      </c>
      <c r="B192" s="21">
        <f t="shared" si="33"/>
        <v>180</v>
      </c>
      <c r="C192" s="13" t="str">
        <f t="shared" si="34"/>
        <v>C381_疾患開始日</v>
      </c>
      <c r="D192" s="13" t="s">
        <v>4947</v>
      </c>
      <c r="E192" s="8"/>
      <c r="F192" s="7" t="s">
        <v>4348</v>
      </c>
      <c r="G192" s="7" t="s">
        <v>25</v>
      </c>
      <c r="H192" s="58"/>
      <c r="I192" s="23"/>
      <c r="J192" s="24"/>
      <c r="M192" s="4"/>
      <c r="N192" s="76"/>
      <c r="O192" s="76"/>
      <c r="P192" s="76" t="str">
        <f t="shared" si="42"/>
        <v>,shikkan179_start_date</v>
      </c>
      <c r="Q192" s="76" t="str">
        <f t="shared" si="43"/>
        <v>DATE</v>
      </c>
      <c r="R192" s="76" t="str">
        <f t="shared" si="44"/>
        <v/>
      </c>
      <c r="S192" s="76" t="str">
        <f t="shared" si="45"/>
        <v/>
      </c>
      <c r="T192" s="76" t="str">
        <f t="shared" si="46"/>
        <v>-- C381_疾患開始日</v>
      </c>
      <c r="U192" s="4" t="str">
        <f t="shared" si="35"/>
        <v>, CASE WHEN shikkan_disp_name = 'C381' THEN min_shikkan_start_date ::DATE ELSE NULL END AS shikkan179_start_date</v>
      </c>
      <c r="V192" s="25" t="str">
        <f t="shared" si="36"/>
        <v>, max(shikkan179_start_date)</v>
      </c>
      <c r="AA192" s="4"/>
      <c r="AB192" s="4"/>
      <c r="AC192" s="4"/>
      <c r="AD192" s="4"/>
      <c r="AE192" s="4"/>
      <c r="AF192" s="4"/>
      <c r="AG192" s="4"/>
      <c r="AH192" s="4"/>
      <c r="AI192" s="4"/>
      <c r="AJ192" s="76" t="str">
        <f>IF(E192="○",IF(COUNTA(E$13:E192)=1,"",",")&amp;D192,"")</f>
        <v/>
      </c>
      <c r="AK192" s="4"/>
      <c r="AL192" s="4"/>
      <c r="AM192" s="4"/>
      <c r="AN192" s="4"/>
      <c r="AO192" s="4"/>
      <c r="AP192" s="4"/>
      <c r="AQ192" s="4"/>
      <c r="AR192" s="4"/>
      <c r="AS192" s="76" t="str">
        <f>"COMMENT ON COLUMN "&amp;エンティティ一覧!$O$2&amp;"."&amp;D$8&amp;"."&amp;D192&amp;" IS '"&amp;C192&amp;"';"</f>
        <v>COMMENT ON COLUMN milscm_2023_009.sny_202310_annony_shikkan2.shikkan179_start_date IS 'C381_疾患開始日';</v>
      </c>
    </row>
    <row r="193" spans="1:45" s="25" customFormat="1">
      <c r="A193" s="4" t="s">
        <v>5331</v>
      </c>
      <c r="B193" s="21">
        <f t="shared" si="33"/>
        <v>181</v>
      </c>
      <c r="C193" s="13" t="str">
        <f t="shared" si="34"/>
        <v>C382_疾患開始日</v>
      </c>
      <c r="D193" s="13" t="s">
        <v>4948</v>
      </c>
      <c r="E193" s="8"/>
      <c r="F193" s="7" t="s">
        <v>4348</v>
      </c>
      <c r="G193" s="7" t="s">
        <v>25</v>
      </c>
      <c r="H193" s="58"/>
      <c r="I193" s="23"/>
      <c r="J193" s="24"/>
      <c r="M193" s="4"/>
      <c r="N193" s="76"/>
      <c r="O193" s="76"/>
      <c r="P193" s="76" t="str">
        <f t="shared" si="42"/>
        <v>,shikkan180_start_date</v>
      </c>
      <c r="Q193" s="76" t="str">
        <f t="shared" si="43"/>
        <v>DATE</v>
      </c>
      <c r="R193" s="76" t="str">
        <f t="shared" si="44"/>
        <v/>
      </c>
      <c r="S193" s="76" t="str">
        <f t="shared" si="45"/>
        <v/>
      </c>
      <c r="T193" s="76" t="str">
        <f t="shared" si="46"/>
        <v>-- C382_疾患開始日</v>
      </c>
      <c r="U193" s="4" t="str">
        <f t="shared" si="35"/>
        <v>, CASE WHEN shikkan_disp_name = 'C382' THEN min_shikkan_start_date ::DATE ELSE NULL END AS shikkan180_start_date</v>
      </c>
      <c r="V193" s="25" t="str">
        <f t="shared" si="36"/>
        <v>, max(shikkan180_start_date)</v>
      </c>
      <c r="AA193" s="4"/>
      <c r="AB193" s="4"/>
      <c r="AC193" s="4"/>
      <c r="AD193" s="4"/>
      <c r="AE193" s="4"/>
      <c r="AF193" s="4"/>
      <c r="AG193" s="4"/>
      <c r="AH193" s="4"/>
      <c r="AI193" s="4"/>
      <c r="AJ193" s="76" t="str">
        <f>IF(E193="○",IF(COUNTA(E$13:E193)=1,"",",")&amp;D193,"")</f>
        <v/>
      </c>
      <c r="AK193" s="4"/>
      <c r="AL193" s="4"/>
      <c r="AM193" s="4"/>
      <c r="AN193" s="4"/>
      <c r="AO193" s="4"/>
      <c r="AP193" s="4"/>
      <c r="AQ193" s="4"/>
      <c r="AR193" s="4"/>
      <c r="AS193" s="76" t="str">
        <f>"COMMENT ON COLUMN "&amp;エンティティ一覧!$O$2&amp;"."&amp;D$8&amp;"."&amp;D193&amp;" IS '"&amp;C193&amp;"';"</f>
        <v>COMMENT ON COLUMN milscm_2023_009.sny_202310_annony_shikkan2.shikkan180_start_date IS 'C382_疾患開始日';</v>
      </c>
    </row>
    <row r="194" spans="1:45" s="25" customFormat="1">
      <c r="A194" s="4" t="s">
        <v>5332</v>
      </c>
      <c r="B194" s="21">
        <f t="shared" si="33"/>
        <v>182</v>
      </c>
      <c r="C194" s="13" t="str">
        <f t="shared" si="34"/>
        <v>C383_疾患開始日</v>
      </c>
      <c r="D194" s="13" t="s">
        <v>4949</v>
      </c>
      <c r="E194" s="8"/>
      <c r="F194" s="7" t="s">
        <v>4348</v>
      </c>
      <c r="G194" s="7" t="s">
        <v>25</v>
      </c>
      <c r="H194" s="58"/>
      <c r="I194" s="23"/>
      <c r="J194" s="24"/>
      <c r="M194" s="4"/>
      <c r="N194" s="76"/>
      <c r="O194" s="76"/>
      <c r="P194" s="76" t="str">
        <f t="shared" si="42"/>
        <v>,shikkan181_start_date</v>
      </c>
      <c r="Q194" s="76" t="str">
        <f t="shared" si="43"/>
        <v>DATE</v>
      </c>
      <c r="R194" s="76" t="str">
        <f t="shared" si="44"/>
        <v/>
      </c>
      <c r="S194" s="76" t="str">
        <f t="shared" si="45"/>
        <v/>
      </c>
      <c r="T194" s="76" t="str">
        <f t="shared" si="46"/>
        <v>-- C383_疾患開始日</v>
      </c>
      <c r="U194" s="4" t="str">
        <f t="shared" si="35"/>
        <v>, CASE WHEN shikkan_disp_name = 'C383' THEN min_shikkan_start_date ::DATE ELSE NULL END AS shikkan181_start_date</v>
      </c>
      <c r="V194" s="25" t="str">
        <f t="shared" si="36"/>
        <v>, max(shikkan181_start_date)</v>
      </c>
      <c r="AA194" s="4"/>
      <c r="AB194" s="4"/>
      <c r="AC194" s="4"/>
      <c r="AD194" s="4"/>
      <c r="AE194" s="4"/>
      <c r="AF194" s="4"/>
      <c r="AG194" s="4"/>
      <c r="AH194" s="4"/>
      <c r="AI194" s="4"/>
      <c r="AJ194" s="76" t="str">
        <f>IF(E194="○",IF(COUNTA(E$13:E194)=1,"",",")&amp;D194,"")</f>
        <v/>
      </c>
      <c r="AK194" s="4"/>
      <c r="AL194" s="4"/>
      <c r="AM194" s="4"/>
      <c r="AN194" s="4"/>
      <c r="AO194" s="4"/>
      <c r="AP194" s="4"/>
      <c r="AQ194" s="4"/>
      <c r="AR194" s="4"/>
      <c r="AS194" s="76" t="str">
        <f>"COMMENT ON COLUMN "&amp;エンティティ一覧!$O$2&amp;"."&amp;D$8&amp;"."&amp;D194&amp;" IS '"&amp;C194&amp;"';"</f>
        <v>COMMENT ON COLUMN milscm_2023_009.sny_202310_annony_shikkan2.shikkan181_start_date IS 'C383_疾患開始日';</v>
      </c>
    </row>
    <row r="195" spans="1:45" s="25" customFormat="1">
      <c r="A195" s="4" t="s">
        <v>5333</v>
      </c>
      <c r="B195" s="21">
        <f t="shared" si="33"/>
        <v>183</v>
      </c>
      <c r="C195" s="13" t="str">
        <f t="shared" si="34"/>
        <v>C384_疾患開始日</v>
      </c>
      <c r="D195" s="13" t="s">
        <v>4950</v>
      </c>
      <c r="E195" s="8"/>
      <c r="F195" s="7" t="s">
        <v>4348</v>
      </c>
      <c r="G195" s="7" t="s">
        <v>25</v>
      </c>
      <c r="H195" s="58"/>
      <c r="I195" s="23"/>
      <c r="J195" s="24"/>
      <c r="M195" s="4"/>
      <c r="N195" s="76"/>
      <c r="O195" s="76"/>
      <c r="P195" s="76" t="str">
        <f t="shared" si="42"/>
        <v>,shikkan182_start_date</v>
      </c>
      <c r="Q195" s="76" t="str">
        <f t="shared" si="43"/>
        <v>DATE</v>
      </c>
      <c r="R195" s="76" t="str">
        <f t="shared" si="44"/>
        <v/>
      </c>
      <c r="S195" s="76" t="str">
        <f t="shared" si="45"/>
        <v/>
      </c>
      <c r="T195" s="76" t="str">
        <f t="shared" si="46"/>
        <v>-- C384_疾患開始日</v>
      </c>
      <c r="U195" s="4" t="str">
        <f t="shared" si="35"/>
        <v>, CASE WHEN shikkan_disp_name = 'C384' THEN min_shikkan_start_date ::DATE ELSE NULL END AS shikkan182_start_date</v>
      </c>
      <c r="V195" s="25" t="str">
        <f t="shared" si="36"/>
        <v>, max(shikkan182_start_date)</v>
      </c>
      <c r="AA195" s="4"/>
      <c r="AB195" s="4"/>
      <c r="AC195" s="4"/>
      <c r="AD195" s="4"/>
      <c r="AE195" s="4"/>
      <c r="AF195" s="4"/>
      <c r="AG195" s="4"/>
      <c r="AH195" s="4"/>
      <c r="AI195" s="4"/>
      <c r="AJ195" s="76" t="str">
        <f>IF(E195="○",IF(COUNTA(E$13:E195)=1,"",",")&amp;D195,"")</f>
        <v/>
      </c>
      <c r="AK195" s="4"/>
      <c r="AL195" s="4"/>
      <c r="AM195" s="4"/>
      <c r="AN195" s="4"/>
      <c r="AO195" s="4"/>
      <c r="AP195" s="4"/>
      <c r="AQ195" s="4"/>
      <c r="AR195" s="4"/>
      <c r="AS195" s="76" t="str">
        <f>"COMMENT ON COLUMN "&amp;エンティティ一覧!$O$2&amp;"."&amp;D$8&amp;"."&amp;D195&amp;" IS '"&amp;C195&amp;"';"</f>
        <v>COMMENT ON COLUMN milscm_2023_009.sny_202310_annony_shikkan2.shikkan182_start_date IS 'C384_疾患開始日';</v>
      </c>
    </row>
    <row r="196" spans="1:45" s="25" customFormat="1">
      <c r="A196" s="4" t="s">
        <v>5334</v>
      </c>
      <c r="B196" s="21">
        <f t="shared" si="33"/>
        <v>184</v>
      </c>
      <c r="C196" s="13" t="str">
        <f t="shared" si="34"/>
        <v>C388_疾患開始日</v>
      </c>
      <c r="D196" s="13" t="s">
        <v>4951</v>
      </c>
      <c r="E196" s="8"/>
      <c r="F196" s="7" t="s">
        <v>4348</v>
      </c>
      <c r="G196" s="7" t="s">
        <v>25</v>
      </c>
      <c r="H196" s="58"/>
      <c r="I196" s="23"/>
      <c r="J196" s="24"/>
      <c r="M196" s="4"/>
      <c r="N196" s="76"/>
      <c r="O196" s="76"/>
      <c r="P196" s="76" t="str">
        <f t="shared" si="42"/>
        <v>,shikkan183_start_date</v>
      </c>
      <c r="Q196" s="76" t="str">
        <f t="shared" si="43"/>
        <v>DATE</v>
      </c>
      <c r="R196" s="76" t="str">
        <f t="shared" si="44"/>
        <v/>
      </c>
      <c r="S196" s="76" t="str">
        <f t="shared" si="45"/>
        <v/>
      </c>
      <c r="T196" s="76" t="str">
        <f t="shared" si="46"/>
        <v>-- C388_疾患開始日</v>
      </c>
      <c r="U196" s="4" t="str">
        <f t="shared" si="35"/>
        <v>, CASE WHEN shikkan_disp_name = 'C388' THEN min_shikkan_start_date ::DATE ELSE NULL END AS shikkan183_start_date</v>
      </c>
      <c r="V196" s="25" t="str">
        <f t="shared" si="36"/>
        <v>, max(shikkan183_start_date)</v>
      </c>
      <c r="AA196" s="4"/>
      <c r="AB196" s="4"/>
      <c r="AC196" s="4"/>
      <c r="AD196" s="4"/>
      <c r="AE196" s="4"/>
      <c r="AF196" s="4"/>
      <c r="AG196" s="4"/>
      <c r="AH196" s="4"/>
      <c r="AI196" s="4"/>
      <c r="AJ196" s="76" t="str">
        <f>IF(E196="○",IF(COUNTA(E$13:E196)=1,"",",")&amp;D196,"")</f>
        <v/>
      </c>
      <c r="AK196" s="4"/>
      <c r="AL196" s="4"/>
      <c r="AM196" s="4"/>
      <c r="AN196" s="4"/>
      <c r="AO196" s="4"/>
      <c r="AP196" s="4"/>
      <c r="AQ196" s="4"/>
      <c r="AR196" s="4"/>
      <c r="AS196" s="76" t="str">
        <f>"COMMENT ON COLUMN "&amp;エンティティ一覧!$O$2&amp;"."&amp;D$8&amp;"."&amp;D196&amp;" IS '"&amp;C196&amp;"';"</f>
        <v>COMMENT ON COLUMN milscm_2023_009.sny_202310_annony_shikkan2.shikkan183_start_date IS 'C388_疾患開始日';</v>
      </c>
    </row>
    <row r="197" spans="1:45" s="25" customFormat="1">
      <c r="A197" s="4" t="s">
        <v>5335</v>
      </c>
      <c r="B197" s="21">
        <f t="shared" si="33"/>
        <v>185</v>
      </c>
      <c r="C197" s="13" t="str">
        <f t="shared" si="34"/>
        <v>C390_疾患開始日</v>
      </c>
      <c r="D197" s="13" t="s">
        <v>4952</v>
      </c>
      <c r="E197" s="8"/>
      <c r="F197" s="7" t="s">
        <v>4348</v>
      </c>
      <c r="G197" s="7" t="s">
        <v>25</v>
      </c>
      <c r="H197" s="58"/>
      <c r="I197" s="23"/>
      <c r="J197" s="24"/>
      <c r="M197" s="4"/>
      <c r="N197" s="76"/>
      <c r="O197" s="76"/>
      <c r="P197" s="76" t="str">
        <f t="shared" si="42"/>
        <v>,shikkan184_start_date</v>
      </c>
      <c r="Q197" s="76" t="str">
        <f t="shared" si="43"/>
        <v>DATE</v>
      </c>
      <c r="R197" s="76" t="str">
        <f t="shared" si="44"/>
        <v/>
      </c>
      <c r="S197" s="76" t="str">
        <f t="shared" si="45"/>
        <v/>
      </c>
      <c r="T197" s="76" t="str">
        <f t="shared" si="46"/>
        <v>-- C390_疾患開始日</v>
      </c>
      <c r="U197" s="4" t="str">
        <f t="shared" si="35"/>
        <v>, CASE WHEN shikkan_disp_name = 'C390' THEN min_shikkan_start_date ::DATE ELSE NULL END AS shikkan184_start_date</v>
      </c>
      <c r="V197" s="25" t="str">
        <f t="shared" si="36"/>
        <v>, max(shikkan184_start_date)</v>
      </c>
      <c r="AA197" s="4"/>
      <c r="AB197" s="4"/>
      <c r="AC197" s="4"/>
      <c r="AD197" s="4"/>
      <c r="AE197" s="4"/>
      <c r="AF197" s="4"/>
      <c r="AG197" s="4"/>
      <c r="AH197" s="4"/>
      <c r="AI197" s="4"/>
      <c r="AJ197" s="76" t="str">
        <f>IF(E197="○",IF(COUNTA(E$13:E197)=1,"",",")&amp;D197,"")</f>
        <v/>
      </c>
      <c r="AK197" s="4"/>
      <c r="AL197" s="4"/>
      <c r="AM197" s="4"/>
      <c r="AN197" s="4"/>
      <c r="AO197" s="4"/>
      <c r="AP197" s="4"/>
      <c r="AQ197" s="4"/>
      <c r="AR197" s="4"/>
      <c r="AS197" s="76" t="str">
        <f>"COMMENT ON COLUMN "&amp;エンティティ一覧!$O$2&amp;"."&amp;D$8&amp;"."&amp;D197&amp;" IS '"&amp;C197&amp;"';"</f>
        <v>COMMENT ON COLUMN milscm_2023_009.sny_202310_annony_shikkan2.shikkan184_start_date IS 'C390_疾患開始日';</v>
      </c>
    </row>
    <row r="198" spans="1:45" s="25" customFormat="1">
      <c r="A198" s="4" t="s">
        <v>5336</v>
      </c>
      <c r="B198" s="21">
        <f t="shared" si="33"/>
        <v>186</v>
      </c>
      <c r="C198" s="13" t="str">
        <f t="shared" si="34"/>
        <v>C398_疾患開始日</v>
      </c>
      <c r="D198" s="13" t="s">
        <v>4953</v>
      </c>
      <c r="E198" s="8"/>
      <c r="F198" s="7" t="s">
        <v>4348</v>
      </c>
      <c r="G198" s="7" t="s">
        <v>25</v>
      </c>
      <c r="H198" s="58"/>
      <c r="I198" s="23"/>
      <c r="J198" s="24"/>
      <c r="M198" s="4"/>
      <c r="N198" s="76"/>
      <c r="O198" s="76"/>
      <c r="P198" s="76" t="str">
        <f t="shared" si="42"/>
        <v>,shikkan185_start_date</v>
      </c>
      <c r="Q198" s="76" t="str">
        <f t="shared" si="43"/>
        <v>DATE</v>
      </c>
      <c r="R198" s="76" t="str">
        <f t="shared" si="44"/>
        <v/>
      </c>
      <c r="S198" s="76" t="str">
        <f t="shared" si="45"/>
        <v/>
      </c>
      <c r="T198" s="76" t="str">
        <f t="shared" si="46"/>
        <v>-- C398_疾患開始日</v>
      </c>
      <c r="U198" s="4" t="str">
        <f t="shared" si="35"/>
        <v>, CASE WHEN shikkan_disp_name = 'C398' THEN min_shikkan_start_date ::DATE ELSE NULL END AS shikkan185_start_date</v>
      </c>
      <c r="V198" s="25" t="str">
        <f t="shared" si="36"/>
        <v>, max(shikkan185_start_date)</v>
      </c>
      <c r="AA198" s="4"/>
      <c r="AB198" s="4"/>
      <c r="AC198" s="4"/>
      <c r="AD198" s="4"/>
      <c r="AE198" s="4"/>
      <c r="AF198" s="4"/>
      <c r="AG198" s="4"/>
      <c r="AH198" s="4"/>
      <c r="AI198" s="4"/>
      <c r="AJ198" s="76" t="str">
        <f>IF(E198="○",IF(COUNTA(E$13:E198)=1,"",",")&amp;D198,"")</f>
        <v/>
      </c>
      <c r="AK198" s="4"/>
      <c r="AL198" s="4"/>
      <c r="AM198" s="4"/>
      <c r="AN198" s="4"/>
      <c r="AO198" s="4"/>
      <c r="AP198" s="4"/>
      <c r="AQ198" s="4"/>
      <c r="AR198" s="4"/>
      <c r="AS198" s="76" t="str">
        <f>"COMMENT ON COLUMN "&amp;エンティティ一覧!$O$2&amp;"."&amp;D$8&amp;"."&amp;D198&amp;" IS '"&amp;C198&amp;"';"</f>
        <v>COMMENT ON COLUMN milscm_2023_009.sny_202310_annony_shikkan2.shikkan185_start_date IS 'C398_疾患開始日';</v>
      </c>
    </row>
    <row r="199" spans="1:45" s="25" customFormat="1">
      <c r="A199" s="4" t="s">
        <v>5337</v>
      </c>
      <c r="B199" s="21">
        <f t="shared" si="33"/>
        <v>187</v>
      </c>
      <c r="C199" s="13" t="str">
        <f t="shared" si="34"/>
        <v>C399_疾患開始日</v>
      </c>
      <c r="D199" s="13" t="s">
        <v>4954</v>
      </c>
      <c r="E199" s="8"/>
      <c r="F199" s="7" t="s">
        <v>4348</v>
      </c>
      <c r="G199" s="7" t="s">
        <v>25</v>
      </c>
      <c r="H199" s="58"/>
      <c r="I199" s="23"/>
      <c r="J199" s="24"/>
      <c r="M199" s="4"/>
      <c r="N199" s="76"/>
      <c r="O199" s="76"/>
      <c r="P199" s="76" t="str">
        <f t="shared" si="42"/>
        <v>,shikkan186_start_date</v>
      </c>
      <c r="Q199" s="76" t="str">
        <f t="shared" si="43"/>
        <v>DATE</v>
      </c>
      <c r="R199" s="76" t="str">
        <f t="shared" si="44"/>
        <v/>
      </c>
      <c r="S199" s="76" t="str">
        <f t="shared" si="45"/>
        <v/>
      </c>
      <c r="T199" s="76" t="str">
        <f t="shared" si="46"/>
        <v>-- C399_疾患開始日</v>
      </c>
      <c r="U199" s="4" t="str">
        <f t="shared" si="35"/>
        <v>, CASE WHEN shikkan_disp_name = 'C399' THEN min_shikkan_start_date ::DATE ELSE NULL END AS shikkan186_start_date</v>
      </c>
      <c r="V199" s="25" t="str">
        <f t="shared" si="36"/>
        <v>, max(shikkan186_start_date)</v>
      </c>
      <c r="AA199" s="4"/>
      <c r="AB199" s="4"/>
      <c r="AC199" s="4"/>
      <c r="AD199" s="4"/>
      <c r="AE199" s="4"/>
      <c r="AF199" s="4"/>
      <c r="AG199" s="4"/>
      <c r="AH199" s="4"/>
      <c r="AI199" s="4"/>
      <c r="AJ199" s="76" t="str">
        <f>IF(E199="○",IF(COUNTA(E$13:E199)=1,"",",")&amp;D199,"")</f>
        <v/>
      </c>
      <c r="AK199" s="4"/>
      <c r="AL199" s="4"/>
      <c r="AM199" s="4"/>
      <c r="AN199" s="4"/>
      <c r="AO199" s="4"/>
      <c r="AP199" s="4"/>
      <c r="AQ199" s="4"/>
      <c r="AR199" s="4"/>
      <c r="AS199" s="76" t="str">
        <f>"COMMENT ON COLUMN "&amp;エンティティ一覧!$O$2&amp;"."&amp;D$8&amp;"."&amp;D199&amp;" IS '"&amp;C199&amp;"';"</f>
        <v>COMMENT ON COLUMN milscm_2023_009.sny_202310_annony_shikkan2.shikkan186_start_date IS 'C399_疾患開始日';</v>
      </c>
    </row>
    <row r="200" spans="1:45" s="25" customFormat="1">
      <c r="A200" s="4" t="s">
        <v>5338</v>
      </c>
      <c r="B200" s="21">
        <f t="shared" si="33"/>
        <v>188</v>
      </c>
      <c r="C200" s="13" t="str">
        <f t="shared" si="34"/>
        <v>C400_疾患開始日</v>
      </c>
      <c r="D200" s="13" t="s">
        <v>4955</v>
      </c>
      <c r="E200" s="8"/>
      <c r="F200" s="7" t="s">
        <v>4348</v>
      </c>
      <c r="G200" s="7" t="s">
        <v>25</v>
      </c>
      <c r="H200" s="58"/>
      <c r="I200" s="23"/>
      <c r="J200" s="24"/>
      <c r="M200" s="4"/>
      <c r="N200" s="76"/>
      <c r="O200" s="76"/>
      <c r="P200" s="76" t="str">
        <f t="shared" si="42"/>
        <v>,shikkan187_start_date</v>
      </c>
      <c r="Q200" s="76" t="str">
        <f t="shared" si="43"/>
        <v>DATE</v>
      </c>
      <c r="R200" s="76" t="str">
        <f t="shared" si="44"/>
        <v/>
      </c>
      <c r="S200" s="76" t="str">
        <f t="shared" si="45"/>
        <v/>
      </c>
      <c r="T200" s="76" t="str">
        <f t="shared" si="46"/>
        <v>-- C400_疾患開始日</v>
      </c>
      <c r="U200" s="4" t="str">
        <f t="shared" si="35"/>
        <v>, CASE WHEN shikkan_disp_name = 'C400' THEN min_shikkan_start_date ::DATE ELSE NULL END AS shikkan187_start_date</v>
      </c>
      <c r="V200" s="25" t="str">
        <f t="shared" si="36"/>
        <v>, max(shikkan187_start_date)</v>
      </c>
      <c r="AA200" s="4"/>
      <c r="AB200" s="4"/>
      <c r="AC200" s="4"/>
      <c r="AD200" s="4"/>
      <c r="AE200" s="4"/>
      <c r="AF200" s="4"/>
      <c r="AG200" s="4"/>
      <c r="AH200" s="4"/>
      <c r="AI200" s="4"/>
      <c r="AJ200" s="76" t="str">
        <f>IF(E200="○",IF(COUNTA(E$13:E200)=1,"",",")&amp;D200,"")</f>
        <v/>
      </c>
      <c r="AK200" s="4"/>
      <c r="AL200" s="4"/>
      <c r="AM200" s="4"/>
      <c r="AN200" s="4"/>
      <c r="AO200" s="4"/>
      <c r="AP200" s="4"/>
      <c r="AQ200" s="4"/>
      <c r="AR200" s="4"/>
      <c r="AS200" s="76" t="str">
        <f>"COMMENT ON COLUMN "&amp;エンティティ一覧!$O$2&amp;"."&amp;D$8&amp;"."&amp;D200&amp;" IS '"&amp;C200&amp;"';"</f>
        <v>COMMENT ON COLUMN milscm_2023_009.sny_202310_annony_shikkan2.shikkan187_start_date IS 'C400_疾患開始日';</v>
      </c>
    </row>
    <row r="201" spans="1:45" s="25" customFormat="1">
      <c r="A201" s="4" t="s">
        <v>5339</v>
      </c>
      <c r="B201" s="21">
        <f t="shared" si="33"/>
        <v>189</v>
      </c>
      <c r="C201" s="13" t="str">
        <f t="shared" si="34"/>
        <v>C401_疾患開始日</v>
      </c>
      <c r="D201" s="13" t="s">
        <v>4956</v>
      </c>
      <c r="E201" s="8"/>
      <c r="F201" s="7" t="s">
        <v>4348</v>
      </c>
      <c r="G201" s="7" t="s">
        <v>25</v>
      </c>
      <c r="H201" s="58"/>
      <c r="I201" s="23"/>
      <c r="J201" s="24"/>
      <c r="M201" s="4"/>
      <c r="N201" s="76"/>
      <c r="O201" s="76"/>
      <c r="P201" s="76" t="str">
        <f t="shared" si="42"/>
        <v>,shikkan188_start_date</v>
      </c>
      <c r="Q201" s="76" t="str">
        <f t="shared" si="43"/>
        <v>DATE</v>
      </c>
      <c r="R201" s="76" t="str">
        <f t="shared" si="44"/>
        <v/>
      </c>
      <c r="S201" s="76" t="str">
        <f t="shared" si="45"/>
        <v/>
      </c>
      <c r="T201" s="76" t="str">
        <f t="shared" si="46"/>
        <v>-- C401_疾患開始日</v>
      </c>
      <c r="U201" s="4" t="str">
        <f t="shared" si="35"/>
        <v>, CASE WHEN shikkan_disp_name = 'C401' THEN min_shikkan_start_date ::DATE ELSE NULL END AS shikkan188_start_date</v>
      </c>
      <c r="V201" s="25" t="str">
        <f t="shared" si="36"/>
        <v>, max(shikkan188_start_date)</v>
      </c>
      <c r="AA201" s="4"/>
      <c r="AB201" s="4"/>
      <c r="AC201" s="4"/>
      <c r="AD201" s="4"/>
      <c r="AE201" s="4"/>
      <c r="AF201" s="4"/>
      <c r="AG201" s="4"/>
      <c r="AH201" s="4"/>
      <c r="AI201" s="4"/>
      <c r="AJ201" s="76" t="str">
        <f>IF(E201="○",IF(COUNTA(E$13:E201)=1,"",",")&amp;D201,"")</f>
        <v/>
      </c>
      <c r="AK201" s="4"/>
      <c r="AL201" s="4"/>
      <c r="AM201" s="4"/>
      <c r="AN201" s="4"/>
      <c r="AO201" s="4"/>
      <c r="AP201" s="4"/>
      <c r="AQ201" s="4"/>
      <c r="AR201" s="4"/>
      <c r="AS201" s="76" t="str">
        <f>"COMMENT ON COLUMN "&amp;エンティティ一覧!$O$2&amp;"."&amp;D$8&amp;"."&amp;D201&amp;" IS '"&amp;C201&amp;"';"</f>
        <v>COMMENT ON COLUMN milscm_2023_009.sny_202310_annony_shikkan2.shikkan188_start_date IS 'C401_疾患開始日';</v>
      </c>
    </row>
    <row r="202" spans="1:45" s="25" customFormat="1">
      <c r="A202" s="4" t="s">
        <v>5340</v>
      </c>
      <c r="B202" s="21">
        <f t="shared" si="33"/>
        <v>190</v>
      </c>
      <c r="C202" s="13" t="str">
        <f t="shared" si="34"/>
        <v>C402_疾患開始日</v>
      </c>
      <c r="D202" s="13" t="s">
        <v>4957</v>
      </c>
      <c r="E202" s="8"/>
      <c r="F202" s="7" t="s">
        <v>4348</v>
      </c>
      <c r="G202" s="7" t="s">
        <v>25</v>
      </c>
      <c r="H202" s="58"/>
      <c r="I202" s="23"/>
      <c r="J202" s="24"/>
      <c r="M202" s="4"/>
      <c r="N202" s="76"/>
      <c r="O202" s="76"/>
      <c r="P202" s="76" t="str">
        <f t="shared" si="42"/>
        <v>,shikkan189_start_date</v>
      </c>
      <c r="Q202" s="76" t="str">
        <f t="shared" si="43"/>
        <v>DATE</v>
      </c>
      <c r="R202" s="76" t="str">
        <f t="shared" si="44"/>
        <v/>
      </c>
      <c r="S202" s="76" t="str">
        <f t="shared" si="45"/>
        <v/>
      </c>
      <c r="T202" s="76" t="str">
        <f t="shared" si="46"/>
        <v>-- C402_疾患開始日</v>
      </c>
      <c r="U202" s="4" t="str">
        <f t="shared" si="35"/>
        <v>, CASE WHEN shikkan_disp_name = 'C402' THEN min_shikkan_start_date ::DATE ELSE NULL END AS shikkan189_start_date</v>
      </c>
      <c r="V202" s="25" t="str">
        <f t="shared" si="36"/>
        <v>, max(shikkan189_start_date)</v>
      </c>
      <c r="AA202" s="4"/>
      <c r="AB202" s="4"/>
      <c r="AC202" s="4"/>
      <c r="AD202" s="4"/>
      <c r="AE202" s="4"/>
      <c r="AF202" s="4"/>
      <c r="AG202" s="4"/>
      <c r="AH202" s="4"/>
      <c r="AI202" s="4"/>
      <c r="AJ202" s="76" t="str">
        <f>IF(E202="○",IF(COUNTA(E$13:E202)=1,"",",")&amp;D202,"")</f>
        <v/>
      </c>
      <c r="AK202" s="4"/>
      <c r="AL202" s="4"/>
      <c r="AM202" s="4"/>
      <c r="AN202" s="4"/>
      <c r="AO202" s="4"/>
      <c r="AP202" s="4"/>
      <c r="AQ202" s="4"/>
      <c r="AR202" s="4"/>
      <c r="AS202" s="76" t="str">
        <f>"COMMENT ON COLUMN "&amp;エンティティ一覧!$O$2&amp;"."&amp;D$8&amp;"."&amp;D202&amp;" IS '"&amp;C202&amp;"';"</f>
        <v>COMMENT ON COLUMN milscm_2023_009.sny_202310_annony_shikkan2.shikkan189_start_date IS 'C402_疾患開始日';</v>
      </c>
    </row>
    <row r="203" spans="1:45" s="25" customFormat="1">
      <c r="A203" s="4" t="s">
        <v>5341</v>
      </c>
      <c r="B203" s="21">
        <f t="shared" si="33"/>
        <v>191</v>
      </c>
      <c r="C203" s="13" t="str">
        <f t="shared" si="34"/>
        <v>C403_疾患開始日</v>
      </c>
      <c r="D203" s="13" t="s">
        <v>4958</v>
      </c>
      <c r="E203" s="8"/>
      <c r="F203" s="7" t="s">
        <v>4348</v>
      </c>
      <c r="G203" s="7" t="s">
        <v>25</v>
      </c>
      <c r="H203" s="58"/>
      <c r="I203" s="23"/>
      <c r="J203" s="24"/>
      <c r="M203" s="4"/>
      <c r="N203" s="76"/>
      <c r="O203" s="76"/>
      <c r="P203" s="76" t="str">
        <f t="shared" si="42"/>
        <v>,shikkan190_start_date</v>
      </c>
      <c r="Q203" s="76" t="str">
        <f t="shared" si="43"/>
        <v>DATE</v>
      </c>
      <c r="R203" s="76" t="str">
        <f t="shared" si="44"/>
        <v/>
      </c>
      <c r="S203" s="76" t="str">
        <f t="shared" si="45"/>
        <v/>
      </c>
      <c r="T203" s="76" t="str">
        <f t="shared" si="46"/>
        <v>-- C403_疾患開始日</v>
      </c>
      <c r="U203" s="4" t="str">
        <f t="shared" si="35"/>
        <v>, CASE WHEN shikkan_disp_name = 'C403' THEN min_shikkan_start_date ::DATE ELSE NULL END AS shikkan190_start_date</v>
      </c>
      <c r="V203" s="25" t="str">
        <f t="shared" si="36"/>
        <v>, max(shikkan190_start_date)</v>
      </c>
      <c r="AA203" s="4"/>
      <c r="AB203" s="4"/>
      <c r="AC203" s="4"/>
      <c r="AD203" s="4"/>
      <c r="AE203" s="4"/>
      <c r="AF203" s="4"/>
      <c r="AG203" s="4"/>
      <c r="AH203" s="4"/>
      <c r="AI203" s="4"/>
      <c r="AJ203" s="76" t="str">
        <f>IF(E203="○",IF(COUNTA(E$13:E203)=1,"",",")&amp;D203,"")</f>
        <v/>
      </c>
      <c r="AK203" s="4"/>
      <c r="AL203" s="4"/>
      <c r="AM203" s="4"/>
      <c r="AN203" s="4"/>
      <c r="AO203" s="4"/>
      <c r="AP203" s="4"/>
      <c r="AQ203" s="4"/>
      <c r="AR203" s="4"/>
      <c r="AS203" s="76" t="str">
        <f>"COMMENT ON COLUMN "&amp;エンティティ一覧!$O$2&amp;"."&amp;D$8&amp;"."&amp;D203&amp;" IS '"&amp;C203&amp;"';"</f>
        <v>COMMENT ON COLUMN milscm_2023_009.sny_202310_annony_shikkan2.shikkan190_start_date IS 'C403_疾患開始日';</v>
      </c>
    </row>
    <row r="204" spans="1:45" s="25" customFormat="1">
      <c r="A204" s="4" t="s">
        <v>5342</v>
      </c>
      <c r="B204" s="21">
        <f t="shared" si="33"/>
        <v>192</v>
      </c>
      <c r="C204" s="13" t="str">
        <f t="shared" si="34"/>
        <v>C408_疾患開始日</v>
      </c>
      <c r="D204" s="13" t="s">
        <v>4959</v>
      </c>
      <c r="E204" s="8"/>
      <c r="F204" s="7" t="s">
        <v>4348</v>
      </c>
      <c r="G204" s="7" t="s">
        <v>25</v>
      </c>
      <c r="H204" s="58"/>
      <c r="I204" s="23"/>
      <c r="J204" s="24"/>
      <c r="M204" s="4"/>
      <c r="N204" s="76"/>
      <c r="O204" s="76"/>
      <c r="P204" s="76" t="str">
        <f t="shared" si="42"/>
        <v>,shikkan191_start_date</v>
      </c>
      <c r="Q204" s="76" t="str">
        <f t="shared" si="43"/>
        <v>DATE</v>
      </c>
      <c r="R204" s="76" t="str">
        <f t="shared" si="44"/>
        <v/>
      </c>
      <c r="S204" s="76" t="str">
        <f t="shared" si="45"/>
        <v/>
      </c>
      <c r="T204" s="76" t="str">
        <f t="shared" si="46"/>
        <v>-- C408_疾患開始日</v>
      </c>
      <c r="U204" s="4" t="str">
        <f t="shared" si="35"/>
        <v>, CASE WHEN shikkan_disp_name = 'C408' THEN min_shikkan_start_date ::DATE ELSE NULL END AS shikkan191_start_date</v>
      </c>
      <c r="V204" s="25" t="str">
        <f t="shared" si="36"/>
        <v>, max(shikkan191_start_date)</v>
      </c>
      <c r="AA204" s="4"/>
      <c r="AB204" s="4"/>
      <c r="AC204" s="4"/>
      <c r="AD204" s="4"/>
      <c r="AE204" s="4"/>
      <c r="AF204" s="4"/>
      <c r="AG204" s="4"/>
      <c r="AH204" s="4"/>
      <c r="AI204" s="4"/>
      <c r="AJ204" s="76" t="str">
        <f>IF(E204="○",IF(COUNTA(E$13:E204)=1,"",",")&amp;D204,"")</f>
        <v/>
      </c>
      <c r="AK204" s="4"/>
      <c r="AL204" s="4"/>
      <c r="AM204" s="4"/>
      <c r="AN204" s="4"/>
      <c r="AO204" s="4"/>
      <c r="AP204" s="4"/>
      <c r="AQ204" s="4"/>
      <c r="AR204" s="4"/>
      <c r="AS204" s="76" t="str">
        <f>"COMMENT ON COLUMN "&amp;エンティティ一覧!$O$2&amp;"."&amp;D$8&amp;"."&amp;D204&amp;" IS '"&amp;C204&amp;"';"</f>
        <v>COMMENT ON COLUMN milscm_2023_009.sny_202310_annony_shikkan2.shikkan191_start_date IS 'C408_疾患開始日';</v>
      </c>
    </row>
    <row r="205" spans="1:45" s="25" customFormat="1">
      <c r="A205" s="4" t="s">
        <v>5343</v>
      </c>
      <c r="B205" s="21">
        <f t="shared" si="33"/>
        <v>193</v>
      </c>
      <c r="C205" s="13" t="str">
        <f t="shared" si="34"/>
        <v>C409_疾患開始日</v>
      </c>
      <c r="D205" s="13" t="s">
        <v>4960</v>
      </c>
      <c r="E205" s="8"/>
      <c r="F205" s="7" t="s">
        <v>4348</v>
      </c>
      <c r="G205" s="7" t="s">
        <v>25</v>
      </c>
      <c r="H205" s="58"/>
      <c r="I205" s="23"/>
      <c r="J205" s="24"/>
      <c r="M205" s="4"/>
      <c r="N205" s="76"/>
      <c r="O205" s="76"/>
      <c r="P205" s="76" t="str">
        <f t="shared" si="42"/>
        <v>,shikkan192_start_date</v>
      </c>
      <c r="Q205" s="76" t="str">
        <f t="shared" si="43"/>
        <v>DATE</v>
      </c>
      <c r="R205" s="76" t="str">
        <f t="shared" si="44"/>
        <v/>
      </c>
      <c r="S205" s="76" t="str">
        <f t="shared" si="45"/>
        <v/>
      </c>
      <c r="T205" s="76" t="str">
        <f t="shared" si="46"/>
        <v>-- C409_疾患開始日</v>
      </c>
      <c r="U205" s="4" t="str">
        <f t="shared" si="35"/>
        <v>, CASE WHEN shikkan_disp_name = 'C409' THEN min_shikkan_start_date ::DATE ELSE NULL END AS shikkan192_start_date</v>
      </c>
      <c r="V205" s="25" t="str">
        <f t="shared" si="36"/>
        <v>, max(shikkan192_start_date)</v>
      </c>
      <c r="AA205" s="4"/>
      <c r="AB205" s="4"/>
      <c r="AC205" s="4"/>
      <c r="AD205" s="4"/>
      <c r="AE205" s="4"/>
      <c r="AF205" s="4"/>
      <c r="AG205" s="4"/>
      <c r="AH205" s="4"/>
      <c r="AI205" s="4"/>
      <c r="AJ205" s="76" t="str">
        <f>IF(E205="○",IF(COUNTA(E$13:E205)=1,"",",")&amp;D205,"")</f>
        <v/>
      </c>
      <c r="AK205" s="4"/>
      <c r="AL205" s="4"/>
      <c r="AM205" s="4"/>
      <c r="AN205" s="4"/>
      <c r="AO205" s="4"/>
      <c r="AP205" s="4"/>
      <c r="AQ205" s="4"/>
      <c r="AR205" s="4"/>
      <c r="AS205" s="76" t="str">
        <f>"COMMENT ON COLUMN "&amp;エンティティ一覧!$O$2&amp;"."&amp;D$8&amp;"."&amp;D205&amp;" IS '"&amp;C205&amp;"';"</f>
        <v>COMMENT ON COLUMN milscm_2023_009.sny_202310_annony_shikkan2.shikkan192_start_date IS 'C409_疾患開始日';</v>
      </c>
    </row>
    <row r="206" spans="1:45" s="25" customFormat="1">
      <c r="A206" s="4" t="s">
        <v>5344</v>
      </c>
      <c r="B206" s="21">
        <f t="shared" si="33"/>
        <v>194</v>
      </c>
      <c r="C206" s="13" t="str">
        <f t="shared" si="34"/>
        <v>C410_疾患開始日</v>
      </c>
      <c r="D206" s="13" t="s">
        <v>4961</v>
      </c>
      <c r="E206" s="8"/>
      <c r="F206" s="7" t="s">
        <v>4348</v>
      </c>
      <c r="G206" s="7" t="s">
        <v>99</v>
      </c>
      <c r="H206" s="58"/>
      <c r="I206" s="23"/>
      <c r="J206" s="24"/>
      <c r="M206" s="4"/>
      <c r="N206" s="76"/>
      <c r="O206" s="76"/>
      <c r="P206" s="76" t="str">
        <f t="shared" si="42"/>
        <v>,shikkan193_start_date</v>
      </c>
      <c r="Q206" s="76" t="str">
        <f t="shared" si="43"/>
        <v>DATE</v>
      </c>
      <c r="R206" s="76" t="str">
        <f t="shared" si="44"/>
        <v/>
      </c>
      <c r="S206" s="76" t="str">
        <f t="shared" si="45"/>
        <v/>
      </c>
      <c r="T206" s="76" t="str">
        <f t="shared" si="46"/>
        <v>-- C410_疾患開始日</v>
      </c>
      <c r="U206" s="4" t="str">
        <f t="shared" si="35"/>
        <v>, CASE WHEN shikkan_disp_name = 'C410' THEN min_shikkan_start_date ::DATE ELSE NULL END AS shikkan193_start_date</v>
      </c>
      <c r="V206" s="25" t="str">
        <f t="shared" si="36"/>
        <v>, max(shikkan193_start_date)</v>
      </c>
      <c r="AA206" s="4"/>
      <c r="AB206" s="4"/>
      <c r="AC206" s="4"/>
      <c r="AD206" s="4"/>
      <c r="AE206" s="4"/>
      <c r="AF206" s="4"/>
      <c r="AG206" s="4"/>
      <c r="AH206" s="4"/>
      <c r="AI206" s="4"/>
      <c r="AJ206" s="76" t="str">
        <f>IF(E206="○",IF(COUNTA(E$13:E206)=1,"",",")&amp;D206,"")</f>
        <v/>
      </c>
      <c r="AK206" s="4"/>
      <c r="AL206" s="4"/>
      <c r="AM206" s="4"/>
      <c r="AN206" s="4"/>
      <c r="AO206" s="4"/>
      <c r="AP206" s="4"/>
      <c r="AQ206" s="4"/>
      <c r="AR206" s="4"/>
      <c r="AS206" s="76" t="str">
        <f>"COMMENT ON COLUMN "&amp;エンティティ一覧!$O$2&amp;"."&amp;D$8&amp;"."&amp;D206&amp;" IS '"&amp;C206&amp;"';"</f>
        <v>COMMENT ON COLUMN milscm_2023_009.sny_202310_annony_shikkan2.shikkan193_start_date IS 'C410_疾患開始日';</v>
      </c>
    </row>
    <row r="207" spans="1:45" s="25" customFormat="1">
      <c r="A207" s="4" t="s">
        <v>5345</v>
      </c>
      <c r="B207" s="21">
        <f t="shared" ref="B207:B270" si="47">ROW()-12</f>
        <v>195</v>
      </c>
      <c r="C207" s="13" t="str">
        <f t="shared" ref="C207:C270" si="48">A207&amp;"_疾患開始日"</f>
        <v>C411_疾患開始日</v>
      </c>
      <c r="D207" s="13" t="s">
        <v>4962</v>
      </c>
      <c r="E207" s="8"/>
      <c r="F207" s="7" t="s">
        <v>4348</v>
      </c>
      <c r="G207" s="7" t="s">
        <v>25</v>
      </c>
      <c r="H207" s="58"/>
      <c r="I207" s="23"/>
      <c r="J207" s="24"/>
      <c r="M207" s="4"/>
      <c r="N207" s="76"/>
      <c r="O207" s="76"/>
      <c r="P207" s="76" t="str">
        <f t="shared" si="42"/>
        <v>,shikkan194_start_date</v>
      </c>
      <c r="Q207" s="76" t="str">
        <f t="shared" si="43"/>
        <v>DATE</v>
      </c>
      <c r="R207" s="76" t="str">
        <f t="shared" si="44"/>
        <v/>
      </c>
      <c r="S207" s="76" t="str">
        <f t="shared" si="45"/>
        <v/>
      </c>
      <c r="T207" s="76" t="str">
        <f t="shared" si="46"/>
        <v>-- C411_疾患開始日</v>
      </c>
      <c r="U207" s="4" t="str">
        <f t="shared" ref="U207:U270" si="49">", CASE WHEN shikkan_disp_name = '"&amp;A207&amp;"' THEN min_shikkan_start_date ::DATE ELSE NULL END AS "&amp;D207</f>
        <v>, CASE WHEN shikkan_disp_name = 'C411' THEN min_shikkan_start_date ::DATE ELSE NULL END AS shikkan194_start_date</v>
      </c>
      <c r="V207" s="25" t="str">
        <f t="shared" ref="V207:V270" si="50">", max("&amp;D207&amp;")"</f>
        <v>, max(shikkan194_start_date)</v>
      </c>
      <c r="AA207" s="4"/>
      <c r="AB207" s="4"/>
      <c r="AC207" s="4"/>
      <c r="AD207" s="4"/>
      <c r="AE207" s="4"/>
      <c r="AF207" s="4"/>
      <c r="AG207" s="4"/>
      <c r="AH207" s="4"/>
      <c r="AI207" s="4"/>
      <c r="AJ207" s="76" t="str">
        <f>IF(E207="○",IF(COUNTA(E$13:E207)=1,"",",")&amp;D207,"")</f>
        <v/>
      </c>
      <c r="AK207" s="4"/>
      <c r="AL207" s="4"/>
      <c r="AM207" s="4"/>
      <c r="AN207" s="4"/>
      <c r="AO207" s="4"/>
      <c r="AP207" s="4"/>
      <c r="AQ207" s="4"/>
      <c r="AR207" s="4"/>
      <c r="AS207" s="76" t="str">
        <f>"COMMENT ON COLUMN "&amp;エンティティ一覧!$O$2&amp;"."&amp;D$8&amp;"."&amp;D207&amp;" IS '"&amp;C207&amp;"';"</f>
        <v>COMMENT ON COLUMN milscm_2023_009.sny_202310_annony_shikkan2.shikkan194_start_date IS 'C411_疾患開始日';</v>
      </c>
    </row>
    <row r="208" spans="1:45" s="25" customFormat="1">
      <c r="A208" s="4" t="s">
        <v>5346</v>
      </c>
      <c r="B208" s="21">
        <f t="shared" si="47"/>
        <v>196</v>
      </c>
      <c r="C208" s="13" t="str">
        <f t="shared" si="48"/>
        <v>C412_疾患開始日</v>
      </c>
      <c r="D208" s="13" t="s">
        <v>4963</v>
      </c>
      <c r="E208" s="8"/>
      <c r="F208" s="7" t="s">
        <v>4348</v>
      </c>
      <c r="G208" s="7" t="s">
        <v>25</v>
      </c>
      <c r="H208" s="58"/>
      <c r="I208" s="23"/>
      <c r="J208" s="24"/>
      <c r="M208" s="4"/>
      <c r="N208" s="76"/>
      <c r="O208" s="76"/>
      <c r="P208" s="76" t="str">
        <f t="shared" si="42"/>
        <v>,shikkan195_start_date</v>
      </c>
      <c r="Q208" s="76" t="str">
        <f t="shared" si="43"/>
        <v>DATE</v>
      </c>
      <c r="R208" s="76" t="str">
        <f t="shared" si="44"/>
        <v/>
      </c>
      <c r="S208" s="76" t="str">
        <f t="shared" si="45"/>
        <v/>
      </c>
      <c r="T208" s="76" t="str">
        <f t="shared" si="46"/>
        <v>-- C412_疾患開始日</v>
      </c>
      <c r="U208" s="4" t="str">
        <f t="shared" si="49"/>
        <v>, CASE WHEN shikkan_disp_name = 'C412' THEN min_shikkan_start_date ::DATE ELSE NULL END AS shikkan195_start_date</v>
      </c>
      <c r="V208" s="25" t="str">
        <f t="shared" si="50"/>
        <v>, max(shikkan195_start_date)</v>
      </c>
      <c r="AA208" s="4"/>
      <c r="AB208" s="4"/>
      <c r="AC208" s="4"/>
      <c r="AD208" s="4"/>
      <c r="AE208" s="4"/>
      <c r="AF208" s="4"/>
      <c r="AG208" s="4"/>
      <c r="AH208" s="4"/>
      <c r="AI208" s="4"/>
      <c r="AJ208" s="76" t="str">
        <f>IF(E208="○",IF(COUNTA(E$13:E208)=1,"",",")&amp;D208,"")</f>
        <v/>
      </c>
      <c r="AK208" s="4"/>
      <c r="AL208" s="4"/>
      <c r="AM208" s="4"/>
      <c r="AN208" s="4"/>
      <c r="AO208" s="4"/>
      <c r="AP208" s="4"/>
      <c r="AQ208" s="4"/>
      <c r="AR208" s="4"/>
      <c r="AS208" s="76" t="str">
        <f>"COMMENT ON COLUMN "&amp;エンティティ一覧!$O$2&amp;"."&amp;D$8&amp;"."&amp;D208&amp;" IS '"&amp;C208&amp;"';"</f>
        <v>COMMENT ON COLUMN milscm_2023_009.sny_202310_annony_shikkan2.shikkan195_start_date IS 'C412_疾患開始日';</v>
      </c>
    </row>
    <row r="209" spans="1:45" s="25" customFormat="1">
      <c r="A209" s="4" t="s">
        <v>5347</v>
      </c>
      <c r="B209" s="21">
        <f t="shared" si="47"/>
        <v>197</v>
      </c>
      <c r="C209" s="13" t="str">
        <f t="shared" si="48"/>
        <v>C413_疾患開始日</v>
      </c>
      <c r="D209" s="13" t="s">
        <v>4964</v>
      </c>
      <c r="E209" s="8"/>
      <c r="F209" s="7" t="s">
        <v>4348</v>
      </c>
      <c r="G209" s="7" t="s">
        <v>25</v>
      </c>
      <c r="H209" s="58"/>
      <c r="I209" s="23"/>
      <c r="J209" s="24"/>
      <c r="M209" s="4"/>
      <c r="N209" s="76"/>
      <c r="O209" s="76"/>
      <c r="P209" s="76" t="str">
        <f t="shared" si="42"/>
        <v>,shikkan196_start_date</v>
      </c>
      <c r="Q209" s="76" t="str">
        <f t="shared" si="43"/>
        <v>DATE</v>
      </c>
      <c r="R209" s="76" t="str">
        <f t="shared" si="44"/>
        <v/>
      </c>
      <c r="S209" s="76" t="str">
        <f t="shared" si="45"/>
        <v/>
      </c>
      <c r="T209" s="76" t="str">
        <f t="shared" si="46"/>
        <v>-- C413_疾患開始日</v>
      </c>
      <c r="U209" s="4" t="str">
        <f t="shared" si="49"/>
        <v>, CASE WHEN shikkan_disp_name = 'C413' THEN min_shikkan_start_date ::DATE ELSE NULL END AS shikkan196_start_date</v>
      </c>
      <c r="V209" s="25" t="str">
        <f t="shared" si="50"/>
        <v>, max(shikkan196_start_date)</v>
      </c>
      <c r="AA209" s="4"/>
      <c r="AB209" s="4"/>
      <c r="AC209" s="4"/>
      <c r="AD209" s="4"/>
      <c r="AE209" s="4"/>
      <c r="AF209" s="4"/>
      <c r="AG209" s="4"/>
      <c r="AH209" s="4"/>
      <c r="AI209" s="4"/>
      <c r="AJ209" s="76" t="str">
        <f>IF(E209="○",IF(COUNTA(E$13:E209)=1,"",",")&amp;D209,"")</f>
        <v/>
      </c>
      <c r="AK209" s="4"/>
      <c r="AL209" s="4"/>
      <c r="AM209" s="4"/>
      <c r="AN209" s="4"/>
      <c r="AO209" s="4"/>
      <c r="AP209" s="4"/>
      <c r="AQ209" s="4"/>
      <c r="AR209" s="4"/>
      <c r="AS209" s="76" t="str">
        <f>"COMMENT ON COLUMN "&amp;エンティティ一覧!$O$2&amp;"."&amp;D$8&amp;"."&amp;D209&amp;" IS '"&amp;C209&amp;"';"</f>
        <v>COMMENT ON COLUMN milscm_2023_009.sny_202310_annony_shikkan2.shikkan196_start_date IS 'C413_疾患開始日';</v>
      </c>
    </row>
    <row r="210" spans="1:45" s="25" customFormat="1">
      <c r="A210" s="4" t="s">
        <v>5348</v>
      </c>
      <c r="B210" s="21">
        <f t="shared" si="47"/>
        <v>198</v>
      </c>
      <c r="C210" s="13" t="str">
        <f t="shared" si="48"/>
        <v>C414_疾患開始日</v>
      </c>
      <c r="D210" s="13" t="s">
        <v>4965</v>
      </c>
      <c r="E210" s="8"/>
      <c r="F210" s="7" t="s">
        <v>4348</v>
      </c>
      <c r="G210" s="7" t="s">
        <v>25</v>
      </c>
      <c r="H210" s="58"/>
      <c r="I210" s="23"/>
      <c r="J210" s="24"/>
      <c r="M210" s="4"/>
      <c r="N210" s="76"/>
      <c r="O210" s="76"/>
      <c r="P210" s="76" t="str">
        <f t="shared" si="42"/>
        <v>,shikkan197_start_date</v>
      </c>
      <c r="Q210" s="76" t="str">
        <f t="shared" si="43"/>
        <v>DATE</v>
      </c>
      <c r="R210" s="76" t="str">
        <f t="shared" si="44"/>
        <v/>
      </c>
      <c r="S210" s="76" t="str">
        <f t="shared" si="45"/>
        <v/>
      </c>
      <c r="T210" s="76" t="str">
        <f t="shared" si="46"/>
        <v>-- C414_疾患開始日</v>
      </c>
      <c r="U210" s="4" t="str">
        <f t="shared" si="49"/>
        <v>, CASE WHEN shikkan_disp_name = 'C414' THEN min_shikkan_start_date ::DATE ELSE NULL END AS shikkan197_start_date</v>
      </c>
      <c r="V210" s="25" t="str">
        <f t="shared" si="50"/>
        <v>, max(shikkan197_start_date)</v>
      </c>
      <c r="AA210" s="4"/>
      <c r="AB210" s="4"/>
      <c r="AC210" s="4"/>
      <c r="AD210" s="4"/>
      <c r="AE210" s="4"/>
      <c r="AF210" s="4"/>
      <c r="AG210" s="4"/>
      <c r="AH210" s="4"/>
      <c r="AI210" s="4"/>
      <c r="AJ210" s="76" t="str">
        <f>IF(E210="○",IF(COUNTA(E$13:E210)=1,"",",")&amp;D210,"")</f>
        <v/>
      </c>
      <c r="AK210" s="4"/>
      <c r="AL210" s="4"/>
      <c r="AM210" s="4"/>
      <c r="AN210" s="4"/>
      <c r="AO210" s="4"/>
      <c r="AP210" s="4"/>
      <c r="AQ210" s="4"/>
      <c r="AR210" s="4"/>
      <c r="AS210" s="76" t="str">
        <f>"COMMENT ON COLUMN "&amp;エンティティ一覧!$O$2&amp;"."&amp;D$8&amp;"."&amp;D210&amp;" IS '"&amp;C210&amp;"';"</f>
        <v>COMMENT ON COLUMN milscm_2023_009.sny_202310_annony_shikkan2.shikkan197_start_date IS 'C414_疾患開始日';</v>
      </c>
    </row>
    <row r="211" spans="1:45" s="25" customFormat="1">
      <c r="A211" s="4" t="s">
        <v>5349</v>
      </c>
      <c r="B211" s="21">
        <f t="shared" si="47"/>
        <v>199</v>
      </c>
      <c r="C211" s="13" t="str">
        <f t="shared" si="48"/>
        <v>C418_疾患開始日</v>
      </c>
      <c r="D211" s="13" t="s">
        <v>4966</v>
      </c>
      <c r="E211" s="8"/>
      <c r="F211" s="7" t="s">
        <v>4348</v>
      </c>
      <c r="G211" s="7" t="s">
        <v>25</v>
      </c>
      <c r="H211" s="58"/>
      <c r="I211" s="23"/>
      <c r="J211" s="24"/>
      <c r="M211" s="4"/>
      <c r="N211" s="76"/>
      <c r="O211" s="76"/>
      <c r="P211" s="76" t="str">
        <f t="shared" si="42"/>
        <v>,shikkan198_start_date</v>
      </c>
      <c r="Q211" s="76" t="str">
        <f t="shared" si="43"/>
        <v>DATE</v>
      </c>
      <c r="R211" s="76" t="str">
        <f t="shared" si="44"/>
        <v/>
      </c>
      <c r="S211" s="76" t="str">
        <f t="shared" si="45"/>
        <v/>
      </c>
      <c r="T211" s="76" t="str">
        <f t="shared" si="46"/>
        <v>-- C418_疾患開始日</v>
      </c>
      <c r="U211" s="4" t="str">
        <f t="shared" si="49"/>
        <v>, CASE WHEN shikkan_disp_name = 'C418' THEN min_shikkan_start_date ::DATE ELSE NULL END AS shikkan198_start_date</v>
      </c>
      <c r="V211" s="25" t="str">
        <f t="shared" si="50"/>
        <v>, max(shikkan198_start_date)</v>
      </c>
      <c r="AA211" s="4"/>
      <c r="AB211" s="4"/>
      <c r="AC211" s="4"/>
      <c r="AD211" s="4"/>
      <c r="AE211" s="4"/>
      <c r="AF211" s="4"/>
      <c r="AG211" s="4"/>
      <c r="AH211" s="4"/>
      <c r="AI211" s="4"/>
      <c r="AJ211" s="76" t="str">
        <f>IF(E211="○",IF(COUNTA(E$13:E211)=1,"",",")&amp;D211,"")</f>
        <v/>
      </c>
      <c r="AK211" s="4"/>
      <c r="AL211" s="4"/>
      <c r="AM211" s="4"/>
      <c r="AN211" s="4"/>
      <c r="AO211" s="4"/>
      <c r="AP211" s="4"/>
      <c r="AQ211" s="4"/>
      <c r="AR211" s="4"/>
      <c r="AS211" s="76" t="str">
        <f>"COMMENT ON COLUMN "&amp;エンティティ一覧!$O$2&amp;"."&amp;D$8&amp;"."&amp;D211&amp;" IS '"&amp;C211&amp;"';"</f>
        <v>COMMENT ON COLUMN milscm_2023_009.sny_202310_annony_shikkan2.shikkan198_start_date IS 'C418_疾患開始日';</v>
      </c>
    </row>
    <row r="212" spans="1:45" s="25" customFormat="1">
      <c r="A212" s="4" t="s">
        <v>5350</v>
      </c>
      <c r="B212" s="21">
        <f t="shared" si="47"/>
        <v>200</v>
      </c>
      <c r="C212" s="13" t="str">
        <f t="shared" si="48"/>
        <v>C419_疾患開始日</v>
      </c>
      <c r="D212" s="13" t="s">
        <v>4967</v>
      </c>
      <c r="E212" s="8"/>
      <c r="F212" s="7" t="s">
        <v>4348</v>
      </c>
      <c r="G212" s="7" t="s">
        <v>25</v>
      </c>
      <c r="H212" s="58"/>
      <c r="I212" s="23"/>
      <c r="J212" s="24"/>
      <c r="M212" s="4"/>
      <c r="N212" s="76"/>
      <c r="O212" s="76"/>
      <c r="P212" s="76" t="str">
        <f t="shared" si="42"/>
        <v>,shikkan199_start_date</v>
      </c>
      <c r="Q212" s="76" t="str">
        <f t="shared" si="43"/>
        <v>DATE</v>
      </c>
      <c r="R212" s="76" t="str">
        <f t="shared" si="44"/>
        <v/>
      </c>
      <c r="S212" s="76" t="str">
        <f t="shared" si="45"/>
        <v/>
      </c>
      <c r="T212" s="76" t="str">
        <f t="shared" si="46"/>
        <v>-- C419_疾患開始日</v>
      </c>
      <c r="U212" s="4" t="str">
        <f t="shared" si="49"/>
        <v>, CASE WHEN shikkan_disp_name = 'C419' THEN min_shikkan_start_date ::DATE ELSE NULL END AS shikkan199_start_date</v>
      </c>
      <c r="V212" s="25" t="str">
        <f t="shared" si="50"/>
        <v>, max(shikkan199_start_date)</v>
      </c>
      <c r="AA212" s="4"/>
      <c r="AB212" s="4"/>
      <c r="AC212" s="4"/>
      <c r="AD212" s="4"/>
      <c r="AE212" s="4"/>
      <c r="AF212" s="4"/>
      <c r="AG212" s="4"/>
      <c r="AH212" s="4"/>
      <c r="AI212" s="4"/>
      <c r="AJ212" s="76" t="str">
        <f>IF(E212="○",IF(COUNTA(E$13:E212)=1,"",",")&amp;D212,"")</f>
        <v/>
      </c>
      <c r="AK212" s="4"/>
      <c r="AL212" s="4"/>
      <c r="AM212" s="4"/>
      <c r="AN212" s="4"/>
      <c r="AO212" s="4"/>
      <c r="AP212" s="4"/>
      <c r="AQ212" s="4"/>
      <c r="AR212" s="4"/>
      <c r="AS212" s="76" t="str">
        <f>"COMMENT ON COLUMN "&amp;エンティティ一覧!$O$2&amp;"."&amp;D$8&amp;"."&amp;D212&amp;" IS '"&amp;C212&amp;"';"</f>
        <v>COMMENT ON COLUMN milscm_2023_009.sny_202310_annony_shikkan2.shikkan199_start_date IS 'C419_疾患開始日';</v>
      </c>
    </row>
    <row r="213" spans="1:45" s="25" customFormat="1">
      <c r="A213" s="4" t="s">
        <v>5351</v>
      </c>
      <c r="B213" s="21">
        <f t="shared" si="47"/>
        <v>201</v>
      </c>
      <c r="C213" s="13" t="str">
        <f t="shared" si="48"/>
        <v>C430_疾患開始日</v>
      </c>
      <c r="D213" s="13" t="s">
        <v>4968</v>
      </c>
      <c r="E213" s="8"/>
      <c r="F213" s="7" t="s">
        <v>4348</v>
      </c>
      <c r="G213" s="7" t="s">
        <v>25</v>
      </c>
      <c r="H213" s="58"/>
      <c r="I213" s="23"/>
      <c r="J213" s="24"/>
      <c r="M213" s="4"/>
      <c r="N213" s="76"/>
      <c r="O213" s="76"/>
      <c r="P213" s="76" t="str">
        <f t="shared" si="42"/>
        <v>,shikkan200_start_date</v>
      </c>
      <c r="Q213" s="76" t="str">
        <f t="shared" si="43"/>
        <v>DATE</v>
      </c>
      <c r="R213" s="76" t="str">
        <f t="shared" si="44"/>
        <v/>
      </c>
      <c r="S213" s="76" t="str">
        <f t="shared" si="45"/>
        <v/>
      </c>
      <c r="T213" s="76" t="str">
        <f t="shared" si="46"/>
        <v>-- C430_疾患開始日</v>
      </c>
      <c r="U213" s="4" t="str">
        <f t="shared" si="49"/>
        <v>, CASE WHEN shikkan_disp_name = 'C430' THEN min_shikkan_start_date ::DATE ELSE NULL END AS shikkan200_start_date</v>
      </c>
      <c r="V213" s="25" t="str">
        <f t="shared" si="50"/>
        <v>, max(shikkan200_start_date)</v>
      </c>
      <c r="AA213" s="4"/>
      <c r="AB213" s="4"/>
      <c r="AC213" s="4"/>
      <c r="AD213" s="4"/>
      <c r="AE213" s="4"/>
      <c r="AF213" s="4"/>
      <c r="AG213" s="4"/>
      <c r="AH213" s="4"/>
      <c r="AI213" s="4"/>
      <c r="AJ213" s="76" t="str">
        <f>IF(E213="○",IF(COUNTA(E$13:E213)=1,"",",")&amp;D213,"")</f>
        <v/>
      </c>
      <c r="AK213" s="4"/>
      <c r="AL213" s="4"/>
      <c r="AM213" s="4"/>
      <c r="AN213" s="4"/>
      <c r="AO213" s="4"/>
      <c r="AP213" s="4"/>
      <c r="AQ213" s="4"/>
      <c r="AR213" s="4"/>
      <c r="AS213" s="76" t="str">
        <f>"COMMENT ON COLUMN "&amp;エンティティ一覧!$O$2&amp;"."&amp;D$8&amp;"."&amp;D213&amp;" IS '"&amp;C213&amp;"';"</f>
        <v>COMMENT ON COLUMN milscm_2023_009.sny_202310_annony_shikkan2.shikkan200_start_date IS 'C430_疾患開始日';</v>
      </c>
    </row>
    <row r="214" spans="1:45" s="25" customFormat="1">
      <c r="A214" s="4" t="s">
        <v>5352</v>
      </c>
      <c r="B214" s="21">
        <f t="shared" si="47"/>
        <v>202</v>
      </c>
      <c r="C214" s="13" t="str">
        <f t="shared" si="48"/>
        <v>C431_疾患開始日</v>
      </c>
      <c r="D214" s="13" t="s">
        <v>4969</v>
      </c>
      <c r="E214" s="8"/>
      <c r="F214" s="7" t="s">
        <v>4348</v>
      </c>
      <c r="G214" s="7" t="s">
        <v>25</v>
      </c>
      <c r="H214" s="58"/>
      <c r="I214" s="23"/>
      <c r="J214" s="24"/>
      <c r="M214" s="4"/>
      <c r="N214" s="76"/>
      <c r="O214" s="76"/>
      <c r="P214" s="76" t="str">
        <f t="shared" si="42"/>
        <v>,shikkan201_start_date</v>
      </c>
      <c r="Q214" s="76" t="str">
        <f t="shared" si="43"/>
        <v>DATE</v>
      </c>
      <c r="R214" s="76" t="str">
        <f t="shared" si="44"/>
        <v/>
      </c>
      <c r="S214" s="76" t="str">
        <f t="shared" si="45"/>
        <v/>
      </c>
      <c r="T214" s="76" t="str">
        <f t="shared" si="46"/>
        <v>-- C431_疾患開始日</v>
      </c>
      <c r="U214" s="4" t="str">
        <f t="shared" si="49"/>
        <v>, CASE WHEN shikkan_disp_name = 'C431' THEN min_shikkan_start_date ::DATE ELSE NULL END AS shikkan201_start_date</v>
      </c>
      <c r="V214" s="25" t="str">
        <f t="shared" si="50"/>
        <v>, max(shikkan201_start_date)</v>
      </c>
      <c r="AA214" s="4"/>
      <c r="AB214" s="4"/>
      <c r="AC214" s="4"/>
      <c r="AD214" s="4"/>
      <c r="AE214" s="4"/>
      <c r="AF214" s="4"/>
      <c r="AG214" s="4"/>
      <c r="AH214" s="4"/>
      <c r="AI214" s="4"/>
      <c r="AJ214" s="76" t="str">
        <f>IF(E214="○",IF(COUNTA(E$13:E214)=1,"",",")&amp;D214,"")</f>
        <v/>
      </c>
      <c r="AK214" s="4"/>
      <c r="AL214" s="4"/>
      <c r="AM214" s="4"/>
      <c r="AN214" s="4"/>
      <c r="AO214" s="4"/>
      <c r="AP214" s="4"/>
      <c r="AQ214" s="4"/>
      <c r="AR214" s="4"/>
      <c r="AS214" s="76" t="str">
        <f>"COMMENT ON COLUMN "&amp;エンティティ一覧!$O$2&amp;"."&amp;D$8&amp;"."&amp;D214&amp;" IS '"&amp;C214&amp;"';"</f>
        <v>COMMENT ON COLUMN milscm_2023_009.sny_202310_annony_shikkan2.shikkan201_start_date IS 'C431_疾患開始日';</v>
      </c>
    </row>
    <row r="215" spans="1:45" s="25" customFormat="1">
      <c r="A215" s="4" t="s">
        <v>5353</v>
      </c>
      <c r="B215" s="21">
        <f t="shared" si="47"/>
        <v>203</v>
      </c>
      <c r="C215" s="13" t="str">
        <f t="shared" si="48"/>
        <v>C432_疾患開始日</v>
      </c>
      <c r="D215" s="13" t="s">
        <v>4970</v>
      </c>
      <c r="E215" s="8"/>
      <c r="F215" s="7" t="s">
        <v>4348</v>
      </c>
      <c r="G215" s="7" t="s">
        <v>25</v>
      </c>
      <c r="H215" s="58"/>
      <c r="I215" s="23"/>
      <c r="J215" s="24"/>
      <c r="M215" s="4"/>
      <c r="N215" s="76"/>
      <c r="O215" s="76"/>
      <c r="P215" s="76" t="str">
        <f t="shared" si="42"/>
        <v>,shikkan202_start_date</v>
      </c>
      <c r="Q215" s="76" t="str">
        <f t="shared" si="43"/>
        <v>DATE</v>
      </c>
      <c r="R215" s="76" t="str">
        <f t="shared" si="44"/>
        <v/>
      </c>
      <c r="S215" s="76" t="str">
        <f t="shared" si="45"/>
        <v/>
      </c>
      <c r="T215" s="76" t="str">
        <f t="shared" si="46"/>
        <v>-- C432_疾患開始日</v>
      </c>
      <c r="U215" s="4" t="str">
        <f t="shared" si="49"/>
        <v>, CASE WHEN shikkan_disp_name = 'C432' THEN min_shikkan_start_date ::DATE ELSE NULL END AS shikkan202_start_date</v>
      </c>
      <c r="V215" s="25" t="str">
        <f t="shared" si="50"/>
        <v>, max(shikkan202_start_date)</v>
      </c>
      <c r="AA215" s="4"/>
      <c r="AB215" s="4"/>
      <c r="AC215" s="4"/>
      <c r="AD215" s="4"/>
      <c r="AE215" s="4"/>
      <c r="AF215" s="4"/>
      <c r="AG215" s="4"/>
      <c r="AH215" s="4"/>
      <c r="AI215" s="4"/>
      <c r="AJ215" s="76" t="str">
        <f>IF(E215="○",IF(COUNTA(E$13:E215)=1,"",",")&amp;D215,"")</f>
        <v/>
      </c>
      <c r="AK215" s="4"/>
      <c r="AL215" s="4"/>
      <c r="AM215" s="4"/>
      <c r="AN215" s="4"/>
      <c r="AO215" s="4"/>
      <c r="AP215" s="4"/>
      <c r="AQ215" s="4"/>
      <c r="AR215" s="4"/>
      <c r="AS215" s="76" t="str">
        <f>"COMMENT ON COLUMN "&amp;エンティティ一覧!$O$2&amp;"."&amp;D$8&amp;"."&amp;D215&amp;" IS '"&amp;C215&amp;"';"</f>
        <v>COMMENT ON COLUMN milscm_2023_009.sny_202310_annony_shikkan2.shikkan202_start_date IS 'C432_疾患開始日';</v>
      </c>
    </row>
    <row r="216" spans="1:45" s="25" customFormat="1">
      <c r="A216" s="4" t="s">
        <v>5354</v>
      </c>
      <c r="B216" s="21">
        <f t="shared" si="47"/>
        <v>204</v>
      </c>
      <c r="C216" s="13" t="str">
        <f t="shared" si="48"/>
        <v>C433_疾患開始日</v>
      </c>
      <c r="D216" s="13" t="s">
        <v>4971</v>
      </c>
      <c r="E216" s="8"/>
      <c r="F216" s="7" t="s">
        <v>4348</v>
      </c>
      <c r="G216" s="7" t="s">
        <v>25</v>
      </c>
      <c r="H216" s="58"/>
      <c r="I216" s="23"/>
      <c r="J216" s="24"/>
      <c r="M216" s="4"/>
      <c r="N216" s="76"/>
      <c r="O216" s="76"/>
      <c r="P216" s="76" t="str">
        <f t="shared" si="42"/>
        <v>,shikkan203_start_date</v>
      </c>
      <c r="Q216" s="76" t="str">
        <f t="shared" si="43"/>
        <v>DATE</v>
      </c>
      <c r="R216" s="76" t="str">
        <f t="shared" si="44"/>
        <v/>
      </c>
      <c r="S216" s="76" t="str">
        <f t="shared" si="45"/>
        <v/>
      </c>
      <c r="T216" s="76" t="str">
        <f t="shared" si="46"/>
        <v>-- C433_疾患開始日</v>
      </c>
      <c r="U216" s="4" t="str">
        <f t="shared" si="49"/>
        <v>, CASE WHEN shikkan_disp_name = 'C433' THEN min_shikkan_start_date ::DATE ELSE NULL END AS shikkan203_start_date</v>
      </c>
      <c r="V216" s="25" t="str">
        <f t="shared" si="50"/>
        <v>, max(shikkan203_start_date)</v>
      </c>
      <c r="AA216" s="4"/>
      <c r="AB216" s="4"/>
      <c r="AC216" s="4"/>
      <c r="AD216" s="4"/>
      <c r="AE216" s="4"/>
      <c r="AF216" s="4"/>
      <c r="AG216" s="4"/>
      <c r="AH216" s="4"/>
      <c r="AI216" s="4"/>
      <c r="AJ216" s="76" t="str">
        <f>IF(E216="○",IF(COUNTA(E$13:E216)=1,"",",")&amp;D216,"")</f>
        <v/>
      </c>
      <c r="AK216" s="4"/>
      <c r="AL216" s="4"/>
      <c r="AM216" s="4"/>
      <c r="AN216" s="4"/>
      <c r="AO216" s="4"/>
      <c r="AP216" s="4"/>
      <c r="AQ216" s="4"/>
      <c r="AR216" s="4"/>
      <c r="AS216" s="76" t="str">
        <f>"COMMENT ON COLUMN "&amp;エンティティ一覧!$O$2&amp;"."&amp;D$8&amp;"."&amp;D216&amp;" IS '"&amp;C216&amp;"';"</f>
        <v>COMMENT ON COLUMN milscm_2023_009.sny_202310_annony_shikkan2.shikkan203_start_date IS 'C433_疾患開始日';</v>
      </c>
    </row>
    <row r="217" spans="1:45" s="25" customFormat="1">
      <c r="A217" s="4" t="s">
        <v>5355</v>
      </c>
      <c r="B217" s="21">
        <f t="shared" si="47"/>
        <v>205</v>
      </c>
      <c r="C217" s="13" t="str">
        <f t="shared" si="48"/>
        <v>C434_疾患開始日</v>
      </c>
      <c r="D217" s="13" t="s">
        <v>4972</v>
      </c>
      <c r="E217" s="8"/>
      <c r="F217" s="7" t="s">
        <v>4348</v>
      </c>
      <c r="G217" s="7" t="s">
        <v>25</v>
      </c>
      <c r="H217" s="58"/>
      <c r="I217" s="23"/>
      <c r="J217" s="24"/>
      <c r="M217" s="4"/>
      <c r="N217" s="76"/>
      <c r="O217" s="76"/>
      <c r="P217" s="76" t="str">
        <f t="shared" si="42"/>
        <v>,shikkan204_start_date</v>
      </c>
      <c r="Q217" s="76" t="str">
        <f t="shared" si="43"/>
        <v>DATE</v>
      </c>
      <c r="R217" s="76" t="str">
        <f t="shared" si="44"/>
        <v/>
      </c>
      <c r="S217" s="76" t="str">
        <f t="shared" si="45"/>
        <v/>
      </c>
      <c r="T217" s="76" t="str">
        <f t="shared" si="46"/>
        <v>-- C434_疾患開始日</v>
      </c>
      <c r="U217" s="4" t="str">
        <f t="shared" si="49"/>
        <v>, CASE WHEN shikkan_disp_name = 'C434' THEN min_shikkan_start_date ::DATE ELSE NULL END AS shikkan204_start_date</v>
      </c>
      <c r="V217" s="25" t="str">
        <f t="shared" si="50"/>
        <v>, max(shikkan204_start_date)</v>
      </c>
      <c r="AA217" s="4"/>
      <c r="AB217" s="4"/>
      <c r="AC217" s="4"/>
      <c r="AD217" s="4"/>
      <c r="AE217" s="4"/>
      <c r="AF217" s="4"/>
      <c r="AG217" s="4"/>
      <c r="AH217" s="4"/>
      <c r="AI217" s="4"/>
      <c r="AJ217" s="76" t="str">
        <f>IF(E217="○",IF(COUNTA(E$13:E217)=1,"",",")&amp;D217,"")</f>
        <v/>
      </c>
      <c r="AK217" s="4"/>
      <c r="AL217" s="4"/>
      <c r="AM217" s="4"/>
      <c r="AN217" s="4"/>
      <c r="AO217" s="4"/>
      <c r="AP217" s="4"/>
      <c r="AQ217" s="4"/>
      <c r="AR217" s="4"/>
      <c r="AS217" s="76" t="str">
        <f>"COMMENT ON COLUMN "&amp;エンティティ一覧!$O$2&amp;"."&amp;D$8&amp;"."&amp;D217&amp;" IS '"&amp;C217&amp;"';"</f>
        <v>COMMENT ON COLUMN milscm_2023_009.sny_202310_annony_shikkan2.shikkan204_start_date IS 'C434_疾患開始日';</v>
      </c>
    </row>
    <row r="218" spans="1:45" s="25" customFormat="1">
      <c r="A218" s="4" t="s">
        <v>5356</v>
      </c>
      <c r="B218" s="21">
        <f t="shared" si="47"/>
        <v>206</v>
      </c>
      <c r="C218" s="13" t="str">
        <f t="shared" si="48"/>
        <v>C435_疾患開始日</v>
      </c>
      <c r="D218" s="13" t="s">
        <v>4973</v>
      </c>
      <c r="E218" s="8"/>
      <c r="F218" s="7" t="s">
        <v>4348</v>
      </c>
      <c r="G218" s="7" t="s">
        <v>25</v>
      </c>
      <c r="H218" s="58"/>
      <c r="I218" s="23"/>
      <c r="J218" s="24"/>
      <c r="M218" s="4"/>
      <c r="N218" s="76"/>
      <c r="O218" s="76"/>
      <c r="P218" s="76" t="str">
        <f t="shared" si="42"/>
        <v>,shikkan205_start_date</v>
      </c>
      <c r="Q218" s="76" t="str">
        <f t="shared" si="43"/>
        <v>DATE</v>
      </c>
      <c r="R218" s="76" t="str">
        <f t="shared" si="44"/>
        <v/>
      </c>
      <c r="S218" s="76" t="str">
        <f t="shared" si="45"/>
        <v/>
      </c>
      <c r="T218" s="76" t="str">
        <f t="shared" si="46"/>
        <v>-- C435_疾患開始日</v>
      </c>
      <c r="U218" s="4" t="str">
        <f t="shared" si="49"/>
        <v>, CASE WHEN shikkan_disp_name = 'C435' THEN min_shikkan_start_date ::DATE ELSE NULL END AS shikkan205_start_date</v>
      </c>
      <c r="V218" s="25" t="str">
        <f t="shared" si="50"/>
        <v>, max(shikkan205_start_date)</v>
      </c>
      <c r="AA218" s="4"/>
      <c r="AB218" s="4"/>
      <c r="AC218" s="4"/>
      <c r="AD218" s="4"/>
      <c r="AE218" s="4"/>
      <c r="AF218" s="4"/>
      <c r="AG218" s="4"/>
      <c r="AH218" s="4"/>
      <c r="AI218" s="4"/>
      <c r="AJ218" s="76" t="str">
        <f>IF(E218="○",IF(COUNTA(E$13:E218)=1,"",",")&amp;D218,"")</f>
        <v/>
      </c>
      <c r="AK218" s="4"/>
      <c r="AL218" s="4"/>
      <c r="AM218" s="4"/>
      <c r="AN218" s="4"/>
      <c r="AO218" s="4"/>
      <c r="AP218" s="4"/>
      <c r="AQ218" s="4"/>
      <c r="AR218" s="4"/>
      <c r="AS218" s="76" t="str">
        <f>"COMMENT ON COLUMN "&amp;エンティティ一覧!$O$2&amp;"."&amp;D$8&amp;"."&amp;D218&amp;" IS '"&amp;C218&amp;"';"</f>
        <v>COMMENT ON COLUMN milscm_2023_009.sny_202310_annony_shikkan2.shikkan205_start_date IS 'C435_疾患開始日';</v>
      </c>
    </row>
    <row r="219" spans="1:45" s="25" customFormat="1">
      <c r="A219" s="4" t="s">
        <v>5357</v>
      </c>
      <c r="B219" s="21">
        <f t="shared" si="47"/>
        <v>207</v>
      </c>
      <c r="C219" s="13" t="str">
        <f t="shared" si="48"/>
        <v>C436_疾患開始日</v>
      </c>
      <c r="D219" s="13" t="s">
        <v>4974</v>
      </c>
      <c r="E219" s="8"/>
      <c r="F219" s="7" t="s">
        <v>4348</v>
      </c>
      <c r="G219" s="7" t="s">
        <v>25</v>
      </c>
      <c r="H219" s="58"/>
      <c r="I219" s="23"/>
      <c r="J219" s="24"/>
      <c r="M219" s="4"/>
      <c r="N219" s="76"/>
      <c r="O219" s="76"/>
      <c r="P219" s="76" t="str">
        <f t="shared" si="42"/>
        <v>,shikkan206_start_date</v>
      </c>
      <c r="Q219" s="76" t="str">
        <f t="shared" si="43"/>
        <v>DATE</v>
      </c>
      <c r="R219" s="76" t="str">
        <f t="shared" si="44"/>
        <v/>
      </c>
      <c r="S219" s="76" t="str">
        <f t="shared" si="45"/>
        <v/>
      </c>
      <c r="T219" s="76" t="str">
        <f t="shared" si="46"/>
        <v>-- C436_疾患開始日</v>
      </c>
      <c r="U219" s="4" t="str">
        <f t="shared" si="49"/>
        <v>, CASE WHEN shikkan_disp_name = 'C436' THEN min_shikkan_start_date ::DATE ELSE NULL END AS shikkan206_start_date</v>
      </c>
      <c r="V219" s="25" t="str">
        <f t="shared" si="50"/>
        <v>, max(shikkan206_start_date)</v>
      </c>
      <c r="AA219" s="4"/>
      <c r="AB219" s="4"/>
      <c r="AC219" s="4"/>
      <c r="AD219" s="4"/>
      <c r="AE219" s="4"/>
      <c r="AF219" s="4"/>
      <c r="AG219" s="4"/>
      <c r="AH219" s="4"/>
      <c r="AI219" s="4"/>
      <c r="AJ219" s="76" t="str">
        <f>IF(E219="○",IF(COUNTA(E$13:E219)=1,"",",")&amp;D219,"")</f>
        <v/>
      </c>
      <c r="AK219" s="4"/>
      <c r="AL219" s="4"/>
      <c r="AM219" s="4"/>
      <c r="AN219" s="4"/>
      <c r="AO219" s="4"/>
      <c r="AP219" s="4"/>
      <c r="AQ219" s="4"/>
      <c r="AR219" s="4"/>
      <c r="AS219" s="76" t="str">
        <f>"COMMENT ON COLUMN "&amp;エンティティ一覧!$O$2&amp;"."&amp;D$8&amp;"."&amp;D219&amp;" IS '"&amp;C219&amp;"';"</f>
        <v>COMMENT ON COLUMN milscm_2023_009.sny_202310_annony_shikkan2.shikkan206_start_date IS 'C436_疾患開始日';</v>
      </c>
    </row>
    <row r="220" spans="1:45" s="25" customFormat="1">
      <c r="A220" s="4" t="s">
        <v>5358</v>
      </c>
      <c r="B220" s="21">
        <f t="shared" si="47"/>
        <v>208</v>
      </c>
      <c r="C220" s="13" t="str">
        <f t="shared" si="48"/>
        <v>C437_疾患開始日</v>
      </c>
      <c r="D220" s="13" t="s">
        <v>4975</v>
      </c>
      <c r="E220" s="8"/>
      <c r="F220" s="7" t="s">
        <v>4348</v>
      </c>
      <c r="G220" s="7" t="s">
        <v>25</v>
      </c>
      <c r="H220" s="58"/>
      <c r="I220" s="23"/>
      <c r="J220" s="24"/>
      <c r="M220" s="4"/>
      <c r="N220" s="76"/>
      <c r="O220" s="76"/>
      <c r="P220" s="76" t="str">
        <f t="shared" si="42"/>
        <v>,shikkan207_start_date</v>
      </c>
      <c r="Q220" s="76" t="str">
        <f t="shared" si="43"/>
        <v>DATE</v>
      </c>
      <c r="R220" s="76" t="str">
        <f t="shared" si="44"/>
        <v/>
      </c>
      <c r="S220" s="76" t="str">
        <f t="shared" si="45"/>
        <v/>
      </c>
      <c r="T220" s="76" t="str">
        <f t="shared" si="46"/>
        <v>-- C437_疾患開始日</v>
      </c>
      <c r="U220" s="4" t="str">
        <f t="shared" si="49"/>
        <v>, CASE WHEN shikkan_disp_name = 'C437' THEN min_shikkan_start_date ::DATE ELSE NULL END AS shikkan207_start_date</v>
      </c>
      <c r="V220" s="25" t="str">
        <f t="shared" si="50"/>
        <v>, max(shikkan207_start_date)</v>
      </c>
      <c r="AA220" s="4"/>
      <c r="AB220" s="4"/>
      <c r="AC220" s="4"/>
      <c r="AD220" s="4"/>
      <c r="AE220" s="4"/>
      <c r="AF220" s="4"/>
      <c r="AG220" s="4"/>
      <c r="AH220" s="4"/>
      <c r="AI220" s="4"/>
      <c r="AJ220" s="76" t="str">
        <f>IF(E220="○",IF(COUNTA(E$13:E220)=1,"",",")&amp;D220,"")</f>
        <v/>
      </c>
      <c r="AK220" s="4"/>
      <c r="AL220" s="4"/>
      <c r="AM220" s="4"/>
      <c r="AN220" s="4"/>
      <c r="AO220" s="4"/>
      <c r="AP220" s="4"/>
      <c r="AQ220" s="4"/>
      <c r="AR220" s="4"/>
      <c r="AS220" s="76" t="str">
        <f>"COMMENT ON COLUMN "&amp;エンティティ一覧!$O$2&amp;"."&amp;D$8&amp;"."&amp;D220&amp;" IS '"&amp;C220&amp;"';"</f>
        <v>COMMENT ON COLUMN milscm_2023_009.sny_202310_annony_shikkan2.shikkan207_start_date IS 'C437_疾患開始日';</v>
      </c>
    </row>
    <row r="221" spans="1:45" s="25" customFormat="1">
      <c r="A221" s="4" t="s">
        <v>5359</v>
      </c>
      <c r="B221" s="21">
        <f t="shared" si="47"/>
        <v>209</v>
      </c>
      <c r="C221" s="13" t="str">
        <f t="shared" si="48"/>
        <v>C438_疾患開始日</v>
      </c>
      <c r="D221" s="13" t="s">
        <v>4976</v>
      </c>
      <c r="E221" s="8"/>
      <c r="F221" s="7" t="s">
        <v>4348</v>
      </c>
      <c r="G221" s="7" t="s">
        <v>25</v>
      </c>
      <c r="H221" s="58"/>
      <c r="I221" s="23"/>
      <c r="J221" s="24"/>
      <c r="M221" s="4"/>
      <c r="N221" s="76"/>
      <c r="O221" s="76"/>
      <c r="P221" s="76" t="str">
        <f t="shared" si="42"/>
        <v>,shikkan208_start_date</v>
      </c>
      <c r="Q221" s="76" t="str">
        <f t="shared" si="43"/>
        <v>DATE</v>
      </c>
      <c r="R221" s="76" t="str">
        <f t="shared" si="44"/>
        <v/>
      </c>
      <c r="S221" s="76" t="str">
        <f t="shared" si="45"/>
        <v/>
      </c>
      <c r="T221" s="76" t="str">
        <f t="shared" si="46"/>
        <v>-- C438_疾患開始日</v>
      </c>
      <c r="U221" s="4" t="str">
        <f t="shared" si="49"/>
        <v>, CASE WHEN shikkan_disp_name = 'C438' THEN min_shikkan_start_date ::DATE ELSE NULL END AS shikkan208_start_date</v>
      </c>
      <c r="V221" s="25" t="str">
        <f t="shared" si="50"/>
        <v>, max(shikkan208_start_date)</v>
      </c>
      <c r="AA221" s="4"/>
      <c r="AB221" s="4"/>
      <c r="AC221" s="4"/>
      <c r="AD221" s="4"/>
      <c r="AE221" s="4"/>
      <c r="AF221" s="4"/>
      <c r="AG221" s="4"/>
      <c r="AH221" s="4"/>
      <c r="AI221" s="4"/>
      <c r="AJ221" s="76" t="str">
        <f>IF(E221="○",IF(COUNTA(E$13:E221)=1,"",",")&amp;D221,"")</f>
        <v/>
      </c>
      <c r="AK221" s="4"/>
      <c r="AL221" s="4"/>
      <c r="AM221" s="4"/>
      <c r="AN221" s="4"/>
      <c r="AO221" s="4"/>
      <c r="AP221" s="4"/>
      <c r="AQ221" s="4"/>
      <c r="AR221" s="4"/>
      <c r="AS221" s="76" t="str">
        <f>"COMMENT ON COLUMN "&amp;エンティティ一覧!$O$2&amp;"."&amp;D$8&amp;"."&amp;D221&amp;" IS '"&amp;C221&amp;"';"</f>
        <v>COMMENT ON COLUMN milscm_2023_009.sny_202310_annony_shikkan2.shikkan208_start_date IS 'C438_疾患開始日';</v>
      </c>
    </row>
    <row r="222" spans="1:45" s="25" customFormat="1">
      <c r="A222" s="4" t="s">
        <v>5360</v>
      </c>
      <c r="B222" s="21">
        <f t="shared" si="47"/>
        <v>210</v>
      </c>
      <c r="C222" s="13" t="str">
        <f t="shared" si="48"/>
        <v>C439_疾患開始日</v>
      </c>
      <c r="D222" s="13" t="s">
        <v>4977</v>
      </c>
      <c r="E222" s="8"/>
      <c r="F222" s="7" t="s">
        <v>4348</v>
      </c>
      <c r="G222" s="7" t="s">
        <v>99</v>
      </c>
      <c r="H222" s="58"/>
      <c r="I222" s="23"/>
      <c r="J222" s="24"/>
      <c r="M222" s="4"/>
      <c r="N222" s="76"/>
      <c r="O222" s="76"/>
      <c r="P222" s="76" t="str">
        <f t="shared" ref="P222:P253" si="51">IF(B222&lt;&gt;1,","&amp;D222,D222)</f>
        <v>,shikkan209_start_date</v>
      </c>
      <c r="Q222" s="76" t="str">
        <f t="shared" ref="Q222:Q253" si="52">UPPER(G222)</f>
        <v>DATE</v>
      </c>
      <c r="R222" s="76" t="str">
        <f t="shared" ref="R222:R253" si="53">IF(H222&lt;&gt;"","default "&amp;IF(G222="text","'"&amp;H222&amp;"'",H222),"")</f>
        <v/>
      </c>
      <c r="S222" s="76" t="str">
        <f t="shared" ref="S222:S253" si="54">IF(I222="○","NOT NULL","")</f>
        <v/>
      </c>
      <c r="T222" s="76" t="str">
        <f t="shared" ref="T222:T253" si="55">"-- "&amp;C222</f>
        <v>-- C439_疾患開始日</v>
      </c>
      <c r="U222" s="4" t="str">
        <f t="shared" si="49"/>
        <v>, CASE WHEN shikkan_disp_name = 'C439' THEN min_shikkan_start_date ::DATE ELSE NULL END AS shikkan209_start_date</v>
      </c>
      <c r="V222" s="25" t="str">
        <f t="shared" si="50"/>
        <v>, max(shikkan209_start_date)</v>
      </c>
      <c r="AA222" s="4"/>
      <c r="AB222" s="4"/>
      <c r="AC222" s="4"/>
      <c r="AD222" s="4"/>
      <c r="AE222" s="4"/>
      <c r="AF222" s="4"/>
      <c r="AG222" s="4"/>
      <c r="AH222" s="4"/>
      <c r="AI222" s="4"/>
      <c r="AJ222" s="76" t="str">
        <f>IF(E222="○",IF(COUNTA(E$13:E222)=1,"",",")&amp;D222,"")</f>
        <v/>
      </c>
      <c r="AK222" s="4"/>
      <c r="AL222" s="4"/>
      <c r="AM222" s="4"/>
      <c r="AN222" s="4"/>
      <c r="AO222" s="4"/>
      <c r="AP222" s="4"/>
      <c r="AQ222" s="4"/>
      <c r="AR222" s="4"/>
      <c r="AS222" s="76" t="str">
        <f>"COMMENT ON COLUMN "&amp;エンティティ一覧!$O$2&amp;"."&amp;D$8&amp;"."&amp;D222&amp;" IS '"&amp;C222&amp;"';"</f>
        <v>COMMENT ON COLUMN milscm_2023_009.sny_202310_annony_shikkan2.shikkan209_start_date IS 'C439_疾患開始日';</v>
      </c>
    </row>
    <row r="223" spans="1:45" s="25" customFormat="1">
      <c r="A223" s="4" t="s">
        <v>5361</v>
      </c>
      <c r="B223" s="21">
        <f t="shared" si="47"/>
        <v>211</v>
      </c>
      <c r="C223" s="13" t="str">
        <f t="shared" si="48"/>
        <v>C450_疾患開始日</v>
      </c>
      <c r="D223" s="13" t="s">
        <v>4978</v>
      </c>
      <c r="E223" s="8"/>
      <c r="F223" s="7" t="s">
        <v>4348</v>
      </c>
      <c r="G223" s="7" t="s">
        <v>25</v>
      </c>
      <c r="H223" s="58"/>
      <c r="I223" s="23"/>
      <c r="J223" s="24"/>
      <c r="M223" s="4"/>
      <c r="N223" s="76"/>
      <c r="O223" s="76"/>
      <c r="P223" s="76" t="str">
        <f t="shared" si="51"/>
        <v>,shikkan210_start_date</v>
      </c>
      <c r="Q223" s="76" t="str">
        <f t="shared" si="52"/>
        <v>DATE</v>
      </c>
      <c r="R223" s="76" t="str">
        <f t="shared" si="53"/>
        <v/>
      </c>
      <c r="S223" s="76" t="str">
        <f t="shared" si="54"/>
        <v/>
      </c>
      <c r="T223" s="76" t="str">
        <f t="shared" si="55"/>
        <v>-- C450_疾患開始日</v>
      </c>
      <c r="U223" s="4" t="str">
        <f t="shared" si="49"/>
        <v>, CASE WHEN shikkan_disp_name = 'C450' THEN min_shikkan_start_date ::DATE ELSE NULL END AS shikkan210_start_date</v>
      </c>
      <c r="V223" s="25" t="str">
        <f t="shared" si="50"/>
        <v>, max(shikkan210_start_date)</v>
      </c>
      <c r="AA223" s="4"/>
      <c r="AB223" s="4"/>
      <c r="AC223" s="4"/>
      <c r="AD223" s="4"/>
      <c r="AE223" s="4"/>
      <c r="AF223" s="4"/>
      <c r="AG223" s="4"/>
      <c r="AH223" s="4"/>
      <c r="AI223" s="4"/>
      <c r="AJ223" s="76" t="str">
        <f>IF(E223="○",IF(COUNTA(E$13:E223)=1,"",",")&amp;D223,"")</f>
        <v/>
      </c>
      <c r="AK223" s="4"/>
      <c r="AL223" s="4"/>
      <c r="AM223" s="4"/>
      <c r="AN223" s="4"/>
      <c r="AO223" s="4"/>
      <c r="AP223" s="4"/>
      <c r="AQ223" s="4"/>
      <c r="AR223" s="4"/>
      <c r="AS223" s="76" t="str">
        <f>"COMMENT ON COLUMN "&amp;エンティティ一覧!$O$2&amp;"."&amp;D$8&amp;"."&amp;D223&amp;" IS '"&amp;C223&amp;"';"</f>
        <v>COMMENT ON COLUMN milscm_2023_009.sny_202310_annony_shikkan2.shikkan210_start_date IS 'C450_疾患開始日';</v>
      </c>
    </row>
    <row r="224" spans="1:45" s="25" customFormat="1">
      <c r="A224" s="4" t="s">
        <v>5362</v>
      </c>
      <c r="B224" s="21">
        <f t="shared" si="47"/>
        <v>212</v>
      </c>
      <c r="C224" s="13" t="str">
        <f t="shared" si="48"/>
        <v>C451_疾患開始日</v>
      </c>
      <c r="D224" s="13" t="s">
        <v>4979</v>
      </c>
      <c r="E224" s="8"/>
      <c r="F224" s="7" t="s">
        <v>4348</v>
      </c>
      <c r="G224" s="7" t="s">
        <v>25</v>
      </c>
      <c r="H224" s="58"/>
      <c r="I224" s="23"/>
      <c r="J224" s="24"/>
      <c r="M224" s="4"/>
      <c r="N224" s="76"/>
      <c r="O224" s="76"/>
      <c r="P224" s="76" t="str">
        <f t="shared" si="51"/>
        <v>,shikkan211_start_date</v>
      </c>
      <c r="Q224" s="76" t="str">
        <f t="shared" si="52"/>
        <v>DATE</v>
      </c>
      <c r="R224" s="76" t="str">
        <f t="shared" si="53"/>
        <v/>
      </c>
      <c r="S224" s="76" t="str">
        <f t="shared" si="54"/>
        <v/>
      </c>
      <c r="T224" s="76" t="str">
        <f t="shared" si="55"/>
        <v>-- C451_疾患開始日</v>
      </c>
      <c r="U224" s="4" t="str">
        <f t="shared" si="49"/>
        <v>, CASE WHEN shikkan_disp_name = 'C451' THEN min_shikkan_start_date ::DATE ELSE NULL END AS shikkan211_start_date</v>
      </c>
      <c r="V224" s="25" t="str">
        <f t="shared" si="50"/>
        <v>, max(shikkan211_start_date)</v>
      </c>
      <c r="AA224" s="4"/>
      <c r="AB224" s="4"/>
      <c r="AC224" s="4"/>
      <c r="AD224" s="4"/>
      <c r="AE224" s="4"/>
      <c r="AF224" s="4"/>
      <c r="AG224" s="4"/>
      <c r="AH224" s="4"/>
      <c r="AI224" s="4"/>
      <c r="AJ224" s="76" t="str">
        <f>IF(E224="○",IF(COUNTA(E$13:E224)=1,"",",")&amp;D224,"")</f>
        <v/>
      </c>
      <c r="AK224" s="4"/>
      <c r="AL224" s="4"/>
      <c r="AM224" s="4"/>
      <c r="AN224" s="4"/>
      <c r="AO224" s="4"/>
      <c r="AP224" s="4"/>
      <c r="AQ224" s="4"/>
      <c r="AR224" s="4"/>
      <c r="AS224" s="76" t="str">
        <f>"COMMENT ON COLUMN "&amp;エンティティ一覧!$O$2&amp;"."&amp;D$8&amp;"."&amp;D224&amp;" IS '"&amp;C224&amp;"';"</f>
        <v>COMMENT ON COLUMN milscm_2023_009.sny_202310_annony_shikkan2.shikkan211_start_date IS 'C451_疾患開始日';</v>
      </c>
    </row>
    <row r="225" spans="1:45" s="25" customFormat="1">
      <c r="A225" s="4" t="s">
        <v>5363</v>
      </c>
      <c r="B225" s="21">
        <f t="shared" si="47"/>
        <v>213</v>
      </c>
      <c r="C225" s="13" t="str">
        <f t="shared" si="48"/>
        <v>C452_疾患開始日</v>
      </c>
      <c r="D225" s="13" t="s">
        <v>4980</v>
      </c>
      <c r="E225" s="8"/>
      <c r="F225" s="7" t="s">
        <v>4348</v>
      </c>
      <c r="G225" s="7" t="s">
        <v>25</v>
      </c>
      <c r="H225" s="58"/>
      <c r="I225" s="23"/>
      <c r="J225" s="24"/>
      <c r="M225" s="4"/>
      <c r="N225" s="76"/>
      <c r="O225" s="76"/>
      <c r="P225" s="76" t="str">
        <f t="shared" si="51"/>
        <v>,shikkan212_start_date</v>
      </c>
      <c r="Q225" s="76" t="str">
        <f t="shared" si="52"/>
        <v>DATE</v>
      </c>
      <c r="R225" s="76" t="str">
        <f t="shared" si="53"/>
        <v/>
      </c>
      <c r="S225" s="76" t="str">
        <f t="shared" si="54"/>
        <v/>
      </c>
      <c r="T225" s="76" t="str">
        <f t="shared" si="55"/>
        <v>-- C452_疾患開始日</v>
      </c>
      <c r="U225" s="4" t="str">
        <f t="shared" si="49"/>
        <v>, CASE WHEN shikkan_disp_name = 'C452' THEN min_shikkan_start_date ::DATE ELSE NULL END AS shikkan212_start_date</v>
      </c>
      <c r="V225" s="25" t="str">
        <f t="shared" si="50"/>
        <v>, max(shikkan212_start_date)</v>
      </c>
      <c r="AA225" s="4"/>
      <c r="AB225" s="4"/>
      <c r="AC225" s="4"/>
      <c r="AD225" s="4"/>
      <c r="AE225" s="4"/>
      <c r="AF225" s="4"/>
      <c r="AG225" s="4"/>
      <c r="AH225" s="4"/>
      <c r="AI225" s="4"/>
      <c r="AJ225" s="76" t="str">
        <f>IF(E225="○",IF(COUNTA(E$13:E225)=1,"",",")&amp;D225,"")</f>
        <v/>
      </c>
      <c r="AK225" s="4"/>
      <c r="AL225" s="4"/>
      <c r="AM225" s="4"/>
      <c r="AN225" s="4"/>
      <c r="AO225" s="4"/>
      <c r="AP225" s="4"/>
      <c r="AQ225" s="4"/>
      <c r="AR225" s="4"/>
      <c r="AS225" s="76" t="str">
        <f>"COMMENT ON COLUMN "&amp;エンティティ一覧!$O$2&amp;"."&amp;D$8&amp;"."&amp;D225&amp;" IS '"&amp;C225&amp;"';"</f>
        <v>COMMENT ON COLUMN milscm_2023_009.sny_202310_annony_shikkan2.shikkan212_start_date IS 'C452_疾患開始日';</v>
      </c>
    </row>
    <row r="226" spans="1:45" s="25" customFormat="1">
      <c r="A226" s="4" t="s">
        <v>5364</v>
      </c>
      <c r="B226" s="21">
        <f t="shared" si="47"/>
        <v>214</v>
      </c>
      <c r="C226" s="13" t="str">
        <f t="shared" si="48"/>
        <v>C457_疾患開始日</v>
      </c>
      <c r="D226" s="13" t="s">
        <v>4981</v>
      </c>
      <c r="E226" s="8"/>
      <c r="F226" s="7" t="s">
        <v>4348</v>
      </c>
      <c r="G226" s="7" t="s">
        <v>25</v>
      </c>
      <c r="H226" s="58"/>
      <c r="I226" s="23"/>
      <c r="J226" s="24"/>
      <c r="M226" s="4"/>
      <c r="N226" s="76"/>
      <c r="O226" s="76"/>
      <c r="P226" s="76" t="str">
        <f t="shared" si="51"/>
        <v>,shikkan213_start_date</v>
      </c>
      <c r="Q226" s="76" t="str">
        <f t="shared" si="52"/>
        <v>DATE</v>
      </c>
      <c r="R226" s="76" t="str">
        <f t="shared" si="53"/>
        <v/>
      </c>
      <c r="S226" s="76" t="str">
        <f t="shared" si="54"/>
        <v/>
      </c>
      <c r="T226" s="76" t="str">
        <f t="shared" si="55"/>
        <v>-- C457_疾患開始日</v>
      </c>
      <c r="U226" s="4" t="str">
        <f t="shared" si="49"/>
        <v>, CASE WHEN shikkan_disp_name = 'C457' THEN min_shikkan_start_date ::DATE ELSE NULL END AS shikkan213_start_date</v>
      </c>
      <c r="V226" s="25" t="str">
        <f t="shared" si="50"/>
        <v>, max(shikkan213_start_date)</v>
      </c>
      <c r="AA226" s="4"/>
      <c r="AB226" s="4"/>
      <c r="AC226" s="4"/>
      <c r="AD226" s="4"/>
      <c r="AE226" s="4"/>
      <c r="AF226" s="4"/>
      <c r="AG226" s="4"/>
      <c r="AH226" s="4"/>
      <c r="AI226" s="4"/>
      <c r="AJ226" s="76" t="str">
        <f>IF(E226="○",IF(COUNTA(E$13:E226)=1,"",",")&amp;D226,"")</f>
        <v/>
      </c>
      <c r="AK226" s="4"/>
      <c r="AL226" s="4"/>
      <c r="AM226" s="4"/>
      <c r="AN226" s="4"/>
      <c r="AO226" s="4"/>
      <c r="AP226" s="4"/>
      <c r="AQ226" s="4"/>
      <c r="AR226" s="4"/>
      <c r="AS226" s="76" t="str">
        <f>"COMMENT ON COLUMN "&amp;エンティティ一覧!$O$2&amp;"."&amp;D$8&amp;"."&amp;D226&amp;" IS '"&amp;C226&amp;"';"</f>
        <v>COMMENT ON COLUMN milscm_2023_009.sny_202310_annony_shikkan2.shikkan213_start_date IS 'C457_疾患開始日';</v>
      </c>
    </row>
    <row r="227" spans="1:45" s="25" customFormat="1">
      <c r="A227" s="4" t="s">
        <v>5365</v>
      </c>
      <c r="B227" s="21">
        <f t="shared" si="47"/>
        <v>215</v>
      </c>
      <c r="C227" s="13" t="str">
        <f t="shared" si="48"/>
        <v>C459_疾患開始日</v>
      </c>
      <c r="D227" s="13" t="s">
        <v>4982</v>
      </c>
      <c r="E227" s="8"/>
      <c r="F227" s="7" t="s">
        <v>4348</v>
      </c>
      <c r="G227" s="7" t="s">
        <v>25</v>
      </c>
      <c r="H227" s="58"/>
      <c r="I227" s="23"/>
      <c r="J227" s="24"/>
      <c r="M227" s="4"/>
      <c r="N227" s="76"/>
      <c r="O227" s="76"/>
      <c r="P227" s="76" t="str">
        <f t="shared" si="51"/>
        <v>,shikkan214_start_date</v>
      </c>
      <c r="Q227" s="76" t="str">
        <f t="shared" si="52"/>
        <v>DATE</v>
      </c>
      <c r="R227" s="76" t="str">
        <f t="shared" si="53"/>
        <v/>
      </c>
      <c r="S227" s="76" t="str">
        <f t="shared" si="54"/>
        <v/>
      </c>
      <c r="T227" s="76" t="str">
        <f t="shared" si="55"/>
        <v>-- C459_疾患開始日</v>
      </c>
      <c r="U227" s="4" t="str">
        <f t="shared" si="49"/>
        <v>, CASE WHEN shikkan_disp_name = 'C459' THEN min_shikkan_start_date ::DATE ELSE NULL END AS shikkan214_start_date</v>
      </c>
      <c r="V227" s="25" t="str">
        <f t="shared" si="50"/>
        <v>, max(shikkan214_start_date)</v>
      </c>
      <c r="AA227" s="4"/>
      <c r="AB227" s="4"/>
      <c r="AC227" s="4"/>
      <c r="AD227" s="4"/>
      <c r="AE227" s="4"/>
      <c r="AF227" s="4"/>
      <c r="AG227" s="4"/>
      <c r="AH227" s="4"/>
      <c r="AI227" s="4"/>
      <c r="AJ227" s="76" t="str">
        <f>IF(E227="○",IF(COUNTA(E$13:E227)=1,"",",")&amp;D227,"")</f>
        <v/>
      </c>
      <c r="AK227" s="4"/>
      <c r="AL227" s="4"/>
      <c r="AM227" s="4"/>
      <c r="AN227" s="4"/>
      <c r="AO227" s="4"/>
      <c r="AP227" s="4"/>
      <c r="AQ227" s="4"/>
      <c r="AR227" s="4"/>
      <c r="AS227" s="76" t="str">
        <f>"COMMENT ON COLUMN "&amp;エンティティ一覧!$O$2&amp;"."&amp;D$8&amp;"."&amp;D227&amp;" IS '"&amp;C227&amp;"';"</f>
        <v>COMMENT ON COLUMN milscm_2023_009.sny_202310_annony_shikkan2.shikkan214_start_date IS 'C459_疾患開始日';</v>
      </c>
    </row>
    <row r="228" spans="1:45" s="25" customFormat="1">
      <c r="A228" s="4" t="s">
        <v>5366</v>
      </c>
      <c r="B228" s="21">
        <f t="shared" si="47"/>
        <v>216</v>
      </c>
      <c r="C228" s="13" t="str">
        <f t="shared" si="48"/>
        <v>C460_疾患開始日</v>
      </c>
      <c r="D228" s="13" t="s">
        <v>4983</v>
      </c>
      <c r="E228" s="8"/>
      <c r="F228" s="7" t="s">
        <v>4348</v>
      </c>
      <c r="G228" s="7" t="s">
        <v>25</v>
      </c>
      <c r="H228" s="58"/>
      <c r="I228" s="23"/>
      <c r="J228" s="24"/>
      <c r="M228" s="4"/>
      <c r="N228" s="76"/>
      <c r="O228" s="76"/>
      <c r="P228" s="76" t="str">
        <f t="shared" si="51"/>
        <v>,shikkan215_start_date</v>
      </c>
      <c r="Q228" s="76" t="str">
        <f t="shared" si="52"/>
        <v>DATE</v>
      </c>
      <c r="R228" s="76" t="str">
        <f t="shared" si="53"/>
        <v/>
      </c>
      <c r="S228" s="76" t="str">
        <f t="shared" si="54"/>
        <v/>
      </c>
      <c r="T228" s="76" t="str">
        <f t="shared" si="55"/>
        <v>-- C460_疾患開始日</v>
      </c>
      <c r="U228" s="4" t="str">
        <f t="shared" si="49"/>
        <v>, CASE WHEN shikkan_disp_name = 'C460' THEN min_shikkan_start_date ::DATE ELSE NULL END AS shikkan215_start_date</v>
      </c>
      <c r="V228" s="25" t="str">
        <f t="shared" si="50"/>
        <v>, max(shikkan215_start_date)</v>
      </c>
      <c r="AA228" s="4"/>
      <c r="AB228" s="4"/>
      <c r="AC228" s="4"/>
      <c r="AD228" s="4"/>
      <c r="AE228" s="4"/>
      <c r="AF228" s="4"/>
      <c r="AG228" s="4"/>
      <c r="AH228" s="4"/>
      <c r="AI228" s="4"/>
      <c r="AJ228" s="76" t="str">
        <f>IF(E228="○",IF(COUNTA(E$13:E228)=1,"",",")&amp;D228,"")</f>
        <v/>
      </c>
      <c r="AK228" s="4"/>
      <c r="AL228" s="4"/>
      <c r="AM228" s="4"/>
      <c r="AN228" s="4"/>
      <c r="AO228" s="4"/>
      <c r="AP228" s="4"/>
      <c r="AQ228" s="4"/>
      <c r="AR228" s="4"/>
      <c r="AS228" s="76" t="str">
        <f>"COMMENT ON COLUMN "&amp;エンティティ一覧!$O$2&amp;"."&amp;D$8&amp;"."&amp;D228&amp;" IS '"&amp;C228&amp;"';"</f>
        <v>COMMENT ON COLUMN milscm_2023_009.sny_202310_annony_shikkan2.shikkan215_start_date IS 'C460_疾患開始日';</v>
      </c>
    </row>
    <row r="229" spans="1:45" s="25" customFormat="1">
      <c r="A229" s="4" t="s">
        <v>5367</v>
      </c>
      <c r="B229" s="21">
        <f t="shared" si="47"/>
        <v>217</v>
      </c>
      <c r="C229" s="13" t="str">
        <f t="shared" si="48"/>
        <v>C461_疾患開始日</v>
      </c>
      <c r="D229" s="13" t="s">
        <v>4984</v>
      </c>
      <c r="E229" s="8"/>
      <c r="F229" s="7" t="s">
        <v>4348</v>
      </c>
      <c r="G229" s="7" t="s">
        <v>25</v>
      </c>
      <c r="H229" s="58"/>
      <c r="I229" s="23"/>
      <c r="J229" s="24"/>
      <c r="M229" s="4"/>
      <c r="N229" s="76"/>
      <c r="O229" s="76"/>
      <c r="P229" s="76" t="str">
        <f t="shared" si="51"/>
        <v>,shikkan216_start_date</v>
      </c>
      <c r="Q229" s="76" t="str">
        <f t="shared" si="52"/>
        <v>DATE</v>
      </c>
      <c r="R229" s="76" t="str">
        <f t="shared" si="53"/>
        <v/>
      </c>
      <c r="S229" s="76" t="str">
        <f t="shared" si="54"/>
        <v/>
      </c>
      <c r="T229" s="76" t="str">
        <f t="shared" si="55"/>
        <v>-- C461_疾患開始日</v>
      </c>
      <c r="U229" s="4" t="str">
        <f t="shared" si="49"/>
        <v>, CASE WHEN shikkan_disp_name = 'C461' THEN min_shikkan_start_date ::DATE ELSE NULL END AS shikkan216_start_date</v>
      </c>
      <c r="V229" s="25" t="str">
        <f t="shared" si="50"/>
        <v>, max(shikkan216_start_date)</v>
      </c>
      <c r="AA229" s="4"/>
      <c r="AB229" s="4"/>
      <c r="AC229" s="4"/>
      <c r="AD229" s="4"/>
      <c r="AE229" s="4"/>
      <c r="AF229" s="4"/>
      <c r="AG229" s="4"/>
      <c r="AH229" s="4"/>
      <c r="AI229" s="4"/>
      <c r="AJ229" s="76" t="str">
        <f>IF(E229="○",IF(COUNTA(E$13:E229)=1,"",",")&amp;D229,"")</f>
        <v/>
      </c>
      <c r="AK229" s="4"/>
      <c r="AL229" s="4"/>
      <c r="AM229" s="4"/>
      <c r="AN229" s="4"/>
      <c r="AO229" s="4"/>
      <c r="AP229" s="4"/>
      <c r="AQ229" s="4"/>
      <c r="AR229" s="4"/>
      <c r="AS229" s="76" t="str">
        <f>"COMMENT ON COLUMN "&amp;エンティティ一覧!$O$2&amp;"."&amp;D$8&amp;"."&amp;D229&amp;" IS '"&amp;C229&amp;"';"</f>
        <v>COMMENT ON COLUMN milscm_2023_009.sny_202310_annony_shikkan2.shikkan216_start_date IS 'C461_疾患開始日';</v>
      </c>
    </row>
    <row r="230" spans="1:45" s="25" customFormat="1">
      <c r="A230" s="4" t="s">
        <v>5368</v>
      </c>
      <c r="B230" s="21">
        <f t="shared" si="47"/>
        <v>218</v>
      </c>
      <c r="C230" s="13" t="str">
        <f t="shared" si="48"/>
        <v>C462_疾患開始日</v>
      </c>
      <c r="D230" s="13" t="s">
        <v>4985</v>
      </c>
      <c r="E230" s="8"/>
      <c r="F230" s="7" t="s">
        <v>4348</v>
      </c>
      <c r="G230" s="7" t="s">
        <v>25</v>
      </c>
      <c r="H230" s="58"/>
      <c r="I230" s="23"/>
      <c r="J230" s="24"/>
      <c r="M230" s="4"/>
      <c r="N230" s="76"/>
      <c r="O230" s="76"/>
      <c r="P230" s="76" t="str">
        <f t="shared" si="51"/>
        <v>,shikkan217_start_date</v>
      </c>
      <c r="Q230" s="76" t="str">
        <f t="shared" si="52"/>
        <v>DATE</v>
      </c>
      <c r="R230" s="76" t="str">
        <f t="shared" si="53"/>
        <v/>
      </c>
      <c r="S230" s="76" t="str">
        <f t="shared" si="54"/>
        <v/>
      </c>
      <c r="T230" s="76" t="str">
        <f t="shared" si="55"/>
        <v>-- C462_疾患開始日</v>
      </c>
      <c r="U230" s="4" t="str">
        <f t="shared" si="49"/>
        <v>, CASE WHEN shikkan_disp_name = 'C462' THEN min_shikkan_start_date ::DATE ELSE NULL END AS shikkan217_start_date</v>
      </c>
      <c r="V230" s="25" t="str">
        <f t="shared" si="50"/>
        <v>, max(shikkan217_start_date)</v>
      </c>
      <c r="AA230" s="4"/>
      <c r="AB230" s="4"/>
      <c r="AC230" s="4"/>
      <c r="AD230" s="4"/>
      <c r="AE230" s="4"/>
      <c r="AF230" s="4"/>
      <c r="AG230" s="4"/>
      <c r="AH230" s="4"/>
      <c r="AI230" s="4"/>
      <c r="AJ230" s="76" t="str">
        <f>IF(E230="○",IF(COUNTA(E$13:E230)=1,"",",")&amp;D230,"")</f>
        <v/>
      </c>
      <c r="AK230" s="4"/>
      <c r="AL230" s="4"/>
      <c r="AM230" s="4"/>
      <c r="AN230" s="4"/>
      <c r="AO230" s="4"/>
      <c r="AP230" s="4"/>
      <c r="AQ230" s="4"/>
      <c r="AR230" s="4"/>
      <c r="AS230" s="76" t="str">
        <f>"COMMENT ON COLUMN "&amp;エンティティ一覧!$O$2&amp;"."&amp;D$8&amp;"."&amp;D230&amp;" IS '"&amp;C230&amp;"';"</f>
        <v>COMMENT ON COLUMN milscm_2023_009.sny_202310_annony_shikkan2.shikkan217_start_date IS 'C462_疾患開始日';</v>
      </c>
    </row>
    <row r="231" spans="1:45" s="25" customFormat="1">
      <c r="A231" s="4" t="s">
        <v>5369</v>
      </c>
      <c r="B231" s="21">
        <f t="shared" si="47"/>
        <v>219</v>
      </c>
      <c r="C231" s="13" t="str">
        <f t="shared" si="48"/>
        <v>C463_疾患開始日</v>
      </c>
      <c r="D231" s="13" t="s">
        <v>4986</v>
      </c>
      <c r="E231" s="8"/>
      <c r="F231" s="7" t="s">
        <v>4348</v>
      </c>
      <c r="G231" s="7" t="s">
        <v>25</v>
      </c>
      <c r="H231" s="58"/>
      <c r="I231" s="23"/>
      <c r="J231" s="24"/>
      <c r="M231" s="4"/>
      <c r="N231" s="76"/>
      <c r="O231" s="76"/>
      <c r="P231" s="76" t="str">
        <f t="shared" si="51"/>
        <v>,shikkan218_start_date</v>
      </c>
      <c r="Q231" s="76" t="str">
        <f t="shared" si="52"/>
        <v>DATE</v>
      </c>
      <c r="R231" s="76" t="str">
        <f t="shared" si="53"/>
        <v/>
      </c>
      <c r="S231" s="76" t="str">
        <f t="shared" si="54"/>
        <v/>
      </c>
      <c r="T231" s="76" t="str">
        <f t="shared" si="55"/>
        <v>-- C463_疾患開始日</v>
      </c>
      <c r="U231" s="4" t="str">
        <f t="shared" si="49"/>
        <v>, CASE WHEN shikkan_disp_name = 'C463' THEN min_shikkan_start_date ::DATE ELSE NULL END AS shikkan218_start_date</v>
      </c>
      <c r="V231" s="25" t="str">
        <f t="shared" si="50"/>
        <v>, max(shikkan218_start_date)</v>
      </c>
      <c r="AA231" s="4"/>
      <c r="AB231" s="4"/>
      <c r="AC231" s="4"/>
      <c r="AD231" s="4"/>
      <c r="AE231" s="4"/>
      <c r="AF231" s="4"/>
      <c r="AG231" s="4"/>
      <c r="AH231" s="4"/>
      <c r="AI231" s="4"/>
      <c r="AJ231" s="76" t="str">
        <f>IF(E231="○",IF(COUNTA(E$13:E231)=1,"",",")&amp;D231,"")</f>
        <v/>
      </c>
      <c r="AK231" s="4"/>
      <c r="AL231" s="4"/>
      <c r="AM231" s="4"/>
      <c r="AN231" s="4"/>
      <c r="AO231" s="4"/>
      <c r="AP231" s="4"/>
      <c r="AQ231" s="4"/>
      <c r="AR231" s="4"/>
      <c r="AS231" s="76" t="str">
        <f>"COMMENT ON COLUMN "&amp;エンティティ一覧!$O$2&amp;"."&amp;D$8&amp;"."&amp;D231&amp;" IS '"&amp;C231&amp;"';"</f>
        <v>COMMENT ON COLUMN milscm_2023_009.sny_202310_annony_shikkan2.shikkan218_start_date IS 'C463_疾患開始日';</v>
      </c>
    </row>
    <row r="232" spans="1:45" s="25" customFormat="1">
      <c r="A232" s="4" t="s">
        <v>5370</v>
      </c>
      <c r="B232" s="21">
        <f t="shared" si="47"/>
        <v>220</v>
      </c>
      <c r="C232" s="13" t="str">
        <f t="shared" si="48"/>
        <v>C467_疾患開始日</v>
      </c>
      <c r="D232" s="13" t="s">
        <v>4987</v>
      </c>
      <c r="E232" s="8"/>
      <c r="F232" s="7" t="s">
        <v>4348</v>
      </c>
      <c r="G232" s="7" t="s">
        <v>25</v>
      </c>
      <c r="H232" s="58"/>
      <c r="I232" s="23"/>
      <c r="J232" s="24"/>
      <c r="M232" s="4"/>
      <c r="N232" s="76"/>
      <c r="O232" s="76"/>
      <c r="P232" s="76" t="str">
        <f t="shared" si="51"/>
        <v>,shikkan219_start_date</v>
      </c>
      <c r="Q232" s="76" t="str">
        <f t="shared" si="52"/>
        <v>DATE</v>
      </c>
      <c r="R232" s="76" t="str">
        <f t="shared" si="53"/>
        <v/>
      </c>
      <c r="S232" s="76" t="str">
        <f t="shared" si="54"/>
        <v/>
      </c>
      <c r="T232" s="76" t="str">
        <f t="shared" si="55"/>
        <v>-- C467_疾患開始日</v>
      </c>
      <c r="U232" s="4" t="str">
        <f t="shared" si="49"/>
        <v>, CASE WHEN shikkan_disp_name = 'C467' THEN min_shikkan_start_date ::DATE ELSE NULL END AS shikkan219_start_date</v>
      </c>
      <c r="V232" s="25" t="str">
        <f t="shared" si="50"/>
        <v>, max(shikkan219_start_date)</v>
      </c>
      <c r="AA232" s="4"/>
      <c r="AB232" s="4"/>
      <c r="AC232" s="4"/>
      <c r="AD232" s="4"/>
      <c r="AE232" s="4"/>
      <c r="AF232" s="4"/>
      <c r="AG232" s="4"/>
      <c r="AH232" s="4"/>
      <c r="AI232" s="4"/>
      <c r="AJ232" s="76" t="str">
        <f>IF(E232="○",IF(COUNTA(E$13:E232)=1,"",",")&amp;D232,"")</f>
        <v/>
      </c>
      <c r="AK232" s="4"/>
      <c r="AL232" s="4"/>
      <c r="AM232" s="4"/>
      <c r="AN232" s="4"/>
      <c r="AO232" s="4"/>
      <c r="AP232" s="4"/>
      <c r="AQ232" s="4"/>
      <c r="AR232" s="4"/>
      <c r="AS232" s="76" t="str">
        <f>"COMMENT ON COLUMN "&amp;エンティティ一覧!$O$2&amp;"."&amp;D$8&amp;"."&amp;D232&amp;" IS '"&amp;C232&amp;"';"</f>
        <v>COMMENT ON COLUMN milscm_2023_009.sny_202310_annony_shikkan2.shikkan219_start_date IS 'C467_疾患開始日';</v>
      </c>
    </row>
    <row r="233" spans="1:45" s="25" customFormat="1">
      <c r="A233" s="4" t="s">
        <v>5371</v>
      </c>
      <c r="B233" s="21">
        <f t="shared" si="47"/>
        <v>221</v>
      </c>
      <c r="C233" s="13" t="str">
        <f t="shared" si="48"/>
        <v>C468_疾患開始日</v>
      </c>
      <c r="D233" s="13" t="s">
        <v>4988</v>
      </c>
      <c r="E233" s="8"/>
      <c r="F233" s="7" t="s">
        <v>4348</v>
      </c>
      <c r="G233" s="7" t="s">
        <v>25</v>
      </c>
      <c r="H233" s="58"/>
      <c r="I233" s="23"/>
      <c r="J233" s="24"/>
      <c r="M233" s="4"/>
      <c r="N233" s="76"/>
      <c r="O233" s="76"/>
      <c r="P233" s="76" t="str">
        <f t="shared" si="51"/>
        <v>,shikkan220_start_date</v>
      </c>
      <c r="Q233" s="76" t="str">
        <f t="shared" si="52"/>
        <v>DATE</v>
      </c>
      <c r="R233" s="76" t="str">
        <f t="shared" si="53"/>
        <v/>
      </c>
      <c r="S233" s="76" t="str">
        <f t="shared" si="54"/>
        <v/>
      </c>
      <c r="T233" s="76" t="str">
        <f t="shared" si="55"/>
        <v>-- C468_疾患開始日</v>
      </c>
      <c r="U233" s="4" t="str">
        <f t="shared" si="49"/>
        <v>, CASE WHEN shikkan_disp_name = 'C468' THEN min_shikkan_start_date ::DATE ELSE NULL END AS shikkan220_start_date</v>
      </c>
      <c r="V233" s="25" t="str">
        <f t="shared" si="50"/>
        <v>, max(shikkan220_start_date)</v>
      </c>
      <c r="AA233" s="4"/>
      <c r="AB233" s="4"/>
      <c r="AC233" s="4"/>
      <c r="AD233" s="4"/>
      <c r="AE233" s="4"/>
      <c r="AF233" s="4"/>
      <c r="AG233" s="4"/>
      <c r="AH233" s="4"/>
      <c r="AI233" s="4"/>
      <c r="AJ233" s="76" t="str">
        <f>IF(E233="○",IF(COUNTA(E$13:E233)=1,"",",")&amp;D233,"")</f>
        <v/>
      </c>
      <c r="AK233" s="4"/>
      <c r="AL233" s="4"/>
      <c r="AM233" s="4"/>
      <c r="AN233" s="4"/>
      <c r="AO233" s="4"/>
      <c r="AP233" s="4"/>
      <c r="AQ233" s="4"/>
      <c r="AR233" s="4"/>
      <c r="AS233" s="76" t="str">
        <f>"COMMENT ON COLUMN "&amp;エンティティ一覧!$O$2&amp;"."&amp;D$8&amp;"."&amp;D233&amp;" IS '"&amp;C233&amp;"';"</f>
        <v>COMMENT ON COLUMN milscm_2023_009.sny_202310_annony_shikkan2.shikkan220_start_date IS 'C468_疾患開始日';</v>
      </c>
    </row>
    <row r="234" spans="1:45" s="25" customFormat="1">
      <c r="A234" s="4" t="s">
        <v>5372</v>
      </c>
      <c r="B234" s="21">
        <f t="shared" si="47"/>
        <v>222</v>
      </c>
      <c r="C234" s="13" t="str">
        <f t="shared" si="48"/>
        <v>C469_疾患開始日</v>
      </c>
      <c r="D234" s="13" t="s">
        <v>4989</v>
      </c>
      <c r="E234" s="8"/>
      <c r="F234" s="7" t="s">
        <v>4348</v>
      </c>
      <c r="G234" s="7" t="s">
        <v>25</v>
      </c>
      <c r="H234" s="58"/>
      <c r="I234" s="23"/>
      <c r="J234" s="24"/>
      <c r="M234" s="4"/>
      <c r="N234" s="76"/>
      <c r="O234" s="76"/>
      <c r="P234" s="76" t="str">
        <f t="shared" si="51"/>
        <v>,shikkan221_start_date</v>
      </c>
      <c r="Q234" s="76" t="str">
        <f t="shared" si="52"/>
        <v>DATE</v>
      </c>
      <c r="R234" s="76" t="str">
        <f t="shared" si="53"/>
        <v/>
      </c>
      <c r="S234" s="76" t="str">
        <f t="shared" si="54"/>
        <v/>
      </c>
      <c r="T234" s="76" t="str">
        <f t="shared" si="55"/>
        <v>-- C469_疾患開始日</v>
      </c>
      <c r="U234" s="4" t="str">
        <f t="shared" si="49"/>
        <v>, CASE WHEN shikkan_disp_name = 'C469' THEN min_shikkan_start_date ::DATE ELSE NULL END AS shikkan221_start_date</v>
      </c>
      <c r="V234" s="25" t="str">
        <f t="shared" si="50"/>
        <v>, max(shikkan221_start_date)</v>
      </c>
      <c r="AA234" s="4"/>
      <c r="AB234" s="4"/>
      <c r="AC234" s="4"/>
      <c r="AD234" s="4"/>
      <c r="AE234" s="4"/>
      <c r="AF234" s="4"/>
      <c r="AG234" s="4"/>
      <c r="AH234" s="4"/>
      <c r="AI234" s="4"/>
      <c r="AJ234" s="76" t="str">
        <f>IF(E234="○",IF(COUNTA(E$13:E234)=1,"",",")&amp;D234,"")</f>
        <v/>
      </c>
      <c r="AK234" s="4"/>
      <c r="AL234" s="4"/>
      <c r="AM234" s="4"/>
      <c r="AN234" s="4"/>
      <c r="AO234" s="4"/>
      <c r="AP234" s="4"/>
      <c r="AQ234" s="4"/>
      <c r="AR234" s="4"/>
      <c r="AS234" s="76" t="str">
        <f>"COMMENT ON COLUMN "&amp;エンティティ一覧!$O$2&amp;"."&amp;D$8&amp;"."&amp;D234&amp;" IS '"&amp;C234&amp;"';"</f>
        <v>COMMENT ON COLUMN milscm_2023_009.sny_202310_annony_shikkan2.shikkan221_start_date IS 'C469_疾患開始日';</v>
      </c>
    </row>
    <row r="235" spans="1:45" s="25" customFormat="1">
      <c r="A235" s="4" t="s">
        <v>5373</v>
      </c>
      <c r="B235" s="21">
        <f t="shared" si="47"/>
        <v>223</v>
      </c>
      <c r="C235" s="13" t="str">
        <f t="shared" si="48"/>
        <v>C470_疾患開始日</v>
      </c>
      <c r="D235" s="13" t="s">
        <v>4990</v>
      </c>
      <c r="E235" s="8"/>
      <c r="F235" s="7" t="s">
        <v>4348</v>
      </c>
      <c r="G235" s="7" t="s">
        <v>25</v>
      </c>
      <c r="H235" s="58"/>
      <c r="I235" s="23"/>
      <c r="J235" s="24"/>
      <c r="M235" s="4"/>
      <c r="N235" s="76"/>
      <c r="O235" s="76"/>
      <c r="P235" s="76" t="str">
        <f t="shared" si="51"/>
        <v>,shikkan222_start_date</v>
      </c>
      <c r="Q235" s="76" t="str">
        <f t="shared" si="52"/>
        <v>DATE</v>
      </c>
      <c r="R235" s="76" t="str">
        <f t="shared" si="53"/>
        <v/>
      </c>
      <c r="S235" s="76" t="str">
        <f t="shared" si="54"/>
        <v/>
      </c>
      <c r="T235" s="76" t="str">
        <f t="shared" si="55"/>
        <v>-- C470_疾患開始日</v>
      </c>
      <c r="U235" s="4" t="str">
        <f t="shared" si="49"/>
        <v>, CASE WHEN shikkan_disp_name = 'C470' THEN min_shikkan_start_date ::DATE ELSE NULL END AS shikkan222_start_date</v>
      </c>
      <c r="V235" s="25" t="str">
        <f t="shared" si="50"/>
        <v>, max(shikkan222_start_date)</v>
      </c>
      <c r="AA235" s="4"/>
      <c r="AB235" s="4"/>
      <c r="AC235" s="4"/>
      <c r="AD235" s="4"/>
      <c r="AE235" s="4"/>
      <c r="AF235" s="4"/>
      <c r="AG235" s="4"/>
      <c r="AH235" s="4"/>
      <c r="AI235" s="4"/>
      <c r="AJ235" s="76" t="str">
        <f>IF(E235="○",IF(COUNTA(E$13:E235)=1,"",",")&amp;D235,"")</f>
        <v/>
      </c>
      <c r="AK235" s="4"/>
      <c r="AL235" s="4"/>
      <c r="AM235" s="4"/>
      <c r="AN235" s="4"/>
      <c r="AO235" s="4"/>
      <c r="AP235" s="4"/>
      <c r="AQ235" s="4"/>
      <c r="AR235" s="4"/>
      <c r="AS235" s="76" t="str">
        <f>"COMMENT ON COLUMN "&amp;エンティティ一覧!$O$2&amp;"."&amp;D$8&amp;"."&amp;D235&amp;" IS '"&amp;C235&amp;"';"</f>
        <v>COMMENT ON COLUMN milscm_2023_009.sny_202310_annony_shikkan2.shikkan222_start_date IS 'C470_疾患開始日';</v>
      </c>
    </row>
    <row r="236" spans="1:45" s="25" customFormat="1">
      <c r="A236" s="4" t="s">
        <v>5374</v>
      </c>
      <c r="B236" s="21">
        <f t="shared" si="47"/>
        <v>224</v>
      </c>
      <c r="C236" s="13" t="str">
        <f t="shared" si="48"/>
        <v>C471_疾患開始日</v>
      </c>
      <c r="D236" s="13" t="s">
        <v>4991</v>
      </c>
      <c r="E236" s="8"/>
      <c r="F236" s="7" t="s">
        <v>4348</v>
      </c>
      <c r="G236" s="7" t="s">
        <v>25</v>
      </c>
      <c r="H236" s="58"/>
      <c r="I236" s="23"/>
      <c r="J236" s="24"/>
      <c r="M236" s="4"/>
      <c r="N236" s="76"/>
      <c r="O236" s="76"/>
      <c r="P236" s="76" t="str">
        <f t="shared" si="51"/>
        <v>,shikkan223_start_date</v>
      </c>
      <c r="Q236" s="76" t="str">
        <f t="shared" si="52"/>
        <v>DATE</v>
      </c>
      <c r="R236" s="76" t="str">
        <f t="shared" si="53"/>
        <v/>
      </c>
      <c r="S236" s="76" t="str">
        <f t="shared" si="54"/>
        <v/>
      </c>
      <c r="T236" s="76" t="str">
        <f t="shared" si="55"/>
        <v>-- C471_疾患開始日</v>
      </c>
      <c r="U236" s="4" t="str">
        <f t="shared" si="49"/>
        <v>, CASE WHEN shikkan_disp_name = 'C471' THEN min_shikkan_start_date ::DATE ELSE NULL END AS shikkan223_start_date</v>
      </c>
      <c r="V236" s="25" t="str">
        <f t="shared" si="50"/>
        <v>, max(shikkan223_start_date)</v>
      </c>
      <c r="AA236" s="4"/>
      <c r="AB236" s="4"/>
      <c r="AC236" s="4"/>
      <c r="AD236" s="4"/>
      <c r="AE236" s="4"/>
      <c r="AF236" s="4"/>
      <c r="AG236" s="4"/>
      <c r="AH236" s="4"/>
      <c r="AI236" s="4"/>
      <c r="AJ236" s="76" t="str">
        <f>IF(E236="○",IF(COUNTA(E$13:E236)=1,"",",")&amp;D236,"")</f>
        <v/>
      </c>
      <c r="AK236" s="4"/>
      <c r="AL236" s="4"/>
      <c r="AM236" s="4"/>
      <c r="AN236" s="4"/>
      <c r="AO236" s="4"/>
      <c r="AP236" s="4"/>
      <c r="AQ236" s="4"/>
      <c r="AR236" s="4"/>
      <c r="AS236" s="76" t="str">
        <f>"COMMENT ON COLUMN "&amp;エンティティ一覧!$O$2&amp;"."&amp;D$8&amp;"."&amp;D236&amp;" IS '"&amp;C236&amp;"';"</f>
        <v>COMMENT ON COLUMN milscm_2023_009.sny_202310_annony_shikkan2.shikkan223_start_date IS 'C471_疾患開始日';</v>
      </c>
    </row>
    <row r="237" spans="1:45" s="25" customFormat="1">
      <c r="A237" s="4" t="s">
        <v>5375</v>
      </c>
      <c r="B237" s="21">
        <f t="shared" si="47"/>
        <v>225</v>
      </c>
      <c r="C237" s="13" t="str">
        <f t="shared" si="48"/>
        <v>C472_疾患開始日</v>
      </c>
      <c r="D237" s="13" t="s">
        <v>4992</v>
      </c>
      <c r="E237" s="8"/>
      <c r="F237" s="7" t="s">
        <v>4348</v>
      </c>
      <c r="G237" s="7" t="s">
        <v>25</v>
      </c>
      <c r="H237" s="58"/>
      <c r="I237" s="23"/>
      <c r="J237" s="24"/>
      <c r="M237" s="4"/>
      <c r="N237" s="76"/>
      <c r="O237" s="76"/>
      <c r="P237" s="76" t="str">
        <f t="shared" si="51"/>
        <v>,shikkan224_start_date</v>
      </c>
      <c r="Q237" s="76" t="str">
        <f t="shared" si="52"/>
        <v>DATE</v>
      </c>
      <c r="R237" s="76" t="str">
        <f t="shared" si="53"/>
        <v/>
      </c>
      <c r="S237" s="76" t="str">
        <f t="shared" si="54"/>
        <v/>
      </c>
      <c r="T237" s="76" t="str">
        <f t="shared" si="55"/>
        <v>-- C472_疾患開始日</v>
      </c>
      <c r="U237" s="4" t="str">
        <f t="shared" si="49"/>
        <v>, CASE WHEN shikkan_disp_name = 'C472' THEN min_shikkan_start_date ::DATE ELSE NULL END AS shikkan224_start_date</v>
      </c>
      <c r="V237" s="25" t="str">
        <f t="shared" si="50"/>
        <v>, max(shikkan224_start_date)</v>
      </c>
      <c r="AA237" s="4"/>
      <c r="AB237" s="4"/>
      <c r="AC237" s="4"/>
      <c r="AD237" s="4"/>
      <c r="AE237" s="4"/>
      <c r="AF237" s="4"/>
      <c r="AG237" s="4"/>
      <c r="AH237" s="4"/>
      <c r="AI237" s="4"/>
      <c r="AJ237" s="76" t="str">
        <f>IF(E237="○",IF(COUNTA(E$13:E237)=1,"",",")&amp;D237,"")</f>
        <v/>
      </c>
      <c r="AK237" s="4"/>
      <c r="AL237" s="4"/>
      <c r="AM237" s="4"/>
      <c r="AN237" s="4"/>
      <c r="AO237" s="4"/>
      <c r="AP237" s="4"/>
      <c r="AQ237" s="4"/>
      <c r="AR237" s="4"/>
      <c r="AS237" s="76" t="str">
        <f>"COMMENT ON COLUMN "&amp;エンティティ一覧!$O$2&amp;"."&amp;D$8&amp;"."&amp;D237&amp;" IS '"&amp;C237&amp;"';"</f>
        <v>COMMENT ON COLUMN milscm_2023_009.sny_202310_annony_shikkan2.shikkan224_start_date IS 'C472_疾患開始日';</v>
      </c>
    </row>
    <row r="238" spans="1:45" s="25" customFormat="1">
      <c r="A238" s="4" t="s">
        <v>5376</v>
      </c>
      <c r="B238" s="21">
        <f t="shared" si="47"/>
        <v>226</v>
      </c>
      <c r="C238" s="13" t="str">
        <f t="shared" si="48"/>
        <v>C473_疾患開始日</v>
      </c>
      <c r="D238" s="13" t="s">
        <v>4993</v>
      </c>
      <c r="E238" s="8"/>
      <c r="F238" s="7" t="s">
        <v>4348</v>
      </c>
      <c r="G238" s="7" t="s">
        <v>99</v>
      </c>
      <c r="H238" s="58"/>
      <c r="I238" s="23"/>
      <c r="J238" s="24"/>
      <c r="M238" s="4"/>
      <c r="N238" s="76"/>
      <c r="O238" s="76"/>
      <c r="P238" s="76" t="str">
        <f t="shared" si="51"/>
        <v>,shikkan225_start_date</v>
      </c>
      <c r="Q238" s="76" t="str">
        <f t="shared" si="52"/>
        <v>DATE</v>
      </c>
      <c r="R238" s="76" t="str">
        <f t="shared" si="53"/>
        <v/>
      </c>
      <c r="S238" s="76" t="str">
        <f t="shared" si="54"/>
        <v/>
      </c>
      <c r="T238" s="76" t="str">
        <f t="shared" si="55"/>
        <v>-- C473_疾患開始日</v>
      </c>
      <c r="U238" s="4" t="str">
        <f t="shared" si="49"/>
        <v>, CASE WHEN shikkan_disp_name = 'C473' THEN min_shikkan_start_date ::DATE ELSE NULL END AS shikkan225_start_date</v>
      </c>
      <c r="V238" s="25" t="str">
        <f t="shared" si="50"/>
        <v>, max(shikkan225_start_date)</v>
      </c>
      <c r="AA238" s="4"/>
      <c r="AB238" s="4"/>
      <c r="AC238" s="4"/>
      <c r="AD238" s="4"/>
      <c r="AE238" s="4"/>
      <c r="AF238" s="4"/>
      <c r="AG238" s="4"/>
      <c r="AH238" s="4"/>
      <c r="AI238" s="4"/>
      <c r="AJ238" s="76" t="str">
        <f>IF(E238="○",IF(COUNTA(E$13:E238)=1,"",",")&amp;D238,"")</f>
        <v/>
      </c>
      <c r="AK238" s="4"/>
      <c r="AL238" s="4"/>
      <c r="AM238" s="4"/>
      <c r="AN238" s="4"/>
      <c r="AO238" s="4"/>
      <c r="AP238" s="4"/>
      <c r="AQ238" s="4"/>
      <c r="AR238" s="4"/>
      <c r="AS238" s="76" t="str">
        <f>"COMMENT ON COLUMN "&amp;エンティティ一覧!$O$2&amp;"."&amp;D$8&amp;"."&amp;D238&amp;" IS '"&amp;C238&amp;"';"</f>
        <v>COMMENT ON COLUMN milscm_2023_009.sny_202310_annony_shikkan2.shikkan225_start_date IS 'C473_疾患開始日';</v>
      </c>
    </row>
    <row r="239" spans="1:45" s="25" customFormat="1">
      <c r="A239" s="4" t="s">
        <v>5377</v>
      </c>
      <c r="B239" s="21">
        <f t="shared" si="47"/>
        <v>227</v>
      </c>
      <c r="C239" s="13" t="str">
        <f t="shared" si="48"/>
        <v>C474_疾患開始日</v>
      </c>
      <c r="D239" s="13" t="s">
        <v>4994</v>
      </c>
      <c r="E239" s="8"/>
      <c r="F239" s="7" t="s">
        <v>4348</v>
      </c>
      <c r="G239" s="7" t="s">
        <v>25</v>
      </c>
      <c r="H239" s="58"/>
      <c r="I239" s="23"/>
      <c r="J239" s="24"/>
      <c r="M239" s="4"/>
      <c r="N239" s="76"/>
      <c r="O239" s="76"/>
      <c r="P239" s="76" t="str">
        <f t="shared" si="51"/>
        <v>,shikkan226_start_date</v>
      </c>
      <c r="Q239" s="76" t="str">
        <f t="shared" si="52"/>
        <v>DATE</v>
      </c>
      <c r="R239" s="76" t="str">
        <f t="shared" si="53"/>
        <v/>
      </c>
      <c r="S239" s="76" t="str">
        <f t="shared" si="54"/>
        <v/>
      </c>
      <c r="T239" s="76" t="str">
        <f t="shared" si="55"/>
        <v>-- C474_疾患開始日</v>
      </c>
      <c r="U239" s="4" t="str">
        <f t="shared" si="49"/>
        <v>, CASE WHEN shikkan_disp_name = 'C474' THEN min_shikkan_start_date ::DATE ELSE NULL END AS shikkan226_start_date</v>
      </c>
      <c r="V239" s="25" t="str">
        <f t="shared" si="50"/>
        <v>, max(shikkan226_start_date)</v>
      </c>
      <c r="AA239" s="4"/>
      <c r="AB239" s="4"/>
      <c r="AC239" s="4"/>
      <c r="AD239" s="4"/>
      <c r="AE239" s="4"/>
      <c r="AF239" s="4"/>
      <c r="AG239" s="4"/>
      <c r="AH239" s="4"/>
      <c r="AI239" s="4"/>
      <c r="AJ239" s="76" t="str">
        <f>IF(E239="○",IF(COUNTA(E$13:E239)=1,"",",")&amp;D239,"")</f>
        <v/>
      </c>
      <c r="AK239" s="4"/>
      <c r="AL239" s="4"/>
      <c r="AM239" s="4"/>
      <c r="AN239" s="4"/>
      <c r="AO239" s="4"/>
      <c r="AP239" s="4"/>
      <c r="AQ239" s="4"/>
      <c r="AR239" s="4"/>
      <c r="AS239" s="76" t="str">
        <f>"COMMENT ON COLUMN "&amp;エンティティ一覧!$O$2&amp;"."&amp;D$8&amp;"."&amp;D239&amp;" IS '"&amp;C239&amp;"';"</f>
        <v>COMMENT ON COLUMN milscm_2023_009.sny_202310_annony_shikkan2.shikkan226_start_date IS 'C474_疾患開始日';</v>
      </c>
    </row>
    <row r="240" spans="1:45" s="25" customFormat="1">
      <c r="A240" s="4" t="s">
        <v>5378</v>
      </c>
      <c r="B240" s="21">
        <f t="shared" si="47"/>
        <v>228</v>
      </c>
      <c r="C240" s="13" t="str">
        <f t="shared" si="48"/>
        <v>C475_疾患開始日</v>
      </c>
      <c r="D240" s="13" t="s">
        <v>4995</v>
      </c>
      <c r="E240" s="8"/>
      <c r="F240" s="7" t="s">
        <v>4348</v>
      </c>
      <c r="G240" s="7" t="s">
        <v>25</v>
      </c>
      <c r="H240" s="58"/>
      <c r="I240" s="23"/>
      <c r="J240" s="24"/>
      <c r="M240" s="4"/>
      <c r="N240" s="76"/>
      <c r="O240" s="76"/>
      <c r="P240" s="76" t="str">
        <f t="shared" si="51"/>
        <v>,shikkan227_start_date</v>
      </c>
      <c r="Q240" s="76" t="str">
        <f t="shared" si="52"/>
        <v>DATE</v>
      </c>
      <c r="R240" s="76" t="str">
        <f t="shared" si="53"/>
        <v/>
      </c>
      <c r="S240" s="76" t="str">
        <f t="shared" si="54"/>
        <v/>
      </c>
      <c r="T240" s="76" t="str">
        <f t="shared" si="55"/>
        <v>-- C475_疾患開始日</v>
      </c>
      <c r="U240" s="4" t="str">
        <f t="shared" si="49"/>
        <v>, CASE WHEN shikkan_disp_name = 'C475' THEN min_shikkan_start_date ::DATE ELSE NULL END AS shikkan227_start_date</v>
      </c>
      <c r="V240" s="25" t="str">
        <f t="shared" si="50"/>
        <v>, max(shikkan227_start_date)</v>
      </c>
      <c r="AA240" s="4"/>
      <c r="AB240" s="4"/>
      <c r="AC240" s="4"/>
      <c r="AD240" s="4"/>
      <c r="AE240" s="4"/>
      <c r="AF240" s="4"/>
      <c r="AG240" s="4"/>
      <c r="AH240" s="4"/>
      <c r="AI240" s="4"/>
      <c r="AJ240" s="76" t="str">
        <f>IF(E240="○",IF(COUNTA(E$13:E240)=1,"",",")&amp;D240,"")</f>
        <v/>
      </c>
      <c r="AK240" s="4"/>
      <c r="AL240" s="4"/>
      <c r="AM240" s="4"/>
      <c r="AN240" s="4"/>
      <c r="AO240" s="4"/>
      <c r="AP240" s="4"/>
      <c r="AQ240" s="4"/>
      <c r="AR240" s="4"/>
      <c r="AS240" s="76" t="str">
        <f>"COMMENT ON COLUMN "&amp;エンティティ一覧!$O$2&amp;"."&amp;D$8&amp;"."&amp;D240&amp;" IS '"&amp;C240&amp;"';"</f>
        <v>COMMENT ON COLUMN milscm_2023_009.sny_202310_annony_shikkan2.shikkan227_start_date IS 'C475_疾患開始日';</v>
      </c>
    </row>
    <row r="241" spans="1:45" s="25" customFormat="1">
      <c r="A241" s="4" t="s">
        <v>5379</v>
      </c>
      <c r="B241" s="21">
        <f t="shared" si="47"/>
        <v>229</v>
      </c>
      <c r="C241" s="13" t="str">
        <f t="shared" si="48"/>
        <v>C476_疾患開始日</v>
      </c>
      <c r="D241" s="13" t="s">
        <v>4996</v>
      </c>
      <c r="E241" s="8"/>
      <c r="F241" s="7" t="s">
        <v>4348</v>
      </c>
      <c r="G241" s="7" t="s">
        <v>25</v>
      </c>
      <c r="H241" s="58"/>
      <c r="I241" s="23"/>
      <c r="J241" s="24"/>
      <c r="M241" s="4"/>
      <c r="N241" s="76"/>
      <c r="O241" s="76"/>
      <c r="P241" s="76" t="str">
        <f t="shared" si="51"/>
        <v>,shikkan228_start_date</v>
      </c>
      <c r="Q241" s="76" t="str">
        <f t="shared" si="52"/>
        <v>DATE</v>
      </c>
      <c r="R241" s="76" t="str">
        <f t="shared" si="53"/>
        <v/>
      </c>
      <c r="S241" s="76" t="str">
        <f t="shared" si="54"/>
        <v/>
      </c>
      <c r="T241" s="76" t="str">
        <f t="shared" si="55"/>
        <v>-- C476_疾患開始日</v>
      </c>
      <c r="U241" s="4" t="str">
        <f t="shared" si="49"/>
        <v>, CASE WHEN shikkan_disp_name = 'C476' THEN min_shikkan_start_date ::DATE ELSE NULL END AS shikkan228_start_date</v>
      </c>
      <c r="V241" s="25" t="str">
        <f t="shared" si="50"/>
        <v>, max(shikkan228_start_date)</v>
      </c>
      <c r="AA241" s="4"/>
      <c r="AB241" s="4"/>
      <c r="AC241" s="4"/>
      <c r="AD241" s="4"/>
      <c r="AE241" s="4"/>
      <c r="AF241" s="4"/>
      <c r="AG241" s="4"/>
      <c r="AH241" s="4"/>
      <c r="AI241" s="4"/>
      <c r="AJ241" s="76" t="str">
        <f>IF(E241="○",IF(COUNTA(E$13:E241)=1,"",",")&amp;D241,"")</f>
        <v/>
      </c>
      <c r="AK241" s="4"/>
      <c r="AL241" s="4"/>
      <c r="AM241" s="4"/>
      <c r="AN241" s="4"/>
      <c r="AO241" s="4"/>
      <c r="AP241" s="4"/>
      <c r="AQ241" s="4"/>
      <c r="AR241" s="4"/>
      <c r="AS241" s="76" t="str">
        <f>"COMMENT ON COLUMN "&amp;エンティティ一覧!$O$2&amp;"."&amp;D$8&amp;"."&amp;D241&amp;" IS '"&amp;C241&amp;"';"</f>
        <v>COMMENT ON COLUMN milscm_2023_009.sny_202310_annony_shikkan2.shikkan228_start_date IS 'C476_疾患開始日';</v>
      </c>
    </row>
    <row r="242" spans="1:45" s="25" customFormat="1">
      <c r="A242" s="4" t="s">
        <v>5380</v>
      </c>
      <c r="B242" s="21">
        <f t="shared" si="47"/>
        <v>230</v>
      </c>
      <c r="C242" s="13" t="str">
        <f t="shared" si="48"/>
        <v>C478_疾患開始日</v>
      </c>
      <c r="D242" s="13" t="s">
        <v>4997</v>
      </c>
      <c r="E242" s="8"/>
      <c r="F242" s="7" t="s">
        <v>4348</v>
      </c>
      <c r="G242" s="7" t="s">
        <v>25</v>
      </c>
      <c r="H242" s="58"/>
      <c r="I242" s="23"/>
      <c r="J242" s="24"/>
      <c r="M242" s="4"/>
      <c r="N242" s="76"/>
      <c r="O242" s="76"/>
      <c r="P242" s="76" t="str">
        <f t="shared" si="51"/>
        <v>,shikkan229_start_date</v>
      </c>
      <c r="Q242" s="76" t="str">
        <f t="shared" si="52"/>
        <v>DATE</v>
      </c>
      <c r="R242" s="76" t="str">
        <f t="shared" si="53"/>
        <v/>
      </c>
      <c r="S242" s="76" t="str">
        <f t="shared" si="54"/>
        <v/>
      </c>
      <c r="T242" s="76" t="str">
        <f t="shared" si="55"/>
        <v>-- C478_疾患開始日</v>
      </c>
      <c r="U242" s="4" t="str">
        <f t="shared" si="49"/>
        <v>, CASE WHEN shikkan_disp_name = 'C478' THEN min_shikkan_start_date ::DATE ELSE NULL END AS shikkan229_start_date</v>
      </c>
      <c r="V242" s="25" t="str">
        <f t="shared" si="50"/>
        <v>, max(shikkan229_start_date)</v>
      </c>
      <c r="AA242" s="4"/>
      <c r="AB242" s="4"/>
      <c r="AC242" s="4"/>
      <c r="AD242" s="4"/>
      <c r="AE242" s="4"/>
      <c r="AF242" s="4"/>
      <c r="AG242" s="4"/>
      <c r="AH242" s="4"/>
      <c r="AI242" s="4"/>
      <c r="AJ242" s="76" t="str">
        <f>IF(E242="○",IF(COUNTA(E$13:E242)=1,"",",")&amp;D242,"")</f>
        <v/>
      </c>
      <c r="AK242" s="4"/>
      <c r="AL242" s="4"/>
      <c r="AM242" s="4"/>
      <c r="AN242" s="4"/>
      <c r="AO242" s="4"/>
      <c r="AP242" s="4"/>
      <c r="AQ242" s="4"/>
      <c r="AR242" s="4"/>
      <c r="AS242" s="76" t="str">
        <f>"COMMENT ON COLUMN "&amp;エンティティ一覧!$O$2&amp;"."&amp;D$8&amp;"."&amp;D242&amp;" IS '"&amp;C242&amp;"';"</f>
        <v>COMMENT ON COLUMN milscm_2023_009.sny_202310_annony_shikkan2.shikkan229_start_date IS 'C478_疾患開始日';</v>
      </c>
    </row>
    <row r="243" spans="1:45" s="25" customFormat="1">
      <c r="A243" s="4" t="s">
        <v>5381</v>
      </c>
      <c r="B243" s="21">
        <f t="shared" si="47"/>
        <v>231</v>
      </c>
      <c r="C243" s="13" t="str">
        <f t="shared" si="48"/>
        <v>C479_疾患開始日</v>
      </c>
      <c r="D243" s="13" t="s">
        <v>4998</v>
      </c>
      <c r="E243" s="8"/>
      <c r="F243" s="7" t="s">
        <v>4348</v>
      </c>
      <c r="G243" s="7" t="s">
        <v>25</v>
      </c>
      <c r="H243" s="58"/>
      <c r="I243" s="23"/>
      <c r="J243" s="24"/>
      <c r="M243" s="4"/>
      <c r="N243" s="76"/>
      <c r="O243" s="76"/>
      <c r="P243" s="76" t="str">
        <f t="shared" si="51"/>
        <v>,shikkan230_start_date</v>
      </c>
      <c r="Q243" s="76" t="str">
        <f t="shared" si="52"/>
        <v>DATE</v>
      </c>
      <c r="R243" s="76" t="str">
        <f t="shared" si="53"/>
        <v/>
      </c>
      <c r="S243" s="76" t="str">
        <f t="shared" si="54"/>
        <v/>
      </c>
      <c r="T243" s="76" t="str">
        <f t="shared" si="55"/>
        <v>-- C479_疾患開始日</v>
      </c>
      <c r="U243" s="4" t="str">
        <f t="shared" si="49"/>
        <v>, CASE WHEN shikkan_disp_name = 'C479' THEN min_shikkan_start_date ::DATE ELSE NULL END AS shikkan230_start_date</v>
      </c>
      <c r="V243" s="25" t="str">
        <f t="shared" si="50"/>
        <v>, max(shikkan230_start_date)</v>
      </c>
      <c r="AA243" s="4"/>
      <c r="AB243" s="4"/>
      <c r="AC243" s="4"/>
      <c r="AD243" s="4"/>
      <c r="AE243" s="4"/>
      <c r="AF243" s="4"/>
      <c r="AG243" s="4"/>
      <c r="AH243" s="4"/>
      <c r="AI243" s="4"/>
      <c r="AJ243" s="76" t="str">
        <f>IF(E243="○",IF(COUNTA(E$13:E243)=1,"",",")&amp;D243,"")</f>
        <v/>
      </c>
      <c r="AK243" s="4"/>
      <c r="AL243" s="4"/>
      <c r="AM243" s="4"/>
      <c r="AN243" s="4"/>
      <c r="AO243" s="4"/>
      <c r="AP243" s="4"/>
      <c r="AQ243" s="4"/>
      <c r="AR243" s="4"/>
      <c r="AS243" s="76" t="str">
        <f>"COMMENT ON COLUMN "&amp;エンティティ一覧!$O$2&amp;"."&amp;D$8&amp;"."&amp;D243&amp;" IS '"&amp;C243&amp;"';"</f>
        <v>COMMENT ON COLUMN milscm_2023_009.sny_202310_annony_shikkan2.shikkan230_start_date IS 'C479_疾患開始日';</v>
      </c>
    </row>
    <row r="244" spans="1:45" s="25" customFormat="1">
      <c r="A244" s="4" t="s">
        <v>5382</v>
      </c>
      <c r="B244" s="21">
        <f t="shared" si="47"/>
        <v>232</v>
      </c>
      <c r="C244" s="13" t="str">
        <f t="shared" si="48"/>
        <v>C480_疾患開始日</v>
      </c>
      <c r="D244" s="13" t="s">
        <v>4999</v>
      </c>
      <c r="E244" s="8"/>
      <c r="F244" s="7" t="s">
        <v>4348</v>
      </c>
      <c r="G244" s="7" t="s">
        <v>25</v>
      </c>
      <c r="H244" s="58"/>
      <c r="I244" s="23"/>
      <c r="J244" s="24"/>
      <c r="M244" s="4"/>
      <c r="N244" s="76"/>
      <c r="O244" s="76"/>
      <c r="P244" s="76" t="str">
        <f t="shared" si="51"/>
        <v>,shikkan231_start_date</v>
      </c>
      <c r="Q244" s="76" t="str">
        <f t="shared" si="52"/>
        <v>DATE</v>
      </c>
      <c r="R244" s="76" t="str">
        <f t="shared" si="53"/>
        <v/>
      </c>
      <c r="S244" s="76" t="str">
        <f t="shared" si="54"/>
        <v/>
      </c>
      <c r="T244" s="76" t="str">
        <f t="shared" si="55"/>
        <v>-- C480_疾患開始日</v>
      </c>
      <c r="U244" s="4" t="str">
        <f t="shared" si="49"/>
        <v>, CASE WHEN shikkan_disp_name = 'C480' THEN min_shikkan_start_date ::DATE ELSE NULL END AS shikkan231_start_date</v>
      </c>
      <c r="V244" s="25" t="str">
        <f t="shared" si="50"/>
        <v>, max(shikkan231_start_date)</v>
      </c>
      <c r="AA244" s="4"/>
      <c r="AB244" s="4"/>
      <c r="AC244" s="4"/>
      <c r="AD244" s="4"/>
      <c r="AE244" s="4"/>
      <c r="AF244" s="4"/>
      <c r="AG244" s="4"/>
      <c r="AH244" s="4"/>
      <c r="AI244" s="4"/>
      <c r="AJ244" s="76" t="str">
        <f>IF(E244="○",IF(COUNTA(E$13:E244)=1,"",",")&amp;D244,"")</f>
        <v/>
      </c>
      <c r="AK244" s="4"/>
      <c r="AL244" s="4"/>
      <c r="AM244" s="4"/>
      <c r="AN244" s="4"/>
      <c r="AO244" s="4"/>
      <c r="AP244" s="4"/>
      <c r="AQ244" s="4"/>
      <c r="AR244" s="4"/>
      <c r="AS244" s="76" t="str">
        <f>"COMMENT ON COLUMN "&amp;エンティティ一覧!$O$2&amp;"."&amp;D$8&amp;"."&amp;D244&amp;" IS '"&amp;C244&amp;"';"</f>
        <v>COMMENT ON COLUMN milscm_2023_009.sny_202310_annony_shikkan2.shikkan231_start_date IS 'C480_疾患開始日';</v>
      </c>
    </row>
    <row r="245" spans="1:45" s="25" customFormat="1">
      <c r="A245" s="4" t="s">
        <v>5383</v>
      </c>
      <c r="B245" s="21">
        <f t="shared" si="47"/>
        <v>233</v>
      </c>
      <c r="C245" s="13" t="str">
        <f t="shared" si="48"/>
        <v>C481_疾患開始日</v>
      </c>
      <c r="D245" s="13" t="s">
        <v>5000</v>
      </c>
      <c r="E245" s="8"/>
      <c r="F245" s="7" t="s">
        <v>4348</v>
      </c>
      <c r="G245" s="7" t="s">
        <v>25</v>
      </c>
      <c r="H245" s="58"/>
      <c r="I245" s="23"/>
      <c r="J245" s="24"/>
      <c r="M245" s="4"/>
      <c r="N245" s="76"/>
      <c r="O245" s="76"/>
      <c r="P245" s="76" t="str">
        <f t="shared" si="51"/>
        <v>,shikkan232_start_date</v>
      </c>
      <c r="Q245" s="76" t="str">
        <f t="shared" si="52"/>
        <v>DATE</v>
      </c>
      <c r="R245" s="76" t="str">
        <f t="shared" si="53"/>
        <v/>
      </c>
      <c r="S245" s="76" t="str">
        <f t="shared" si="54"/>
        <v/>
      </c>
      <c r="T245" s="76" t="str">
        <f t="shared" si="55"/>
        <v>-- C481_疾患開始日</v>
      </c>
      <c r="U245" s="4" t="str">
        <f t="shared" si="49"/>
        <v>, CASE WHEN shikkan_disp_name = 'C481' THEN min_shikkan_start_date ::DATE ELSE NULL END AS shikkan232_start_date</v>
      </c>
      <c r="V245" s="25" t="str">
        <f t="shared" si="50"/>
        <v>, max(shikkan232_start_date)</v>
      </c>
      <c r="AA245" s="4"/>
      <c r="AB245" s="4"/>
      <c r="AC245" s="4"/>
      <c r="AD245" s="4"/>
      <c r="AE245" s="4"/>
      <c r="AF245" s="4"/>
      <c r="AG245" s="4"/>
      <c r="AH245" s="4"/>
      <c r="AI245" s="4"/>
      <c r="AJ245" s="76" t="str">
        <f>IF(E245="○",IF(COUNTA(E$13:E245)=1,"",",")&amp;D245,"")</f>
        <v/>
      </c>
      <c r="AK245" s="4"/>
      <c r="AL245" s="4"/>
      <c r="AM245" s="4"/>
      <c r="AN245" s="4"/>
      <c r="AO245" s="4"/>
      <c r="AP245" s="4"/>
      <c r="AQ245" s="4"/>
      <c r="AR245" s="4"/>
      <c r="AS245" s="76" t="str">
        <f>"COMMENT ON COLUMN "&amp;エンティティ一覧!$O$2&amp;"."&amp;D$8&amp;"."&amp;D245&amp;" IS '"&amp;C245&amp;"';"</f>
        <v>COMMENT ON COLUMN milscm_2023_009.sny_202310_annony_shikkan2.shikkan232_start_date IS 'C481_疾患開始日';</v>
      </c>
    </row>
    <row r="246" spans="1:45" s="25" customFormat="1">
      <c r="A246" s="4" t="s">
        <v>5384</v>
      </c>
      <c r="B246" s="21">
        <f t="shared" si="47"/>
        <v>234</v>
      </c>
      <c r="C246" s="13" t="str">
        <f t="shared" si="48"/>
        <v>C482_疾患開始日</v>
      </c>
      <c r="D246" s="13" t="s">
        <v>5001</v>
      </c>
      <c r="E246" s="8"/>
      <c r="F246" s="7" t="s">
        <v>4348</v>
      </c>
      <c r="G246" s="7" t="s">
        <v>25</v>
      </c>
      <c r="H246" s="58"/>
      <c r="I246" s="23"/>
      <c r="J246" s="24"/>
      <c r="M246" s="4"/>
      <c r="N246" s="76"/>
      <c r="O246" s="76"/>
      <c r="P246" s="76" t="str">
        <f t="shared" si="51"/>
        <v>,shikkan233_start_date</v>
      </c>
      <c r="Q246" s="76" t="str">
        <f t="shared" si="52"/>
        <v>DATE</v>
      </c>
      <c r="R246" s="76" t="str">
        <f t="shared" si="53"/>
        <v/>
      </c>
      <c r="S246" s="76" t="str">
        <f t="shared" si="54"/>
        <v/>
      </c>
      <c r="T246" s="76" t="str">
        <f t="shared" si="55"/>
        <v>-- C482_疾患開始日</v>
      </c>
      <c r="U246" s="4" t="str">
        <f t="shared" si="49"/>
        <v>, CASE WHEN shikkan_disp_name = 'C482' THEN min_shikkan_start_date ::DATE ELSE NULL END AS shikkan233_start_date</v>
      </c>
      <c r="V246" s="25" t="str">
        <f t="shared" si="50"/>
        <v>, max(shikkan233_start_date)</v>
      </c>
      <c r="AA246" s="4"/>
      <c r="AB246" s="4"/>
      <c r="AC246" s="4"/>
      <c r="AD246" s="4"/>
      <c r="AE246" s="4"/>
      <c r="AF246" s="4"/>
      <c r="AG246" s="4"/>
      <c r="AH246" s="4"/>
      <c r="AI246" s="4"/>
      <c r="AJ246" s="76" t="str">
        <f>IF(E246="○",IF(COUNTA(E$13:E246)=1,"",",")&amp;D246,"")</f>
        <v/>
      </c>
      <c r="AK246" s="4"/>
      <c r="AL246" s="4"/>
      <c r="AM246" s="4"/>
      <c r="AN246" s="4"/>
      <c r="AO246" s="4"/>
      <c r="AP246" s="4"/>
      <c r="AQ246" s="4"/>
      <c r="AR246" s="4"/>
      <c r="AS246" s="76" t="str">
        <f>"COMMENT ON COLUMN "&amp;エンティティ一覧!$O$2&amp;"."&amp;D$8&amp;"."&amp;D246&amp;" IS '"&amp;C246&amp;"';"</f>
        <v>COMMENT ON COLUMN milscm_2023_009.sny_202310_annony_shikkan2.shikkan233_start_date IS 'C482_疾患開始日';</v>
      </c>
    </row>
    <row r="247" spans="1:45" s="25" customFormat="1">
      <c r="A247" s="4" t="s">
        <v>5385</v>
      </c>
      <c r="B247" s="21">
        <f t="shared" si="47"/>
        <v>235</v>
      </c>
      <c r="C247" s="13" t="str">
        <f t="shared" si="48"/>
        <v>C488_疾患開始日</v>
      </c>
      <c r="D247" s="13" t="s">
        <v>5002</v>
      </c>
      <c r="E247" s="8"/>
      <c r="F247" s="7" t="s">
        <v>4348</v>
      </c>
      <c r="G247" s="7" t="s">
        <v>25</v>
      </c>
      <c r="H247" s="58"/>
      <c r="I247" s="23"/>
      <c r="J247" s="24"/>
      <c r="M247" s="4"/>
      <c r="N247" s="76"/>
      <c r="O247" s="76"/>
      <c r="P247" s="76" t="str">
        <f t="shared" si="51"/>
        <v>,shikkan234_start_date</v>
      </c>
      <c r="Q247" s="76" t="str">
        <f t="shared" si="52"/>
        <v>DATE</v>
      </c>
      <c r="R247" s="76" t="str">
        <f t="shared" si="53"/>
        <v/>
      </c>
      <c r="S247" s="76" t="str">
        <f t="shared" si="54"/>
        <v/>
      </c>
      <c r="T247" s="76" t="str">
        <f t="shared" si="55"/>
        <v>-- C488_疾患開始日</v>
      </c>
      <c r="U247" s="4" t="str">
        <f t="shared" si="49"/>
        <v>, CASE WHEN shikkan_disp_name = 'C488' THEN min_shikkan_start_date ::DATE ELSE NULL END AS shikkan234_start_date</v>
      </c>
      <c r="V247" s="25" t="str">
        <f t="shared" si="50"/>
        <v>, max(shikkan234_start_date)</v>
      </c>
      <c r="AA247" s="4"/>
      <c r="AB247" s="4"/>
      <c r="AC247" s="4"/>
      <c r="AD247" s="4"/>
      <c r="AE247" s="4"/>
      <c r="AF247" s="4"/>
      <c r="AG247" s="4"/>
      <c r="AH247" s="4"/>
      <c r="AI247" s="4"/>
      <c r="AJ247" s="76" t="str">
        <f>IF(E247="○",IF(COUNTA(E$13:E247)=1,"",",")&amp;D247,"")</f>
        <v/>
      </c>
      <c r="AK247" s="4"/>
      <c r="AL247" s="4"/>
      <c r="AM247" s="4"/>
      <c r="AN247" s="4"/>
      <c r="AO247" s="4"/>
      <c r="AP247" s="4"/>
      <c r="AQ247" s="4"/>
      <c r="AR247" s="4"/>
      <c r="AS247" s="76" t="str">
        <f>"COMMENT ON COLUMN "&amp;エンティティ一覧!$O$2&amp;"."&amp;D$8&amp;"."&amp;D247&amp;" IS '"&amp;C247&amp;"';"</f>
        <v>COMMENT ON COLUMN milscm_2023_009.sny_202310_annony_shikkan2.shikkan234_start_date IS 'C488_疾患開始日';</v>
      </c>
    </row>
    <row r="248" spans="1:45" s="25" customFormat="1">
      <c r="A248" s="4" t="s">
        <v>5386</v>
      </c>
      <c r="B248" s="21">
        <f t="shared" si="47"/>
        <v>236</v>
      </c>
      <c r="C248" s="13" t="str">
        <f t="shared" si="48"/>
        <v>C490_疾患開始日</v>
      </c>
      <c r="D248" s="13" t="s">
        <v>5003</v>
      </c>
      <c r="E248" s="8"/>
      <c r="F248" s="7" t="s">
        <v>4348</v>
      </c>
      <c r="G248" s="7" t="s">
        <v>25</v>
      </c>
      <c r="H248" s="58"/>
      <c r="I248" s="23"/>
      <c r="J248" s="24"/>
      <c r="M248" s="4"/>
      <c r="N248" s="76"/>
      <c r="O248" s="76"/>
      <c r="P248" s="76" t="str">
        <f t="shared" si="51"/>
        <v>,shikkan235_start_date</v>
      </c>
      <c r="Q248" s="76" t="str">
        <f t="shared" si="52"/>
        <v>DATE</v>
      </c>
      <c r="R248" s="76" t="str">
        <f t="shared" si="53"/>
        <v/>
      </c>
      <c r="S248" s="76" t="str">
        <f t="shared" si="54"/>
        <v/>
      </c>
      <c r="T248" s="76" t="str">
        <f t="shared" si="55"/>
        <v>-- C490_疾患開始日</v>
      </c>
      <c r="U248" s="4" t="str">
        <f t="shared" si="49"/>
        <v>, CASE WHEN shikkan_disp_name = 'C490' THEN min_shikkan_start_date ::DATE ELSE NULL END AS shikkan235_start_date</v>
      </c>
      <c r="V248" s="25" t="str">
        <f t="shared" si="50"/>
        <v>, max(shikkan235_start_date)</v>
      </c>
      <c r="AA248" s="4"/>
      <c r="AB248" s="4"/>
      <c r="AC248" s="4"/>
      <c r="AD248" s="4"/>
      <c r="AE248" s="4"/>
      <c r="AF248" s="4"/>
      <c r="AG248" s="4"/>
      <c r="AH248" s="4"/>
      <c r="AI248" s="4"/>
      <c r="AJ248" s="76" t="str">
        <f>IF(E248="○",IF(COUNTA(E$13:E248)=1,"",",")&amp;D248,"")</f>
        <v/>
      </c>
      <c r="AK248" s="4"/>
      <c r="AL248" s="4"/>
      <c r="AM248" s="4"/>
      <c r="AN248" s="4"/>
      <c r="AO248" s="4"/>
      <c r="AP248" s="4"/>
      <c r="AQ248" s="4"/>
      <c r="AR248" s="4"/>
      <c r="AS248" s="76" t="str">
        <f>"COMMENT ON COLUMN "&amp;エンティティ一覧!$O$2&amp;"."&amp;D$8&amp;"."&amp;D248&amp;" IS '"&amp;C248&amp;"';"</f>
        <v>COMMENT ON COLUMN milscm_2023_009.sny_202310_annony_shikkan2.shikkan235_start_date IS 'C490_疾患開始日';</v>
      </c>
    </row>
    <row r="249" spans="1:45" s="25" customFormat="1">
      <c r="A249" s="4" t="s">
        <v>5387</v>
      </c>
      <c r="B249" s="21">
        <f t="shared" si="47"/>
        <v>237</v>
      </c>
      <c r="C249" s="13" t="str">
        <f t="shared" si="48"/>
        <v>C491_疾患開始日</v>
      </c>
      <c r="D249" s="13" t="s">
        <v>5004</v>
      </c>
      <c r="E249" s="8"/>
      <c r="F249" s="7" t="s">
        <v>4348</v>
      </c>
      <c r="G249" s="7" t="s">
        <v>25</v>
      </c>
      <c r="H249" s="58"/>
      <c r="I249" s="23"/>
      <c r="J249" s="24"/>
      <c r="M249" s="4"/>
      <c r="N249" s="76"/>
      <c r="O249" s="76"/>
      <c r="P249" s="76" t="str">
        <f t="shared" si="51"/>
        <v>,shikkan236_start_date</v>
      </c>
      <c r="Q249" s="76" t="str">
        <f t="shared" si="52"/>
        <v>DATE</v>
      </c>
      <c r="R249" s="76" t="str">
        <f t="shared" si="53"/>
        <v/>
      </c>
      <c r="S249" s="76" t="str">
        <f t="shared" si="54"/>
        <v/>
      </c>
      <c r="T249" s="76" t="str">
        <f t="shared" si="55"/>
        <v>-- C491_疾患開始日</v>
      </c>
      <c r="U249" s="4" t="str">
        <f t="shared" si="49"/>
        <v>, CASE WHEN shikkan_disp_name = 'C491' THEN min_shikkan_start_date ::DATE ELSE NULL END AS shikkan236_start_date</v>
      </c>
      <c r="V249" s="25" t="str">
        <f t="shared" si="50"/>
        <v>, max(shikkan236_start_date)</v>
      </c>
      <c r="AA249" s="4"/>
      <c r="AB249" s="4"/>
      <c r="AC249" s="4"/>
      <c r="AD249" s="4"/>
      <c r="AE249" s="4"/>
      <c r="AF249" s="4"/>
      <c r="AG249" s="4"/>
      <c r="AH249" s="4"/>
      <c r="AI249" s="4"/>
      <c r="AJ249" s="76" t="str">
        <f>IF(E249="○",IF(COUNTA(E$13:E249)=1,"",",")&amp;D249,"")</f>
        <v/>
      </c>
      <c r="AK249" s="4"/>
      <c r="AL249" s="4"/>
      <c r="AM249" s="4"/>
      <c r="AN249" s="4"/>
      <c r="AO249" s="4"/>
      <c r="AP249" s="4"/>
      <c r="AQ249" s="4"/>
      <c r="AR249" s="4"/>
      <c r="AS249" s="76" t="str">
        <f>"COMMENT ON COLUMN "&amp;エンティティ一覧!$O$2&amp;"."&amp;D$8&amp;"."&amp;D249&amp;" IS '"&amp;C249&amp;"';"</f>
        <v>COMMENT ON COLUMN milscm_2023_009.sny_202310_annony_shikkan2.shikkan236_start_date IS 'C491_疾患開始日';</v>
      </c>
    </row>
    <row r="250" spans="1:45" s="25" customFormat="1">
      <c r="A250" s="4" t="s">
        <v>5388</v>
      </c>
      <c r="B250" s="21">
        <f t="shared" si="47"/>
        <v>238</v>
      </c>
      <c r="C250" s="13" t="str">
        <f t="shared" si="48"/>
        <v>C492_疾患開始日</v>
      </c>
      <c r="D250" s="13" t="s">
        <v>5005</v>
      </c>
      <c r="E250" s="8"/>
      <c r="F250" s="7" t="s">
        <v>4348</v>
      </c>
      <c r="G250" s="7" t="s">
        <v>25</v>
      </c>
      <c r="H250" s="58"/>
      <c r="I250" s="23"/>
      <c r="J250" s="24"/>
      <c r="M250" s="4"/>
      <c r="N250" s="76"/>
      <c r="O250" s="76"/>
      <c r="P250" s="76" t="str">
        <f t="shared" si="51"/>
        <v>,shikkan237_start_date</v>
      </c>
      <c r="Q250" s="76" t="str">
        <f t="shared" si="52"/>
        <v>DATE</v>
      </c>
      <c r="R250" s="76" t="str">
        <f t="shared" si="53"/>
        <v/>
      </c>
      <c r="S250" s="76" t="str">
        <f t="shared" si="54"/>
        <v/>
      </c>
      <c r="T250" s="76" t="str">
        <f t="shared" si="55"/>
        <v>-- C492_疾患開始日</v>
      </c>
      <c r="U250" s="4" t="str">
        <f t="shared" si="49"/>
        <v>, CASE WHEN shikkan_disp_name = 'C492' THEN min_shikkan_start_date ::DATE ELSE NULL END AS shikkan237_start_date</v>
      </c>
      <c r="V250" s="25" t="str">
        <f t="shared" si="50"/>
        <v>, max(shikkan237_start_date)</v>
      </c>
      <c r="AA250" s="4"/>
      <c r="AB250" s="4"/>
      <c r="AC250" s="4"/>
      <c r="AD250" s="4"/>
      <c r="AE250" s="4"/>
      <c r="AF250" s="4"/>
      <c r="AG250" s="4"/>
      <c r="AH250" s="4"/>
      <c r="AI250" s="4"/>
      <c r="AJ250" s="76" t="str">
        <f>IF(E250="○",IF(COUNTA(E$13:E250)=1,"",",")&amp;D250,"")</f>
        <v/>
      </c>
      <c r="AK250" s="4"/>
      <c r="AL250" s="4"/>
      <c r="AM250" s="4"/>
      <c r="AN250" s="4"/>
      <c r="AO250" s="4"/>
      <c r="AP250" s="4"/>
      <c r="AQ250" s="4"/>
      <c r="AR250" s="4"/>
      <c r="AS250" s="76" t="str">
        <f>"COMMENT ON COLUMN "&amp;エンティティ一覧!$O$2&amp;"."&amp;D$8&amp;"."&amp;D250&amp;" IS '"&amp;C250&amp;"';"</f>
        <v>COMMENT ON COLUMN milscm_2023_009.sny_202310_annony_shikkan2.shikkan237_start_date IS 'C492_疾患開始日';</v>
      </c>
    </row>
    <row r="251" spans="1:45" s="25" customFormat="1">
      <c r="A251" s="4" t="s">
        <v>5389</v>
      </c>
      <c r="B251" s="21">
        <f t="shared" si="47"/>
        <v>239</v>
      </c>
      <c r="C251" s="13" t="str">
        <f t="shared" si="48"/>
        <v>C493_疾患開始日</v>
      </c>
      <c r="D251" s="13" t="s">
        <v>5006</v>
      </c>
      <c r="E251" s="8"/>
      <c r="F251" s="7" t="s">
        <v>4348</v>
      </c>
      <c r="G251" s="7" t="s">
        <v>25</v>
      </c>
      <c r="H251" s="58"/>
      <c r="I251" s="23"/>
      <c r="J251" s="24"/>
      <c r="M251" s="4"/>
      <c r="N251" s="76"/>
      <c r="O251" s="76"/>
      <c r="P251" s="76" t="str">
        <f t="shared" si="51"/>
        <v>,shikkan238_start_date</v>
      </c>
      <c r="Q251" s="76" t="str">
        <f t="shared" si="52"/>
        <v>DATE</v>
      </c>
      <c r="R251" s="76" t="str">
        <f t="shared" si="53"/>
        <v/>
      </c>
      <c r="S251" s="76" t="str">
        <f t="shared" si="54"/>
        <v/>
      </c>
      <c r="T251" s="76" t="str">
        <f t="shared" si="55"/>
        <v>-- C493_疾患開始日</v>
      </c>
      <c r="U251" s="4" t="str">
        <f t="shared" si="49"/>
        <v>, CASE WHEN shikkan_disp_name = 'C493' THEN min_shikkan_start_date ::DATE ELSE NULL END AS shikkan238_start_date</v>
      </c>
      <c r="V251" s="25" t="str">
        <f t="shared" si="50"/>
        <v>, max(shikkan238_start_date)</v>
      </c>
      <c r="AA251" s="4"/>
      <c r="AB251" s="4"/>
      <c r="AC251" s="4"/>
      <c r="AD251" s="4"/>
      <c r="AE251" s="4"/>
      <c r="AF251" s="4"/>
      <c r="AG251" s="4"/>
      <c r="AH251" s="4"/>
      <c r="AI251" s="4"/>
      <c r="AJ251" s="76" t="str">
        <f>IF(E251="○",IF(COUNTA(E$13:E251)=1,"",",")&amp;D251,"")</f>
        <v/>
      </c>
      <c r="AK251" s="4"/>
      <c r="AL251" s="4"/>
      <c r="AM251" s="4"/>
      <c r="AN251" s="4"/>
      <c r="AO251" s="4"/>
      <c r="AP251" s="4"/>
      <c r="AQ251" s="4"/>
      <c r="AR251" s="4"/>
      <c r="AS251" s="76" t="str">
        <f>"COMMENT ON COLUMN "&amp;エンティティ一覧!$O$2&amp;"."&amp;D$8&amp;"."&amp;D251&amp;" IS '"&amp;C251&amp;"';"</f>
        <v>COMMENT ON COLUMN milscm_2023_009.sny_202310_annony_shikkan2.shikkan238_start_date IS 'C493_疾患開始日';</v>
      </c>
    </row>
    <row r="252" spans="1:45" s="25" customFormat="1">
      <c r="A252" s="4" t="s">
        <v>5390</v>
      </c>
      <c r="B252" s="21">
        <f t="shared" si="47"/>
        <v>240</v>
      </c>
      <c r="C252" s="13" t="str">
        <f t="shared" si="48"/>
        <v>C494_疾患開始日</v>
      </c>
      <c r="D252" s="13" t="s">
        <v>5007</v>
      </c>
      <c r="E252" s="8"/>
      <c r="F252" s="7" t="s">
        <v>4348</v>
      </c>
      <c r="G252" s="7" t="s">
        <v>25</v>
      </c>
      <c r="H252" s="58"/>
      <c r="I252" s="23"/>
      <c r="J252" s="24"/>
      <c r="M252" s="4"/>
      <c r="N252" s="76"/>
      <c r="O252" s="76"/>
      <c r="P252" s="76" t="str">
        <f t="shared" si="51"/>
        <v>,shikkan239_start_date</v>
      </c>
      <c r="Q252" s="76" t="str">
        <f t="shared" si="52"/>
        <v>DATE</v>
      </c>
      <c r="R252" s="76" t="str">
        <f t="shared" si="53"/>
        <v/>
      </c>
      <c r="S252" s="76" t="str">
        <f t="shared" si="54"/>
        <v/>
      </c>
      <c r="T252" s="76" t="str">
        <f t="shared" si="55"/>
        <v>-- C494_疾患開始日</v>
      </c>
      <c r="U252" s="4" t="str">
        <f t="shared" si="49"/>
        <v>, CASE WHEN shikkan_disp_name = 'C494' THEN min_shikkan_start_date ::DATE ELSE NULL END AS shikkan239_start_date</v>
      </c>
      <c r="V252" s="25" t="str">
        <f t="shared" si="50"/>
        <v>, max(shikkan239_start_date)</v>
      </c>
      <c r="AA252" s="4"/>
      <c r="AB252" s="4"/>
      <c r="AC252" s="4"/>
      <c r="AD252" s="4"/>
      <c r="AE252" s="4"/>
      <c r="AF252" s="4"/>
      <c r="AG252" s="4"/>
      <c r="AH252" s="4"/>
      <c r="AI252" s="4"/>
      <c r="AJ252" s="76" t="str">
        <f>IF(E252="○",IF(COUNTA(E$13:E252)=1,"",",")&amp;D252,"")</f>
        <v/>
      </c>
      <c r="AK252" s="4"/>
      <c r="AL252" s="4"/>
      <c r="AM252" s="4"/>
      <c r="AN252" s="4"/>
      <c r="AO252" s="4"/>
      <c r="AP252" s="4"/>
      <c r="AQ252" s="4"/>
      <c r="AR252" s="4"/>
      <c r="AS252" s="76" t="str">
        <f>"COMMENT ON COLUMN "&amp;エンティティ一覧!$O$2&amp;"."&amp;D$8&amp;"."&amp;D252&amp;" IS '"&amp;C252&amp;"';"</f>
        <v>COMMENT ON COLUMN milscm_2023_009.sny_202310_annony_shikkan2.shikkan239_start_date IS 'C494_疾患開始日';</v>
      </c>
    </row>
    <row r="253" spans="1:45" s="25" customFormat="1">
      <c r="A253" s="4" t="s">
        <v>5391</v>
      </c>
      <c r="B253" s="21">
        <f t="shared" si="47"/>
        <v>241</v>
      </c>
      <c r="C253" s="13" t="str">
        <f t="shared" si="48"/>
        <v>C495_疾患開始日</v>
      </c>
      <c r="D253" s="13" t="s">
        <v>5008</v>
      </c>
      <c r="E253" s="8"/>
      <c r="F253" s="7" t="s">
        <v>4348</v>
      </c>
      <c r="G253" s="7" t="s">
        <v>25</v>
      </c>
      <c r="H253" s="58"/>
      <c r="I253" s="23"/>
      <c r="J253" s="24"/>
      <c r="M253" s="4"/>
      <c r="N253" s="76"/>
      <c r="O253" s="76"/>
      <c r="P253" s="76" t="str">
        <f t="shared" si="51"/>
        <v>,shikkan240_start_date</v>
      </c>
      <c r="Q253" s="76" t="str">
        <f t="shared" si="52"/>
        <v>DATE</v>
      </c>
      <c r="R253" s="76" t="str">
        <f t="shared" si="53"/>
        <v/>
      </c>
      <c r="S253" s="76" t="str">
        <f t="shared" si="54"/>
        <v/>
      </c>
      <c r="T253" s="76" t="str">
        <f t="shared" si="55"/>
        <v>-- C495_疾患開始日</v>
      </c>
      <c r="U253" s="4" t="str">
        <f t="shared" si="49"/>
        <v>, CASE WHEN shikkan_disp_name = 'C495' THEN min_shikkan_start_date ::DATE ELSE NULL END AS shikkan240_start_date</v>
      </c>
      <c r="V253" s="25" t="str">
        <f t="shared" si="50"/>
        <v>, max(shikkan240_start_date)</v>
      </c>
      <c r="AA253" s="4"/>
      <c r="AB253" s="4"/>
      <c r="AC253" s="4"/>
      <c r="AD253" s="4"/>
      <c r="AE253" s="4"/>
      <c r="AF253" s="4"/>
      <c r="AG253" s="4"/>
      <c r="AH253" s="4"/>
      <c r="AI253" s="4"/>
      <c r="AJ253" s="76" t="str">
        <f>IF(E253="○",IF(COUNTA(E$13:E253)=1,"",",")&amp;D253,"")</f>
        <v/>
      </c>
      <c r="AK253" s="4"/>
      <c r="AL253" s="4"/>
      <c r="AM253" s="4"/>
      <c r="AN253" s="4"/>
      <c r="AO253" s="4"/>
      <c r="AP253" s="4"/>
      <c r="AQ253" s="4"/>
      <c r="AR253" s="4"/>
      <c r="AS253" s="76" t="str">
        <f>"COMMENT ON COLUMN "&amp;エンティティ一覧!$O$2&amp;"."&amp;D$8&amp;"."&amp;D253&amp;" IS '"&amp;C253&amp;"';"</f>
        <v>COMMENT ON COLUMN milscm_2023_009.sny_202310_annony_shikkan2.shikkan240_start_date IS 'C495_疾患開始日';</v>
      </c>
    </row>
    <row r="254" spans="1:45" s="25" customFormat="1">
      <c r="A254" s="4" t="s">
        <v>5392</v>
      </c>
      <c r="B254" s="21">
        <f t="shared" si="47"/>
        <v>242</v>
      </c>
      <c r="C254" s="13" t="str">
        <f t="shared" si="48"/>
        <v>C496_疾患開始日</v>
      </c>
      <c r="D254" s="13" t="s">
        <v>5009</v>
      </c>
      <c r="E254" s="8"/>
      <c r="F254" s="7" t="s">
        <v>4348</v>
      </c>
      <c r="G254" s="7" t="s">
        <v>99</v>
      </c>
      <c r="H254" s="58"/>
      <c r="I254" s="23"/>
      <c r="J254" s="24"/>
      <c r="M254" s="4"/>
      <c r="N254" s="76"/>
      <c r="O254" s="76"/>
      <c r="P254" s="76" t="str">
        <f t="shared" ref="P254:P269" si="56">IF(B254&lt;&gt;1,","&amp;D254,D254)</f>
        <v>,shikkan241_start_date</v>
      </c>
      <c r="Q254" s="76" t="str">
        <f t="shared" ref="Q254:Q269" si="57">UPPER(G254)</f>
        <v>DATE</v>
      </c>
      <c r="R254" s="76" t="str">
        <f t="shared" ref="R254:R269" si="58">IF(H254&lt;&gt;"","default "&amp;IF(G254="text","'"&amp;H254&amp;"'",H254),"")</f>
        <v/>
      </c>
      <c r="S254" s="76" t="str">
        <f t="shared" ref="S254:S269" si="59">IF(I254="○","NOT NULL","")</f>
        <v/>
      </c>
      <c r="T254" s="76" t="str">
        <f t="shared" ref="T254:T269" si="60">"-- "&amp;C254</f>
        <v>-- C496_疾患開始日</v>
      </c>
      <c r="U254" s="4" t="str">
        <f t="shared" si="49"/>
        <v>, CASE WHEN shikkan_disp_name = 'C496' THEN min_shikkan_start_date ::DATE ELSE NULL END AS shikkan241_start_date</v>
      </c>
      <c r="V254" s="25" t="str">
        <f t="shared" si="50"/>
        <v>, max(shikkan241_start_date)</v>
      </c>
      <c r="AA254" s="4"/>
      <c r="AB254" s="4"/>
      <c r="AC254" s="4"/>
      <c r="AD254" s="4"/>
      <c r="AE254" s="4"/>
      <c r="AF254" s="4"/>
      <c r="AG254" s="4"/>
      <c r="AH254" s="4"/>
      <c r="AI254" s="4"/>
      <c r="AJ254" s="76" t="str">
        <f>IF(E254="○",IF(COUNTA(E$13:E254)=1,"",",")&amp;D254,"")</f>
        <v/>
      </c>
      <c r="AK254" s="4"/>
      <c r="AL254" s="4"/>
      <c r="AM254" s="4"/>
      <c r="AN254" s="4"/>
      <c r="AO254" s="4"/>
      <c r="AP254" s="4"/>
      <c r="AQ254" s="4"/>
      <c r="AR254" s="4"/>
      <c r="AS254" s="76" t="str">
        <f>"COMMENT ON COLUMN "&amp;エンティティ一覧!$O$2&amp;"."&amp;D$8&amp;"."&amp;D254&amp;" IS '"&amp;C254&amp;"';"</f>
        <v>COMMENT ON COLUMN milscm_2023_009.sny_202310_annony_shikkan2.shikkan241_start_date IS 'C496_疾患開始日';</v>
      </c>
    </row>
    <row r="255" spans="1:45" s="25" customFormat="1">
      <c r="A255" s="4" t="s">
        <v>5393</v>
      </c>
      <c r="B255" s="21">
        <f t="shared" si="47"/>
        <v>243</v>
      </c>
      <c r="C255" s="13" t="str">
        <f t="shared" si="48"/>
        <v>C498_疾患開始日</v>
      </c>
      <c r="D255" s="13" t="s">
        <v>5010</v>
      </c>
      <c r="E255" s="8"/>
      <c r="F255" s="7" t="s">
        <v>4348</v>
      </c>
      <c r="G255" s="7" t="s">
        <v>25</v>
      </c>
      <c r="H255" s="58"/>
      <c r="I255" s="23"/>
      <c r="J255" s="24"/>
      <c r="M255" s="4"/>
      <c r="N255" s="76"/>
      <c r="O255" s="76"/>
      <c r="P255" s="76" t="str">
        <f t="shared" si="56"/>
        <v>,shikkan242_start_date</v>
      </c>
      <c r="Q255" s="76" t="str">
        <f t="shared" si="57"/>
        <v>DATE</v>
      </c>
      <c r="R255" s="76" t="str">
        <f t="shared" si="58"/>
        <v/>
      </c>
      <c r="S255" s="76" t="str">
        <f t="shared" si="59"/>
        <v/>
      </c>
      <c r="T255" s="76" t="str">
        <f t="shared" si="60"/>
        <v>-- C498_疾患開始日</v>
      </c>
      <c r="U255" s="4" t="str">
        <f t="shared" si="49"/>
        <v>, CASE WHEN shikkan_disp_name = 'C498' THEN min_shikkan_start_date ::DATE ELSE NULL END AS shikkan242_start_date</v>
      </c>
      <c r="V255" s="25" t="str">
        <f t="shared" si="50"/>
        <v>, max(shikkan242_start_date)</v>
      </c>
      <c r="AA255" s="4"/>
      <c r="AB255" s="4"/>
      <c r="AC255" s="4"/>
      <c r="AD255" s="4"/>
      <c r="AE255" s="4"/>
      <c r="AF255" s="4"/>
      <c r="AG255" s="4"/>
      <c r="AH255" s="4"/>
      <c r="AI255" s="4"/>
      <c r="AJ255" s="76" t="str">
        <f>IF(E255="○",IF(COUNTA(E$13:E255)=1,"",",")&amp;D255,"")</f>
        <v/>
      </c>
      <c r="AK255" s="4"/>
      <c r="AL255" s="4"/>
      <c r="AM255" s="4"/>
      <c r="AN255" s="4"/>
      <c r="AO255" s="4"/>
      <c r="AP255" s="4"/>
      <c r="AQ255" s="4"/>
      <c r="AR255" s="4"/>
      <c r="AS255" s="76" t="str">
        <f>"COMMENT ON COLUMN "&amp;エンティティ一覧!$O$2&amp;"."&amp;D$8&amp;"."&amp;D255&amp;" IS '"&amp;C255&amp;"';"</f>
        <v>COMMENT ON COLUMN milscm_2023_009.sny_202310_annony_shikkan2.shikkan242_start_date IS 'C498_疾患開始日';</v>
      </c>
    </row>
    <row r="256" spans="1:45" s="25" customFormat="1">
      <c r="A256" s="4" t="s">
        <v>5394</v>
      </c>
      <c r="B256" s="21">
        <f t="shared" si="47"/>
        <v>244</v>
      </c>
      <c r="C256" s="13" t="str">
        <f t="shared" si="48"/>
        <v>C499_疾患開始日</v>
      </c>
      <c r="D256" s="13" t="s">
        <v>5011</v>
      </c>
      <c r="E256" s="8"/>
      <c r="F256" s="7" t="s">
        <v>4348</v>
      </c>
      <c r="G256" s="7" t="s">
        <v>25</v>
      </c>
      <c r="H256" s="58"/>
      <c r="I256" s="23"/>
      <c r="J256" s="24"/>
      <c r="M256" s="4"/>
      <c r="N256" s="76"/>
      <c r="O256" s="76"/>
      <c r="P256" s="76" t="str">
        <f t="shared" si="56"/>
        <v>,shikkan243_start_date</v>
      </c>
      <c r="Q256" s="76" t="str">
        <f t="shared" si="57"/>
        <v>DATE</v>
      </c>
      <c r="R256" s="76" t="str">
        <f t="shared" si="58"/>
        <v/>
      </c>
      <c r="S256" s="76" t="str">
        <f t="shared" si="59"/>
        <v/>
      </c>
      <c r="T256" s="76" t="str">
        <f t="shared" si="60"/>
        <v>-- C499_疾患開始日</v>
      </c>
      <c r="U256" s="4" t="str">
        <f t="shared" si="49"/>
        <v>, CASE WHEN shikkan_disp_name = 'C499' THEN min_shikkan_start_date ::DATE ELSE NULL END AS shikkan243_start_date</v>
      </c>
      <c r="V256" s="25" t="str">
        <f t="shared" si="50"/>
        <v>, max(shikkan243_start_date)</v>
      </c>
      <c r="AA256" s="4"/>
      <c r="AB256" s="4"/>
      <c r="AC256" s="4"/>
      <c r="AD256" s="4"/>
      <c r="AE256" s="4"/>
      <c r="AF256" s="4"/>
      <c r="AG256" s="4"/>
      <c r="AH256" s="4"/>
      <c r="AI256" s="4"/>
      <c r="AJ256" s="76" t="str">
        <f>IF(E256="○",IF(COUNTA(E$13:E256)=1,"",",")&amp;D256,"")</f>
        <v/>
      </c>
      <c r="AK256" s="4"/>
      <c r="AL256" s="4"/>
      <c r="AM256" s="4"/>
      <c r="AN256" s="4"/>
      <c r="AO256" s="4"/>
      <c r="AP256" s="4"/>
      <c r="AQ256" s="4"/>
      <c r="AR256" s="4"/>
      <c r="AS256" s="76" t="str">
        <f>"COMMENT ON COLUMN "&amp;エンティティ一覧!$O$2&amp;"."&amp;D$8&amp;"."&amp;D256&amp;" IS '"&amp;C256&amp;"';"</f>
        <v>COMMENT ON COLUMN milscm_2023_009.sny_202310_annony_shikkan2.shikkan243_start_date IS 'C499_疾患開始日';</v>
      </c>
    </row>
    <row r="257" spans="1:45" s="25" customFormat="1">
      <c r="A257" s="4" t="s">
        <v>5395</v>
      </c>
      <c r="B257" s="21">
        <f t="shared" si="47"/>
        <v>245</v>
      </c>
      <c r="C257" s="13" t="str">
        <f t="shared" si="48"/>
        <v>C500_疾患開始日</v>
      </c>
      <c r="D257" s="13" t="s">
        <v>5012</v>
      </c>
      <c r="E257" s="8"/>
      <c r="F257" s="7" t="s">
        <v>4348</v>
      </c>
      <c r="G257" s="7" t="s">
        <v>25</v>
      </c>
      <c r="H257" s="58"/>
      <c r="I257" s="23"/>
      <c r="J257" s="24"/>
      <c r="M257" s="4"/>
      <c r="N257" s="76"/>
      <c r="O257" s="76"/>
      <c r="P257" s="76" t="str">
        <f t="shared" si="56"/>
        <v>,shikkan244_start_date</v>
      </c>
      <c r="Q257" s="76" t="str">
        <f t="shared" si="57"/>
        <v>DATE</v>
      </c>
      <c r="R257" s="76" t="str">
        <f t="shared" si="58"/>
        <v/>
      </c>
      <c r="S257" s="76" t="str">
        <f t="shared" si="59"/>
        <v/>
      </c>
      <c r="T257" s="76" t="str">
        <f t="shared" si="60"/>
        <v>-- C500_疾患開始日</v>
      </c>
      <c r="U257" s="4" t="str">
        <f t="shared" si="49"/>
        <v>, CASE WHEN shikkan_disp_name = 'C500' THEN min_shikkan_start_date ::DATE ELSE NULL END AS shikkan244_start_date</v>
      </c>
      <c r="V257" s="25" t="str">
        <f t="shared" si="50"/>
        <v>, max(shikkan244_start_date)</v>
      </c>
      <c r="AA257" s="4"/>
      <c r="AB257" s="4"/>
      <c r="AC257" s="4"/>
      <c r="AD257" s="4"/>
      <c r="AE257" s="4"/>
      <c r="AF257" s="4"/>
      <c r="AG257" s="4"/>
      <c r="AH257" s="4"/>
      <c r="AI257" s="4"/>
      <c r="AJ257" s="76" t="str">
        <f>IF(E257="○",IF(COUNTA(E$13:E257)=1,"",",")&amp;D257,"")</f>
        <v/>
      </c>
      <c r="AK257" s="4"/>
      <c r="AL257" s="4"/>
      <c r="AM257" s="4"/>
      <c r="AN257" s="4"/>
      <c r="AO257" s="4"/>
      <c r="AP257" s="4"/>
      <c r="AQ257" s="4"/>
      <c r="AR257" s="4"/>
      <c r="AS257" s="76" t="str">
        <f>"COMMENT ON COLUMN "&amp;エンティティ一覧!$O$2&amp;"."&amp;D$8&amp;"."&amp;D257&amp;" IS '"&amp;C257&amp;"';"</f>
        <v>COMMENT ON COLUMN milscm_2023_009.sny_202310_annony_shikkan2.shikkan244_start_date IS 'C500_疾患開始日';</v>
      </c>
    </row>
    <row r="258" spans="1:45" s="25" customFormat="1">
      <c r="A258" s="4" t="s">
        <v>5396</v>
      </c>
      <c r="B258" s="21">
        <f t="shared" si="47"/>
        <v>246</v>
      </c>
      <c r="C258" s="13" t="str">
        <f t="shared" si="48"/>
        <v>C501_疾患開始日</v>
      </c>
      <c r="D258" s="13" t="s">
        <v>5013</v>
      </c>
      <c r="E258" s="8"/>
      <c r="F258" s="7" t="s">
        <v>4348</v>
      </c>
      <c r="G258" s="7" t="s">
        <v>25</v>
      </c>
      <c r="H258" s="58"/>
      <c r="I258" s="23"/>
      <c r="J258" s="24"/>
      <c r="M258" s="4"/>
      <c r="N258" s="76"/>
      <c r="O258" s="76"/>
      <c r="P258" s="76" t="str">
        <f t="shared" si="56"/>
        <v>,shikkan245_start_date</v>
      </c>
      <c r="Q258" s="76" t="str">
        <f t="shared" si="57"/>
        <v>DATE</v>
      </c>
      <c r="R258" s="76" t="str">
        <f t="shared" si="58"/>
        <v/>
      </c>
      <c r="S258" s="76" t="str">
        <f t="shared" si="59"/>
        <v/>
      </c>
      <c r="T258" s="76" t="str">
        <f t="shared" si="60"/>
        <v>-- C501_疾患開始日</v>
      </c>
      <c r="U258" s="4" t="str">
        <f t="shared" si="49"/>
        <v>, CASE WHEN shikkan_disp_name = 'C501' THEN min_shikkan_start_date ::DATE ELSE NULL END AS shikkan245_start_date</v>
      </c>
      <c r="V258" s="25" t="str">
        <f t="shared" si="50"/>
        <v>, max(shikkan245_start_date)</v>
      </c>
      <c r="AA258" s="4"/>
      <c r="AB258" s="4"/>
      <c r="AC258" s="4"/>
      <c r="AD258" s="4"/>
      <c r="AE258" s="4"/>
      <c r="AF258" s="4"/>
      <c r="AG258" s="4"/>
      <c r="AH258" s="4"/>
      <c r="AI258" s="4"/>
      <c r="AJ258" s="76" t="str">
        <f>IF(E258="○",IF(COUNTA(E$13:E258)=1,"",",")&amp;D258,"")</f>
        <v/>
      </c>
      <c r="AK258" s="4"/>
      <c r="AL258" s="4"/>
      <c r="AM258" s="4"/>
      <c r="AN258" s="4"/>
      <c r="AO258" s="4"/>
      <c r="AP258" s="4"/>
      <c r="AQ258" s="4"/>
      <c r="AR258" s="4"/>
      <c r="AS258" s="76" t="str">
        <f>"COMMENT ON COLUMN "&amp;エンティティ一覧!$O$2&amp;"."&amp;D$8&amp;"."&amp;D258&amp;" IS '"&amp;C258&amp;"';"</f>
        <v>COMMENT ON COLUMN milscm_2023_009.sny_202310_annony_shikkan2.shikkan245_start_date IS 'C501_疾患開始日';</v>
      </c>
    </row>
    <row r="259" spans="1:45" s="25" customFormat="1">
      <c r="A259" s="4" t="s">
        <v>5397</v>
      </c>
      <c r="B259" s="21">
        <f t="shared" si="47"/>
        <v>247</v>
      </c>
      <c r="C259" s="13" t="str">
        <f t="shared" si="48"/>
        <v>C502_疾患開始日</v>
      </c>
      <c r="D259" s="13" t="s">
        <v>5014</v>
      </c>
      <c r="E259" s="8"/>
      <c r="F259" s="7" t="s">
        <v>4348</v>
      </c>
      <c r="G259" s="7" t="s">
        <v>25</v>
      </c>
      <c r="H259" s="58"/>
      <c r="I259" s="23"/>
      <c r="J259" s="24"/>
      <c r="M259" s="4"/>
      <c r="N259" s="76"/>
      <c r="O259" s="76"/>
      <c r="P259" s="76" t="str">
        <f t="shared" si="56"/>
        <v>,shikkan246_start_date</v>
      </c>
      <c r="Q259" s="76" t="str">
        <f t="shared" si="57"/>
        <v>DATE</v>
      </c>
      <c r="R259" s="76" t="str">
        <f t="shared" si="58"/>
        <v/>
      </c>
      <c r="S259" s="76" t="str">
        <f t="shared" si="59"/>
        <v/>
      </c>
      <c r="T259" s="76" t="str">
        <f t="shared" si="60"/>
        <v>-- C502_疾患開始日</v>
      </c>
      <c r="U259" s="4" t="str">
        <f t="shared" si="49"/>
        <v>, CASE WHEN shikkan_disp_name = 'C502' THEN min_shikkan_start_date ::DATE ELSE NULL END AS shikkan246_start_date</v>
      </c>
      <c r="V259" s="25" t="str">
        <f t="shared" si="50"/>
        <v>, max(shikkan246_start_date)</v>
      </c>
      <c r="AA259" s="4"/>
      <c r="AB259" s="4"/>
      <c r="AC259" s="4"/>
      <c r="AD259" s="4"/>
      <c r="AE259" s="4"/>
      <c r="AF259" s="4"/>
      <c r="AG259" s="4"/>
      <c r="AH259" s="4"/>
      <c r="AI259" s="4"/>
      <c r="AJ259" s="76" t="str">
        <f>IF(E259="○",IF(COUNTA(E$13:E259)=1,"",",")&amp;D259,"")</f>
        <v/>
      </c>
      <c r="AK259" s="4"/>
      <c r="AL259" s="4"/>
      <c r="AM259" s="4"/>
      <c r="AN259" s="4"/>
      <c r="AO259" s="4"/>
      <c r="AP259" s="4"/>
      <c r="AQ259" s="4"/>
      <c r="AR259" s="4"/>
      <c r="AS259" s="76" t="str">
        <f>"COMMENT ON COLUMN "&amp;エンティティ一覧!$O$2&amp;"."&amp;D$8&amp;"."&amp;D259&amp;" IS '"&amp;C259&amp;"';"</f>
        <v>COMMENT ON COLUMN milscm_2023_009.sny_202310_annony_shikkan2.shikkan246_start_date IS 'C502_疾患開始日';</v>
      </c>
    </row>
    <row r="260" spans="1:45" s="25" customFormat="1">
      <c r="A260" s="4" t="s">
        <v>5398</v>
      </c>
      <c r="B260" s="21">
        <f t="shared" si="47"/>
        <v>248</v>
      </c>
      <c r="C260" s="13" t="str">
        <f t="shared" si="48"/>
        <v>C503_疾患開始日</v>
      </c>
      <c r="D260" s="13" t="s">
        <v>5015</v>
      </c>
      <c r="E260" s="8"/>
      <c r="F260" s="7" t="s">
        <v>4348</v>
      </c>
      <c r="G260" s="7" t="s">
        <v>25</v>
      </c>
      <c r="H260" s="58"/>
      <c r="I260" s="23"/>
      <c r="J260" s="24"/>
      <c r="M260" s="4"/>
      <c r="N260" s="76"/>
      <c r="O260" s="76"/>
      <c r="P260" s="76" t="str">
        <f t="shared" si="56"/>
        <v>,shikkan247_start_date</v>
      </c>
      <c r="Q260" s="76" t="str">
        <f t="shared" si="57"/>
        <v>DATE</v>
      </c>
      <c r="R260" s="76" t="str">
        <f t="shared" si="58"/>
        <v/>
      </c>
      <c r="S260" s="76" t="str">
        <f t="shared" si="59"/>
        <v/>
      </c>
      <c r="T260" s="76" t="str">
        <f t="shared" si="60"/>
        <v>-- C503_疾患開始日</v>
      </c>
      <c r="U260" s="4" t="str">
        <f t="shared" si="49"/>
        <v>, CASE WHEN shikkan_disp_name = 'C503' THEN min_shikkan_start_date ::DATE ELSE NULL END AS shikkan247_start_date</v>
      </c>
      <c r="V260" s="25" t="str">
        <f t="shared" si="50"/>
        <v>, max(shikkan247_start_date)</v>
      </c>
      <c r="AA260" s="4"/>
      <c r="AB260" s="4"/>
      <c r="AC260" s="4"/>
      <c r="AD260" s="4"/>
      <c r="AE260" s="4"/>
      <c r="AF260" s="4"/>
      <c r="AG260" s="4"/>
      <c r="AH260" s="4"/>
      <c r="AI260" s="4"/>
      <c r="AJ260" s="76" t="str">
        <f>IF(E260="○",IF(COUNTA(E$13:E260)=1,"",",")&amp;D260,"")</f>
        <v/>
      </c>
      <c r="AK260" s="4"/>
      <c r="AL260" s="4"/>
      <c r="AM260" s="4"/>
      <c r="AN260" s="4"/>
      <c r="AO260" s="4"/>
      <c r="AP260" s="4"/>
      <c r="AQ260" s="4"/>
      <c r="AR260" s="4"/>
      <c r="AS260" s="76" t="str">
        <f>"COMMENT ON COLUMN "&amp;エンティティ一覧!$O$2&amp;"."&amp;D$8&amp;"."&amp;D260&amp;" IS '"&amp;C260&amp;"';"</f>
        <v>COMMENT ON COLUMN milscm_2023_009.sny_202310_annony_shikkan2.shikkan247_start_date IS 'C503_疾患開始日';</v>
      </c>
    </row>
    <row r="261" spans="1:45" s="25" customFormat="1">
      <c r="A261" s="4" t="s">
        <v>5399</v>
      </c>
      <c r="B261" s="21">
        <f t="shared" si="47"/>
        <v>249</v>
      </c>
      <c r="C261" s="13" t="str">
        <f t="shared" si="48"/>
        <v>C504_疾患開始日</v>
      </c>
      <c r="D261" s="13" t="s">
        <v>5016</v>
      </c>
      <c r="E261" s="8"/>
      <c r="F261" s="7" t="s">
        <v>4348</v>
      </c>
      <c r="G261" s="7" t="s">
        <v>25</v>
      </c>
      <c r="H261" s="58"/>
      <c r="I261" s="23"/>
      <c r="J261" s="24"/>
      <c r="M261" s="4"/>
      <c r="N261" s="76"/>
      <c r="O261" s="76"/>
      <c r="P261" s="76" t="str">
        <f t="shared" si="56"/>
        <v>,shikkan248_start_date</v>
      </c>
      <c r="Q261" s="76" t="str">
        <f t="shared" si="57"/>
        <v>DATE</v>
      </c>
      <c r="R261" s="76" t="str">
        <f t="shared" si="58"/>
        <v/>
      </c>
      <c r="S261" s="76" t="str">
        <f t="shared" si="59"/>
        <v/>
      </c>
      <c r="T261" s="76" t="str">
        <f t="shared" si="60"/>
        <v>-- C504_疾患開始日</v>
      </c>
      <c r="U261" s="4" t="str">
        <f t="shared" si="49"/>
        <v>, CASE WHEN shikkan_disp_name = 'C504' THEN min_shikkan_start_date ::DATE ELSE NULL END AS shikkan248_start_date</v>
      </c>
      <c r="V261" s="25" t="str">
        <f t="shared" si="50"/>
        <v>, max(shikkan248_start_date)</v>
      </c>
      <c r="AA261" s="4"/>
      <c r="AB261" s="4"/>
      <c r="AC261" s="4"/>
      <c r="AD261" s="4"/>
      <c r="AE261" s="4"/>
      <c r="AF261" s="4"/>
      <c r="AG261" s="4"/>
      <c r="AH261" s="4"/>
      <c r="AI261" s="4"/>
      <c r="AJ261" s="76" t="str">
        <f>IF(E261="○",IF(COUNTA(E$13:E261)=1,"",",")&amp;D261,"")</f>
        <v/>
      </c>
      <c r="AK261" s="4"/>
      <c r="AL261" s="4"/>
      <c r="AM261" s="4"/>
      <c r="AN261" s="4"/>
      <c r="AO261" s="4"/>
      <c r="AP261" s="4"/>
      <c r="AQ261" s="4"/>
      <c r="AR261" s="4"/>
      <c r="AS261" s="76" t="str">
        <f>"COMMENT ON COLUMN "&amp;エンティティ一覧!$O$2&amp;"."&amp;D$8&amp;"."&amp;D261&amp;" IS '"&amp;C261&amp;"';"</f>
        <v>COMMENT ON COLUMN milscm_2023_009.sny_202310_annony_shikkan2.shikkan248_start_date IS 'C504_疾患開始日';</v>
      </c>
    </row>
    <row r="262" spans="1:45" s="25" customFormat="1">
      <c r="A262" s="4" t="s">
        <v>5400</v>
      </c>
      <c r="B262" s="21">
        <f t="shared" si="47"/>
        <v>250</v>
      </c>
      <c r="C262" s="13" t="str">
        <f t="shared" si="48"/>
        <v>C505_疾患開始日</v>
      </c>
      <c r="D262" s="13" t="s">
        <v>5017</v>
      </c>
      <c r="E262" s="8"/>
      <c r="F262" s="7" t="s">
        <v>4348</v>
      </c>
      <c r="G262" s="7" t="s">
        <v>25</v>
      </c>
      <c r="H262" s="58"/>
      <c r="I262" s="23"/>
      <c r="J262" s="24"/>
      <c r="M262" s="4"/>
      <c r="N262" s="76"/>
      <c r="O262" s="76"/>
      <c r="P262" s="76" t="str">
        <f t="shared" si="56"/>
        <v>,shikkan249_start_date</v>
      </c>
      <c r="Q262" s="76" t="str">
        <f t="shared" si="57"/>
        <v>DATE</v>
      </c>
      <c r="R262" s="76" t="str">
        <f t="shared" si="58"/>
        <v/>
      </c>
      <c r="S262" s="76" t="str">
        <f t="shared" si="59"/>
        <v/>
      </c>
      <c r="T262" s="76" t="str">
        <f t="shared" si="60"/>
        <v>-- C505_疾患開始日</v>
      </c>
      <c r="U262" s="4" t="str">
        <f t="shared" si="49"/>
        <v>, CASE WHEN shikkan_disp_name = 'C505' THEN min_shikkan_start_date ::DATE ELSE NULL END AS shikkan249_start_date</v>
      </c>
      <c r="V262" s="25" t="str">
        <f t="shared" si="50"/>
        <v>, max(shikkan249_start_date)</v>
      </c>
      <c r="AA262" s="4"/>
      <c r="AB262" s="4"/>
      <c r="AC262" s="4"/>
      <c r="AD262" s="4"/>
      <c r="AE262" s="4"/>
      <c r="AF262" s="4"/>
      <c r="AG262" s="4"/>
      <c r="AH262" s="4"/>
      <c r="AI262" s="4"/>
      <c r="AJ262" s="76" t="str">
        <f>IF(E262="○",IF(COUNTA(E$13:E262)=1,"",",")&amp;D262,"")</f>
        <v/>
      </c>
      <c r="AK262" s="4"/>
      <c r="AL262" s="4"/>
      <c r="AM262" s="4"/>
      <c r="AN262" s="4"/>
      <c r="AO262" s="4"/>
      <c r="AP262" s="4"/>
      <c r="AQ262" s="4"/>
      <c r="AR262" s="4"/>
      <c r="AS262" s="76" t="str">
        <f>"COMMENT ON COLUMN "&amp;エンティティ一覧!$O$2&amp;"."&amp;D$8&amp;"."&amp;D262&amp;" IS '"&amp;C262&amp;"';"</f>
        <v>COMMENT ON COLUMN milscm_2023_009.sny_202310_annony_shikkan2.shikkan249_start_date IS 'C505_疾患開始日';</v>
      </c>
    </row>
    <row r="263" spans="1:45" s="25" customFormat="1">
      <c r="A263" s="4" t="s">
        <v>5401</v>
      </c>
      <c r="B263" s="21">
        <f t="shared" si="47"/>
        <v>251</v>
      </c>
      <c r="C263" s="13" t="str">
        <f t="shared" si="48"/>
        <v>C506_疾患開始日</v>
      </c>
      <c r="D263" s="13" t="s">
        <v>5018</v>
      </c>
      <c r="E263" s="8"/>
      <c r="F263" s="7" t="s">
        <v>4348</v>
      </c>
      <c r="G263" s="7" t="s">
        <v>25</v>
      </c>
      <c r="H263" s="58"/>
      <c r="I263" s="23"/>
      <c r="J263" s="24"/>
      <c r="M263" s="4"/>
      <c r="N263" s="76"/>
      <c r="O263" s="76"/>
      <c r="P263" s="76" t="str">
        <f t="shared" si="56"/>
        <v>,shikkan250_start_date</v>
      </c>
      <c r="Q263" s="76" t="str">
        <f t="shared" si="57"/>
        <v>DATE</v>
      </c>
      <c r="R263" s="76" t="str">
        <f t="shared" si="58"/>
        <v/>
      </c>
      <c r="S263" s="76" t="str">
        <f t="shared" si="59"/>
        <v/>
      </c>
      <c r="T263" s="76" t="str">
        <f t="shared" si="60"/>
        <v>-- C506_疾患開始日</v>
      </c>
      <c r="U263" s="4" t="str">
        <f t="shared" si="49"/>
        <v>, CASE WHEN shikkan_disp_name = 'C506' THEN min_shikkan_start_date ::DATE ELSE NULL END AS shikkan250_start_date</v>
      </c>
      <c r="V263" s="25" t="str">
        <f t="shared" si="50"/>
        <v>, max(shikkan250_start_date)</v>
      </c>
      <c r="AA263" s="4"/>
      <c r="AB263" s="4"/>
      <c r="AC263" s="4"/>
      <c r="AD263" s="4"/>
      <c r="AE263" s="4"/>
      <c r="AF263" s="4"/>
      <c r="AG263" s="4"/>
      <c r="AH263" s="4"/>
      <c r="AI263" s="4"/>
      <c r="AJ263" s="76" t="str">
        <f>IF(E263="○",IF(COUNTA(E$13:E263)=1,"",",")&amp;D263,"")</f>
        <v/>
      </c>
      <c r="AK263" s="4"/>
      <c r="AL263" s="4"/>
      <c r="AM263" s="4"/>
      <c r="AN263" s="4"/>
      <c r="AO263" s="4"/>
      <c r="AP263" s="4"/>
      <c r="AQ263" s="4"/>
      <c r="AR263" s="4"/>
      <c r="AS263" s="76" t="str">
        <f>"COMMENT ON COLUMN "&amp;エンティティ一覧!$O$2&amp;"."&amp;D$8&amp;"."&amp;D263&amp;" IS '"&amp;C263&amp;"';"</f>
        <v>COMMENT ON COLUMN milscm_2023_009.sny_202310_annony_shikkan2.shikkan250_start_date IS 'C506_疾患開始日';</v>
      </c>
    </row>
    <row r="264" spans="1:45" s="25" customFormat="1">
      <c r="A264" s="4" t="s">
        <v>5402</v>
      </c>
      <c r="B264" s="21">
        <f t="shared" si="47"/>
        <v>252</v>
      </c>
      <c r="C264" s="13" t="str">
        <f t="shared" si="48"/>
        <v>C508_疾患開始日</v>
      </c>
      <c r="D264" s="13" t="s">
        <v>5019</v>
      </c>
      <c r="E264" s="8"/>
      <c r="F264" s="7" t="s">
        <v>4348</v>
      </c>
      <c r="G264" s="7" t="s">
        <v>25</v>
      </c>
      <c r="H264" s="58"/>
      <c r="I264" s="23"/>
      <c r="J264" s="24"/>
      <c r="M264" s="4"/>
      <c r="N264" s="76"/>
      <c r="O264" s="76"/>
      <c r="P264" s="76" t="str">
        <f t="shared" si="56"/>
        <v>,shikkan251_start_date</v>
      </c>
      <c r="Q264" s="76" t="str">
        <f t="shared" si="57"/>
        <v>DATE</v>
      </c>
      <c r="R264" s="76" t="str">
        <f t="shared" si="58"/>
        <v/>
      </c>
      <c r="S264" s="76" t="str">
        <f t="shared" si="59"/>
        <v/>
      </c>
      <c r="T264" s="76" t="str">
        <f t="shared" si="60"/>
        <v>-- C508_疾患開始日</v>
      </c>
      <c r="U264" s="4" t="str">
        <f t="shared" si="49"/>
        <v>, CASE WHEN shikkan_disp_name = 'C508' THEN min_shikkan_start_date ::DATE ELSE NULL END AS shikkan251_start_date</v>
      </c>
      <c r="V264" s="25" t="str">
        <f t="shared" si="50"/>
        <v>, max(shikkan251_start_date)</v>
      </c>
      <c r="AA264" s="4"/>
      <c r="AB264" s="4"/>
      <c r="AC264" s="4"/>
      <c r="AD264" s="4"/>
      <c r="AE264" s="4"/>
      <c r="AF264" s="4"/>
      <c r="AG264" s="4"/>
      <c r="AH264" s="4"/>
      <c r="AI264" s="4"/>
      <c r="AJ264" s="76" t="str">
        <f>IF(E264="○",IF(COUNTA(E$13:E264)=1,"",",")&amp;D264,"")</f>
        <v/>
      </c>
      <c r="AK264" s="4"/>
      <c r="AL264" s="4"/>
      <c r="AM264" s="4"/>
      <c r="AN264" s="4"/>
      <c r="AO264" s="4"/>
      <c r="AP264" s="4"/>
      <c r="AQ264" s="4"/>
      <c r="AR264" s="4"/>
      <c r="AS264" s="76" t="str">
        <f>"COMMENT ON COLUMN "&amp;エンティティ一覧!$O$2&amp;"."&amp;D$8&amp;"."&amp;D264&amp;" IS '"&amp;C264&amp;"';"</f>
        <v>COMMENT ON COLUMN milscm_2023_009.sny_202310_annony_shikkan2.shikkan251_start_date IS 'C508_疾患開始日';</v>
      </c>
    </row>
    <row r="265" spans="1:45" s="25" customFormat="1">
      <c r="A265" s="4" t="s">
        <v>5403</v>
      </c>
      <c r="B265" s="21">
        <f t="shared" si="47"/>
        <v>253</v>
      </c>
      <c r="C265" s="13" t="str">
        <f t="shared" si="48"/>
        <v>C509_疾患開始日</v>
      </c>
      <c r="D265" s="13" t="s">
        <v>5020</v>
      </c>
      <c r="E265" s="8"/>
      <c r="F265" s="7" t="s">
        <v>4348</v>
      </c>
      <c r="G265" s="7" t="s">
        <v>25</v>
      </c>
      <c r="H265" s="58"/>
      <c r="I265" s="23"/>
      <c r="J265" s="24"/>
      <c r="M265" s="4"/>
      <c r="N265" s="76"/>
      <c r="O265" s="76"/>
      <c r="P265" s="76" t="str">
        <f t="shared" si="56"/>
        <v>,shikkan252_start_date</v>
      </c>
      <c r="Q265" s="76" t="str">
        <f t="shared" si="57"/>
        <v>DATE</v>
      </c>
      <c r="R265" s="76" t="str">
        <f t="shared" si="58"/>
        <v/>
      </c>
      <c r="S265" s="76" t="str">
        <f t="shared" si="59"/>
        <v/>
      </c>
      <c r="T265" s="76" t="str">
        <f t="shared" si="60"/>
        <v>-- C509_疾患開始日</v>
      </c>
      <c r="U265" s="4" t="str">
        <f t="shared" si="49"/>
        <v>, CASE WHEN shikkan_disp_name = 'C509' THEN min_shikkan_start_date ::DATE ELSE NULL END AS shikkan252_start_date</v>
      </c>
      <c r="V265" s="25" t="str">
        <f t="shared" si="50"/>
        <v>, max(shikkan252_start_date)</v>
      </c>
      <c r="AA265" s="4"/>
      <c r="AB265" s="4"/>
      <c r="AC265" s="4"/>
      <c r="AD265" s="4"/>
      <c r="AE265" s="4"/>
      <c r="AF265" s="4"/>
      <c r="AG265" s="4"/>
      <c r="AH265" s="4"/>
      <c r="AI265" s="4"/>
      <c r="AJ265" s="76" t="str">
        <f>IF(E265="○",IF(COUNTA(E$13:E265)=1,"",",")&amp;D265,"")</f>
        <v/>
      </c>
      <c r="AK265" s="4"/>
      <c r="AL265" s="4"/>
      <c r="AM265" s="4"/>
      <c r="AN265" s="4"/>
      <c r="AO265" s="4"/>
      <c r="AP265" s="4"/>
      <c r="AQ265" s="4"/>
      <c r="AR265" s="4"/>
      <c r="AS265" s="76" t="str">
        <f>"COMMENT ON COLUMN "&amp;エンティティ一覧!$O$2&amp;"."&amp;D$8&amp;"."&amp;D265&amp;" IS '"&amp;C265&amp;"';"</f>
        <v>COMMENT ON COLUMN milscm_2023_009.sny_202310_annony_shikkan2.shikkan252_start_date IS 'C509_疾患開始日';</v>
      </c>
    </row>
    <row r="266" spans="1:45" s="25" customFormat="1">
      <c r="A266" s="4" t="s">
        <v>5404</v>
      </c>
      <c r="B266" s="21">
        <f t="shared" si="47"/>
        <v>254</v>
      </c>
      <c r="C266" s="13" t="str">
        <f t="shared" si="48"/>
        <v>C510_疾患開始日</v>
      </c>
      <c r="D266" s="13" t="s">
        <v>5021</v>
      </c>
      <c r="E266" s="8"/>
      <c r="F266" s="7" t="s">
        <v>4348</v>
      </c>
      <c r="G266" s="7" t="s">
        <v>25</v>
      </c>
      <c r="H266" s="58"/>
      <c r="I266" s="23"/>
      <c r="J266" s="24"/>
      <c r="M266" s="4"/>
      <c r="N266" s="76"/>
      <c r="O266" s="76"/>
      <c r="P266" s="76" t="str">
        <f t="shared" si="56"/>
        <v>,shikkan253_start_date</v>
      </c>
      <c r="Q266" s="76" t="str">
        <f t="shared" si="57"/>
        <v>DATE</v>
      </c>
      <c r="R266" s="76" t="str">
        <f t="shared" si="58"/>
        <v/>
      </c>
      <c r="S266" s="76" t="str">
        <f t="shared" si="59"/>
        <v/>
      </c>
      <c r="T266" s="76" t="str">
        <f t="shared" si="60"/>
        <v>-- C510_疾患開始日</v>
      </c>
      <c r="U266" s="4" t="str">
        <f t="shared" si="49"/>
        <v>, CASE WHEN shikkan_disp_name = 'C510' THEN min_shikkan_start_date ::DATE ELSE NULL END AS shikkan253_start_date</v>
      </c>
      <c r="V266" s="25" t="str">
        <f t="shared" si="50"/>
        <v>, max(shikkan253_start_date)</v>
      </c>
      <c r="AA266" s="4"/>
      <c r="AB266" s="4"/>
      <c r="AC266" s="4"/>
      <c r="AD266" s="4"/>
      <c r="AE266" s="4"/>
      <c r="AF266" s="4"/>
      <c r="AG266" s="4"/>
      <c r="AH266" s="4"/>
      <c r="AI266" s="4"/>
      <c r="AJ266" s="76" t="str">
        <f>IF(E266="○",IF(COUNTA(E$13:E266)=1,"",",")&amp;D266,"")</f>
        <v/>
      </c>
      <c r="AK266" s="4"/>
      <c r="AL266" s="4"/>
      <c r="AM266" s="4"/>
      <c r="AN266" s="4"/>
      <c r="AO266" s="4"/>
      <c r="AP266" s="4"/>
      <c r="AQ266" s="4"/>
      <c r="AR266" s="4"/>
      <c r="AS266" s="76" t="str">
        <f>"COMMENT ON COLUMN "&amp;エンティティ一覧!$O$2&amp;"."&amp;D$8&amp;"."&amp;D266&amp;" IS '"&amp;C266&amp;"';"</f>
        <v>COMMENT ON COLUMN milscm_2023_009.sny_202310_annony_shikkan2.shikkan253_start_date IS 'C510_疾患開始日';</v>
      </c>
    </row>
    <row r="267" spans="1:45" s="25" customFormat="1">
      <c r="A267" s="4" t="s">
        <v>5405</v>
      </c>
      <c r="B267" s="21">
        <f t="shared" si="47"/>
        <v>255</v>
      </c>
      <c r="C267" s="13" t="str">
        <f t="shared" si="48"/>
        <v>C511_疾患開始日</v>
      </c>
      <c r="D267" s="13" t="s">
        <v>5022</v>
      </c>
      <c r="E267" s="8"/>
      <c r="F267" s="7" t="s">
        <v>4348</v>
      </c>
      <c r="G267" s="7" t="s">
        <v>25</v>
      </c>
      <c r="H267" s="58"/>
      <c r="I267" s="23"/>
      <c r="J267" s="24"/>
      <c r="M267" s="4"/>
      <c r="N267" s="76"/>
      <c r="O267" s="76"/>
      <c r="P267" s="76" t="str">
        <f t="shared" si="56"/>
        <v>,shikkan254_start_date</v>
      </c>
      <c r="Q267" s="76" t="str">
        <f t="shared" si="57"/>
        <v>DATE</v>
      </c>
      <c r="R267" s="76" t="str">
        <f t="shared" si="58"/>
        <v/>
      </c>
      <c r="S267" s="76" t="str">
        <f t="shared" si="59"/>
        <v/>
      </c>
      <c r="T267" s="76" t="str">
        <f t="shared" si="60"/>
        <v>-- C511_疾患開始日</v>
      </c>
      <c r="U267" s="4" t="str">
        <f t="shared" si="49"/>
        <v>, CASE WHEN shikkan_disp_name = 'C511' THEN min_shikkan_start_date ::DATE ELSE NULL END AS shikkan254_start_date</v>
      </c>
      <c r="V267" s="25" t="str">
        <f t="shared" si="50"/>
        <v>, max(shikkan254_start_date)</v>
      </c>
      <c r="AA267" s="4"/>
      <c r="AB267" s="4"/>
      <c r="AC267" s="4"/>
      <c r="AD267" s="4"/>
      <c r="AE267" s="4"/>
      <c r="AF267" s="4"/>
      <c r="AG267" s="4"/>
      <c r="AH267" s="4"/>
      <c r="AI267" s="4"/>
      <c r="AJ267" s="76" t="str">
        <f>IF(E267="○",IF(COUNTA(E$13:E267)=1,"",",")&amp;D267,"")</f>
        <v/>
      </c>
      <c r="AK267" s="4"/>
      <c r="AL267" s="4"/>
      <c r="AM267" s="4"/>
      <c r="AN267" s="4"/>
      <c r="AO267" s="4"/>
      <c r="AP267" s="4"/>
      <c r="AQ267" s="4"/>
      <c r="AR267" s="4"/>
      <c r="AS267" s="76" t="str">
        <f>"COMMENT ON COLUMN "&amp;エンティティ一覧!$O$2&amp;"."&amp;D$8&amp;"."&amp;D267&amp;" IS '"&amp;C267&amp;"';"</f>
        <v>COMMENT ON COLUMN milscm_2023_009.sny_202310_annony_shikkan2.shikkan254_start_date IS 'C511_疾患開始日';</v>
      </c>
    </row>
    <row r="268" spans="1:45" s="25" customFormat="1">
      <c r="A268" s="4" t="s">
        <v>5406</v>
      </c>
      <c r="B268" s="21">
        <f t="shared" si="47"/>
        <v>256</v>
      </c>
      <c r="C268" s="13" t="str">
        <f t="shared" si="48"/>
        <v>C512_疾患開始日</v>
      </c>
      <c r="D268" s="13" t="s">
        <v>5023</v>
      </c>
      <c r="E268" s="8"/>
      <c r="F268" s="7" t="s">
        <v>4348</v>
      </c>
      <c r="G268" s="7" t="s">
        <v>25</v>
      </c>
      <c r="H268" s="58"/>
      <c r="I268" s="23"/>
      <c r="J268" s="24"/>
      <c r="M268" s="4"/>
      <c r="N268" s="76"/>
      <c r="O268" s="76"/>
      <c r="P268" s="76" t="str">
        <f t="shared" si="56"/>
        <v>,shikkan255_start_date</v>
      </c>
      <c r="Q268" s="76" t="str">
        <f t="shared" si="57"/>
        <v>DATE</v>
      </c>
      <c r="R268" s="76" t="str">
        <f t="shared" si="58"/>
        <v/>
      </c>
      <c r="S268" s="76" t="str">
        <f t="shared" si="59"/>
        <v/>
      </c>
      <c r="T268" s="76" t="str">
        <f t="shared" si="60"/>
        <v>-- C512_疾患開始日</v>
      </c>
      <c r="U268" s="4" t="str">
        <f t="shared" si="49"/>
        <v>, CASE WHEN shikkan_disp_name = 'C512' THEN min_shikkan_start_date ::DATE ELSE NULL END AS shikkan255_start_date</v>
      </c>
      <c r="V268" s="25" t="str">
        <f t="shared" si="50"/>
        <v>, max(shikkan255_start_date)</v>
      </c>
      <c r="AA268" s="4"/>
      <c r="AB268" s="4"/>
      <c r="AC268" s="4"/>
      <c r="AD268" s="4"/>
      <c r="AE268" s="4"/>
      <c r="AF268" s="4"/>
      <c r="AG268" s="4"/>
      <c r="AH268" s="4"/>
      <c r="AI268" s="4"/>
      <c r="AJ268" s="76" t="str">
        <f>IF(E268="○",IF(COUNTA(E$13:E268)=1,"",",")&amp;D268,"")</f>
        <v/>
      </c>
      <c r="AK268" s="4"/>
      <c r="AL268" s="4"/>
      <c r="AM268" s="4"/>
      <c r="AN268" s="4"/>
      <c r="AO268" s="4"/>
      <c r="AP268" s="4"/>
      <c r="AQ268" s="4"/>
      <c r="AR268" s="4"/>
      <c r="AS268" s="76" t="str">
        <f>"COMMENT ON COLUMN "&amp;エンティティ一覧!$O$2&amp;"."&amp;D$8&amp;"."&amp;D268&amp;" IS '"&amp;C268&amp;"';"</f>
        <v>COMMENT ON COLUMN milscm_2023_009.sny_202310_annony_shikkan2.shikkan255_start_date IS 'C512_疾患開始日';</v>
      </c>
    </row>
    <row r="269" spans="1:45" s="25" customFormat="1">
      <c r="A269" s="4" t="s">
        <v>5407</v>
      </c>
      <c r="B269" s="21">
        <f t="shared" si="47"/>
        <v>257</v>
      </c>
      <c r="C269" s="13" t="str">
        <f t="shared" si="48"/>
        <v>C518_疾患開始日</v>
      </c>
      <c r="D269" s="13" t="s">
        <v>5024</v>
      </c>
      <c r="E269" s="8"/>
      <c r="F269" s="7" t="s">
        <v>4348</v>
      </c>
      <c r="G269" s="7" t="s">
        <v>25</v>
      </c>
      <c r="H269" s="58"/>
      <c r="I269" s="23"/>
      <c r="J269" s="24"/>
      <c r="M269" s="4"/>
      <c r="N269" s="76"/>
      <c r="O269" s="76"/>
      <c r="P269" s="76" t="str">
        <f t="shared" si="56"/>
        <v>,shikkan256_start_date</v>
      </c>
      <c r="Q269" s="76" t="str">
        <f t="shared" si="57"/>
        <v>DATE</v>
      </c>
      <c r="R269" s="76" t="str">
        <f t="shared" si="58"/>
        <v/>
      </c>
      <c r="S269" s="76" t="str">
        <f t="shared" si="59"/>
        <v/>
      </c>
      <c r="T269" s="76" t="str">
        <f t="shared" si="60"/>
        <v>-- C518_疾患開始日</v>
      </c>
      <c r="U269" s="4" t="str">
        <f t="shared" si="49"/>
        <v>, CASE WHEN shikkan_disp_name = 'C518' THEN min_shikkan_start_date ::DATE ELSE NULL END AS shikkan256_start_date</v>
      </c>
      <c r="V269" s="25" t="str">
        <f t="shared" si="50"/>
        <v>, max(shikkan256_start_date)</v>
      </c>
      <c r="AA269" s="4"/>
      <c r="AB269" s="4"/>
      <c r="AC269" s="4"/>
      <c r="AD269" s="4"/>
      <c r="AE269" s="4"/>
      <c r="AF269" s="4"/>
      <c r="AG269" s="4"/>
      <c r="AH269" s="4"/>
      <c r="AI269" s="4"/>
      <c r="AJ269" s="76" t="str">
        <f>IF(E269="○",IF(COUNTA(E$13:E269)=1,"",",")&amp;D269,"")</f>
        <v/>
      </c>
      <c r="AK269" s="4"/>
      <c r="AL269" s="4"/>
      <c r="AM269" s="4"/>
      <c r="AN269" s="4"/>
      <c r="AO269" s="4"/>
      <c r="AP269" s="4"/>
      <c r="AQ269" s="4"/>
      <c r="AR269" s="4"/>
      <c r="AS269" s="76" t="str">
        <f>"COMMENT ON COLUMN "&amp;エンティティ一覧!$O$2&amp;"."&amp;D$8&amp;"."&amp;D269&amp;" IS '"&amp;C269&amp;"';"</f>
        <v>COMMENT ON COLUMN milscm_2023_009.sny_202310_annony_shikkan2.shikkan256_start_date IS 'C518_疾患開始日';</v>
      </c>
    </row>
    <row r="270" spans="1:45" s="25" customFormat="1">
      <c r="A270" s="4" t="s">
        <v>5408</v>
      </c>
      <c r="B270" s="21">
        <f t="shared" si="47"/>
        <v>258</v>
      </c>
      <c r="C270" s="13" t="str">
        <f t="shared" si="48"/>
        <v>C519_疾患開始日</v>
      </c>
      <c r="D270" s="13" t="s">
        <v>5025</v>
      </c>
      <c r="E270" s="8"/>
      <c r="F270" s="7" t="s">
        <v>4348</v>
      </c>
      <c r="G270" s="7" t="s">
        <v>25</v>
      </c>
      <c r="H270" s="58"/>
      <c r="I270" s="23"/>
      <c r="J270" s="24"/>
      <c r="M270" s="4"/>
      <c r="N270" s="76"/>
      <c r="O270" s="76"/>
      <c r="P270" s="76" t="str">
        <f t="shared" ref="P270:P277" si="61">IF(B270&lt;&gt;1,","&amp;D270,D270)</f>
        <v>,shikkan257_start_date</v>
      </c>
      <c r="Q270" s="76" t="str">
        <f t="shared" ref="Q270:Q277" si="62">UPPER(G270)</f>
        <v>DATE</v>
      </c>
      <c r="R270" s="76" t="str">
        <f t="shared" ref="R270:R277" si="63">IF(H270&lt;&gt;"","default "&amp;IF(G270="text","'"&amp;H270&amp;"'",H270),"")</f>
        <v/>
      </c>
      <c r="S270" s="76" t="str">
        <f t="shared" ref="S270:S277" si="64">IF(I270="○","NOT NULL","")</f>
        <v/>
      </c>
      <c r="T270" s="76" t="str">
        <f t="shared" ref="T270:T277" si="65">"-- "&amp;C270</f>
        <v>-- C519_疾患開始日</v>
      </c>
      <c r="U270" s="4" t="str">
        <f t="shared" si="49"/>
        <v>, CASE WHEN shikkan_disp_name = 'C519' THEN min_shikkan_start_date ::DATE ELSE NULL END AS shikkan257_start_date</v>
      </c>
      <c r="V270" s="25" t="str">
        <f t="shared" si="50"/>
        <v>, max(shikkan257_start_date)</v>
      </c>
      <c r="AA270" s="4"/>
      <c r="AB270" s="4"/>
      <c r="AC270" s="4"/>
      <c r="AD270" s="4"/>
      <c r="AE270" s="4"/>
      <c r="AF270" s="4"/>
      <c r="AG270" s="4"/>
      <c r="AH270" s="4"/>
      <c r="AI270" s="4"/>
      <c r="AJ270" s="76" t="str">
        <f>IF(E270="○",IF(COUNTA(E$13:E270)=1,"",",")&amp;D270,"")</f>
        <v/>
      </c>
      <c r="AK270" s="4"/>
      <c r="AL270" s="4"/>
      <c r="AM270" s="4"/>
      <c r="AN270" s="4"/>
      <c r="AO270" s="4"/>
      <c r="AP270" s="4"/>
      <c r="AQ270" s="4"/>
      <c r="AR270" s="4"/>
      <c r="AS270" s="76" t="str">
        <f>"COMMENT ON COLUMN "&amp;エンティティ一覧!$O$2&amp;"."&amp;D$8&amp;"."&amp;D270&amp;" IS '"&amp;C270&amp;"';"</f>
        <v>COMMENT ON COLUMN milscm_2023_009.sny_202310_annony_shikkan2.shikkan257_start_date IS 'C519_疾患開始日';</v>
      </c>
    </row>
    <row r="271" spans="1:45" s="25" customFormat="1">
      <c r="A271" s="4" t="s">
        <v>5148</v>
      </c>
      <c r="B271" s="21">
        <f t="shared" ref="B271:B334" si="66">ROW()-12</f>
        <v>259</v>
      </c>
      <c r="C271" s="13" t="str">
        <f t="shared" ref="C271:C334" si="67">A271&amp;"_疾患開始日"</f>
        <v>C52_疾患開始日</v>
      </c>
      <c r="D271" s="13" t="s">
        <v>5026</v>
      </c>
      <c r="E271" s="8"/>
      <c r="F271" s="7" t="s">
        <v>4348</v>
      </c>
      <c r="G271" s="7" t="s">
        <v>25</v>
      </c>
      <c r="H271" s="58"/>
      <c r="I271" s="23"/>
      <c r="J271" s="24"/>
      <c r="M271" s="4"/>
      <c r="N271" s="76"/>
      <c r="O271" s="76"/>
      <c r="P271" s="76" t="str">
        <f t="shared" si="61"/>
        <v>,shikkan258_start_date</v>
      </c>
      <c r="Q271" s="76" t="str">
        <f t="shared" si="62"/>
        <v>DATE</v>
      </c>
      <c r="R271" s="76" t="str">
        <f t="shared" si="63"/>
        <v/>
      </c>
      <c r="S271" s="76" t="str">
        <f t="shared" si="64"/>
        <v/>
      </c>
      <c r="T271" s="76" t="str">
        <f t="shared" si="65"/>
        <v>-- C52_疾患開始日</v>
      </c>
      <c r="U271" s="4" t="str">
        <f t="shared" ref="U271:U903" si="68">", CASE WHEN shikkan_disp_name = '"&amp;A271&amp;"' THEN min_shikkan_start_date ::DATE ELSE NULL END AS "&amp;D271</f>
        <v>, CASE WHEN shikkan_disp_name = 'C52' THEN min_shikkan_start_date ::DATE ELSE NULL END AS shikkan258_start_date</v>
      </c>
      <c r="V271" s="25" t="str">
        <f t="shared" ref="V271:V903" si="69">", max("&amp;D271&amp;")"</f>
        <v>, max(shikkan258_start_date)</v>
      </c>
      <c r="AA271" s="4"/>
      <c r="AB271" s="4"/>
      <c r="AC271" s="4"/>
      <c r="AD271" s="4"/>
      <c r="AE271" s="4"/>
      <c r="AF271" s="4"/>
      <c r="AG271" s="4"/>
      <c r="AH271" s="4"/>
      <c r="AI271" s="4"/>
      <c r="AJ271" s="76" t="str">
        <f>IF(E271="○",IF(COUNTA(E$13:E271)=1,"",",")&amp;D271,"")</f>
        <v/>
      </c>
      <c r="AK271" s="4"/>
      <c r="AL271" s="4"/>
      <c r="AM271" s="4"/>
      <c r="AN271" s="4"/>
      <c r="AO271" s="4"/>
      <c r="AP271" s="4"/>
      <c r="AQ271" s="4"/>
      <c r="AR271" s="4"/>
      <c r="AS271" s="76" t="str">
        <f>"COMMENT ON COLUMN "&amp;エンティティ一覧!$O$2&amp;"."&amp;D$8&amp;"."&amp;D271&amp;" IS '"&amp;C271&amp;"';"</f>
        <v>COMMENT ON COLUMN milscm_2023_009.sny_202310_annony_shikkan2.shikkan258_start_date IS 'C52_疾患開始日';</v>
      </c>
    </row>
    <row r="272" spans="1:45" s="25" customFormat="1">
      <c r="A272" s="4" t="s">
        <v>5409</v>
      </c>
      <c r="B272" s="21">
        <f t="shared" si="66"/>
        <v>260</v>
      </c>
      <c r="C272" s="13" t="str">
        <f t="shared" si="67"/>
        <v>C530_疾患開始日</v>
      </c>
      <c r="D272" s="13" t="s">
        <v>5027</v>
      </c>
      <c r="E272" s="8"/>
      <c r="F272" s="7" t="s">
        <v>4348</v>
      </c>
      <c r="G272" s="7" t="s">
        <v>25</v>
      </c>
      <c r="H272" s="58"/>
      <c r="I272" s="23"/>
      <c r="J272" s="24"/>
      <c r="M272" s="4"/>
      <c r="N272" s="76"/>
      <c r="O272" s="76"/>
      <c r="P272" s="76" t="str">
        <f t="shared" si="61"/>
        <v>,shikkan259_start_date</v>
      </c>
      <c r="Q272" s="76" t="str">
        <f t="shared" si="62"/>
        <v>DATE</v>
      </c>
      <c r="R272" s="76" t="str">
        <f t="shared" si="63"/>
        <v/>
      </c>
      <c r="S272" s="76" t="str">
        <f t="shared" si="64"/>
        <v/>
      </c>
      <c r="T272" s="76" t="str">
        <f t="shared" si="65"/>
        <v>-- C530_疾患開始日</v>
      </c>
      <c r="U272" s="4" t="str">
        <f t="shared" si="68"/>
        <v>, CASE WHEN shikkan_disp_name = 'C530' THEN min_shikkan_start_date ::DATE ELSE NULL END AS shikkan259_start_date</v>
      </c>
      <c r="V272" s="25" t="str">
        <f t="shared" si="69"/>
        <v>, max(shikkan259_start_date)</v>
      </c>
      <c r="AA272" s="4"/>
      <c r="AB272" s="4"/>
      <c r="AC272" s="4"/>
      <c r="AD272" s="4"/>
      <c r="AE272" s="4"/>
      <c r="AF272" s="4"/>
      <c r="AG272" s="4"/>
      <c r="AH272" s="4"/>
      <c r="AI272" s="4"/>
      <c r="AJ272" s="76" t="str">
        <f>IF(E272="○",IF(COUNTA(E$13:E272)=1,"",",")&amp;D272,"")</f>
        <v/>
      </c>
      <c r="AK272" s="4"/>
      <c r="AL272" s="4"/>
      <c r="AM272" s="4"/>
      <c r="AN272" s="4"/>
      <c r="AO272" s="4"/>
      <c r="AP272" s="4"/>
      <c r="AQ272" s="4"/>
      <c r="AR272" s="4"/>
      <c r="AS272" s="76" t="str">
        <f>"COMMENT ON COLUMN "&amp;エンティティ一覧!$O$2&amp;"."&amp;D$8&amp;"."&amp;D272&amp;" IS '"&amp;C272&amp;"';"</f>
        <v>COMMENT ON COLUMN milscm_2023_009.sny_202310_annony_shikkan2.shikkan259_start_date IS 'C530_疾患開始日';</v>
      </c>
    </row>
    <row r="273" spans="1:45" s="25" customFormat="1">
      <c r="A273" s="4" t="s">
        <v>5410</v>
      </c>
      <c r="B273" s="21">
        <f t="shared" si="66"/>
        <v>261</v>
      </c>
      <c r="C273" s="13" t="str">
        <f t="shared" si="67"/>
        <v>C531_疾患開始日</v>
      </c>
      <c r="D273" s="13" t="s">
        <v>5028</v>
      </c>
      <c r="E273" s="8"/>
      <c r="F273" s="7" t="s">
        <v>4348</v>
      </c>
      <c r="G273" s="7" t="s">
        <v>25</v>
      </c>
      <c r="H273" s="58"/>
      <c r="I273" s="23"/>
      <c r="J273" s="24"/>
      <c r="M273" s="4"/>
      <c r="N273" s="76"/>
      <c r="O273" s="76"/>
      <c r="P273" s="76" t="str">
        <f t="shared" si="61"/>
        <v>,shikkan260_start_date</v>
      </c>
      <c r="Q273" s="76" t="str">
        <f t="shared" si="62"/>
        <v>DATE</v>
      </c>
      <c r="R273" s="76" t="str">
        <f t="shared" si="63"/>
        <v/>
      </c>
      <c r="S273" s="76" t="str">
        <f t="shared" si="64"/>
        <v/>
      </c>
      <c r="T273" s="76" t="str">
        <f t="shared" si="65"/>
        <v>-- C531_疾患開始日</v>
      </c>
      <c r="U273" s="4" t="str">
        <f t="shared" si="68"/>
        <v>, CASE WHEN shikkan_disp_name = 'C531' THEN min_shikkan_start_date ::DATE ELSE NULL END AS shikkan260_start_date</v>
      </c>
      <c r="V273" s="25" t="str">
        <f t="shared" si="69"/>
        <v>, max(shikkan260_start_date)</v>
      </c>
      <c r="AA273" s="4"/>
      <c r="AB273" s="4"/>
      <c r="AC273" s="4"/>
      <c r="AD273" s="4"/>
      <c r="AE273" s="4"/>
      <c r="AF273" s="4"/>
      <c r="AG273" s="4"/>
      <c r="AH273" s="4"/>
      <c r="AI273" s="4"/>
      <c r="AJ273" s="76" t="str">
        <f>IF(E273="○",IF(COUNTA(E$13:E273)=1,"",",")&amp;D273,"")</f>
        <v/>
      </c>
      <c r="AK273" s="4"/>
      <c r="AL273" s="4"/>
      <c r="AM273" s="4"/>
      <c r="AN273" s="4"/>
      <c r="AO273" s="4"/>
      <c r="AP273" s="4"/>
      <c r="AQ273" s="4"/>
      <c r="AR273" s="4"/>
      <c r="AS273" s="76" t="str">
        <f>"COMMENT ON COLUMN "&amp;エンティティ一覧!$O$2&amp;"."&amp;D$8&amp;"."&amp;D273&amp;" IS '"&amp;C273&amp;"';"</f>
        <v>COMMENT ON COLUMN milscm_2023_009.sny_202310_annony_shikkan2.shikkan260_start_date IS 'C531_疾患開始日';</v>
      </c>
    </row>
    <row r="274" spans="1:45" s="25" customFormat="1">
      <c r="A274" s="4" t="s">
        <v>5411</v>
      </c>
      <c r="B274" s="21">
        <f t="shared" si="66"/>
        <v>262</v>
      </c>
      <c r="C274" s="13" t="str">
        <f t="shared" si="67"/>
        <v>C538_疾患開始日</v>
      </c>
      <c r="D274" s="13" t="s">
        <v>5029</v>
      </c>
      <c r="E274" s="8"/>
      <c r="F274" s="7" t="s">
        <v>4348</v>
      </c>
      <c r="G274" s="7" t="s">
        <v>25</v>
      </c>
      <c r="H274" s="58"/>
      <c r="I274" s="23"/>
      <c r="J274" s="24"/>
      <c r="M274" s="4"/>
      <c r="N274" s="76"/>
      <c r="O274" s="76"/>
      <c r="P274" s="76" t="str">
        <f t="shared" si="61"/>
        <v>,shikkan261_start_date</v>
      </c>
      <c r="Q274" s="76" t="str">
        <f t="shared" si="62"/>
        <v>DATE</v>
      </c>
      <c r="R274" s="76" t="str">
        <f t="shared" si="63"/>
        <v/>
      </c>
      <c r="S274" s="76" t="str">
        <f t="shared" si="64"/>
        <v/>
      </c>
      <c r="T274" s="76" t="str">
        <f t="shared" si="65"/>
        <v>-- C538_疾患開始日</v>
      </c>
      <c r="U274" s="4" t="str">
        <f t="shared" si="68"/>
        <v>, CASE WHEN shikkan_disp_name = 'C538' THEN min_shikkan_start_date ::DATE ELSE NULL END AS shikkan261_start_date</v>
      </c>
      <c r="V274" s="25" t="str">
        <f t="shared" si="69"/>
        <v>, max(shikkan261_start_date)</v>
      </c>
      <c r="AA274" s="4"/>
      <c r="AB274" s="4"/>
      <c r="AC274" s="4"/>
      <c r="AD274" s="4"/>
      <c r="AE274" s="4"/>
      <c r="AF274" s="4"/>
      <c r="AG274" s="4"/>
      <c r="AH274" s="4"/>
      <c r="AI274" s="4"/>
      <c r="AJ274" s="76" t="str">
        <f>IF(E274="○",IF(COUNTA(E$13:E274)=1,"",",")&amp;D274,"")</f>
        <v/>
      </c>
      <c r="AK274" s="4"/>
      <c r="AL274" s="4"/>
      <c r="AM274" s="4"/>
      <c r="AN274" s="4"/>
      <c r="AO274" s="4"/>
      <c r="AP274" s="4"/>
      <c r="AQ274" s="4"/>
      <c r="AR274" s="4"/>
      <c r="AS274" s="76" t="str">
        <f>"COMMENT ON COLUMN "&amp;エンティティ一覧!$O$2&amp;"."&amp;D$8&amp;"."&amp;D274&amp;" IS '"&amp;C274&amp;"';"</f>
        <v>COMMENT ON COLUMN milscm_2023_009.sny_202310_annony_shikkan2.shikkan261_start_date IS 'C538_疾患開始日';</v>
      </c>
    </row>
    <row r="275" spans="1:45" s="25" customFormat="1">
      <c r="A275" s="4" t="s">
        <v>5412</v>
      </c>
      <c r="B275" s="21">
        <f t="shared" si="66"/>
        <v>263</v>
      </c>
      <c r="C275" s="13" t="str">
        <f t="shared" si="67"/>
        <v>C539_疾患開始日</v>
      </c>
      <c r="D275" s="13" t="s">
        <v>5030</v>
      </c>
      <c r="E275" s="8"/>
      <c r="F275" s="7" t="s">
        <v>4348</v>
      </c>
      <c r="G275" s="7" t="s">
        <v>25</v>
      </c>
      <c r="H275" s="58"/>
      <c r="I275" s="23"/>
      <c r="J275" s="24"/>
      <c r="M275" s="4"/>
      <c r="N275" s="76"/>
      <c r="O275" s="76"/>
      <c r="P275" s="76" t="str">
        <f t="shared" si="61"/>
        <v>,shikkan262_start_date</v>
      </c>
      <c r="Q275" s="76" t="str">
        <f t="shared" si="62"/>
        <v>DATE</v>
      </c>
      <c r="R275" s="76" t="str">
        <f t="shared" si="63"/>
        <v/>
      </c>
      <c r="S275" s="76" t="str">
        <f t="shared" si="64"/>
        <v/>
      </c>
      <c r="T275" s="76" t="str">
        <f t="shared" si="65"/>
        <v>-- C539_疾患開始日</v>
      </c>
      <c r="U275" s="4" t="str">
        <f t="shared" si="68"/>
        <v>, CASE WHEN shikkan_disp_name = 'C539' THEN min_shikkan_start_date ::DATE ELSE NULL END AS shikkan262_start_date</v>
      </c>
      <c r="V275" s="25" t="str">
        <f t="shared" si="69"/>
        <v>, max(shikkan262_start_date)</v>
      </c>
      <c r="AA275" s="4"/>
      <c r="AB275" s="4"/>
      <c r="AC275" s="4"/>
      <c r="AD275" s="4"/>
      <c r="AE275" s="4"/>
      <c r="AF275" s="4"/>
      <c r="AG275" s="4"/>
      <c r="AH275" s="4"/>
      <c r="AI275" s="4"/>
      <c r="AJ275" s="76" t="str">
        <f>IF(E275="○",IF(COUNTA(E$13:E275)=1,"",",")&amp;D275,"")</f>
        <v/>
      </c>
      <c r="AK275" s="4"/>
      <c r="AL275" s="4"/>
      <c r="AM275" s="4"/>
      <c r="AN275" s="4"/>
      <c r="AO275" s="4"/>
      <c r="AP275" s="4"/>
      <c r="AQ275" s="4"/>
      <c r="AR275" s="4"/>
      <c r="AS275" s="76" t="str">
        <f>"COMMENT ON COLUMN "&amp;エンティティ一覧!$O$2&amp;"."&amp;D$8&amp;"."&amp;D275&amp;" IS '"&amp;C275&amp;"';"</f>
        <v>COMMENT ON COLUMN milscm_2023_009.sny_202310_annony_shikkan2.shikkan262_start_date IS 'C539_疾患開始日';</v>
      </c>
    </row>
    <row r="276" spans="1:45" s="25" customFormat="1">
      <c r="A276" s="4" t="s">
        <v>5413</v>
      </c>
      <c r="B276" s="21">
        <f t="shared" si="66"/>
        <v>264</v>
      </c>
      <c r="C276" s="13" t="str">
        <f t="shared" si="67"/>
        <v>C540_疾患開始日</v>
      </c>
      <c r="D276" s="13" t="s">
        <v>5031</v>
      </c>
      <c r="E276" s="8"/>
      <c r="F276" s="7" t="s">
        <v>4348</v>
      </c>
      <c r="G276" s="7" t="s">
        <v>25</v>
      </c>
      <c r="H276" s="58"/>
      <c r="I276" s="23"/>
      <c r="J276" s="24"/>
      <c r="M276" s="4"/>
      <c r="N276" s="76"/>
      <c r="O276" s="76"/>
      <c r="P276" s="76" t="str">
        <f t="shared" si="61"/>
        <v>,shikkan263_start_date</v>
      </c>
      <c r="Q276" s="76" t="str">
        <f t="shared" si="62"/>
        <v>DATE</v>
      </c>
      <c r="R276" s="76" t="str">
        <f t="shared" si="63"/>
        <v/>
      </c>
      <c r="S276" s="76" t="str">
        <f t="shared" si="64"/>
        <v/>
      </c>
      <c r="T276" s="76" t="str">
        <f t="shared" si="65"/>
        <v>-- C540_疾患開始日</v>
      </c>
      <c r="U276" s="4" t="str">
        <f t="shared" si="68"/>
        <v>, CASE WHEN shikkan_disp_name = 'C540' THEN min_shikkan_start_date ::DATE ELSE NULL END AS shikkan263_start_date</v>
      </c>
      <c r="V276" s="25" t="str">
        <f t="shared" si="69"/>
        <v>, max(shikkan263_start_date)</v>
      </c>
      <c r="AA276" s="4"/>
      <c r="AB276" s="4"/>
      <c r="AC276" s="4"/>
      <c r="AD276" s="4"/>
      <c r="AE276" s="4"/>
      <c r="AF276" s="4"/>
      <c r="AG276" s="4"/>
      <c r="AH276" s="4"/>
      <c r="AI276" s="4"/>
      <c r="AJ276" s="76" t="str">
        <f>IF(E276="○",IF(COUNTA(E$13:E276)=1,"",",")&amp;D276,"")</f>
        <v/>
      </c>
      <c r="AK276" s="4"/>
      <c r="AL276" s="4"/>
      <c r="AM276" s="4"/>
      <c r="AN276" s="4"/>
      <c r="AO276" s="4"/>
      <c r="AP276" s="4"/>
      <c r="AQ276" s="4"/>
      <c r="AR276" s="4"/>
      <c r="AS276" s="76" t="str">
        <f>"COMMENT ON COLUMN "&amp;エンティティ一覧!$O$2&amp;"."&amp;D$8&amp;"."&amp;D276&amp;" IS '"&amp;C276&amp;"';"</f>
        <v>COMMENT ON COLUMN milscm_2023_009.sny_202310_annony_shikkan2.shikkan263_start_date IS 'C540_疾患開始日';</v>
      </c>
    </row>
    <row r="277" spans="1:45" s="25" customFormat="1">
      <c r="A277" s="4" t="s">
        <v>5414</v>
      </c>
      <c r="B277" s="21">
        <f t="shared" si="66"/>
        <v>265</v>
      </c>
      <c r="C277" s="13" t="str">
        <f t="shared" si="67"/>
        <v>C541_疾患開始日</v>
      </c>
      <c r="D277" s="13" t="s">
        <v>5032</v>
      </c>
      <c r="E277" s="8"/>
      <c r="F277" s="7" t="s">
        <v>4348</v>
      </c>
      <c r="G277" s="7" t="s">
        <v>25</v>
      </c>
      <c r="H277" s="58"/>
      <c r="I277" s="23"/>
      <c r="J277" s="24"/>
      <c r="M277" s="4"/>
      <c r="N277" s="76"/>
      <c r="O277" s="76"/>
      <c r="P277" s="76" t="str">
        <f t="shared" si="61"/>
        <v>,shikkan264_start_date</v>
      </c>
      <c r="Q277" s="76" t="str">
        <f t="shared" si="62"/>
        <v>DATE</v>
      </c>
      <c r="R277" s="76" t="str">
        <f t="shared" si="63"/>
        <v/>
      </c>
      <c r="S277" s="76" t="str">
        <f t="shared" si="64"/>
        <v/>
      </c>
      <c r="T277" s="76" t="str">
        <f t="shared" si="65"/>
        <v>-- C541_疾患開始日</v>
      </c>
      <c r="U277" s="4" t="str">
        <f t="shared" si="68"/>
        <v>, CASE WHEN shikkan_disp_name = 'C541' THEN min_shikkan_start_date ::DATE ELSE NULL END AS shikkan264_start_date</v>
      </c>
      <c r="V277" s="25" t="str">
        <f t="shared" si="69"/>
        <v>, max(shikkan264_start_date)</v>
      </c>
      <c r="AA277" s="4"/>
      <c r="AB277" s="4"/>
      <c r="AC277" s="4"/>
      <c r="AD277" s="4"/>
      <c r="AE277" s="4"/>
      <c r="AF277" s="4"/>
      <c r="AG277" s="4"/>
      <c r="AH277" s="4"/>
      <c r="AI277" s="4"/>
      <c r="AJ277" s="76" t="str">
        <f>IF(E277="○",IF(COUNTA(E$13:E277)=1,"",",")&amp;D277,"")</f>
        <v/>
      </c>
      <c r="AK277" s="4"/>
      <c r="AL277" s="4"/>
      <c r="AM277" s="4"/>
      <c r="AN277" s="4"/>
      <c r="AO277" s="4"/>
      <c r="AP277" s="4"/>
      <c r="AQ277" s="4"/>
      <c r="AR277" s="4"/>
      <c r="AS277" s="76" t="str">
        <f>"COMMENT ON COLUMN "&amp;エンティティ一覧!$O$2&amp;"."&amp;D$8&amp;"."&amp;D277&amp;" IS '"&amp;C277&amp;"';"</f>
        <v>COMMENT ON COLUMN milscm_2023_009.sny_202310_annony_shikkan2.shikkan264_start_date IS 'C541_疾患開始日';</v>
      </c>
    </row>
    <row r="278" spans="1:45" s="25" customFormat="1">
      <c r="A278" s="4" t="s">
        <v>5415</v>
      </c>
      <c r="B278" s="21">
        <f t="shared" si="66"/>
        <v>266</v>
      </c>
      <c r="C278" s="13" t="str">
        <f t="shared" si="67"/>
        <v>C542_疾患開始日</v>
      </c>
      <c r="D278" s="13" t="s">
        <v>5033</v>
      </c>
      <c r="E278" s="8"/>
      <c r="F278" s="7" t="s">
        <v>4348</v>
      </c>
      <c r="G278" s="7" t="s">
        <v>25</v>
      </c>
      <c r="H278" s="58"/>
      <c r="I278" s="23"/>
      <c r="J278" s="24"/>
      <c r="M278" s="4"/>
      <c r="N278" s="76"/>
      <c r="O278" s="76"/>
      <c r="P278" s="76" t="str">
        <f t="shared" ref="P278:P285" si="70">IF(B278&lt;&gt;1,","&amp;D278,D278)</f>
        <v>,shikkan265_start_date</v>
      </c>
      <c r="Q278" s="76" t="str">
        <f t="shared" ref="Q278:Q285" si="71">UPPER(G278)</f>
        <v>DATE</v>
      </c>
      <c r="R278" s="76" t="str">
        <f t="shared" ref="R278:R285" si="72">IF(H278&lt;&gt;"","default "&amp;IF(G278="text","'"&amp;H278&amp;"'",H278),"")</f>
        <v/>
      </c>
      <c r="S278" s="76" t="str">
        <f t="shared" ref="S278:S285" si="73">IF(I278="○","NOT NULL","")</f>
        <v/>
      </c>
      <c r="T278" s="76" t="str">
        <f t="shared" ref="T278:T285" si="74">"-- "&amp;C278</f>
        <v>-- C542_疾患開始日</v>
      </c>
      <c r="U278" s="4" t="str">
        <f t="shared" si="68"/>
        <v>, CASE WHEN shikkan_disp_name = 'C542' THEN min_shikkan_start_date ::DATE ELSE NULL END AS shikkan265_start_date</v>
      </c>
      <c r="V278" s="25" t="str">
        <f t="shared" si="69"/>
        <v>, max(shikkan265_start_date)</v>
      </c>
      <c r="AA278" s="4"/>
      <c r="AB278" s="4"/>
      <c r="AC278" s="4"/>
      <c r="AD278" s="4"/>
      <c r="AE278" s="4"/>
      <c r="AF278" s="4"/>
      <c r="AG278" s="4"/>
      <c r="AH278" s="4"/>
      <c r="AI278" s="4"/>
      <c r="AJ278" s="76" t="str">
        <f>IF(E278="○",IF(COUNTA(E$13:E278)=1,"",",")&amp;D278,"")</f>
        <v/>
      </c>
      <c r="AK278" s="4"/>
      <c r="AL278" s="4"/>
      <c r="AM278" s="4"/>
      <c r="AN278" s="4"/>
      <c r="AO278" s="4"/>
      <c r="AP278" s="4"/>
      <c r="AQ278" s="4"/>
      <c r="AR278" s="4"/>
      <c r="AS278" s="76" t="str">
        <f>"COMMENT ON COLUMN "&amp;エンティティ一覧!$O$2&amp;"."&amp;D$8&amp;"."&amp;D278&amp;" IS '"&amp;C278&amp;"';"</f>
        <v>COMMENT ON COLUMN milscm_2023_009.sny_202310_annony_shikkan2.shikkan265_start_date IS 'C542_疾患開始日';</v>
      </c>
    </row>
    <row r="279" spans="1:45" s="25" customFormat="1">
      <c r="A279" s="4" t="s">
        <v>5416</v>
      </c>
      <c r="B279" s="21">
        <f t="shared" si="66"/>
        <v>267</v>
      </c>
      <c r="C279" s="13" t="str">
        <f t="shared" si="67"/>
        <v>C543_疾患開始日</v>
      </c>
      <c r="D279" s="13" t="s">
        <v>5034</v>
      </c>
      <c r="E279" s="8"/>
      <c r="F279" s="7" t="s">
        <v>4348</v>
      </c>
      <c r="G279" s="7" t="s">
        <v>25</v>
      </c>
      <c r="H279" s="58"/>
      <c r="I279" s="23"/>
      <c r="J279" s="24"/>
      <c r="M279" s="4"/>
      <c r="N279" s="76"/>
      <c r="O279" s="76"/>
      <c r="P279" s="76" t="str">
        <f t="shared" si="70"/>
        <v>,shikkan266_start_date</v>
      </c>
      <c r="Q279" s="76" t="str">
        <f t="shared" si="71"/>
        <v>DATE</v>
      </c>
      <c r="R279" s="76" t="str">
        <f t="shared" si="72"/>
        <v/>
      </c>
      <c r="S279" s="76" t="str">
        <f t="shared" si="73"/>
        <v/>
      </c>
      <c r="T279" s="76" t="str">
        <f t="shared" si="74"/>
        <v>-- C543_疾患開始日</v>
      </c>
      <c r="U279" s="4" t="str">
        <f t="shared" si="68"/>
        <v>, CASE WHEN shikkan_disp_name = 'C543' THEN min_shikkan_start_date ::DATE ELSE NULL END AS shikkan266_start_date</v>
      </c>
      <c r="V279" s="25" t="str">
        <f t="shared" si="69"/>
        <v>, max(shikkan266_start_date)</v>
      </c>
      <c r="AA279" s="4"/>
      <c r="AB279" s="4"/>
      <c r="AC279" s="4"/>
      <c r="AD279" s="4"/>
      <c r="AE279" s="4"/>
      <c r="AF279" s="4"/>
      <c r="AG279" s="4"/>
      <c r="AH279" s="4"/>
      <c r="AI279" s="4"/>
      <c r="AJ279" s="76" t="str">
        <f>IF(E279="○",IF(COUNTA(E$13:E279)=1,"",",")&amp;D279,"")</f>
        <v/>
      </c>
      <c r="AK279" s="4"/>
      <c r="AL279" s="4"/>
      <c r="AM279" s="4"/>
      <c r="AN279" s="4"/>
      <c r="AO279" s="4"/>
      <c r="AP279" s="4"/>
      <c r="AQ279" s="4"/>
      <c r="AR279" s="4"/>
      <c r="AS279" s="76" t="str">
        <f>"COMMENT ON COLUMN "&amp;エンティティ一覧!$O$2&amp;"."&amp;D$8&amp;"."&amp;D279&amp;" IS '"&amp;C279&amp;"';"</f>
        <v>COMMENT ON COLUMN milscm_2023_009.sny_202310_annony_shikkan2.shikkan266_start_date IS 'C543_疾患開始日';</v>
      </c>
    </row>
    <row r="280" spans="1:45" s="25" customFormat="1">
      <c r="A280" s="4" t="s">
        <v>5417</v>
      </c>
      <c r="B280" s="21">
        <f t="shared" si="66"/>
        <v>268</v>
      </c>
      <c r="C280" s="13" t="str">
        <f t="shared" si="67"/>
        <v>C548_疾患開始日</v>
      </c>
      <c r="D280" s="13" t="s">
        <v>5035</v>
      </c>
      <c r="E280" s="8"/>
      <c r="F280" s="7" t="s">
        <v>4348</v>
      </c>
      <c r="G280" s="7" t="s">
        <v>25</v>
      </c>
      <c r="H280" s="58"/>
      <c r="I280" s="23"/>
      <c r="J280" s="24"/>
      <c r="M280" s="4"/>
      <c r="N280" s="76"/>
      <c r="O280" s="76"/>
      <c r="P280" s="76" t="str">
        <f t="shared" si="70"/>
        <v>,shikkan267_start_date</v>
      </c>
      <c r="Q280" s="76" t="str">
        <f t="shared" si="71"/>
        <v>DATE</v>
      </c>
      <c r="R280" s="76" t="str">
        <f t="shared" si="72"/>
        <v/>
      </c>
      <c r="S280" s="76" t="str">
        <f t="shared" si="73"/>
        <v/>
      </c>
      <c r="T280" s="76" t="str">
        <f t="shared" si="74"/>
        <v>-- C548_疾患開始日</v>
      </c>
      <c r="U280" s="4" t="str">
        <f t="shared" si="68"/>
        <v>, CASE WHEN shikkan_disp_name = 'C548' THEN min_shikkan_start_date ::DATE ELSE NULL END AS shikkan267_start_date</v>
      </c>
      <c r="V280" s="25" t="str">
        <f t="shared" si="69"/>
        <v>, max(shikkan267_start_date)</v>
      </c>
      <c r="AA280" s="4"/>
      <c r="AB280" s="4"/>
      <c r="AC280" s="4"/>
      <c r="AD280" s="4"/>
      <c r="AE280" s="4"/>
      <c r="AF280" s="4"/>
      <c r="AG280" s="4"/>
      <c r="AH280" s="4"/>
      <c r="AI280" s="4"/>
      <c r="AJ280" s="76" t="str">
        <f>IF(E280="○",IF(COUNTA(E$13:E280)=1,"",",")&amp;D280,"")</f>
        <v/>
      </c>
      <c r="AK280" s="4"/>
      <c r="AL280" s="4"/>
      <c r="AM280" s="4"/>
      <c r="AN280" s="4"/>
      <c r="AO280" s="4"/>
      <c r="AP280" s="4"/>
      <c r="AQ280" s="4"/>
      <c r="AR280" s="4"/>
      <c r="AS280" s="76" t="str">
        <f>"COMMENT ON COLUMN "&amp;エンティティ一覧!$O$2&amp;"."&amp;D$8&amp;"."&amp;D280&amp;" IS '"&amp;C280&amp;"';"</f>
        <v>COMMENT ON COLUMN milscm_2023_009.sny_202310_annony_shikkan2.shikkan267_start_date IS 'C548_疾患開始日';</v>
      </c>
    </row>
    <row r="281" spans="1:45" s="25" customFormat="1">
      <c r="A281" s="4" t="s">
        <v>5418</v>
      </c>
      <c r="B281" s="21">
        <f t="shared" si="66"/>
        <v>269</v>
      </c>
      <c r="C281" s="13" t="str">
        <f t="shared" si="67"/>
        <v>C549_疾患開始日</v>
      </c>
      <c r="D281" s="13" t="s">
        <v>5036</v>
      </c>
      <c r="E281" s="8"/>
      <c r="F281" s="7" t="s">
        <v>4348</v>
      </c>
      <c r="G281" s="7" t="s">
        <v>25</v>
      </c>
      <c r="H281" s="58"/>
      <c r="I281" s="23"/>
      <c r="J281" s="24"/>
      <c r="M281" s="4"/>
      <c r="N281" s="76"/>
      <c r="O281" s="76"/>
      <c r="P281" s="76" t="str">
        <f t="shared" si="70"/>
        <v>,shikkan268_start_date</v>
      </c>
      <c r="Q281" s="76" t="str">
        <f t="shared" si="71"/>
        <v>DATE</v>
      </c>
      <c r="R281" s="76" t="str">
        <f t="shared" si="72"/>
        <v/>
      </c>
      <c r="S281" s="76" t="str">
        <f t="shared" si="73"/>
        <v/>
      </c>
      <c r="T281" s="76" t="str">
        <f t="shared" si="74"/>
        <v>-- C549_疾患開始日</v>
      </c>
      <c r="U281" s="4" t="str">
        <f t="shared" si="68"/>
        <v>, CASE WHEN shikkan_disp_name = 'C549' THEN min_shikkan_start_date ::DATE ELSE NULL END AS shikkan268_start_date</v>
      </c>
      <c r="V281" s="25" t="str">
        <f t="shared" si="69"/>
        <v>, max(shikkan268_start_date)</v>
      </c>
      <c r="AA281" s="4"/>
      <c r="AB281" s="4"/>
      <c r="AC281" s="4"/>
      <c r="AD281" s="4"/>
      <c r="AE281" s="4"/>
      <c r="AF281" s="4"/>
      <c r="AG281" s="4"/>
      <c r="AH281" s="4"/>
      <c r="AI281" s="4"/>
      <c r="AJ281" s="76" t="str">
        <f>IF(E281="○",IF(COUNTA(E$13:E281)=1,"",",")&amp;D281,"")</f>
        <v/>
      </c>
      <c r="AK281" s="4"/>
      <c r="AL281" s="4"/>
      <c r="AM281" s="4"/>
      <c r="AN281" s="4"/>
      <c r="AO281" s="4"/>
      <c r="AP281" s="4"/>
      <c r="AQ281" s="4"/>
      <c r="AR281" s="4"/>
      <c r="AS281" s="76" t="str">
        <f>"COMMENT ON COLUMN "&amp;エンティティ一覧!$O$2&amp;"."&amp;D$8&amp;"."&amp;D281&amp;" IS '"&amp;C281&amp;"';"</f>
        <v>COMMENT ON COLUMN milscm_2023_009.sny_202310_annony_shikkan2.shikkan268_start_date IS 'C549_疾患開始日';</v>
      </c>
    </row>
    <row r="282" spans="1:45" s="25" customFormat="1">
      <c r="A282" s="4" t="s">
        <v>5149</v>
      </c>
      <c r="B282" s="21">
        <f t="shared" si="66"/>
        <v>270</v>
      </c>
      <c r="C282" s="13" t="str">
        <f t="shared" si="67"/>
        <v>C55_疾患開始日</v>
      </c>
      <c r="D282" s="13" t="s">
        <v>5037</v>
      </c>
      <c r="E282" s="8"/>
      <c r="F282" s="7" t="s">
        <v>4348</v>
      </c>
      <c r="G282" s="7" t="s">
        <v>25</v>
      </c>
      <c r="H282" s="58"/>
      <c r="I282" s="23"/>
      <c r="J282" s="24"/>
      <c r="M282" s="4"/>
      <c r="N282" s="76"/>
      <c r="O282" s="76"/>
      <c r="P282" s="76" t="str">
        <f t="shared" si="70"/>
        <v>,shikkan269_start_date</v>
      </c>
      <c r="Q282" s="76" t="str">
        <f t="shared" si="71"/>
        <v>DATE</v>
      </c>
      <c r="R282" s="76" t="str">
        <f t="shared" si="72"/>
        <v/>
      </c>
      <c r="S282" s="76" t="str">
        <f t="shared" si="73"/>
        <v/>
      </c>
      <c r="T282" s="76" t="str">
        <f t="shared" si="74"/>
        <v>-- C55_疾患開始日</v>
      </c>
      <c r="U282" s="4" t="str">
        <f t="shared" si="68"/>
        <v>, CASE WHEN shikkan_disp_name = 'C55' THEN min_shikkan_start_date ::DATE ELSE NULL END AS shikkan269_start_date</v>
      </c>
      <c r="V282" s="25" t="str">
        <f t="shared" si="69"/>
        <v>, max(shikkan269_start_date)</v>
      </c>
      <c r="AA282" s="4"/>
      <c r="AB282" s="4"/>
      <c r="AC282" s="4"/>
      <c r="AD282" s="4"/>
      <c r="AE282" s="4"/>
      <c r="AF282" s="4"/>
      <c r="AG282" s="4"/>
      <c r="AH282" s="4"/>
      <c r="AI282" s="4"/>
      <c r="AJ282" s="76" t="str">
        <f>IF(E282="○",IF(COUNTA(E$13:E282)=1,"",",")&amp;D282,"")</f>
        <v/>
      </c>
      <c r="AK282" s="4"/>
      <c r="AL282" s="4"/>
      <c r="AM282" s="4"/>
      <c r="AN282" s="4"/>
      <c r="AO282" s="4"/>
      <c r="AP282" s="4"/>
      <c r="AQ282" s="4"/>
      <c r="AR282" s="4"/>
      <c r="AS282" s="76" t="str">
        <f>"COMMENT ON COLUMN "&amp;エンティティ一覧!$O$2&amp;"."&amp;D$8&amp;"."&amp;D282&amp;" IS '"&amp;C282&amp;"';"</f>
        <v>COMMENT ON COLUMN milscm_2023_009.sny_202310_annony_shikkan2.shikkan269_start_date IS 'C55_疾患開始日';</v>
      </c>
    </row>
    <row r="283" spans="1:45" s="25" customFormat="1">
      <c r="A283" s="4" t="s">
        <v>5150</v>
      </c>
      <c r="B283" s="21">
        <f t="shared" si="66"/>
        <v>271</v>
      </c>
      <c r="C283" s="13" t="str">
        <f t="shared" si="67"/>
        <v>C56_疾患開始日</v>
      </c>
      <c r="D283" s="13" t="s">
        <v>5038</v>
      </c>
      <c r="E283" s="8"/>
      <c r="F283" s="7" t="s">
        <v>4348</v>
      </c>
      <c r="G283" s="7" t="s">
        <v>25</v>
      </c>
      <c r="H283" s="58"/>
      <c r="I283" s="23"/>
      <c r="J283" s="24"/>
      <c r="M283" s="4"/>
      <c r="N283" s="76"/>
      <c r="O283" s="76"/>
      <c r="P283" s="76" t="str">
        <f t="shared" si="70"/>
        <v>,shikkan270_start_date</v>
      </c>
      <c r="Q283" s="76" t="str">
        <f t="shared" si="71"/>
        <v>DATE</v>
      </c>
      <c r="R283" s="76" t="str">
        <f t="shared" si="72"/>
        <v/>
      </c>
      <c r="S283" s="76" t="str">
        <f t="shared" si="73"/>
        <v/>
      </c>
      <c r="T283" s="76" t="str">
        <f t="shared" si="74"/>
        <v>-- C56_疾患開始日</v>
      </c>
      <c r="U283" s="4" t="str">
        <f t="shared" si="68"/>
        <v>, CASE WHEN shikkan_disp_name = 'C56' THEN min_shikkan_start_date ::DATE ELSE NULL END AS shikkan270_start_date</v>
      </c>
      <c r="V283" s="25" t="str">
        <f t="shared" si="69"/>
        <v>, max(shikkan270_start_date)</v>
      </c>
      <c r="AA283" s="4"/>
      <c r="AB283" s="4"/>
      <c r="AC283" s="4"/>
      <c r="AD283" s="4"/>
      <c r="AE283" s="4"/>
      <c r="AF283" s="4"/>
      <c r="AG283" s="4"/>
      <c r="AH283" s="4"/>
      <c r="AI283" s="4"/>
      <c r="AJ283" s="76" t="str">
        <f>IF(E283="○",IF(COUNTA(E$13:E283)=1,"",",")&amp;D283,"")</f>
        <v/>
      </c>
      <c r="AK283" s="4"/>
      <c r="AL283" s="4"/>
      <c r="AM283" s="4"/>
      <c r="AN283" s="4"/>
      <c r="AO283" s="4"/>
      <c r="AP283" s="4"/>
      <c r="AQ283" s="4"/>
      <c r="AR283" s="4"/>
      <c r="AS283" s="76" t="str">
        <f>"COMMENT ON COLUMN "&amp;エンティティ一覧!$O$2&amp;"."&amp;D$8&amp;"."&amp;D283&amp;" IS '"&amp;C283&amp;"';"</f>
        <v>COMMENT ON COLUMN milscm_2023_009.sny_202310_annony_shikkan2.shikkan270_start_date IS 'C56_疾患開始日';</v>
      </c>
    </row>
    <row r="284" spans="1:45" s="25" customFormat="1">
      <c r="A284" s="4" t="s">
        <v>5419</v>
      </c>
      <c r="B284" s="21">
        <f t="shared" si="66"/>
        <v>272</v>
      </c>
      <c r="C284" s="13" t="str">
        <f t="shared" si="67"/>
        <v>C570_疾患開始日</v>
      </c>
      <c r="D284" s="13" t="s">
        <v>5039</v>
      </c>
      <c r="E284" s="8"/>
      <c r="F284" s="7" t="s">
        <v>4348</v>
      </c>
      <c r="G284" s="7" t="s">
        <v>25</v>
      </c>
      <c r="H284" s="58"/>
      <c r="I284" s="23"/>
      <c r="J284" s="24"/>
      <c r="M284" s="4"/>
      <c r="N284" s="76"/>
      <c r="O284" s="76"/>
      <c r="P284" s="76" t="str">
        <f t="shared" si="70"/>
        <v>,shikkan271_start_date</v>
      </c>
      <c r="Q284" s="76" t="str">
        <f t="shared" si="71"/>
        <v>DATE</v>
      </c>
      <c r="R284" s="76" t="str">
        <f t="shared" si="72"/>
        <v/>
      </c>
      <c r="S284" s="76" t="str">
        <f t="shared" si="73"/>
        <v/>
      </c>
      <c r="T284" s="76" t="str">
        <f t="shared" si="74"/>
        <v>-- C570_疾患開始日</v>
      </c>
      <c r="U284" s="4" t="str">
        <f t="shared" si="68"/>
        <v>, CASE WHEN shikkan_disp_name = 'C570' THEN min_shikkan_start_date ::DATE ELSE NULL END AS shikkan271_start_date</v>
      </c>
      <c r="V284" s="25" t="str">
        <f t="shared" si="69"/>
        <v>, max(shikkan271_start_date)</v>
      </c>
      <c r="AA284" s="4"/>
      <c r="AB284" s="4"/>
      <c r="AC284" s="4"/>
      <c r="AD284" s="4"/>
      <c r="AE284" s="4"/>
      <c r="AF284" s="4"/>
      <c r="AG284" s="4"/>
      <c r="AH284" s="4"/>
      <c r="AI284" s="4"/>
      <c r="AJ284" s="76" t="str">
        <f>IF(E284="○",IF(COUNTA(E$13:E284)=1,"",",")&amp;D284,"")</f>
        <v/>
      </c>
      <c r="AK284" s="4"/>
      <c r="AL284" s="4"/>
      <c r="AM284" s="4"/>
      <c r="AN284" s="4"/>
      <c r="AO284" s="4"/>
      <c r="AP284" s="4"/>
      <c r="AQ284" s="4"/>
      <c r="AR284" s="4"/>
      <c r="AS284" s="76" t="str">
        <f>"COMMENT ON COLUMN "&amp;エンティティ一覧!$O$2&amp;"."&amp;D$8&amp;"."&amp;D284&amp;" IS '"&amp;C284&amp;"';"</f>
        <v>COMMENT ON COLUMN milscm_2023_009.sny_202310_annony_shikkan2.shikkan271_start_date IS 'C570_疾患開始日';</v>
      </c>
    </row>
    <row r="285" spans="1:45" s="25" customFormat="1">
      <c r="A285" s="4" t="s">
        <v>5420</v>
      </c>
      <c r="B285" s="21">
        <f t="shared" si="66"/>
        <v>273</v>
      </c>
      <c r="C285" s="13" t="str">
        <f t="shared" si="67"/>
        <v>C571_疾患開始日</v>
      </c>
      <c r="D285" s="13" t="s">
        <v>5040</v>
      </c>
      <c r="E285" s="8"/>
      <c r="F285" s="7" t="s">
        <v>4348</v>
      </c>
      <c r="G285" s="7" t="s">
        <v>25</v>
      </c>
      <c r="H285" s="58"/>
      <c r="I285" s="23"/>
      <c r="J285" s="24"/>
      <c r="M285" s="4"/>
      <c r="N285" s="76"/>
      <c r="O285" s="76"/>
      <c r="P285" s="76" t="str">
        <f t="shared" si="70"/>
        <v>,shikkan272_start_date</v>
      </c>
      <c r="Q285" s="76" t="str">
        <f t="shared" si="71"/>
        <v>DATE</v>
      </c>
      <c r="R285" s="76" t="str">
        <f t="shared" si="72"/>
        <v/>
      </c>
      <c r="S285" s="76" t="str">
        <f t="shared" si="73"/>
        <v/>
      </c>
      <c r="T285" s="76" t="str">
        <f t="shared" si="74"/>
        <v>-- C571_疾患開始日</v>
      </c>
      <c r="U285" s="4" t="str">
        <f t="shared" si="68"/>
        <v>, CASE WHEN shikkan_disp_name = 'C571' THEN min_shikkan_start_date ::DATE ELSE NULL END AS shikkan272_start_date</v>
      </c>
      <c r="V285" s="25" t="str">
        <f t="shared" si="69"/>
        <v>, max(shikkan272_start_date)</v>
      </c>
      <c r="AA285" s="4"/>
      <c r="AB285" s="4"/>
      <c r="AC285" s="4"/>
      <c r="AD285" s="4"/>
      <c r="AE285" s="4"/>
      <c r="AF285" s="4"/>
      <c r="AG285" s="4"/>
      <c r="AH285" s="4"/>
      <c r="AI285" s="4"/>
      <c r="AJ285" s="76" t="str">
        <f>IF(E285="○",IF(COUNTA(E$13:E285)=1,"",",")&amp;D285,"")</f>
        <v/>
      </c>
      <c r="AK285" s="4"/>
      <c r="AL285" s="4"/>
      <c r="AM285" s="4"/>
      <c r="AN285" s="4"/>
      <c r="AO285" s="4"/>
      <c r="AP285" s="4"/>
      <c r="AQ285" s="4"/>
      <c r="AR285" s="4"/>
      <c r="AS285" s="76" t="str">
        <f>"COMMENT ON COLUMN "&amp;エンティティ一覧!$O$2&amp;"."&amp;D$8&amp;"."&amp;D285&amp;" IS '"&amp;C285&amp;"';"</f>
        <v>COMMENT ON COLUMN milscm_2023_009.sny_202310_annony_shikkan2.shikkan272_start_date IS 'C571_疾患開始日';</v>
      </c>
    </row>
    <row r="286" spans="1:45" s="25" customFormat="1">
      <c r="A286" s="4" t="s">
        <v>5421</v>
      </c>
      <c r="B286" s="21">
        <f t="shared" si="66"/>
        <v>274</v>
      </c>
      <c r="C286" s="13" t="str">
        <f t="shared" si="67"/>
        <v>C572_疾患開始日</v>
      </c>
      <c r="D286" s="13" t="s">
        <v>5041</v>
      </c>
      <c r="E286" s="8"/>
      <c r="F286" s="7" t="s">
        <v>4348</v>
      </c>
      <c r="G286" s="7" t="s">
        <v>25</v>
      </c>
      <c r="H286" s="58"/>
      <c r="I286" s="23"/>
      <c r="J286" s="24"/>
      <c r="M286" s="4"/>
      <c r="N286" s="76"/>
      <c r="O286" s="76"/>
      <c r="P286" s="76" t="str">
        <f t="shared" ref="P286:P293" si="75">IF(B286&lt;&gt;1,","&amp;D286,D286)</f>
        <v>,shikkan273_start_date</v>
      </c>
      <c r="Q286" s="76" t="str">
        <f t="shared" ref="Q286:Q293" si="76">UPPER(G286)</f>
        <v>DATE</v>
      </c>
      <c r="R286" s="76" t="str">
        <f t="shared" ref="R286:R293" si="77">IF(H286&lt;&gt;"","default "&amp;IF(G286="text","'"&amp;H286&amp;"'",H286),"")</f>
        <v/>
      </c>
      <c r="S286" s="76" t="str">
        <f t="shared" ref="S286:S293" si="78">IF(I286="○","NOT NULL","")</f>
        <v/>
      </c>
      <c r="T286" s="76" t="str">
        <f t="shared" ref="T286:T293" si="79">"-- "&amp;C286</f>
        <v>-- C572_疾患開始日</v>
      </c>
      <c r="U286" s="4" t="str">
        <f t="shared" si="68"/>
        <v>, CASE WHEN shikkan_disp_name = 'C572' THEN min_shikkan_start_date ::DATE ELSE NULL END AS shikkan273_start_date</v>
      </c>
      <c r="V286" s="25" t="str">
        <f t="shared" si="69"/>
        <v>, max(shikkan273_start_date)</v>
      </c>
      <c r="AA286" s="4"/>
      <c r="AB286" s="4"/>
      <c r="AC286" s="4"/>
      <c r="AD286" s="4"/>
      <c r="AE286" s="4"/>
      <c r="AF286" s="4"/>
      <c r="AG286" s="4"/>
      <c r="AH286" s="4"/>
      <c r="AI286" s="4"/>
      <c r="AJ286" s="76" t="str">
        <f>IF(E286="○",IF(COUNTA(E$13:E286)=1,"",",")&amp;D286,"")</f>
        <v/>
      </c>
      <c r="AK286" s="4"/>
      <c r="AL286" s="4"/>
      <c r="AM286" s="4"/>
      <c r="AN286" s="4"/>
      <c r="AO286" s="4"/>
      <c r="AP286" s="4"/>
      <c r="AQ286" s="4"/>
      <c r="AR286" s="4"/>
      <c r="AS286" s="76" t="str">
        <f>"COMMENT ON COLUMN "&amp;エンティティ一覧!$O$2&amp;"."&amp;D$8&amp;"."&amp;D286&amp;" IS '"&amp;C286&amp;"';"</f>
        <v>COMMENT ON COLUMN milscm_2023_009.sny_202310_annony_shikkan2.shikkan273_start_date IS 'C572_疾患開始日';</v>
      </c>
    </row>
    <row r="287" spans="1:45" s="25" customFormat="1">
      <c r="A287" s="4" t="s">
        <v>5422</v>
      </c>
      <c r="B287" s="21">
        <f t="shared" si="66"/>
        <v>275</v>
      </c>
      <c r="C287" s="13" t="str">
        <f t="shared" si="67"/>
        <v>C573_疾患開始日</v>
      </c>
      <c r="D287" s="13" t="s">
        <v>5042</v>
      </c>
      <c r="E287" s="8"/>
      <c r="F287" s="7" t="s">
        <v>4348</v>
      </c>
      <c r="G287" s="7" t="s">
        <v>25</v>
      </c>
      <c r="H287" s="58"/>
      <c r="I287" s="23"/>
      <c r="J287" s="24"/>
      <c r="M287" s="4"/>
      <c r="N287" s="76"/>
      <c r="O287" s="76"/>
      <c r="P287" s="76" t="str">
        <f t="shared" si="75"/>
        <v>,shikkan274_start_date</v>
      </c>
      <c r="Q287" s="76" t="str">
        <f t="shared" si="76"/>
        <v>DATE</v>
      </c>
      <c r="R287" s="76" t="str">
        <f t="shared" si="77"/>
        <v/>
      </c>
      <c r="S287" s="76" t="str">
        <f t="shared" si="78"/>
        <v/>
      </c>
      <c r="T287" s="76" t="str">
        <f t="shared" si="79"/>
        <v>-- C573_疾患開始日</v>
      </c>
      <c r="U287" s="4" t="str">
        <f t="shared" si="68"/>
        <v>, CASE WHEN shikkan_disp_name = 'C573' THEN min_shikkan_start_date ::DATE ELSE NULL END AS shikkan274_start_date</v>
      </c>
      <c r="V287" s="25" t="str">
        <f t="shared" si="69"/>
        <v>, max(shikkan274_start_date)</v>
      </c>
      <c r="AA287" s="4"/>
      <c r="AB287" s="4"/>
      <c r="AC287" s="4"/>
      <c r="AD287" s="4"/>
      <c r="AE287" s="4"/>
      <c r="AF287" s="4"/>
      <c r="AG287" s="4"/>
      <c r="AH287" s="4"/>
      <c r="AI287" s="4"/>
      <c r="AJ287" s="76" t="str">
        <f>IF(E287="○",IF(COUNTA(E$13:E287)=1,"",",")&amp;D287,"")</f>
        <v/>
      </c>
      <c r="AK287" s="4"/>
      <c r="AL287" s="4"/>
      <c r="AM287" s="4"/>
      <c r="AN287" s="4"/>
      <c r="AO287" s="4"/>
      <c r="AP287" s="4"/>
      <c r="AQ287" s="4"/>
      <c r="AR287" s="4"/>
      <c r="AS287" s="76" t="str">
        <f>"COMMENT ON COLUMN "&amp;エンティティ一覧!$O$2&amp;"."&amp;D$8&amp;"."&amp;D287&amp;" IS '"&amp;C287&amp;"';"</f>
        <v>COMMENT ON COLUMN milscm_2023_009.sny_202310_annony_shikkan2.shikkan274_start_date IS 'C573_疾患開始日';</v>
      </c>
    </row>
    <row r="288" spans="1:45" s="25" customFormat="1">
      <c r="A288" s="4" t="s">
        <v>5423</v>
      </c>
      <c r="B288" s="21">
        <f t="shared" si="66"/>
        <v>276</v>
      </c>
      <c r="C288" s="13" t="str">
        <f t="shared" si="67"/>
        <v>C574_疾患開始日</v>
      </c>
      <c r="D288" s="13" t="s">
        <v>5043</v>
      </c>
      <c r="E288" s="8"/>
      <c r="F288" s="7" t="s">
        <v>4348</v>
      </c>
      <c r="G288" s="7" t="s">
        <v>25</v>
      </c>
      <c r="H288" s="58"/>
      <c r="I288" s="23"/>
      <c r="J288" s="24"/>
      <c r="M288" s="4"/>
      <c r="N288" s="76"/>
      <c r="O288" s="76"/>
      <c r="P288" s="76" t="str">
        <f t="shared" si="75"/>
        <v>,shikkan275_start_date</v>
      </c>
      <c r="Q288" s="76" t="str">
        <f t="shared" si="76"/>
        <v>DATE</v>
      </c>
      <c r="R288" s="76" t="str">
        <f t="shared" si="77"/>
        <v/>
      </c>
      <c r="S288" s="76" t="str">
        <f t="shared" si="78"/>
        <v/>
      </c>
      <c r="T288" s="76" t="str">
        <f t="shared" si="79"/>
        <v>-- C574_疾患開始日</v>
      </c>
      <c r="U288" s="4" t="str">
        <f t="shared" si="68"/>
        <v>, CASE WHEN shikkan_disp_name = 'C574' THEN min_shikkan_start_date ::DATE ELSE NULL END AS shikkan275_start_date</v>
      </c>
      <c r="V288" s="25" t="str">
        <f t="shared" si="69"/>
        <v>, max(shikkan275_start_date)</v>
      </c>
      <c r="AA288" s="4"/>
      <c r="AB288" s="4"/>
      <c r="AC288" s="4"/>
      <c r="AD288" s="4"/>
      <c r="AE288" s="4"/>
      <c r="AF288" s="4"/>
      <c r="AG288" s="4"/>
      <c r="AH288" s="4"/>
      <c r="AI288" s="4"/>
      <c r="AJ288" s="76" t="str">
        <f>IF(E288="○",IF(COUNTA(E$13:E288)=1,"",",")&amp;D288,"")</f>
        <v/>
      </c>
      <c r="AK288" s="4"/>
      <c r="AL288" s="4"/>
      <c r="AM288" s="4"/>
      <c r="AN288" s="4"/>
      <c r="AO288" s="4"/>
      <c r="AP288" s="4"/>
      <c r="AQ288" s="4"/>
      <c r="AR288" s="4"/>
      <c r="AS288" s="76" t="str">
        <f>"COMMENT ON COLUMN "&amp;エンティティ一覧!$O$2&amp;"."&amp;D$8&amp;"."&amp;D288&amp;" IS '"&amp;C288&amp;"';"</f>
        <v>COMMENT ON COLUMN milscm_2023_009.sny_202310_annony_shikkan2.shikkan275_start_date IS 'C574_疾患開始日';</v>
      </c>
    </row>
    <row r="289" spans="1:45" s="25" customFormat="1">
      <c r="A289" s="4" t="s">
        <v>5424</v>
      </c>
      <c r="B289" s="21">
        <f t="shared" si="66"/>
        <v>277</v>
      </c>
      <c r="C289" s="13" t="str">
        <f t="shared" si="67"/>
        <v>C577_疾患開始日</v>
      </c>
      <c r="D289" s="13" t="s">
        <v>5044</v>
      </c>
      <c r="E289" s="8"/>
      <c r="F289" s="7" t="s">
        <v>4348</v>
      </c>
      <c r="G289" s="7" t="s">
        <v>25</v>
      </c>
      <c r="H289" s="58"/>
      <c r="I289" s="23"/>
      <c r="J289" s="24"/>
      <c r="M289" s="4"/>
      <c r="N289" s="76"/>
      <c r="O289" s="76"/>
      <c r="P289" s="76" t="str">
        <f t="shared" si="75"/>
        <v>,shikkan276_start_date</v>
      </c>
      <c r="Q289" s="76" t="str">
        <f t="shared" si="76"/>
        <v>DATE</v>
      </c>
      <c r="R289" s="76" t="str">
        <f t="shared" si="77"/>
        <v/>
      </c>
      <c r="S289" s="76" t="str">
        <f t="shared" si="78"/>
        <v/>
      </c>
      <c r="T289" s="76" t="str">
        <f t="shared" si="79"/>
        <v>-- C577_疾患開始日</v>
      </c>
      <c r="U289" s="4" t="str">
        <f t="shared" si="68"/>
        <v>, CASE WHEN shikkan_disp_name = 'C577' THEN min_shikkan_start_date ::DATE ELSE NULL END AS shikkan276_start_date</v>
      </c>
      <c r="V289" s="25" t="str">
        <f t="shared" si="69"/>
        <v>, max(shikkan276_start_date)</v>
      </c>
      <c r="AA289" s="4"/>
      <c r="AB289" s="4"/>
      <c r="AC289" s="4"/>
      <c r="AD289" s="4"/>
      <c r="AE289" s="4"/>
      <c r="AF289" s="4"/>
      <c r="AG289" s="4"/>
      <c r="AH289" s="4"/>
      <c r="AI289" s="4"/>
      <c r="AJ289" s="76" t="str">
        <f>IF(E289="○",IF(COUNTA(E$13:E289)=1,"",",")&amp;D289,"")</f>
        <v/>
      </c>
      <c r="AK289" s="4"/>
      <c r="AL289" s="4"/>
      <c r="AM289" s="4"/>
      <c r="AN289" s="4"/>
      <c r="AO289" s="4"/>
      <c r="AP289" s="4"/>
      <c r="AQ289" s="4"/>
      <c r="AR289" s="4"/>
      <c r="AS289" s="76" t="str">
        <f>"COMMENT ON COLUMN "&amp;エンティティ一覧!$O$2&amp;"."&amp;D$8&amp;"."&amp;D289&amp;" IS '"&amp;C289&amp;"';"</f>
        <v>COMMENT ON COLUMN milscm_2023_009.sny_202310_annony_shikkan2.shikkan276_start_date IS 'C577_疾患開始日';</v>
      </c>
    </row>
    <row r="290" spans="1:45" s="25" customFormat="1">
      <c r="A290" s="4" t="s">
        <v>5425</v>
      </c>
      <c r="B290" s="21">
        <f t="shared" si="66"/>
        <v>278</v>
      </c>
      <c r="C290" s="13" t="str">
        <f t="shared" si="67"/>
        <v>C578_疾患開始日</v>
      </c>
      <c r="D290" s="13" t="s">
        <v>5045</v>
      </c>
      <c r="E290" s="8"/>
      <c r="F290" s="7" t="s">
        <v>4348</v>
      </c>
      <c r="G290" s="7" t="s">
        <v>25</v>
      </c>
      <c r="H290" s="58"/>
      <c r="I290" s="23"/>
      <c r="J290" s="24"/>
      <c r="M290" s="4"/>
      <c r="N290" s="76"/>
      <c r="O290" s="76"/>
      <c r="P290" s="76" t="str">
        <f t="shared" si="75"/>
        <v>,shikkan277_start_date</v>
      </c>
      <c r="Q290" s="76" t="str">
        <f t="shared" si="76"/>
        <v>DATE</v>
      </c>
      <c r="R290" s="76" t="str">
        <f t="shared" si="77"/>
        <v/>
      </c>
      <c r="S290" s="76" t="str">
        <f t="shared" si="78"/>
        <v/>
      </c>
      <c r="T290" s="76" t="str">
        <f t="shared" si="79"/>
        <v>-- C578_疾患開始日</v>
      </c>
      <c r="U290" s="4" t="str">
        <f t="shared" si="68"/>
        <v>, CASE WHEN shikkan_disp_name = 'C578' THEN min_shikkan_start_date ::DATE ELSE NULL END AS shikkan277_start_date</v>
      </c>
      <c r="V290" s="25" t="str">
        <f t="shared" si="69"/>
        <v>, max(shikkan277_start_date)</v>
      </c>
      <c r="AA290" s="4"/>
      <c r="AB290" s="4"/>
      <c r="AC290" s="4"/>
      <c r="AD290" s="4"/>
      <c r="AE290" s="4"/>
      <c r="AF290" s="4"/>
      <c r="AG290" s="4"/>
      <c r="AH290" s="4"/>
      <c r="AI290" s="4"/>
      <c r="AJ290" s="76" t="str">
        <f>IF(E290="○",IF(COUNTA(E$13:E290)=1,"",",")&amp;D290,"")</f>
        <v/>
      </c>
      <c r="AK290" s="4"/>
      <c r="AL290" s="4"/>
      <c r="AM290" s="4"/>
      <c r="AN290" s="4"/>
      <c r="AO290" s="4"/>
      <c r="AP290" s="4"/>
      <c r="AQ290" s="4"/>
      <c r="AR290" s="4"/>
      <c r="AS290" s="76" t="str">
        <f>"COMMENT ON COLUMN "&amp;エンティティ一覧!$O$2&amp;"."&amp;D$8&amp;"."&amp;D290&amp;" IS '"&amp;C290&amp;"';"</f>
        <v>COMMENT ON COLUMN milscm_2023_009.sny_202310_annony_shikkan2.shikkan277_start_date IS 'C578_疾患開始日';</v>
      </c>
    </row>
    <row r="291" spans="1:45" s="25" customFormat="1">
      <c r="A291" s="4" t="s">
        <v>5426</v>
      </c>
      <c r="B291" s="21">
        <f t="shared" si="66"/>
        <v>279</v>
      </c>
      <c r="C291" s="13" t="str">
        <f t="shared" si="67"/>
        <v>C579_疾患開始日</v>
      </c>
      <c r="D291" s="13" t="s">
        <v>5046</v>
      </c>
      <c r="E291" s="8"/>
      <c r="F291" s="7" t="s">
        <v>4348</v>
      </c>
      <c r="G291" s="7" t="s">
        <v>25</v>
      </c>
      <c r="H291" s="58"/>
      <c r="I291" s="23"/>
      <c r="J291" s="24"/>
      <c r="M291" s="4"/>
      <c r="N291" s="76"/>
      <c r="O291" s="76"/>
      <c r="P291" s="76" t="str">
        <f t="shared" si="75"/>
        <v>,shikkan278_start_date</v>
      </c>
      <c r="Q291" s="76" t="str">
        <f t="shared" si="76"/>
        <v>DATE</v>
      </c>
      <c r="R291" s="76" t="str">
        <f t="shared" si="77"/>
        <v/>
      </c>
      <c r="S291" s="76" t="str">
        <f t="shared" si="78"/>
        <v/>
      </c>
      <c r="T291" s="76" t="str">
        <f t="shared" si="79"/>
        <v>-- C579_疾患開始日</v>
      </c>
      <c r="U291" s="4" t="str">
        <f t="shared" si="68"/>
        <v>, CASE WHEN shikkan_disp_name = 'C579' THEN min_shikkan_start_date ::DATE ELSE NULL END AS shikkan278_start_date</v>
      </c>
      <c r="V291" s="25" t="str">
        <f t="shared" si="69"/>
        <v>, max(shikkan278_start_date)</v>
      </c>
      <c r="AA291" s="4"/>
      <c r="AB291" s="4"/>
      <c r="AC291" s="4"/>
      <c r="AD291" s="4"/>
      <c r="AE291" s="4"/>
      <c r="AF291" s="4"/>
      <c r="AG291" s="4"/>
      <c r="AH291" s="4"/>
      <c r="AI291" s="4"/>
      <c r="AJ291" s="76" t="str">
        <f>IF(E291="○",IF(COUNTA(E$13:E291)=1,"",",")&amp;D291,"")</f>
        <v/>
      </c>
      <c r="AK291" s="4"/>
      <c r="AL291" s="4"/>
      <c r="AM291" s="4"/>
      <c r="AN291" s="4"/>
      <c r="AO291" s="4"/>
      <c r="AP291" s="4"/>
      <c r="AQ291" s="4"/>
      <c r="AR291" s="4"/>
      <c r="AS291" s="76" t="str">
        <f>"COMMENT ON COLUMN "&amp;エンティティ一覧!$O$2&amp;"."&amp;D$8&amp;"."&amp;D291&amp;" IS '"&amp;C291&amp;"';"</f>
        <v>COMMENT ON COLUMN milscm_2023_009.sny_202310_annony_shikkan2.shikkan278_start_date IS 'C579_疾患開始日';</v>
      </c>
    </row>
    <row r="292" spans="1:45" s="25" customFormat="1">
      <c r="A292" s="4" t="s">
        <v>5151</v>
      </c>
      <c r="B292" s="21">
        <f t="shared" si="66"/>
        <v>280</v>
      </c>
      <c r="C292" s="13" t="str">
        <f t="shared" si="67"/>
        <v>C58_疾患開始日</v>
      </c>
      <c r="D292" s="13" t="s">
        <v>5047</v>
      </c>
      <c r="E292" s="8"/>
      <c r="F292" s="7" t="s">
        <v>4348</v>
      </c>
      <c r="G292" s="7" t="s">
        <v>25</v>
      </c>
      <c r="H292" s="58"/>
      <c r="I292" s="23"/>
      <c r="J292" s="24"/>
      <c r="M292" s="4"/>
      <c r="N292" s="76"/>
      <c r="O292" s="76"/>
      <c r="P292" s="76" t="str">
        <f t="shared" si="75"/>
        <v>,shikkan279_start_date</v>
      </c>
      <c r="Q292" s="76" t="str">
        <f t="shared" si="76"/>
        <v>DATE</v>
      </c>
      <c r="R292" s="76" t="str">
        <f t="shared" si="77"/>
        <v/>
      </c>
      <c r="S292" s="76" t="str">
        <f t="shared" si="78"/>
        <v/>
      </c>
      <c r="T292" s="76" t="str">
        <f t="shared" si="79"/>
        <v>-- C58_疾患開始日</v>
      </c>
      <c r="U292" s="4" t="str">
        <f t="shared" si="68"/>
        <v>, CASE WHEN shikkan_disp_name = 'C58' THEN min_shikkan_start_date ::DATE ELSE NULL END AS shikkan279_start_date</v>
      </c>
      <c r="V292" s="25" t="str">
        <f t="shared" si="69"/>
        <v>, max(shikkan279_start_date)</v>
      </c>
      <c r="AA292" s="4"/>
      <c r="AB292" s="4"/>
      <c r="AC292" s="4"/>
      <c r="AD292" s="4"/>
      <c r="AE292" s="4"/>
      <c r="AF292" s="4"/>
      <c r="AG292" s="4"/>
      <c r="AH292" s="4"/>
      <c r="AI292" s="4"/>
      <c r="AJ292" s="76" t="str">
        <f>IF(E292="○",IF(COUNTA(E$13:E292)=1,"",",")&amp;D292,"")</f>
        <v/>
      </c>
      <c r="AK292" s="4"/>
      <c r="AL292" s="4"/>
      <c r="AM292" s="4"/>
      <c r="AN292" s="4"/>
      <c r="AO292" s="4"/>
      <c r="AP292" s="4"/>
      <c r="AQ292" s="4"/>
      <c r="AR292" s="4"/>
      <c r="AS292" s="76" t="str">
        <f>"COMMENT ON COLUMN "&amp;エンティティ一覧!$O$2&amp;"."&amp;D$8&amp;"."&amp;D292&amp;" IS '"&amp;C292&amp;"';"</f>
        <v>COMMENT ON COLUMN milscm_2023_009.sny_202310_annony_shikkan2.shikkan279_start_date IS 'C58_疾患開始日';</v>
      </c>
    </row>
    <row r="293" spans="1:45" s="25" customFormat="1">
      <c r="A293" s="4" t="s">
        <v>5427</v>
      </c>
      <c r="B293" s="21">
        <f t="shared" si="66"/>
        <v>281</v>
      </c>
      <c r="C293" s="13" t="str">
        <f t="shared" si="67"/>
        <v>C600_疾患開始日</v>
      </c>
      <c r="D293" s="13" t="s">
        <v>5048</v>
      </c>
      <c r="E293" s="8"/>
      <c r="F293" s="7" t="s">
        <v>4348</v>
      </c>
      <c r="G293" s="7" t="s">
        <v>25</v>
      </c>
      <c r="H293" s="58"/>
      <c r="I293" s="23"/>
      <c r="J293" s="24"/>
      <c r="M293" s="4"/>
      <c r="N293" s="76"/>
      <c r="O293" s="76"/>
      <c r="P293" s="76" t="str">
        <f t="shared" si="75"/>
        <v>,shikkan280_start_date</v>
      </c>
      <c r="Q293" s="76" t="str">
        <f t="shared" si="76"/>
        <v>DATE</v>
      </c>
      <c r="R293" s="76" t="str">
        <f t="shared" si="77"/>
        <v/>
      </c>
      <c r="S293" s="76" t="str">
        <f t="shared" si="78"/>
        <v/>
      </c>
      <c r="T293" s="76" t="str">
        <f t="shared" si="79"/>
        <v>-- C600_疾患開始日</v>
      </c>
      <c r="U293" s="4" t="str">
        <f t="shared" si="68"/>
        <v>, CASE WHEN shikkan_disp_name = 'C600' THEN min_shikkan_start_date ::DATE ELSE NULL END AS shikkan280_start_date</v>
      </c>
      <c r="V293" s="25" t="str">
        <f t="shared" si="69"/>
        <v>, max(shikkan280_start_date)</v>
      </c>
      <c r="AA293" s="4"/>
      <c r="AB293" s="4"/>
      <c r="AC293" s="4"/>
      <c r="AD293" s="4"/>
      <c r="AE293" s="4"/>
      <c r="AF293" s="4"/>
      <c r="AG293" s="4"/>
      <c r="AH293" s="4"/>
      <c r="AI293" s="4"/>
      <c r="AJ293" s="76" t="str">
        <f>IF(E293="○",IF(COUNTA(E$13:E293)=1,"",",")&amp;D293,"")</f>
        <v/>
      </c>
      <c r="AK293" s="4"/>
      <c r="AL293" s="4"/>
      <c r="AM293" s="4"/>
      <c r="AN293" s="4"/>
      <c r="AO293" s="4"/>
      <c r="AP293" s="4"/>
      <c r="AQ293" s="4"/>
      <c r="AR293" s="4"/>
      <c r="AS293" s="76" t="str">
        <f>"COMMENT ON COLUMN "&amp;エンティティ一覧!$O$2&amp;"."&amp;D$8&amp;"."&amp;D293&amp;" IS '"&amp;C293&amp;"';"</f>
        <v>COMMENT ON COLUMN milscm_2023_009.sny_202310_annony_shikkan2.shikkan280_start_date IS 'C600_疾患開始日';</v>
      </c>
    </row>
    <row r="294" spans="1:45" s="25" customFormat="1">
      <c r="A294" s="4" t="s">
        <v>5428</v>
      </c>
      <c r="B294" s="21">
        <f t="shared" si="66"/>
        <v>282</v>
      </c>
      <c r="C294" s="13" t="str">
        <f t="shared" si="67"/>
        <v>C601_疾患開始日</v>
      </c>
      <c r="D294" s="13" t="s">
        <v>5049</v>
      </c>
      <c r="E294" s="8"/>
      <c r="F294" s="7" t="s">
        <v>4348</v>
      </c>
      <c r="G294" s="7" t="s">
        <v>25</v>
      </c>
      <c r="H294" s="58"/>
      <c r="I294" s="23"/>
      <c r="J294" s="24"/>
      <c r="M294" s="4"/>
      <c r="N294" s="76"/>
      <c r="O294" s="76"/>
      <c r="P294" s="76" t="str">
        <f t="shared" ref="P294:P357" si="80">IF(B294&lt;&gt;1,","&amp;D294,D294)</f>
        <v>,shikkan281_start_date</v>
      </c>
      <c r="Q294" s="76" t="str">
        <f t="shared" ref="Q294:Q357" si="81">UPPER(G294)</f>
        <v>DATE</v>
      </c>
      <c r="R294" s="76" t="str">
        <f t="shared" ref="R294:R357" si="82">IF(H294&lt;&gt;"","default "&amp;IF(G294="text","'"&amp;H294&amp;"'",H294),"")</f>
        <v/>
      </c>
      <c r="S294" s="76" t="str">
        <f t="shared" ref="S294:S357" si="83">IF(I294="○","NOT NULL","")</f>
        <v/>
      </c>
      <c r="T294" s="76" t="str">
        <f t="shared" ref="T294:T357" si="84">"-- "&amp;C294</f>
        <v>-- C601_疾患開始日</v>
      </c>
      <c r="U294" s="4" t="str">
        <f t="shared" si="68"/>
        <v>, CASE WHEN shikkan_disp_name = 'C601' THEN min_shikkan_start_date ::DATE ELSE NULL END AS shikkan281_start_date</v>
      </c>
      <c r="V294" s="25" t="str">
        <f t="shared" si="69"/>
        <v>, max(shikkan281_start_date)</v>
      </c>
      <c r="AA294" s="4"/>
      <c r="AB294" s="4"/>
      <c r="AC294" s="4"/>
      <c r="AD294" s="4"/>
      <c r="AE294" s="4"/>
      <c r="AF294" s="4"/>
      <c r="AG294" s="4"/>
      <c r="AH294" s="4"/>
      <c r="AI294" s="4"/>
      <c r="AJ294" s="76" t="str">
        <f>IF(E294="○",IF(COUNTA(E$13:E294)=1,"",",")&amp;D294,"")</f>
        <v/>
      </c>
      <c r="AK294" s="4"/>
      <c r="AL294" s="4"/>
      <c r="AM294" s="4"/>
      <c r="AN294" s="4"/>
      <c r="AO294" s="4"/>
      <c r="AP294" s="4"/>
      <c r="AQ294" s="4"/>
      <c r="AR294" s="4"/>
      <c r="AS294" s="76" t="str">
        <f>"COMMENT ON COLUMN "&amp;エンティティ一覧!$O$2&amp;"."&amp;D$8&amp;"."&amp;D294&amp;" IS '"&amp;C294&amp;"';"</f>
        <v>COMMENT ON COLUMN milscm_2023_009.sny_202310_annony_shikkan2.shikkan281_start_date IS 'C601_疾患開始日';</v>
      </c>
    </row>
    <row r="295" spans="1:45" s="25" customFormat="1">
      <c r="A295" s="4" t="s">
        <v>5429</v>
      </c>
      <c r="B295" s="21">
        <f t="shared" si="66"/>
        <v>283</v>
      </c>
      <c r="C295" s="13" t="str">
        <f t="shared" si="67"/>
        <v>C602_疾患開始日</v>
      </c>
      <c r="D295" s="13" t="s">
        <v>5050</v>
      </c>
      <c r="E295" s="8"/>
      <c r="F295" s="7" t="s">
        <v>4348</v>
      </c>
      <c r="G295" s="7" t="s">
        <v>25</v>
      </c>
      <c r="H295" s="58"/>
      <c r="I295" s="23"/>
      <c r="J295" s="24"/>
      <c r="M295" s="4"/>
      <c r="N295" s="76"/>
      <c r="O295" s="76"/>
      <c r="P295" s="76" t="str">
        <f t="shared" si="80"/>
        <v>,shikkan282_start_date</v>
      </c>
      <c r="Q295" s="76" t="str">
        <f t="shared" si="81"/>
        <v>DATE</v>
      </c>
      <c r="R295" s="76" t="str">
        <f t="shared" si="82"/>
        <v/>
      </c>
      <c r="S295" s="76" t="str">
        <f t="shared" si="83"/>
        <v/>
      </c>
      <c r="T295" s="76" t="str">
        <f t="shared" si="84"/>
        <v>-- C602_疾患開始日</v>
      </c>
      <c r="U295" s="4" t="str">
        <f t="shared" si="68"/>
        <v>, CASE WHEN shikkan_disp_name = 'C602' THEN min_shikkan_start_date ::DATE ELSE NULL END AS shikkan282_start_date</v>
      </c>
      <c r="V295" s="25" t="str">
        <f t="shared" si="69"/>
        <v>, max(shikkan282_start_date)</v>
      </c>
      <c r="AA295" s="4"/>
      <c r="AB295" s="4"/>
      <c r="AC295" s="4"/>
      <c r="AD295" s="4"/>
      <c r="AE295" s="4"/>
      <c r="AF295" s="4"/>
      <c r="AG295" s="4"/>
      <c r="AH295" s="4"/>
      <c r="AI295" s="4"/>
      <c r="AJ295" s="76" t="str">
        <f>IF(E295="○",IF(COUNTA(E$13:E295)=1,"",",")&amp;D295,"")</f>
        <v/>
      </c>
      <c r="AK295" s="4"/>
      <c r="AL295" s="4"/>
      <c r="AM295" s="4"/>
      <c r="AN295" s="4"/>
      <c r="AO295" s="4"/>
      <c r="AP295" s="4"/>
      <c r="AQ295" s="4"/>
      <c r="AR295" s="4"/>
      <c r="AS295" s="76" t="str">
        <f>"COMMENT ON COLUMN "&amp;エンティティ一覧!$O$2&amp;"."&amp;D$8&amp;"."&amp;D295&amp;" IS '"&amp;C295&amp;"';"</f>
        <v>COMMENT ON COLUMN milscm_2023_009.sny_202310_annony_shikkan2.shikkan282_start_date IS 'C602_疾患開始日';</v>
      </c>
    </row>
    <row r="296" spans="1:45" s="25" customFormat="1">
      <c r="A296" s="4" t="s">
        <v>5430</v>
      </c>
      <c r="B296" s="21">
        <f t="shared" si="66"/>
        <v>284</v>
      </c>
      <c r="C296" s="13" t="str">
        <f t="shared" si="67"/>
        <v>C608_疾患開始日</v>
      </c>
      <c r="D296" s="13" t="s">
        <v>5051</v>
      </c>
      <c r="E296" s="8"/>
      <c r="F296" s="7" t="s">
        <v>4348</v>
      </c>
      <c r="G296" s="7" t="s">
        <v>25</v>
      </c>
      <c r="H296" s="58"/>
      <c r="I296" s="23"/>
      <c r="J296" s="24"/>
      <c r="M296" s="4"/>
      <c r="N296" s="76"/>
      <c r="O296" s="76"/>
      <c r="P296" s="76" t="str">
        <f t="shared" si="80"/>
        <v>,shikkan283_start_date</v>
      </c>
      <c r="Q296" s="76" t="str">
        <f t="shared" si="81"/>
        <v>DATE</v>
      </c>
      <c r="R296" s="76" t="str">
        <f t="shared" si="82"/>
        <v/>
      </c>
      <c r="S296" s="76" t="str">
        <f t="shared" si="83"/>
        <v/>
      </c>
      <c r="T296" s="76" t="str">
        <f t="shared" si="84"/>
        <v>-- C608_疾患開始日</v>
      </c>
      <c r="U296" s="4" t="str">
        <f t="shared" si="68"/>
        <v>, CASE WHEN shikkan_disp_name = 'C608' THEN min_shikkan_start_date ::DATE ELSE NULL END AS shikkan283_start_date</v>
      </c>
      <c r="V296" s="25" t="str">
        <f t="shared" si="69"/>
        <v>, max(shikkan283_start_date)</v>
      </c>
      <c r="AA296" s="4"/>
      <c r="AB296" s="4"/>
      <c r="AC296" s="4"/>
      <c r="AD296" s="4"/>
      <c r="AE296" s="4"/>
      <c r="AF296" s="4"/>
      <c r="AG296" s="4"/>
      <c r="AH296" s="4"/>
      <c r="AI296" s="4"/>
      <c r="AJ296" s="76" t="str">
        <f>IF(E296="○",IF(COUNTA(E$13:E296)=1,"",",")&amp;D296,"")</f>
        <v/>
      </c>
      <c r="AK296" s="4"/>
      <c r="AL296" s="4"/>
      <c r="AM296" s="4"/>
      <c r="AN296" s="4"/>
      <c r="AO296" s="4"/>
      <c r="AP296" s="4"/>
      <c r="AQ296" s="4"/>
      <c r="AR296" s="4"/>
      <c r="AS296" s="76" t="str">
        <f>"COMMENT ON COLUMN "&amp;エンティティ一覧!$O$2&amp;"."&amp;D$8&amp;"."&amp;D296&amp;" IS '"&amp;C296&amp;"';"</f>
        <v>COMMENT ON COLUMN milscm_2023_009.sny_202310_annony_shikkan2.shikkan283_start_date IS 'C608_疾患開始日';</v>
      </c>
    </row>
    <row r="297" spans="1:45" s="25" customFormat="1">
      <c r="A297" s="4" t="s">
        <v>5431</v>
      </c>
      <c r="B297" s="21">
        <f t="shared" si="66"/>
        <v>285</v>
      </c>
      <c r="C297" s="13" t="str">
        <f t="shared" si="67"/>
        <v>C609_疾患開始日</v>
      </c>
      <c r="D297" s="13" t="s">
        <v>5052</v>
      </c>
      <c r="E297" s="8"/>
      <c r="F297" s="7" t="s">
        <v>4348</v>
      </c>
      <c r="G297" s="7" t="s">
        <v>25</v>
      </c>
      <c r="H297" s="58"/>
      <c r="I297" s="23"/>
      <c r="J297" s="24"/>
      <c r="M297" s="4"/>
      <c r="N297" s="76"/>
      <c r="O297" s="76"/>
      <c r="P297" s="76" t="str">
        <f t="shared" si="80"/>
        <v>,shikkan284_start_date</v>
      </c>
      <c r="Q297" s="76" t="str">
        <f t="shared" si="81"/>
        <v>DATE</v>
      </c>
      <c r="R297" s="76" t="str">
        <f t="shared" si="82"/>
        <v/>
      </c>
      <c r="S297" s="76" t="str">
        <f t="shared" si="83"/>
        <v/>
      </c>
      <c r="T297" s="76" t="str">
        <f t="shared" si="84"/>
        <v>-- C609_疾患開始日</v>
      </c>
      <c r="U297" s="4" t="str">
        <f t="shared" si="68"/>
        <v>, CASE WHEN shikkan_disp_name = 'C609' THEN min_shikkan_start_date ::DATE ELSE NULL END AS shikkan284_start_date</v>
      </c>
      <c r="V297" s="25" t="str">
        <f t="shared" si="69"/>
        <v>, max(shikkan284_start_date)</v>
      </c>
      <c r="AA297" s="4"/>
      <c r="AB297" s="4"/>
      <c r="AC297" s="4"/>
      <c r="AD297" s="4"/>
      <c r="AE297" s="4"/>
      <c r="AF297" s="4"/>
      <c r="AG297" s="4"/>
      <c r="AH297" s="4"/>
      <c r="AI297" s="4"/>
      <c r="AJ297" s="76" t="str">
        <f>IF(E297="○",IF(COUNTA(E$13:E297)=1,"",",")&amp;D297,"")</f>
        <v/>
      </c>
      <c r="AK297" s="4"/>
      <c r="AL297" s="4"/>
      <c r="AM297" s="4"/>
      <c r="AN297" s="4"/>
      <c r="AO297" s="4"/>
      <c r="AP297" s="4"/>
      <c r="AQ297" s="4"/>
      <c r="AR297" s="4"/>
      <c r="AS297" s="76" t="str">
        <f>"COMMENT ON COLUMN "&amp;エンティティ一覧!$O$2&amp;"."&amp;D$8&amp;"."&amp;D297&amp;" IS '"&amp;C297&amp;"';"</f>
        <v>COMMENT ON COLUMN milscm_2023_009.sny_202310_annony_shikkan2.shikkan284_start_date IS 'C609_疾患開始日';</v>
      </c>
    </row>
    <row r="298" spans="1:45" s="25" customFormat="1">
      <c r="A298" s="4" t="s">
        <v>5152</v>
      </c>
      <c r="B298" s="21">
        <f t="shared" si="66"/>
        <v>286</v>
      </c>
      <c r="C298" s="13" t="str">
        <f t="shared" si="67"/>
        <v>C61_疾患開始日</v>
      </c>
      <c r="D298" s="13" t="s">
        <v>5053</v>
      </c>
      <c r="E298" s="8"/>
      <c r="F298" s="7" t="s">
        <v>4348</v>
      </c>
      <c r="G298" s="7" t="s">
        <v>25</v>
      </c>
      <c r="H298" s="58"/>
      <c r="I298" s="23"/>
      <c r="J298" s="24"/>
      <c r="M298" s="4"/>
      <c r="N298" s="76"/>
      <c r="O298" s="76"/>
      <c r="P298" s="76" t="str">
        <f t="shared" si="80"/>
        <v>,shikkan285_start_date</v>
      </c>
      <c r="Q298" s="76" t="str">
        <f t="shared" si="81"/>
        <v>DATE</v>
      </c>
      <c r="R298" s="76" t="str">
        <f t="shared" si="82"/>
        <v/>
      </c>
      <c r="S298" s="76" t="str">
        <f t="shared" si="83"/>
        <v/>
      </c>
      <c r="T298" s="76" t="str">
        <f t="shared" si="84"/>
        <v>-- C61_疾患開始日</v>
      </c>
      <c r="U298" s="4" t="str">
        <f t="shared" si="68"/>
        <v>, CASE WHEN shikkan_disp_name = 'C61' THEN min_shikkan_start_date ::DATE ELSE NULL END AS shikkan285_start_date</v>
      </c>
      <c r="V298" s="25" t="str">
        <f t="shared" si="69"/>
        <v>, max(shikkan285_start_date)</v>
      </c>
      <c r="AA298" s="4"/>
      <c r="AB298" s="4"/>
      <c r="AC298" s="4"/>
      <c r="AD298" s="4"/>
      <c r="AE298" s="4"/>
      <c r="AF298" s="4"/>
      <c r="AG298" s="4"/>
      <c r="AH298" s="4"/>
      <c r="AI298" s="4"/>
      <c r="AJ298" s="76" t="str">
        <f>IF(E298="○",IF(COUNTA(E$13:E298)=1,"",",")&amp;D298,"")</f>
        <v/>
      </c>
      <c r="AK298" s="4"/>
      <c r="AL298" s="4"/>
      <c r="AM298" s="4"/>
      <c r="AN298" s="4"/>
      <c r="AO298" s="4"/>
      <c r="AP298" s="4"/>
      <c r="AQ298" s="4"/>
      <c r="AR298" s="4"/>
      <c r="AS298" s="76" t="str">
        <f>"COMMENT ON COLUMN "&amp;エンティティ一覧!$O$2&amp;"."&amp;D$8&amp;"."&amp;D298&amp;" IS '"&amp;C298&amp;"';"</f>
        <v>COMMENT ON COLUMN milscm_2023_009.sny_202310_annony_shikkan2.shikkan285_start_date IS 'C61_疾患開始日';</v>
      </c>
    </row>
    <row r="299" spans="1:45" s="25" customFormat="1">
      <c r="A299" s="4" t="s">
        <v>5432</v>
      </c>
      <c r="B299" s="21">
        <f t="shared" si="66"/>
        <v>287</v>
      </c>
      <c r="C299" s="13" t="str">
        <f t="shared" si="67"/>
        <v>C620_疾患開始日</v>
      </c>
      <c r="D299" s="13" t="s">
        <v>5054</v>
      </c>
      <c r="E299" s="8"/>
      <c r="F299" s="7" t="s">
        <v>4348</v>
      </c>
      <c r="G299" s="7" t="s">
        <v>25</v>
      </c>
      <c r="H299" s="58"/>
      <c r="I299" s="23"/>
      <c r="J299" s="24"/>
      <c r="M299" s="4"/>
      <c r="N299" s="76"/>
      <c r="O299" s="76"/>
      <c r="P299" s="76" t="str">
        <f t="shared" si="80"/>
        <v>,shikkan286_start_date</v>
      </c>
      <c r="Q299" s="76" t="str">
        <f t="shared" si="81"/>
        <v>DATE</v>
      </c>
      <c r="R299" s="76" t="str">
        <f t="shared" si="82"/>
        <v/>
      </c>
      <c r="S299" s="76" t="str">
        <f t="shared" si="83"/>
        <v/>
      </c>
      <c r="T299" s="76" t="str">
        <f t="shared" si="84"/>
        <v>-- C620_疾患開始日</v>
      </c>
      <c r="U299" s="4" t="str">
        <f t="shared" si="68"/>
        <v>, CASE WHEN shikkan_disp_name = 'C620' THEN min_shikkan_start_date ::DATE ELSE NULL END AS shikkan286_start_date</v>
      </c>
      <c r="V299" s="25" t="str">
        <f t="shared" si="69"/>
        <v>, max(shikkan286_start_date)</v>
      </c>
      <c r="AA299" s="4"/>
      <c r="AB299" s="4"/>
      <c r="AC299" s="4"/>
      <c r="AD299" s="4"/>
      <c r="AE299" s="4"/>
      <c r="AF299" s="4"/>
      <c r="AG299" s="4"/>
      <c r="AH299" s="4"/>
      <c r="AI299" s="4"/>
      <c r="AJ299" s="76" t="str">
        <f>IF(E299="○",IF(COUNTA(E$13:E299)=1,"",",")&amp;D299,"")</f>
        <v/>
      </c>
      <c r="AK299" s="4"/>
      <c r="AL299" s="4"/>
      <c r="AM299" s="4"/>
      <c r="AN299" s="4"/>
      <c r="AO299" s="4"/>
      <c r="AP299" s="4"/>
      <c r="AQ299" s="4"/>
      <c r="AR299" s="4"/>
      <c r="AS299" s="76" t="str">
        <f>"COMMENT ON COLUMN "&amp;エンティティ一覧!$O$2&amp;"."&amp;D$8&amp;"."&amp;D299&amp;" IS '"&amp;C299&amp;"';"</f>
        <v>COMMENT ON COLUMN milscm_2023_009.sny_202310_annony_shikkan2.shikkan286_start_date IS 'C620_疾患開始日';</v>
      </c>
    </row>
    <row r="300" spans="1:45" s="25" customFormat="1">
      <c r="A300" s="4" t="s">
        <v>5433</v>
      </c>
      <c r="B300" s="21">
        <f t="shared" si="66"/>
        <v>288</v>
      </c>
      <c r="C300" s="13" t="str">
        <f t="shared" si="67"/>
        <v>C621_疾患開始日</v>
      </c>
      <c r="D300" s="13" t="s">
        <v>5055</v>
      </c>
      <c r="E300" s="8"/>
      <c r="F300" s="7" t="s">
        <v>4348</v>
      </c>
      <c r="G300" s="7" t="s">
        <v>25</v>
      </c>
      <c r="H300" s="58"/>
      <c r="I300" s="23"/>
      <c r="J300" s="24"/>
      <c r="M300" s="4"/>
      <c r="N300" s="76"/>
      <c r="O300" s="76"/>
      <c r="P300" s="76" t="str">
        <f t="shared" si="80"/>
        <v>,shikkan287_start_date</v>
      </c>
      <c r="Q300" s="76" t="str">
        <f t="shared" si="81"/>
        <v>DATE</v>
      </c>
      <c r="R300" s="76" t="str">
        <f t="shared" si="82"/>
        <v/>
      </c>
      <c r="S300" s="76" t="str">
        <f t="shared" si="83"/>
        <v/>
      </c>
      <c r="T300" s="76" t="str">
        <f t="shared" si="84"/>
        <v>-- C621_疾患開始日</v>
      </c>
      <c r="U300" s="4" t="str">
        <f t="shared" si="68"/>
        <v>, CASE WHEN shikkan_disp_name = 'C621' THEN min_shikkan_start_date ::DATE ELSE NULL END AS shikkan287_start_date</v>
      </c>
      <c r="V300" s="25" t="str">
        <f t="shared" si="69"/>
        <v>, max(shikkan287_start_date)</v>
      </c>
      <c r="AA300" s="4"/>
      <c r="AB300" s="4"/>
      <c r="AC300" s="4"/>
      <c r="AD300" s="4"/>
      <c r="AE300" s="4"/>
      <c r="AF300" s="4"/>
      <c r="AG300" s="4"/>
      <c r="AH300" s="4"/>
      <c r="AI300" s="4"/>
      <c r="AJ300" s="76" t="str">
        <f>IF(E300="○",IF(COUNTA(E$13:E300)=1,"",",")&amp;D300,"")</f>
        <v/>
      </c>
      <c r="AK300" s="4"/>
      <c r="AL300" s="4"/>
      <c r="AM300" s="4"/>
      <c r="AN300" s="4"/>
      <c r="AO300" s="4"/>
      <c r="AP300" s="4"/>
      <c r="AQ300" s="4"/>
      <c r="AR300" s="4"/>
      <c r="AS300" s="76" t="str">
        <f>"COMMENT ON COLUMN "&amp;エンティティ一覧!$O$2&amp;"."&amp;D$8&amp;"."&amp;D300&amp;" IS '"&amp;C300&amp;"';"</f>
        <v>COMMENT ON COLUMN milscm_2023_009.sny_202310_annony_shikkan2.shikkan287_start_date IS 'C621_疾患開始日';</v>
      </c>
    </row>
    <row r="301" spans="1:45" s="25" customFormat="1">
      <c r="A301" s="4" t="s">
        <v>5434</v>
      </c>
      <c r="B301" s="21">
        <f t="shared" si="66"/>
        <v>289</v>
      </c>
      <c r="C301" s="13" t="str">
        <f t="shared" si="67"/>
        <v>C629_疾患開始日</v>
      </c>
      <c r="D301" s="13" t="s">
        <v>5056</v>
      </c>
      <c r="E301" s="8"/>
      <c r="F301" s="7" t="s">
        <v>4348</v>
      </c>
      <c r="G301" s="7" t="s">
        <v>25</v>
      </c>
      <c r="H301" s="58"/>
      <c r="I301" s="23"/>
      <c r="J301" s="24"/>
      <c r="M301" s="4"/>
      <c r="N301" s="76"/>
      <c r="O301" s="76"/>
      <c r="P301" s="76" t="str">
        <f t="shared" si="80"/>
        <v>,shikkan288_start_date</v>
      </c>
      <c r="Q301" s="76" t="str">
        <f t="shared" si="81"/>
        <v>DATE</v>
      </c>
      <c r="R301" s="76" t="str">
        <f t="shared" si="82"/>
        <v/>
      </c>
      <c r="S301" s="76" t="str">
        <f t="shared" si="83"/>
        <v/>
      </c>
      <c r="T301" s="76" t="str">
        <f t="shared" si="84"/>
        <v>-- C629_疾患開始日</v>
      </c>
      <c r="U301" s="4" t="str">
        <f t="shared" si="68"/>
        <v>, CASE WHEN shikkan_disp_name = 'C629' THEN min_shikkan_start_date ::DATE ELSE NULL END AS shikkan288_start_date</v>
      </c>
      <c r="V301" s="25" t="str">
        <f t="shared" si="69"/>
        <v>, max(shikkan288_start_date)</v>
      </c>
      <c r="AA301" s="4"/>
      <c r="AB301" s="4"/>
      <c r="AC301" s="4"/>
      <c r="AD301" s="4"/>
      <c r="AE301" s="4"/>
      <c r="AF301" s="4"/>
      <c r="AG301" s="4"/>
      <c r="AH301" s="4"/>
      <c r="AI301" s="4"/>
      <c r="AJ301" s="76" t="str">
        <f>IF(E301="○",IF(COUNTA(E$13:E301)=1,"",",")&amp;D301,"")</f>
        <v/>
      </c>
      <c r="AK301" s="4"/>
      <c r="AL301" s="4"/>
      <c r="AM301" s="4"/>
      <c r="AN301" s="4"/>
      <c r="AO301" s="4"/>
      <c r="AP301" s="4"/>
      <c r="AQ301" s="4"/>
      <c r="AR301" s="4"/>
      <c r="AS301" s="76" t="str">
        <f>"COMMENT ON COLUMN "&amp;エンティティ一覧!$O$2&amp;"."&amp;D$8&amp;"."&amp;D301&amp;" IS '"&amp;C301&amp;"';"</f>
        <v>COMMENT ON COLUMN milscm_2023_009.sny_202310_annony_shikkan2.shikkan288_start_date IS 'C629_疾患開始日';</v>
      </c>
    </row>
    <row r="302" spans="1:45" s="25" customFormat="1">
      <c r="A302" s="4" t="s">
        <v>5435</v>
      </c>
      <c r="B302" s="21">
        <f t="shared" si="66"/>
        <v>290</v>
      </c>
      <c r="C302" s="13" t="str">
        <f t="shared" si="67"/>
        <v>C630_疾患開始日</v>
      </c>
      <c r="D302" s="13" t="s">
        <v>5057</v>
      </c>
      <c r="E302" s="8"/>
      <c r="F302" s="7" t="s">
        <v>4348</v>
      </c>
      <c r="G302" s="7" t="s">
        <v>25</v>
      </c>
      <c r="H302" s="58"/>
      <c r="I302" s="23"/>
      <c r="J302" s="24"/>
      <c r="M302" s="4"/>
      <c r="N302" s="76"/>
      <c r="O302" s="76"/>
      <c r="P302" s="76" t="str">
        <f t="shared" si="80"/>
        <v>,shikkan289_start_date</v>
      </c>
      <c r="Q302" s="76" t="str">
        <f t="shared" si="81"/>
        <v>DATE</v>
      </c>
      <c r="R302" s="76" t="str">
        <f t="shared" si="82"/>
        <v/>
      </c>
      <c r="S302" s="76" t="str">
        <f t="shared" si="83"/>
        <v/>
      </c>
      <c r="T302" s="76" t="str">
        <f t="shared" si="84"/>
        <v>-- C630_疾患開始日</v>
      </c>
      <c r="U302" s="4" t="str">
        <f t="shared" si="68"/>
        <v>, CASE WHEN shikkan_disp_name = 'C630' THEN min_shikkan_start_date ::DATE ELSE NULL END AS shikkan289_start_date</v>
      </c>
      <c r="V302" s="25" t="str">
        <f t="shared" si="69"/>
        <v>, max(shikkan289_start_date)</v>
      </c>
      <c r="AA302" s="4"/>
      <c r="AB302" s="4"/>
      <c r="AC302" s="4"/>
      <c r="AD302" s="4"/>
      <c r="AE302" s="4"/>
      <c r="AF302" s="4"/>
      <c r="AG302" s="4"/>
      <c r="AH302" s="4"/>
      <c r="AI302" s="4"/>
      <c r="AJ302" s="76" t="str">
        <f>IF(E302="○",IF(COUNTA(E$13:E302)=1,"",",")&amp;D302,"")</f>
        <v/>
      </c>
      <c r="AK302" s="4"/>
      <c r="AL302" s="4"/>
      <c r="AM302" s="4"/>
      <c r="AN302" s="4"/>
      <c r="AO302" s="4"/>
      <c r="AP302" s="4"/>
      <c r="AQ302" s="4"/>
      <c r="AR302" s="4"/>
      <c r="AS302" s="76" t="str">
        <f>"COMMENT ON COLUMN "&amp;エンティティ一覧!$O$2&amp;"."&amp;D$8&amp;"."&amp;D302&amp;" IS '"&amp;C302&amp;"';"</f>
        <v>COMMENT ON COLUMN milscm_2023_009.sny_202310_annony_shikkan2.shikkan289_start_date IS 'C630_疾患開始日';</v>
      </c>
    </row>
    <row r="303" spans="1:45" s="25" customFormat="1">
      <c r="A303" s="4" t="s">
        <v>5436</v>
      </c>
      <c r="B303" s="21">
        <f t="shared" si="66"/>
        <v>291</v>
      </c>
      <c r="C303" s="13" t="str">
        <f t="shared" si="67"/>
        <v>C631_疾患開始日</v>
      </c>
      <c r="D303" s="13" t="s">
        <v>5950</v>
      </c>
      <c r="E303" s="8"/>
      <c r="F303" s="7" t="s">
        <v>4348</v>
      </c>
      <c r="G303" s="7" t="s">
        <v>25</v>
      </c>
      <c r="H303" s="58"/>
      <c r="I303" s="23"/>
      <c r="J303" s="24"/>
      <c r="M303" s="4"/>
      <c r="N303" s="76"/>
      <c r="O303" s="76"/>
      <c r="P303" s="76" t="str">
        <f t="shared" si="80"/>
        <v>,shikkan290_start_date</v>
      </c>
      <c r="Q303" s="76" t="str">
        <f t="shared" si="81"/>
        <v>DATE</v>
      </c>
      <c r="R303" s="76" t="str">
        <f t="shared" si="82"/>
        <v/>
      </c>
      <c r="S303" s="76" t="str">
        <f t="shared" si="83"/>
        <v/>
      </c>
      <c r="T303" s="76" t="str">
        <f t="shared" si="84"/>
        <v>-- C631_疾患開始日</v>
      </c>
      <c r="U303" s="4" t="str">
        <f t="shared" si="68"/>
        <v>, CASE WHEN shikkan_disp_name = 'C631' THEN min_shikkan_start_date ::DATE ELSE NULL END AS shikkan290_start_date</v>
      </c>
      <c r="V303" s="25" t="str">
        <f t="shared" si="69"/>
        <v>, max(shikkan290_start_date)</v>
      </c>
      <c r="AA303" s="4"/>
      <c r="AB303" s="4"/>
      <c r="AC303" s="4"/>
      <c r="AD303" s="4"/>
      <c r="AE303" s="4"/>
      <c r="AF303" s="4"/>
      <c r="AG303" s="4"/>
      <c r="AH303" s="4"/>
      <c r="AI303" s="4"/>
      <c r="AJ303" s="76" t="str">
        <f>IF(E303="○",IF(COUNTA(E$13:E303)=1,"",",")&amp;D303,"")</f>
        <v/>
      </c>
      <c r="AK303" s="4"/>
      <c r="AL303" s="4"/>
      <c r="AM303" s="4"/>
      <c r="AN303" s="4"/>
      <c r="AO303" s="4"/>
      <c r="AP303" s="4"/>
      <c r="AQ303" s="4"/>
      <c r="AR303" s="4"/>
      <c r="AS303" s="76" t="str">
        <f>"COMMENT ON COLUMN "&amp;エンティティ一覧!$O$2&amp;"."&amp;D$8&amp;"."&amp;D303&amp;" IS '"&amp;C303&amp;"';"</f>
        <v>COMMENT ON COLUMN milscm_2023_009.sny_202310_annony_shikkan2.shikkan290_start_date IS 'C631_疾患開始日';</v>
      </c>
    </row>
    <row r="304" spans="1:45" s="25" customFormat="1">
      <c r="A304" s="4" t="s">
        <v>5437</v>
      </c>
      <c r="B304" s="21">
        <f t="shared" si="66"/>
        <v>292</v>
      </c>
      <c r="C304" s="13" t="str">
        <f t="shared" si="67"/>
        <v>C632_疾患開始日</v>
      </c>
      <c r="D304" s="13" t="s">
        <v>5951</v>
      </c>
      <c r="E304" s="8"/>
      <c r="F304" s="7" t="s">
        <v>4348</v>
      </c>
      <c r="G304" s="7" t="s">
        <v>25</v>
      </c>
      <c r="H304" s="58"/>
      <c r="I304" s="23"/>
      <c r="J304" s="24"/>
      <c r="M304" s="4"/>
      <c r="N304" s="76"/>
      <c r="O304" s="76"/>
      <c r="P304" s="76" t="str">
        <f t="shared" si="80"/>
        <v>,shikkan291_start_date</v>
      </c>
      <c r="Q304" s="76" t="str">
        <f t="shared" si="81"/>
        <v>DATE</v>
      </c>
      <c r="R304" s="76" t="str">
        <f t="shared" si="82"/>
        <v/>
      </c>
      <c r="S304" s="76" t="str">
        <f t="shared" si="83"/>
        <v/>
      </c>
      <c r="T304" s="76" t="str">
        <f t="shared" si="84"/>
        <v>-- C632_疾患開始日</v>
      </c>
      <c r="U304" s="4" t="str">
        <f t="shared" si="68"/>
        <v>, CASE WHEN shikkan_disp_name = 'C632' THEN min_shikkan_start_date ::DATE ELSE NULL END AS shikkan291_start_date</v>
      </c>
      <c r="V304" s="25" t="str">
        <f t="shared" si="69"/>
        <v>, max(shikkan291_start_date)</v>
      </c>
      <c r="AA304" s="4"/>
      <c r="AB304" s="4"/>
      <c r="AC304" s="4"/>
      <c r="AD304" s="4"/>
      <c r="AE304" s="4"/>
      <c r="AF304" s="4"/>
      <c r="AG304" s="4"/>
      <c r="AH304" s="4"/>
      <c r="AI304" s="4"/>
      <c r="AJ304" s="76" t="str">
        <f>IF(E304="○",IF(COUNTA(E$13:E304)=1,"",",")&amp;D304,"")</f>
        <v/>
      </c>
      <c r="AK304" s="4"/>
      <c r="AL304" s="4"/>
      <c r="AM304" s="4"/>
      <c r="AN304" s="4"/>
      <c r="AO304" s="4"/>
      <c r="AP304" s="4"/>
      <c r="AQ304" s="4"/>
      <c r="AR304" s="4"/>
      <c r="AS304" s="76" t="str">
        <f>"COMMENT ON COLUMN "&amp;エンティティ一覧!$O$2&amp;"."&amp;D$8&amp;"."&amp;D304&amp;" IS '"&amp;C304&amp;"';"</f>
        <v>COMMENT ON COLUMN milscm_2023_009.sny_202310_annony_shikkan2.shikkan291_start_date IS 'C632_疾患開始日';</v>
      </c>
    </row>
    <row r="305" spans="1:45" s="25" customFormat="1">
      <c r="A305" s="4" t="s">
        <v>5438</v>
      </c>
      <c r="B305" s="21">
        <f t="shared" si="66"/>
        <v>293</v>
      </c>
      <c r="C305" s="13" t="str">
        <f t="shared" si="67"/>
        <v>C637_疾患開始日</v>
      </c>
      <c r="D305" s="13" t="s">
        <v>5952</v>
      </c>
      <c r="E305" s="8"/>
      <c r="F305" s="7" t="s">
        <v>4348</v>
      </c>
      <c r="G305" s="7" t="s">
        <v>25</v>
      </c>
      <c r="H305" s="58"/>
      <c r="I305" s="23"/>
      <c r="J305" s="24"/>
      <c r="M305" s="4"/>
      <c r="N305" s="76"/>
      <c r="O305" s="76"/>
      <c r="P305" s="76" t="str">
        <f t="shared" si="80"/>
        <v>,shikkan292_start_date</v>
      </c>
      <c r="Q305" s="76" t="str">
        <f t="shared" si="81"/>
        <v>DATE</v>
      </c>
      <c r="R305" s="76" t="str">
        <f t="shared" si="82"/>
        <v/>
      </c>
      <c r="S305" s="76" t="str">
        <f t="shared" si="83"/>
        <v/>
      </c>
      <c r="T305" s="76" t="str">
        <f t="shared" si="84"/>
        <v>-- C637_疾患開始日</v>
      </c>
      <c r="U305" s="4" t="str">
        <f t="shared" si="68"/>
        <v>, CASE WHEN shikkan_disp_name = 'C637' THEN min_shikkan_start_date ::DATE ELSE NULL END AS shikkan292_start_date</v>
      </c>
      <c r="V305" s="25" t="str">
        <f t="shared" si="69"/>
        <v>, max(shikkan292_start_date)</v>
      </c>
      <c r="AA305" s="4"/>
      <c r="AB305" s="4"/>
      <c r="AC305" s="4"/>
      <c r="AD305" s="4"/>
      <c r="AE305" s="4"/>
      <c r="AF305" s="4"/>
      <c r="AG305" s="4"/>
      <c r="AH305" s="4"/>
      <c r="AI305" s="4"/>
      <c r="AJ305" s="76" t="str">
        <f>IF(E305="○",IF(COUNTA(E$13:E305)=1,"",",")&amp;D305,"")</f>
        <v/>
      </c>
      <c r="AK305" s="4"/>
      <c r="AL305" s="4"/>
      <c r="AM305" s="4"/>
      <c r="AN305" s="4"/>
      <c r="AO305" s="4"/>
      <c r="AP305" s="4"/>
      <c r="AQ305" s="4"/>
      <c r="AR305" s="4"/>
      <c r="AS305" s="76" t="str">
        <f>"COMMENT ON COLUMN "&amp;エンティティ一覧!$O$2&amp;"."&amp;D$8&amp;"."&amp;D305&amp;" IS '"&amp;C305&amp;"';"</f>
        <v>COMMENT ON COLUMN milscm_2023_009.sny_202310_annony_shikkan2.shikkan292_start_date IS 'C637_疾患開始日';</v>
      </c>
    </row>
    <row r="306" spans="1:45" s="25" customFormat="1">
      <c r="A306" s="4" t="s">
        <v>5439</v>
      </c>
      <c r="B306" s="21">
        <f t="shared" si="66"/>
        <v>294</v>
      </c>
      <c r="C306" s="13" t="str">
        <f t="shared" si="67"/>
        <v>C638_疾患開始日</v>
      </c>
      <c r="D306" s="13" t="s">
        <v>5953</v>
      </c>
      <c r="E306" s="8"/>
      <c r="F306" s="7" t="s">
        <v>4348</v>
      </c>
      <c r="G306" s="7" t="s">
        <v>25</v>
      </c>
      <c r="H306" s="58"/>
      <c r="I306" s="23"/>
      <c r="J306" s="24"/>
      <c r="M306" s="4"/>
      <c r="N306" s="76"/>
      <c r="O306" s="76"/>
      <c r="P306" s="76" t="str">
        <f t="shared" si="80"/>
        <v>,shikkan293_start_date</v>
      </c>
      <c r="Q306" s="76" t="str">
        <f t="shared" si="81"/>
        <v>DATE</v>
      </c>
      <c r="R306" s="76" t="str">
        <f t="shared" si="82"/>
        <v/>
      </c>
      <c r="S306" s="76" t="str">
        <f t="shared" si="83"/>
        <v/>
      </c>
      <c r="T306" s="76" t="str">
        <f t="shared" si="84"/>
        <v>-- C638_疾患開始日</v>
      </c>
      <c r="U306" s="4" t="str">
        <f t="shared" si="68"/>
        <v>, CASE WHEN shikkan_disp_name = 'C638' THEN min_shikkan_start_date ::DATE ELSE NULL END AS shikkan293_start_date</v>
      </c>
      <c r="V306" s="25" t="str">
        <f t="shared" si="69"/>
        <v>, max(shikkan293_start_date)</v>
      </c>
      <c r="AA306" s="4"/>
      <c r="AB306" s="4"/>
      <c r="AC306" s="4"/>
      <c r="AD306" s="4"/>
      <c r="AE306" s="4"/>
      <c r="AF306" s="4"/>
      <c r="AG306" s="4"/>
      <c r="AH306" s="4"/>
      <c r="AI306" s="4"/>
      <c r="AJ306" s="76" t="str">
        <f>IF(E306="○",IF(COUNTA(E$13:E306)=1,"",",")&amp;D306,"")</f>
        <v/>
      </c>
      <c r="AK306" s="4"/>
      <c r="AL306" s="4"/>
      <c r="AM306" s="4"/>
      <c r="AN306" s="4"/>
      <c r="AO306" s="4"/>
      <c r="AP306" s="4"/>
      <c r="AQ306" s="4"/>
      <c r="AR306" s="4"/>
      <c r="AS306" s="76" t="str">
        <f>"COMMENT ON COLUMN "&amp;エンティティ一覧!$O$2&amp;"."&amp;D$8&amp;"."&amp;D306&amp;" IS '"&amp;C306&amp;"';"</f>
        <v>COMMENT ON COLUMN milscm_2023_009.sny_202310_annony_shikkan2.shikkan293_start_date IS 'C638_疾患開始日';</v>
      </c>
    </row>
    <row r="307" spans="1:45" s="25" customFormat="1">
      <c r="A307" s="4" t="s">
        <v>5440</v>
      </c>
      <c r="B307" s="21">
        <f t="shared" si="66"/>
        <v>295</v>
      </c>
      <c r="C307" s="13" t="str">
        <f t="shared" si="67"/>
        <v>C639_疾患開始日</v>
      </c>
      <c r="D307" s="13" t="s">
        <v>5954</v>
      </c>
      <c r="E307" s="8"/>
      <c r="F307" s="7" t="s">
        <v>4348</v>
      </c>
      <c r="G307" s="7" t="s">
        <v>25</v>
      </c>
      <c r="H307" s="58"/>
      <c r="I307" s="23"/>
      <c r="J307" s="24"/>
      <c r="M307" s="4"/>
      <c r="N307" s="76"/>
      <c r="O307" s="76"/>
      <c r="P307" s="76" t="str">
        <f t="shared" si="80"/>
        <v>,shikkan294_start_date</v>
      </c>
      <c r="Q307" s="76" t="str">
        <f t="shared" si="81"/>
        <v>DATE</v>
      </c>
      <c r="R307" s="76" t="str">
        <f t="shared" si="82"/>
        <v/>
      </c>
      <c r="S307" s="76" t="str">
        <f t="shared" si="83"/>
        <v/>
      </c>
      <c r="T307" s="76" t="str">
        <f t="shared" si="84"/>
        <v>-- C639_疾患開始日</v>
      </c>
      <c r="U307" s="4" t="str">
        <f t="shared" si="68"/>
        <v>, CASE WHEN shikkan_disp_name = 'C639' THEN min_shikkan_start_date ::DATE ELSE NULL END AS shikkan294_start_date</v>
      </c>
      <c r="V307" s="25" t="str">
        <f t="shared" si="69"/>
        <v>, max(shikkan294_start_date)</v>
      </c>
      <c r="AA307" s="4"/>
      <c r="AB307" s="4"/>
      <c r="AC307" s="4"/>
      <c r="AD307" s="4"/>
      <c r="AE307" s="4"/>
      <c r="AF307" s="4"/>
      <c r="AG307" s="4"/>
      <c r="AH307" s="4"/>
      <c r="AI307" s="4"/>
      <c r="AJ307" s="76" t="str">
        <f>IF(E307="○",IF(COUNTA(E$13:E307)=1,"",",")&amp;D307,"")</f>
        <v/>
      </c>
      <c r="AK307" s="4"/>
      <c r="AL307" s="4"/>
      <c r="AM307" s="4"/>
      <c r="AN307" s="4"/>
      <c r="AO307" s="4"/>
      <c r="AP307" s="4"/>
      <c r="AQ307" s="4"/>
      <c r="AR307" s="4"/>
      <c r="AS307" s="76" t="str">
        <f>"COMMENT ON COLUMN "&amp;エンティティ一覧!$O$2&amp;"."&amp;D$8&amp;"."&amp;D307&amp;" IS '"&amp;C307&amp;"';"</f>
        <v>COMMENT ON COLUMN milscm_2023_009.sny_202310_annony_shikkan2.shikkan294_start_date IS 'C639_疾患開始日';</v>
      </c>
    </row>
    <row r="308" spans="1:45" s="25" customFormat="1">
      <c r="A308" s="4" t="s">
        <v>5153</v>
      </c>
      <c r="B308" s="21">
        <f t="shared" si="66"/>
        <v>296</v>
      </c>
      <c r="C308" s="13" t="str">
        <f t="shared" si="67"/>
        <v>C64_疾患開始日</v>
      </c>
      <c r="D308" s="13" t="s">
        <v>5955</v>
      </c>
      <c r="E308" s="8"/>
      <c r="F308" s="7" t="s">
        <v>4348</v>
      </c>
      <c r="G308" s="7" t="s">
        <v>25</v>
      </c>
      <c r="H308" s="58"/>
      <c r="I308" s="23"/>
      <c r="J308" s="24"/>
      <c r="M308" s="4"/>
      <c r="N308" s="76"/>
      <c r="O308" s="76"/>
      <c r="P308" s="76" t="str">
        <f t="shared" si="80"/>
        <v>,shikkan295_start_date</v>
      </c>
      <c r="Q308" s="76" t="str">
        <f t="shared" si="81"/>
        <v>DATE</v>
      </c>
      <c r="R308" s="76" t="str">
        <f t="shared" si="82"/>
        <v/>
      </c>
      <c r="S308" s="76" t="str">
        <f t="shared" si="83"/>
        <v/>
      </c>
      <c r="T308" s="76" t="str">
        <f t="shared" si="84"/>
        <v>-- C64_疾患開始日</v>
      </c>
      <c r="U308" s="4" t="str">
        <f t="shared" si="68"/>
        <v>, CASE WHEN shikkan_disp_name = 'C64' THEN min_shikkan_start_date ::DATE ELSE NULL END AS shikkan295_start_date</v>
      </c>
      <c r="V308" s="25" t="str">
        <f t="shared" si="69"/>
        <v>, max(shikkan295_start_date)</v>
      </c>
      <c r="AA308" s="4"/>
      <c r="AB308" s="4"/>
      <c r="AC308" s="4"/>
      <c r="AD308" s="4"/>
      <c r="AE308" s="4"/>
      <c r="AF308" s="4"/>
      <c r="AG308" s="4"/>
      <c r="AH308" s="4"/>
      <c r="AI308" s="4"/>
      <c r="AJ308" s="76" t="str">
        <f>IF(E308="○",IF(COUNTA(E$13:E308)=1,"",",")&amp;D308,"")</f>
        <v/>
      </c>
      <c r="AK308" s="4"/>
      <c r="AL308" s="4"/>
      <c r="AM308" s="4"/>
      <c r="AN308" s="4"/>
      <c r="AO308" s="4"/>
      <c r="AP308" s="4"/>
      <c r="AQ308" s="4"/>
      <c r="AR308" s="4"/>
      <c r="AS308" s="76" t="str">
        <f>"COMMENT ON COLUMN "&amp;エンティティ一覧!$O$2&amp;"."&amp;D$8&amp;"."&amp;D308&amp;" IS '"&amp;C308&amp;"';"</f>
        <v>COMMENT ON COLUMN milscm_2023_009.sny_202310_annony_shikkan2.shikkan295_start_date IS 'C64_疾患開始日';</v>
      </c>
    </row>
    <row r="309" spans="1:45" s="25" customFormat="1">
      <c r="A309" s="4" t="s">
        <v>5154</v>
      </c>
      <c r="B309" s="21">
        <f t="shared" si="66"/>
        <v>297</v>
      </c>
      <c r="C309" s="13" t="str">
        <f t="shared" si="67"/>
        <v>C65_疾患開始日</v>
      </c>
      <c r="D309" s="13" t="s">
        <v>5956</v>
      </c>
      <c r="E309" s="8"/>
      <c r="F309" s="7" t="s">
        <v>4348</v>
      </c>
      <c r="G309" s="7" t="s">
        <v>25</v>
      </c>
      <c r="H309" s="58"/>
      <c r="I309" s="23"/>
      <c r="J309" s="24"/>
      <c r="M309" s="4"/>
      <c r="N309" s="76"/>
      <c r="O309" s="76"/>
      <c r="P309" s="76" t="str">
        <f t="shared" si="80"/>
        <v>,shikkan296_start_date</v>
      </c>
      <c r="Q309" s="76" t="str">
        <f t="shared" si="81"/>
        <v>DATE</v>
      </c>
      <c r="R309" s="76" t="str">
        <f t="shared" si="82"/>
        <v/>
      </c>
      <c r="S309" s="76" t="str">
        <f t="shared" si="83"/>
        <v/>
      </c>
      <c r="T309" s="76" t="str">
        <f t="shared" si="84"/>
        <v>-- C65_疾患開始日</v>
      </c>
      <c r="U309" s="4" t="str">
        <f t="shared" si="68"/>
        <v>, CASE WHEN shikkan_disp_name = 'C65' THEN min_shikkan_start_date ::DATE ELSE NULL END AS shikkan296_start_date</v>
      </c>
      <c r="V309" s="25" t="str">
        <f t="shared" si="69"/>
        <v>, max(shikkan296_start_date)</v>
      </c>
      <c r="AA309" s="4"/>
      <c r="AB309" s="4"/>
      <c r="AC309" s="4"/>
      <c r="AD309" s="4"/>
      <c r="AE309" s="4"/>
      <c r="AF309" s="4"/>
      <c r="AG309" s="4"/>
      <c r="AH309" s="4"/>
      <c r="AI309" s="4"/>
      <c r="AJ309" s="76" t="str">
        <f>IF(E309="○",IF(COUNTA(E$13:E309)=1,"",",")&amp;D309,"")</f>
        <v/>
      </c>
      <c r="AK309" s="4"/>
      <c r="AL309" s="4"/>
      <c r="AM309" s="4"/>
      <c r="AN309" s="4"/>
      <c r="AO309" s="4"/>
      <c r="AP309" s="4"/>
      <c r="AQ309" s="4"/>
      <c r="AR309" s="4"/>
      <c r="AS309" s="76" t="str">
        <f>"COMMENT ON COLUMN "&amp;エンティティ一覧!$O$2&amp;"."&amp;D$8&amp;"."&amp;D309&amp;" IS '"&amp;C309&amp;"';"</f>
        <v>COMMENT ON COLUMN milscm_2023_009.sny_202310_annony_shikkan2.shikkan296_start_date IS 'C65_疾患開始日';</v>
      </c>
    </row>
    <row r="310" spans="1:45" s="25" customFormat="1">
      <c r="A310" s="4" t="s">
        <v>5155</v>
      </c>
      <c r="B310" s="21">
        <f t="shared" si="66"/>
        <v>298</v>
      </c>
      <c r="C310" s="13" t="str">
        <f t="shared" si="67"/>
        <v>C66_疾患開始日</v>
      </c>
      <c r="D310" s="13" t="s">
        <v>5957</v>
      </c>
      <c r="E310" s="8"/>
      <c r="F310" s="7" t="s">
        <v>4348</v>
      </c>
      <c r="G310" s="7" t="s">
        <v>25</v>
      </c>
      <c r="H310" s="58"/>
      <c r="I310" s="23"/>
      <c r="J310" s="24"/>
      <c r="M310" s="4"/>
      <c r="N310" s="76"/>
      <c r="O310" s="76"/>
      <c r="P310" s="76" t="str">
        <f t="shared" si="80"/>
        <v>,shikkan297_start_date</v>
      </c>
      <c r="Q310" s="76" t="str">
        <f t="shared" si="81"/>
        <v>DATE</v>
      </c>
      <c r="R310" s="76" t="str">
        <f t="shared" si="82"/>
        <v/>
      </c>
      <c r="S310" s="76" t="str">
        <f t="shared" si="83"/>
        <v/>
      </c>
      <c r="T310" s="76" t="str">
        <f t="shared" si="84"/>
        <v>-- C66_疾患開始日</v>
      </c>
      <c r="U310" s="4" t="str">
        <f t="shared" si="68"/>
        <v>, CASE WHEN shikkan_disp_name = 'C66' THEN min_shikkan_start_date ::DATE ELSE NULL END AS shikkan297_start_date</v>
      </c>
      <c r="V310" s="25" t="str">
        <f t="shared" si="69"/>
        <v>, max(shikkan297_start_date)</v>
      </c>
      <c r="AA310" s="4"/>
      <c r="AB310" s="4"/>
      <c r="AC310" s="4"/>
      <c r="AD310" s="4"/>
      <c r="AE310" s="4"/>
      <c r="AF310" s="4"/>
      <c r="AG310" s="4"/>
      <c r="AH310" s="4"/>
      <c r="AI310" s="4"/>
      <c r="AJ310" s="76" t="str">
        <f>IF(E310="○",IF(COUNTA(E$13:E310)=1,"",",")&amp;D310,"")</f>
        <v/>
      </c>
      <c r="AK310" s="4"/>
      <c r="AL310" s="4"/>
      <c r="AM310" s="4"/>
      <c r="AN310" s="4"/>
      <c r="AO310" s="4"/>
      <c r="AP310" s="4"/>
      <c r="AQ310" s="4"/>
      <c r="AR310" s="4"/>
      <c r="AS310" s="76" t="str">
        <f>"COMMENT ON COLUMN "&amp;エンティティ一覧!$O$2&amp;"."&amp;D$8&amp;"."&amp;D310&amp;" IS '"&amp;C310&amp;"';"</f>
        <v>COMMENT ON COLUMN milscm_2023_009.sny_202310_annony_shikkan2.shikkan297_start_date IS 'C66_疾患開始日';</v>
      </c>
    </row>
    <row r="311" spans="1:45" s="25" customFormat="1">
      <c r="A311" s="4" t="s">
        <v>5441</v>
      </c>
      <c r="B311" s="21">
        <f t="shared" si="66"/>
        <v>299</v>
      </c>
      <c r="C311" s="13" t="str">
        <f t="shared" si="67"/>
        <v>C670_疾患開始日</v>
      </c>
      <c r="D311" s="13" t="s">
        <v>5958</v>
      </c>
      <c r="E311" s="8"/>
      <c r="F311" s="7" t="s">
        <v>4348</v>
      </c>
      <c r="G311" s="7" t="s">
        <v>25</v>
      </c>
      <c r="H311" s="58"/>
      <c r="I311" s="23"/>
      <c r="J311" s="24"/>
      <c r="M311" s="4"/>
      <c r="N311" s="76"/>
      <c r="O311" s="76"/>
      <c r="P311" s="76" t="str">
        <f t="shared" si="80"/>
        <v>,shikkan298_start_date</v>
      </c>
      <c r="Q311" s="76" t="str">
        <f t="shared" si="81"/>
        <v>DATE</v>
      </c>
      <c r="R311" s="76" t="str">
        <f t="shared" si="82"/>
        <v/>
      </c>
      <c r="S311" s="76" t="str">
        <f t="shared" si="83"/>
        <v/>
      </c>
      <c r="T311" s="76" t="str">
        <f t="shared" si="84"/>
        <v>-- C670_疾患開始日</v>
      </c>
      <c r="U311" s="4" t="str">
        <f t="shared" si="68"/>
        <v>, CASE WHEN shikkan_disp_name = 'C670' THEN min_shikkan_start_date ::DATE ELSE NULL END AS shikkan298_start_date</v>
      </c>
      <c r="V311" s="25" t="str">
        <f t="shared" si="69"/>
        <v>, max(shikkan298_start_date)</v>
      </c>
      <c r="AA311" s="4"/>
      <c r="AB311" s="4"/>
      <c r="AC311" s="4"/>
      <c r="AD311" s="4"/>
      <c r="AE311" s="4"/>
      <c r="AF311" s="4"/>
      <c r="AG311" s="4"/>
      <c r="AH311" s="4"/>
      <c r="AI311" s="4"/>
      <c r="AJ311" s="76" t="str">
        <f>IF(E311="○",IF(COUNTA(E$13:E311)=1,"",",")&amp;D311,"")</f>
        <v/>
      </c>
      <c r="AK311" s="4"/>
      <c r="AL311" s="4"/>
      <c r="AM311" s="4"/>
      <c r="AN311" s="4"/>
      <c r="AO311" s="4"/>
      <c r="AP311" s="4"/>
      <c r="AQ311" s="4"/>
      <c r="AR311" s="4"/>
      <c r="AS311" s="76" t="str">
        <f>"COMMENT ON COLUMN "&amp;エンティティ一覧!$O$2&amp;"."&amp;D$8&amp;"."&amp;D311&amp;" IS '"&amp;C311&amp;"';"</f>
        <v>COMMENT ON COLUMN milscm_2023_009.sny_202310_annony_shikkan2.shikkan298_start_date IS 'C670_疾患開始日';</v>
      </c>
    </row>
    <row r="312" spans="1:45" s="25" customFormat="1">
      <c r="A312" s="4" t="s">
        <v>5442</v>
      </c>
      <c r="B312" s="21">
        <f t="shared" si="66"/>
        <v>300</v>
      </c>
      <c r="C312" s="13" t="str">
        <f t="shared" si="67"/>
        <v>C671_疾患開始日</v>
      </c>
      <c r="D312" s="13" t="s">
        <v>5959</v>
      </c>
      <c r="E312" s="8"/>
      <c r="F312" s="7" t="s">
        <v>4348</v>
      </c>
      <c r="G312" s="7" t="s">
        <v>25</v>
      </c>
      <c r="H312" s="58"/>
      <c r="I312" s="23"/>
      <c r="J312" s="24"/>
      <c r="M312" s="4"/>
      <c r="N312" s="76"/>
      <c r="O312" s="76"/>
      <c r="P312" s="76" t="str">
        <f t="shared" si="80"/>
        <v>,shikkan299_start_date</v>
      </c>
      <c r="Q312" s="76" t="str">
        <f t="shared" si="81"/>
        <v>DATE</v>
      </c>
      <c r="R312" s="76" t="str">
        <f t="shared" si="82"/>
        <v/>
      </c>
      <c r="S312" s="76" t="str">
        <f t="shared" si="83"/>
        <v/>
      </c>
      <c r="T312" s="76" t="str">
        <f t="shared" si="84"/>
        <v>-- C671_疾患開始日</v>
      </c>
      <c r="U312" s="4" t="str">
        <f t="shared" si="68"/>
        <v>, CASE WHEN shikkan_disp_name = 'C671' THEN min_shikkan_start_date ::DATE ELSE NULL END AS shikkan299_start_date</v>
      </c>
      <c r="V312" s="25" t="str">
        <f t="shared" si="69"/>
        <v>, max(shikkan299_start_date)</v>
      </c>
      <c r="AA312" s="4"/>
      <c r="AB312" s="4"/>
      <c r="AC312" s="4"/>
      <c r="AD312" s="4"/>
      <c r="AE312" s="4"/>
      <c r="AF312" s="4"/>
      <c r="AG312" s="4"/>
      <c r="AH312" s="4"/>
      <c r="AI312" s="4"/>
      <c r="AJ312" s="76" t="str">
        <f>IF(E312="○",IF(COUNTA(E$13:E312)=1,"",",")&amp;D312,"")</f>
        <v/>
      </c>
      <c r="AK312" s="4"/>
      <c r="AL312" s="4"/>
      <c r="AM312" s="4"/>
      <c r="AN312" s="4"/>
      <c r="AO312" s="4"/>
      <c r="AP312" s="4"/>
      <c r="AQ312" s="4"/>
      <c r="AR312" s="4"/>
      <c r="AS312" s="76" t="str">
        <f>"COMMENT ON COLUMN "&amp;エンティティ一覧!$O$2&amp;"."&amp;D$8&amp;"."&amp;D312&amp;" IS '"&amp;C312&amp;"';"</f>
        <v>COMMENT ON COLUMN milscm_2023_009.sny_202310_annony_shikkan2.shikkan299_start_date IS 'C671_疾患開始日';</v>
      </c>
    </row>
    <row r="313" spans="1:45" s="25" customFormat="1">
      <c r="A313" s="4" t="s">
        <v>5443</v>
      </c>
      <c r="B313" s="21">
        <f t="shared" si="66"/>
        <v>301</v>
      </c>
      <c r="C313" s="13" t="str">
        <f t="shared" si="67"/>
        <v>C672_疾患開始日</v>
      </c>
      <c r="D313" s="13" t="s">
        <v>5960</v>
      </c>
      <c r="E313" s="8"/>
      <c r="F313" s="7" t="s">
        <v>4348</v>
      </c>
      <c r="G313" s="7" t="s">
        <v>25</v>
      </c>
      <c r="H313" s="58"/>
      <c r="I313" s="23"/>
      <c r="J313" s="24"/>
      <c r="M313" s="4"/>
      <c r="N313" s="76"/>
      <c r="O313" s="76"/>
      <c r="P313" s="76" t="str">
        <f t="shared" si="80"/>
        <v>,shikkan300_start_date</v>
      </c>
      <c r="Q313" s="76" t="str">
        <f t="shared" si="81"/>
        <v>DATE</v>
      </c>
      <c r="R313" s="76" t="str">
        <f t="shared" si="82"/>
        <v/>
      </c>
      <c r="S313" s="76" t="str">
        <f t="shared" si="83"/>
        <v/>
      </c>
      <c r="T313" s="76" t="str">
        <f t="shared" si="84"/>
        <v>-- C672_疾患開始日</v>
      </c>
      <c r="U313" s="4" t="str">
        <f t="shared" si="68"/>
        <v>, CASE WHEN shikkan_disp_name = 'C672' THEN min_shikkan_start_date ::DATE ELSE NULL END AS shikkan300_start_date</v>
      </c>
      <c r="V313" s="25" t="str">
        <f t="shared" si="69"/>
        <v>, max(shikkan300_start_date)</v>
      </c>
      <c r="AA313" s="4"/>
      <c r="AB313" s="4"/>
      <c r="AC313" s="4"/>
      <c r="AD313" s="4"/>
      <c r="AE313" s="4"/>
      <c r="AF313" s="4"/>
      <c r="AG313" s="4"/>
      <c r="AH313" s="4"/>
      <c r="AI313" s="4"/>
      <c r="AJ313" s="76" t="str">
        <f>IF(E313="○",IF(COUNTA(E$13:E313)=1,"",",")&amp;D313,"")</f>
        <v/>
      </c>
      <c r="AK313" s="4"/>
      <c r="AL313" s="4"/>
      <c r="AM313" s="4"/>
      <c r="AN313" s="4"/>
      <c r="AO313" s="4"/>
      <c r="AP313" s="4"/>
      <c r="AQ313" s="4"/>
      <c r="AR313" s="4"/>
      <c r="AS313" s="76" t="str">
        <f>"COMMENT ON COLUMN "&amp;エンティティ一覧!$O$2&amp;"."&amp;D$8&amp;"."&amp;D313&amp;" IS '"&amp;C313&amp;"';"</f>
        <v>COMMENT ON COLUMN milscm_2023_009.sny_202310_annony_shikkan2.shikkan300_start_date IS 'C672_疾患開始日';</v>
      </c>
    </row>
    <row r="314" spans="1:45" s="25" customFormat="1">
      <c r="A314" s="4" t="s">
        <v>5444</v>
      </c>
      <c r="B314" s="21">
        <f t="shared" si="66"/>
        <v>302</v>
      </c>
      <c r="C314" s="13" t="str">
        <f t="shared" si="67"/>
        <v>C673_疾患開始日</v>
      </c>
      <c r="D314" s="13" t="s">
        <v>5961</v>
      </c>
      <c r="E314" s="8"/>
      <c r="F314" s="7" t="s">
        <v>4348</v>
      </c>
      <c r="G314" s="7" t="s">
        <v>25</v>
      </c>
      <c r="H314" s="58"/>
      <c r="I314" s="23"/>
      <c r="J314" s="24"/>
      <c r="M314" s="4"/>
      <c r="N314" s="76"/>
      <c r="O314" s="76"/>
      <c r="P314" s="76" t="str">
        <f t="shared" si="80"/>
        <v>,shikkan301_start_date</v>
      </c>
      <c r="Q314" s="76" t="str">
        <f t="shared" si="81"/>
        <v>DATE</v>
      </c>
      <c r="R314" s="76" t="str">
        <f t="shared" si="82"/>
        <v/>
      </c>
      <c r="S314" s="76" t="str">
        <f t="shared" si="83"/>
        <v/>
      </c>
      <c r="T314" s="76" t="str">
        <f t="shared" si="84"/>
        <v>-- C673_疾患開始日</v>
      </c>
      <c r="U314" s="4" t="str">
        <f t="shared" si="68"/>
        <v>, CASE WHEN shikkan_disp_name = 'C673' THEN min_shikkan_start_date ::DATE ELSE NULL END AS shikkan301_start_date</v>
      </c>
      <c r="V314" s="25" t="str">
        <f t="shared" si="69"/>
        <v>, max(shikkan301_start_date)</v>
      </c>
      <c r="AA314" s="4"/>
      <c r="AB314" s="4"/>
      <c r="AC314" s="4"/>
      <c r="AD314" s="4"/>
      <c r="AE314" s="4"/>
      <c r="AF314" s="4"/>
      <c r="AG314" s="4"/>
      <c r="AH314" s="4"/>
      <c r="AI314" s="4"/>
      <c r="AJ314" s="76" t="str">
        <f>IF(E314="○",IF(COUNTA(E$13:E314)=1,"",",")&amp;D314,"")</f>
        <v/>
      </c>
      <c r="AK314" s="4"/>
      <c r="AL314" s="4"/>
      <c r="AM314" s="4"/>
      <c r="AN314" s="4"/>
      <c r="AO314" s="4"/>
      <c r="AP314" s="4"/>
      <c r="AQ314" s="4"/>
      <c r="AR314" s="4"/>
      <c r="AS314" s="76" t="str">
        <f>"COMMENT ON COLUMN "&amp;エンティティ一覧!$O$2&amp;"."&amp;D$8&amp;"."&amp;D314&amp;" IS '"&amp;C314&amp;"';"</f>
        <v>COMMENT ON COLUMN milscm_2023_009.sny_202310_annony_shikkan2.shikkan301_start_date IS 'C673_疾患開始日';</v>
      </c>
    </row>
    <row r="315" spans="1:45" s="25" customFormat="1">
      <c r="A315" s="4" t="s">
        <v>5445</v>
      </c>
      <c r="B315" s="21">
        <f t="shared" si="66"/>
        <v>303</v>
      </c>
      <c r="C315" s="13" t="str">
        <f t="shared" si="67"/>
        <v>C674_疾患開始日</v>
      </c>
      <c r="D315" s="13" t="s">
        <v>5962</v>
      </c>
      <c r="E315" s="8"/>
      <c r="F315" s="7" t="s">
        <v>4348</v>
      </c>
      <c r="G315" s="7" t="s">
        <v>25</v>
      </c>
      <c r="H315" s="58"/>
      <c r="I315" s="23"/>
      <c r="J315" s="24"/>
      <c r="M315" s="4"/>
      <c r="N315" s="76"/>
      <c r="O315" s="76"/>
      <c r="P315" s="76" t="str">
        <f t="shared" si="80"/>
        <v>,shikkan302_start_date</v>
      </c>
      <c r="Q315" s="76" t="str">
        <f t="shared" si="81"/>
        <v>DATE</v>
      </c>
      <c r="R315" s="76" t="str">
        <f t="shared" si="82"/>
        <v/>
      </c>
      <c r="S315" s="76" t="str">
        <f t="shared" si="83"/>
        <v/>
      </c>
      <c r="T315" s="76" t="str">
        <f t="shared" si="84"/>
        <v>-- C674_疾患開始日</v>
      </c>
      <c r="U315" s="4" t="str">
        <f t="shared" si="68"/>
        <v>, CASE WHEN shikkan_disp_name = 'C674' THEN min_shikkan_start_date ::DATE ELSE NULL END AS shikkan302_start_date</v>
      </c>
      <c r="V315" s="25" t="str">
        <f t="shared" si="69"/>
        <v>, max(shikkan302_start_date)</v>
      </c>
      <c r="AA315" s="4"/>
      <c r="AB315" s="4"/>
      <c r="AC315" s="4"/>
      <c r="AD315" s="4"/>
      <c r="AE315" s="4"/>
      <c r="AF315" s="4"/>
      <c r="AG315" s="4"/>
      <c r="AH315" s="4"/>
      <c r="AI315" s="4"/>
      <c r="AJ315" s="76" t="str">
        <f>IF(E315="○",IF(COUNTA(E$13:E315)=1,"",",")&amp;D315,"")</f>
        <v/>
      </c>
      <c r="AK315" s="4"/>
      <c r="AL315" s="4"/>
      <c r="AM315" s="4"/>
      <c r="AN315" s="4"/>
      <c r="AO315" s="4"/>
      <c r="AP315" s="4"/>
      <c r="AQ315" s="4"/>
      <c r="AR315" s="4"/>
      <c r="AS315" s="76" t="str">
        <f>"COMMENT ON COLUMN "&amp;エンティティ一覧!$O$2&amp;"."&amp;D$8&amp;"."&amp;D315&amp;" IS '"&amp;C315&amp;"';"</f>
        <v>COMMENT ON COLUMN milscm_2023_009.sny_202310_annony_shikkan2.shikkan302_start_date IS 'C674_疾患開始日';</v>
      </c>
    </row>
    <row r="316" spans="1:45" s="25" customFormat="1">
      <c r="A316" s="4" t="s">
        <v>5446</v>
      </c>
      <c r="B316" s="21">
        <f t="shared" si="66"/>
        <v>304</v>
      </c>
      <c r="C316" s="13" t="str">
        <f t="shared" si="67"/>
        <v>C675_疾患開始日</v>
      </c>
      <c r="D316" s="13" t="s">
        <v>5963</v>
      </c>
      <c r="E316" s="8"/>
      <c r="F316" s="7" t="s">
        <v>4348</v>
      </c>
      <c r="G316" s="7" t="s">
        <v>25</v>
      </c>
      <c r="H316" s="58"/>
      <c r="I316" s="23"/>
      <c r="J316" s="24"/>
      <c r="M316" s="4"/>
      <c r="N316" s="76"/>
      <c r="O316" s="76"/>
      <c r="P316" s="76" t="str">
        <f t="shared" si="80"/>
        <v>,shikkan303_start_date</v>
      </c>
      <c r="Q316" s="76" t="str">
        <f t="shared" si="81"/>
        <v>DATE</v>
      </c>
      <c r="R316" s="76" t="str">
        <f t="shared" si="82"/>
        <v/>
      </c>
      <c r="S316" s="76" t="str">
        <f t="shared" si="83"/>
        <v/>
      </c>
      <c r="T316" s="76" t="str">
        <f t="shared" si="84"/>
        <v>-- C675_疾患開始日</v>
      </c>
      <c r="U316" s="4" t="str">
        <f t="shared" si="68"/>
        <v>, CASE WHEN shikkan_disp_name = 'C675' THEN min_shikkan_start_date ::DATE ELSE NULL END AS shikkan303_start_date</v>
      </c>
      <c r="V316" s="25" t="str">
        <f t="shared" si="69"/>
        <v>, max(shikkan303_start_date)</v>
      </c>
      <c r="AA316" s="4"/>
      <c r="AB316" s="4"/>
      <c r="AC316" s="4"/>
      <c r="AD316" s="4"/>
      <c r="AE316" s="4"/>
      <c r="AF316" s="4"/>
      <c r="AG316" s="4"/>
      <c r="AH316" s="4"/>
      <c r="AI316" s="4"/>
      <c r="AJ316" s="76" t="str">
        <f>IF(E316="○",IF(COUNTA(E$13:E316)=1,"",",")&amp;D316,"")</f>
        <v/>
      </c>
      <c r="AK316" s="4"/>
      <c r="AL316" s="4"/>
      <c r="AM316" s="4"/>
      <c r="AN316" s="4"/>
      <c r="AO316" s="4"/>
      <c r="AP316" s="4"/>
      <c r="AQ316" s="4"/>
      <c r="AR316" s="4"/>
      <c r="AS316" s="76" t="str">
        <f>"COMMENT ON COLUMN "&amp;エンティティ一覧!$O$2&amp;"."&amp;D$8&amp;"."&amp;D316&amp;" IS '"&amp;C316&amp;"';"</f>
        <v>COMMENT ON COLUMN milscm_2023_009.sny_202310_annony_shikkan2.shikkan303_start_date IS 'C675_疾患開始日';</v>
      </c>
    </row>
    <row r="317" spans="1:45" s="25" customFormat="1">
      <c r="A317" s="4" t="s">
        <v>5447</v>
      </c>
      <c r="B317" s="21">
        <f t="shared" si="66"/>
        <v>305</v>
      </c>
      <c r="C317" s="13" t="str">
        <f t="shared" si="67"/>
        <v>C676_疾患開始日</v>
      </c>
      <c r="D317" s="13" t="s">
        <v>5964</v>
      </c>
      <c r="E317" s="8"/>
      <c r="F317" s="7" t="s">
        <v>4348</v>
      </c>
      <c r="G317" s="7" t="s">
        <v>99</v>
      </c>
      <c r="H317" s="58"/>
      <c r="I317" s="23"/>
      <c r="J317" s="24"/>
      <c r="M317" s="4"/>
      <c r="N317" s="76"/>
      <c r="O317" s="76"/>
      <c r="P317" s="76" t="str">
        <f t="shared" si="80"/>
        <v>,shikkan304_start_date</v>
      </c>
      <c r="Q317" s="76" t="str">
        <f t="shared" si="81"/>
        <v>DATE</v>
      </c>
      <c r="R317" s="76" t="str">
        <f t="shared" si="82"/>
        <v/>
      </c>
      <c r="S317" s="76" t="str">
        <f t="shared" si="83"/>
        <v/>
      </c>
      <c r="T317" s="76" t="str">
        <f t="shared" si="84"/>
        <v>-- C676_疾患開始日</v>
      </c>
      <c r="U317" s="4" t="str">
        <f t="shared" si="68"/>
        <v>, CASE WHEN shikkan_disp_name = 'C676' THEN min_shikkan_start_date ::DATE ELSE NULL END AS shikkan304_start_date</v>
      </c>
      <c r="V317" s="25" t="str">
        <f t="shared" si="69"/>
        <v>, max(shikkan304_start_date)</v>
      </c>
      <c r="AA317" s="4"/>
      <c r="AB317" s="4"/>
      <c r="AC317" s="4"/>
      <c r="AD317" s="4"/>
      <c r="AE317" s="4"/>
      <c r="AF317" s="4"/>
      <c r="AG317" s="4"/>
      <c r="AH317" s="4"/>
      <c r="AI317" s="4"/>
      <c r="AJ317" s="76" t="str">
        <f>IF(E317="○",IF(COUNTA(E$13:E317)=1,"",",")&amp;D317,"")</f>
        <v/>
      </c>
      <c r="AK317" s="4"/>
      <c r="AL317" s="4"/>
      <c r="AM317" s="4"/>
      <c r="AN317" s="4"/>
      <c r="AO317" s="4"/>
      <c r="AP317" s="4"/>
      <c r="AQ317" s="4"/>
      <c r="AR317" s="4"/>
      <c r="AS317" s="76" t="str">
        <f>"COMMENT ON COLUMN "&amp;エンティティ一覧!$O$2&amp;"."&amp;D$8&amp;"."&amp;D317&amp;" IS '"&amp;C317&amp;"';"</f>
        <v>COMMENT ON COLUMN milscm_2023_009.sny_202310_annony_shikkan2.shikkan304_start_date IS 'C676_疾患開始日';</v>
      </c>
    </row>
    <row r="318" spans="1:45" s="25" customFormat="1">
      <c r="A318" s="4" t="s">
        <v>5448</v>
      </c>
      <c r="B318" s="21">
        <f t="shared" si="66"/>
        <v>306</v>
      </c>
      <c r="C318" s="13" t="str">
        <f t="shared" si="67"/>
        <v>C677_疾患開始日</v>
      </c>
      <c r="D318" s="13" t="s">
        <v>5965</v>
      </c>
      <c r="E318" s="8"/>
      <c r="F318" s="7" t="s">
        <v>4348</v>
      </c>
      <c r="G318" s="7" t="s">
        <v>25</v>
      </c>
      <c r="H318" s="58"/>
      <c r="I318" s="23"/>
      <c r="J318" s="24"/>
      <c r="M318" s="4"/>
      <c r="N318" s="76"/>
      <c r="O318" s="76"/>
      <c r="P318" s="76" t="str">
        <f t="shared" si="80"/>
        <v>,shikkan305_start_date</v>
      </c>
      <c r="Q318" s="76" t="str">
        <f t="shared" si="81"/>
        <v>DATE</v>
      </c>
      <c r="R318" s="76" t="str">
        <f t="shared" si="82"/>
        <v/>
      </c>
      <c r="S318" s="76" t="str">
        <f t="shared" si="83"/>
        <v/>
      </c>
      <c r="T318" s="76" t="str">
        <f t="shared" si="84"/>
        <v>-- C677_疾患開始日</v>
      </c>
      <c r="U318" s="4" t="str">
        <f t="shared" si="68"/>
        <v>, CASE WHEN shikkan_disp_name = 'C677' THEN min_shikkan_start_date ::DATE ELSE NULL END AS shikkan305_start_date</v>
      </c>
      <c r="V318" s="25" t="str">
        <f t="shared" si="69"/>
        <v>, max(shikkan305_start_date)</v>
      </c>
      <c r="AA318" s="4"/>
      <c r="AB318" s="4"/>
      <c r="AC318" s="4"/>
      <c r="AD318" s="4"/>
      <c r="AE318" s="4"/>
      <c r="AF318" s="4"/>
      <c r="AG318" s="4"/>
      <c r="AH318" s="4"/>
      <c r="AI318" s="4"/>
      <c r="AJ318" s="76" t="str">
        <f>IF(E318="○",IF(COUNTA(E$13:E318)=1,"",",")&amp;D318,"")</f>
        <v/>
      </c>
      <c r="AK318" s="4"/>
      <c r="AL318" s="4"/>
      <c r="AM318" s="4"/>
      <c r="AN318" s="4"/>
      <c r="AO318" s="4"/>
      <c r="AP318" s="4"/>
      <c r="AQ318" s="4"/>
      <c r="AR318" s="4"/>
      <c r="AS318" s="76" t="str">
        <f>"COMMENT ON COLUMN "&amp;エンティティ一覧!$O$2&amp;"."&amp;D$8&amp;"."&amp;D318&amp;" IS '"&amp;C318&amp;"';"</f>
        <v>COMMENT ON COLUMN milscm_2023_009.sny_202310_annony_shikkan2.shikkan305_start_date IS 'C677_疾患開始日';</v>
      </c>
    </row>
    <row r="319" spans="1:45" s="25" customFormat="1">
      <c r="A319" s="4" t="s">
        <v>5449</v>
      </c>
      <c r="B319" s="21">
        <f t="shared" si="66"/>
        <v>307</v>
      </c>
      <c r="C319" s="13" t="str">
        <f t="shared" si="67"/>
        <v>C678_疾患開始日</v>
      </c>
      <c r="D319" s="13" t="s">
        <v>5966</v>
      </c>
      <c r="E319" s="8"/>
      <c r="F319" s="7" t="s">
        <v>4348</v>
      </c>
      <c r="G319" s="7" t="s">
        <v>25</v>
      </c>
      <c r="H319" s="58"/>
      <c r="I319" s="23"/>
      <c r="J319" s="24"/>
      <c r="M319" s="4"/>
      <c r="N319" s="76"/>
      <c r="O319" s="76"/>
      <c r="P319" s="76" t="str">
        <f t="shared" si="80"/>
        <v>,shikkan306_start_date</v>
      </c>
      <c r="Q319" s="76" t="str">
        <f t="shared" si="81"/>
        <v>DATE</v>
      </c>
      <c r="R319" s="76" t="str">
        <f t="shared" si="82"/>
        <v/>
      </c>
      <c r="S319" s="76" t="str">
        <f t="shared" si="83"/>
        <v/>
      </c>
      <c r="T319" s="76" t="str">
        <f t="shared" si="84"/>
        <v>-- C678_疾患開始日</v>
      </c>
      <c r="U319" s="4" t="str">
        <f t="shared" si="68"/>
        <v>, CASE WHEN shikkan_disp_name = 'C678' THEN min_shikkan_start_date ::DATE ELSE NULL END AS shikkan306_start_date</v>
      </c>
      <c r="V319" s="25" t="str">
        <f t="shared" si="69"/>
        <v>, max(shikkan306_start_date)</v>
      </c>
      <c r="AA319" s="4"/>
      <c r="AB319" s="4"/>
      <c r="AC319" s="4"/>
      <c r="AD319" s="4"/>
      <c r="AE319" s="4"/>
      <c r="AF319" s="4"/>
      <c r="AG319" s="4"/>
      <c r="AH319" s="4"/>
      <c r="AI319" s="4"/>
      <c r="AJ319" s="76" t="str">
        <f>IF(E319="○",IF(COUNTA(E$13:E319)=1,"",",")&amp;D319,"")</f>
        <v/>
      </c>
      <c r="AK319" s="4"/>
      <c r="AL319" s="4"/>
      <c r="AM319" s="4"/>
      <c r="AN319" s="4"/>
      <c r="AO319" s="4"/>
      <c r="AP319" s="4"/>
      <c r="AQ319" s="4"/>
      <c r="AR319" s="4"/>
      <c r="AS319" s="76" t="str">
        <f>"COMMENT ON COLUMN "&amp;エンティティ一覧!$O$2&amp;"."&amp;D$8&amp;"."&amp;D319&amp;" IS '"&amp;C319&amp;"';"</f>
        <v>COMMENT ON COLUMN milscm_2023_009.sny_202310_annony_shikkan2.shikkan306_start_date IS 'C678_疾患開始日';</v>
      </c>
    </row>
    <row r="320" spans="1:45" s="25" customFormat="1">
      <c r="A320" s="4" t="s">
        <v>5450</v>
      </c>
      <c r="B320" s="21">
        <f t="shared" si="66"/>
        <v>308</v>
      </c>
      <c r="C320" s="13" t="str">
        <f t="shared" si="67"/>
        <v>C679_疾患開始日</v>
      </c>
      <c r="D320" s="13" t="s">
        <v>5967</v>
      </c>
      <c r="E320" s="8"/>
      <c r="F320" s="7" t="s">
        <v>4348</v>
      </c>
      <c r="G320" s="7" t="s">
        <v>25</v>
      </c>
      <c r="H320" s="58"/>
      <c r="I320" s="23"/>
      <c r="J320" s="24"/>
      <c r="M320" s="4"/>
      <c r="N320" s="76"/>
      <c r="O320" s="76"/>
      <c r="P320" s="76" t="str">
        <f t="shared" si="80"/>
        <v>,shikkan307_start_date</v>
      </c>
      <c r="Q320" s="76" t="str">
        <f t="shared" si="81"/>
        <v>DATE</v>
      </c>
      <c r="R320" s="76" t="str">
        <f t="shared" si="82"/>
        <v/>
      </c>
      <c r="S320" s="76" t="str">
        <f t="shared" si="83"/>
        <v/>
      </c>
      <c r="T320" s="76" t="str">
        <f t="shared" si="84"/>
        <v>-- C679_疾患開始日</v>
      </c>
      <c r="U320" s="4" t="str">
        <f t="shared" si="68"/>
        <v>, CASE WHEN shikkan_disp_name = 'C679' THEN min_shikkan_start_date ::DATE ELSE NULL END AS shikkan307_start_date</v>
      </c>
      <c r="V320" s="25" t="str">
        <f t="shared" si="69"/>
        <v>, max(shikkan307_start_date)</v>
      </c>
      <c r="AA320" s="4"/>
      <c r="AB320" s="4"/>
      <c r="AC320" s="4"/>
      <c r="AD320" s="4"/>
      <c r="AE320" s="4"/>
      <c r="AF320" s="4"/>
      <c r="AG320" s="4"/>
      <c r="AH320" s="4"/>
      <c r="AI320" s="4"/>
      <c r="AJ320" s="76" t="str">
        <f>IF(E320="○",IF(COUNTA(E$13:E320)=1,"",",")&amp;D320,"")</f>
        <v/>
      </c>
      <c r="AK320" s="4"/>
      <c r="AL320" s="4"/>
      <c r="AM320" s="4"/>
      <c r="AN320" s="4"/>
      <c r="AO320" s="4"/>
      <c r="AP320" s="4"/>
      <c r="AQ320" s="4"/>
      <c r="AR320" s="4"/>
      <c r="AS320" s="76" t="str">
        <f>"COMMENT ON COLUMN "&amp;エンティティ一覧!$O$2&amp;"."&amp;D$8&amp;"."&amp;D320&amp;" IS '"&amp;C320&amp;"';"</f>
        <v>COMMENT ON COLUMN milscm_2023_009.sny_202310_annony_shikkan2.shikkan307_start_date IS 'C679_疾患開始日';</v>
      </c>
    </row>
    <row r="321" spans="1:45" s="25" customFormat="1">
      <c r="A321" s="4" t="s">
        <v>5451</v>
      </c>
      <c r="B321" s="21">
        <f t="shared" si="66"/>
        <v>309</v>
      </c>
      <c r="C321" s="13" t="str">
        <f t="shared" si="67"/>
        <v>C680_疾患開始日</v>
      </c>
      <c r="D321" s="13" t="s">
        <v>5968</v>
      </c>
      <c r="E321" s="8"/>
      <c r="F321" s="7" t="s">
        <v>4348</v>
      </c>
      <c r="G321" s="7" t="s">
        <v>25</v>
      </c>
      <c r="H321" s="58"/>
      <c r="I321" s="23"/>
      <c r="J321" s="24"/>
      <c r="M321" s="4"/>
      <c r="N321" s="76"/>
      <c r="O321" s="76"/>
      <c r="P321" s="76" t="str">
        <f t="shared" si="80"/>
        <v>,shikkan308_start_date</v>
      </c>
      <c r="Q321" s="76" t="str">
        <f t="shared" si="81"/>
        <v>DATE</v>
      </c>
      <c r="R321" s="76" t="str">
        <f t="shared" si="82"/>
        <v/>
      </c>
      <c r="S321" s="76" t="str">
        <f t="shared" si="83"/>
        <v/>
      </c>
      <c r="T321" s="76" t="str">
        <f t="shared" si="84"/>
        <v>-- C680_疾患開始日</v>
      </c>
      <c r="U321" s="4" t="str">
        <f t="shared" si="68"/>
        <v>, CASE WHEN shikkan_disp_name = 'C680' THEN min_shikkan_start_date ::DATE ELSE NULL END AS shikkan308_start_date</v>
      </c>
      <c r="V321" s="25" t="str">
        <f t="shared" si="69"/>
        <v>, max(shikkan308_start_date)</v>
      </c>
      <c r="AA321" s="4"/>
      <c r="AB321" s="4"/>
      <c r="AC321" s="4"/>
      <c r="AD321" s="4"/>
      <c r="AE321" s="4"/>
      <c r="AF321" s="4"/>
      <c r="AG321" s="4"/>
      <c r="AH321" s="4"/>
      <c r="AI321" s="4"/>
      <c r="AJ321" s="76" t="str">
        <f>IF(E321="○",IF(COUNTA(E$13:E321)=1,"",",")&amp;D321,"")</f>
        <v/>
      </c>
      <c r="AK321" s="4"/>
      <c r="AL321" s="4"/>
      <c r="AM321" s="4"/>
      <c r="AN321" s="4"/>
      <c r="AO321" s="4"/>
      <c r="AP321" s="4"/>
      <c r="AQ321" s="4"/>
      <c r="AR321" s="4"/>
      <c r="AS321" s="76" t="str">
        <f>"COMMENT ON COLUMN "&amp;エンティティ一覧!$O$2&amp;"."&amp;D$8&amp;"."&amp;D321&amp;" IS '"&amp;C321&amp;"';"</f>
        <v>COMMENT ON COLUMN milscm_2023_009.sny_202310_annony_shikkan2.shikkan308_start_date IS 'C680_疾患開始日';</v>
      </c>
    </row>
    <row r="322" spans="1:45" s="25" customFormat="1">
      <c r="A322" s="4" t="s">
        <v>5452</v>
      </c>
      <c r="B322" s="21">
        <f t="shared" si="66"/>
        <v>310</v>
      </c>
      <c r="C322" s="13" t="str">
        <f t="shared" si="67"/>
        <v>C681_疾患開始日</v>
      </c>
      <c r="D322" s="13" t="s">
        <v>5969</v>
      </c>
      <c r="E322" s="8"/>
      <c r="F322" s="7" t="s">
        <v>4348</v>
      </c>
      <c r="G322" s="7" t="s">
        <v>25</v>
      </c>
      <c r="H322" s="58"/>
      <c r="I322" s="23"/>
      <c r="J322" s="24"/>
      <c r="M322" s="4"/>
      <c r="N322" s="76"/>
      <c r="O322" s="76"/>
      <c r="P322" s="76" t="str">
        <f t="shared" si="80"/>
        <v>,shikkan309_start_date</v>
      </c>
      <c r="Q322" s="76" t="str">
        <f t="shared" si="81"/>
        <v>DATE</v>
      </c>
      <c r="R322" s="76" t="str">
        <f t="shared" si="82"/>
        <v/>
      </c>
      <c r="S322" s="76" t="str">
        <f t="shared" si="83"/>
        <v/>
      </c>
      <c r="T322" s="76" t="str">
        <f t="shared" si="84"/>
        <v>-- C681_疾患開始日</v>
      </c>
      <c r="U322" s="4" t="str">
        <f t="shared" si="68"/>
        <v>, CASE WHEN shikkan_disp_name = 'C681' THEN min_shikkan_start_date ::DATE ELSE NULL END AS shikkan309_start_date</v>
      </c>
      <c r="V322" s="25" t="str">
        <f t="shared" si="69"/>
        <v>, max(shikkan309_start_date)</v>
      </c>
      <c r="AA322" s="4"/>
      <c r="AB322" s="4"/>
      <c r="AC322" s="4"/>
      <c r="AD322" s="4"/>
      <c r="AE322" s="4"/>
      <c r="AF322" s="4"/>
      <c r="AG322" s="4"/>
      <c r="AH322" s="4"/>
      <c r="AI322" s="4"/>
      <c r="AJ322" s="76" t="str">
        <f>IF(E322="○",IF(COUNTA(E$13:E322)=1,"",",")&amp;D322,"")</f>
        <v/>
      </c>
      <c r="AK322" s="4"/>
      <c r="AL322" s="4"/>
      <c r="AM322" s="4"/>
      <c r="AN322" s="4"/>
      <c r="AO322" s="4"/>
      <c r="AP322" s="4"/>
      <c r="AQ322" s="4"/>
      <c r="AR322" s="4"/>
      <c r="AS322" s="76" t="str">
        <f>"COMMENT ON COLUMN "&amp;エンティティ一覧!$O$2&amp;"."&amp;D$8&amp;"."&amp;D322&amp;" IS '"&amp;C322&amp;"';"</f>
        <v>COMMENT ON COLUMN milscm_2023_009.sny_202310_annony_shikkan2.shikkan309_start_date IS 'C681_疾患開始日';</v>
      </c>
    </row>
    <row r="323" spans="1:45" s="25" customFormat="1">
      <c r="A323" s="4" t="s">
        <v>5453</v>
      </c>
      <c r="B323" s="21">
        <f t="shared" si="66"/>
        <v>311</v>
      </c>
      <c r="C323" s="13" t="str">
        <f t="shared" si="67"/>
        <v>C688_疾患開始日</v>
      </c>
      <c r="D323" s="13" t="s">
        <v>5970</v>
      </c>
      <c r="E323" s="8"/>
      <c r="F323" s="7" t="s">
        <v>4348</v>
      </c>
      <c r="G323" s="7" t="s">
        <v>25</v>
      </c>
      <c r="H323" s="58"/>
      <c r="I323" s="23"/>
      <c r="J323" s="24"/>
      <c r="M323" s="4"/>
      <c r="N323" s="76"/>
      <c r="O323" s="76"/>
      <c r="P323" s="76" t="str">
        <f t="shared" si="80"/>
        <v>,shikkan310_start_date</v>
      </c>
      <c r="Q323" s="76" t="str">
        <f t="shared" si="81"/>
        <v>DATE</v>
      </c>
      <c r="R323" s="76" t="str">
        <f t="shared" si="82"/>
        <v/>
      </c>
      <c r="S323" s="76" t="str">
        <f t="shared" si="83"/>
        <v/>
      </c>
      <c r="T323" s="76" t="str">
        <f t="shared" si="84"/>
        <v>-- C688_疾患開始日</v>
      </c>
      <c r="U323" s="4" t="str">
        <f t="shared" si="68"/>
        <v>, CASE WHEN shikkan_disp_name = 'C688' THEN min_shikkan_start_date ::DATE ELSE NULL END AS shikkan310_start_date</v>
      </c>
      <c r="V323" s="25" t="str">
        <f t="shared" si="69"/>
        <v>, max(shikkan310_start_date)</v>
      </c>
      <c r="AA323" s="4"/>
      <c r="AB323" s="4"/>
      <c r="AC323" s="4"/>
      <c r="AD323" s="4"/>
      <c r="AE323" s="4"/>
      <c r="AF323" s="4"/>
      <c r="AG323" s="4"/>
      <c r="AH323" s="4"/>
      <c r="AI323" s="4"/>
      <c r="AJ323" s="76" t="str">
        <f>IF(E323="○",IF(COUNTA(E$13:E323)=1,"",",")&amp;D323,"")</f>
        <v/>
      </c>
      <c r="AK323" s="4"/>
      <c r="AL323" s="4"/>
      <c r="AM323" s="4"/>
      <c r="AN323" s="4"/>
      <c r="AO323" s="4"/>
      <c r="AP323" s="4"/>
      <c r="AQ323" s="4"/>
      <c r="AR323" s="4"/>
      <c r="AS323" s="76" t="str">
        <f>"COMMENT ON COLUMN "&amp;エンティティ一覧!$O$2&amp;"."&amp;D$8&amp;"."&amp;D323&amp;" IS '"&amp;C323&amp;"';"</f>
        <v>COMMENT ON COLUMN milscm_2023_009.sny_202310_annony_shikkan2.shikkan310_start_date IS 'C688_疾患開始日';</v>
      </c>
    </row>
    <row r="324" spans="1:45" s="25" customFormat="1">
      <c r="A324" s="4" t="s">
        <v>5454</v>
      </c>
      <c r="B324" s="21">
        <f t="shared" si="66"/>
        <v>312</v>
      </c>
      <c r="C324" s="13" t="str">
        <f t="shared" si="67"/>
        <v>C689_疾患開始日</v>
      </c>
      <c r="D324" s="13" t="s">
        <v>5971</v>
      </c>
      <c r="E324" s="8"/>
      <c r="F324" s="7" t="s">
        <v>4348</v>
      </c>
      <c r="G324" s="7" t="s">
        <v>25</v>
      </c>
      <c r="H324" s="58"/>
      <c r="I324" s="23"/>
      <c r="J324" s="24"/>
      <c r="M324" s="4"/>
      <c r="N324" s="76"/>
      <c r="O324" s="76"/>
      <c r="P324" s="76" t="str">
        <f t="shared" si="80"/>
        <v>,shikkan311_start_date</v>
      </c>
      <c r="Q324" s="76" t="str">
        <f t="shared" si="81"/>
        <v>DATE</v>
      </c>
      <c r="R324" s="76" t="str">
        <f t="shared" si="82"/>
        <v/>
      </c>
      <c r="S324" s="76" t="str">
        <f t="shared" si="83"/>
        <v/>
      </c>
      <c r="T324" s="76" t="str">
        <f t="shared" si="84"/>
        <v>-- C689_疾患開始日</v>
      </c>
      <c r="U324" s="4" t="str">
        <f t="shared" si="68"/>
        <v>, CASE WHEN shikkan_disp_name = 'C689' THEN min_shikkan_start_date ::DATE ELSE NULL END AS shikkan311_start_date</v>
      </c>
      <c r="V324" s="25" t="str">
        <f t="shared" si="69"/>
        <v>, max(shikkan311_start_date)</v>
      </c>
      <c r="AA324" s="4"/>
      <c r="AB324" s="4"/>
      <c r="AC324" s="4"/>
      <c r="AD324" s="4"/>
      <c r="AE324" s="4"/>
      <c r="AF324" s="4"/>
      <c r="AG324" s="4"/>
      <c r="AH324" s="4"/>
      <c r="AI324" s="4"/>
      <c r="AJ324" s="76" t="str">
        <f>IF(E324="○",IF(COUNTA(E$13:E324)=1,"",",")&amp;D324,"")</f>
        <v/>
      </c>
      <c r="AK324" s="4"/>
      <c r="AL324" s="4"/>
      <c r="AM324" s="4"/>
      <c r="AN324" s="4"/>
      <c r="AO324" s="4"/>
      <c r="AP324" s="4"/>
      <c r="AQ324" s="4"/>
      <c r="AR324" s="4"/>
      <c r="AS324" s="76" t="str">
        <f>"COMMENT ON COLUMN "&amp;エンティティ一覧!$O$2&amp;"."&amp;D$8&amp;"."&amp;D324&amp;" IS '"&amp;C324&amp;"';"</f>
        <v>COMMENT ON COLUMN milscm_2023_009.sny_202310_annony_shikkan2.shikkan311_start_date IS 'C689_疾患開始日';</v>
      </c>
    </row>
    <row r="325" spans="1:45" s="25" customFormat="1">
      <c r="A325" s="4" t="s">
        <v>5455</v>
      </c>
      <c r="B325" s="21">
        <f t="shared" si="66"/>
        <v>313</v>
      </c>
      <c r="C325" s="13" t="str">
        <f t="shared" si="67"/>
        <v>C690_疾患開始日</v>
      </c>
      <c r="D325" s="13" t="s">
        <v>5972</v>
      </c>
      <c r="E325" s="8"/>
      <c r="F325" s="7" t="s">
        <v>4348</v>
      </c>
      <c r="G325" s="7" t="s">
        <v>25</v>
      </c>
      <c r="H325" s="58"/>
      <c r="I325" s="23"/>
      <c r="J325" s="24"/>
      <c r="M325" s="4"/>
      <c r="N325" s="76"/>
      <c r="O325" s="76"/>
      <c r="P325" s="76" t="str">
        <f t="shared" si="80"/>
        <v>,shikkan312_start_date</v>
      </c>
      <c r="Q325" s="76" t="str">
        <f t="shared" si="81"/>
        <v>DATE</v>
      </c>
      <c r="R325" s="76" t="str">
        <f t="shared" si="82"/>
        <v/>
      </c>
      <c r="S325" s="76" t="str">
        <f t="shared" si="83"/>
        <v/>
      </c>
      <c r="T325" s="76" t="str">
        <f t="shared" si="84"/>
        <v>-- C690_疾患開始日</v>
      </c>
      <c r="U325" s="4" t="str">
        <f t="shared" si="68"/>
        <v>, CASE WHEN shikkan_disp_name = 'C690' THEN min_shikkan_start_date ::DATE ELSE NULL END AS shikkan312_start_date</v>
      </c>
      <c r="V325" s="25" t="str">
        <f t="shared" si="69"/>
        <v>, max(shikkan312_start_date)</v>
      </c>
      <c r="AA325" s="4"/>
      <c r="AB325" s="4"/>
      <c r="AC325" s="4"/>
      <c r="AD325" s="4"/>
      <c r="AE325" s="4"/>
      <c r="AF325" s="4"/>
      <c r="AG325" s="4"/>
      <c r="AH325" s="4"/>
      <c r="AI325" s="4"/>
      <c r="AJ325" s="76" t="str">
        <f>IF(E325="○",IF(COUNTA(E$13:E325)=1,"",",")&amp;D325,"")</f>
        <v/>
      </c>
      <c r="AK325" s="4"/>
      <c r="AL325" s="4"/>
      <c r="AM325" s="4"/>
      <c r="AN325" s="4"/>
      <c r="AO325" s="4"/>
      <c r="AP325" s="4"/>
      <c r="AQ325" s="4"/>
      <c r="AR325" s="4"/>
      <c r="AS325" s="76" t="str">
        <f>"COMMENT ON COLUMN "&amp;エンティティ一覧!$O$2&amp;"."&amp;D$8&amp;"."&amp;D325&amp;" IS '"&amp;C325&amp;"';"</f>
        <v>COMMENT ON COLUMN milscm_2023_009.sny_202310_annony_shikkan2.shikkan312_start_date IS 'C690_疾患開始日';</v>
      </c>
    </row>
    <row r="326" spans="1:45" s="25" customFormat="1">
      <c r="A326" s="4" t="s">
        <v>5456</v>
      </c>
      <c r="B326" s="21">
        <f t="shared" si="66"/>
        <v>314</v>
      </c>
      <c r="C326" s="13" t="str">
        <f t="shared" si="67"/>
        <v>C691_疾患開始日</v>
      </c>
      <c r="D326" s="13" t="s">
        <v>5973</v>
      </c>
      <c r="E326" s="8"/>
      <c r="F326" s="7" t="s">
        <v>4348</v>
      </c>
      <c r="G326" s="7" t="s">
        <v>25</v>
      </c>
      <c r="H326" s="58"/>
      <c r="I326" s="23"/>
      <c r="J326" s="24"/>
      <c r="M326" s="4"/>
      <c r="N326" s="76"/>
      <c r="O326" s="76"/>
      <c r="P326" s="76" t="str">
        <f t="shared" si="80"/>
        <v>,shikkan313_start_date</v>
      </c>
      <c r="Q326" s="76" t="str">
        <f t="shared" si="81"/>
        <v>DATE</v>
      </c>
      <c r="R326" s="76" t="str">
        <f t="shared" si="82"/>
        <v/>
      </c>
      <c r="S326" s="76" t="str">
        <f t="shared" si="83"/>
        <v/>
      </c>
      <c r="T326" s="76" t="str">
        <f t="shared" si="84"/>
        <v>-- C691_疾患開始日</v>
      </c>
      <c r="U326" s="4" t="str">
        <f t="shared" si="68"/>
        <v>, CASE WHEN shikkan_disp_name = 'C691' THEN min_shikkan_start_date ::DATE ELSE NULL END AS shikkan313_start_date</v>
      </c>
      <c r="V326" s="25" t="str">
        <f t="shared" si="69"/>
        <v>, max(shikkan313_start_date)</v>
      </c>
      <c r="AA326" s="4"/>
      <c r="AB326" s="4"/>
      <c r="AC326" s="4"/>
      <c r="AD326" s="4"/>
      <c r="AE326" s="4"/>
      <c r="AF326" s="4"/>
      <c r="AG326" s="4"/>
      <c r="AH326" s="4"/>
      <c r="AI326" s="4"/>
      <c r="AJ326" s="76" t="str">
        <f>IF(E326="○",IF(COUNTA(E$13:E326)=1,"",",")&amp;D326,"")</f>
        <v/>
      </c>
      <c r="AK326" s="4"/>
      <c r="AL326" s="4"/>
      <c r="AM326" s="4"/>
      <c r="AN326" s="4"/>
      <c r="AO326" s="4"/>
      <c r="AP326" s="4"/>
      <c r="AQ326" s="4"/>
      <c r="AR326" s="4"/>
      <c r="AS326" s="76" t="str">
        <f>"COMMENT ON COLUMN "&amp;エンティティ一覧!$O$2&amp;"."&amp;D$8&amp;"."&amp;D326&amp;" IS '"&amp;C326&amp;"';"</f>
        <v>COMMENT ON COLUMN milscm_2023_009.sny_202310_annony_shikkan2.shikkan313_start_date IS 'C691_疾患開始日';</v>
      </c>
    </row>
    <row r="327" spans="1:45" s="25" customFormat="1">
      <c r="A327" s="4" t="s">
        <v>5457</v>
      </c>
      <c r="B327" s="21">
        <f t="shared" si="66"/>
        <v>315</v>
      </c>
      <c r="C327" s="13" t="str">
        <f t="shared" si="67"/>
        <v>C692_疾患開始日</v>
      </c>
      <c r="D327" s="13" t="s">
        <v>5974</v>
      </c>
      <c r="E327" s="8"/>
      <c r="F327" s="7" t="s">
        <v>4348</v>
      </c>
      <c r="G327" s="7" t="s">
        <v>25</v>
      </c>
      <c r="H327" s="58"/>
      <c r="I327" s="23"/>
      <c r="J327" s="24"/>
      <c r="M327" s="4"/>
      <c r="N327" s="76"/>
      <c r="O327" s="76"/>
      <c r="P327" s="76" t="str">
        <f t="shared" si="80"/>
        <v>,shikkan314_start_date</v>
      </c>
      <c r="Q327" s="76" t="str">
        <f t="shared" si="81"/>
        <v>DATE</v>
      </c>
      <c r="R327" s="76" t="str">
        <f t="shared" si="82"/>
        <v/>
      </c>
      <c r="S327" s="76" t="str">
        <f t="shared" si="83"/>
        <v/>
      </c>
      <c r="T327" s="76" t="str">
        <f t="shared" si="84"/>
        <v>-- C692_疾患開始日</v>
      </c>
      <c r="U327" s="4" t="str">
        <f t="shared" si="68"/>
        <v>, CASE WHEN shikkan_disp_name = 'C692' THEN min_shikkan_start_date ::DATE ELSE NULL END AS shikkan314_start_date</v>
      </c>
      <c r="V327" s="25" t="str">
        <f t="shared" si="69"/>
        <v>, max(shikkan314_start_date)</v>
      </c>
      <c r="AA327" s="4"/>
      <c r="AB327" s="4"/>
      <c r="AC327" s="4"/>
      <c r="AD327" s="4"/>
      <c r="AE327" s="4"/>
      <c r="AF327" s="4"/>
      <c r="AG327" s="4"/>
      <c r="AH327" s="4"/>
      <c r="AI327" s="4"/>
      <c r="AJ327" s="76" t="str">
        <f>IF(E327="○",IF(COUNTA(E$13:E327)=1,"",",")&amp;D327,"")</f>
        <v/>
      </c>
      <c r="AK327" s="4"/>
      <c r="AL327" s="4"/>
      <c r="AM327" s="4"/>
      <c r="AN327" s="4"/>
      <c r="AO327" s="4"/>
      <c r="AP327" s="4"/>
      <c r="AQ327" s="4"/>
      <c r="AR327" s="4"/>
      <c r="AS327" s="76" t="str">
        <f>"COMMENT ON COLUMN "&amp;エンティティ一覧!$O$2&amp;"."&amp;D$8&amp;"."&amp;D327&amp;" IS '"&amp;C327&amp;"';"</f>
        <v>COMMENT ON COLUMN milscm_2023_009.sny_202310_annony_shikkan2.shikkan314_start_date IS 'C692_疾患開始日';</v>
      </c>
    </row>
    <row r="328" spans="1:45" s="25" customFormat="1">
      <c r="A328" s="4" t="s">
        <v>5458</v>
      </c>
      <c r="B328" s="21">
        <f t="shared" si="66"/>
        <v>316</v>
      </c>
      <c r="C328" s="13" t="str">
        <f t="shared" si="67"/>
        <v>C693_疾患開始日</v>
      </c>
      <c r="D328" s="13" t="s">
        <v>5975</v>
      </c>
      <c r="E328" s="8"/>
      <c r="F328" s="7" t="s">
        <v>4348</v>
      </c>
      <c r="G328" s="7" t="s">
        <v>25</v>
      </c>
      <c r="H328" s="58"/>
      <c r="I328" s="23"/>
      <c r="J328" s="24"/>
      <c r="M328" s="4"/>
      <c r="N328" s="76"/>
      <c r="O328" s="76"/>
      <c r="P328" s="76" t="str">
        <f t="shared" si="80"/>
        <v>,shikkan315_start_date</v>
      </c>
      <c r="Q328" s="76" t="str">
        <f t="shared" si="81"/>
        <v>DATE</v>
      </c>
      <c r="R328" s="76" t="str">
        <f t="shared" si="82"/>
        <v/>
      </c>
      <c r="S328" s="76" t="str">
        <f t="shared" si="83"/>
        <v/>
      </c>
      <c r="T328" s="76" t="str">
        <f t="shared" si="84"/>
        <v>-- C693_疾患開始日</v>
      </c>
      <c r="U328" s="4" t="str">
        <f t="shared" si="68"/>
        <v>, CASE WHEN shikkan_disp_name = 'C693' THEN min_shikkan_start_date ::DATE ELSE NULL END AS shikkan315_start_date</v>
      </c>
      <c r="V328" s="25" t="str">
        <f t="shared" si="69"/>
        <v>, max(shikkan315_start_date)</v>
      </c>
      <c r="AA328" s="4"/>
      <c r="AB328" s="4"/>
      <c r="AC328" s="4"/>
      <c r="AD328" s="4"/>
      <c r="AE328" s="4"/>
      <c r="AF328" s="4"/>
      <c r="AG328" s="4"/>
      <c r="AH328" s="4"/>
      <c r="AI328" s="4"/>
      <c r="AJ328" s="76" t="str">
        <f>IF(E328="○",IF(COUNTA(E$13:E328)=1,"",",")&amp;D328,"")</f>
        <v/>
      </c>
      <c r="AK328" s="4"/>
      <c r="AL328" s="4"/>
      <c r="AM328" s="4"/>
      <c r="AN328" s="4"/>
      <c r="AO328" s="4"/>
      <c r="AP328" s="4"/>
      <c r="AQ328" s="4"/>
      <c r="AR328" s="4"/>
      <c r="AS328" s="76" t="str">
        <f>"COMMENT ON COLUMN "&amp;エンティティ一覧!$O$2&amp;"."&amp;D$8&amp;"."&amp;D328&amp;" IS '"&amp;C328&amp;"';"</f>
        <v>COMMENT ON COLUMN milscm_2023_009.sny_202310_annony_shikkan2.shikkan315_start_date IS 'C693_疾患開始日';</v>
      </c>
    </row>
    <row r="329" spans="1:45" s="25" customFormat="1">
      <c r="A329" s="4" t="s">
        <v>5459</v>
      </c>
      <c r="B329" s="21">
        <f t="shared" si="66"/>
        <v>317</v>
      </c>
      <c r="C329" s="13" t="str">
        <f t="shared" si="67"/>
        <v>C694_疾患開始日</v>
      </c>
      <c r="D329" s="13" t="s">
        <v>5976</v>
      </c>
      <c r="E329" s="8"/>
      <c r="F329" s="7" t="s">
        <v>4348</v>
      </c>
      <c r="G329" s="7" t="s">
        <v>25</v>
      </c>
      <c r="H329" s="58"/>
      <c r="I329" s="23"/>
      <c r="J329" s="24"/>
      <c r="M329" s="4"/>
      <c r="N329" s="76"/>
      <c r="O329" s="76"/>
      <c r="P329" s="76" t="str">
        <f t="shared" si="80"/>
        <v>,shikkan316_start_date</v>
      </c>
      <c r="Q329" s="76" t="str">
        <f t="shared" si="81"/>
        <v>DATE</v>
      </c>
      <c r="R329" s="76" t="str">
        <f t="shared" si="82"/>
        <v/>
      </c>
      <c r="S329" s="76" t="str">
        <f t="shared" si="83"/>
        <v/>
      </c>
      <c r="T329" s="76" t="str">
        <f t="shared" si="84"/>
        <v>-- C694_疾患開始日</v>
      </c>
      <c r="U329" s="4" t="str">
        <f t="shared" si="68"/>
        <v>, CASE WHEN shikkan_disp_name = 'C694' THEN min_shikkan_start_date ::DATE ELSE NULL END AS shikkan316_start_date</v>
      </c>
      <c r="V329" s="25" t="str">
        <f t="shared" si="69"/>
        <v>, max(shikkan316_start_date)</v>
      </c>
      <c r="AA329" s="4"/>
      <c r="AB329" s="4"/>
      <c r="AC329" s="4"/>
      <c r="AD329" s="4"/>
      <c r="AE329" s="4"/>
      <c r="AF329" s="4"/>
      <c r="AG329" s="4"/>
      <c r="AH329" s="4"/>
      <c r="AI329" s="4"/>
      <c r="AJ329" s="76" t="str">
        <f>IF(E329="○",IF(COUNTA(E$13:E329)=1,"",",")&amp;D329,"")</f>
        <v/>
      </c>
      <c r="AK329" s="4"/>
      <c r="AL329" s="4"/>
      <c r="AM329" s="4"/>
      <c r="AN329" s="4"/>
      <c r="AO329" s="4"/>
      <c r="AP329" s="4"/>
      <c r="AQ329" s="4"/>
      <c r="AR329" s="4"/>
      <c r="AS329" s="76" t="str">
        <f>"COMMENT ON COLUMN "&amp;エンティティ一覧!$O$2&amp;"."&amp;D$8&amp;"."&amp;D329&amp;" IS '"&amp;C329&amp;"';"</f>
        <v>COMMENT ON COLUMN milscm_2023_009.sny_202310_annony_shikkan2.shikkan316_start_date IS 'C694_疾患開始日';</v>
      </c>
    </row>
    <row r="330" spans="1:45" s="25" customFormat="1">
      <c r="A330" s="4" t="s">
        <v>5460</v>
      </c>
      <c r="B330" s="21">
        <f t="shared" si="66"/>
        <v>318</v>
      </c>
      <c r="C330" s="13" t="str">
        <f t="shared" si="67"/>
        <v>C695_疾患開始日</v>
      </c>
      <c r="D330" s="13" t="s">
        <v>5977</v>
      </c>
      <c r="E330" s="8"/>
      <c r="F330" s="7" t="s">
        <v>4348</v>
      </c>
      <c r="G330" s="7" t="s">
        <v>25</v>
      </c>
      <c r="H330" s="58"/>
      <c r="I330" s="23"/>
      <c r="J330" s="24"/>
      <c r="M330" s="4"/>
      <c r="N330" s="76"/>
      <c r="O330" s="76"/>
      <c r="P330" s="76" t="str">
        <f t="shared" si="80"/>
        <v>,shikkan317_start_date</v>
      </c>
      <c r="Q330" s="76" t="str">
        <f t="shared" si="81"/>
        <v>DATE</v>
      </c>
      <c r="R330" s="76" t="str">
        <f t="shared" si="82"/>
        <v/>
      </c>
      <c r="S330" s="76" t="str">
        <f t="shared" si="83"/>
        <v/>
      </c>
      <c r="T330" s="76" t="str">
        <f t="shared" si="84"/>
        <v>-- C695_疾患開始日</v>
      </c>
      <c r="U330" s="4" t="str">
        <f t="shared" si="68"/>
        <v>, CASE WHEN shikkan_disp_name = 'C695' THEN min_shikkan_start_date ::DATE ELSE NULL END AS shikkan317_start_date</v>
      </c>
      <c r="V330" s="25" t="str">
        <f t="shared" si="69"/>
        <v>, max(shikkan317_start_date)</v>
      </c>
      <c r="AA330" s="4"/>
      <c r="AB330" s="4"/>
      <c r="AC330" s="4"/>
      <c r="AD330" s="4"/>
      <c r="AE330" s="4"/>
      <c r="AF330" s="4"/>
      <c r="AG330" s="4"/>
      <c r="AH330" s="4"/>
      <c r="AI330" s="4"/>
      <c r="AJ330" s="76" t="str">
        <f>IF(E330="○",IF(COUNTA(E$13:E330)=1,"",",")&amp;D330,"")</f>
        <v/>
      </c>
      <c r="AK330" s="4"/>
      <c r="AL330" s="4"/>
      <c r="AM330" s="4"/>
      <c r="AN330" s="4"/>
      <c r="AO330" s="4"/>
      <c r="AP330" s="4"/>
      <c r="AQ330" s="4"/>
      <c r="AR330" s="4"/>
      <c r="AS330" s="76" t="str">
        <f>"COMMENT ON COLUMN "&amp;エンティティ一覧!$O$2&amp;"."&amp;D$8&amp;"."&amp;D330&amp;" IS '"&amp;C330&amp;"';"</f>
        <v>COMMENT ON COLUMN milscm_2023_009.sny_202310_annony_shikkan2.shikkan317_start_date IS 'C695_疾患開始日';</v>
      </c>
    </row>
    <row r="331" spans="1:45" s="25" customFormat="1">
      <c r="A331" s="4" t="s">
        <v>5461</v>
      </c>
      <c r="B331" s="21">
        <f t="shared" si="66"/>
        <v>319</v>
      </c>
      <c r="C331" s="13" t="str">
        <f t="shared" si="67"/>
        <v>C696_疾患開始日</v>
      </c>
      <c r="D331" s="13" t="s">
        <v>5978</v>
      </c>
      <c r="E331" s="8"/>
      <c r="F331" s="7" t="s">
        <v>4348</v>
      </c>
      <c r="G331" s="7" t="s">
        <v>25</v>
      </c>
      <c r="H331" s="58"/>
      <c r="I331" s="23"/>
      <c r="J331" s="24"/>
      <c r="M331" s="4"/>
      <c r="N331" s="76"/>
      <c r="O331" s="76"/>
      <c r="P331" s="76" t="str">
        <f t="shared" si="80"/>
        <v>,shikkan318_start_date</v>
      </c>
      <c r="Q331" s="76" t="str">
        <f t="shared" si="81"/>
        <v>DATE</v>
      </c>
      <c r="R331" s="76" t="str">
        <f t="shared" si="82"/>
        <v/>
      </c>
      <c r="S331" s="76" t="str">
        <f t="shared" si="83"/>
        <v/>
      </c>
      <c r="T331" s="76" t="str">
        <f t="shared" si="84"/>
        <v>-- C696_疾患開始日</v>
      </c>
      <c r="U331" s="4" t="str">
        <f t="shared" si="68"/>
        <v>, CASE WHEN shikkan_disp_name = 'C696' THEN min_shikkan_start_date ::DATE ELSE NULL END AS shikkan318_start_date</v>
      </c>
      <c r="V331" s="25" t="str">
        <f t="shared" si="69"/>
        <v>, max(shikkan318_start_date)</v>
      </c>
      <c r="AA331" s="4"/>
      <c r="AB331" s="4"/>
      <c r="AC331" s="4"/>
      <c r="AD331" s="4"/>
      <c r="AE331" s="4"/>
      <c r="AF331" s="4"/>
      <c r="AG331" s="4"/>
      <c r="AH331" s="4"/>
      <c r="AI331" s="4"/>
      <c r="AJ331" s="76" t="str">
        <f>IF(E331="○",IF(COUNTA(E$13:E331)=1,"",",")&amp;D331,"")</f>
        <v/>
      </c>
      <c r="AK331" s="4"/>
      <c r="AL331" s="4"/>
      <c r="AM331" s="4"/>
      <c r="AN331" s="4"/>
      <c r="AO331" s="4"/>
      <c r="AP331" s="4"/>
      <c r="AQ331" s="4"/>
      <c r="AR331" s="4"/>
      <c r="AS331" s="76" t="str">
        <f>"COMMENT ON COLUMN "&amp;エンティティ一覧!$O$2&amp;"."&amp;D$8&amp;"."&amp;D331&amp;" IS '"&amp;C331&amp;"';"</f>
        <v>COMMENT ON COLUMN milscm_2023_009.sny_202310_annony_shikkan2.shikkan318_start_date IS 'C696_疾患開始日';</v>
      </c>
    </row>
    <row r="332" spans="1:45" s="25" customFormat="1">
      <c r="A332" s="4" t="s">
        <v>5462</v>
      </c>
      <c r="B332" s="21">
        <f t="shared" si="66"/>
        <v>320</v>
      </c>
      <c r="C332" s="13" t="str">
        <f t="shared" si="67"/>
        <v>C698_疾患開始日</v>
      </c>
      <c r="D332" s="13" t="s">
        <v>5979</v>
      </c>
      <c r="E332" s="8"/>
      <c r="F332" s="7" t="s">
        <v>4348</v>
      </c>
      <c r="G332" s="7" t="s">
        <v>25</v>
      </c>
      <c r="H332" s="58"/>
      <c r="I332" s="23"/>
      <c r="J332" s="24"/>
      <c r="M332" s="4"/>
      <c r="N332" s="76"/>
      <c r="O332" s="76"/>
      <c r="P332" s="76" t="str">
        <f t="shared" si="80"/>
        <v>,shikkan319_start_date</v>
      </c>
      <c r="Q332" s="76" t="str">
        <f t="shared" si="81"/>
        <v>DATE</v>
      </c>
      <c r="R332" s="76" t="str">
        <f t="shared" si="82"/>
        <v/>
      </c>
      <c r="S332" s="76" t="str">
        <f t="shared" si="83"/>
        <v/>
      </c>
      <c r="T332" s="76" t="str">
        <f t="shared" si="84"/>
        <v>-- C698_疾患開始日</v>
      </c>
      <c r="U332" s="4" t="str">
        <f t="shared" si="68"/>
        <v>, CASE WHEN shikkan_disp_name = 'C698' THEN min_shikkan_start_date ::DATE ELSE NULL END AS shikkan319_start_date</v>
      </c>
      <c r="V332" s="25" t="str">
        <f t="shared" si="69"/>
        <v>, max(shikkan319_start_date)</v>
      </c>
      <c r="AA332" s="4"/>
      <c r="AB332" s="4"/>
      <c r="AC332" s="4"/>
      <c r="AD332" s="4"/>
      <c r="AE332" s="4"/>
      <c r="AF332" s="4"/>
      <c r="AG332" s="4"/>
      <c r="AH332" s="4"/>
      <c r="AI332" s="4"/>
      <c r="AJ332" s="76" t="str">
        <f>IF(E332="○",IF(COUNTA(E$13:E332)=1,"",",")&amp;D332,"")</f>
        <v/>
      </c>
      <c r="AK332" s="4"/>
      <c r="AL332" s="4"/>
      <c r="AM332" s="4"/>
      <c r="AN332" s="4"/>
      <c r="AO332" s="4"/>
      <c r="AP332" s="4"/>
      <c r="AQ332" s="4"/>
      <c r="AR332" s="4"/>
      <c r="AS332" s="76" t="str">
        <f>"COMMENT ON COLUMN "&amp;エンティティ一覧!$O$2&amp;"."&amp;D$8&amp;"."&amp;D332&amp;" IS '"&amp;C332&amp;"';"</f>
        <v>COMMENT ON COLUMN milscm_2023_009.sny_202310_annony_shikkan2.shikkan319_start_date IS 'C698_疾患開始日';</v>
      </c>
    </row>
    <row r="333" spans="1:45" s="25" customFormat="1">
      <c r="A333" s="4" t="s">
        <v>5463</v>
      </c>
      <c r="B333" s="21">
        <f t="shared" si="66"/>
        <v>321</v>
      </c>
      <c r="C333" s="13" t="str">
        <f t="shared" si="67"/>
        <v>C699_疾患開始日</v>
      </c>
      <c r="D333" s="13" t="s">
        <v>5980</v>
      </c>
      <c r="E333" s="8"/>
      <c r="F333" s="7" t="s">
        <v>4348</v>
      </c>
      <c r="G333" s="7" t="s">
        <v>99</v>
      </c>
      <c r="H333" s="58"/>
      <c r="I333" s="23"/>
      <c r="J333" s="24"/>
      <c r="M333" s="4"/>
      <c r="N333" s="76"/>
      <c r="O333" s="76"/>
      <c r="P333" s="76" t="str">
        <f t="shared" si="80"/>
        <v>,shikkan320_start_date</v>
      </c>
      <c r="Q333" s="76" t="str">
        <f t="shared" si="81"/>
        <v>DATE</v>
      </c>
      <c r="R333" s="76" t="str">
        <f t="shared" si="82"/>
        <v/>
      </c>
      <c r="S333" s="76" t="str">
        <f t="shared" si="83"/>
        <v/>
      </c>
      <c r="T333" s="76" t="str">
        <f t="shared" si="84"/>
        <v>-- C699_疾患開始日</v>
      </c>
      <c r="U333" s="4" t="str">
        <f t="shared" si="68"/>
        <v>, CASE WHEN shikkan_disp_name = 'C699' THEN min_shikkan_start_date ::DATE ELSE NULL END AS shikkan320_start_date</v>
      </c>
      <c r="V333" s="25" t="str">
        <f t="shared" si="69"/>
        <v>, max(shikkan320_start_date)</v>
      </c>
      <c r="AA333" s="4"/>
      <c r="AB333" s="4"/>
      <c r="AC333" s="4"/>
      <c r="AD333" s="4"/>
      <c r="AE333" s="4"/>
      <c r="AF333" s="4"/>
      <c r="AG333" s="4"/>
      <c r="AH333" s="4"/>
      <c r="AI333" s="4"/>
      <c r="AJ333" s="76" t="str">
        <f>IF(E333="○",IF(COUNTA(E$13:E333)=1,"",",")&amp;D333,"")</f>
        <v/>
      </c>
      <c r="AK333" s="4"/>
      <c r="AL333" s="4"/>
      <c r="AM333" s="4"/>
      <c r="AN333" s="4"/>
      <c r="AO333" s="4"/>
      <c r="AP333" s="4"/>
      <c r="AQ333" s="4"/>
      <c r="AR333" s="4"/>
      <c r="AS333" s="76" t="str">
        <f>"COMMENT ON COLUMN "&amp;エンティティ一覧!$O$2&amp;"."&amp;D$8&amp;"."&amp;D333&amp;" IS '"&amp;C333&amp;"';"</f>
        <v>COMMENT ON COLUMN milscm_2023_009.sny_202310_annony_shikkan2.shikkan320_start_date IS 'C699_疾患開始日';</v>
      </c>
    </row>
    <row r="334" spans="1:45" s="25" customFormat="1">
      <c r="A334" s="4" t="s">
        <v>5464</v>
      </c>
      <c r="B334" s="21">
        <f t="shared" si="66"/>
        <v>322</v>
      </c>
      <c r="C334" s="13" t="str">
        <f t="shared" si="67"/>
        <v>C700_疾患開始日</v>
      </c>
      <c r="D334" s="13" t="s">
        <v>5981</v>
      </c>
      <c r="E334" s="8"/>
      <c r="F334" s="7" t="s">
        <v>4348</v>
      </c>
      <c r="G334" s="7" t="s">
        <v>25</v>
      </c>
      <c r="H334" s="58"/>
      <c r="I334" s="23"/>
      <c r="J334" s="24"/>
      <c r="M334" s="4"/>
      <c r="N334" s="76"/>
      <c r="O334" s="76"/>
      <c r="P334" s="76" t="str">
        <f t="shared" si="80"/>
        <v>,shikkan321_start_date</v>
      </c>
      <c r="Q334" s="76" t="str">
        <f t="shared" si="81"/>
        <v>DATE</v>
      </c>
      <c r="R334" s="76" t="str">
        <f t="shared" si="82"/>
        <v/>
      </c>
      <c r="S334" s="76" t="str">
        <f t="shared" si="83"/>
        <v/>
      </c>
      <c r="T334" s="76" t="str">
        <f t="shared" si="84"/>
        <v>-- C700_疾患開始日</v>
      </c>
      <c r="U334" s="4" t="str">
        <f t="shared" si="68"/>
        <v>, CASE WHEN shikkan_disp_name = 'C700' THEN min_shikkan_start_date ::DATE ELSE NULL END AS shikkan321_start_date</v>
      </c>
      <c r="V334" s="25" t="str">
        <f t="shared" si="69"/>
        <v>, max(shikkan321_start_date)</v>
      </c>
      <c r="AA334" s="4"/>
      <c r="AB334" s="4"/>
      <c r="AC334" s="4"/>
      <c r="AD334" s="4"/>
      <c r="AE334" s="4"/>
      <c r="AF334" s="4"/>
      <c r="AG334" s="4"/>
      <c r="AH334" s="4"/>
      <c r="AI334" s="4"/>
      <c r="AJ334" s="76" t="str">
        <f>IF(E334="○",IF(COUNTA(E$13:E334)=1,"",",")&amp;D334,"")</f>
        <v/>
      </c>
      <c r="AK334" s="4"/>
      <c r="AL334" s="4"/>
      <c r="AM334" s="4"/>
      <c r="AN334" s="4"/>
      <c r="AO334" s="4"/>
      <c r="AP334" s="4"/>
      <c r="AQ334" s="4"/>
      <c r="AR334" s="4"/>
      <c r="AS334" s="76" t="str">
        <f>"COMMENT ON COLUMN "&amp;エンティティ一覧!$O$2&amp;"."&amp;D$8&amp;"."&amp;D334&amp;" IS '"&amp;C334&amp;"';"</f>
        <v>COMMENT ON COLUMN milscm_2023_009.sny_202310_annony_shikkan2.shikkan321_start_date IS 'C700_疾患開始日';</v>
      </c>
    </row>
    <row r="335" spans="1:45" s="25" customFormat="1">
      <c r="A335" s="4" t="s">
        <v>5465</v>
      </c>
      <c r="B335" s="21">
        <f t="shared" ref="B335:B399" si="85">ROW()-12</f>
        <v>323</v>
      </c>
      <c r="C335" s="13" t="str">
        <f t="shared" ref="C335:C398" si="86">A335&amp;"_疾患開始日"</f>
        <v>C701_疾患開始日</v>
      </c>
      <c r="D335" s="13" t="s">
        <v>5982</v>
      </c>
      <c r="E335" s="8"/>
      <c r="F335" s="7" t="s">
        <v>4348</v>
      </c>
      <c r="G335" s="7" t="s">
        <v>25</v>
      </c>
      <c r="H335" s="58"/>
      <c r="I335" s="23"/>
      <c r="J335" s="24"/>
      <c r="M335" s="4"/>
      <c r="N335" s="76"/>
      <c r="O335" s="76"/>
      <c r="P335" s="76" t="str">
        <f t="shared" si="80"/>
        <v>,shikkan322_start_date</v>
      </c>
      <c r="Q335" s="76" t="str">
        <f t="shared" si="81"/>
        <v>DATE</v>
      </c>
      <c r="R335" s="76" t="str">
        <f t="shared" si="82"/>
        <v/>
      </c>
      <c r="S335" s="76" t="str">
        <f t="shared" si="83"/>
        <v/>
      </c>
      <c r="T335" s="76" t="str">
        <f t="shared" si="84"/>
        <v>-- C701_疾患開始日</v>
      </c>
      <c r="U335" s="4" t="str">
        <f t="shared" si="68"/>
        <v>, CASE WHEN shikkan_disp_name = 'C701' THEN min_shikkan_start_date ::DATE ELSE NULL END AS shikkan322_start_date</v>
      </c>
      <c r="V335" s="25" t="str">
        <f t="shared" si="69"/>
        <v>, max(shikkan322_start_date)</v>
      </c>
      <c r="AA335" s="4"/>
      <c r="AB335" s="4"/>
      <c r="AC335" s="4"/>
      <c r="AD335" s="4"/>
      <c r="AE335" s="4"/>
      <c r="AF335" s="4"/>
      <c r="AG335" s="4"/>
      <c r="AH335" s="4"/>
      <c r="AI335" s="4"/>
      <c r="AJ335" s="76" t="str">
        <f>IF(E335="○",IF(COUNTA(E$13:E335)=1,"",",")&amp;D335,"")</f>
        <v/>
      </c>
      <c r="AK335" s="4"/>
      <c r="AL335" s="4"/>
      <c r="AM335" s="4"/>
      <c r="AN335" s="4"/>
      <c r="AO335" s="4"/>
      <c r="AP335" s="4"/>
      <c r="AQ335" s="4"/>
      <c r="AR335" s="4"/>
      <c r="AS335" s="76" t="str">
        <f>"COMMENT ON COLUMN "&amp;エンティティ一覧!$O$2&amp;"."&amp;D$8&amp;"."&amp;D335&amp;" IS '"&amp;C335&amp;"';"</f>
        <v>COMMENT ON COLUMN milscm_2023_009.sny_202310_annony_shikkan2.shikkan322_start_date IS 'C701_疾患開始日';</v>
      </c>
    </row>
    <row r="336" spans="1:45" s="25" customFormat="1">
      <c r="A336" s="4" t="s">
        <v>5466</v>
      </c>
      <c r="B336" s="21">
        <f t="shared" si="85"/>
        <v>324</v>
      </c>
      <c r="C336" s="13" t="str">
        <f t="shared" si="86"/>
        <v>C709_疾患開始日</v>
      </c>
      <c r="D336" s="13" t="s">
        <v>5983</v>
      </c>
      <c r="E336" s="8"/>
      <c r="F336" s="7" t="s">
        <v>4348</v>
      </c>
      <c r="G336" s="7" t="s">
        <v>25</v>
      </c>
      <c r="H336" s="58"/>
      <c r="I336" s="23"/>
      <c r="J336" s="24"/>
      <c r="M336" s="4"/>
      <c r="N336" s="76"/>
      <c r="O336" s="76"/>
      <c r="P336" s="76" t="str">
        <f t="shared" si="80"/>
        <v>,shikkan323_start_date</v>
      </c>
      <c r="Q336" s="76" t="str">
        <f t="shared" si="81"/>
        <v>DATE</v>
      </c>
      <c r="R336" s="76" t="str">
        <f t="shared" si="82"/>
        <v/>
      </c>
      <c r="S336" s="76" t="str">
        <f t="shared" si="83"/>
        <v/>
      </c>
      <c r="T336" s="76" t="str">
        <f t="shared" si="84"/>
        <v>-- C709_疾患開始日</v>
      </c>
      <c r="U336" s="4" t="str">
        <f t="shared" si="68"/>
        <v>, CASE WHEN shikkan_disp_name = 'C709' THEN min_shikkan_start_date ::DATE ELSE NULL END AS shikkan323_start_date</v>
      </c>
      <c r="V336" s="25" t="str">
        <f t="shared" si="69"/>
        <v>, max(shikkan323_start_date)</v>
      </c>
      <c r="AA336" s="4"/>
      <c r="AB336" s="4"/>
      <c r="AC336" s="4"/>
      <c r="AD336" s="4"/>
      <c r="AE336" s="4"/>
      <c r="AF336" s="4"/>
      <c r="AG336" s="4"/>
      <c r="AH336" s="4"/>
      <c r="AI336" s="4"/>
      <c r="AJ336" s="76" t="str">
        <f>IF(E336="○",IF(COUNTA(E$13:E336)=1,"",",")&amp;D336,"")</f>
        <v/>
      </c>
      <c r="AK336" s="4"/>
      <c r="AL336" s="4"/>
      <c r="AM336" s="4"/>
      <c r="AN336" s="4"/>
      <c r="AO336" s="4"/>
      <c r="AP336" s="4"/>
      <c r="AQ336" s="4"/>
      <c r="AR336" s="4"/>
      <c r="AS336" s="76" t="str">
        <f>"COMMENT ON COLUMN "&amp;エンティティ一覧!$O$2&amp;"."&amp;D$8&amp;"."&amp;D336&amp;" IS '"&amp;C336&amp;"';"</f>
        <v>COMMENT ON COLUMN milscm_2023_009.sny_202310_annony_shikkan2.shikkan323_start_date IS 'C709_疾患開始日';</v>
      </c>
    </row>
    <row r="337" spans="1:45" s="25" customFormat="1">
      <c r="A337" s="4" t="s">
        <v>5467</v>
      </c>
      <c r="B337" s="21">
        <f t="shared" si="85"/>
        <v>325</v>
      </c>
      <c r="C337" s="13" t="str">
        <f t="shared" si="86"/>
        <v>C710_疾患開始日</v>
      </c>
      <c r="D337" s="13" t="s">
        <v>5984</v>
      </c>
      <c r="E337" s="8"/>
      <c r="F337" s="7" t="s">
        <v>4348</v>
      </c>
      <c r="G337" s="7" t="s">
        <v>25</v>
      </c>
      <c r="H337" s="58"/>
      <c r="I337" s="23"/>
      <c r="J337" s="24"/>
      <c r="M337" s="4"/>
      <c r="N337" s="76"/>
      <c r="O337" s="76"/>
      <c r="P337" s="76" t="str">
        <f t="shared" si="80"/>
        <v>,shikkan324_start_date</v>
      </c>
      <c r="Q337" s="76" t="str">
        <f t="shared" si="81"/>
        <v>DATE</v>
      </c>
      <c r="R337" s="76" t="str">
        <f t="shared" si="82"/>
        <v/>
      </c>
      <c r="S337" s="76" t="str">
        <f t="shared" si="83"/>
        <v/>
      </c>
      <c r="T337" s="76" t="str">
        <f t="shared" si="84"/>
        <v>-- C710_疾患開始日</v>
      </c>
      <c r="U337" s="4" t="str">
        <f t="shared" si="68"/>
        <v>, CASE WHEN shikkan_disp_name = 'C710' THEN min_shikkan_start_date ::DATE ELSE NULL END AS shikkan324_start_date</v>
      </c>
      <c r="V337" s="25" t="str">
        <f t="shared" si="69"/>
        <v>, max(shikkan324_start_date)</v>
      </c>
      <c r="AA337" s="4"/>
      <c r="AB337" s="4"/>
      <c r="AC337" s="4"/>
      <c r="AD337" s="4"/>
      <c r="AE337" s="4"/>
      <c r="AF337" s="4"/>
      <c r="AG337" s="4"/>
      <c r="AH337" s="4"/>
      <c r="AI337" s="4"/>
      <c r="AJ337" s="76" t="str">
        <f>IF(E337="○",IF(COUNTA(E$13:E337)=1,"",",")&amp;D337,"")</f>
        <v/>
      </c>
      <c r="AK337" s="4"/>
      <c r="AL337" s="4"/>
      <c r="AM337" s="4"/>
      <c r="AN337" s="4"/>
      <c r="AO337" s="4"/>
      <c r="AP337" s="4"/>
      <c r="AQ337" s="4"/>
      <c r="AR337" s="4"/>
      <c r="AS337" s="76" t="str">
        <f>"COMMENT ON COLUMN "&amp;エンティティ一覧!$O$2&amp;"."&amp;D$8&amp;"."&amp;D337&amp;" IS '"&amp;C337&amp;"';"</f>
        <v>COMMENT ON COLUMN milscm_2023_009.sny_202310_annony_shikkan2.shikkan324_start_date IS 'C710_疾患開始日';</v>
      </c>
    </row>
    <row r="338" spans="1:45" s="25" customFormat="1">
      <c r="A338" s="4" t="s">
        <v>5468</v>
      </c>
      <c r="B338" s="21">
        <f t="shared" si="85"/>
        <v>326</v>
      </c>
      <c r="C338" s="13" t="str">
        <f t="shared" si="86"/>
        <v>C711_疾患開始日</v>
      </c>
      <c r="D338" s="13" t="s">
        <v>5985</v>
      </c>
      <c r="E338" s="8"/>
      <c r="F338" s="7" t="s">
        <v>4348</v>
      </c>
      <c r="G338" s="7" t="s">
        <v>25</v>
      </c>
      <c r="H338" s="58"/>
      <c r="I338" s="23"/>
      <c r="J338" s="24"/>
      <c r="M338" s="4"/>
      <c r="N338" s="76"/>
      <c r="O338" s="76"/>
      <c r="P338" s="76" t="str">
        <f t="shared" si="80"/>
        <v>,shikkan325_start_date</v>
      </c>
      <c r="Q338" s="76" t="str">
        <f t="shared" si="81"/>
        <v>DATE</v>
      </c>
      <c r="R338" s="76" t="str">
        <f t="shared" si="82"/>
        <v/>
      </c>
      <c r="S338" s="76" t="str">
        <f t="shared" si="83"/>
        <v/>
      </c>
      <c r="T338" s="76" t="str">
        <f t="shared" si="84"/>
        <v>-- C711_疾患開始日</v>
      </c>
      <c r="U338" s="4" t="str">
        <f t="shared" si="68"/>
        <v>, CASE WHEN shikkan_disp_name = 'C711' THEN min_shikkan_start_date ::DATE ELSE NULL END AS shikkan325_start_date</v>
      </c>
      <c r="V338" s="25" t="str">
        <f t="shared" si="69"/>
        <v>, max(shikkan325_start_date)</v>
      </c>
      <c r="AA338" s="4"/>
      <c r="AB338" s="4"/>
      <c r="AC338" s="4"/>
      <c r="AD338" s="4"/>
      <c r="AE338" s="4"/>
      <c r="AF338" s="4"/>
      <c r="AG338" s="4"/>
      <c r="AH338" s="4"/>
      <c r="AI338" s="4"/>
      <c r="AJ338" s="76" t="str">
        <f>IF(E338="○",IF(COUNTA(E$13:E338)=1,"",",")&amp;D338,"")</f>
        <v/>
      </c>
      <c r="AK338" s="4"/>
      <c r="AL338" s="4"/>
      <c r="AM338" s="4"/>
      <c r="AN338" s="4"/>
      <c r="AO338" s="4"/>
      <c r="AP338" s="4"/>
      <c r="AQ338" s="4"/>
      <c r="AR338" s="4"/>
      <c r="AS338" s="76" t="str">
        <f>"COMMENT ON COLUMN "&amp;エンティティ一覧!$O$2&amp;"."&amp;D$8&amp;"."&amp;D338&amp;" IS '"&amp;C338&amp;"';"</f>
        <v>COMMENT ON COLUMN milscm_2023_009.sny_202310_annony_shikkan2.shikkan325_start_date IS 'C711_疾患開始日';</v>
      </c>
    </row>
    <row r="339" spans="1:45" s="25" customFormat="1">
      <c r="A339" s="4" t="s">
        <v>5469</v>
      </c>
      <c r="B339" s="21">
        <f t="shared" si="85"/>
        <v>327</v>
      </c>
      <c r="C339" s="13" t="str">
        <f t="shared" si="86"/>
        <v>C712_疾患開始日</v>
      </c>
      <c r="D339" s="13" t="s">
        <v>5986</v>
      </c>
      <c r="E339" s="8"/>
      <c r="F339" s="7" t="s">
        <v>4348</v>
      </c>
      <c r="G339" s="7" t="s">
        <v>25</v>
      </c>
      <c r="H339" s="58"/>
      <c r="I339" s="23"/>
      <c r="J339" s="24"/>
      <c r="M339" s="4"/>
      <c r="N339" s="76"/>
      <c r="O339" s="76"/>
      <c r="P339" s="76" t="str">
        <f t="shared" si="80"/>
        <v>,shikkan326_start_date</v>
      </c>
      <c r="Q339" s="76" t="str">
        <f t="shared" si="81"/>
        <v>DATE</v>
      </c>
      <c r="R339" s="76" t="str">
        <f t="shared" si="82"/>
        <v/>
      </c>
      <c r="S339" s="76" t="str">
        <f t="shared" si="83"/>
        <v/>
      </c>
      <c r="T339" s="76" t="str">
        <f t="shared" si="84"/>
        <v>-- C712_疾患開始日</v>
      </c>
      <c r="U339" s="4" t="str">
        <f t="shared" si="68"/>
        <v>, CASE WHEN shikkan_disp_name = 'C712' THEN min_shikkan_start_date ::DATE ELSE NULL END AS shikkan326_start_date</v>
      </c>
      <c r="V339" s="25" t="str">
        <f t="shared" si="69"/>
        <v>, max(shikkan326_start_date)</v>
      </c>
      <c r="AA339" s="4"/>
      <c r="AB339" s="4"/>
      <c r="AC339" s="4"/>
      <c r="AD339" s="4"/>
      <c r="AE339" s="4"/>
      <c r="AF339" s="4"/>
      <c r="AG339" s="4"/>
      <c r="AH339" s="4"/>
      <c r="AI339" s="4"/>
      <c r="AJ339" s="76" t="str">
        <f>IF(E339="○",IF(COUNTA(E$13:E339)=1,"",",")&amp;D339,"")</f>
        <v/>
      </c>
      <c r="AK339" s="4"/>
      <c r="AL339" s="4"/>
      <c r="AM339" s="4"/>
      <c r="AN339" s="4"/>
      <c r="AO339" s="4"/>
      <c r="AP339" s="4"/>
      <c r="AQ339" s="4"/>
      <c r="AR339" s="4"/>
      <c r="AS339" s="76" t="str">
        <f>"COMMENT ON COLUMN "&amp;エンティティ一覧!$O$2&amp;"."&amp;D$8&amp;"."&amp;D339&amp;" IS '"&amp;C339&amp;"';"</f>
        <v>COMMENT ON COLUMN milscm_2023_009.sny_202310_annony_shikkan2.shikkan326_start_date IS 'C712_疾患開始日';</v>
      </c>
    </row>
    <row r="340" spans="1:45" s="25" customFormat="1">
      <c r="A340" s="4" t="s">
        <v>5470</v>
      </c>
      <c r="B340" s="21">
        <f t="shared" si="85"/>
        <v>328</v>
      </c>
      <c r="C340" s="13" t="str">
        <f t="shared" si="86"/>
        <v>C713_疾患開始日</v>
      </c>
      <c r="D340" s="13" t="s">
        <v>5987</v>
      </c>
      <c r="E340" s="8"/>
      <c r="F340" s="7" t="s">
        <v>4348</v>
      </c>
      <c r="G340" s="7" t="s">
        <v>25</v>
      </c>
      <c r="H340" s="58"/>
      <c r="I340" s="23"/>
      <c r="J340" s="24"/>
      <c r="M340" s="4"/>
      <c r="N340" s="76"/>
      <c r="O340" s="76"/>
      <c r="P340" s="76" t="str">
        <f t="shared" si="80"/>
        <v>,shikkan327_start_date</v>
      </c>
      <c r="Q340" s="76" t="str">
        <f t="shared" si="81"/>
        <v>DATE</v>
      </c>
      <c r="R340" s="76" t="str">
        <f t="shared" si="82"/>
        <v/>
      </c>
      <c r="S340" s="76" t="str">
        <f t="shared" si="83"/>
        <v/>
      </c>
      <c r="T340" s="76" t="str">
        <f t="shared" si="84"/>
        <v>-- C713_疾患開始日</v>
      </c>
      <c r="U340" s="4" t="str">
        <f t="shared" si="68"/>
        <v>, CASE WHEN shikkan_disp_name = 'C713' THEN min_shikkan_start_date ::DATE ELSE NULL END AS shikkan327_start_date</v>
      </c>
      <c r="V340" s="25" t="str">
        <f t="shared" si="69"/>
        <v>, max(shikkan327_start_date)</v>
      </c>
      <c r="AA340" s="4"/>
      <c r="AB340" s="4"/>
      <c r="AC340" s="4"/>
      <c r="AD340" s="4"/>
      <c r="AE340" s="4"/>
      <c r="AF340" s="4"/>
      <c r="AG340" s="4"/>
      <c r="AH340" s="4"/>
      <c r="AI340" s="4"/>
      <c r="AJ340" s="76" t="str">
        <f>IF(E340="○",IF(COUNTA(E$13:E340)=1,"",",")&amp;D340,"")</f>
        <v/>
      </c>
      <c r="AK340" s="4"/>
      <c r="AL340" s="4"/>
      <c r="AM340" s="4"/>
      <c r="AN340" s="4"/>
      <c r="AO340" s="4"/>
      <c r="AP340" s="4"/>
      <c r="AQ340" s="4"/>
      <c r="AR340" s="4"/>
      <c r="AS340" s="76" t="str">
        <f>"COMMENT ON COLUMN "&amp;エンティティ一覧!$O$2&amp;"."&amp;D$8&amp;"."&amp;D340&amp;" IS '"&amp;C340&amp;"';"</f>
        <v>COMMENT ON COLUMN milscm_2023_009.sny_202310_annony_shikkan2.shikkan327_start_date IS 'C713_疾患開始日';</v>
      </c>
    </row>
    <row r="341" spans="1:45" s="25" customFormat="1">
      <c r="A341" s="4" t="s">
        <v>5471</v>
      </c>
      <c r="B341" s="21">
        <f t="shared" si="85"/>
        <v>329</v>
      </c>
      <c r="C341" s="13" t="str">
        <f t="shared" si="86"/>
        <v>C714_疾患開始日</v>
      </c>
      <c r="D341" s="13" t="s">
        <v>5988</v>
      </c>
      <c r="E341" s="8"/>
      <c r="F341" s="7" t="s">
        <v>4348</v>
      </c>
      <c r="G341" s="7" t="s">
        <v>25</v>
      </c>
      <c r="H341" s="58"/>
      <c r="I341" s="23"/>
      <c r="J341" s="24"/>
      <c r="M341" s="4"/>
      <c r="N341" s="76"/>
      <c r="O341" s="76"/>
      <c r="P341" s="76" t="str">
        <f t="shared" si="80"/>
        <v>,shikkan328_start_date</v>
      </c>
      <c r="Q341" s="76" t="str">
        <f t="shared" si="81"/>
        <v>DATE</v>
      </c>
      <c r="R341" s="76" t="str">
        <f t="shared" si="82"/>
        <v/>
      </c>
      <c r="S341" s="76" t="str">
        <f t="shared" si="83"/>
        <v/>
      </c>
      <c r="T341" s="76" t="str">
        <f t="shared" si="84"/>
        <v>-- C714_疾患開始日</v>
      </c>
      <c r="U341" s="4" t="str">
        <f t="shared" si="68"/>
        <v>, CASE WHEN shikkan_disp_name = 'C714' THEN min_shikkan_start_date ::DATE ELSE NULL END AS shikkan328_start_date</v>
      </c>
      <c r="V341" s="25" t="str">
        <f t="shared" si="69"/>
        <v>, max(shikkan328_start_date)</v>
      </c>
      <c r="AA341" s="4"/>
      <c r="AB341" s="4"/>
      <c r="AC341" s="4"/>
      <c r="AD341" s="4"/>
      <c r="AE341" s="4"/>
      <c r="AF341" s="4"/>
      <c r="AG341" s="4"/>
      <c r="AH341" s="4"/>
      <c r="AI341" s="4"/>
      <c r="AJ341" s="76" t="str">
        <f>IF(E341="○",IF(COUNTA(E$13:E341)=1,"",",")&amp;D341,"")</f>
        <v/>
      </c>
      <c r="AK341" s="4"/>
      <c r="AL341" s="4"/>
      <c r="AM341" s="4"/>
      <c r="AN341" s="4"/>
      <c r="AO341" s="4"/>
      <c r="AP341" s="4"/>
      <c r="AQ341" s="4"/>
      <c r="AR341" s="4"/>
      <c r="AS341" s="76" t="str">
        <f>"COMMENT ON COLUMN "&amp;エンティティ一覧!$O$2&amp;"."&amp;D$8&amp;"."&amp;D341&amp;" IS '"&amp;C341&amp;"';"</f>
        <v>COMMENT ON COLUMN milscm_2023_009.sny_202310_annony_shikkan2.shikkan328_start_date IS 'C714_疾患開始日';</v>
      </c>
    </row>
    <row r="342" spans="1:45" s="25" customFormat="1">
      <c r="A342" s="4" t="s">
        <v>5472</v>
      </c>
      <c r="B342" s="21">
        <f t="shared" si="85"/>
        <v>330</v>
      </c>
      <c r="C342" s="13" t="str">
        <f t="shared" si="86"/>
        <v>C715_疾患開始日</v>
      </c>
      <c r="D342" s="13" t="s">
        <v>5989</v>
      </c>
      <c r="E342" s="8"/>
      <c r="F342" s="7" t="s">
        <v>4348</v>
      </c>
      <c r="G342" s="7" t="s">
        <v>25</v>
      </c>
      <c r="H342" s="58"/>
      <c r="I342" s="23"/>
      <c r="J342" s="24"/>
      <c r="M342" s="4"/>
      <c r="N342" s="76"/>
      <c r="O342" s="76"/>
      <c r="P342" s="76" t="str">
        <f t="shared" si="80"/>
        <v>,shikkan329_start_date</v>
      </c>
      <c r="Q342" s="76" t="str">
        <f t="shared" si="81"/>
        <v>DATE</v>
      </c>
      <c r="R342" s="76" t="str">
        <f t="shared" si="82"/>
        <v/>
      </c>
      <c r="S342" s="76" t="str">
        <f t="shared" si="83"/>
        <v/>
      </c>
      <c r="T342" s="76" t="str">
        <f t="shared" si="84"/>
        <v>-- C715_疾患開始日</v>
      </c>
      <c r="U342" s="4" t="str">
        <f t="shared" si="68"/>
        <v>, CASE WHEN shikkan_disp_name = 'C715' THEN min_shikkan_start_date ::DATE ELSE NULL END AS shikkan329_start_date</v>
      </c>
      <c r="V342" s="25" t="str">
        <f t="shared" si="69"/>
        <v>, max(shikkan329_start_date)</v>
      </c>
      <c r="AA342" s="4"/>
      <c r="AB342" s="4"/>
      <c r="AC342" s="4"/>
      <c r="AD342" s="4"/>
      <c r="AE342" s="4"/>
      <c r="AF342" s="4"/>
      <c r="AG342" s="4"/>
      <c r="AH342" s="4"/>
      <c r="AI342" s="4"/>
      <c r="AJ342" s="76" t="str">
        <f>IF(E342="○",IF(COUNTA(E$13:E342)=1,"",",")&amp;D342,"")</f>
        <v/>
      </c>
      <c r="AK342" s="4"/>
      <c r="AL342" s="4"/>
      <c r="AM342" s="4"/>
      <c r="AN342" s="4"/>
      <c r="AO342" s="4"/>
      <c r="AP342" s="4"/>
      <c r="AQ342" s="4"/>
      <c r="AR342" s="4"/>
      <c r="AS342" s="76" t="str">
        <f>"COMMENT ON COLUMN "&amp;エンティティ一覧!$O$2&amp;"."&amp;D$8&amp;"."&amp;D342&amp;" IS '"&amp;C342&amp;"';"</f>
        <v>COMMENT ON COLUMN milscm_2023_009.sny_202310_annony_shikkan2.shikkan329_start_date IS 'C715_疾患開始日';</v>
      </c>
    </row>
    <row r="343" spans="1:45" s="25" customFormat="1">
      <c r="A343" s="4" t="s">
        <v>5473</v>
      </c>
      <c r="B343" s="21">
        <f t="shared" si="85"/>
        <v>331</v>
      </c>
      <c r="C343" s="13" t="str">
        <f t="shared" si="86"/>
        <v>C716_疾患開始日</v>
      </c>
      <c r="D343" s="13" t="s">
        <v>5990</v>
      </c>
      <c r="E343" s="8"/>
      <c r="F343" s="7" t="s">
        <v>4348</v>
      </c>
      <c r="G343" s="7" t="s">
        <v>25</v>
      </c>
      <c r="H343" s="58"/>
      <c r="I343" s="23"/>
      <c r="J343" s="24"/>
      <c r="M343" s="4"/>
      <c r="N343" s="76"/>
      <c r="O343" s="76"/>
      <c r="P343" s="76" t="str">
        <f t="shared" si="80"/>
        <v>,shikkan330_start_date</v>
      </c>
      <c r="Q343" s="76" t="str">
        <f t="shared" si="81"/>
        <v>DATE</v>
      </c>
      <c r="R343" s="76" t="str">
        <f t="shared" si="82"/>
        <v/>
      </c>
      <c r="S343" s="76" t="str">
        <f t="shared" si="83"/>
        <v/>
      </c>
      <c r="T343" s="76" t="str">
        <f t="shared" si="84"/>
        <v>-- C716_疾患開始日</v>
      </c>
      <c r="U343" s="4" t="str">
        <f t="shared" si="68"/>
        <v>, CASE WHEN shikkan_disp_name = 'C716' THEN min_shikkan_start_date ::DATE ELSE NULL END AS shikkan330_start_date</v>
      </c>
      <c r="V343" s="25" t="str">
        <f t="shared" si="69"/>
        <v>, max(shikkan330_start_date)</v>
      </c>
      <c r="AA343" s="4"/>
      <c r="AB343" s="4"/>
      <c r="AC343" s="4"/>
      <c r="AD343" s="4"/>
      <c r="AE343" s="4"/>
      <c r="AF343" s="4"/>
      <c r="AG343" s="4"/>
      <c r="AH343" s="4"/>
      <c r="AI343" s="4"/>
      <c r="AJ343" s="76" t="str">
        <f>IF(E343="○",IF(COUNTA(E$13:E343)=1,"",",")&amp;D343,"")</f>
        <v/>
      </c>
      <c r="AK343" s="4"/>
      <c r="AL343" s="4"/>
      <c r="AM343" s="4"/>
      <c r="AN343" s="4"/>
      <c r="AO343" s="4"/>
      <c r="AP343" s="4"/>
      <c r="AQ343" s="4"/>
      <c r="AR343" s="4"/>
      <c r="AS343" s="76" t="str">
        <f>"COMMENT ON COLUMN "&amp;エンティティ一覧!$O$2&amp;"."&amp;D$8&amp;"."&amp;D343&amp;" IS '"&amp;C343&amp;"';"</f>
        <v>COMMENT ON COLUMN milscm_2023_009.sny_202310_annony_shikkan2.shikkan330_start_date IS 'C716_疾患開始日';</v>
      </c>
    </row>
    <row r="344" spans="1:45" s="25" customFormat="1">
      <c r="A344" s="4" t="s">
        <v>5474</v>
      </c>
      <c r="B344" s="21">
        <f t="shared" si="85"/>
        <v>332</v>
      </c>
      <c r="C344" s="13" t="str">
        <f t="shared" si="86"/>
        <v>C717_疾患開始日</v>
      </c>
      <c r="D344" s="13" t="s">
        <v>5991</v>
      </c>
      <c r="E344" s="8"/>
      <c r="F344" s="7" t="s">
        <v>4348</v>
      </c>
      <c r="G344" s="7" t="s">
        <v>25</v>
      </c>
      <c r="H344" s="58"/>
      <c r="I344" s="23"/>
      <c r="J344" s="24"/>
      <c r="M344" s="4"/>
      <c r="N344" s="76"/>
      <c r="O344" s="76"/>
      <c r="P344" s="76" t="str">
        <f t="shared" si="80"/>
        <v>,shikkan331_start_date</v>
      </c>
      <c r="Q344" s="76" t="str">
        <f t="shared" si="81"/>
        <v>DATE</v>
      </c>
      <c r="R344" s="76" t="str">
        <f t="shared" si="82"/>
        <v/>
      </c>
      <c r="S344" s="76" t="str">
        <f t="shared" si="83"/>
        <v/>
      </c>
      <c r="T344" s="76" t="str">
        <f t="shared" si="84"/>
        <v>-- C717_疾患開始日</v>
      </c>
      <c r="U344" s="4" t="str">
        <f t="shared" si="68"/>
        <v>, CASE WHEN shikkan_disp_name = 'C717' THEN min_shikkan_start_date ::DATE ELSE NULL END AS shikkan331_start_date</v>
      </c>
      <c r="V344" s="25" t="str">
        <f t="shared" si="69"/>
        <v>, max(shikkan331_start_date)</v>
      </c>
      <c r="AA344" s="4"/>
      <c r="AB344" s="4"/>
      <c r="AC344" s="4"/>
      <c r="AD344" s="4"/>
      <c r="AE344" s="4"/>
      <c r="AF344" s="4"/>
      <c r="AG344" s="4"/>
      <c r="AH344" s="4"/>
      <c r="AI344" s="4"/>
      <c r="AJ344" s="76" t="str">
        <f>IF(E344="○",IF(COUNTA(E$13:E344)=1,"",",")&amp;D344,"")</f>
        <v/>
      </c>
      <c r="AK344" s="4"/>
      <c r="AL344" s="4"/>
      <c r="AM344" s="4"/>
      <c r="AN344" s="4"/>
      <c r="AO344" s="4"/>
      <c r="AP344" s="4"/>
      <c r="AQ344" s="4"/>
      <c r="AR344" s="4"/>
      <c r="AS344" s="76" t="str">
        <f>"COMMENT ON COLUMN "&amp;エンティティ一覧!$O$2&amp;"."&amp;D$8&amp;"."&amp;D344&amp;" IS '"&amp;C344&amp;"';"</f>
        <v>COMMENT ON COLUMN milscm_2023_009.sny_202310_annony_shikkan2.shikkan331_start_date IS 'C717_疾患開始日';</v>
      </c>
    </row>
    <row r="345" spans="1:45" s="25" customFormat="1">
      <c r="A345" s="4" t="s">
        <v>5475</v>
      </c>
      <c r="B345" s="21">
        <f t="shared" si="85"/>
        <v>333</v>
      </c>
      <c r="C345" s="13" t="str">
        <f t="shared" si="86"/>
        <v>C718_疾患開始日</v>
      </c>
      <c r="D345" s="13" t="s">
        <v>5992</v>
      </c>
      <c r="E345" s="8"/>
      <c r="F345" s="7" t="s">
        <v>4348</v>
      </c>
      <c r="G345" s="7" t="s">
        <v>25</v>
      </c>
      <c r="H345" s="58"/>
      <c r="I345" s="23"/>
      <c r="J345" s="24"/>
      <c r="M345" s="4"/>
      <c r="N345" s="76"/>
      <c r="O345" s="76"/>
      <c r="P345" s="76" t="str">
        <f t="shared" si="80"/>
        <v>,shikkan332_start_date</v>
      </c>
      <c r="Q345" s="76" t="str">
        <f t="shared" si="81"/>
        <v>DATE</v>
      </c>
      <c r="R345" s="76" t="str">
        <f t="shared" si="82"/>
        <v/>
      </c>
      <c r="S345" s="76" t="str">
        <f t="shared" si="83"/>
        <v/>
      </c>
      <c r="T345" s="76" t="str">
        <f t="shared" si="84"/>
        <v>-- C718_疾患開始日</v>
      </c>
      <c r="U345" s="4" t="str">
        <f t="shared" si="68"/>
        <v>, CASE WHEN shikkan_disp_name = 'C718' THEN min_shikkan_start_date ::DATE ELSE NULL END AS shikkan332_start_date</v>
      </c>
      <c r="V345" s="25" t="str">
        <f t="shared" si="69"/>
        <v>, max(shikkan332_start_date)</v>
      </c>
      <c r="AA345" s="4"/>
      <c r="AB345" s="4"/>
      <c r="AC345" s="4"/>
      <c r="AD345" s="4"/>
      <c r="AE345" s="4"/>
      <c r="AF345" s="4"/>
      <c r="AG345" s="4"/>
      <c r="AH345" s="4"/>
      <c r="AI345" s="4"/>
      <c r="AJ345" s="76" t="str">
        <f>IF(E345="○",IF(COUNTA(E$13:E345)=1,"",",")&amp;D345,"")</f>
        <v/>
      </c>
      <c r="AK345" s="4"/>
      <c r="AL345" s="4"/>
      <c r="AM345" s="4"/>
      <c r="AN345" s="4"/>
      <c r="AO345" s="4"/>
      <c r="AP345" s="4"/>
      <c r="AQ345" s="4"/>
      <c r="AR345" s="4"/>
      <c r="AS345" s="76" t="str">
        <f>"COMMENT ON COLUMN "&amp;エンティティ一覧!$O$2&amp;"."&amp;D$8&amp;"."&amp;D345&amp;" IS '"&amp;C345&amp;"';"</f>
        <v>COMMENT ON COLUMN milscm_2023_009.sny_202310_annony_shikkan2.shikkan332_start_date IS 'C718_疾患開始日';</v>
      </c>
    </row>
    <row r="346" spans="1:45" s="25" customFormat="1">
      <c r="A346" s="4" t="s">
        <v>5476</v>
      </c>
      <c r="B346" s="21">
        <f t="shared" si="85"/>
        <v>334</v>
      </c>
      <c r="C346" s="13" t="str">
        <f t="shared" si="86"/>
        <v>C719_疾患開始日</v>
      </c>
      <c r="D346" s="13" t="s">
        <v>5993</v>
      </c>
      <c r="E346" s="8"/>
      <c r="F346" s="7" t="s">
        <v>4348</v>
      </c>
      <c r="G346" s="7" t="s">
        <v>25</v>
      </c>
      <c r="H346" s="58"/>
      <c r="I346" s="23"/>
      <c r="J346" s="24"/>
      <c r="M346" s="4"/>
      <c r="N346" s="76"/>
      <c r="O346" s="76"/>
      <c r="P346" s="76" t="str">
        <f t="shared" si="80"/>
        <v>,shikkan333_start_date</v>
      </c>
      <c r="Q346" s="76" t="str">
        <f t="shared" si="81"/>
        <v>DATE</v>
      </c>
      <c r="R346" s="76" t="str">
        <f t="shared" si="82"/>
        <v/>
      </c>
      <c r="S346" s="76" t="str">
        <f t="shared" si="83"/>
        <v/>
      </c>
      <c r="T346" s="76" t="str">
        <f t="shared" si="84"/>
        <v>-- C719_疾患開始日</v>
      </c>
      <c r="U346" s="4" t="str">
        <f t="shared" si="68"/>
        <v>, CASE WHEN shikkan_disp_name = 'C719' THEN min_shikkan_start_date ::DATE ELSE NULL END AS shikkan333_start_date</v>
      </c>
      <c r="V346" s="25" t="str">
        <f t="shared" si="69"/>
        <v>, max(shikkan333_start_date)</v>
      </c>
      <c r="AA346" s="4"/>
      <c r="AB346" s="4"/>
      <c r="AC346" s="4"/>
      <c r="AD346" s="4"/>
      <c r="AE346" s="4"/>
      <c r="AF346" s="4"/>
      <c r="AG346" s="4"/>
      <c r="AH346" s="4"/>
      <c r="AI346" s="4"/>
      <c r="AJ346" s="76" t="str">
        <f>IF(E346="○",IF(COUNTA(E$13:E346)=1,"",",")&amp;D346,"")</f>
        <v/>
      </c>
      <c r="AK346" s="4"/>
      <c r="AL346" s="4"/>
      <c r="AM346" s="4"/>
      <c r="AN346" s="4"/>
      <c r="AO346" s="4"/>
      <c r="AP346" s="4"/>
      <c r="AQ346" s="4"/>
      <c r="AR346" s="4"/>
      <c r="AS346" s="76" t="str">
        <f>"COMMENT ON COLUMN "&amp;エンティティ一覧!$O$2&amp;"."&amp;D$8&amp;"."&amp;D346&amp;" IS '"&amp;C346&amp;"';"</f>
        <v>COMMENT ON COLUMN milscm_2023_009.sny_202310_annony_shikkan2.shikkan333_start_date IS 'C719_疾患開始日';</v>
      </c>
    </row>
    <row r="347" spans="1:45" s="25" customFormat="1">
      <c r="A347" s="4" t="s">
        <v>5477</v>
      </c>
      <c r="B347" s="21">
        <f t="shared" si="85"/>
        <v>335</v>
      </c>
      <c r="C347" s="13" t="str">
        <f t="shared" si="86"/>
        <v>C720_疾患開始日</v>
      </c>
      <c r="D347" s="13" t="s">
        <v>5994</v>
      </c>
      <c r="E347" s="8"/>
      <c r="F347" s="7" t="s">
        <v>4348</v>
      </c>
      <c r="G347" s="7" t="s">
        <v>25</v>
      </c>
      <c r="H347" s="58"/>
      <c r="I347" s="23"/>
      <c r="J347" s="24"/>
      <c r="M347" s="4"/>
      <c r="N347" s="76"/>
      <c r="O347" s="76"/>
      <c r="P347" s="76" t="str">
        <f t="shared" si="80"/>
        <v>,shikkan334_start_date</v>
      </c>
      <c r="Q347" s="76" t="str">
        <f t="shared" si="81"/>
        <v>DATE</v>
      </c>
      <c r="R347" s="76" t="str">
        <f t="shared" si="82"/>
        <v/>
      </c>
      <c r="S347" s="76" t="str">
        <f t="shared" si="83"/>
        <v/>
      </c>
      <c r="T347" s="76" t="str">
        <f t="shared" si="84"/>
        <v>-- C720_疾患開始日</v>
      </c>
      <c r="U347" s="4" t="str">
        <f t="shared" si="68"/>
        <v>, CASE WHEN shikkan_disp_name = 'C720' THEN min_shikkan_start_date ::DATE ELSE NULL END AS shikkan334_start_date</v>
      </c>
      <c r="V347" s="25" t="str">
        <f t="shared" si="69"/>
        <v>, max(shikkan334_start_date)</v>
      </c>
      <c r="AA347" s="4"/>
      <c r="AB347" s="4"/>
      <c r="AC347" s="4"/>
      <c r="AD347" s="4"/>
      <c r="AE347" s="4"/>
      <c r="AF347" s="4"/>
      <c r="AG347" s="4"/>
      <c r="AH347" s="4"/>
      <c r="AI347" s="4"/>
      <c r="AJ347" s="76" t="str">
        <f>IF(E347="○",IF(COUNTA(E$13:E347)=1,"",",")&amp;D347,"")</f>
        <v/>
      </c>
      <c r="AK347" s="4"/>
      <c r="AL347" s="4"/>
      <c r="AM347" s="4"/>
      <c r="AN347" s="4"/>
      <c r="AO347" s="4"/>
      <c r="AP347" s="4"/>
      <c r="AQ347" s="4"/>
      <c r="AR347" s="4"/>
      <c r="AS347" s="76" t="str">
        <f>"COMMENT ON COLUMN "&amp;エンティティ一覧!$O$2&amp;"."&amp;D$8&amp;"."&amp;D347&amp;" IS '"&amp;C347&amp;"';"</f>
        <v>COMMENT ON COLUMN milscm_2023_009.sny_202310_annony_shikkan2.shikkan334_start_date IS 'C720_疾患開始日';</v>
      </c>
    </row>
    <row r="348" spans="1:45" s="25" customFormat="1">
      <c r="A348" s="4" t="s">
        <v>5478</v>
      </c>
      <c r="B348" s="21">
        <f t="shared" si="85"/>
        <v>336</v>
      </c>
      <c r="C348" s="13" t="str">
        <f t="shared" si="86"/>
        <v>C721_疾患開始日</v>
      </c>
      <c r="D348" s="13" t="s">
        <v>5995</v>
      </c>
      <c r="E348" s="8"/>
      <c r="F348" s="7" t="s">
        <v>4348</v>
      </c>
      <c r="G348" s="7" t="s">
        <v>25</v>
      </c>
      <c r="H348" s="58"/>
      <c r="I348" s="23"/>
      <c r="J348" s="24"/>
      <c r="M348" s="4"/>
      <c r="N348" s="76"/>
      <c r="O348" s="76"/>
      <c r="P348" s="76" t="str">
        <f t="shared" si="80"/>
        <v>,shikkan335_start_date</v>
      </c>
      <c r="Q348" s="76" t="str">
        <f t="shared" si="81"/>
        <v>DATE</v>
      </c>
      <c r="R348" s="76" t="str">
        <f t="shared" si="82"/>
        <v/>
      </c>
      <c r="S348" s="76" t="str">
        <f t="shared" si="83"/>
        <v/>
      </c>
      <c r="T348" s="76" t="str">
        <f t="shared" si="84"/>
        <v>-- C721_疾患開始日</v>
      </c>
      <c r="U348" s="4" t="str">
        <f t="shared" si="68"/>
        <v>, CASE WHEN shikkan_disp_name = 'C721' THEN min_shikkan_start_date ::DATE ELSE NULL END AS shikkan335_start_date</v>
      </c>
      <c r="V348" s="25" t="str">
        <f t="shared" si="69"/>
        <v>, max(shikkan335_start_date)</v>
      </c>
      <c r="AA348" s="4"/>
      <c r="AB348" s="4"/>
      <c r="AC348" s="4"/>
      <c r="AD348" s="4"/>
      <c r="AE348" s="4"/>
      <c r="AF348" s="4"/>
      <c r="AG348" s="4"/>
      <c r="AH348" s="4"/>
      <c r="AI348" s="4"/>
      <c r="AJ348" s="76" t="str">
        <f>IF(E348="○",IF(COUNTA(E$13:E348)=1,"",",")&amp;D348,"")</f>
        <v/>
      </c>
      <c r="AK348" s="4"/>
      <c r="AL348" s="4"/>
      <c r="AM348" s="4"/>
      <c r="AN348" s="4"/>
      <c r="AO348" s="4"/>
      <c r="AP348" s="4"/>
      <c r="AQ348" s="4"/>
      <c r="AR348" s="4"/>
      <c r="AS348" s="76" t="str">
        <f>"COMMENT ON COLUMN "&amp;エンティティ一覧!$O$2&amp;"."&amp;D$8&amp;"."&amp;D348&amp;" IS '"&amp;C348&amp;"';"</f>
        <v>COMMENT ON COLUMN milscm_2023_009.sny_202310_annony_shikkan2.shikkan335_start_date IS 'C721_疾患開始日';</v>
      </c>
    </row>
    <row r="349" spans="1:45" s="25" customFormat="1">
      <c r="A349" s="4" t="s">
        <v>5479</v>
      </c>
      <c r="B349" s="21">
        <f t="shared" si="85"/>
        <v>337</v>
      </c>
      <c r="C349" s="13" t="str">
        <f t="shared" si="86"/>
        <v>C722_疾患開始日</v>
      </c>
      <c r="D349" s="13" t="s">
        <v>5996</v>
      </c>
      <c r="E349" s="8"/>
      <c r="F349" s="7" t="s">
        <v>4348</v>
      </c>
      <c r="G349" s="7" t="s">
        <v>99</v>
      </c>
      <c r="H349" s="58"/>
      <c r="I349" s="23"/>
      <c r="J349" s="24"/>
      <c r="M349" s="4"/>
      <c r="N349" s="76"/>
      <c r="O349" s="76"/>
      <c r="P349" s="76" t="str">
        <f t="shared" si="80"/>
        <v>,shikkan336_start_date</v>
      </c>
      <c r="Q349" s="76" t="str">
        <f t="shared" si="81"/>
        <v>DATE</v>
      </c>
      <c r="R349" s="76" t="str">
        <f t="shared" si="82"/>
        <v/>
      </c>
      <c r="S349" s="76" t="str">
        <f t="shared" si="83"/>
        <v/>
      </c>
      <c r="T349" s="76" t="str">
        <f t="shared" si="84"/>
        <v>-- C722_疾患開始日</v>
      </c>
      <c r="U349" s="4" t="str">
        <f t="shared" si="68"/>
        <v>, CASE WHEN shikkan_disp_name = 'C722' THEN min_shikkan_start_date ::DATE ELSE NULL END AS shikkan336_start_date</v>
      </c>
      <c r="V349" s="25" t="str">
        <f t="shared" si="69"/>
        <v>, max(shikkan336_start_date)</v>
      </c>
      <c r="AA349" s="4"/>
      <c r="AB349" s="4"/>
      <c r="AC349" s="4"/>
      <c r="AD349" s="4"/>
      <c r="AE349" s="4"/>
      <c r="AF349" s="4"/>
      <c r="AG349" s="4"/>
      <c r="AH349" s="4"/>
      <c r="AI349" s="4"/>
      <c r="AJ349" s="76" t="str">
        <f>IF(E349="○",IF(COUNTA(E$13:E349)=1,"",",")&amp;D349,"")</f>
        <v/>
      </c>
      <c r="AK349" s="4"/>
      <c r="AL349" s="4"/>
      <c r="AM349" s="4"/>
      <c r="AN349" s="4"/>
      <c r="AO349" s="4"/>
      <c r="AP349" s="4"/>
      <c r="AQ349" s="4"/>
      <c r="AR349" s="4"/>
      <c r="AS349" s="76" t="str">
        <f>"COMMENT ON COLUMN "&amp;エンティティ一覧!$O$2&amp;"."&amp;D$8&amp;"."&amp;D349&amp;" IS '"&amp;C349&amp;"';"</f>
        <v>COMMENT ON COLUMN milscm_2023_009.sny_202310_annony_shikkan2.shikkan336_start_date IS 'C722_疾患開始日';</v>
      </c>
    </row>
    <row r="350" spans="1:45" s="25" customFormat="1">
      <c r="A350" s="4" t="s">
        <v>5480</v>
      </c>
      <c r="B350" s="21">
        <f t="shared" si="85"/>
        <v>338</v>
      </c>
      <c r="C350" s="13" t="str">
        <f t="shared" si="86"/>
        <v>C723_疾患開始日</v>
      </c>
      <c r="D350" s="13" t="s">
        <v>5997</v>
      </c>
      <c r="E350" s="8"/>
      <c r="F350" s="7" t="s">
        <v>4348</v>
      </c>
      <c r="G350" s="7" t="s">
        <v>25</v>
      </c>
      <c r="H350" s="58"/>
      <c r="I350" s="23"/>
      <c r="J350" s="24"/>
      <c r="M350" s="4"/>
      <c r="N350" s="76"/>
      <c r="O350" s="76"/>
      <c r="P350" s="76" t="str">
        <f t="shared" si="80"/>
        <v>,shikkan337_start_date</v>
      </c>
      <c r="Q350" s="76" t="str">
        <f t="shared" si="81"/>
        <v>DATE</v>
      </c>
      <c r="R350" s="76" t="str">
        <f t="shared" si="82"/>
        <v/>
      </c>
      <c r="S350" s="76" t="str">
        <f t="shared" si="83"/>
        <v/>
      </c>
      <c r="T350" s="76" t="str">
        <f t="shared" si="84"/>
        <v>-- C723_疾患開始日</v>
      </c>
      <c r="U350" s="4" t="str">
        <f t="shared" si="68"/>
        <v>, CASE WHEN shikkan_disp_name = 'C723' THEN min_shikkan_start_date ::DATE ELSE NULL END AS shikkan337_start_date</v>
      </c>
      <c r="V350" s="25" t="str">
        <f t="shared" si="69"/>
        <v>, max(shikkan337_start_date)</v>
      </c>
      <c r="AA350" s="4"/>
      <c r="AB350" s="4"/>
      <c r="AC350" s="4"/>
      <c r="AD350" s="4"/>
      <c r="AE350" s="4"/>
      <c r="AF350" s="4"/>
      <c r="AG350" s="4"/>
      <c r="AH350" s="4"/>
      <c r="AI350" s="4"/>
      <c r="AJ350" s="76" t="str">
        <f>IF(E350="○",IF(COUNTA(E$13:E350)=1,"",",")&amp;D350,"")</f>
        <v/>
      </c>
      <c r="AK350" s="4"/>
      <c r="AL350" s="4"/>
      <c r="AM350" s="4"/>
      <c r="AN350" s="4"/>
      <c r="AO350" s="4"/>
      <c r="AP350" s="4"/>
      <c r="AQ350" s="4"/>
      <c r="AR350" s="4"/>
      <c r="AS350" s="76" t="str">
        <f>"COMMENT ON COLUMN "&amp;エンティティ一覧!$O$2&amp;"."&amp;D$8&amp;"."&amp;D350&amp;" IS '"&amp;C350&amp;"';"</f>
        <v>COMMENT ON COLUMN milscm_2023_009.sny_202310_annony_shikkan2.shikkan337_start_date IS 'C723_疾患開始日';</v>
      </c>
    </row>
    <row r="351" spans="1:45" s="25" customFormat="1">
      <c r="A351" s="4" t="s">
        <v>5481</v>
      </c>
      <c r="B351" s="21">
        <f t="shared" si="85"/>
        <v>339</v>
      </c>
      <c r="C351" s="13" t="str">
        <f t="shared" si="86"/>
        <v>C724_疾患開始日</v>
      </c>
      <c r="D351" s="13" t="s">
        <v>5998</v>
      </c>
      <c r="E351" s="8"/>
      <c r="F351" s="7" t="s">
        <v>4348</v>
      </c>
      <c r="G351" s="7" t="s">
        <v>25</v>
      </c>
      <c r="H351" s="58"/>
      <c r="I351" s="23"/>
      <c r="J351" s="24"/>
      <c r="M351" s="4"/>
      <c r="N351" s="76"/>
      <c r="O351" s="76"/>
      <c r="P351" s="76" t="str">
        <f t="shared" si="80"/>
        <v>,shikkan338_start_date</v>
      </c>
      <c r="Q351" s="76" t="str">
        <f t="shared" si="81"/>
        <v>DATE</v>
      </c>
      <c r="R351" s="76" t="str">
        <f t="shared" si="82"/>
        <v/>
      </c>
      <c r="S351" s="76" t="str">
        <f t="shared" si="83"/>
        <v/>
      </c>
      <c r="T351" s="76" t="str">
        <f t="shared" si="84"/>
        <v>-- C724_疾患開始日</v>
      </c>
      <c r="U351" s="4" t="str">
        <f t="shared" si="68"/>
        <v>, CASE WHEN shikkan_disp_name = 'C724' THEN min_shikkan_start_date ::DATE ELSE NULL END AS shikkan338_start_date</v>
      </c>
      <c r="V351" s="25" t="str">
        <f t="shared" si="69"/>
        <v>, max(shikkan338_start_date)</v>
      </c>
      <c r="AA351" s="4"/>
      <c r="AB351" s="4"/>
      <c r="AC351" s="4"/>
      <c r="AD351" s="4"/>
      <c r="AE351" s="4"/>
      <c r="AF351" s="4"/>
      <c r="AG351" s="4"/>
      <c r="AH351" s="4"/>
      <c r="AI351" s="4"/>
      <c r="AJ351" s="76" t="str">
        <f>IF(E351="○",IF(COUNTA(E$13:E351)=1,"",",")&amp;D351,"")</f>
        <v/>
      </c>
      <c r="AK351" s="4"/>
      <c r="AL351" s="4"/>
      <c r="AM351" s="4"/>
      <c r="AN351" s="4"/>
      <c r="AO351" s="4"/>
      <c r="AP351" s="4"/>
      <c r="AQ351" s="4"/>
      <c r="AR351" s="4"/>
      <c r="AS351" s="76" t="str">
        <f>"COMMENT ON COLUMN "&amp;エンティティ一覧!$O$2&amp;"."&amp;D$8&amp;"."&amp;D351&amp;" IS '"&amp;C351&amp;"';"</f>
        <v>COMMENT ON COLUMN milscm_2023_009.sny_202310_annony_shikkan2.shikkan338_start_date IS 'C724_疾患開始日';</v>
      </c>
    </row>
    <row r="352" spans="1:45" s="25" customFormat="1">
      <c r="A352" s="4" t="s">
        <v>5482</v>
      </c>
      <c r="B352" s="21">
        <f t="shared" si="85"/>
        <v>340</v>
      </c>
      <c r="C352" s="13" t="str">
        <f t="shared" si="86"/>
        <v>C725_疾患開始日</v>
      </c>
      <c r="D352" s="13" t="s">
        <v>5999</v>
      </c>
      <c r="E352" s="8"/>
      <c r="F352" s="7" t="s">
        <v>4348</v>
      </c>
      <c r="G352" s="7" t="s">
        <v>25</v>
      </c>
      <c r="H352" s="58"/>
      <c r="I352" s="23"/>
      <c r="J352" s="24"/>
      <c r="M352" s="4"/>
      <c r="N352" s="76"/>
      <c r="O352" s="76"/>
      <c r="P352" s="76" t="str">
        <f t="shared" si="80"/>
        <v>,shikkan339_start_date</v>
      </c>
      <c r="Q352" s="76" t="str">
        <f t="shared" si="81"/>
        <v>DATE</v>
      </c>
      <c r="R352" s="76" t="str">
        <f t="shared" si="82"/>
        <v/>
      </c>
      <c r="S352" s="76" t="str">
        <f t="shared" si="83"/>
        <v/>
      </c>
      <c r="T352" s="76" t="str">
        <f t="shared" si="84"/>
        <v>-- C725_疾患開始日</v>
      </c>
      <c r="U352" s="4" t="str">
        <f t="shared" si="68"/>
        <v>, CASE WHEN shikkan_disp_name = 'C725' THEN min_shikkan_start_date ::DATE ELSE NULL END AS shikkan339_start_date</v>
      </c>
      <c r="V352" s="25" t="str">
        <f t="shared" si="69"/>
        <v>, max(shikkan339_start_date)</v>
      </c>
      <c r="AA352" s="4"/>
      <c r="AB352" s="4"/>
      <c r="AC352" s="4"/>
      <c r="AD352" s="4"/>
      <c r="AE352" s="4"/>
      <c r="AF352" s="4"/>
      <c r="AG352" s="4"/>
      <c r="AH352" s="4"/>
      <c r="AI352" s="4"/>
      <c r="AJ352" s="76" t="str">
        <f>IF(E352="○",IF(COUNTA(E$13:E352)=1,"",",")&amp;D352,"")</f>
        <v/>
      </c>
      <c r="AK352" s="4"/>
      <c r="AL352" s="4"/>
      <c r="AM352" s="4"/>
      <c r="AN352" s="4"/>
      <c r="AO352" s="4"/>
      <c r="AP352" s="4"/>
      <c r="AQ352" s="4"/>
      <c r="AR352" s="4"/>
      <c r="AS352" s="76" t="str">
        <f>"COMMENT ON COLUMN "&amp;エンティティ一覧!$O$2&amp;"."&amp;D$8&amp;"."&amp;D352&amp;" IS '"&amp;C352&amp;"';"</f>
        <v>COMMENT ON COLUMN milscm_2023_009.sny_202310_annony_shikkan2.shikkan339_start_date IS 'C725_疾患開始日';</v>
      </c>
    </row>
    <row r="353" spans="1:45" s="25" customFormat="1">
      <c r="A353" s="4" t="s">
        <v>5483</v>
      </c>
      <c r="B353" s="21">
        <f t="shared" si="85"/>
        <v>341</v>
      </c>
      <c r="C353" s="13" t="str">
        <f t="shared" si="86"/>
        <v>C728_疾患開始日</v>
      </c>
      <c r="D353" s="13" t="s">
        <v>6000</v>
      </c>
      <c r="E353" s="8"/>
      <c r="F353" s="7" t="s">
        <v>4348</v>
      </c>
      <c r="G353" s="7" t="s">
        <v>25</v>
      </c>
      <c r="H353" s="58"/>
      <c r="I353" s="23"/>
      <c r="J353" s="24"/>
      <c r="M353" s="4"/>
      <c r="N353" s="76"/>
      <c r="O353" s="76"/>
      <c r="P353" s="76" t="str">
        <f t="shared" si="80"/>
        <v>,shikkan340_start_date</v>
      </c>
      <c r="Q353" s="76" t="str">
        <f t="shared" si="81"/>
        <v>DATE</v>
      </c>
      <c r="R353" s="76" t="str">
        <f t="shared" si="82"/>
        <v/>
      </c>
      <c r="S353" s="76" t="str">
        <f t="shared" si="83"/>
        <v/>
      </c>
      <c r="T353" s="76" t="str">
        <f t="shared" si="84"/>
        <v>-- C728_疾患開始日</v>
      </c>
      <c r="U353" s="4" t="str">
        <f t="shared" si="68"/>
        <v>, CASE WHEN shikkan_disp_name = 'C728' THEN min_shikkan_start_date ::DATE ELSE NULL END AS shikkan340_start_date</v>
      </c>
      <c r="V353" s="25" t="str">
        <f t="shared" si="69"/>
        <v>, max(shikkan340_start_date)</v>
      </c>
      <c r="AA353" s="4"/>
      <c r="AB353" s="4"/>
      <c r="AC353" s="4"/>
      <c r="AD353" s="4"/>
      <c r="AE353" s="4"/>
      <c r="AF353" s="4"/>
      <c r="AG353" s="4"/>
      <c r="AH353" s="4"/>
      <c r="AI353" s="4"/>
      <c r="AJ353" s="76" t="str">
        <f>IF(E353="○",IF(COUNTA(E$13:E353)=1,"",",")&amp;D353,"")</f>
        <v/>
      </c>
      <c r="AK353" s="4"/>
      <c r="AL353" s="4"/>
      <c r="AM353" s="4"/>
      <c r="AN353" s="4"/>
      <c r="AO353" s="4"/>
      <c r="AP353" s="4"/>
      <c r="AQ353" s="4"/>
      <c r="AR353" s="4"/>
      <c r="AS353" s="76" t="str">
        <f>"COMMENT ON COLUMN "&amp;エンティティ一覧!$O$2&amp;"."&amp;D$8&amp;"."&amp;D353&amp;" IS '"&amp;C353&amp;"';"</f>
        <v>COMMENT ON COLUMN milscm_2023_009.sny_202310_annony_shikkan2.shikkan340_start_date IS 'C728_疾患開始日';</v>
      </c>
    </row>
    <row r="354" spans="1:45" s="25" customFormat="1">
      <c r="A354" s="4" t="s">
        <v>5484</v>
      </c>
      <c r="B354" s="21">
        <f t="shared" si="85"/>
        <v>342</v>
      </c>
      <c r="C354" s="13" t="str">
        <f t="shared" si="86"/>
        <v>C729_疾患開始日</v>
      </c>
      <c r="D354" s="13" t="s">
        <v>6001</v>
      </c>
      <c r="E354" s="8"/>
      <c r="F354" s="7" t="s">
        <v>4348</v>
      </c>
      <c r="G354" s="7" t="s">
        <v>25</v>
      </c>
      <c r="H354" s="58"/>
      <c r="I354" s="23"/>
      <c r="J354" s="24"/>
      <c r="M354" s="4"/>
      <c r="N354" s="76"/>
      <c r="O354" s="76"/>
      <c r="P354" s="76" t="str">
        <f t="shared" si="80"/>
        <v>,shikkan341_start_date</v>
      </c>
      <c r="Q354" s="76" t="str">
        <f t="shared" si="81"/>
        <v>DATE</v>
      </c>
      <c r="R354" s="76" t="str">
        <f t="shared" si="82"/>
        <v/>
      </c>
      <c r="S354" s="76" t="str">
        <f t="shared" si="83"/>
        <v/>
      </c>
      <c r="T354" s="76" t="str">
        <f t="shared" si="84"/>
        <v>-- C729_疾患開始日</v>
      </c>
      <c r="U354" s="4" t="str">
        <f t="shared" si="68"/>
        <v>, CASE WHEN shikkan_disp_name = 'C729' THEN min_shikkan_start_date ::DATE ELSE NULL END AS shikkan341_start_date</v>
      </c>
      <c r="V354" s="25" t="str">
        <f t="shared" si="69"/>
        <v>, max(shikkan341_start_date)</v>
      </c>
      <c r="AA354" s="4"/>
      <c r="AB354" s="4"/>
      <c r="AC354" s="4"/>
      <c r="AD354" s="4"/>
      <c r="AE354" s="4"/>
      <c r="AF354" s="4"/>
      <c r="AG354" s="4"/>
      <c r="AH354" s="4"/>
      <c r="AI354" s="4"/>
      <c r="AJ354" s="76" t="str">
        <f>IF(E354="○",IF(COUNTA(E$13:E354)=1,"",",")&amp;D354,"")</f>
        <v/>
      </c>
      <c r="AK354" s="4"/>
      <c r="AL354" s="4"/>
      <c r="AM354" s="4"/>
      <c r="AN354" s="4"/>
      <c r="AO354" s="4"/>
      <c r="AP354" s="4"/>
      <c r="AQ354" s="4"/>
      <c r="AR354" s="4"/>
      <c r="AS354" s="76" t="str">
        <f>"COMMENT ON COLUMN "&amp;エンティティ一覧!$O$2&amp;"."&amp;D$8&amp;"."&amp;D354&amp;" IS '"&amp;C354&amp;"';"</f>
        <v>COMMENT ON COLUMN milscm_2023_009.sny_202310_annony_shikkan2.shikkan341_start_date IS 'C729_疾患開始日';</v>
      </c>
    </row>
    <row r="355" spans="1:45" s="25" customFormat="1">
      <c r="A355" s="4" t="s">
        <v>5156</v>
      </c>
      <c r="B355" s="21">
        <f t="shared" si="85"/>
        <v>343</v>
      </c>
      <c r="C355" s="13" t="str">
        <f t="shared" si="86"/>
        <v>C73_疾患開始日</v>
      </c>
      <c r="D355" s="13" t="s">
        <v>6002</v>
      </c>
      <c r="E355" s="8"/>
      <c r="F355" s="7" t="s">
        <v>4348</v>
      </c>
      <c r="G355" s="7" t="s">
        <v>25</v>
      </c>
      <c r="H355" s="58"/>
      <c r="I355" s="23"/>
      <c r="J355" s="24"/>
      <c r="M355" s="4"/>
      <c r="N355" s="76"/>
      <c r="O355" s="76"/>
      <c r="P355" s="76" t="str">
        <f t="shared" si="80"/>
        <v>,shikkan342_start_date</v>
      </c>
      <c r="Q355" s="76" t="str">
        <f t="shared" si="81"/>
        <v>DATE</v>
      </c>
      <c r="R355" s="76" t="str">
        <f t="shared" si="82"/>
        <v/>
      </c>
      <c r="S355" s="76" t="str">
        <f t="shared" si="83"/>
        <v/>
      </c>
      <c r="T355" s="76" t="str">
        <f t="shared" si="84"/>
        <v>-- C73_疾患開始日</v>
      </c>
      <c r="U355" s="4" t="str">
        <f t="shared" si="68"/>
        <v>, CASE WHEN shikkan_disp_name = 'C73' THEN min_shikkan_start_date ::DATE ELSE NULL END AS shikkan342_start_date</v>
      </c>
      <c r="V355" s="25" t="str">
        <f t="shared" si="69"/>
        <v>, max(shikkan342_start_date)</v>
      </c>
      <c r="AA355" s="4"/>
      <c r="AB355" s="4"/>
      <c r="AC355" s="4"/>
      <c r="AD355" s="4"/>
      <c r="AE355" s="4"/>
      <c r="AF355" s="4"/>
      <c r="AG355" s="4"/>
      <c r="AH355" s="4"/>
      <c r="AI355" s="4"/>
      <c r="AJ355" s="76" t="str">
        <f>IF(E355="○",IF(COUNTA(E$13:E355)=1,"",",")&amp;D355,"")</f>
        <v/>
      </c>
      <c r="AK355" s="4"/>
      <c r="AL355" s="4"/>
      <c r="AM355" s="4"/>
      <c r="AN355" s="4"/>
      <c r="AO355" s="4"/>
      <c r="AP355" s="4"/>
      <c r="AQ355" s="4"/>
      <c r="AR355" s="4"/>
      <c r="AS355" s="76" t="str">
        <f>"COMMENT ON COLUMN "&amp;エンティティ一覧!$O$2&amp;"."&amp;D$8&amp;"."&amp;D355&amp;" IS '"&amp;C355&amp;"';"</f>
        <v>COMMENT ON COLUMN milscm_2023_009.sny_202310_annony_shikkan2.shikkan342_start_date IS 'C73_疾患開始日';</v>
      </c>
    </row>
    <row r="356" spans="1:45" s="25" customFormat="1">
      <c r="A356" s="4" t="s">
        <v>5485</v>
      </c>
      <c r="B356" s="21">
        <f t="shared" si="85"/>
        <v>344</v>
      </c>
      <c r="C356" s="13" t="str">
        <f t="shared" si="86"/>
        <v>C740_疾患開始日</v>
      </c>
      <c r="D356" s="13" t="s">
        <v>6003</v>
      </c>
      <c r="E356" s="8"/>
      <c r="F356" s="7" t="s">
        <v>4348</v>
      </c>
      <c r="G356" s="7" t="s">
        <v>25</v>
      </c>
      <c r="H356" s="58"/>
      <c r="I356" s="23"/>
      <c r="J356" s="24"/>
      <c r="M356" s="4"/>
      <c r="N356" s="76"/>
      <c r="O356" s="76"/>
      <c r="P356" s="76" t="str">
        <f t="shared" si="80"/>
        <v>,shikkan343_start_date</v>
      </c>
      <c r="Q356" s="76" t="str">
        <f t="shared" si="81"/>
        <v>DATE</v>
      </c>
      <c r="R356" s="76" t="str">
        <f t="shared" si="82"/>
        <v/>
      </c>
      <c r="S356" s="76" t="str">
        <f t="shared" si="83"/>
        <v/>
      </c>
      <c r="T356" s="76" t="str">
        <f t="shared" si="84"/>
        <v>-- C740_疾患開始日</v>
      </c>
      <c r="U356" s="4" t="str">
        <f t="shared" si="68"/>
        <v>, CASE WHEN shikkan_disp_name = 'C740' THEN min_shikkan_start_date ::DATE ELSE NULL END AS shikkan343_start_date</v>
      </c>
      <c r="V356" s="25" t="str">
        <f t="shared" si="69"/>
        <v>, max(shikkan343_start_date)</v>
      </c>
      <c r="AA356" s="4"/>
      <c r="AB356" s="4"/>
      <c r="AC356" s="4"/>
      <c r="AD356" s="4"/>
      <c r="AE356" s="4"/>
      <c r="AF356" s="4"/>
      <c r="AG356" s="4"/>
      <c r="AH356" s="4"/>
      <c r="AI356" s="4"/>
      <c r="AJ356" s="76" t="str">
        <f>IF(E356="○",IF(COUNTA(E$13:E356)=1,"",",")&amp;D356,"")</f>
        <v/>
      </c>
      <c r="AK356" s="4"/>
      <c r="AL356" s="4"/>
      <c r="AM356" s="4"/>
      <c r="AN356" s="4"/>
      <c r="AO356" s="4"/>
      <c r="AP356" s="4"/>
      <c r="AQ356" s="4"/>
      <c r="AR356" s="4"/>
      <c r="AS356" s="76" t="str">
        <f>"COMMENT ON COLUMN "&amp;エンティティ一覧!$O$2&amp;"."&amp;D$8&amp;"."&amp;D356&amp;" IS '"&amp;C356&amp;"';"</f>
        <v>COMMENT ON COLUMN milscm_2023_009.sny_202310_annony_shikkan2.shikkan343_start_date IS 'C740_疾患開始日';</v>
      </c>
    </row>
    <row r="357" spans="1:45" s="25" customFormat="1">
      <c r="A357" s="4" t="s">
        <v>5486</v>
      </c>
      <c r="B357" s="21">
        <f t="shared" si="85"/>
        <v>345</v>
      </c>
      <c r="C357" s="13" t="str">
        <f t="shared" si="86"/>
        <v>C741_疾患開始日</v>
      </c>
      <c r="D357" s="13" t="s">
        <v>6004</v>
      </c>
      <c r="E357" s="8"/>
      <c r="F357" s="7" t="s">
        <v>4348</v>
      </c>
      <c r="G357" s="7" t="s">
        <v>25</v>
      </c>
      <c r="H357" s="58"/>
      <c r="I357" s="23"/>
      <c r="J357" s="24"/>
      <c r="M357" s="4"/>
      <c r="N357" s="76"/>
      <c r="O357" s="76"/>
      <c r="P357" s="76" t="str">
        <f t="shared" si="80"/>
        <v>,shikkan344_start_date</v>
      </c>
      <c r="Q357" s="76" t="str">
        <f t="shared" si="81"/>
        <v>DATE</v>
      </c>
      <c r="R357" s="76" t="str">
        <f t="shared" si="82"/>
        <v/>
      </c>
      <c r="S357" s="76" t="str">
        <f t="shared" si="83"/>
        <v/>
      </c>
      <c r="T357" s="76" t="str">
        <f t="shared" si="84"/>
        <v>-- C741_疾患開始日</v>
      </c>
      <c r="U357" s="4" t="str">
        <f t="shared" si="68"/>
        <v>, CASE WHEN shikkan_disp_name = 'C741' THEN min_shikkan_start_date ::DATE ELSE NULL END AS shikkan344_start_date</v>
      </c>
      <c r="V357" s="25" t="str">
        <f t="shared" si="69"/>
        <v>, max(shikkan344_start_date)</v>
      </c>
      <c r="AA357" s="4"/>
      <c r="AB357" s="4"/>
      <c r="AC357" s="4"/>
      <c r="AD357" s="4"/>
      <c r="AE357" s="4"/>
      <c r="AF357" s="4"/>
      <c r="AG357" s="4"/>
      <c r="AH357" s="4"/>
      <c r="AI357" s="4"/>
      <c r="AJ357" s="76" t="str">
        <f>IF(E357="○",IF(COUNTA(E$13:E357)=1,"",",")&amp;D357,"")</f>
        <v/>
      </c>
      <c r="AK357" s="4"/>
      <c r="AL357" s="4"/>
      <c r="AM357" s="4"/>
      <c r="AN357" s="4"/>
      <c r="AO357" s="4"/>
      <c r="AP357" s="4"/>
      <c r="AQ357" s="4"/>
      <c r="AR357" s="4"/>
      <c r="AS357" s="76" t="str">
        <f>"COMMENT ON COLUMN "&amp;エンティティ一覧!$O$2&amp;"."&amp;D$8&amp;"."&amp;D357&amp;" IS '"&amp;C357&amp;"';"</f>
        <v>COMMENT ON COLUMN milscm_2023_009.sny_202310_annony_shikkan2.shikkan344_start_date IS 'C741_疾患開始日';</v>
      </c>
    </row>
    <row r="358" spans="1:45" s="25" customFormat="1">
      <c r="A358" s="4" t="s">
        <v>5487</v>
      </c>
      <c r="B358" s="21">
        <f t="shared" si="85"/>
        <v>346</v>
      </c>
      <c r="C358" s="13" t="str">
        <f t="shared" si="86"/>
        <v>C749_疾患開始日</v>
      </c>
      <c r="D358" s="13" t="s">
        <v>6005</v>
      </c>
      <c r="E358" s="8"/>
      <c r="F358" s="7" t="s">
        <v>4348</v>
      </c>
      <c r="G358" s="7" t="s">
        <v>25</v>
      </c>
      <c r="H358" s="58"/>
      <c r="I358" s="23"/>
      <c r="J358" s="24"/>
      <c r="M358" s="4"/>
      <c r="N358" s="76"/>
      <c r="O358" s="76"/>
      <c r="P358" s="76" t="str">
        <f t="shared" ref="P358:P421" si="87">IF(B358&lt;&gt;1,","&amp;D358,D358)</f>
        <v>,shikkan345_start_date</v>
      </c>
      <c r="Q358" s="76" t="str">
        <f t="shared" ref="Q358:Q421" si="88">UPPER(G358)</f>
        <v>DATE</v>
      </c>
      <c r="R358" s="76" t="str">
        <f t="shared" ref="R358:R421" si="89">IF(H358&lt;&gt;"","default "&amp;IF(G358="text","'"&amp;H358&amp;"'",H358),"")</f>
        <v/>
      </c>
      <c r="S358" s="76" t="str">
        <f t="shared" ref="S358:S421" si="90">IF(I358="○","NOT NULL","")</f>
        <v/>
      </c>
      <c r="T358" s="76" t="str">
        <f t="shared" ref="T358:T421" si="91">"-- "&amp;C358</f>
        <v>-- C749_疾患開始日</v>
      </c>
      <c r="U358" s="4" t="str">
        <f t="shared" si="68"/>
        <v>, CASE WHEN shikkan_disp_name = 'C749' THEN min_shikkan_start_date ::DATE ELSE NULL END AS shikkan345_start_date</v>
      </c>
      <c r="V358" s="25" t="str">
        <f t="shared" si="69"/>
        <v>, max(shikkan345_start_date)</v>
      </c>
      <c r="AA358" s="4"/>
      <c r="AB358" s="4"/>
      <c r="AC358" s="4"/>
      <c r="AD358" s="4"/>
      <c r="AE358" s="4"/>
      <c r="AF358" s="4"/>
      <c r="AG358" s="4"/>
      <c r="AH358" s="4"/>
      <c r="AI358" s="4"/>
      <c r="AJ358" s="76" t="str">
        <f>IF(E358="○",IF(COUNTA(E$13:E358)=1,"",",")&amp;D358,"")</f>
        <v/>
      </c>
      <c r="AK358" s="4"/>
      <c r="AL358" s="4"/>
      <c r="AM358" s="4"/>
      <c r="AN358" s="4"/>
      <c r="AO358" s="4"/>
      <c r="AP358" s="4"/>
      <c r="AQ358" s="4"/>
      <c r="AR358" s="4"/>
      <c r="AS358" s="76" t="str">
        <f>"COMMENT ON COLUMN "&amp;エンティティ一覧!$O$2&amp;"."&amp;D$8&amp;"."&amp;D358&amp;" IS '"&amp;C358&amp;"';"</f>
        <v>COMMENT ON COLUMN milscm_2023_009.sny_202310_annony_shikkan2.shikkan345_start_date IS 'C749_疾患開始日';</v>
      </c>
    </row>
    <row r="359" spans="1:45" s="25" customFormat="1">
      <c r="A359" s="4" t="s">
        <v>5488</v>
      </c>
      <c r="B359" s="21">
        <f t="shared" si="85"/>
        <v>347</v>
      </c>
      <c r="C359" s="13" t="str">
        <f t="shared" si="86"/>
        <v>C750_疾患開始日</v>
      </c>
      <c r="D359" s="13" t="s">
        <v>6006</v>
      </c>
      <c r="E359" s="8"/>
      <c r="F359" s="7" t="s">
        <v>4348</v>
      </c>
      <c r="G359" s="7" t="s">
        <v>25</v>
      </c>
      <c r="H359" s="58"/>
      <c r="I359" s="23"/>
      <c r="J359" s="24"/>
      <c r="M359" s="4"/>
      <c r="N359" s="76"/>
      <c r="O359" s="76"/>
      <c r="P359" s="76" t="str">
        <f t="shared" si="87"/>
        <v>,shikkan346_start_date</v>
      </c>
      <c r="Q359" s="76" t="str">
        <f t="shared" si="88"/>
        <v>DATE</v>
      </c>
      <c r="R359" s="76" t="str">
        <f t="shared" si="89"/>
        <v/>
      </c>
      <c r="S359" s="76" t="str">
        <f t="shared" si="90"/>
        <v/>
      </c>
      <c r="T359" s="76" t="str">
        <f t="shared" si="91"/>
        <v>-- C750_疾患開始日</v>
      </c>
      <c r="U359" s="4" t="str">
        <f t="shared" si="68"/>
        <v>, CASE WHEN shikkan_disp_name = 'C750' THEN min_shikkan_start_date ::DATE ELSE NULL END AS shikkan346_start_date</v>
      </c>
      <c r="V359" s="25" t="str">
        <f t="shared" si="69"/>
        <v>, max(shikkan346_start_date)</v>
      </c>
      <c r="AA359" s="4"/>
      <c r="AB359" s="4"/>
      <c r="AC359" s="4"/>
      <c r="AD359" s="4"/>
      <c r="AE359" s="4"/>
      <c r="AF359" s="4"/>
      <c r="AG359" s="4"/>
      <c r="AH359" s="4"/>
      <c r="AI359" s="4"/>
      <c r="AJ359" s="76" t="str">
        <f>IF(E359="○",IF(COUNTA(E$13:E359)=1,"",",")&amp;D359,"")</f>
        <v/>
      </c>
      <c r="AK359" s="4"/>
      <c r="AL359" s="4"/>
      <c r="AM359" s="4"/>
      <c r="AN359" s="4"/>
      <c r="AO359" s="4"/>
      <c r="AP359" s="4"/>
      <c r="AQ359" s="4"/>
      <c r="AR359" s="4"/>
      <c r="AS359" s="76" t="str">
        <f>"COMMENT ON COLUMN "&amp;エンティティ一覧!$O$2&amp;"."&amp;D$8&amp;"."&amp;D359&amp;" IS '"&amp;C359&amp;"';"</f>
        <v>COMMENT ON COLUMN milscm_2023_009.sny_202310_annony_shikkan2.shikkan346_start_date IS 'C750_疾患開始日';</v>
      </c>
    </row>
    <row r="360" spans="1:45" s="25" customFormat="1">
      <c r="A360" s="4" t="s">
        <v>5489</v>
      </c>
      <c r="B360" s="21">
        <f t="shared" si="85"/>
        <v>348</v>
      </c>
      <c r="C360" s="13" t="str">
        <f t="shared" si="86"/>
        <v>C751_疾患開始日</v>
      </c>
      <c r="D360" s="13" t="s">
        <v>6007</v>
      </c>
      <c r="E360" s="8"/>
      <c r="F360" s="7" t="s">
        <v>4348</v>
      </c>
      <c r="G360" s="7" t="s">
        <v>25</v>
      </c>
      <c r="H360" s="58"/>
      <c r="I360" s="23"/>
      <c r="J360" s="24"/>
      <c r="M360" s="4"/>
      <c r="N360" s="76"/>
      <c r="O360" s="76"/>
      <c r="P360" s="76" t="str">
        <f t="shared" si="87"/>
        <v>,shikkan347_start_date</v>
      </c>
      <c r="Q360" s="76" t="str">
        <f t="shared" si="88"/>
        <v>DATE</v>
      </c>
      <c r="R360" s="76" t="str">
        <f t="shared" si="89"/>
        <v/>
      </c>
      <c r="S360" s="76" t="str">
        <f t="shared" si="90"/>
        <v/>
      </c>
      <c r="T360" s="76" t="str">
        <f t="shared" si="91"/>
        <v>-- C751_疾患開始日</v>
      </c>
      <c r="U360" s="4" t="str">
        <f t="shared" si="68"/>
        <v>, CASE WHEN shikkan_disp_name = 'C751' THEN min_shikkan_start_date ::DATE ELSE NULL END AS shikkan347_start_date</v>
      </c>
      <c r="V360" s="25" t="str">
        <f t="shared" si="69"/>
        <v>, max(shikkan347_start_date)</v>
      </c>
      <c r="AA360" s="4"/>
      <c r="AB360" s="4"/>
      <c r="AC360" s="4"/>
      <c r="AD360" s="4"/>
      <c r="AE360" s="4"/>
      <c r="AF360" s="4"/>
      <c r="AG360" s="4"/>
      <c r="AH360" s="4"/>
      <c r="AI360" s="4"/>
      <c r="AJ360" s="76" t="str">
        <f>IF(E360="○",IF(COUNTA(E$13:E360)=1,"",",")&amp;D360,"")</f>
        <v/>
      </c>
      <c r="AK360" s="4"/>
      <c r="AL360" s="4"/>
      <c r="AM360" s="4"/>
      <c r="AN360" s="4"/>
      <c r="AO360" s="4"/>
      <c r="AP360" s="4"/>
      <c r="AQ360" s="4"/>
      <c r="AR360" s="4"/>
      <c r="AS360" s="76" t="str">
        <f>"COMMENT ON COLUMN "&amp;エンティティ一覧!$O$2&amp;"."&amp;D$8&amp;"."&amp;D360&amp;" IS '"&amp;C360&amp;"';"</f>
        <v>COMMENT ON COLUMN milscm_2023_009.sny_202310_annony_shikkan2.shikkan347_start_date IS 'C751_疾患開始日';</v>
      </c>
    </row>
    <row r="361" spans="1:45" s="25" customFormat="1">
      <c r="A361" s="4" t="s">
        <v>5490</v>
      </c>
      <c r="B361" s="21">
        <f t="shared" si="85"/>
        <v>349</v>
      </c>
      <c r="C361" s="13" t="str">
        <f t="shared" si="86"/>
        <v>C752_疾患開始日</v>
      </c>
      <c r="D361" s="13" t="s">
        <v>6008</v>
      </c>
      <c r="E361" s="8"/>
      <c r="F361" s="7" t="s">
        <v>4348</v>
      </c>
      <c r="G361" s="7" t="s">
        <v>25</v>
      </c>
      <c r="H361" s="58"/>
      <c r="I361" s="23"/>
      <c r="J361" s="24"/>
      <c r="M361" s="4"/>
      <c r="N361" s="76"/>
      <c r="O361" s="76"/>
      <c r="P361" s="76" t="str">
        <f t="shared" si="87"/>
        <v>,shikkan348_start_date</v>
      </c>
      <c r="Q361" s="76" t="str">
        <f t="shared" si="88"/>
        <v>DATE</v>
      </c>
      <c r="R361" s="76" t="str">
        <f t="shared" si="89"/>
        <v/>
      </c>
      <c r="S361" s="76" t="str">
        <f t="shared" si="90"/>
        <v/>
      </c>
      <c r="T361" s="76" t="str">
        <f t="shared" si="91"/>
        <v>-- C752_疾患開始日</v>
      </c>
      <c r="U361" s="4" t="str">
        <f t="shared" si="68"/>
        <v>, CASE WHEN shikkan_disp_name = 'C752' THEN min_shikkan_start_date ::DATE ELSE NULL END AS shikkan348_start_date</v>
      </c>
      <c r="V361" s="25" t="str">
        <f t="shared" si="69"/>
        <v>, max(shikkan348_start_date)</v>
      </c>
      <c r="AA361" s="4"/>
      <c r="AB361" s="4"/>
      <c r="AC361" s="4"/>
      <c r="AD361" s="4"/>
      <c r="AE361" s="4"/>
      <c r="AF361" s="4"/>
      <c r="AG361" s="4"/>
      <c r="AH361" s="4"/>
      <c r="AI361" s="4"/>
      <c r="AJ361" s="76" t="str">
        <f>IF(E361="○",IF(COUNTA(E$13:E361)=1,"",",")&amp;D361,"")</f>
        <v/>
      </c>
      <c r="AK361" s="4"/>
      <c r="AL361" s="4"/>
      <c r="AM361" s="4"/>
      <c r="AN361" s="4"/>
      <c r="AO361" s="4"/>
      <c r="AP361" s="4"/>
      <c r="AQ361" s="4"/>
      <c r="AR361" s="4"/>
      <c r="AS361" s="76" t="str">
        <f>"COMMENT ON COLUMN "&amp;エンティティ一覧!$O$2&amp;"."&amp;D$8&amp;"."&amp;D361&amp;" IS '"&amp;C361&amp;"';"</f>
        <v>COMMENT ON COLUMN milscm_2023_009.sny_202310_annony_shikkan2.shikkan348_start_date IS 'C752_疾患開始日';</v>
      </c>
    </row>
    <row r="362" spans="1:45" s="25" customFormat="1">
      <c r="A362" s="4" t="s">
        <v>5491</v>
      </c>
      <c r="B362" s="21">
        <f t="shared" si="85"/>
        <v>350</v>
      </c>
      <c r="C362" s="13" t="str">
        <f t="shared" si="86"/>
        <v>C753_疾患開始日</v>
      </c>
      <c r="D362" s="13" t="s">
        <v>6009</v>
      </c>
      <c r="E362" s="8"/>
      <c r="F362" s="7" t="s">
        <v>4348</v>
      </c>
      <c r="G362" s="7" t="s">
        <v>25</v>
      </c>
      <c r="H362" s="58"/>
      <c r="I362" s="23"/>
      <c r="J362" s="24"/>
      <c r="M362" s="4"/>
      <c r="N362" s="76"/>
      <c r="O362" s="76"/>
      <c r="P362" s="76" t="str">
        <f t="shared" si="87"/>
        <v>,shikkan349_start_date</v>
      </c>
      <c r="Q362" s="76" t="str">
        <f t="shared" si="88"/>
        <v>DATE</v>
      </c>
      <c r="R362" s="76" t="str">
        <f t="shared" si="89"/>
        <v/>
      </c>
      <c r="S362" s="76" t="str">
        <f t="shared" si="90"/>
        <v/>
      </c>
      <c r="T362" s="76" t="str">
        <f t="shared" si="91"/>
        <v>-- C753_疾患開始日</v>
      </c>
      <c r="U362" s="4" t="str">
        <f t="shared" si="68"/>
        <v>, CASE WHEN shikkan_disp_name = 'C753' THEN min_shikkan_start_date ::DATE ELSE NULL END AS shikkan349_start_date</v>
      </c>
      <c r="V362" s="25" t="str">
        <f t="shared" si="69"/>
        <v>, max(shikkan349_start_date)</v>
      </c>
      <c r="AA362" s="4"/>
      <c r="AB362" s="4"/>
      <c r="AC362" s="4"/>
      <c r="AD362" s="4"/>
      <c r="AE362" s="4"/>
      <c r="AF362" s="4"/>
      <c r="AG362" s="4"/>
      <c r="AH362" s="4"/>
      <c r="AI362" s="4"/>
      <c r="AJ362" s="76" t="str">
        <f>IF(E362="○",IF(COUNTA(E$13:E362)=1,"",",")&amp;D362,"")</f>
        <v/>
      </c>
      <c r="AK362" s="4"/>
      <c r="AL362" s="4"/>
      <c r="AM362" s="4"/>
      <c r="AN362" s="4"/>
      <c r="AO362" s="4"/>
      <c r="AP362" s="4"/>
      <c r="AQ362" s="4"/>
      <c r="AR362" s="4"/>
      <c r="AS362" s="76" t="str">
        <f>"COMMENT ON COLUMN "&amp;エンティティ一覧!$O$2&amp;"."&amp;D$8&amp;"."&amp;D362&amp;" IS '"&amp;C362&amp;"';"</f>
        <v>COMMENT ON COLUMN milscm_2023_009.sny_202310_annony_shikkan2.shikkan349_start_date IS 'C753_疾患開始日';</v>
      </c>
    </row>
    <row r="363" spans="1:45" s="25" customFormat="1">
      <c r="A363" s="4" t="s">
        <v>5492</v>
      </c>
      <c r="B363" s="21">
        <f t="shared" si="85"/>
        <v>351</v>
      </c>
      <c r="C363" s="13" t="str">
        <f t="shared" si="86"/>
        <v>C754_疾患開始日</v>
      </c>
      <c r="D363" s="13" t="s">
        <v>6010</v>
      </c>
      <c r="E363" s="8"/>
      <c r="F363" s="7" t="s">
        <v>4348</v>
      </c>
      <c r="G363" s="7" t="s">
        <v>25</v>
      </c>
      <c r="H363" s="58"/>
      <c r="I363" s="23"/>
      <c r="J363" s="24"/>
      <c r="M363" s="4"/>
      <c r="N363" s="76"/>
      <c r="O363" s="76"/>
      <c r="P363" s="76" t="str">
        <f t="shared" si="87"/>
        <v>,shikkan350_start_date</v>
      </c>
      <c r="Q363" s="76" t="str">
        <f t="shared" si="88"/>
        <v>DATE</v>
      </c>
      <c r="R363" s="76" t="str">
        <f t="shared" si="89"/>
        <v/>
      </c>
      <c r="S363" s="76" t="str">
        <f t="shared" si="90"/>
        <v/>
      </c>
      <c r="T363" s="76" t="str">
        <f t="shared" si="91"/>
        <v>-- C754_疾患開始日</v>
      </c>
      <c r="U363" s="4" t="str">
        <f t="shared" si="68"/>
        <v>, CASE WHEN shikkan_disp_name = 'C754' THEN min_shikkan_start_date ::DATE ELSE NULL END AS shikkan350_start_date</v>
      </c>
      <c r="V363" s="25" t="str">
        <f t="shared" si="69"/>
        <v>, max(shikkan350_start_date)</v>
      </c>
      <c r="AA363" s="4"/>
      <c r="AB363" s="4"/>
      <c r="AC363" s="4"/>
      <c r="AD363" s="4"/>
      <c r="AE363" s="4"/>
      <c r="AF363" s="4"/>
      <c r="AG363" s="4"/>
      <c r="AH363" s="4"/>
      <c r="AI363" s="4"/>
      <c r="AJ363" s="76" t="str">
        <f>IF(E363="○",IF(COUNTA(E$13:E363)=1,"",",")&amp;D363,"")</f>
        <v/>
      </c>
      <c r="AK363" s="4"/>
      <c r="AL363" s="4"/>
      <c r="AM363" s="4"/>
      <c r="AN363" s="4"/>
      <c r="AO363" s="4"/>
      <c r="AP363" s="4"/>
      <c r="AQ363" s="4"/>
      <c r="AR363" s="4"/>
      <c r="AS363" s="76" t="str">
        <f>"COMMENT ON COLUMN "&amp;エンティティ一覧!$O$2&amp;"."&amp;D$8&amp;"."&amp;D363&amp;" IS '"&amp;C363&amp;"';"</f>
        <v>COMMENT ON COLUMN milscm_2023_009.sny_202310_annony_shikkan2.shikkan350_start_date IS 'C754_疾患開始日';</v>
      </c>
    </row>
    <row r="364" spans="1:45" s="25" customFormat="1">
      <c r="A364" s="4" t="s">
        <v>5493</v>
      </c>
      <c r="B364" s="21">
        <f t="shared" si="85"/>
        <v>352</v>
      </c>
      <c r="C364" s="13" t="str">
        <f t="shared" si="86"/>
        <v>C755_疾患開始日</v>
      </c>
      <c r="D364" s="13" t="s">
        <v>6011</v>
      </c>
      <c r="E364" s="8"/>
      <c r="F364" s="7" t="s">
        <v>4348</v>
      </c>
      <c r="G364" s="7" t="s">
        <v>25</v>
      </c>
      <c r="H364" s="58"/>
      <c r="I364" s="23"/>
      <c r="J364" s="24"/>
      <c r="M364" s="4"/>
      <c r="N364" s="76"/>
      <c r="O364" s="76"/>
      <c r="P364" s="76" t="str">
        <f t="shared" si="87"/>
        <v>,shikkan351_start_date</v>
      </c>
      <c r="Q364" s="76" t="str">
        <f t="shared" si="88"/>
        <v>DATE</v>
      </c>
      <c r="R364" s="76" t="str">
        <f t="shared" si="89"/>
        <v/>
      </c>
      <c r="S364" s="76" t="str">
        <f t="shared" si="90"/>
        <v/>
      </c>
      <c r="T364" s="76" t="str">
        <f t="shared" si="91"/>
        <v>-- C755_疾患開始日</v>
      </c>
      <c r="U364" s="4" t="str">
        <f t="shared" si="68"/>
        <v>, CASE WHEN shikkan_disp_name = 'C755' THEN min_shikkan_start_date ::DATE ELSE NULL END AS shikkan351_start_date</v>
      </c>
      <c r="V364" s="25" t="str">
        <f t="shared" si="69"/>
        <v>, max(shikkan351_start_date)</v>
      </c>
      <c r="AA364" s="4"/>
      <c r="AB364" s="4"/>
      <c r="AC364" s="4"/>
      <c r="AD364" s="4"/>
      <c r="AE364" s="4"/>
      <c r="AF364" s="4"/>
      <c r="AG364" s="4"/>
      <c r="AH364" s="4"/>
      <c r="AI364" s="4"/>
      <c r="AJ364" s="76" t="str">
        <f>IF(E364="○",IF(COUNTA(E$13:E364)=1,"",",")&amp;D364,"")</f>
        <v/>
      </c>
      <c r="AK364" s="4"/>
      <c r="AL364" s="4"/>
      <c r="AM364" s="4"/>
      <c r="AN364" s="4"/>
      <c r="AO364" s="4"/>
      <c r="AP364" s="4"/>
      <c r="AQ364" s="4"/>
      <c r="AR364" s="4"/>
      <c r="AS364" s="76" t="str">
        <f>"COMMENT ON COLUMN "&amp;エンティティ一覧!$O$2&amp;"."&amp;D$8&amp;"."&amp;D364&amp;" IS '"&amp;C364&amp;"';"</f>
        <v>COMMENT ON COLUMN milscm_2023_009.sny_202310_annony_shikkan2.shikkan351_start_date IS 'C755_疾患開始日';</v>
      </c>
    </row>
    <row r="365" spans="1:45" s="25" customFormat="1">
      <c r="A365" s="4" t="s">
        <v>5494</v>
      </c>
      <c r="B365" s="21">
        <f t="shared" si="85"/>
        <v>353</v>
      </c>
      <c r="C365" s="13" t="str">
        <f t="shared" si="86"/>
        <v>C758_疾患開始日</v>
      </c>
      <c r="D365" s="13" t="s">
        <v>6012</v>
      </c>
      <c r="E365" s="8"/>
      <c r="F365" s="7" t="s">
        <v>4348</v>
      </c>
      <c r="G365" s="7" t="s">
        <v>99</v>
      </c>
      <c r="H365" s="58"/>
      <c r="I365" s="23"/>
      <c r="J365" s="24"/>
      <c r="M365" s="4"/>
      <c r="N365" s="76"/>
      <c r="O365" s="76"/>
      <c r="P365" s="76" t="str">
        <f t="shared" si="87"/>
        <v>,shikkan352_start_date</v>
      </c>
      <c r="Q365" s="76" t="str">
        <f t="shared" si="88"/>
        <v>DATE</v>
      </c>
      <c r="R365" s="76" t="str">
        <f t="shared" si="89"/>
        <v/>
      </c>
      <c r="S365" s="76" t="str">
        <f t="shared" si="90"/>
        <v/>
      </c>
      <c r="T365" s="76" t="str">
        <f t="shared" si="91"/>
        <v>-- C758_疾患開始日</v>
      </c>
      <c r="U365" s="4" t="str">
        <f t="shared" si="68"/>
        <v>, CASE WHEN shikkan_disp_name = 'C758' THEN min_shikkan_start_date ::DATE ELSE NULL END AS shikkan352_start_date</v>
      </c>
      <c r="V365" s="25" t="str">
        <f t="shared" si="69"/>
        <v>, max(shikkan352_start_date)</v>
      </c>
      <c r="AA365" s="4"/>
      <c r="AB365" s="4"/>
      <c r="AC365" s="4"/>
      <c r="AD365" s="4"/>
      <c r="AE365" s="4"/>
      <c r="AF365" s="4"/>
      <c r="AG365" s="4"/>
      <c r="AH365" s="4"/>
      <c r="AI365" s="4"/>
      <c r="AJ365" s="76" t="str">
        <f>IF(E365="○",IF(COUNTA(E$13:E365)=1,"",",")&amp;D365,"")</f>
        <v/>
      </c>
      <c r="AK365" s="4"/>
      <c r="AL365" s="4"/>
      <c r="AM365" s="4"/>
      <c r="AN365" s="4"/>
      <c r="AO365" s="4"/>
      <c r="AP365" s="4"/>
      <c r="AQ365" s="4"/>
      <c r="AR365" s="4"/>
      <c r="AS365" s="76" t="str">
        <f>"COMMENT ON COLUMN "&amp;エンティティ一覧!$O$2&amp;"."&amp;D$8&amp;"."&amp;D365&amp;" IS '"&amp;C365&amp;"';"</f>
        <v>COMMENT ON COLUMN milscm_2023_009.sny_202310_annony_shikkan2.shikkan352_start_date IS 'C758_疾患開始日';</v>
      </c>
    </row>
    <row r="366" spans="1:45" s="25" customFormat="1">
      <c r="A366" s="4" t="s">
        <v>5495</v>
      </c>
      <c r="B366" s="21">
        <f t="shared" si="85"/>
        <v>354</v>
      </c>
      <c r="C366" s="13" t="str">
        <f t="shared" si="86"/>
        <v>C759_疾患開始日</v>
      </c>
      <c r="D366" s="13" t="s">
        <v>6013</v>
      </c>
      <c r="E366" s="8"/>
      <c r="F366" s="7" t="s">
        <v>4348</v>
      </c>
      <c r="G366" s="7" t="s">
        <v>25</v>
      </c>
      <c r="H366" s="58"/>
      <c r="I366" s="23"/>
      <c r="J366" s="24"/>
      <c r="M366" s="4"/>
      <c r="N366" s="76"/>
      <c r="O366" s="76"/>
      <c r="P366" s="76" t="str">
        <f t="shared" si="87"/>
        <v>,shikkan353_start_date</v>
      </c>
      <c r="Q366" s="76" t="str">
        <f t="shared" si="88"/>
        <v>DATE</v>
      </c>
      <c r="R366" s="76" t="str">
        <f t="shared" si="89"/>
        <v/>
      </c>
      <c r="S366" s="76" t="str">
        <f t="shared" si="90"/>
        <v/>
      </c>
      <c r="T366" s="76" t="str">
        <f t="shared" si="91"/>
        <v>-- C759_疾患開始日</v>
      </c>
      <c r="U366" s="4" t="str">
        <f t="shared" si="68"/>
        <v>, CASE WHEN shikkan_disp_name = 'C759' THEN min_shikkan_start_date ::DATE ELSE NULL END AS shikkan353_start_date</v>
      </c>
      <c r="V366" s="25" t="str">
        <f t="shared" si="69"/>
        <v>, max(shikkan353_start_date)</v>
      </c>
      <c r="AA366" s="4"/>
      <c r="AB366" s="4"/>
      <c r="AC366" s="4"/>
      <c r="AD366" s="4"/>
      <c r="AE366" s="4"/>
      <c r="AF366" s="4"/>
      <c r="AG366" s="4"/>
      <c r="AH366" s="4"/>
      <c r="AI366" s="4"/>
      <c r="AJ366" s="76" t="str">
        <f>IF(E366="○",IF(COUNTA(E$13:E366)=1,"",",")&amp;D366,"")</f>
        <v/>
      </c>
      <c r="AK366" s="4"/>
      <c r="AL366" s="4"/>
      <c r="AM366" s="4"/>
      <c r="AN366" s="4"/>
      <c r="AO366" s="4"/>
      <c r="AP366" s="4"/>
      <c r="AQ366" s="4"/>
      <c r="AR366" s="4"/>
      <c r="AS366" s="76" t="str">
        <f>"COMMENT ON COLUMN "&amp;エンティティ一覧!$O$2&amp;"."&amp;D$8&amp;"."&amp;D366&amp;" IS '"&amp;C366&amp;"';"</f>
        <v>COMMENT ON COLUMN milscm_2023_009.sny_202310_annony_shikkan2.shikkan353_start_date IS 'C759_疾患開始日';</v>
      </c>
    </row>
    <row r="367" spans="1:45" s="25" customFormat="1">
      <c r="A367" s="4" t="s">
        <v>5496</v>
      </c>
      <c r="B367" s="21">
        <f t="shared" si="85"/>
        <v>355</v>
      </c>
      <c r="C367" s="13" t="str">
        <f t="shared" si="86"/>
        <v>C760_疾患開始日</v>
      </c>
      <c r="D367" s="13" t="s">
        <v>6014</v>
      </c>
      <c r="E367" s="8"/>
      <c r="F367" s="7" t="s">
        <v>4348</v>
      </c>
      <c r="G367" s="7" t="s">
        <v>25</v>
      </c>
      <c r="H367" s="58"/>
      <c r="I367" s="23"/>
      <c r="J367" s="24"/>
      <c r="M367" s="4"/>
      <c r="N367" s="76"/>
      <c r="O367" s="76"/>
      <c r="P367" s="76" t="str">
        <f t="shared" si="87"/>
        <v>,shikkan354_start_date</v>
      </c>
      <c r="Q367" s="76" t="str">
        <f t="shared" si="88"/>
        <v>DATE</v>
      </c>
      <c r="R367" s="76" t="str">
        <f t="shared" si="89"/>
        <v/>
      </c>
      <c r="S367" s="76" t="str">
        <f t="shared" si="90"/>
        <v/>
      </c>
      <c r="T367" s="76" t="str">
        <f t="shared" si="91"/>
        <v>-- C760_疾患開始日</v>
      </c>
      <c r="U367" s="4" t="str">
        <f t="shared" si="68"/>
        <v>, CASE WHEN shikkan_disp_name = 'C760' THEN min_shikkan_start_date ::DATE ELSE NULL END AS shikkan354_start_date</v>
      </c>
      <c r="V367" s="25" t="str">
        <f t="shared" si="69"/>
        <v>, max(shikkan354_start_date)</v>
      </c>
      <c r="AA367" s="4"/>
      <c r="AB367" s="4"/>
      <c r="AC367" s="4"/>
      <c r="AD367" s="4"/>
      <c r="AE367" s="4"/>
      <c r="AF367" s="4"/>
      <c r="AG367" s="4"/>
      <c r="AH367" s="4"/>
      <c r="AI367" s="4"/>
      <c r="AJ367" s="76" t="str">
        <f>IF(E367="○",IF(COUNTA(E$13:E367)=1,"",",")&amp;D367,"")</f>
        <v/>
      </c>
      <c r="AK367" s="4"/>
      <c r="AL367" s="4"/>
      <c r="AM367" s="4"/>
      <c r="AN367" s="4"/>
      <c r="AO367" s="4"/>
      <c r="AP367" s="4"/>
      <c r="AQ367" s="4"/>
      <c r="AR367" s="4"/>
      <c r="AS367" s="76" t="str">
        <f>"COMMENT ON COLUMN "&amp;エンティティ一覧!$O$2&amp;"."&amp;D$8&amp;"."&amp;D367&amp;" IS '"&amp;C367&amp;"';"</f>
        <v>COMMENT ON COLUMN milscm_2023_009.sny_202310_annony_shikkan2.shikkan354_start_date IS 'C760_疾患開始日';</v>
      </c>
    </row>
    <row r="368" spans="1:45" s="25" customFormat="1">
      <c r="A368" s="4" t="s">
        <v>5497</v>
      </c>
      <c r="B368" s="21">
        <f t="shared" si="85"/>
        <v>356</v>
      </c>
      <c r="C368" s="13" t="str">
        <f t="shared" si="86"/>
        <v>C761_疾患開始日</v>
      </c>
      <c r="D368" s="13" t="s">
        <v>6015</v>
      </c>
      <c r="E368" s="8"/>
      <c r="F368" s="7" t="s">
        <v>4348</v>
      </c>
      <c r="G368" s="7" t="s">
        <v>25</v>
      </c>
      <c r="H368" s="58"/>
      <c r="I368" s="23"/>
      <c r="J368" s="24"/>
      <c r="M368" s="4"/>
      <c r="N368" s="76"/>
      <c r="O368" s="76"/>
      <c r="P368" s="76" t="str">
        <f t="shared" si="87"/>
        <v>,shikkan355_start_date</v>
      </c>
      <c r="Q368" s="76" t="str">
        <f t="shared" si="88"/>
        <v>DATE</v>
      </c>
      <c r="R368" s="76" t="str">
        <f t="shared" si="89"/>
        <v/>
      </c>
      <c r="S368" s="76" t="str">
        <f t="shared" si="90"/>
        <v/>
      </c>
      <c r="T368" s="76" t="str">
        <f t="shared" si="91"/>
        <v>-- C761_疾患開始日</v>
      </c>
      <c r="U368" s="4" t="str">
        <f t="shared" si="68"/>
        <v>, CASE WHEN shikkan_disp_name = 'C761' THEN min_shikkan_start_date ::DATE ELSE NULL END AS shikkan355_start_date</v>
      </c>
      <c r="V368" s="25" t="str">
        <f t="shared" si="69"/>
        <v>, max(shikkan355_start_date)</v>
      </c>
      <c r="AA368" s="4"/>
      <c r="AB368" s="4"/>
      <c r="AC368" s="4"/>
      <c r="AD368" s="4"/>
      <c r="AE368" s="4"/>
      <c r="AF368" s="4"/>
      <c r="AG368" s="4"/>
      <c r="AH368" s="4"/>
      <c r="AI368" s="4"/>
      <c r="AJ368" s="76" t="str">
        <f>IF(E368="○",IF(COUNTA(E$13:E368)=1,"",",")&amp;D368,"")</f>
        <v/>
      </c>
      <c r="AK368" s="4"/>
      <c r="AL368" s="4"/>
      <c r="AM368" s="4"/>
      <c r="AN368" s="4"/>
      <c r="AO368" s="4"/>
      <c r="AP368" s="4"/>
      <c r="AQ368" s="4"/>
      <c r="AR368" s="4"/>
      <c r="AS368" s="76" t="str">
        <f>"COMMENT ON COLUMN "&amp;エンティティ一覧!$O$2&amp;"."&amp;D$8&amp;"."&amp;D368&amp;" IS '"&amp;C368&amp;"';"</f>
        <v>COMMENT ON COLUMN milscm_2023_009.sny_202310_annony_shikkan2.shikkan355_start_date IS 'C761_疾患開始日';</v>
      </c>
    </row>
    <row r="369" spans="1:45" s="25" customFormat="1">
      <c r="A369" s="4" t="s">
        <v>5498</v>
      </c>
      <c r="B369" s="21">
        <f t="shared" si="85"/>
        <v>357</v>
      </c>
      <c r="C369" s="13" t="str">
        <f t="shared" si="86"/>
        <v>C762_疾患開始日</v>
      </c>
      <c r="D369" s="13" t="s">
        <v>6016</v>
      </c>
      <c r="E369" s="8"/>
      <c r="F369" s="7" t="s">
        <v>4348</v>
      </c>
      <c r="G369" s="7" t="s">
        <v>25</v>
      </c>
      <c r="H369" s="58"/>
      <c r="I369" s="23"/>
      <c r="J369" s="24"/>
      <c r="M369" s="4"/>
      <c r="N369" s="76"/>
      <c r="O369" s="76"/>
      <c r="P369" s="76" t="str">
        <f t="shared" si="87"/>
        <v>,shikkan356_start_date</v>
      </c>
      <c r="Q369" s="76" t="str">
        <f t="shared" si="88"/>
        <v>DATE</v>
      </c>
      <c r="R369" s="76" t="str">
        <f t="shared" si="89"/>
        <v/>
      </c>
      <c r="S369" s="76" t="str">
        <f t="shared" si="90"/>
        <v/>
      </c>
      <c r="T369" s="76" t="str">
        <f t="shared" si="91"/>
        <v>-- C762_疾患開始日</v>
      </c>
      <c r="U369" s="4" t="str">
        <f t="shared" si="68"/>
        <v>, CASE WHEN shikkan_disp_name = 'C762' THEN min_shikkan_start_date ::DATE ELSE NULL END AS shikkan356_start_date</v>
      </c>
      <c r="V369" s="25" t="str">
        <f t="shared" si="69"/>
        <v>, max(shikkan356_start_date)</v>
      </c>
      <c r="AA369" s="4"/>
      <c r="AB369" s="4"/>
      <c r="AC369" s="4"/>
      <c r="AD369" s="4"/>
      <c r="AE369" s="4"/>
      <c r="AF369" s="4"/>
      <c r="AG369" s="4"/>
      <c r="AH369" s="4"/>
      <c r="AI369" s="4"/>
      <c r="AJ369" s="76" t="str">
        <f>IF(E369="○",IF(COUNTA(E$13:E369)=1,"",",")&amp;D369,"")</f>
        <v/>
      </c>
      <c r="AK369" s="4"/>
      <c r="AL369" s="4"/>
      <c r="AM369" s="4"/>
      <c r="AN369" s="4"/>
      <c r="AO369" s="4"/>
      <c r="AP369" s="4"/>
      <c r="AQ369" s="4"/>
      <c r="AR369" s="4"/>
      <c r="AS369" s="76" t="str">
        <f>"COMMENT ON COLUMN "&amp;エンティティ一覧!$O$2&amp;"."&amp;D$8&amp;"."&amp;D369&amp;" IS '"&amp;C369&amp;"';"</f>
        <v>COMMENT ON COLUMN milscm_2023_009.sny_202310_annony_shikkan2.shikkan356_start_date IS 'C762_疾患開始日';</v>
      </c>
    </row>
    <row r="370" spans="1:45" s="25" customFormat="1">
      <c r="A370" s="4" t="s">
        <v>5499</v>
      </c>
      <c r="B370" s="21">
        <f t="shared" si="85"/>
        <v>358</v>
      </c>
      <c r="C370" s="13" t="str">
        <f t="shared" si="86"/>
        <v>C763_疾患開始日</v>
      </c>
      <c r="D370" s="13" t="s">
        <v>6017</v>
      </c>
      <c r="E370" s="8"/>
      <c r="F370" s="7" t="s">
        <v>4348</v>
      </c>
      <c r="G370" s="7" t="s">
        <v>25</v>
      </c>
      <c r="H370" s="58"/>
      <c r="I370" s="23"/>
      <c r="J370" s="24"/>
      <c r="M370" s="4"/>
      <c r="N370" s="76"/>
      <c r="O370" s="76"/>
      <c r="P370" s="76" t="str">
        <f t="shared" si="87"/>
        <v>,shikkan357_start_date</v>
      </c>
      <c r="Q370" s="76" t="str">
        <f t="shared" si="88"/>
        <v>DATE</v>
      </c>
      <c r="R370" s="76" t="str">
        <f t="shared" si="89"/>
        <v/>
      </c>
      <c r="S370" s="76" t="str">
        <f t="shared" si="90"/>
        <v/>
      </c>
      <c r="T370" s="76" t="str">
        <f t="shared" si="91"/>
        <v>-- C763_疾患開始日</v>
      </c>
      <c r="U370" s="4" t="str">
        <f t="shared" si="68"/>
        <v>, CASE WHEN shikkan_disp_name = 'C763' THEN min_shikkan_start_date ::DATE ELSE NULL END AS shikkan357_start_date</v>
      </c>
      <c r="V370" s="25" t="str">
        <f t="shared" si="69"/>
        <v>, max(shikkan357_start_date)</v>
      </c>
      <c r="AA370" s="4"/>
      <c r="AB370" s="4"/>
      <c r="AC370" s="4"/>
      <c r="AD370" s="4"/>
      <c r="AE370" s="4"/>
      <c r="AF370" s="4"/>
      <c r="AG370" s="4"/>
      <c r="AH370" s="4"/>
      <c r="AI370" s="4"/>
      <c r="AJ370" s="76" t="str">
        <f>IF(E370="○",IF(COUNTA(E$13:E370)=1,"",",")&amp;D370,"")</f>
        <v/>
      </c>
      <c r="AK370" s="4"/>
      <c r="AL370" s="4"/>
      <c r="AM370" s="4"/>
      <c r="AN370" s="4"/>
      <c r="AO370" s="4"/>
      <c r="AP370" s="4"/>
      <c r="AQ370" s="4"/>
      <c r="AR370" s="4"/>
      <c r="AS370" s="76" t="str">
        <f>"COMMENT ON COLUMN "&amp;エンティティ一覧!$O$2&amp;"."&amp;D$8&amp;"."&amp;D370&amp;" IS '"&amp;C370&amp;"';"</f>
        <v>COMMENT ON COLUMN milscm_2023_009.sny_202310_annony_shikkan2.shikkan357_start_date IS 'C763_疾患開始日';</v>
      </c>
    </row>
    <row r="371" spans="1:45" s="25" customFormat="1">
      <c r="A371" s="4" t="s">
        <v>5500</v>
      </c>
      <c r="B371" s="21">
        <f t="shared" si="85"/>
        <v>359</v>
      </c>
      <c r="C371" s="13" t="str">
        <f t="shared" si="86"/>
        <v>C764_疾患開始日</v>
      </c>
      <c r="D371" s="13" t="s">
        <v>6018</v>
      </c>
      <c r="E371" s="8"/>
      <c r="F371" s="7" t="s">
        <v>4348</v>
      </c>
      <c r="G371" s="7" t="s">
        <v>25</v>
      </c>
      <c r="H371" s="58"/>
      <c r="I371" s="23"/>
      <c r="J371" s="24"/>
      <c r="M371" s="4"/>
      <c r="N371" s="76"/>
      <c r="O371" s="76"/>
      <c r="P371" s="76" t="str">
        <f t="shared" si="87"/>
        <v>,shikkan358_start_date</v>
      </c>
      <c r="Q371" s="76" t="str">
        <f t="shared" si="88"/>
        <v>DATE</v>
      </c>
      <c r="R371" s="76" t="str">
        <f t="shared" si="89"/>
        <v/>
      </c>
      <c r="S371" s="76" t="str">
        <f t="shared" si="90"/>
        <v/>
      </c>
      <c r="T371" s="76" t="str">
        <f t="shared" si="91"/>
        <v>-- C764_疾患開始日</v>
      </c>
      <c r="U371" s="4" t="str">
        <f t="shared" si="68"/>
        <v>, CASE WHEN shikkan_disp_name = 'C764' THEN min_shikkan_start_date ::DATE ELSE NULL END AS shikkan358_start_date</v>
      </c>
      <c r="V371" s="25" t="str">
        <f t="shared" si="69"/>
        <v>, max(shikkan358_start_date)</v>
      </c>
      <c r="AA371" s="4"/>
      <c r="AB371" s="4"/>
      <c r="AC371" s="4"/>
      <c r="AD371" s="4"/>
      <c r="AE371" s="4"/>
      <c r="AF371" s="4"/>
      <c r="AG371" s="4"/>
      <c r="AH371" s="4"/>
      <c r="AI371" s="4"/>
      <c r="AJ371" s="76" t="str">
        <f>IF(E371="○",IF(COUNTA(E$13:E371)=1,"",",")&amp;D371,"")</f>
        <v/>
      </c>
      <c r="AK371" s="4"/>
      <c r="AL371" s="4"/>
      <c r="AM371" s="4"/>
      <c r="AN371" s="4"/>
      <c r="AO371" s="4"/>
      <c r="AP371" s="4"/>
      <c r="AQ371" s="4"/>
      <c r="AR371" s="4"/>
      <c r="AS371" s="76" t="str">
        <f>"COMMENT ON COLUMN "&amp;エンティティ一覧!$O$2&amp;"."&amp;D$8&amp;"."&amp;D371&amp;" IS '"&amp;C371&amp;"';"</f>
        <v>COMMENT ON COLUMN milscm_2023_009.sny_202310_annony_shikkan2.shikkan358_start_date IS 'C764_疾患開始日';</v>
      </c>
    </row>
    <row r="372" spans="1:45" s="25" customFormat="1">
      <c r="A372" s="4" t="s">
        <v>5501</v>
      </c>
      <c r="B372" s="21">
        <f t="shared" si="85"/>
        <v>360</v>
      </c>
      <c r="C372" s="13" t="str">
        <f t="shared" si="86"/>
        <v>C765_疾患開始日</v>
      </c>
      <c r="D372" s="13" t="s">
        <v>6019</v>
      </c>
      <c r="E372" s="8"/>
      <c r="F372" s="7" t="s">
        <v>4348</v>
      </c>
      <c r="G372" s="7" t="s">
        <v>25</v>
      </c>
      <c r="H372" s="58"/>
      <c r="I372" s="23"/>
      <c r="J372" s="24"/>
      <c r="M372" s="4"/>
      <c r="N372" s="76"/>
      <c r="O372" s="76"/>
      <c r="P372" s="76" t="str">
        <f t="shared" si="87"/>
        <v>,shikkan359_start_date</v>
      </c>
      <c r="Q372" s="76" t="str">
        <f t="shared" si="88"/>
        <v>DATE</v>
      </c>
      <c r="R372" s="76" t="str">
        <f t="shared" si="89"/>
        <v/>
      </c>
      <c r="S372" s="76" t="str">
        <f t="shared" si="90"/>
        <v/>
      </c>
      <c r="T372" s="76" t="str">
        <f t="shared" si="91"/>
        <v>-- C765_疾患開始日</v>
      </c>
      <c r="U372" s="4" t="str">
        <f t="shared" si="68"/>
        <v>, CASE WHEN shikkan_disp_name = 'C765' THEN min_shikkan_start_date ::DATE ELSE NULL END AS shikkan359_start_date</v>
      </c>
      <c r="V372" s="25" t="str">
        <f t="shared" si="69"/>
        <v>, max(shikkan359_start_date)</v>
      </c>
      <c r="AA372" s="4"/>
      <c r="AB372" s="4"/>
      <c r="AC372" s="4"/>
      <c r="AD372" s="4"/>
      <c r="AE372" s="4"/>
      <c r="AF372" s="4"/>
      <c r="AG372" s="4"/>
      <c r="AH372" s="4"/>
      <c r="AI372" s="4"/>
      <c r="AJ372" s="76" t="str">
        <f>IF(E372="○",IF(COUNTA(E$13:E372)=1,"",",")&amp;D372,"")</f>
        <v/>
      </c>
      <c r="AK372" s="4"/>
      <c r="AL372" s="4"/>
      <c r="AM372" s="4"/>
      <c r="AN372" s="4"/>
      <c r="AO372" s="4"/>
      <c r="AP372" s="4"/>
      <c r="AQ372" s="4"/>
      <c r="AR372" s="4"/>
      <c r="AS372" s="76" t="str">
        <f>"COMMENT ON COLUMN "&amp;エンティティ一覧!$O$2&amp;"."&amp;D$8&amp;"."&amp;D372&amp;" IS '"&amp;C372&amp;"';"</f>
        <v>COMMENT ON COLUMN milscm_2023_009.sny_202310_annony_shikkan2.shikkan359_start_date IS 'C765_疾患開始日';</v>
      </c>
    </row>
    <row r="373" spans="1:45" s="25" customFormat="1">
      <c r="A373" s="4" t="s">
        <v>5502</v>
      </c>
      <c r="B373" s="21">
        <f t="shared" si="85"/>
        <v>361</v>
      </c>
      <c r="C373" s="13" t="str">
        <f t="shared" si="86"/>
        <v>C767_疾患開始日</v>
      </c>
      <c r="D373" s="13" t="s">
        <v>6020</v>
      </c>
      <c r="E373" s="8"/>
      <c r="F373" s="7" t="s">
        <v>4348</v>
      </c>
      <c r="G373" s="7" t="s">
        <v>25</v>
      </c>
      <c r="H373" s="58"/>
      <c r="I373" s="23"/>
      <c r="J373" s="24"/>
      <c r="M373" s="4"/>
      <c r="N373" s="76"/>
      <c r="O373" s="76"/>
      <c r="P373" s="76" t="str">
        <f t="shared" si="87"/>
        <v>,shikkan360_start_date</v>
      </c>
      <c r="Q373" s="76" t="str">
        <f t="shared" si="88"/>
        <v>DATE</v>
      </c>
      <c r="R373" s="76" t="str">
        <f t="shared" si="89"/>
        <v/>
      </c>
      <c r="S373" s="76" t="str">
        <f t="shared" si="90"/>
        <v/>
      </c>
      <c r="T373" s="76" t="str">
        <f t="shared" si="91"/>
        <v>-- C767_疾患開始日</v>
      </c>
      <c r="U373" s="4" t="str">
        <f t="shared" si="68"/>
        <v>, CASE WHEN shikkan_disp_name = 'C767' THEN min_shikkan_start_date ::DATE ELSE NULL END AS shikkan360_start_date</v>
      </c>
      <c r="V373" s="25" t="str">
        <f t="shared" si="69"/>
        <v>, max(shikkan360_start_date)</v>
      </c>
      <c r="AA373" s="4"/>
      <c r="AB373" s="4"/>
      <c r="AC373" s="4"/>
      <c r="AD373" s="4"/>
      <c r="AE373" s="4"/>
      <c r="AF373" s="4"/>
      <c r="AG373" s="4"/>
      <c r="AH373" s="4"/>
      <c r="AI373" s="4"/>
      <c r="AJ373" s="76" t="str">
        <f>IF(E373="○",IF(COUNTA(E$13:E373)=1,"",",")&amp;D373,"")</f>
        <v/>
      </c>
      <c r="AK373" s="4"/>
      <c r="AL373" s="4"/>
      <c r="AM373" s="4"/>
      <c r="AN373" s="4"/>
      <c r="AO373" s="4"/>
      <c r="AP373" s="4"/>
      <c r="AQ373" s="4"/>
      <c r="AR373" s="4"/>
      <c r="AS373" s="76" t="str">
        <f>"COMMENT ON COLUMN "&amp;エンティティ一覧!$O$2&amp;"."&amp;D$8&amp;"."&amp;D373&amp;" IS '"&amp;C373&amp;"';"</f>
        <v>COMMENT ON COLUMN milscm_2023_009.sny_202310_annony_shikkan2.shikkan360_start_date IS 'C767_疾患開始日';</v>
      </c>
    </row>
    <row r="374" spans="1:45" s="25" customFormat="1">
      <c r="A374" s="4" t="s">
        <v>5503</v>
      </c>
      <c r="B374" s="21">
        <f t="shared" si="85"/>
        <v>362</v>
      </c>
      <c r="C374" s="13" t="str">
        <f t="shared" si="86"/>
        <v>C768_疾患開始日</v>
      </c>
      <c r="D374" s="13" t="s">
        <v>6021</v>
      </c>
      <c r="E374" s="8"/>
      <c r="F374" s="7" t="s">
        <v>4348</v>
      </c>
      <c r="G374" s="7" t="s">
        <v>25</v>
      </c>
      <c r="H374" s="58"/>
      <c r="I374" s="23"/>
      <c r="J374" s="24"/>
      <c r="M374" s="4"/>
      <c r="N374" s="76"/>
      <c r="O374" s="76"/>
      <c r="P374" s="76" t="str">
        <f t="shared" si="87"/>
        <v>,shikkan361_start_date</v>
      </c>
      <c r="Q374" s="76" t="str">
        <f t="shared" si="88"/>
        <v>DATE</v>
      </c>
      <c r="R374" s="76" t="str">
        <f t="shared" si="89"/>
        <v/>
      </c>
      <c r="S374" s="76" t="str">
        <f t="shared" si="90"/>
        <v/>
      </c>
      <c r="T374" s="76" t="str">
        <f t="shared" si="91"/>
        <v>-- C768_疾患開始日</v>
      </c>
      <c r="U374" s="4" t="str">
        <f t="shared" si="68"/>
        <v>, CASE WHEN shikkan_disp_name = 'C768' THEN min_shikkan_start_date ::DATE ELSE NULL END AS shikkan361_start_date</v>
      </c>
      <c r="V374" s="25" t="str">
        <f t="shared" si="69"/>
        <v>, max(shikkan361_start_date)</v>
      </c>
      <c r="AA374" s="4"/>
      <c r="AB374" s="4"/>
      <c r="AC374" s="4"/>
      <c r="AD374" s="4"/>
      <c r="AE374" s="4"/>
      <c r="AF374" s="4"/>
      <c r="AG374" s="4"/>
      <c r="AH374" s="4"/>
      <c r="AI374" s="4"/>
      <c r="AJ374" s="76" t="str">
        <f>IF(E374="○",IF(COUNTA(E$13:E374)=1,"",",")&amp;D374,"")</f>
        <v/>
      </c>
      <c r="AK374" s="4"/>
      <c r="AL374" s="4"/>
      <c r="AM374" s="4"/>
      <c r="AN374" s="4"/>
      <c r="AO374" s="4"/>
      <c r="AP374" s="4"/>
      <c r="AQ374" s="4"/>
      <c r="AR374" s="4"/>
      <c r="AS374" s="76" t="str">
        <f>"COMMENT ON COLUMN "&amp;エンティティ一覧!$O$2&amp;"."&amp;D$8&amp;"."&amp;D374&amp;" IS '"&amp;C374&amp;"';"</f>
        <v>COMMENT ON COLUMN milscm_2023_009.sny_202310_annony_shikkan2.shikkan361_start_date IS 'C768_疾患開始日';</v>
      </c>
    </row>
    <row r="375" spans="1:45" s="25" customFormat="1">
      <c r="A375" s="4" t="s">
        <v>5504</v>
      </c>
      <c r="B375" s="21">
        <f t="shared" si="85"/>
        <v>363</v>
      </c>
      <c r="C375" s="13" t="str">
        <f t="shared" si="86"/>
        <v>C770_疾患開始日</v>
      </c>
      <c r="D375" s="13" t="s">
        <v>6022</v>
      </c>
      <c r="E375" s="8"/>
      <c r="F375" s="7" t="s">
        <v>4348</v>
      </c>
      <c r="G375" s="7" t="s">
        <v>25</v>
      </c>
      <c r="H375" s="58"/>
      <c r="I375" s="23"/>
      <c r="J375" s="24"/>
      <c r="M375" s="4"/>
      <c r="N375" s="76"/>
      <c r="O375" s="76"/>
      <c r="P375" s="76" t="str">
        <f t="shared" si="87"/>
        <v>,shikkan362_start_date</v>
      </c>
      <c r="Q375" s="76" t="str">
        <f t="shared" si="88"/>
        <v>DATE</v>
      </c>
      <c r="R375" s="76" t="str">
        <f t="shared" si="89"/>
        <v/>
      </c>
      <c r="S375" s="76" t="str">
        <f t="shared" si="90"/>
        <v/>
      </c>
      <c r="T375" s="76" t="str">
        <f t="shared" si="91"/>
        <v>-- C770_疾患開始日</v>
      </c>
      <c r="U375" s="4" t="str">
        <f t="shared" si="68"/>
        <v>, CASE WHEN shikkan_disp_name = 'C770' THEN min_shikkan_start_date ::DATE ELSE NULL END AS shikkan362_start_date</v>
      </c>
      <c r="V375" s="25" t="str">
        <f t="shared" si="69"/>
        <v>, max(shikkan362_start_date)</v>
      </c>
      <c r="AA375" s="4"/>
      <c r="AB375" s="4"/>
      <c r="AC375" s="4"/>
      <c r="AD375" s="4"/>
      <c r="AE375" s="4"/>
      <c r="AF375" s="4"/>
      <c r="AG375" s="4"/>
      <c r="AH375" s="4"/>
      <c r="AI375" s="4"/>
      <c r="AJ375" s="76" t="str">
        <f>IF(E375="○",IF(COUNTA(E$13:E375)=1,"",",")&amp;D375,"")</f>
        <v/>
      </c>
      <c r="AK375" s="4"/>
      <c r="AL375" s="4"/>
      <c r="AM375" s="4"/>
      <c r="AN375" s="4"/>
      <c r="AO375" s="4"/>
      <c r="AP375" s="4"/>
      <c r="AQ375" s="4"/>
      <c r="AR375" s="4"/>
      <c r="AS375" s="76" t="str">
        <f>"COMMENT ON COLUMN "&amp;エンティティ一覧!$O$2&amp;"."&amp;D$8&amp;"."&amp;D375&amp;" IS '"&amp;C375&amp;"';"</f>
        <v>COMMENT ON COLUMN milscm_2023_009.sny_202310_annony_shikkan2.shikkan362_start_date IS 'C770_疾患開始日';</v>
      </c>
    </row>
    <row r="376" spans="1:45" s="25" customFormat="1">
      <c r="A376" s="4" t="s">
        <v>5505</v>
      </c>
      <c r="B376" s="21">
        <f t="shared" si="85"/>
        <v>364</v>
      </c>
      <c r="C376" s="13" t="str">
        <f t="shared" si="86"/>
        <v>C771_疾患開始日</v>
      </c>
      <c r="D376" s="13" t="s">
        <v>6023</v>
      </c>
      <c r="E376" s="8"/>
      <c r="F376" s="7" t="s">
        <v>4348</v>
      </c>
      <c r="G376" s="7" t="s">
        <v>25</v>
      </c>
      <c r="H376" s="58"/>
      <c r="I376" s="23"/>
      <c r="J376" s="24"/>
      <c r="M376" s="4"/>
      <c r="N376" s="76"/>
      <c r="O376" s="76"/>
      <c r="P376" s="76" t="str">
        <f t="shared" si="87"/>
        <v>,shikkan363_start_date</v>
      </c>
      <c r="Q376" s="76" t="str">
        <f t="shared" si="88"/>
        <v>DATE</v>
      </c>
      <c r="R376" s="76" t="str">
        <f t="shared" si="89"/>
        <v/>
      </c>
      <c r="S376" s="76" t="str">
        <f t="shared" si="90"/>
        <v/>
      </c>
      <c r="T376" s="76" t="str">
        <f t="shared" si="91"/>
        <v>-- C771_疾患開始日</v>
      </c>
      <c r="U376" s="4" t="str">
        <f t="shared" si="68"/>
        <v>, CASE WHEN shikkan_disp_name = 'C771' THEN min_shikkan_start_date ::DATE ELSE NULL END AS shikkan363_start_date</v>
      </c>
      <c r="V376" s="25" t="str">
        <f t="shared" si="69"/>
        <v>, max(shikkan363_start_date)</v>
      </c>
      <c r="AA376" s="4"/>
      <c r="AB376" s="4"/>
      <c r="AC376" s="4"/>
      <c r="AD376" s="4"/>
      <c r="AE376" s="4"/>
      <c r="AF376" s="4"/>
      <c r="AG376" s="4"/>
      <c r="AH376" s="4"/>
      <c r="AI376" s="4"/>
      <c r="AJ376" s="76" t="str">
        <f>IF(E376="○",IF(COUNTA(E$13:E376)=1,"",",")&amp;D376,"")</f>
        <v/>
      </c>
      <c r="AK376" s="4"/>
      <c r="AL376" s="4"/>
      <c r="AM376" s="4"/>
      <c r="AN376" s="4"/>
      <c r="AO376" s="4"/>
      <c r="AP376" s="4"/>
      <c r="AQ376" s="4"/>
      <c r="AR376" s="4"/>
      <c r="AS376" s="76" t="str">
        <f>"COMMENT ON COLUMN "&amp;エンティティ一覧!$O$2&amp;"."&amp;D$8&amp;"."&amp;D376&amp;" IS '"&amp;C376&amp;"';"</f>
        <v>COMMENT ON COLUMN milscm_2023_009.sny_202310_annony_shikkan2.shikkan363_start_date IS 'C771_疾患開始日';</v>
      </c>
    </row>
    <row r="377" spans="1:45" s="25" customFormat="1">
      <c r="A377" s="4" t="s">
        <v>5506</v>
      </c>
      <c r="B377" s="21">
        <f t="shared" si="85"/>
        <v>365</v>
      </c>
      <c r="C377" s="13" t="str">
        <f t="shared" si="86"/>
        <v>C772_疾患開始日</v>
      </c>
      <c r="D377" s="13" t="s">
        <v>6024</v>
      </c>
      <c r="E377" s="8"/>
      <c r="F377" s="7" t="s">
        <v>4348</v>
      </c>
      <c r="G377" s="7" t="s">
        <v>25</v>
      </c>
      <c r="H377" s="58"/>
      <c r="I377" s="23"/>
      <c r="J377" s="24"/>
      <c r="M377" s="4"/>
      <c r="N377" s="76"/>
      <c r="O377" s="76"/>
      <c r="P377" s="76" t="str">
        <f t="shared" si="87"/>
        <v>,shikkan364_start_date</v>
      </c>
      <c r="Q377" s="76" t="str">
        <f t="shared" si="88"/>
        <v>DATE</v>
      </c>
      <c r="R377" s="76" t="str">
        <f t="shared" si="89"/>
        <v/>
      </c>
      <c r="S377" s="76" t="str">
        <f t="shared" si="90"/>
        <v/>
      </c>
      <c r="T377" s="76" t="str">
        <f t="shared" si="91"/>
        <v>-- C772_疾患開始日</v>
      </c>
      <c r="U377" s="4" t="str">
        <f t="shared" si="68"/>
        <v>, CASE WHEN shikkan_disp_name = 'C772' THEN min_shikkan_start_date ::DATE ELSE NULL END AS shikkan364_start_date</v>
      </c>
      <c r="V377" s="25" t="str">
        <f t="shared" si="69"/>
        <v>, max(shikkan364_start_date)</v>
      </c>
      <c r="AA377" s="4"/>
      <c r="AB377" s="4"/>
      <c r="AC377" s="4"/>
      <c r="AD377" s="4"/>
      <c r="AE377" s="4"/>
      <c r="AF377" s="4"/>
      <c r="AG377" s="4"/>
      <c r="AH377" s="4"/>
      <c r="AI377" s="4"/>
      <c r="AJ377" s="76" t="str">
        <f>IF(E377="○",IF(COUNTA(E$13:E377)=1,"",",")&amp;D377,"")</f>
        <v/>
      </c>
      <c r="AK377" s="4"/>
      <c r="AL377" s="4"/>
      <c r="AM377" s="4"/>
      <c r="AN377" s="4"/>
      <c r="AO377" s="4"/>
      <c r="AP377" s="4"/>
      <c r="AQ377" s="4"/>
      <c r="AR377" s="4"/>
      <c r="AS377" s="76" t="str">
        <f>"COMMENT ON COLUMN "&amp;エンティティ一覧!$O$2&amp;"."&amp;D$8&amp;"."&amp;D377&amp;" IS '"&amp;C377&amp;"';"</f>
        <v>COMMENT ON COLUMN milscm_2023_009.sny_202310_annony_shikkan2.shikkan364_start_date IS 'C772_疾患開始日';</v>
      </c>
    </row>
    <row r="378" spans="1:45" s="25" customFormat="1">
      <c r="A378" s="4" t="s">
        <v>5507</v>
      </c>
      <c r="B378" s="21">
        <f t="shared" si="85"/>
        <v>366</v>
      </c>
      <c r="C378" s="13" t="str">
        <f t="shared" si="86"/>
        <v>C773_疾患開始日</v>
      </c>
      <c r="D378" s="13" t="s">
        <v>6025</v>
      </c>
      <c r="E378" s="8"/>
      <c r="F378" s="7" t="s">
        <v>4348</v>
      </c>
      <c r="G378" s="7" t="s">
        <v>25</v>
      </c>
      <c r="H378" s="58"/>
      <c r="I378" s="23"/>
      <c r="J378" s="24"/>
      <c r="M378" s="4"/>
      <c r="N378" s="76"/>
      <c r="O378" s="76"/>
      <c r="P378" s="76" t="str">
        <f t="shared" si="87"/>
        <v>,shikkan365_start_date</v>
      </c>
      <c r="Q378" s="76" t="str">
        <f t="shared" si="88"/>
        <v>DATE</v>
      </c>
      <c r="R378" s="76" t="str">
        <f t="shared" si="89"/>
        <v/>
      </c>
      <c r="S378" s="76" t="str">
        <f t="shared" si="90"/>
        <v/>
      </c>
      <c r="T378" s="76" t="str">
        <f t="shared" si="91"/>
        <v>-- C773_疾患開始日</v>
      </c>
      <c r="U378" s="4" t="str">
        <f t="shared" si="68"/>
        <v>, CASE WHEN shikkan_disp_name = 'C773' THEN min_shikkan_start_date ::DATE ELSE NULL END AS shikkan365_start_date</v>
      </c>
      <c r="V378" s="25" t="str">
        <f t="shared" si="69"/>
        <v>, max(shikkan365_start_date)</v>
      </c>
      <c r="AA378" s="4"/>
      <c r="AB378" s="4"/>
      <c r="AC378" s="4"/>
      <c r="AD378" s="4"/>
      <c r="AE378" s="4"/>
      <c r="AF378" s="4"/>
      <c r="AG378" s="4"/>
      <c r="AH378" s="4"/>
      <c r="AI378" s="4"/>
      <c r="AJ378" s="76" t="str">
        <f>IF(E378="○",IF(COUNTA(E$13:E378)=1,"",",")&amp;D378,"")</f>
        <v/>
      </c>
      <c r="AK378" s="4"/>
      <c r="AL378" s="4"/>
      <c r="AM378" s="4"/>
      <c r="AN378" s="4"/>
      <c r="AO378" s="4"/>
      <c r="AP378" s="4"/>
      <c r="AQ378" s="4"/>
      <c r="AR378" s="4"/>
      <c r="AS378" s="76" t="str">
        <f>"COMMENT ON COLUMN "&amp;エンティティ一覧!$O$2&amp;"."&amp;D$8&amp;"."&amp;D378&amp;" IS '"&amp;C378&amp;"';"</f>
        <v>COMMENT ON COLUMN milscm_2023_009.sny_202310_annony_shikkan2.shikkan365_start_date IS 'C773_疾患開始日';</v>
      </c>
    </row>
    <row r="379" spans="1:45" s="25" customFormat="1">
      <c r="A379" s="4" t="s">
        <v>5508</v>
      </c>
      <c r="B379" s="21">
        <f t="shared" si="85"/>
        <v>367</v>
      </c>
      <c r="C379" s="13" t="str">
        <f t="shared" si="86"/>
        <v>C774_疾患開始日</v>
      </c>
      <c r="D379" s="13" t="s">
        <v>6026</v>
      </c>
      <c r="E379" s="8"/>
      <c r="F379" s="7" t="s">
        <v>4348</v>
      </c>
      <c r="G379" s="7" t="s">
        <v>25</v>
      </c>
      <c r="H379" s="58"/>
      <c r="I379" s="23"/>
      <c r="J379" s="24"/>
      <c r="M379" s="4"/>
      <c r="N379" s="76"/>
      <c r="O379" s="76"/>
      <c r="P379" s="76" t="str">
        <f t="shared" si="87"/>
        <v>,shikkan366_start_date</v>
      </c>
      <c r="Q379" s="76" t="str">
        <f t="shared" si="88"/>
        <v>DATE</v>
      </c>
      <c r="R379" s="76" t="str">
        <f t="shared" si="89"/>
        <v/>
      </c>
      <c r="S379" s="76" t="str">
        <f t="shared" si="90"/>
        <v/>
      </c>
      <c r="T379" s="76" t="str">
        <f t="shared" si="91"/>
        <v>-- C774_疾患開始日</v>
      </c>
      <c r="U379" s="4" t="str">
        <f t="shared" si="68"/>
        <v>, CASE WHEN shikkan_disp_name = 'C774' THEN min_shikkan_start_date ::DATE ELSE NULL END AS shikkan366_start_date</v>
      </c>
      <c r="V379" s="25" t="str">
        <f t="shared" si="69"/>
        <v>, max(shikkan366_start_date)</v>
      </c>
      <c r="AA379" s="4"/>
      <c r="AB379" s="4"/>
      <c r="AC379" s="4"/>
      <c r="AD379" s="4"/>
      <c r="AE379" s="4"/>
      <c r="AF379" s="4"/>
      <c r="AG379" s="4"/>
      <c r="AH379" s="4"/>
      <c r="AI379" s="4"/>
      <c r="AJ379" s="76" t="str">
        <f>IF(E379="○",IF(COUNTA(E$13:E379)=1,"",",")&amp;D379,"")</f>
        <v/>
      </c>
      <c r="AK379" s="4"/>
      <c r="AL379" s="4"/>
      <c r="AM379" s="4"/>
      <c r="AN379" s="4"/>
      <c r="AO379" s="4"/>
      <c r="AP379" s="4"/>
      <c r="AQ379" s="4"/>
      <c r="AR379" s="4"/>
      <c r="AS379" s="76" t="str">
        <f>"COMMENT ON COLUMN "&amp;エンティティ一覧!$O$2&amp;"."&amp;D$8&amp;"."&amp;D379&amp;" IS '"&amp;C379&amp;"';"</f>
        <v>COMMENT ON COLUMN milscm_2023_009.sny_202310_annony_shikkan2.shikkan366_start_date IS 'C774_疾患開始日';</v>
      </c>
    </row>
    <row r="380" spans="1:45" s="25" customFormat="1">
      <c r="A380" s="4" t="s">
        <v>5509</v>
      </c>
      <c r="B380" s="21">
        <f t="shared" si="85"/>
        <v>368</v>
      </c>
      <c r="C380" s="13" t="str">
        <f t="shared" si="86"/>
        <v>C775_疾患開始日</v>
      </c>
      <c r="D380" s="13" t="s">
        <v>6027</v>
      </c>
      <c r="E380" s="8"/>
      <c r="F380" s="7" t="s">
        <v>4348</v>
      </c>
      <c r="G380" s="7" t="s">
        <v>25</v>
      </c>
      <c r="H380" s="58"/>
      <c r="I380" s="23"/>
      <c r="J380" s="24"/>
      <c r="M380" s="4"/>
      <c r="N380" s="76"/>
      <c r="O380" s="76"/>
      <c r="P380" s="76" t="str">
        <f t="shared" si="87"/>
        <v>,shikkan367_start_date</v>
      </c>
      <c r="Q380" s="76" t="str">
        <f t="shared" si="88"/>
        <v>DATE</v>
      </c>
      <c r="R380" s="76" t="str">
        <f t="shared" si="89"/>
        <v/>
      </c>
      <c r="S380" s="76" t="str">
        <f t="shared" si="90"/>
        <v/>
      </c>
      <c r="T380" s="76" t="str">
        <f t="shared" si="91"/>
        <v>-- C775_疾患開始日</v>
      </c>
      <c r="U380" s="4" t="str">
        <f t="shared" si="68"/>
        <v>, CASE WHEN shikkan_disp_name = 'C775' THEN min_shikkan_start_date ::DATE ELSE NULL END AS shikkan367_start_date</v>
      </c>
      <c r="V380" s="25" t="str">
        <f t="shared" si="69"/>
        <v>, max(shikkan367_start_date)</v>
      </c>
      <c r="AA380" s="4"/>
      <c r="AB380" s="4"/>
      <c r="AC380" s="4"/>
      <c r="AD380" s="4"/>
      <c r="AE380" s="4"/>
      <c r="AF380" s="4"/>
      <c r="AG380" s="4"/>
      <c r="AH380" s="4"/>
      <c r="AI380" s="4"/>
      <c r="AJ380" s="76" t="str">
        <f>IF(E380="○",IF(COUNTA(E$13:E380)=1,"",",")&amp;D380,"")</f>
        <v/>
      </c>
      <c r="AK380" s="4"/>
      <c r="AL380" s="4"/>
      <c r="AM380" s="4"/>
      <c r="AN380" s="4"/>
      <c r="AO380" s="4"/>
      <c r="AP380" s="4"/>
      <c r="AQ380" s="4"/>
      <c r="AR380" s="4"/>
      <c r="AS380" s="76" t="str">
        <f>"COMMENT ON COLUMN "&amp;エンティティ一覧!$O$2&amp;"."&amp;D$8&amp;"."&amp;D380&amp;" IS '"&amp;C380&amp;"';"</f>
        <v>COMMENT ON COLUMN milscm_2023_009.sny_202310_annony_shikkan2.shikkan367_start_date IS 'C775_疾患開始日';</v>
      </c>
    </row>
    <row r="381" spans="1:45" s="25" customFormat="1">
      <c r="A381" s="4" t="s">
        <v>5510</v>
      </c>
      <c r="B381" s="21">
        <f t="shared" si="85"/>
        <v>369</v>
      </c>
      <c r="C381" s="13" t="str">
        <f t="shared" si="86"/>
        <v>C778_疾患開始日</v>
      </c>
      <c r="D381" s="13" t="s">
        <v>6028</v>
      </c>
      <c r="E381" s="8"/>
      <c r="F381" s="7" t="s">
        <v>4348</v>
      </c>
      <c r="G381" s="7" t="s">
        <v>99</v>
      </c>
      <c r="H381" s="58"/>
      <c r="I381" s="23"/>
      <c r="J381" s="24"/>
      <c r="M381" s="4"/>
      <c r="N381" s="76"/>
      <c r="O381" s="76"/>
      <c r="P381" s="76" t="str">
        <f t="shared" si="87"/>
        <v>,shikkan368_start_date</v>
      </c>
      <c r="Q381" s="76" t="str">
        <f t="shared" si="88"/>
        <v>DATE</v>
      </c>
      <c r="R381" s="76" t="str">
        <f t="shared" si="89"/>
        <v/>
      </c>
      <c r="S381" s="76" t="str">
        <f t="shared" si="90"/>
        <v/>
      </c>
      <c r="T381" s="76" t="str">
        <f t="shared" si="91"/>
        <v>-- C778_疾患開始日</v>
      </c>
      <c r="U381" s="4" t="str">
        <f t="shared" si="68"/>
        <v>, CASE WHEN shikkan_disp_name = 'C778' THEN min_shikkan_start_date ::DATE ELSE NULL END AS shikkan368_start_date</v>
      </c>
      <c r="V381" s="25" t="str">
        <f t="shared" si="69"/>
        <v>, max(shikkan368_start_date)</v>
      </c>
      <c r="AA381" s="4"/>
      <c r="AB381" s="4"/>
      <c r="AC381" s="4"/>
      <c r="AD381" s="4"/>
      <c r="AE381" s="4"/>
      <c r="AF381" s="4"/>
      <c r="AG381" s="4"/>
      <c r="AH381" s="4"/>
      <c r="AI381" s="4"/>
      <c r="AJ381" s="76" t="str">
        <f>IF(E381="○",IF(COUNTA(E$13:E381)=1,"",",")&amp;D381,"")</f>
        <v/>
      </c>
      <c r="AK381" s="4"/>
      <c r="AL381" s="4"/>
      <c r="AM381" s="4"/>
      <c r="AN381" s="4"/>
      <c r="AO381" s="4"/>
      <c r="AP381" s="4"/>
      <c r="AQ381" s="4"/>
      <c r="AR381" s="4"/>
      <c r="AS381" s="76" t="str">
        <f>"COMMENT ON COLUMN "&amp;エンティティ一覧!$O$2&amp;"."&amp;D$8&amp;"."&amp;D381&amp;" IS '"&amp;C381&amp;"';"</f>
        <v>COMMENT ON COLUMN milscm_2023_009.sny_202310_annony_shikkan2.shikkan368_start_date IS 'C778_疾患開始日';</v>
      </c>
    </row>
    <row r="382" spans="1:45" s="25" customFormat="1">
      <c r="A382" s="4" t="s">
        <v>5511</v>
      </c>
      <c r="B382" s="21">
        <f t="shared" si="85"/>
        <v>370</v>
      </c>
      <c r="C382" s="13" t="str">
        <f t="shared" si="86"/>
        <v>C779_疾患開始日</v>
      </c>
      <c r="D382" s="13" t="s">
        <v>6029</v>
      </c>
      <c r="E382" s="8"/>
      <c r="F382" s="7" t="s">
        <v>4348</v>
      </c>
      <c r="G382" s="7" t="s">
        <v>25</v>
      </c>
      <c r="H382" s="58"/>
      <c r="I382" s="23"/>
      <c r="J382" s="24"/>
      <c r="M382" s="4"/>
      <c r="N382" s="76"/>
      <c r="O382" s="76"/>
      <c r="P382" s="76" t="str">
        <f t="shared" si="87"/>
        <v>,shikkan369_start_date</v>
      </c>
      <c r="Q382" s="76" t="str">
        <f t="shared" si="88"/>
        <v>DATE</v>
      </c>
      <c r="R382" s="76" t="str">
        <f t="shared" si="89"/>
        <v/>
      </c>
      <c r="S382" s="76" t="str">
        <f t="shared" si="90"/>
        <v/>
      </c>
      <c r="T382" s="76" t="str">
        <f t="shared" si="91"/>
        <v>-- C779_疾患開始日</v>
      </c>
      <c r="U382" s="4" t="str">
        <f t="shared" si="68"/>
        <v>, CASE WHEN shikkan_disp_name = 'C779' THEN min_shikkan_start_date ::DATE ELSE NULL END AS shikkan369_start_date</v>
      </c>
      <c r="V382" s="25" t="str">
        <f t="shared" si="69"/>
        <v>, max(shikkan369_start_date)</v>
      </c>
      <c r="AA382" s="4"/>
      <c r="AB382" s="4"/>
      <c r="AC382" s="4"/>
      <c r="AD382" s="4"/>
      <c r="AE382" s="4"/>
      <c r="AF382" s="4"/>
      <c r="AG382" s="4"/>
      <c r="AH382" s="4"/>
      <c r="AI382" s="4"/>
      <c r="AJ382" s="76" t="str">
        <f>IF(E382="○",IF(COUNTA(E$13:E382)=1,"",",")&amp;D382,"")</f>
        <v/>
      </c>
      <c r="AK382" s="4"/>
      <c r="AL382" s="4"/>
      <c r="AM382" s="4"/>
      <c r="AN382" s="4"/>
      <c r="AO382" s="4"/>
      <c r="AP382" s="4"/>
      <c r="AQ382" s="4"/>
      <c r="AR382" s="4"/>
      <c r="AS382" s="76" t="str">
        <f>"COMMENT ON COLUMN "&amp;エンティティ一覧!$O$2&amp;"."&amp;D$8&amp;"."&amp;D382&amp;" IS '"&amp;C382&amp;"';"</f>
        <v>COMMENT ON COLUMN milscm_2023_009.sny_202310_annony_shikkan2.shikkan369_start_date IS 'C779_疾患開始日';</v>
      </c>
    </row>
    <row r="383" spans="1:45" s="25" customFormat="1">
      <c r="A383" s="4" t="s">
        <v>5512</v>
      </c>
      <c r="B383" s="21">
        <f t="shared" si="85"/>
        <v>371</v>
      </c>
      <c r="C383" s="13" t="str">
        <f t="shared" si="86"/>
        <v>C780_疾患開始日</v>
      </c>
      <c r="D383" s="13" t="s">
        <v>6030</v>
      </c>
      <c r="E383" s="8"/>
      <c r="F383" s="7" t="s">
        <v>4348</v>
      </c>
      <c r="G383" s="7" t="s">
        <v>25</v>
      </c>
      <c r="H383" s="58"/>
      <c r="I383" s="23"/>
      <c r="J383" s="24"/>
      <c r="M383" s="4"/>
      <c r="N383" s="76"/>
      <c r="O383" s="76"/>
      <c r="P383" s="76" t="str">
        <f t="shared" si="87"/>
        <v>,shikkan370_start_date</v>
      </c>
      <c r="Q383" s="76" t="str">
        <f t="shared" si="88"/>
        <v>DATE</v>
      </c>
      <c r="R383" s="76" t="str">
        <f t="shared" si="89"/>
        <v/>
      </c>
      <c r="S383" s="76" t="str">
        <f t="shared" si="90"/>
        <v/>
      </c>
      <c r="T383" s="76" t="str">
        <f t="shared" si="91"/>
        <v>-- C780_疾患開始日</v>
      </c>
      <c r="U383" s="4" t="str">
        <f t="shared" si="68"/>
        <v>, CASE WHEN shikkan_disp_name = 'C780' THEN min_shikkan_start_date ::DATE ELSE NULL END AS shikkan370_start_date</v>
      </c>
      <c r="V383" s="25" t="str">
        <f t="shared" si="69"/>
        <v>, max(shikkan370_start_date)</v>
      </c>
      <c r="AA383" s="4"/>
      <c r="AB383" s="4"/>
      <c r="AC383" s="4"/>
      <c r="AD383" s="4"/>
      <c r="AE383" s="4"/>
      <c r="AF383" s="4"/>
      <c r="AG383" s="4"/>
      <c r="AH383" s="4"/>
      <c r="AI383" s="4"/>
      <c r="AJ383" s="76" t="str">
        <f>IF(E383="○",IF(COUNTA(E$13:E383)=1,"",",")&amp;D383,"")</f>
        <v/>
      </c>
      <c r="AK383" s="4"/>
      <c r="AL383" s="4"/>
      <c r="AM383" s="4"/>
      <c r="AN383" s="4"/>
      <c r="AO383" s="4"/>
      <c r="AP383" s="4"/>
      <c r="AQ383" s="4"/>
      <c r="AR383" s="4"/>
      <c r="AS383" s="76" t="str">
        <f>"COMMENT ON COLUMN "&amp;エンティティ一覧!$O$2&amp;"."&amp;D$8&amp;"."&amp;D383&amp;" IS '"&amp;C383&amp;"';"</f>
        <v>COMMENT ON COLUMN milscm_2023_009.sny_202310_annony_shikkan2.shikkan370_start_date IS 'C780_疾患開始日';</v>
      </c>
    </row>
    <row r="384" spans="1:45" s="25" customFormat="1">
      <c r="A384" s="4" t="s">
        <v>5513</v>
      </c>
      <c r="B384" s="21">
        <f t="shared" si="85"/>
        <v>372</v>
      </c>
      <c r="C384" s="13" t="str">
        <f t="shared" si="86"/>
        <v>C781_疾患開始日</v>
      </c>
      <c r="D384" s="13" t="s">
        <v>6031</v>
      </c>
      <c r="E384" s="8"/>
      <c r="F384" s="7" t="s">
        <v>4348</v>
      </c>
      <c r="G384" s="7" t="s">
        <v>25</v>
      </c>
      <c r="H384" s="58"/>
      <c r="I384" s="23"/>
      <c r="J384" s="24"/>
      <c r="M384" s="4"/>
      <c r="N384" s="76"/>
      <c r="O384" s="76"/>
      <c r="P384" s="76" t="str">
        <f t="shared" si="87"/>
        <v>,shikkan371_start_date</v>
      </c>
      <c r="Q384" s="76" t="str">
        <f t="shared" si="88"/>
        <v>DATE</v>
      </c>
      <c r="R384" s="76" t="str">
        <f t="shared" si="89"/>
        <v/>
      </c>
      <c r="S384" s="76" t="str">
        <f t="shared" si="90"/>
        <v/>
      </c>
      <c r="T384" s="76" t="str">
        <f t="shared" si="91"/>
        <v>-- C781_疾患開始日</v>
      </c>
      <c r="U384" s="4" t="str">
        <f t="shared" si="68"/>
        <v>, CASE WHEN shikkan_disp_name = 'C781' THEN min_shikkan_start_date ::DATE ELSE NULL END AS shikkan371_start_date</v>
      </c>
      <c r="V384" s="25" t="str">
        <f t="shared" si="69"/>
        <v>, max(shikkan371_start_date)</v>
      </c>
      <c r="AA384" s="4"/>
      <c r="AB384" s="4"/>
      <c r="AC384" s="4"/>
      <c r="AD384" s="4"/>
      <c r="AE384" s="4"/>
      <c r="AF384" s="4"/>
      <c r="AG384" s="4"/>
      <c r="AH384" s="4"/>
      <c r="AI384" s="4"/>
      <c r="AJ384" s="76" t="str">
        <f>IF(E384="○",IF(COUNTA(E$13:E384)=1,"",",")&amp;D384,"")</f>
        <v/>
      </c>
      <c r="AK384" s="4"/>
      <c r="AL384" s="4"/>
      <c r="AM384" s="4"/>
      <c r="AN384" s="4"/>
      <c r="AO384" s="4"/>
      <c r="AP384" s="4"/>
      <c r="AQ384" s="4"/>
      <c r="AR384" s="4"/>
      <c r="AS384" s="76" t="str">
        <f>"COMMENT ON COLUMN "&amp;エンティティ一覧!$O$2&amp;"."&amp;D$8&amp;"."&amp;D384&amp;" IS '"&amp;C384&amp;"';"</f>
        <v>COMMENT ON COLUMN milscm_2023_009.sny_202310_annony_shikkan2.shikkan371_start_date IS 'C781_疾患開始日';</v>
      </c>
    </row>
    <row r="385" spans="1:45" s="25" customFormat="1">
      <c r="A385" s="4" t="s">
        <v>5514</v>
      </c>
      <c r="B385" s="21">
        <f t="shared" si="85"/>
        <v>373</v>
      </c>
      <c r="C385" s="13" t="str">
        <f t="shared" si="86"/>
        <v>C782_疾患開始日</v>
      </c>
      <c r="D385" s="13" t="s">
        <v>6032</v>
      </c>
      <c r="E385" s="8"/>
      <c r="F385" s="7" t="s">
        <v>4348</v>
      </c>
      <c r="G385" s="7" t="s">
        <v>25</v>
      </c>
      <c r="H385" s="58"/>
      <c r="I385" s="23"/>
      <c r="J385" s="24"/>
      <c r="M385" s="4"/>
      <c r="N385" s="76"/>
      <c r="O385" s="76"/>
      <c r="P385" s="76" t="str">
        <f t="shared" si="87"/>
        <v>,shikkan372_start_date</v>
      </c>
      <c r="Q385" s="76" t="str">
        <f t="shared" si="88"/>
        <v>DATE</v>
      </c>
      <c r="R385" s="76" t="str">
        <f t="shared" si="89"/>
        <v/>
      </c>
      <c r="S385" s="76" t="str">
        <f t="shared" si="90"/>
        <v/>
      </c>
      <c r="T385" s="76" t="str">
        <f t="shared" si="91"/>
        <v>-- C782_疾患開始日</v>
      </c>
      <c r="U385" s="4" t="str">
        <f t="shared" si="68"/>
        <v>, CASE WHEN shikkan_disp_name = 'C782' THEN min_shikkan_start_date ::DATE ELSE NULL END AS shikkan372_start_date</v>
      </c>
      <c r="V385" s="25" t="str">
        <f t="shared" si="69"/>
        <v>, max(shikkan372_start_date)</v>
      </c>
      <c r="AA385" s="4"/>
      <c r="AB385" s="4"/>
      <c r="AC385" s="4"/>
      <c r="AD385" s="4"/>
      <c r="AE385" s="4"/>
      <c r="AF385" s="4"/>
      <c r="AG385" s="4"/>
      <c r="AH385" s="4"/>
      <c r="AI385" s="4"/>
      <c r="AJ385" s="76" t="str">
        <f>IF(E385="○",IF(COUNTA(E$13:E385)=1,"",",")&amp;D385,"")</f>
        <v/>
      </c>
      <c r="AK385" s="4"/>
      <c r="AL385" s="4"/>
      <c r="AM385" s="4"/>
      <c r="AN385" s="4"/>
      <c r="AO385" s="4"/>
      <c r="AP385" s="4"/>
      <c r="AQ385" s="4"/>
      <c r="AR385" s="4"/>
      <c r="AS385" s="76" t="str">
        <f>"COMMENT ON COLUMN "&amp;エンティティ一覧!$O$2&amp;"."&amp;D$8&amp;"."&amp;D385&amp;" IS '"&amp;C385&amp;"';"</f>
        <v>COMMENT ON COLUMN milscm_2023_009.sny_202310_annony_shikkan2.shikkan372_start_date IS 'C782_疾患開始日';</v>
      </c>
    </row>
    <row r="386" spans="1:45" s="25" customFormat="1">
      <c r="A386" s="4" t="s">
        <v>5515</v>
      </c>
      <c r="B386" s="21">
        <f t="shared" si="85"/>
        <v>374</v>
      </c>
      <c r="C386" s="13" t="str">
        <f t="shared" si="86"/>
        <v>C783_疾患開始日</v>
      </c>
      <c r="D386" s="13" t="s">
        <v>6033</v>
      </c>
      <c r="E386" s="8"/>
      <c r="F386" s="7" t="s">
        <v>4348</v>
      </c>
      <c r="G386" s="7" t="s">
        <v>25</v>
      </c>
      <c r="H386" s="58"/>
      <c r="I386" s="23"/>
      <c r="J386" s="24"/>
      <c r="M386" s="4"/>
      <c r="N386" s="76"/>
      <c r="O386" s="76"/>
      <c r="P386" s="76" t="str">
        <f t="shared" si="87"/>
        <v>,shikkan373_start_date</v>
      </c>
      <c r="Q386" s="76" t="str">
        <f t="shared" si="88"/>
        <v>DATE</v>
      </c>
      <c r="R386" s="76" t="str">
        <f t="shared" si="89"/>
        <v/>
      </c>
      <c r="S386" s="76" t="str">
        <f t="shared" si="90"/>
        <v/>
      </c>
      <c r="T386" s="76" t="str">
        <f t="shared" si="91"/>
        <v>-- C783_疾患開始日</v>
      </c>
      <c r="U386" s="4" t="str">
        <f t="shared" si="68"/>
        <v>, CASE WHEN shikkan_disp_name = 'C783' THEN min_shikkan_start_date ::DATE ELSE NULL END AS shikkan373_start_date</v>
      </c>
      <c r="V386" s="25" t="str">
        <f t="shared" si="69"/>
        <v>, max(shikkan373_start_date)</v>
      </c>
      <c r="AA386" s="4"/>
      <c r="AB386" s="4"/>
      <c r="AC386" s="4"/>
      <c r="AD386" s="4"/>
      <c r="AE386" s="4"/>
      <c r="AF386" s="4"/>
      <c r="AG386" s="4"/>
      <c r="AH386" s="4"/>
      <c r="AI386" s="4"/>
      <c r="AJ386" s="76" t="str">
        <f>IF(E386="○",IF(COUNTA(E$13:E386)=1,"",",")&amp;D386,"")</f>
        <v/>
      </c>
      <c r="AK386" s="4"/>
      <c r="AL386" s="4"/>
      <c r="AM386" s="4"/>
      <c r="AN386" s="4"/>
      <c r="AO386" s="4"/>
      <c r="AP386" s="4"/>
      <c r="AQ386" s="4"/>
      <c r="AR386" s="4"/>
      <c r="AS386" s="76" t="str">
        <f>"COMMENT ON COLUMN "&amp;エンティティ一覧!$O$2&amp;"."&amp;D$8&amp;"."&amp;D386&amp;" IS '"&amp;C386&amp;"';"</f>
        <v>COMMENT ON COLUMN milscm_2023_009.sny_202310_annony_shikkan2.shikkan373_start_date IS 'C783_疾患開始日';</v>
      </c>
    </row>
    <row r="387" spans="1:45" s="25" customFormat="1">
      <c r="A387" s="4" t="s">
        <v>5516</v>
      </c>
      <c r="B387" s="21">
        <f t="shared" si="85"/>
        <v>375</v>
      </c>
      <c r="C387" s="13" t="str">
        <f t="shared" si="86"/>
        <v>C784_疾患開始日</v>
      </c>
      <c r="D387" s="13" t="s">
        <v>6034</v>
      </c>
      <c r="E387" s="8"/>
      <c r="F387" s="7" t="s">
        <v>4348</v>
      </c>
      <c r="G387" s="7" t="s">
        <v>25</v>
      </c>
      <c r="H387" s="58"/>
      <c r="I387" s="23"/>
      <c r="J387" s="24"/>
      <c r="M387" s="4"/>
      <c r="N387" s="76"/>
      <c r="O387" s="76"/>
      <c r="P387" s="76" t="str">
        <f t="shared" si="87"/>
        <v>,shikkan374_start_date</v>
      </c>
      <c r="Q387" s="76" t="str">
        <f t="shared" si="88"/>
        <v>DATE</v>
      </c>
      <c r="R387" s="76" t="str">
        <f t="shared" si="89"/>
        <v/>
      </c>
      <c r="S387" s="76" t="str">
        <f t="shared" si="90"/>
        <v/>
      </c>
      <c r="T387" s="76" t="str">
        <f t="shared" si="91"/>
        <v>-- C784_疾患開始日</v>
      </c>
      <c r="U387" s="4" t="str">
        <f t="shared" si="68"/>
        <v>, CASE WHEN shikkan_disp_name = 'C784' THEN min_shikkan_start_date ::DATE ELSE NULL END AS shikkan374_start_date</v>
      </c>
      <c r="V387" s="25" t="str">
        <f t="shared" si="69"/>
        <v>, max(shikkan374_start_date)</v>
      </c>
      <c r="AA387" s="4"/>
      <c r="AB387" s="4"/>
      <c r="AC387" s="4"/>
      <c r="AD387" s="4"/>
      <c r="AE387" s="4"/>
      <c r="AF387" s="4"/>
      <c r="AG387" s="4"/>
      <c r="AH387" s="4"/>
      <c r="AI387" s="4"/>
      <c r="AJ387" s="76" t="str">
        <f>IF(E387="○",IF(COUNTA(E$13:E387)=1,"",",")&amp;D387,"")</f>
        <v/>
      </c>
      <c r="AK387" s="4"/>
      <c r="AL387" s="4"/>
      <c r="AM387" s="4"/>
      <c r="AN387" s="4"/>
      <c r="AO387" s="4"/>
      <c r="AP387" s="4"/>
      <c r="AQ387" s="4"/>
      <c r="AR387" s="4"/>
      <c r="AS387" s="76" t="str">
        <f>"COMMENT ON COLUMN "&amp;エンティティ一覧!$O$2&amp;"."&amp;D$8&amp;"."&amp;D387&amp;" IS '"&amp;C387&amp;"';"</f>
        <v>COMMENT ON COLUMN milscm_2023_009.sny_202310_annony_shikkan2.shikkan374_start_date IS 'C784_疾患開始日';</v>
      </c>
    </row>
    <row r="388" spans="1:45" s="25" customFormat="1">
      <c r="A388" s="4" t="s">
        <v>5517</v>
      </c>
      <c r="B388" s="21">
        <f t="shared" si="85"/>
        <v>376</v>
      </c>
      <c r="C388" s="13" t="str">
        <f t="shared" si="86"/>
        <v>C785_疾患開始日</v>
      </c>
      <c r="D388" s="13" t="s">
        <v>6035</v>
      </c>
      <c r="E388" s="8"/>
      <c r="F388" s="7" t="s">
        <v>4348</v>
      </c>
      <c r="G388" s="7" t="s">
        <v>25</v>
      </c>
      <c r="H388" s="58"/>
      <c r="I388" s="23"/>
      <c r="J388" s="24"/>
      <c r="M388" s="4"/>
      <c r="N388" s="76"/>
      <c r="O388" s="76"/>
      <c r="P388" s="76" t="str">
        <f t="shared" si="87"/>
        <v>,shikkan375_start_date</v>
      </c>
      <c r="Q388" s="76" t="str">
        <f t="shared" si="88"/>
        <v>DATE</v>
      </c>
      <c r="R388" s="76" t="str">
        <f t="shared" si="89"/>
        <v/>
      </c>
      <c r="S388" s="76" t="str">
        <f t="shared" si="90"/>
        <v/>
      </c>
      <c r="T388" s="76" t="str">
        <f t="shared" si="91"/>
        <v>-- C785_疾患開始日</v>
      </c>
      <c r="U388" s="4" t="str">
        <f t="shared" si="68"/>
        <v>, CASE WHEN shikkan_disp_name = 'C785' THEN min_shikkan_start_date ::DATE ELSE NULL END AS shikkan375_start_date</v>
      </c>
      <c r="V388" s="25" t="str">
        <f t="shared" si="69"/>
        <v>, max(shikkan375_start_date)</v>
      </c>
      <c r="AA388" s="4"/>
      <c r="AB388" s="4"/>
      <c r="AC388" s="4"/>
      <c r="AD388" s="4"/>
      <c r="AE388" s="4"/>
      <c r="AF388" s="4"/>
      <c r="AG388" s="4"/>
      <c r="AH388" s="4"/>
      <c r="AI388" s="4"/>
      <c r="AJ388" s="76" t="str">
        <f>IF(E388="○",IF(COUNTA(E$13:E388)=1,"",",")&amp;D388,"")</f>
        <v/>
      </c>
      <c r="AK388" s="4"/>
      <c r="AL388" s="4"/>
      <c r="AM388" s="4"/>
      <c r="AN388" s="4"/>
      <c r="AO388" s="4"/>
      <c r="AP388" s="4"/>
      <c r="AQ388" s="4"/>
      <c r="AR388" s="4"/>
      <c r="AS388" s="76" t="str">
        <f>"COMMENT ON COLUMN "&amp;エンティティ一覧!$O$2&amp;"."&amp;D$8&amp;"."&amp;D388&amp;" IS '"&amp;C388&amp;"';"</f>
        <v>COMMENT ON COLUMN milscm_2023_009.sny_202310_annony_shikkan2.shikkan375_start_date IS 'C785_疾患開始日';</v>
      </c>
    </row>
    <row r="389" spans="1:45" s="25" customFormat="1">
      <c r="A389" s="4" t="s">
        <v>5518</v>
      </c>
      <c r="B389" s="21">
        <f t="shared" si="85"/>
        <v>377</v>
      </c>
      <c r="C389" s="13" t="str">
        <f t="shared" si="86"/>
        <v>C786_疾患開始日</v>
      </c>
      <c r="D389" s="13" t="s">
        <v>6036</v>
      </c>
      <c r="E389" s="8"/>
      <c r="F389" s="7" t="s">
        <v>4348</v>
      </c>
      <c r="G389" s="7" t="s">
        <v>25</v>
      </c>
      <c r="H389" s="58"/>
      <c r="I389" s="23"/>
      <c r="J389" s="24"/>
      <c r="M389" s="4"/>
      <c r="N389" s="76"/>
      <c r="O389" s="76"/>
      <c r="P389" s="76" t="str">
        <f t="shared" si="87"/>
        <v>,shikkan376_start_date</v>
      </c>
      <c r="Q389" s="76" t="str">
        <f t="shared" si="88"/>
        <v>DATE</v>
      </c>
      <c r="R389" s="76" t="str">
        <f t="shared" si="89"/>
        <v/>
      </c>
      <c r="S389" s="76" t="str">
        <f t="shared" si="90"/>
        <v/>
      </c>
      <c r="T389" s="76" t="str">
        <f t="shared" si="91"/>
        <v>-- C786_疾患開始日</v>
      </c>
      <c r="U389" s="4" t="str">
        <f t="shared" si="68"/>
        <v>, CASE WHEN shikkan_disp_name = 'C786' THEN min_shikkan_start_date ::DATE ELSE NULL END AS shikkan376_start_date</v>
      </c>
      <c r="V389" s="25" t="str">
        <f t="shared" si="69"/>
        <v>, max(shikkan376_start_date)</v>
      </c>
      <c r="AA389" s="4"/>
      <c r="AB389" s="4"/>
      <c r="AC389" s="4"/>
      <c r="AD389" s="4"/>
      <c r="AE389" s="4"/>
      <c r="AF389" s="4"/>
      <c r="AG389" s="4"/>
      <c r="AH389" s="4"/>
      <c r="AI389" s="4"/>
      <c r="AJ389" s="76" t="str">
        <f>IF(E389="○",IF(COUNTA(E$13:E389)=1,"",",")&amp;D389,"")</f>
        <v/>
      </c>
      <c r="AK389" s="4"/>
      <c r="AL389" s="4"/>
      <c r="AM389" s="4"/>
      <c r="AN389" s="4"/>
      <c r="AO389" s="4"/>
      <c r="AP389" s="4"/>
      <c r="AQ389" s="4"/>
      <c r="AR389" s="4"/>
      <c r="AS389" s="76" t="str">
        <f>"COMMENT ON COLUMN "&amp;エンティティ一覧!$O$2&amp;"."&amp;D$8&amp;"."&amp;D389&amp;" IS '"&amp;C389&amp;"';"</f>
        <v>COMMENT ON COLUMN milscm_2023_009.sny_202310_annony_shikkan2.shikkan376_start_date IS 'C786_疾患開始日';</v>
      </c>
    </row>
    <row r="390" spans="1:45" s="25" customFormat="1">
      <c r="A390" s="4" t="s">
        <v>5519</v>
      </c>
      <c r="B390" s="21">
        <f t="shared" si="85"/>
        <v>378</v>
      </c>
      <c r="C390" s="13" t="str">
        <f t="shared" si="86"/>
        <v>C787_疾患開始日</v>
      </c>
      <c r="D390" s="13" t="s">
        <v>6037</v>
      </c>
      <c r="E390" s="8"/>
      <c r="F390" s="7" t="s">
        <v>4348</v>
      </c>
      <c r="G390" s="7" t="s">
        <v>25</v>
      </c>
      <c r="H390" s="58"/>
      <c r="I390" s="23"/>
      <c r="J390" s="24"/>
      <c r="M390" s="4"/>
      <c r="N390" s="76"/>
      <c r="O390" s="76"/>
      <c r="P390" s="76" t="str">
        <f t="shared" si="87"/>
        <v>,shikkan377_start_date</v>
      </c>
      <c r="Q390" s="76" t="str">
        <f t="shared" si="88"/>
        <v>DATE</v>
      </c>
      <c r="R390" s="76" t="str">
        <f t="shared" si="89"/>
        <v/>
      </c>
      <c r="S390" s="76" t="str">
        <f t="shared" si="90"/>
        <v/>
      </c>
      <c r="T390" s="76" t="str">
        <f t="shared" si="91"/>
        <v>-- C787_疾患開始日</v>
      </c>
      <c r="U390" s="4" t="str">
        <f t="shared" si="68"/>
        <v>, CASE WHEN shikkan_disp_name = 'C787' THEN min_shikkan_start_date ::DATE ELSE NULL END AS shikkan377_start_date</v>
      </c>
      <c r="V390" s="25" t="str">
        <f t="shared" si="69"/>
        <v>, max(shikkan377_start_date)</v>
      </c>
      <c r="AA390" s="4"/>
      <c r="AB390" s="4"/>
      <c r="AC390" s="4"/>
      <c r="AD390" s="4"/>
      <c r="AE390" s="4"/>
      <c r="AF390" s="4"/>
      <c r="AG390" s="4"/>
      <c r="AH390" s="4"/>
      <c r="AI390" s="4"/>
      <c r="AJ390" s="76" t="str">
        <f>IF(E390="○",IF(COUNTA(E$13:E390)=1,"",",")&amp;D390,"")</f>
        <v/>
      </c>
      <c r="AK390" s="4"/>
      <c r="AL390" s="4"/>
      <c r="AM390" s="4"/>
      <c r="AN390" s="4"/>
      <c r="AO390" s="4"/>
      <c r="AP390" s="4"/>
      <c r="AQ390" s="4"/>
      <c r="AR390" s="4"/>
      <c r="AS390" s="76" t="str">
        <f>"COMMENT ON COLUMN "&amp;エンティティ一覧!$O$2&amp;"."&amp;D$8&amp;"."&amp;D390&amp;" IS '"&amp;C390&amp;"';"</f>
        <v>COMMENT ON COLUMN milscm_2023_009.sny_202310_annony_shikkan2.shikkan377_start_date IS 'C787_疾患開始日';</v>
      </c>
    </row>
    <row r="391" spans="1:45" s="25" customFormat="1">
      <c r="A391" s="4" t="s">
        <v>5520</v>
      </c>
      <c r="B391" s="21">
        <f t="shared" si="85"/>
        <v>379</v>
      </c>
      <c r="C391" s="13" t="str">
        <f t="shared" si="86"/>
        <v>C788_疾患開始日</v>
      </c>
      <c r="D391" s="13" t="s">
        <v>6038</v>
      </c>
      <c r="E391" s="8"/>
      <c r="F391" s="7" t="s">
        <v>4348</v>
      </c>
      <c r="G391" s="7" t="s">
        <v>25</v>
      </c>
      <c r="H391" s="58"/>
      <c r="I391" s="23"/>
      <c r="J391" s="24"/>
      <c r="M391" s="4"/>
      <c r="N391" s="76"/>
      <c r="O391" s="76"/>
      <c r="P391" s="76" t="str">
        <f t="shared" si="87"/>
        <v>,shikkan378_start_date</v>
      </c>
      <c r="Q391" s="76" t="str">
        <f t="shared" si="88"/>
        <v>DATE</v>
      </c>
      <c r="R391" s="76" t="str">
        <f t="shared" si="89"/>
        <v/>
      </c>
      <c r="S391" s="76" t="str">
        <f t="shared" si="90"/>
        <v/>
      </c>
      <c r="T391" s="76" t="str">
        <f t="shared" si="91"/>
        <v>-- C788_疾患開始日</v>
      </c>
      <c r="U391" s="4" t="str">
        <f t="shared" si="68"/>
        <v>, CASE WHEN shikkan_disp_name = 'C788' THEN min_shikkan_start_date ::DATE ELSE NULL END AS shikkan378_start_date</v>
      </c>
      <c r="V391" s="25" t="str">
        <f t="shared" si="69"/>
        <v>, max(shikkan378_start_date)</v>
      </c>
      <c r="AA391" s="4"/>
      <c r="AB391" s="4"/>
      <c r="AC391" s="4"/>
      <c r="AD391" s="4"/>
      <c r="AE391" s="4"/>
      <c r="AF391" s="4"/>
      <c r="AG391" s="4"/>
      <c r="AH391" s="4"/>
      <c r="AI391" s="4"/>
      <c r="AJ391" s="76" t="str">
        <f>IF(E391="○",IF(COUNTA(E$13:E391)=1,"",",")&amp;D391,"")</f>
        <v/>
      </c>
      <c r="AK391" s="4"/>
      <c r="AL391" s="4"/>
      <c r="AM391" s="4"/>
      <c r="AN391" s="4"/>
      <c r="AO391" s="4"/>
      <c r="AP391" s="4"/>
      <c r="AQ391" s="4"/>
      <c r="AR391" s="4"/>
      <c r="AS391" s="76" t="str">
        <f>"COMMENT ON COLUMN "&amp;エンティティ一覧!$O$2&amp;"."&amp;D$8&amp;"."&amp;D391&amp;" IS '"&amp;C391&amp;"';"</f>
        <v>COMMENT ON COLUMN milscm_2023_009.sny_202310_annony_shikkan2.shikkan378_start_date IS 'C788_疾患開始日';</v>
      </c>
    </row>
    <row r="392" spans="1:45" s="25" customFormat="1">
      <c r="A392" s="4" t="s">
        <v>5521</v>
      </c>
      <c r="B392" s="21">
        <f t="shared" si="85"/>
        <v>380</v>
      </c>
      <c r="C392" s="13" t="str">
        <f t="shared" si="86"/>
        <v>C790_疾患開始日</v>
      </c>
      <c r="D392" s="13" t="s">
        <v>6039</v>
      </c>
      <c r="E392" s="8"/>
      <c r="F392" s="7" t="s">
        <v>4348</v>
      </c>
      <c r="G392" s="7" t="s">
        <v>25</v>
      </c>
      <c r="H392" s="58"/>
      <c r="I392" s="23"/>
      <c r="J392" s="24"/>
      <c r="M392" s="4"/>
      <c r="N392" s="76"/>
      <c r="O392" s="76"/>
      <c r="P392" s="76" t="str">
        <f t="shared" si="87"/>
        <v>,shikkan379_start_date</v>
      </c>
      <c r="Q392" s="76" t="str">
        <f t="shared" si="88"/>
        <v>DATE</v>
      </c>
      <c r="R392" s="76" t="str">
        <f t="shared" si="89"/>
        <v/>
      </c>
      <c r="S392" s="76" t="str">
        <f t="shared" si="90"/>
        <v/>
      </c>
      <c r="T392" s="76" t="str">
        <f t="shared" si="91"/>
        <v>-- C790_疾患開始日</v>
      </c>
      <c r="U392" s="4" t="str">
        <f t="shared" si="68"/>
        <v>, CASE WHEN shikkan_disp_name = 'C790' THEN min_shikkan_start_date ::DATE ELSE NULL END AS shikkan379_start_date</v>
      </c>
      <c r="V392" s="25" t="str">
        <f t="shared" si="69"/>
        <v>, max(shikkan379_start_date)</v>
      </c>
      <c r="AA392" s="4"/>
      <c r="AB392" s="4"/>
      <c r="AC392" s="4"/>
      <c r="AD392" s="4"/>
      <c r="AE392" s="4"/>
      <c r="AF392" s="4"/>
      <c r="AG392" s="4"/>
      <c r="AH392" s="4"/>
      <c r="AI392" s="4"/>
      <c r="AJ392" s="76" t="str">
        <f>IF(E392="○",IF(COUNTA(E$13:E392)=1,"",",")&amp;D392,"")</f>
        <v/>
      </c>
      <c r="AK392" s="4"/>
      <c r="AL392" s="4"/>
      <c r="AM392" s="4"/>
      <c r="AN392" s="4"/>
      <c r="AO392" s="4"/>
      <c r="AP392" s="4"/>
      <c r="AQ392" s="4"/>
      <c r="AR392" s="4"/>
      <c r="AS392" s="76" t="str">
        <f>"COMMENT ON COLUMN "&amp;エンティティ一覧!$O$2&amp;"."&amp;D$8&amp;"."&amp;D392&amp;" IS '"&amp;C392&amp;"';"</f>
        <v>COMMENT ON COLUMN milscm_2023_009.sny_202310_annony_shikkan2.shikkan379_start_date IS 'C790_疾患開始日';</v>
      </c>
    </row>
    <row r="393" spans="1:45" s="25" customFormat="1">
      <c r="A393" s="4" t="s">
        <v>5522</v>
      </c>
      <c r="B393" s="21">
        <f t="shared" si="85"/>
        <v>381</v>
      </c>
      <c r="C393" s="13" t="str">
        <f t="shared" si="86"/>
        <v>C791_疾患開始日</v>
      </c>
      <c r="D393" s="13" t="s">
        <v>6040</v>
      </c>
      <c r="E393" s="8"/>
      <c r="F393" s="7" t="s">
        <v>4348</v>
      </c>
      <c r="G393" s="7" t="s">
        <v>25</v>
      </c>
      <c r="H393" s="58"/>
      <c r="I393" s="23"/>
      <c r="J393" s="24"/>
      <c r="M393" s="4"/>
      <c r="N393" s="76"/>
      <c r="O393" s="76"/>
      <c r="P393" s="76" t="str">
        <f t="shared" si="87"/>
        <v>,shikkan380_start_date</v>
      </c>
      <c r="Q393" s="76" t="str">
        <f t="shared" si="88"/>
        <v>DATE</v>
      </c>
      <c r="R393" s="76" t="str">
        <f t="shared" si="89"/>
        <v/>
      </c>
      <c r="S393" s="76" t="str">
        <f t="shared" si="90"/>
        <v/>
      </c>
      <c r="T393" s="76" t="str">
        <f t="shared" si="91"/>
        <v>-- C791_疾患開始日</v>
      </c>
      <c r="U393" s="4" t="str">
        <f t="shared" si="68"/>
        <v>, CASE WHEN shikkan_disp_name = 'C791' THEN min_shikkan_start_date ::DATE ELSE NULL END AS shikkan380_start_date</v>
      </c>
      <c r="V393" s="25" t="str">
        <f t="shared" si="69"/>
        <v>, max(shikkan380_start_date)</v>
      </c>
      <c r="AA393" s="4"/>
      <c r="AB393" s="4"/>
      <c r="AC393" s="4"/>
      <c r="AD393" s="4"/>
      <c r="AE393" s="4"/>
      <c r="AF393" s="4"/>
      <c r="AG393" s="4"/>
      <c r="AH393" s="4"/>
      <c r="AI393" s="4"/>
      <c r="AJ393" s="76" t="str">
        <f>IF(E393="○",IF(COUNTA(E$13:E393)=1,"",",")&amp;D393,"")</f>
        <v/>
      </c>
      <c r="AK393" s="4"/>
      <c r="AL393" s="4"/>
      <c r="AM393" s="4"/>
      <c r="AN393" s="4"/>
      <c r="AO393" s="4"/>
      <c r="AP393" s="4"/>
      <c r="AQ393" s="4"/>
      <c r="AR393" s="4"/>
      <c r="AS393" s="76" t="str">
        <f>"COMMENT ON COLUMN "&amp;エンティティ一覧!$O$2&amp;"."&amp;D$8&amp;"."&amp;D393&amp;" IS '"&amp;C393&amp;"';"</f>
        <v>COMMENT ON COLUMN milscm_2023_009.sny_202310_annony_shikkan2.shikkan380_start_date IS 'C791_疾患開始日';</v>
      </c>
    </row>
    <row r="394" spans="1:45" s="25" customFormat="1">
      <c r="A394" s="4" t="s">
        <v>5523</v>
      </c>
      <c r="B394" s="21">
        <f t="shared" si="85"/>
        <v>382</v>
      </c>
      <c r="C394" s="13" t="str">
        <f t="shared" si="86"/>
        <v>C792_疾患開始日</v>
      </c>
      <c r="D394" s="13" t="s">
        <v>6041</v>
      </c>
      <c r="E394" s="8"/>
      <c r="F394" s="7" t="s">
        <v>4348</v>
      </c>
      <c r="G394" s="7" t="s">
        <v>25</v>
      </c>
      <c r="H394" s="58"/>
      <c r="I394" s="23"/>
      <c r="J394" s="24"/>
      <c r="M394" s="4"/>
      <c r="N394" s="76"/>
      <c r="O394" s="76"/>
      <c r="P394" s="76" t="str">
        <f t="shared" si="87"/>
        <v>,shikkan381_start_date</v>
      </c>
      <c r="Q394" s="76" t="str">
        <f t="shared" si="88"/>
        <v>DATE</v>
      </c>
      <c r="R394" s="76" t="str">
        <f t="shared" si="89"/>
        <v/>
      </c>
      <c r="S394" s="76" t="str">
        <f t="shared" si="90"/>
        <v/>
      </c>
      <c r="T394" s="76" t="str">
        <f t="shared" si="91"/>
        <v>-- C792_疾患開始日</v>
      </c>
      <c r="U394" s="4" t="str">
        <f t="shared" si="68"/>
        <v>, CASE WHEN shikkan_disp_name = 'C792' THEN min_shikkan_start_date ::DATE ELSE NULL END AS shikkan381_start_date</v>
      </c>
      <c r="V394" s="25" t="str">
        <f t="shared" si="69"/>
        <v>, max(shikkan381_start_date)</v>
      </c>
      <c r="AA394" s="4"/>
      <c r="AB394" s="4"/>
      <c r="AC394" s="4"/>
      <c r="AD394" s="4"/>
      <c r="AE394" s="4"/>
      <c r="AF394" s="4"/>
      <c r="AG394" s="4"/>
      <c r="AH394" s="4"/>
      <c r="AI394" s="4"/>
      <c r="AJ394" s="76" t="str">
        <f>IF(E394="○",IF(COUNTA(E$13:E394)=1,"",",")&amp;D394,"")</f>
        <v/>
      </c>
      <c r="AK394" s="4"/>
      <c r="AL394" s="4"/>
      <c r="AM394" s="4"/>
      <c r="AN394" s="4"/>
      <c r="AO394" s="4"/>
      <c r="AP394" s="4"/>
      <c r="AQ394" s="4"/>
      <c r="AR394" s="4"/>
      <c r="AS394" s="76" t="str">
        <f>"COMMENT ON COLUMN "&amp;エンティティ一覧!$O$2&amp;"."&amp;D$8&amp;"."&amp;D394&amp;" IS '"&amp;C394&amp;"';"</f>
        <v>COMMENT ON COLUMN milscm_2023_009.sny_202310_annony_shikkan2.shikkan381_start_date IS 'C792_疾患開始日';</v>
      </c>
    </row>
    <row r="395" spans="1:45" s="25" customFormat="1">
      <c r="A395" s="4" t="s">
        <v>5524</v>
      </c>
      <c r="B395" s="21">
        <f t="shared" si="85"/>
        <v>383</v>
      </c>
      <c r="C395" s="13" t="str">
        <f t="shared" si="86"/>
        <v>C793_疾患開始日</v>
      </c>
      <c r="D395" s="13" t="s">
        <v>6042</v>
      </c>
      <c r="E395" s="8"/>
      <c r="F395" s="7" t="s">
        <v>4348</v>
      </c>
      <c r="G395" s="7" t="s">
        <v>25</v>
      </c>
      <c r="H395" s="58"/>
      <c r="I395" s="23"/>
      <c r="J395" s="24"/>
      <c r="M395" s="4"/>
      <c r="N395" s="76"/>
      <c r="O395" s="76"/>
      <c r="P395" s="76" t="str">
        <f t="shared" si="87"/>
        <v>,shikkan382_start_date</v>
      </c>
      <c r="Q395" s="76" t="str">
        <f t="shared" si="88"/>
        <v>DATE</v>
      </c>
      <c r="R395" s="76" t="str">
        <f t="shared" si="89"/>
        <v/>
      </c>
      <c r="S395" s="76" t="str">
        <f t="shared" si="90"/>
        <v/>
      </c>
      <c r="T395" s="76" t="str">
        <f t="shared" si="91"/>
        <v>-- C793_疾患開始日</v>
      </c>
      <c r="U395" s="4" t="str">
        <f t="shared" si="68"/>
        <v>, CASE WHEN shikkan_disp_name = 'C793' THEN min_shikkan_start_date ::DATE ELSE NULL END AS shikkan382_start_date</v>
      </c>
      <c r="V395" s="25" t="str">
        <f t="shared" si="69"/>
        <v>, max(shikkan382_start_date)</v>
      </c>
      <c r="AA395" s="4"/>
      <c r="AB395" s="4"/>
      <c r="AC395" s="4"/>
      <c r="AD395" s="4"/>
      <c r="AE395" s="4"/>
      <c r="AF395" s="4"/>
      <c r="AG395" s="4"/>
      <c r="AH395" s="4"/>
      <c r="AI395" s="4"/>
      <c r="AJ395" s="76" t="str">
        <f>IF(E395="○",IF(COUNTA(E$13:E395)=1,"",",")&amp;D395,"")</f>
        <v/>
      </c>
      <c r="AK395" s="4"/>
      <c r="AL395" s="4"/>
      <c r="AM395" s="4"/>
      <c r="AN395" s="4"/>
      <c r="AO395" s="4"/>
      <c r="AP395" s="4"/>
      <c r="AQ395" s="4"/>
      <c r="AR395" s="4"/>
      <c r="AS395" s="76" t="str">
        <f>"COMMENT ON COLUMN "&amp;エンティティ一覧!$O$2&amp;"."&amp;D$8&amp;"."&amp;D395&amp;" IS '"&amp;C395&amp;"';"</f>
        <v>COMMENT ON COLUMN milscm_2023_009.sny_202310_annony_shikkan2.shikkan382_start_date IS 'C793_疾患開始日';</v>
      </c>
    </row>
    <row r="396" spans="1:45" s="25" customFormat="1">
      <c r="A396" s="4" t="s">
        <v>5525</v>
      </c>
      <c r="B396" s="21">
        <f t="shared" si="85"/>
        <v>384</v>
      </c>
      <c r="C396" s="13" t="str">
        <f t="shared" si="86"/>
        <v>C794_疾患開始日</v>
      </c>
      <c r="D396" s="13" t="s">
        <v>6043</v>
      </c>
      <c r="E396" s="8"/>
      <c r="F396" s="7" t="s">
        <v>4348</v>
      </c>
      <c r="G396" s="7" t="s">
        <v>25</v>
      </c>
      <c r="H396" s="58"/>
      <c r="I396" s="23"/>
      <c r="J396" s="24"/>
      <c r="M396" s="4"/>
      <c r="N396" s="76"/>
      <c r="O396" s="76"/>
      <c r="P396" s="76" t="str">
        <f t="shared" si="87"/>
        <v>,shikkan383_start_date</v>
      </c>
      <c r="Q396" s="76" t="str">
        <f t="shared" si="88"/>
        <v>DATE</v>
      </c>
      <c r="R396" s="76" t="str">
        <f t="shared" si="89"/>
        <v/>
      </c>
      <c r="S396" s="76" t="str">
        <f t="shared" si="90"/>
        <v/>
      </c>
      <c r="T396" s="76" t="str">
        <f t="shared" si="91"/>
        <v>-- C794_疾患開始日</v>
      </c>
      <c r="U396" s="4" t="str">
        <f t="shared" si="68"/>
        <v>, CASE WHEN shikkan_disp_name = 'C794' THEN min_shikkan_start_date ::DATE ELSE NULL END AS shikkan383_start_date</v>
      </c>
      <c r="V396" s="25" t="str">
        <f t="shared" si="69"/>
        <v>, max(shikkan383_start_date)</v>
      </c>
      <c r="AA396" s="4"/>
      <c r="AB396" s="4"/>
      <c r="AC396" s="4"/>
      <c r="AD396" s="4"/>
      <c r="AE396" s="4"/>
      <c r="AF396" s="4"/>
      <c r="AG396" s="4"/>
      <c r="AH396" s="4"/>
      <c r="AI396" s="4"/>
      <c r="AJ396" s="76" t="str">
        <f>IF(E396="○",IF(COUNTA(E$13:E396)=1,"",",")&amp;D396,"")</f>
        <v/>
      </c>
      <c r="AK396" s="4"/>
      <c r="AL396" s="4"/>
      <c r="AM396" s="4"/>
      <c r="AN396" s="4"/>
      <c r="AO396" s="4"/>
      <c r="AP396" s="4"/>
      <c r="AQ396" s="4"/>
      <c r="AR396" s="4"/>
      <c r="AS396" s="76" t="str">
        <f>"COMMENT ON COLUMN "&amp;エンティティ一覧!$O$2&amp;"."&amp;D$8&amp;"."&amp;D396&amp;" IS '"&amp;C396&amp;"';"</f>
        <v>COMMENT ON COLUMN milscm_2023_009.sny_202310_annony_shikkan2.shikkan383_start_date IS 'C794_疾患開始日';</v>
      </c>
    </row>
    <row r="397" spans="1:45" s="25" customFormat="1">
      <c r="A397" s="4" t="s">
        <v>5526</v>
      </c>
      <c r="B397" s="21">
        <f t="shared" si="85"/>
        <v>385</v>
      </c>
      <c r="C397" s="13" t="str">
        <f t="shared" si="86"/>
        <v>C795_疾患開始日</v>
      </c>
      <c r="D397" s="13" t="s">
        <v>6044</v>
      </c>
      <c r="E397" s="8"/>
      <c r="F397" s="7" t="s">
        <v>4348</v>
      </c>
      <c r="G397" s="7" t="s">
        <v>99</v>
      </c>
      <c r="H397" s="58"/>
      <c r="I397" s="23"/>
      <c r="J397" s="24"/>
      <c r="M397" s="4"/>
      <c r="N397" s="76"/>
      <c r="O397" s="76"/>
      <c r="P397" s="76" t="str">
        <f t="shared" si="87"/>
        <v>,shikkan384_start_date</v>
      </c>
      <c r="Q397" s="76" t="str">
        <f t="shared" si="88"/>
        <v>DATE</v>
      </c>
      <c r="R397" s="76" t="str">
        <f t="shared" si="89"/>
        <v/>
      </c>
      <c r="S397" s="76" t="str">
        <f t="shared" si="90"/>
        <v/>
      </c>
      <c r="T397" s="76" t="str">
        <f t="shared" si="91"/>
        <v>-- C795_疾患開始日</v>
      </c>
      <c r="U397" s="4" t="str">
        <f t="shared" si="68"/>
        <v>, CASE WHEN shikkan_disp_name = 'C795' THEN min_shikkan_start_date ::DATE ELSE NULL END AS shikkan384_start_date</v>
      </c>
      <c r="V397" s="25" t="str">
        <f t="shared" si="69"/>
        <v>, max(shikkan384_start_date)</v>
      </c>
      <c r="AA397" s="4"/>
      <c r="AB397" s="4"/>
      <c r="AC397" s="4"/>
      <c r="AD397" s="4"/>
      <c r="AE397" s="4"/>
      <c r="AF397" s="4"/>
      <c r="AG397" s="4"/>
      <c r="AH397" s="4"/>
      <c r="AI397" s="4"/>
      <c r="AJ397" s="76" t="str">
        <f>IF(E397="○",IF(COUNTA(E$13:E397)=1,"",",")&amp;D397,"")</f>
        <v/>
      </c>
      <c r="AK397" s="4"/>
      <c r="AL397" s="4"/>
      <c r="AM397" s="4"/>
      <c r="AN397" s="4"/>
      <c r="AO397" s="4"/>
      <c r="AP397" s="4"/>
      <c r="AQ397" s="4"/>
      <c r="AR397" s="4"/>
      <c r="AS397" s="76" t="str">
        <f>"COMMENT ON COLUMN "&amp;エンティティ一覧!$O$2&amp;"."&amp;D$8&amp;"."&amp;D397&amp;" IS '"&amp;C397&amp;"';"</f>
        <v>COMMENT ON COLUMN milscm_2023_009.sny_202310_annony_shikkan2.shikkan384_start_date IS 'C795_疾患開始日';</v>
      </c>
    </row>
    <row r="398" spans="1:45" s="25" customFormat="1">
      <c r="A398" s="4" t="s">
        <v>5527</v>
      </c>
      <c r="B398" s="21">
        <f t="shared" si="85"/>
        <v>386</v>
      </c>
      <c r="C398" s="13" t="str">
        <f t="shared" si="86"/>
        <v>C796_疾患開始日</v>
      </c>
      <c r="D398" s="13" t="s">
        <v>6045</v>
      </c>
      <c r="E398" s="8"/>
      <c r="F398" s="7" t="s">
        <v>4348</v>
      </c>
      <c r="G398" s="7" t="s">
        <v>25</v>
      </c>
      <c r="H398" s="58"/>
      <c r="I398" s="23"/>
      <c r="J398" s="24"/>
      <c r="M398" s="4"/>
      <c r="N398" s="76"/>
      <c r="O398" s="76"/>
      <c r="P398" s="76" t="str">
        <f t="shared" si="87"/>
        <v>,shikkan385_start_date</v>
      </c>
      <c r="Q398" s="76" t="str">
        <f t="shared" si="88"/>
        <v>DATE</v>
      </c>
      <c r="R398" s="76" t="str">
        <f t="shared" si="89"/>
        <v/>
      </c>
      <c r="S398" s="76" t="str">
        <f t="shared" si="90"/>
        <v/>
      </c>
      <c r="T398" s="76" t="str">
        <f t="shared" si="91"/>
        <v>-- C796_疾患開始日</v>
      </c>
      <c r="U398" s="4" t="str">
        <f t="shared" si="68"/>
        <v>, CASE WHEN shikkan_disp_name = 'C796' THEN min_shikkan_start_date ::DATE ELSE NULL END AS shikkan385_start_date</v>
      </c>
      <c r="V398" s="25" t="str">
        <f t="shared" si="69"/>
        <v>, max(shikkan385_start_date)</v>
      </c>
      <c r="AA398" s="4"/>
      <c r="AB398" s="4"/>
      <c r="AC398" s="4"/>
      <c r="AD398" s="4"/>
      <c r="AE398" s="4"/>
      <c r="AF398" s="4"/>
      <c r="AG398" s="4"/>
      <c r="AH398" s="4"/>
      <c r="AI398" s="4"/>
      <c r="AJ398" s="76" t="str">
        <f>IF(E398="○",IF(COUNTA(E$13:E398)=1,"",",")&amp;D398,"")</f>
        <v/>
      </c>
      <c r="AK398" s="4"/>
      <c r="AL398" s="4"/>
      <c r="AM398" s="4"/>
      <c r="AN398" s="4"/>
      <c r="AO398" s="4"/>
      <c r="AP398" s="4"/>
      <c r="AQ398" s="4"/>
      <c r="AR398" s="4"/>
      <c r="AS398" s="76" t="str">
        <f>"COMMENT ON COLUMN "&amp;エンティティ一覧!$O$2&amp;"."&amp;D$8&amp;"."&amp;D398&amp;" IS '"&amp;C398&amp;"';"</f>
        <v>COMMENT ON COLUMN milscm_2023_009.sny_202310_annony_shikkan2.shikkan385_start_date IS 'C796_疾患開始日';</v>
      </c>
    </row>
    <row r="399" spans="1:45" s="25" customFormat="1">
      <c r="A399" s="4" t="s">
        <v>5528</v>
      </c>
      <c r="B399" s="21">
        <f t="shared" si="85"/>
        <v>387</v>
      </c>
      <c r="C399" s="13" t="str">
        <f t="shared" ref="C399:C462" si="92">A399&amp;"_疾患開始日"</f>
        <v>C797_疾患開始日</v>
      </c>
      <c r="D399" s="13" t="s">
        <v>6046</v>
      </c>
      <c r="E399" s="8"/>
      <c r="F399" s="7" t="s">
        <v>4348</v>
      </c>
      <c r="G399" s="7" t="s">
        <v>25</v>
      </c>
      <c r="H399" s="58"/>
      <c r="I399" s="23"/>
      <c r="J399" s="24"/>
      <c r="M399" s="4"/>
      <c r="N399" s="76"/>
      <c r="O399" s="76"/>
      <c r="P399" s="76" t="str">
        <f t="shared" si="87"/>
        <v>,shikkan386_start_date</v>
      </c>
      <c r="Q399" s="76" t="str">
        <f t="shared" si="88"/>
        <v>DATE</v>
      </c>
      <c r="R399" s="76" t="str">
        <f t="shared" si="89"/>
        <v/>
      </c>
      <c r="S399" s="76" t="str">
        <f t="shared" si="90"/>
        <v/>
      </c>
      <c r="T399" s="76" t="str">
        <f t="shared" si="91"/>
        <v>-- C797_疾患開始日</v>
      </c>
      <c r="U399" s="4" t="str">
        <f t="shared" si="68"/>
        <v>, CASE WHEN shikkan_disp_name = 'C797' THEN min_shikkan_start_date ::DATE ELSE NULL END AS shikkan386_start_date</v>
      </c>
      <c r="V399" s="25" t="str">
        <f t="shared" si="69"/>
        <v>, max(shikkan386_start_date)</v>
      </c>
      <c r="AA399" s="4"/>
      <c r="AB399" s="4"/>
      <c r="AC399" s="4"/>
      <c r="AD399" s="4"/>
      <c r="AE399" s="4"/>
      <c r="AF399" s="4"/>
      <c r="AG399" s="4"/>
      <c r="AH399" s="4"/>
      <c r="AI399" s="4"/>
      <c r="AJ399" s="76" t="str">
        <f>IF(E399="○",IF(COUNTA(E$13:E399)=1,"",",")&amp;D399,"")</f>
        <v/>
      </c>
      <c r="AK399" s="4"/>
      <c r="AL399" s="4"/>
      <c r="AM399" s="4"/>
      <c r="AN399" s="4"/>
      <c r="AO399" s="4"/>
      <c r="AP399" s="4"/>
      <c r="AQ399" s="4"/>
      <c r="AR399" s="4"/>
      <c r="AS399" s="76" t="str">
        <f>"COMMENT ON COLUMN "&amp;エンティティ一覧!$O$2&amp;"."&amp;D$8&amp;"."&amp;D399&amp;" IS '"&amp;C399&amp;"';"</f>
        <v>COMMENT ON COLUMN milscm_2023_009.sny_202310_annony_shikkan2.shikkan386_start_date IS 'C797_疾患開始日';</v>
      </c>
    </row>
    <row r="400" spans="1:45" s="25" customFormat="1">
      <c r="A400" s="4" t="s">
        <v>5529</v>
      </c>
      <c r="B400" s="21">
        <f t="shared" ref="B400:B463" si="93">ROW()-12</f>
        <v>388</v>
      </c>
      <c r="C400" s="13" t="str">
        <f t="shared" si="92"/>
        <v>C798_疾患開始日</v>
      </c>
      <c r="D400" s="13" t="s">
        <v>6047</v>
      </c>
      <c r="E400" s="8"/>
      <c r="F400" s="7" t="s">
        <v>4348</v>
      </c>
      <c r="G400" s="7" t="s">
        <v>25</v>
      </c>
      <c r="H400" s="58"/>
      <c r="I400" s="23"/>
      <c r="J400" s="24"/>
      <c r="M400" s="4"/>
      <c r="N400" s="76"/>
      <c r="O400" s="76"/>
      <c r="P400" s="76" t="str">
        <f t="shared" si="87"/>
        <v>,shikkan387_start_date</v>
      </c>
      <c r="Q400" s="76" t="str">
        <f t="shared" si="88"/>
        <v>DATE</v>
      </c>
      <c r="R400" s="76" t="str">
        <f t="shared" si="89"/>
        <v/>
      </c>
      <c r="S400" s="76" t="str">
        <f t="shared" si="90"/>
        <v/>
      </c>
      <c r="T400" s="76" t="str">
        <f t="shared" si="91"/>
        <v>-- C798_疾患開始日</v>
      </c>
      <c r="U400" s="4" t="str">
        <f t="shared" si="68"/>
        <v>, CASE WHEN shikkan_disp_name = 'C798' THEN min_shikkan_start_date ::DATE ELSE NULL END AS shikkan387_start_date</v>
      </c>
      <c r="V400" s="25" t="str">
        <f t="shared" si="69"/>
        <v>, max(shikkan387_start_date)</v>
      </c>
      <c r="AA400" s="4"/>
      <c r="AB400" s="4"/>
      <c r="AC400" s="4"/>
      <c r="AD400" s="4"/>
      <c r="AE400" s="4"/>
      <c r="AF400" s="4"/>
      <c r="AG400" s="4"/>
      <c r="AH400" s="4"/>
      <c r="AI400" s="4"/>
      <c r="AJ400" s="76" t="str">
        <f>IF(E400="○",IF(COUNTA(E$13:E400)=1,"",",")&amp;D400,"")</f>
        <v/>
      </c>
      <c r="AK400" s="4"/>
      <c r="AL400" s="4"/>
      <c r="AM400" s="4"/>
      <c r="AN400" s="4"/>
      <c r="AO400" s="4"/>
      <c r="AP400" s="4"/>
      <c r="AQ400" s="4"/>
      <c r="AR400" s="4"/>
      <c r="AS400" s="76" t="str">
        <f>"COMMENT ON COLUMN "&amp;エンティティ一覧!$O$2&amp;"."&amp;D$8&amp;"."&amp;D400&amp;" IS '"&amp;C400&amp;"';"</f>
        <v>COMMENT ON COLUMN milscm_2023_009.sny_202310_annony_shikkan2.shikkan387_start_date IS 'C798_疾患開始日';</v>
      </c>
    </row>
    <row r="401" spans="1:45" s="25" customFormat="1">
      <c r="A401" s="4" t="s">
        <v>5530</v>
      </c>
      <c r="B401" s="21">
        <f t="shared" si="93"/>
        <v>389</v>
      </c>
      <c r="C401" s="13" t="str">
        <f t="shared" si="92"/>
        <v>C799_疾患開始日</v>
      </c>
      <c r="D401" s="13" t="s">
        <v>6048</v>
      </c>
      <c r="E401" s="8"/>
      <c r="F401" s="7" t="s">
        <v>4348</v>
      </c>
      <c r="G401" s="7" t="s">
        <v>25</v>
      </c>
      <c r="H401" s="58"/>
      <c r="I401" s="23"/>
      <c r="J401" s="24"/>
      <c r="M401" s="4"/>
      <c r="N401" s="76"/>
      <c r="O401" s="76"/>
      <c r="P401" s="76" t="str">
        <f t="shared" si="87"/>
        <v>,shikkan388_start_date</v>
      </c>
      <c r="Q401" s="76" t="str">
        <f t="shared" si="88"/>
        <v>DATE</v>
      </c>
      <c r="R401" s="76" t="str">
        <f t="shared" si="89"/>
        <v/>
      </c>
      <c r="S401" s="76" t="str">
        <f t="shared" si="90"/>
        <v/>
      </c>
      <c r="T401" s="76" t="str">
        <f t="shared" si="91"/>
        <v>-- C799_疾患開始日</v>
      </c>
      <c r="U401" s="4" t="str">
        <f t="shared" si="68"/>
        <v>, CASE WHEN shikkan_disp_name = 'C799' THEN min_shikkan_start_date ::DATE ELSE NULL END AS shikkan388_start_date</v>
      </c>
      <c r="V401" s="25" t="str">
        <f t="shared" si="69"/>
        <v>, max(shikkan388_start_date)</v>
      </c>
      <c r="AA401" s="4"/>
      <c r="AB401" s="4"/>
      <c r="AC401" s="4"/>
      <c r="AD401" s="4"/>
      <c r="AE401" s="4"/>
      <c r="AF401" s="4"/>
      <c r="AG401" s="4"/>
      <c r="AH401" s="4"/>
      <c r="AI401" s="4"/>
      <c r="AJ401" s="76" t="str">
        <f>IF(E401="○",IF(COUNTA(E$13:E401)=1,"",",")&amp;D401,"")</f>
        <v/>
      </c>
      <c r="AK401" s="4"/>
      <c r="AL401" s="4"/>
      <c r="AM401" s="4"/>
      <c r="AN401" s="4"/>
      <c r="AO401" s="4"/>
      <c r="AP401" s="4"/>
      <c r="AQ401" s="4"/>
      <c r="AR401" s="4"/>
      <c r="AS401" s="76" t="str">
        <f>"COMMENT ON COLUMN "&amp;エンティティ一覧!$O$2&amp;"."&amp;D$8&amp;"."&amp;D401&amp;" IS '"&amp;C401&amp;"';"</f>
        <v>COMMENT ON COLUMN milscm_2023_009.sny_202310_annony_shikkan2.shikkan388_start_date IS 'C799_疾患開始日';</v>
      </c>
    </row>
    <row r="402" spans="1:45" s="25" customFormat="1">
      <c r="A402" s="4" t="s">
        <v>5531</v>
      </c>
      <c r="B402" s="21">
        <f t="shared" si="93"/>
        <v>390</v>
      </c>
      <c r="C402" s="13" t="str">
        <f t="shared" si="92"/>
        <v>C800_疾患開始日</v>
      </c>
      <c r="D402" s="13" t="s">
        <v>6049</v>
      </c>
      <c r="E402" s="8"/>
      <c r="F402" s="7" t="s">
        <v>4348</v>
      </c>
      <c r="G402" s="7" t="s">
        <v>25</v>
      </c>
      <c r="H402" s="58"/>
      <c r="I402" s="23"/>
      <c r="J402" s="24"/>
      <c r="M402" s="4"/>
      <c r="N402" s="76"/>
      <c r="O402" s="76"/>
      <c r="P402" s="76" t="str">
        <f t="shared" si="87"/>
        <v>,shikkan389_start_date</v>
      </c>
      <c r="Q402" s="76" t="str">
        <f t="shared" si="88"/>
        <v>DATE</v>
      </c>
      <c r="R402" s="76" t="str">
        <f t="shared" si="89"/>
        <v/>
      </c>
      <c r="S402" s="76" t="str">
        <f t="shared" si="90"/>
        <v/>
      </c>
      <c r="T402" s="76" t="str">
        <f t="shared" si="91"/>
        <v>-- C800_疾患開始日</v>
      </c>
      <c r="U402" s="4" t="str">
        <f t="shared" si="68"/>
        <v>, CASE WHEN shikkan_disp_name = 'C800' THEN min_shikkan_start_date ::DATE ELSE NULL END AS shikkan389_start_date</v>
      </c>
      <c r="V402" s="25" t="str">
        <f t="shared" si="69"/>
        <v>, max(shikkan389_start_date)</v>
      </c>
      <c r="AA402" s="4"/>
      <c r="AB402" s="4"/>
      <c r="AC402" s="4"/>
      <c r="AD402" s="4"/>
      <c r="AE402" s="4"/>
      <c r="AF402" s="4"/>
      <c r="AG402" s="4"/>
      <c r="AH402" s="4"/>
      <c r="AI402" s="4"/>
      <c r="AJ402" s="76" t="str">
        <f>IF(E402="○",IF(COUNTA(E$13:E402)=1,"",",")&amp;D402,"")</f>
        <v/>
      </c>
      <c r="AK402" s="4"/>
      <c r="AL402" s="4"/>
      <c r="AM402" s="4"/>
      <c r="AN402" s="4"/>
      <c r="AO402" s="4"/>
      <c r="AP402" s="4"/>
      <c r="AQ402" s="4"/>
      <c r="AR402" s="4"/>
      <c r="AS402" s="76" t="str">
        <f>"COMMENT ON COLUMN "&amp;エンティティ一覧!$O$2&amp;"."&amp;D$8&amp;"."&amp;D402&amp;" IS '"&amp;C402&amp;"';"</f>
        <v>COMMENT ON COLUMN milscm_2023_009.sny_202310_annony_shikkan2.shikkan389_start_date IS 'C800_疾患開始日';</v>
      </c>
    </row>
    <row r="403" spans="1:45" s="25" customFormat="1">
      <c r="A403" s="4" t="s">
        <v>5532</v>
      </c>
      <c r="B403" s="21">
        <f t="shared" si="93"/>
        <v>391</v>
      </c>
      <c r="C403" s="13" t="str">
        <f t="shared" si="92"/>
        <v>C809_疾患開始日</v>
      </c>
      <c r="D403" s="13" t="s">
        <v>6050</v>
      </c>
      <c r="E403" s="8"/>
      <c r="F403" s="7" t="s">
        <v>4348</v>
      </c>
      <c r="G403" s="7" t="s">
        <v>25</v>
      </c>
      <c r="H403" s="58"/>
      <c r="I403" s="23"/>
      <c r="J403" s="24"/>
      <c r="M403" s="4"/>
      <c r="N403" s="76"/>
      <c r="O403" s="76"/>
      <c r="P403" s="76" t="str">
        <f t="shared" si="87"/>
        <v>,shikkan390_start_date</v>
      </c>
      <c r="Q403" s="76" t="str">
        <f t="shared" si="88"/>
        <v>DATE</v>
      </c>
      <c r="R403" s="76" t="str">
        <f t="shared" si="89"/>
        <v/>
      </c>
      <c r="S403" s="76" t="str">
        <f t="shared" si="90"/>
        <v/>
      </c>
      <c r="T403" s="76" t="str">
        <f t="shared" si="91"/>
        <v>-- C809_疾患開始日</v>
      </c>
      <c r="U403" s="4" t="str">
        <f t="shared" si="68"/>
        <v>, CASE WHEN shikkan_disp_name = 'C809' THEN min_shikkan_start_date ::DATE ELSE NULL END AS shikkan390_start_date</v>
      </c>
      <c r="V403" s="25" t="str">
        <f t="shared" si="69"/>
        <v>, max(shikkan390_start_date)</v>
      </c>
      <c r="AA403" s="4"/>
      <c r="AB403" s="4"/>
      <c r="AC403" s="4"/>
      <c r="AD403" s="4"/>
      <c r="AE403" s="4"/>
      <c r="AF403" s="4"/>
      <c r="AG403" s="4"/>
      <c r="AH403" s="4"/>
      <c r="AI403" s="4"/>
      <c r="AJ403" s="76" t="str">
        <f>IF(E403="○",IF(COUNTA(E$13:E403)=1,"",",")&amp;D403,"")</f>
        <v/>
      </c>
      <c r="AK403" s="4"/>
      <c r="AL403" s="4"/>
      <c r="AM403" s="4"/>
      <c r="AN403" s="4"/>
      <c r="AO403" s="4"/>
      <c r="AP403" s="4"/>
      <c r="AQ403" s="4"/>
      <c r="AR403" s="4"/>
      <c r="AS403" s="76" t="str">
        <f>"COMMENT ON COLUMN "&amp;エンティティ一覧!$O$2&amp;"."&amp;D$8&amp;"."&amp;D403&amp;" IS '"&amp;C403&amp;"';"</f>
        <v>COMMENT ON COLUMN milscm_2023_009.sny_202310_annony_shikkan2.shikkan390_start_date IS 'C809_疾患開始日';</v>
      </c>
    </row>
    <row r="404" spans="1:45" s="25" customFormat="1">
      <c r="A404" s="4" t="s">
        <v>5533</v>
      </c>
      <c r="B404" s="21">
        <f t="shared" si="93"/>
        <v>392</v>
      </c>
      <c r="C404" s="13" t="str">
        <f t="shared" si="92"/>
        <v>C810_疾患開始日</v>
      </c>
      <c r="D404" s="13" t="s">
        <v>6051</v>
      </c>
      <c r="E404" s="8"/>
      <c r="F404" s="7" t="s">
        <v>4348</v>
      </c>
      <c r="G404" s="7" t="s">
        <v>25</v>
      </c>
      <c r="H404" s="58"/>
      <c r="I404" s="23"/>
      <c r="J404" s="24"/>
      <c r="M404" s="4"/>
      <c r="N404" s="76"/>
      <c r="O404" s="76"/>
      <c r="P404" s="76" t="str">
        <f t="shared" si="87"/>
        <v>,shikkan391_start_date</v>
      </c>
      <c r="Q404" s="76" t="str">
        <f t="shared" si="88"/>
        <v>DATE</v>
      </c>
      <c r="R404" s="76" t="str">
        <f t="shared" si="89"/>
        <v/>
      </c>
      <c r="S404" s="76" t="str">
        <f t="shared" si="90"/>
        <v/>
      </c>
      <c r="T404" s="76" t="str">
        <f t="shared" si="91"/>
        <v>-- C810_疾患開始日</v>
      </c>
      <c r="U404" s="4" t="str">
        <f t="shared" si="68"/>
        <v>, CASE WHEN shikkan_disp_name = 'C810' THEN min_shikkan_start_date ::DATE ELSE NULL END AS shikkan391_start_date</v>
      </c>
      <c r="V404" s="25" t="str">
        <f t="shared" si="69"/>
        <v>, max(shikkan391_start_date)</v>
      </c>
      <c r="AA404" s="4"/>
      <c r="AB404" s="4"/>
      <c r="AC404" s="4"/>
      <c r="AD404" s="4"/>
      <c r="AE404" s="4"/>
      <c r="AF404" s="4"/>
      <c r="AG404" s="4"/>
      <c r="AH404" s="4"/>
      <c r="AI404" s="4"/>
      <c r="AJ404" s="76" t="str">
        <f>IF(E404="○",IF(COUNTA(E$13:E404)=1,"",",")&amp;D404,"")</f>
        <v/>
      </c>
      <c r="AK404" s="4"/>
      <c r="AL404" s="4"/>
      <c r="AM404" s="4"/>
      <c r="AN404" s="4"/>
      <c r="AO404" s="4"/>
      <c r="AP404" s="4"/>
      <c r="AQ404" s="4"/>
      <c r="AR404" s="4"/>
      <c r="AS404" s="76" t="str">
        <f>"COMMENT ON COLUMN "&amp;エンティティ一覧!$O$2&amp;"."&amp;D$8&amp;"."&amp;D404&amp;" IS '"&amp;C404&amp;"';"</f>
        <v>COMMENT ON COLUMN milscm_2023_009.sny_202310_annony_shikkan2.shikkan391_start_date IS 'C810_疾患開始日';</v>
      </c>
    </row>
    <row r="405" spans="1:45" s="25" customFormat="1">
      <c r="A405" s="4" t="s">
        <v>5534</v>
      </c>
      <c r="B405" s="21">
        <f t="shared" si="93"/>
        <v>393</v>
      </c>
      <c r="C405" s="13" t="str">
        <f t="shared" si="92"/>
        <v>C811_疾患開始日</v>
      </c>
      <c r="D405" s="13" t="s">
        <v>6052</v>
      </c>
      <c r="E405" s="8"/>
      <c r="F405" s="7" t="s">
        <v>4348</v>
      </c>
      <c r="G405" s="7" t="s">
        <v>25</v>
      </c>
      <c r="H405" s="58"/>
      <c r="I405" s="23"/>
      <c r="J405" s="24"/>
      <c r="M405" s="4"/>
      <c r="N405" s="76"/>
      <c r="O405" s="76"/>
      <c r="P405" s="76" t="str">
        <f t="shared" si="87"/>
        <v>,shikkan392_start_date</v>
      </c>
      <c r="Q405" s="76" t="str">
        <f t="shared" si="88"/>
        <v>DATE</v>
      </c>
      <c r="R405" s="76" t="str">
        <f t="shared" si="89"/>
        <v/>
      </c>
      <c r="S405" s="76" t="str">
        <f t="shared" si="90"/>
        <v/>
      </c>
      <c r="T405" s="76" t="str">
        <f t="shared" si="91"/>
        <v>-- C811_疾患開始日</v>
      </c>
      <c r="U405" s="4" t="str">
        <f t="shared" si="68"/>
        <v>, CASE WHEN shikkan_disp_name = 'C811' THEN min_shikkan_start_date ::DATE ELSE NULL END AS shikkan392_start_date</v>
      </c>
      <c r="V405" s="25" t="str">
        <f t="shared" si="69"/>
        <v>, max(shikkan392_start_date)</v>
      </c>
      <c r="AA405" s="4"/>
      <c r="AB405" s="4"/>
      <c r="AC405" s="4"/>
      <c r="AD405" s="4"/>
      <c r="AE405" s="4"/>
      <c r="AF405" s="4"/>
      <c r="AG405" s="4"/>
      <c r="AH405" s="4"/>
      <c r="AI405" s="4"/>
      <c r="AJ405" s="76" t="str">
        <f>IF(E405="○",IF(COUNTA(E$13:E405)=1,"",",")&amp;D405,"")</f>
        <v/>
      </c>
      <c r="AK405" s="4"/>
      <c r="AL405" s="4"/>
      <c r="AM405" s="4"/>
      <c r="AN405" s="4"/>
      <c r="AO405" s="4"/>
      <c r="AP405" s="4"/>
      <c r="AQ405" s="4"/>
      <c r="AR405" s="4"/>
      <c r="AS405" s="76" t="str">
        <f>"COMMENT ON COLUMN "&amp;エンティティ一覧!$O$2&amp;"."&amp;D$8&amp;"."&amp;D405&amp;" IS '"&amp;C405&amp;"';"</f>
        <v>COMMENT ON COLUMN milscm_2023_009.sny_202310_annony_shikkan2.shikkan392_start_date IS 'C811_疾患開始日';</v>
      </c>
    </row>
    <row r="406" spans="1:45" s="25" customFormat="1">
      <c r="A406" s="4" t="s">
        <v>5535</v>
      </c>
      <c r="B406" s="21">
        <f t="shared" si="93"/>
        <v>394</v>
      </c>
      <c r="C406" s="13" t="str">
        <f t="shared" si="92"/>
        <v>C812_疾患開始日</v>
      </c>
      <c r="D406" s="13" t="s">
        <v>6053</v>
      </c>
      <c r="E406" s="8"/>
      <c r="F406" s="7" t="s">
        <v>4348</v>
      </c>
      <c r="G406" s="7" t="s">
        <v>25</v>
      </c>
      <c r="H406" s="58"/>
      <c r="I406" s="23"/>
      <c r="J406" s="24"/>
      <c r="M406" s="4"/>
      <c r="N406" s="76"/>
      <c r="O406" s="76"/>
      <c r="P406" s="76" t="str">
        <f t="shared" si="87"/>
        <v>,shikkan393_start_date</v>
      </c>
      <c r="Q406" s="76" t="str">
        <f t="shared" si="88"/>
        <v>DATE</v>
      </c>
      <c r="R406" s="76" t="str">
        <f t="shared" si="89"/>
        <v/>
      </c>
      <c r="S406" s="76" t="str">
        <f t="shared" si="90"/>
        <v/>
      </c>
      <c r="T406" s="76" t="str">
        <f t="shared" si="91"/>
        <v>-- C812_疾患開始日</v>
      </c>
      <c r="U406" s="4" t="str">
        <f t="shared" si="68"/>
        <v>, CASE WHEN shikkan_disp_name = 'C812' THEN min_shikkan_start_date ::DATE ELSE NULL END AS shikkan393_start_date</v>
      </c>
      <c r="V406" s="25" t="str">
        <f t="shared" si="69"/>
        <v>, max(shikkan393_start_date)</v>
      </c>
      <c r="AA406" s="4"/>
      <c r="AB406" s="4"/>
      <c r="AC406" s="4"/>
      <c r="AD406" s="4"/>
      <c r="AE406" s="4"/>
      <c r="AF406" s="4"/>
      <c r="AG406" s="4"/>
      <c r="AH406" s="4"/>
      <c r="AI406" s="4"/>
      <c r="AJ406" s="76" t="str">
        <f>IF(E406="○",IF(COUNTA(E$13:E406)=1,"",",")&amp;D406,"")</f>
        <v/>
      </c>
      <c r="AK406" s="4"/>
      <c r="AL406" s="4"/>
      <c r="AM406" s="4"/>
      <c r="AN406" s="4"/>
      <c r="AO406" s="4"/>
      <c r="AP406" s="4"/>
      <c r="AQ406" s="4"/>
      <c r="AR406" s="4"/>
      <c r="AS406" s="76" t="str">
        <f>"COMMENT ON COLUMN "&amp;エンティティ一覧!$O$2&amp;"."&amp;D$8&amp;"."&amp;D406&amp;" IS '"&amp;C406&amp;"';"</f>
        <v>COMMENT ON COLUMN milscm_2023_009.sny_202310_annony_shikkan2.shikkan393_start_date IS 'C812_疾患開始日';</v>
      </c>
    </row>
    <row r="407" spans="1:45" s="25" customFormat="1">
      <c r="A407" s="4" t="s">
        <v>5536</v>
      </c>
      <c r="B407" s="21">
        <f t="shared" si="93"/>
        <v>395</v>
      </c>
      <c r="C407" s="13" t="str">
        <f t="shared" si="92"/>
        <v>C813_疾患開始日</v>
      </c>
      <c r="D407" s="13" t="s">
        <v>6054</v>
      </c>
      <c r="E407" s="8"/>
      <c r="F407" s="7" t="s">
        <v>4348</v>
      </c>
      <c r="G407" s="7" t="s">
        <v>25</v>
      </c>
      <c r="H407" s="58"/>
      <c r="I407" s="23"/>
      <c r="J407" s="24"/>
      <c r="M407" s="4"/>
      <c r="N407" s="76"/>
      <c r="O407" s="76"/>
      <c r="P407" s="76" t="str">
        <f t="shared" si="87"/>
        <v>,shikkan394_start_date</v>
      </c>
      <c r="Q407" s="76" t="str">
        <f t="shared" si="88"/>
        <v>DATE</v>
      </c>
      <c r="R407" s="76" t="str">
        <f t="shared" si="89"/>
        <v/>
      </c>
      <c r="S407" s="76" t="str">
        <f t="shared" si="90"/>
        <v/>
      </c>
      <c r="T407" s="76" t="str">
        <f t="shared" si="91"/>
        <v>-- C813_疾患開始日</v>
      </c>
      <c r="U407" s="4" t="str">
        <f t="shared" si="68"/>
        <v>, CASE WHEN shikkan_disp_name = 'C813' THEN min_shikkan_start_date ::DATE ELSE NULL END AS shikkan394_start_date</v>
      </c>
      <c r="V407" s="25" t="str">
        <f t="shared" si="69"/>
        <v>, max(shikkan394_start_date)</v>
      </c>
      <c r="AA407" s="4"/>
      <c r="AB407" s="4"/>
      <c r="AC407" s="4"/>
      <c r="AD407" s="4"/>
      <c r="AE407" s="4"/>
      <c r="AF407" s="4"/>
      <c r="AG407" s="4"/>
      <c r="AH407" s="4"/>
      <c r="AI407" s="4"/>
      <c r="AJ407" s="76" t="str">
        <f>IF(E407="○",IF(COUNTA(E$13:E407)=1,"",",")&amp;D407,"")</f>
        <v/>
      </c>
      <c r="AK407" s="4"/>
      <c r="AL407" s="4"/>
      <c r="AM407" s="4"/>
      <c r="AN407" s="4"/>
      <c r="AO407" s="4"/>
      <c r="AP407" s="4"/>
      <c r="AQ407" s="4"/>
      <c r="AR407" s="4"/>
      <c r="AS407" s="76" t="str">
        <f>"COMMENT ON COLUMN "&amp;エンティティ一覧!$O$2&amp;"."&amp;D$8&amp;"."&amp;D407&amp;" IS '"&amp;C407&amp;"';"</f>
        <v>COMMENT ON COLUMN milscm_2023_009.sny_202310_annony_shikkan2.shikkan394_start_date IS 'C813_疾患開始日';</v>
      </c>
    </row>
    <row r="408" spans="1:45" s="25" customFormat="1">
      <c r="A408" s="4" t="s">
        <v>5537</v>
      </c>
      <c r="B408" s="21">
        <f t="shared" si="93"/>
        <v>396</v>
      </c>
      <c r="C408" s="13" t="str">
        <f t="shared" si="92"/>
        <v>C814_疾患開始日</v>
      </c>
      <c r="D408" s="13" t="s">
        <v>6055</v>
      </c>
      <c r="E408" s="8"/>
      <c r="F408" s="7" t="s">
        <v>4348</v>
      </c>
      <c r="G408" s="7" t="s">
        <v>25</v>
      </c>
      <c r="H408" s="58"/>
      <c r="I408" s="23"/>
      <c r="J408" s="24"/>
      <c r="M408" s="4"/>
      <c r="N408" s="76"/>
      <c r="O408" s="76"/>
      <c r="P408" s="76" t="str">
        <f t="shared" si="87"/>
        <v>,shikkan395_start_date</v>
      </c>
      <c r="Q408" s="76" t="str">
        <f t="shared" si="88"/>
        <v>DATE</v>
      </c>
      <c r="R408" s="76" t="str">
        <f t="shared" si="89"/>
        <v/>
      </c>
      <c r="S408" s="76" t="str">
        <f t="shared" si="90"/>
        <v/>
      </c>
      <c r="T408" s="76" t="str">
        <f t="shared" si="91"/>
        <v>-- C814_疾患開始日</v>
      </c>
      <c r="U408" s="4" t="str">
        <f t="shared" si="68"/>
        <v>, CASE WHEN shikkan_disp_name = 'C814' THEN min_shikkan_start_date ::DATE ELSE NULL END AS shikkan395_start_date</v>
      </c>
      <c r="V408" s="25" t="str">
        <f t="shared" si="69"/>
        <v>, max(shikkan395_start_date)</v>
      </c>
      <c r="AA408" s="4"/>
      <c r="AB408" s="4"/>
      <c r="AC408" s="4"/>
      <c r="AD408" s="4"/>
      <c r="AE408" s="4"/>
      <c r="AF408" s="4"/>
      <c r="AG408" s="4"/>
      <c r="AH408" s="4"/>
      <c r="AI408" s="4"/>
      <c r="AJ408" s="76" t="str">
        <f>IF(E408="○",IF(COUNTA(E$13:E408)=1,"",",")&amp;D408,"")</f>
        <v/>
      </c>
      <c r="AK408" s="4"/>
      <c r="AL408" s="4"/>
      <c r="AM408" s="4"/>
      <c r="AN408" s="4"/>
      <c r="AO408" s="4"/>
      <c r="AP408" s="4"/>
      <c r="AQ408" s="4"/>
      <c r="AR408" s="4"/>
      <c r="AS408" s="76" t="str">
        <f>"COMMENT ON COLUMN "&amp;エンティティ一覧!$O$2&amp;"."&amp;D$8&amp;"."&amp;D408&amp;" IS '"&amp;C408&amp;"';"</f>
        <v>COMMENT ON COLUMN milscm_2023_009.sny_202310_annony_shikkan2.shikkan395_start_date IS 'C814_疾患開始日';</v>
      </c>
    </row>
    <row r="409" spans="1:45" s="25" customFormat="1">
      <c r="A409" s="4" t="s">
        <v>5538</v>
      </c>
      <c r="B409" s="21">
        <f t="shared" si="93"/>
        <v>397</v>
      </c>
      <c r="C409" s="13" t="str">
        <f t="shared" si="92"/>
        <v>C817_疾患開始日</v>
      </c>
      <c r="D409" s="13" t="s">
        <v>6056</v>
      </c>
      <c r="E409" s="8"/>
      <c r="F409" s="7" t="s">
        <v>4348</v>
      </c>
      <c r="G409" s="7" t="s">
        <v>25</v>
      </c>
      <c r="H409" s="58"/>
      <c r="I409" s="23"/>
      <c r="J409" s="24"/>
      <c r="M409" s="4"/>
      <c r="N409" s="76"/>
      <c r="O409" s="76"/>
      <c r="P409" s="76" t="str">
        <f t="shared" si="87"/>
        <v>,shikkan396_start_date</v>
      </c>
      <c r="Q409" s="76" t="str">
        <f t="shared" si="88"/>
        <v>DATE</v>
      </c>
      <c r="R409" s="76" t="str">
        <f t="shared" si="89"/>
        <v/>
      </c>
      <c r="S409" s="76" t="str">
        <f t="shared" si="90"/>
        <v/>
      </c>
      <c r="T409" s="76" t="str">
        <f t="shared" si="91"/>
        <v>-- C817_疾患開始日</v>
      </c>
      <c r="U409" s="4" t="str">
        <f t="shared" si="68"/>
        <v>, CASE WHEN shikkan_disp_name = 'C817' THEN min_shikkan_start_date ::DATE ELSE NULL END AS shikkan396_start_date</v>
      </c>
      <c r="V409" s="25" t="str">
        <f t="shared" si="69"/>
        <v>, max(shikkan396_start_date)</v>
      </c>
      <c r="AA409" s="4"/>
      <c r="AB409" s="4"/>
      <c r="AC409" s="4"/>
      <c r="AD409" s="4"/>
      <c r="AE409" s="4"/>
      <c r="AF409" s="4"/>
      <c r="AG409" s="4"/>
      <c r="AH409" s="4"/>
      <c r="AI409" s="4"/>
      <c r="AJ409" s="76" t="str">
        <f>IF(E409="○",IF(COUNTA(E$13:E409)=1,"",",")&amp;D409,"")</f>
        <v/>
      </c>
      <c r="AK409" s="4"/>
      <c r="AL409" s="4"/>
      <c r="AM409" s="4"/>
      <c r="AN409" s="4"/>
      <c r="AO409" s="4"/>
      <c r="AP409" s="4"/>
      <c r="AQ409" s="4"/>
      <c r="AR409" s="4"/>
      <c r="AS409" s="76" t="str">
        <f>"COMMENT ON COLUMN "&amp;エンティティ一覧!$O$2&amp;"."&amp;D$8&amp;"."&amp;D409&amp;" IS '"&amp;C409&amp;"';"</f>
        <v>COMMENT ON COLUMN milscm_2023_009.sny_202310_annony_shikkan2.shikkan396_start_date IS 'C817_疾患開始日';</v>
      </c>
    </row>
    <row r="410" spans="1:45" s="25" customFormat="1">
      <c r="A410" s="4" t="s">
        <v>5539</v>
      </c>
      <c r="B410" s="21">
        <f t="shared" si="93"/>
        <v>398</v>
      </c>
      <c r="C410" s="13" t="str">
        <f t="shared" si="92"/>
        <v>C819_疾患開始日</v>
      </c>
      <c r="D410" s="13" t="s">
        <v>6057</v>
      </c>
      <c r="E410" s="8"/>
      <c r="F410" s="7" t="s">
        <v>4348</v>
      </c>
      <c r="G410" s="7" t="s">
        <v>25</v>
      </c>
      <c r="H410" s="58"/>
      <c r="I410" s="23"/>
      <c r="J410" s="24"/>
      <c r="M410" s="4"/>
      <c r="N410" s="76"/>
      <c r="O410" s="76"/>
      <c r="P410" s="76" t="str">
        <f t="shared" si="87"/>
        <v>,shikkan397_start_date</v>
      </c>
      <c r="Q410" s="76" t="str">
        <f t="shared" si="88"/>
        <v>DATE</v>
      </c>
      <c r="R410" s="76" t="str">
        <f t="shared" si="89"/>
        <v/>
      </c>
      <c r="S410" s="76" t="str">
        <f t="shared" si="90"/>
        <v/>
      </c>
      <c r="T410" s="76" t="str">
        <f t="shared" si="91"/>
        <v>-- C819_疾患開始日</v>
      </c>
      <c r="U410" s="4" t="str">
        <f t="shared" si="68"/>
        <v>, CASE WHEN shikkan_disp_name = 'C819' THEN min_shikkan_start_date ::DATE ELSE NULL END AS shikkan397_start_date</v>
      </c>
      <c r="V410" s="25" t="str">
        <f t="shared" si="69"/>
        <v>, max(shikkan397_start_date)</v>
      </c>
      <c r="AA410" s="4"/>
      <c r="AB410" s="4"/>
      <c r="AC410" s="4"/>
      <c r="AD410" s="4"/>
      <c r="AE410" s="4"/>
      <c r="AF410" s="4"/>
      <c r="AG410" s="4"/>
      <c r="AH410" s="4"/>
      <c r="AI410" s="4"/>
      <c r="AJ410" s="76" t="str">
        <f>IF(E410="○",IF(COUNTA(E$13:E410)=1,"",",")&amp;D410,"")</f>
        <v/>
      </c>
      <c r="AK410" s="4"/>
      <c r="AL410" s="4"/>
      <c r="AM410" s="4"/>
      <c r="AN410" s="4"/>
      <c r="AO410" s="4"/>
      <c r="AP410" s="4"/>
      <c r="AQ410" s="4"/>
      <c r="AR410" s="4"/>
      <c r="AS410" s="76" t="str">
        <f>"COMMENT ON COLUMN "&amp;エンティティ一覧!$O$2&amp;"."&amp;D$8&amp;"."&amp;D410&amp;" IS '"&amp;C410&amp;"';"</f>
        <v>COMMENT ON COLUMN milscm_2023_009.sny_202310_annony_shikkan2.shikkan397_start_date IS 'C819_疾患開始日';</v>
      </c>
    </row>
    <row r="411" spans="1:45" s="25" customFormat="1">
      <c r="A411" s="4" t="s">
        <v>5540</v>
      </c>
      <c r="B411" s="21">
        <f t="shared" si="93"/>
        <v>399</v>
      </c>
      <c r="C411" s="13" t="str">
        <f t="shared" si="92"/>
        <v>C820_疾患開始日</v>
      </c>
      <c r="D411" s="13" t="s">
        <v>6058</v>
      </c>
      <c r="E411" s="8"/>
      <c r="F411" s="7" t="s">
        <v>4348</v>
      </c>
      <c r="G411" s="7" t="s">
        <v>25</v>
      </c>
      <c r="H411" s="58"/>
      <c r="I411" s="23"/>
      <c r="J411" s="24"/>
      <c r="M411" s="4"/>
      <c r="N411" s="76"/>
      <c r="O411" s="76"/>
      <c r="P411" s="76" t="str">
        <f t="shared" si="87"/>
        <v>,shikkan398_start_date</v>
      </c>
      <c r="Q411" s="76" t="str">
        <f t="shared" si="88"/>
        <v>DATE</v>
      </c>
      <c r="R411" s="76" t="str">
        <f t="shared" si="89"/>
        <v/>
      </c>
      <c r="S411" s="76" t="str">
        <f t="shared" si="90"/>
        <v/>
      </c>
      <c r="T411" s="76" t="str">
        <f t="shared" si="91"/>
        <v>-- C820_疾患開始日</v>
      </c>
      <c r="U411" s="4" t="str">
        <f t="shared" si="68"/>
        <v>, CASE WHEN shikkan_disp_name = 'C820' THEN min_shikkan_start_date ::DATE ELSE NULL END AS shikkan398_start_date</v>
      </c>
      <c r="V411" s="25" t="str">
        <f t="shared" si="69"/>
        <v>, max(shikkan398_start_date)</v>
      </c>
      <c r="AA411" s="4"/>
      <c r="AB411" s="4"/>
      <c r="AC411" s="4"/>
      <c r="AD411" s="4"/>
      <c r="AE411" s="4"/>
      <c r="AF411" s="4"/>
      <c r="AG411" s="4"/>
      <c r="AH411" s="4"/>
      <c r="AI411" s="4"/>
      <c r="AJ411" s="76" t="str">
        <f>IF(E411="○",IF(COUNTA(E$13:E411)=1,"",",")&amp;D411,"")</f>
        <v/>
      </c>
      <c r="AK411" s="4"/>
      <c r="AL411" s="4"/>
      <c r="AM411" s="4"/>
      <c r="AN411" s="4"/>
      <c r="AO411" s="4"/>
      <c r="AP411" s="4"/>
      <c r="AQ411" s="4"/>
      <c r="AR411" s="4"/>
      <c r="AS411" s="76" t="str">
        <f>"COMMENT ON COLUMN "&amp;エンティティ一覧!$O$2&amp;"."&amp;D$8&amp;"."&amp;D411&amp;" IS '"&amp;C411&amp;"';"</f>
        <v>COMMENT ON COLUMN milscm_2023_009.sny_202310_annony_shikkan2.shikkan398_start_date IS 'C820_疾患開始日';</v>
      </c>
    </row>
    <row r="412" spans="1:45" s="25" customFormat="1">
      <c r="A412" s="4" t="s">
        <v>5541</v>
      </c>
      <c r="B412" s="21">
        <f t="shared" si="93"/>
        <v>400</v>
      </c>
      <c r="C412" s="13" t="str">
        <f t="shared" si="92"/>
        <v>C821_疾患開始日</v>
      </c>
      <c r="D412" s="13" t="s">
        <v>6059</v>
      </c>
      <c r="E412" s="8"/>
      <c r="F412" s="7" t="s">
        <v>4348</v>
      </c>
      <c r="G412" s="7" t="s">
        <v>25</v>
      </c>
      <c r="H412" s="58"/>
      <c r="I412" s="23"/>
      <c r="J412" s="24"/>
      <c r="M412" s="4"/>
      <c r="N412" s="76"/>
      <c r="O412" s="76"/>
      <c r="P412" s="76" t="str">
        <f t="shared" si="87"/>
        <v>,shikkan399_start_date</v>
      </c>
      <c r="Q412" s="76" t="str">
        <f t="shared" si="88"/>
        <v>DATE</v>
      </c>
      <c r="R412" s="76" t="str">
        <f t="shared" si="89"/>
        <v/>
      </c>
      <c r="S412" s="76" t="str">
        <f t="shared" si="90"/>
        <v/>
      </c>
      <c r="T412" s="76" t="str">
        <f t="shared" si="91"/>
        <v>-- C821_疾患開始日</v>
      </c>
      <c r="U412" s="4" t="str">
        <f t="shared" si="68"/>
        <v>, CASE WHEN shikkan_disp_name = 'C821' THEN min_shikkan_start_date ::DATE ELSE NULL END AS shikkan399_start_date</v>
      </c>
      <c r="V412" s="25" t="str">
        <f t="shared" si="69"/>
        <v>, max(shikkan399_start_date)</v>
      </c>
      <c r="AA412" s="4"/>
      <c r="AB412" s="4"/>
      <c r="AC412" s="4"/>
      <c r="AD412" s="4"/>
      <c r="AE412" s="4"/>
      <c r="AF412" s="4"/>
      <c r="AG412" s="4"/>
      <c r="AH412" s="4"/>
      <c r="AI412" s="4"/>
      <c r="AJ412" s="76" t="str">
        <f>IF(E412="○",IF(COUNTA(E$13:E412)=1,"",",")&amp;D412,"")</f>
        <v/>
      </c>
      <c r="AK412" s="4"/>
      <c r="AL412" s="4"/>
      <c r="AM412" s="4"/>
      <c r="AN412" s="4"/>
      <c r="AO412" s="4"/>
      <c r="AP412" s="4"/>
      <c r="AQ412" s="4"/>
      <c r="AR412" s="4"/>
      <c r="AS412" s="76" t="str">
        <f>"COMMENT ON COLUMN "&amp;エンティティ一覧!$O$2&amp;"."&amp;D$8&amp;"."&amp;D412&amp;" IS '"&amp;C412&amp;"';"</f>
        <v>COMMENT ON COLUMN milscm_2023_009.sny_202310_annony_shikkan2.shikkan399_start_date IS 'C821_疾患開始日';</v>
      </c>
    </row>
    <row r="413" spans="1:45" s="25" customFormat="1">
      <c r="A413" s="4" t="s">
        <v>5542</v>
      </c>
      <c r="B413" s="21">
        <f t="shared" si="93"/>
        <v>401</v>
      </c>
      <c r="C413" s="13" t="str">
        <f t="shared" si="92"/>
        <v>C822_疾患開始日</v>
      </c>
      <c r="D413" s="13" t="s">
        <v>6060</v>
      </c>
      <c r="E413" s="8"/>
      <c r="F413" s="7" t="s">
        <v>4348</v>
      </c>
      <c r="G413" s="7" t="s">
        <v>99</v>
      </c>
      <c r="H413" s="58"/>
      <c r="I413" s="23"/>
      <c r="J413" s="24"/>
      <c r="M413" s="4"/>
      <c r="N413" s="76"/>
      <c r="O413" s="76"/>
      <c r="P413" s="76" t="str">
        <f t="shared" si="87"/>
        <v>,shikkan400_start_date</v>
      </c>
      <c r="Q413" s="76" t="str">
        <f t="shared" si="88"/>
        <v>DATE</v>
      </c>
      <c r="R413" s="76" t="str">
        <f t="shared" si="89"/>
        <v/>
      </c>
      <c r="S413" s="76" t="str">
        <f t="shared" si="90"/>
        <v/>
      </c>
      <c r="T413" s="76" t="str">
        <f t="shared" si="91"/>
        <v>-- C822_疾患開始日</v>
      </c>
      <c r="U413" s="4" t="str">
        <f t="shared" si="68"/>
        <v>, CASE WHEN shikkan_disp_name = 'C822' THEN min_shikkan_start_date ::DATE ELSE NULL END AS shikkan400_start_date</v>
      </c>
      <c r="V413" s="25" t="str">
        <f t="shared" si="69"/>
        <v>, max(shikkan400_start_date)</v>
      </c>
      <c r="AA413" s="4"/>
      <c r="AB413" s="4"/>
      <c r="AC413" s="4"/>
      <c r="AD413" s="4"/>
      <c r="AE413" s="4"/>
      <c r="AF413" s="4"/>
      <c r="AG413" s="4"/>
      <c r="AH413" s="4"/>
      <c r="AI413" s="4"/>
      <c r="AJ413" s="76" t="str">
        <f>IF(E413="○",IF(COUNTA(E$13:E413)=1,"",",")&amp;D413,"")</f>
        <v/>
      </c>
      <c r="AK413" s="4"/>
      <c r="AL413" s="4"/>
      <c r="AM413" s="4"/>
      <c r="AN413" s="4"/>
      <c r="AO413" s="4"/>
      <c r="AP413" s="4"/>
      <c r="AQ413" s="4"/>
      <c r="AR413" s="4"/>
      <c r="AS413" s="76" t="str">
        <f>"COMMENT ON COLUMN "&amp;エンティティ一覧!$O$2&amp;"."&amp;D$8&amp;"."&amp;D413&amp;" IS '"&amp;C413&amp;"';"</f>
        <v>COMMENT ON COLUMN milscm_2023_009.sny_202310_annony_shikkan2.shikkan400_start_date IS 'C822_疾患開始日';</v>
      </c>
    </row>
    <row r="414" spans="1:45" s="25" customFormat="1">
      <c r="A414" s="4" t="s">
        <v>5543</v>
      </c>
      <c r="B414" s="21">
        <f t="shared" si="93"/>
        <v>402</v>
      </c>
      <c r="C414" s="13" t="str">
        <f t="shared" si="92"/>
        <v>C823_疾患開始日</v>
      </c>
      <c r="D414" s="13" t="s">
        <v>6061</v>
      </c>
      <c r="E414" s="8"/>
      <c r="F414" s="7" t="s">
        <v>4348</v>
      </c>
      <c r="G414" s="7" t="s">
        <v>25</v>
      </c>
      <c r="H414" s="58"/>
      <c r="I414" s="23"/>
      <c r="J414" s="24"/>
      <c r="M414" s="4"/>
      <c r="N414" s="76"/>
      <c r="O414" s="76"/>
      <c r="P414" s="76" t="str">
        <f t="shared" si="87"/>
        <v>,shikkan401_start_date</v>
      </c>
      <c r="Q414" s="76" t="str">
        <f t="shared" si="88"/>
        <v>DATE</v>
      </c>
      <c r="R414" s="76" t="str">
        <f t="shared" si="89"/>
        <v/>
      </c>
      <c r="S414" s="76" t="str">
        <f t="shared" si="90"/>
        <v/>
      </c>
      <c r="T414" s="76" t="str">
        <f t="shared" si="91"/>
        <v>-- C823_疾患開始日</v>
      </c>
      <c r="U414" s="4" t="str">
        <f t="shared" si="68"/>
        <v>, CASE WHEN shikkan_disp_name = 'C823' THEN min_shikkan_start_date ::DATE ELSE NULL END AS shikkan401_start_date</v>
      </c>
      <c r="V414" s="25" t="str">
        <f t="shared" si="69"/>
        <v>, max(shikkan401_start_date)</v>
      </c>
      <c r="AA414" s="4"/>
      <c r="AB414" s="4"/>
      <c r="AC414" s="4"/>
      <c r="AD414" s="4"/>
      <c r="AE414" s="4"/>
      <c r="AF414" s="4"/>
      <c r="AG414" s="4"/>
      <c r="AH414" s="4"/>
      <c r="AI414" s="4"/>
      <c r="AJ414" s="76" t="str">
        <f>IF(E414="○",IF(COUNTA(E$13:E414)=1,"",",")&amp;D414,"")</f>
        <v/>
      </c>
      <c r="AK414" s="4"/>
      <c r="AL414" s="4"/>
      <c r="AM414" s="4"/>
      <c r="AN414" s="4"/>
      <c r="AO414" s="4"/>
      <c r="AP414" s="4"/>
      <c r="AQ414" s="4"/>
      <c r="AR414" s="4"/>
      <c r="AS414" s="76" t="str">
        <f>"COMMENT ON COLUMN "&amp;エンティティ一覧!$O$2&amp;"."&amp;D$8&amp;"."&amp;D414&amp;" IS '"&amp;C414&amp;"';"</f>
        <v>COMMENT ON COLUMN milscm_2023_009.sny_202310_annony_shikkan2.shikkan401_start_date IS 'C823_疾患開始日';</v>
      </c>
    </row>
    <row r="415" spans="1:45" s="25" customFormat="1">
      <c r="A415" s="4" t="s">
        <v>5544</v>
      </c>
      <c r="B415" s="21">
        <f t="shared" si="93"/>
        <v>403</v>
      </c>
      <c r="C415" s="13" t="str">
        <f t="shared" si="92"/>
        <v>C824_疾患開始日</v>
      </c>
      <c r="D415" s="13" t="s">
        <v>6062</v>
      </c>
      <c r="E415" s="8"/>
      <c r="F415" s="7" t="s">
        <v>4348</v>
      </c>
      <c r="G415" s="7" t="s">
        <v>25</v>
      </c>
      <c r="H415" s="58"/>
      <c r="I415" s="23"/>
      <c r="J415" s="24"/>
      <c r="M415" s="4"/>
      <c r="N415" s="76"/>
      <c r="O415" s="76"/>
      <c r="P415" s="76" t="str">
        <f t="shared" si="87"/>
        <v>,shikkan402_start_date</v>
      </c>
      <c r="Q415" s="76" t="str">
        <f t="shared" si="88"/>
        <v>DATE</v>
      </c>
      <c r="R415" s="76" t="str">
        <f t="shared" si="89"/>
        <v/>
      </c>
      <c r="S415" s="76" t="str">
        <f t="shared" si="90"/>
        <v/>
      </c>
      <c r="T415" s="76" t="str">
        <f t="shared" si="91"/>
        <v>-- C824_疾患開始日</v>
      </c>
      <c r="U415" s="4" t="str">
        <f t="shared" si="68"/>
        <v>, CASE WHEN shikkan_disp_name = 'C824' THEN min_shikkan_start_date ::DATE ELSE NULL END AS shikkan402_start_date</v>
      </c>
      <c r="V415" s="25" t="str">
        <f t="shared" si="69"/>
        <v>, max(shikkan402_start_date)</v>
      </c>
      <c r="AA415" s="4"/>
      <c r="AB415" s="4"/>
      <c r="AC415" s="4"/>
      <c r="AD415" s="4"/>
      <c r="AE415" s="4"/>
      <c r="AF415" s="4"/>
      <c r="AG415" s="4"/>
      <c r="AH415" s="4"/>
      <c r="AI415" s="4"/>
      <c r="AJ415" s="76" t="str">
        <f>IF(E415="○",IF(COUNTA(E$13:E415)=1,"",",")&amp;D415,"")</f>
        <v/>
      </c>
      <c r="AK415" s="4"/>
      <c r="AL415" s="4"/>
      <c r="AM415" s="4"/>
      <c r="AN415" s="4"/>
      <c r="AO415" s="4"/>
      <c r="AP415" s="4"/>
      <c r="AQ415" s="4"/>
      <c r="AR415" s="4"/>
      <c r="AS415" s="76" t="str">
        <f>"COMMENT ON COLUMN "&amp;エンティティ一覧!$O$2&amp;"."&amp;D$8&amp;"."&amp;D415&amp;" IS '"&amp;C415&amp;"';"</f>
        <v>COMMENT ON COLUMN milscm_2023_009.sny_202310_annony_shikkan2.shikkan402_start_date IS 'C824_疾患開始日';</v>
      </c>
    </row>
    <row r="416" spans="1:45" s="25" customFormat="1">
      <c r="A416" s="4" t="s">
        <v>5545</v>
      </c>
      <c r="B416" s="21">
        <f t="shared" si="93"/>
        <v>404</v>
      </c>
      <c r="C416" s="13" t="str">
        <f t="shared" si="92"/>
        <v>C825_疾患開始日</v>
      </c>
      <c r="D416" s="13" t="s">
        <v>6063</v>
      </c>
      <c r="E416" s="8"/>
      <c r="F416" s="7" t="s">
        <v>4348</v>
      </c>
      <c r="G416" s="7" t="s">
        <v>25</v>
      </c>
      <c r="H416" s="58"/>
      <c r="I416" s="23"/>
      <c r="J416" s="24"/>
      <c r="M416" s="4"/>
      <c r="N416" s="76"/>
      <c r="O416" s="76"/>
      <c r="P416" s="76" t="str">
        <f t="shared" si="87"/>
        <v>,shikkan403_start_date</v>
      </c>
      <c r="Q416" s="76" t="str">
        <f t="shared" si="88"/>
        <v>DATE</v>
      </c>
      <c r="R416" s="76" t="str">
        <f t="shared" si="89"/>
        <v/>
      </c>
      <c r="S416" s="76" t="str">
        <f t="shared" si="90"/>
        <v/>
      </c>
      <c r="T416" s="76" t="str">
        <f t="shared" si="91"/>
        <v>-- C825_疾患開始日</v>
      </c>
      <c r="U416" s="4" t="str">
        <f t="shared" si="68"/>
        <v>, CASE WHEN shikkan_disp_name = 'C825' THEN min_shikkan_start_date ::DATE ELSE NULL END AS shikkan403_start_date</v>
      </c>
      <c r="V416" s="25" t="str">
        <f t="shared" si="69"/>
        <v>, max(shikkan403_start_date)</v>
      </c>
      <c r="AA416" s="4"/>
      <c r="AB416" s="4"/>
      <c r="AC416" s="4"/>
      <c r="AD416" s="4"/>
      <c r="AE416" s="4"/>
      <c r="AF416" s="4"/>
      <c r="AG416" s="4"/>
      <c r="AH416" s="4"/>
      <c r="AI416" s="4"/>
      <c r="AJ416" s="76" t="str">
        <f>IF(E416="○",IF(COUNTA(E$13:E416)=1,"",",")&amp;D416,"")</f>
        <v/>
      </c>
      <c r="AK416" s="4"/>
      <c r="AL416" s="4"/>
      <c r="AM416" s="4"/>
      <c r="AN416" s="4"/>
      <c r="AO416" s="4"/>
      <c r="AP416" s="4"/>
      <c r="AQ416" s="4"/>
      <c r="AR416" s="4"/>
      <c r="AS416" s="76" t="str">
        <f>"COMMENT ON COLUMN "&amp;エンティティ一覧!$O$2&amp;"."&amp;D$8&amp;"."&amp;D416&amp;" IS '"&amp;C416&amp;"';"</f>
        <v>COMMENT ON COLUMN milscm_2023_009.sny_202310_annony_shikkan2.shikkan403_start_date IS 'C825_疾患開始日';</v>
      </c>
    </row>
    <row r="417" spans="1:45" s="25" customFormat="1">
      <c r="A417" s="4" t="s">
        <v>5546</v>
      </c>
      <c r="B417" s="21">
        <f t="shared" si="93"/>
        <v>405</v>
      </c>
      <c r="C417" s="13" t="str">
        <f t="shared" si="92"/>
        <v>C826_疾患開始日</v>
      </c>
      <c r="D417" s="13" t="s">
        <v>6064</v>
      </c>
      <c r="E417" s="8"/>
      <c r="F417" s="7" t="s">
        <v>4348</v>
      </c>
      <c r="G417" s="7" t="s">
        <v>25</v>
      </c>
      <c r="H417" s="58"/>
      <c r="I417" s="23"/>
      <c r="J417" s="24"/>
      <c r="M417" s="4"/>
      <c r="N417" s="76"/>
      <c r="O417" s="76"/>
      <c r="P417" s="76" t="str">
        <f t="shared" si="87"/>
        <v>,shikkan404_start_date</v>
      </c>
      <c r="Q417" s="76" t="str">
        <f t="shared" si="88"/>
        <v>DATE</v>
      </c>
      <c r="R417" s="76" t="str">
        <f t="shared" si="89"/>
        <v/>
      </c>
      <c r="S417" s="76" t="str">
        <f t="shared" si="90"/>
        <v/>
      </c>
      <c r="T417" s="76" t="str">
        <f t="shared" si="91"/>
        <v>-- C826_疾患開始日</v>
      </c>
      <c r="U417" s="4" t="str">
        <f t="shared" si="68"/>
        <v>, CASE WHEN shikkan_disp_name = 'C826' THEN min_shikkan_start_date ::DATE ELSE NULL END AS shikkan404_start_date</v>
      </c>
      <c r="V417" s="25" t="str">
        <f t="shared" si="69"/>
        <v>, max(shikkan404_start_date)</v>
      </c>
      <c r="AA417" s="4"/>
      <c r="AB417" s="4"/>
      <c r="AC417" s="4"/>
      <c r="AD417" s="4"/>
      <c r="AE417" s="4"/>
      <c r="AF417" s="4"/>
      <c r="AG417" s="4"/>
      <c r="AH417" s="4"/>
      <c r="AI417" s="4"/>
      <c r="AJ417" s="76" t="str">
        <f>IF(E417="○",IF(COUNTA(E$13:E417)=1,"",",")&amp;D417,"")</f>
        <v/>
      </c>
      <c r="AK417" s="4"/>
      <c r="AL417" s="4"/>
      <c r="AM417" s="4"/>
      <c r="AN417" s="4"/>
      <c r="AO417" s="4"/>
      <c r="AP417" s="4"/>
      <c r="AQ417" s="4"/>
      <c r="AR417" s="4"/>
      <c r="AS417" s="76" t="str">
        <f>"COMMENT ON COLUMN "&amp;エンティティ一覧!$O$2&amp;"."&amp;D$8&amp;"."&amp;D417&amp;" IS '"&amp;C417&amp;"';"</f>
        <v>COMMENT ON COLUMN milscm_2023_009.sny_202310_annony_shikkan2.shikkan404_start_date IS 'C826_疾患開始日';</v>
      </c>
    </row>
    <row r="418" spans="1:45" s="25" customFormat="1">
      <c r="A418" s="4" t="s">
        <v>5547</v>
      </c>
      <c r="B418" s="21">
        <f t="shared" si="93"/>
        <v>406</v>
      </c>
      <c r="C418" s="13" t="str">
        <f t="shared" si="92"/>
        <v>C827_疾患開始日</v>
      </c>
      <c r="D418" s="13" t="s">
        <v>6065</v>
      </c>
      <c r="E418" s="8"/>
      <c r="F418" s="7" t="s">
        <v>4348</v>
      </c>
      <c r="G418" s="7" t="s">
        <v>25</v>
      </c>
      <c r="H418" s="58"/>
      <c r="I418" s="23"/>
      <c r="J418" s="24"/>
      <c r="M418" s="4"/>
      <c r="N418" s="76"/>
      <c r="O418" s="76"/>
      <c r="P418" s="76" t="str">
        <f t="shared" si="87"/>
        <v>,shikkan405_start_date</v>
      </c>
      <c r="Q418" s="76" t="str">
        <f t="shared" si="88"/>
        <v>DATE</v>
      </c>
      <c r="R418" s="76" t="str">
        <f t="shared" si="89"/>
        <v/>
      </c>
      <c r="S418" s="76" t="str">
        <f t="shared" si="90"/>
        <v/>
      </c>
      <c r="T418" s="76" t="str">
        <f t="shared" si="91"/>
        <v>-- C827_疾患開始日</v>
      </c>
      <c r="U418" s="4" t="str">
        <f t="shared" si="68"/>
        <v>, CASE WHEN shikkan_disp_name = 'C827' THEN min_shikkan_start_date ::DATE ELSE NULL END AS shikkan405_start_date</v>
      </c>
      <c r="V418" s="25" t="str">
        <f t="shared" si="69"/>
        <v>, max(shikkan405_start_date)</v>
      </c>
      <c r="AA418" s="4"/>
      <c r="AB418" s="4"/>
      <c r="AC418" s="4"/>
      <c r="AD418" s="4"/>
      <c r="AE418" s="4"/>
      <c r="AF418" s="4"/>
      <c r="AG418" s="4"/>
      <c r="AH418" s="4"/>
      <c r="AI418" s="4"/>
      <c r="AJ418" s="76" t="str">
        <f>IF(E418="○",IF(COUNTA(E$13:E418)=1,"",",")&amp;D418,"")</f>
        <v/>
      </c>
      <c r="AK418" s="4"/>
      <c r="AL418" s="4"/>
      <c r="AM418" s="4"/>
      <c r="AN418" s="4"/>
      <c r="AO418" s="4"/>
      <c r="AP418" s="4"/>
      <c r="AQ418" s="4"/>
      <c r="AR418" s="4"/>
      <c r="AS418" s="76" t="str">
        <f>"COMMENT ON COLUMN "&amp;エンティティ一覧!$O$2&amp;"."&amp;D$8&amp;"."&amp;D418&amp;" IS '"&amp;C418&amp;"';"</f>
        <v>COMMENT ON COLUMN milscm_2023_009.sny_202310_annony_shikkan2.shikkan405_start_date IS 'C827_疾患開始日';</v>
      </c>
    </row>
    <row r="419" spans="1:45" s="25" customFormat="1">
      <c r="A419" s="4" t="s">
        <v>5548</v>
      </c>
      <c r="B419" s="21">
        <f t="shared" si="93"/>
        <v>407</v>
      </c>
      <c r="C419" s="13" t="str">
        <f t="shared" si="92"/>
        <v>C829_疾患開始日</v>
      </c>
      <c r="D419" s="13" t="s">
        <v>6066</v>
      </c>
      <c r="E419" s="8"/>
      <c r="F419" s="7" t="s">
        <v>4348</v>
      </c>
      <c r="G419" s="7" t="s">
        <v>25</v>
      </c>
      <c r="H419" s="58"/>
      <c r="I419" s="23"/>
      <c r="J419" s="24"/>
      <c r="M419" s="4"/>
      <c r="N419" s="76"/>
      <c r="O419" s="76"/>
      <c r="P419" s="76" t="str">
        <f t="shared" si="87"/>
        <v>,shikkan406_start_date</v>
      </c>
      <c r="Q419" s="76" t="str">
        <f t="shared" si="88"/>
        <v>DATE</v>
      </c>
      <c r="R419" s="76" t="str">
        <f t="shared" si="89"/>
        <v/>
      </c>
      <c r="S419" s="76" t="str">
        <f t="shared" si="90"/>
        <v/>
      </c>
      <c r="T419" s="76" t="str">
        <f t="shared" si="91"/>
        <v>-- C829_疾患開始日</v>
      </c>
      <c r="U419" s="4" t="str">
        <f t="shared" si="68"/>
        <v>, CASE WHEN shikkan_disp_name = 'C829' THEN min_shikkan_start_date ::DATE ELSE NULL END AS shikkan406_start_date</v>
      </c>
      <c r="V419" s="25" t="str">
        <f t="shared" si="69"/>
        <v>, max(shikkan406_start_date)</v>
      </c>
      <c r="AA419" s="4"/>
      <c r="AB419" s="4"/>
      <c r="AC419" s="4"/>
      <c r="AD419" s="4"/>
      <c r="AE419" s="4"/>
      <c r="AF419" s="4"/>
      <c r="AG419" s="4"/>
      <c r="AH419" s="4"/>
      <c r="AI419" s="4"/>
      <c r="AJ419" s="76" t="str">
        <f>IF(E419="○",IF(COUNTA(E$13:E419)=1,"",",")&amp;D419,"")</f>
        <v/>
      </c>
      <c r="AK419" s="4"/>
      <c r="AL419" s="4"/>
      <c r="AM419" s="4"/>
      <c r="AN419" s="4"/>
      <c r="AO419" s="4"/>
      <c r="AP419" s="4"/>
      <c r="AQ419" s="4"/>
      <c r="AR419" s="4"/>
      <c r="AS419" s="76" t="str">
        <f>"COMMENT ON COLUMN "&amp;エンティティ一覧!$O$2&amp;"."&amp;D$8&amp;"."&amp;D419&amp;" IS '"&amp;C419&amp;"';"</f>
        <v>COMMENT ON COLUMN milscm_2023_009.sny_202310_annony_shikkan2.shikkan406_start_date IS 'C829_疾患開始日';</v>
      </c>
    </row>
    <row r="420" spans="1:45" s="25" customFormat="1">
      <c r="A420" s="4" t="s">
        <v>5549</v>
      </c>
      <c r="B420" s="21">
        <f t="shared" si="93"/>
        <v>408</v>
      </c>
      <c r="C420" s="13" t="str">
        <f t="shared" si="92"/>
        <v>C830_疾患開始日</v>
      </c>
      <c r="D420" s="13" t="s">
        <v>6067</v>
      </c>
      <c r="E420" s="8"/>
      <c r="F420" s="7" t="s">
        <v>4348</v>
      </c>
      <c r="G420" s="7" t="s">
        <v>25</v>
      </c>
      <c r="H420" s="58"/>
      <c r="I420" s="23"/>
      <c r="J420" s="24"/>
      <c r="M420" s="4"/>
      <c r="N420" s="76"/>
      <c r="O420" s="76"/>
      <c r="P420" s="76" t="str">
        <f t="shared" si="87"/>
        <v>,shikkan407_start_date</v>
      </c>
      <c r="Q420" s="76" t="str">
        <f t="shared" si="88"/>
        <v>DATE</v>
      </c>
      <c r="R420" s="76" t="str">
        <f t="shared" si="89"/>
        <v/>
      </c>
      <c r="S420" s="76" t="str">
        <f t="shared" si="90"/>
        <v/>
      </c>
      <c r="T420" s="76" t="str">
        <f t="shared" si="91"/>
        <v>-- C830_疾患開始日</v>
      </c>
      <c r="U420" s="4" t="str">
        <f t="shared" si="68"/>
        <v>, CASE WHEN shikkan_disp_name = 'C830' THEN min_shikkan_start_date ::DATE ELSE NULL END AS shikkan407_start_date</v>
      </c>
      <c r="V420" s="25" t="str">
        <f t="shared" si="69"/>
        <v>, max(shikkan407_start_date)</v>
      </c>
      <c r="AA420" s="4"/>
      <c r="AB420" s="4"/>
      <c r="AC420" s="4"/>
      <c r="AD420" s="4"/>
      <c r="AE420" s="4"/>
      <c r="AF420" s="4"/>
      <c r="AG420" s="4"/>
      <c r="AH420" s="4"/>
      <c r="AI420" s="4"/>
      <c r="AJ420" s="76" t="str">
        <f>IF(E420="○",IF(COUNTA(E$13:E420)=1,"",",")&amp;D420,"")</f>
        <v/>
      </c>
      <c r="AK420" s="4"/>
      <c r="AL420" s="4"/>
      <c r="AM420" s="4"/>
      <c r="AN420" s="4"/>
      <c r="AO420" s="4"/>
      <c r="AP420" s="4"/>
      <c r="AQ420" s="4"/>
      <c r="AR420" s="4"/>
      <c r="AS420" s="76" t="str">
        <f>"COMMENT ON COLUMN "&amp;エンティティ一覧!$O$2&amp;"."&amp;D$8&amp;"."&amp;D420&amp;" IS '"&amp;C420&amp;"';"</f>
        <v>COMMENT ON COLUMN milscm_2023_009.sny_202310_annony_shikkan2.shikkan407_start_date IS 'C830_疾患開始日';</v>
      </c>
    </row>
    <row r="421" spans="1:45" s="25" customFormat="1">
      <c r="A421" s="4" t="s">
        <v>5550</v>
      </c>
      <c r="B421" s="21">
        <f t="shared" si="93"/>
        <v>409</v>
      </c>
      <c r="C421" s="13" t="str">
        <f t="shared" si="92"/>
        <v>C831_疾患開始日</v>
      </c>
      <c r="D421" s="13" t="s">
        <v>6068</v>
      </c>
      <c r="E421" s="8"/>
      <c r="F421" s="7" t="s">
        <v>4348</v>
      </c>
      <c r="G421" s="7" t="s">
        <v>25</v>
      </c>
      <c r="H421" s="58"/>
      <c r="I421" s="23"/>
      <c r="J421" s="24"/>
      <c r="M421" s="4"/>
      <c r="N421" s="76"/>
      <c r="O421" s="76"/>
      <c r="P421" s="76" t="str">
        <f t="shared" si="87"/>
        <v>,shikkan408_start_date</v>
      </c>
      <c r="Q421" s="76" t="str">
        <f t="shared" si="88"/>
        <v>DATE</v>
      </c>
      <c r="R421" s="76" t="str">
        <f t="shared" si="89"/>
        <v/>
      </c>
      <c r="S421" s="76" t="str">
        <f t="shared" si="90"/>
        <v/>
      </c>
      <c r="T421" s="76" t="str">
        <f t="shared" si="91"/>
        <v>-- C831_疾患開始日</v>
      </c>
      <c r="U421" s="4" t="str">
        <f t="shared" si="68"/>
        <v>, CASE WHEN shikkan_disp_name = 'C831' THEN min_shikkan_start_date ::DATE ELSE NULL END AS shikkan408_start_date</v>
      </c>
      <c r="V421" s="25" t="str">
        <f t="shared" si="69"/>
        <v>, max(shikkan408_start_date)</v>
      </c>
      <c r="AA421" s="4"/>
      <c r="AB421" s="4"/>
      <c r="AC421" s="4"/>
      <c r="AD421" s="4"/>
      <c r="AE421" s="4"/>
      <c r="AF421" s="4"/>
      <c r="AG421" s="4"/>
      <c r="AH421" s="4"/>
      <c r="AI421" s="4"/>
      <c r="AJ421" s="76" t="str">
        <f>IF(E421="○",IF(COUNTA(E$13:E421)=1,"",",")&amp;D421,"")</f>
        <v/>
      </c>
      <c r="AK421" s="4"/>
      <c r="AL421" s="4"/>
      <c r="AM421" s="4"/>
      <c r="AN421" s="4"/>
      <c r="AO421" s="4"/>
      <c r="AP421" s="4"/>
      <c r="AQ421" s="4"/>
      <c r="AR421" s="4"/>
      <c r="AS421" s="76" t="str">
        <f>"COMMENT ON COLUMN "&amp;エンティティ一覧!$O$2&amp;"."&amp;D$8&amp;"."&amp;D421&amp;" IS '"&amp;C421&amp;"';"</f>
        <v>COMMENT ON COLUMN milscm_2023_009.sny_202310_annony_shikkan2.shikkan408_start_date IS 'C831_疾患開始日';</v>
      </c>
    </row>
    <row r="422" spans="1:45" s="25" customFormat="1">
      <c r="A422" s="4" t="s">
        <v>5551</v>
      </c>
      <c r="B422" s="21">
        <f t="shared" si="93"/>
        <v>410</v>
      </c>
      <c r="C422" s="13" t="str">
        <f t="shared" si="92"/>
        <v>C833_疾患開始日</v>
      </c>
      <c r="D422" s="13" t="s">
        <v>6069</v>
      </c>
      <c r="E422" s="8"/>
      <c r="F422" s="7" t="s">
        <v>4348</v>
      </c>
      <c r="G422" s="7" t="s">
        <v>25</v>
      </c>
      <c r="H422" s="58"/>
      <c r="I422" s="23"/>
      <c r="J422" s="24"/>
      <c r="M422" s="4"/>
      <c r="N422" s="76"/>
      <c r="O422" s="76"/>
      <c r="P422" s="76" t="str">
        <f t="shared" ref="P422:P485" si="94">IF(B422&lt;&gt;1,","&amp;D422,D422)</f>
        <v>,shikkan409_start_date</v>
      </c>
      <c r="Q422" s="76" t="str">
        <f t="shared" ref="Q422:Q485" si="95">UPPER(G422)</f>
        <v>DATE</v>
      </c>
      <c r="R422" s="76" t="str">
        <f t="shared" ref="R422:R485" si="96">IF(H422&lt;&gt;"","default "&amp;IF(G422="text","'"&amp;H422&amp;"'",H422),"")</f>
        <v/>
      </c>
      <c r="S422" s="76" t="str">
        <f t="shared" ref="S422:S485" si="97">IF(I422="○","NOT NULL","")</f>
        <v/>
      </c>
      <c r="T422" s="76" t="str">
        <f t="shared" ref="T422:T485" si="98">"-- "&amp;C422</f>
        <v>-- C833_疾患開始日</v>
      </c>
      <c r="U422" s="4" t="str">
        <f t="shared" si="68"/>
        <v>, CASE WHEN shikkan_disp_name = 'C833' THEN min_shikkan_start_date ::DATE ELSE NULL END AS shikkan409_start_date</v>
      </c>
      <c r="V422" s="25" t="str">
        <f t="shared" si="69"/>
        <v>, max(shikkan409_start_date)</v>
      </c>
      <c r="AA422" s="4"/>
      <c r="AB422" s="4"/>
      <c r="AC422" s="4"/>
      <c r="AD422" s="4"/>
      <c r="AE422" s="4"/>
      <c r="AF422" s="4"/>
      <c r="AG422" s="4"/>
      <c r="AH422" s="4"/>
      <c r="AI422" s="4"/>
      <c r="AJ422" s="76" t="str">
        <f>IF(E422="○",IF(COUNTA(E$13:E422)=1,"",",")&amp;D422,"")</f>
        <v/>
      </c>
      <c r="AK422" s="4"/>
      <c r="AL422" s="4"/>
      <c r="AM422" s="4"/>
      <c r="AN422" s="4"/>
      <c r="AO422" s="4"/>
      <c r="AP422" s="4"/>
      <c r="AQ422" s="4"/>
      <c r="AR422" s="4"/>
      <c r="AS422" s="76" t="str">
        <f>"COMMENT ON COLUMN "&amp;エンティティ一覧!$O$2&amp;"."&amp;D$8&amp;"."&amp;D422&amp;" IS '"&amp;C422&amp;"';"</f>
        <v>COMMENT ON COLUMN milscm_2023_009.sny_202310_annony_shikkan2.shikkan409_start_date IS 'C833_疾患開始日';</v>
      </c>
    </row>
    <row r="423" spans="1:45" s="25" customFormat="1">
      <c r="A423" s="4" t="s">
        <v>5552</v>
      </c>
      <c r="B423" s="21">
        <f t="shared" si="93"/>
        <v>411</v>
      </c>
      <c r="C423" s="13" t="str">
        <f t="shared" si="92"/>
        <v>C835_疾患開始日</v>
      </c>
      <c r="D423" s="13" t="s">
        <v>6070</v>
      </c>
      <c r="E423" s="8"/>
      <c r="F423" s="7" t="s">
        <v>4348</v>
      </c>
      <c r="G423" s="7" t="s">
        <v>25</v>
      </c>
      <c r="H423" s="58"/>
      <c r="I423" s="23"/>
      <c r="J423" s="24"/>
      <c r="M423" s="4"/>
      <c r="N423" s="76"/>
      <c r="O423" s="76"/>
      <c r="P423" s="76" t="str">
        <f t="shared" si="94"/>
        <v>,shikkan410_start_date</v>
      </c>
      <c r="Q423" s="76" t="str">
        <f t="shared" si="95"/>
        <v>DATE</v>
      </c>
      <c r="R423" s="76" t="str">
        <f t="shared" si="96"/>
        <v/>
      </c>
      <c r="S423" s="76" t="str">
        <f t="shared" si="97"/>
        <v/>
      </c>
      <c r="T423" s="76" t="str">
        <f t="shared" si="98"/>
        <v>-- C835_疾患開始日</v>
      </c>
      <c r="U423" s="4" t="str">
        <f t="shared" si="68"/>
        <v>, CASE WHEN shikkan_disp_name = 'C835' THEN min_shikkan_start_date ::DATE ELSE NULL END AS shikkan410_start_date</v>
      </c>
      <c r="V423" s="25" t="str">
        <f t="shared" si="69"/>
        <v>, max(shikkan410_start_date)</v>
      </c>
      <c r="AA423" s="4"/>
      <c r="AB423" s="4"/>
      <c r="AC423" s="4"/>
      <c r="AD423" s="4"/>
      <c r="AE423" s="4"/>
      <c r="AF423" s="4"/>
      <c r="AG423" s="4"/>
      <c r="AH423" s="4"/>
      <c r="AI423" s="4"/>
      <c r="AJ423" s="76" t="str">
        <f>IF(E423="○",IF(COUNTA(E$13:E423)=1,"",",")&amp;D423,"")</f>
        <v/>
      </c>
      <c r="AK423" s="4"/>
      <c r="AL423" s="4"/>
      <c r="AM423" s="4"/>
      <c r="AN423" s="4"/>
      <c r="AO423" s="4"/>
      <c r="AP423" s="4"/>
      <c r="AQ423" s="4"/>
      <c r="AR423" s="4"/>
      <c r="AS423" s="76" t="str">
        <f>"COMMENT ON COLUMN "&amp;エンティティ一覧!$O$2&amp;"."&amp;D$8&amp;"."&amp;D423&amp;" IS '"&amp;C423&amp;"';"</f>
        <v>COMMENT ON COLUMN milscm_2023_009.sny_202310_annony_shikkan2.shikkan410_start_date IS 'C835_疾患開始日';</v>
      </c>
    </row>
    <row r="424" spans="1:45" s="25" customFormat="1">
      <c r="A424" s="4" t="s">
        <v>5553</v>
      </c>
      <c r="B424" s="21">
        <f t="shared" si="93"/>
        <v>412</v>
      </c>
      <c r="C424" s="13" t="str">
        <f t="shared" si="92"/>
        <v>C837_疾患開始日</v>
      </c>
      <c r="D424" s="13" t="s">
        <v>6071</v>
      </c>
      <c r="E424" s="8"/>
      <c r="F424" s="7" t="s">
        <v>4348</v>
      </c>
      <c r="G424" s="7" t="s">
        <v>25</v>
      </c>
      <c r="H424" s="58"/>
      <c r="I424" s="23"/>
      <c r="J424" s="24"/>
      <c r="M424" s="4"/>
      <c r="N424" s="76"/>
      <c r="O424" s="76"/>
      <c r="P424" s="76" t="str">
        <f t="shared" si="94"/>
        <v>,shikkan411_start_date</v>
      </c>
      <c r="Q424" s="76" t="str">
        <f t="shared" si="95"/>
        <v>DATE</v>
      </c>
      <c r="R424" s="76" t="str">
        <f t="shared" si="96"/>
        <v/>
      </c>
      <c r="S424" s="76" t="str">
        <f t="shared" si="97"/>
        <v/>
      </c>
      <c r="T424" s="76" t="str">
        <f t="shared" si="98"/>
        <v>-- C837_疾患開始日</v>
      </c>
      <c r="U424" s="4" t="str">
        <f t="shared" si="68"/>
        <v>, CASE WHEN shikkan_disp_name = 'C837' THEN min_shikkan_start_date ::DATE ELSE NULL END AS shikkan411_start_date</v>
      </c>
      <c r="V424" s="25" t="str">
        <f t="shared" si="69"/>
        <v>, max(shikkan411_start_date)</v>
      </c>
      <c r="AA424" s="4"/>
      <c r="AB424" s="4"/>
      <c r="AC424" s="4"/>
      <c r="AD424" s="4"/>
      <c r="AE424" s="4"/>
      <c r="AF424" s="4"/>
      <c r="AG424" s="4"/>
      <c r="AH424" s="4"/>
      <c r="AI424" s="4"/>
      <c r="AJ424" s="76" t="str">
        <f>IF(E424="○",IF(COUNTA(E$13:E424)=1,"",",")&amp;D424,"")</f>
        <v/>
      </c>
      <c r="AK424" s="4"/>
      <c r="AL424" s="4"/>
      <c r="AM424" s="4"/>
      <c r="AN424" s="4"/>
      <c r="AO424" s="4"/>
      <c r="AP424" s="4"/>
      <c r="AQ424" s="4"/>
      <c r="AR424" s="4"/>
      <c r="AS424" s="76" t="str">
        <f>"COMMENT ON COLUMN "&amp;エンティティ一覧!$O$2&amp;"."&amp;D$8&amp;"."&amp;D424&amp;" IS '"&amp;C424&amp;"';"</f>
        <v>COMMENT ON COLUMN milscm_2023_009.sny_202310_annony_shikkan2.shikkan411_start_date IS 'C837_疾患開始日';</v>
      </c>
    </row>
    <row r="425" spans="1:45" s="25" customFormat="1">
      <c r="A425" s="4" t="s">
        <v>5554</v>
      </c>
      <c r="B425" s="21">
        <f t="shared" si="93"/>
        <v>413</v>
      </c>
      <c r="C425" s="13" t="str">
        <f t="shared" si="92"/>
        <v>C838_疾患開始日</v>
      </c>
      <c r="D425" s="13" t="s">
        <v>6072</v>
      </c>
      <c r="E425" s="8"/>
      <c r="F425" s="7" t="s">
        <v>4348</v>
      </c>
      <c r="G425" s="7" t="s">
        <v>25</v>
      </c>
      <c r="H425" s="58"/>
      <c r="I425" s="23"/>
      <c r="J425" s="24"/>
      <c r="M425" s="4"/>
      <c r="N425" s="76"/>
      <c r="O425" s="76"/>
      <c r="P425" s="76" t="str">
        <f t="shared" si="94"/>
        <v>,shikkan412_start_date</v>
      </c>
      <c r="Q425" s="76" t="str">
        <f t="shared" si="95"/>
        <v>DATE</v>
      </c>
      <c r="R425" s="76" t="str">
        <f t="shared" si="96"/>
        <v/>
      </c>
      <c r="S425" s="76" t="str">
        <f t="shared" si="97"/>
        <v/>
      </c>
      <c r="T425" s="76" t="str">
        <f t="shared" si="98"/>
        <v>-- C838_疾患開始日</v>
      </c>
      <c r="U425" s="4" t="str">
        <f t="shared" si="68"/>
        <v>, CASE WHEN shikkan_disp_name = 'C838' THEN min_shikkan_start_date ::DATE ELSE NULL END AS shikkan412_start_date</v>
      </c>
      <c r="V425" s="25" t="str">
        <f t="shared" si="69"/>
        <v>, max(shikkan412_start_date)</v>
      </c>
      <c r="AA425" s="4"/>
      <c r="AB425" s="4"/>
      <c r="AC425" s="4"/>
      <c r="AD425" s="4"/>
      <c r="AE425" s="4"/>
      <c r="AF425" s="4"/>
      <c r="AG425" s="4"/>
      <c r="AH425" s="4"/>
      <c r="AI425" s="4"/>
      <c r="AJ425" s="76" t="str">
        <f>IF(E425="○",IF(COUNTA(E$13:E425)=1,"",",")&amp;D425,"")</f>
        <v/>
      </c>
      <c r="AK425" s="4"/>
      <c r="AL425" s="4"/>
      <c r="AM425" s="4"/>
      <c r="AN425" s="4"/>
      <c r="AO425" s="4"/>
      <c r="AP425" s="4"/>
      <c r="AQ425" s="4"/>
      <c r="AR425" s="4"/>
      <c r="AS425" s="76" t="str">
        <f>"COMMENT ON COLUMN "&amp;エンティティ一覧!$O$2&amp;"."&amp;D$8&amp;"."&amp;D425&amp;" IS '"&amp;C425&amp;"';"</f>
        <v>COMMENT ON COLUMN milscm_2023_009.sny_202310_annony_shikkan2.shikkan412_start_date IS 'C838_疾患開始日';</v>
      </c>
    </row>
    <row r="426" spans="1:45" s="25" customFormat="1">
      <c r="A426" s="4" t="s">
        <v>5555</v>
      </c>
      <c r="B426" s="21">
        <f t="shared" si="93"/>
        <v>414</v>
      </c>
      <c r="C426" s="13" t="str">
        <f t="shared" si="92"/>
        <v>C839_疾患開始日</v>
      </c>
      <c r="D426" s="13" t="s">
        <v>6073</v>
      </c>
      <c r="E426" s="8"/>
      <c r="F426" s="7" t="s">
        <v>4348</v>
      </c>
      <c r="G426" s="7" t="s">
        <v>25</v>
      </c>
      <c r="H426" s="58"/>
      <c r="I426" s="23"/>
      <c r="J426" s="24"/>
      <c r="M426" s="4"/>
      <c r="N426" s="76"/>
      <c r="O426" s="76"/>
      <c r="P426" s="76" t="str">
        <f t="shared" si="94"/>
        <v>,shikkan413_start_date</v>
      </c>
      <c r="Q426" s="76" t="str">
        <f t="shared" si="95"/>
        <v>DATE</v>
      </c>
      <c r="R426" s="76" t="str">
        <f t="shared" si="96"/>
        <v/>
      </c>
      <c r="S426" s="76" t="str">
        <f t="shared" si="97"/>
        <v/>
      </c>
      <c r="T426" s="76" t="str">
        <f t="shared" si="98"/>
        <v>-- C839_疾患開始日</v>
      </c>
      <c r="U426" s="4" t="str">
        <f t="shared" si="68"/>
        <v>, CASE WHEN shikkan_disp_name = 'C839' THEN min_shikkan_start_date ::DATE ELSE NULL END AS shikkan413_start_date</v>
      </c>
      <c r="V426" s="25" t="str">
        <f t="shared" si="69"/>
        <v>, max(shikkan413_start_date)</v>
      </c>
      <c r="AA426" s="4"/>
      <c r="AB426" s="4"/>
      <c r="AC426" s="4"/>
      <c r="AD426" s="4"/>
      <c r="AE426" s="4"/>
      <c r="AF426" s="4"/>
      <c r="AG426" s="4"/>
      <c r="AH426" s="4"/>
      <c r="AI426" s="4"/>
      <c r="AJ426" s="76" t="str">
        <f>IF(E426="○",IF(COUNTA(E$13:E426)=1,"",",")&amp;D426,"")</f>
        <v/>
      </c>
      <c r="AK426" s="4"/>
      <c r="AL426" s="4"/>
      <c r="AM426" s="4"/>
      <c r="AN426" s="4"/>
      <c r="AO426" s="4"/>
      <c r="AP426" s="4"/>
      <c r="AQ426" s="4"/>
      <c r="AR426" s="4"/>
      <c r="AS426" s="76" t="str">
        <f>"COMMENT ON COLUMN "&amp;エンティティ一覧!$O$2&amp;"."&amp;D$8&amp;"."&amp;D426&amp;" IS '"&amp;C426&amp;"';"</f>
        <v>COMMENT ON COLUMN milscm_2023_009.sny_202310_annony_shikkan2.shikkan413_start_date IS 'C839_疾患開始日';</v>
      </c>
    </row>
    <row r="427" spans="1:45" s="25" customFormat="1">
      <c r="A427" s="4" t="s">
        <v>5556</v>
      </c>
      <c r="B427" s="21">
        <f t="shared" si="93"/>
        <v>415</v>
      </c>
      <c r="C427" s="13" t="str">
        <f t="shared" si="92"/>
        <v>C840_疾患開始日</v>
      </c>
      <c r="D427" s="13" t="s">
        <v>6074</v>
      </c>
      <c r="E427" s="8"/>
      <c r="F427" s="7" t="s">
        <v>4348</v>
      </c>
      <c r="G427" s="7" t="s">
        <v>25</v>
      </c>
      <c r="H427" s="58"/>
      <c r="I427" s="23"/>
      <c r="J427" s="24"/>
      <c r="M427" s="4"/>
      <c r="N427" s="76"/>
      <c r="O427" s="76"/>
      <c r="P427" s="76" t="str">
        <f t="shared" si="94"/>
        <v>,shikkan414_start_date</v>
      </c>
      <c r="Q427" s="76" t="str">
        <f t="shared" si="95"/>
        <v>DATE</v>
      </c>
      <c r="R427" s="76" t="str">
        <f t="shared" si="96"/>
        <v/>
      </c>
      <c r="S427" s="76" t="str">
        <f t="shared" si="97"/>
        <v/>
      </c>
      <c r="T427" s="76" t="str">
        <f t="shared" si="98"/>
        <v>-- C840_疾患開始日</v>
      </c>
      <c r="U427" s="4" t="str">
        <f t="shared" si="68"/>
        <v>, CASE WHEN shikkan_disp_name = 'C840' THEN min_shikkan_start_date ::DATE ELSE NULL END AS shikkan414_start_date</v>
      </c>
      <c r="V427" s="25" t="str">
        <f t="shared" si="69"/>
        <v>, max(shikkan414_start_date)</v>
      </c>
      <c r="AA427" s="4"/>
      <c r="AB427" s="4"/>
      <c r="AC427" s="4"/>
      <c r="AD427" s="4"/>
      <c r="AE427" s="4"/>
      <c r="AF427" s="4"/>
      <c r="AG427" s="4"/>
      <c r="AH427" s="4"/>
      <c r="AI427" s="4"/>
      <c r="AJ427" s="76" t="str">
        <f>IF(E427="○",IF(COUNTA(E$13:E427)=1,"",",")&amp;D427,"")</f>
        <v/>
      </c>
      <c r="AK427" s="4"/>
      <c r="AL427" s="4"/>
      <c r="AM427" s="4"/>
      <c r="AN427" s="4"/>
      <c r="AO427" s="4"/>
      <c r="AP427" s="4"/>
      <c r="AQ427" s="4"/>
      <c r="AR427" s="4"/>
      <c r="AS427" s="76" t="str">
        <f>"COMMENT ON COLUMN "&amp;エンティティ一覧!$O$2&amp;"."&amp;D$8&amp;"."&amp;D427&amp;" IS '"&amp;C427&amp;"';"</f>
        <v>COMMENT ON COLUMN milscm_2023_009.sny_202310_annony_shikkan2.shikkan414_start_date IS 'C840_疾患開始日';</v>
      </c>
    </row>
    <row r="428" spans="1:45" s="25" customFormat="1">
      <c r="A428" s="4" t="s">
        <v>5557</v>
      </c>
      <c r="B428" s="21">
        <f t="shared" si="93"/>
        <v>416</v>
      </c>
      <c r="C428" s="13" t="str">
        <f t="shared" si="92"/>
        <v>C841_疾患開始日</v>
      </c>
      <c r="D428" s="13" t="s">
        <v>6075</v>
      </c>
      <c r="E428" s="8"/>
      <c r="F428" s="7" t="s">
        <v>4348</v>
      </c>
      <c r="G428" s="7" t="s">
        <v>25</v>
      </c>
      <c r="H428" s="58"/>
      <c r="I428" s="23"/>
      <c r="J428" s="24"/>
      <c r="M428" s="4"/>
      <c r="N428" s="76"/>
      <c r="O428" s="76"/>
      <c r="P428" s="76" t="str">
        <f t="shared" si="94"/>
        <v>,shikkan415_start_date</v>
      </c>
      <c r="Q428" s="76" t="str">
        <f t="shared" si="95"/>
        <v>DATE</v>
      </c>
      <c r="R428" s="76" t="str">
        <f t="shared" si="96"/>
        <v/>
      </c>
      <c r="S428" s="76" t="str">
        <f t="shared" si="97"/>
        <v/>
      </c>
      <c r="T428" s="76" t="str">
        <f t="shared" si="98"/>
        <v>-- C841_疾患開始日</v>
      </c>
      <c r="U428" s="4" t="str">
        <f t="shared" si="68"/>
        <v>, CASE WHEN shikkan_disp_name = 'C841' THEN min_shikkan_start_date ::DATE ELSE NULL END AS shikkan415_start_date</v>
      </c>
      <c r="V428" s="25" t="str">
        <f t="shared" si="69"/>
        <v>, max(shikkan415_start_date)</v>
      </c>
      <c r="AA428" s="4"/>
      <c r="AB428" s="4"/>
      <c r="AC428" s="4"/>
      <c r="AD428" s="4"/>
      <c r="AE428" s="4"/>
      <c r="AF428" s="4"/>
      <c r="AG428" s="4"/>
      <c r="AH428" s="4"/>
      <c r="AI428" s="4"/>
      <c r="AJ428" s="76" t="str">
        <f>IF(E428="○",IF(COUNTA(E$13:E428)=1,"",",")&amp;D428,"")</f>
        <v/>
      </c>
      <c r="AK428" s="4"/>
      <c r="AL428" s="4"/>
      <c r="AM428" s="4"/>
      <c r="AN428" s="4"/>
      <c r="AO428" s="4"/>
      <c r="AP428" s="4"/>
      <c r="AQ428" s="4"/>
      <c r="AR428" s="4"/>
      <c r="AS428" s="76" t="str">
        <f>"COMMENT ON COLUMN "&amp;エンティティ一覧!$O$2&amp;"."&amp;D$8&amp;"."&amp;D428&amp;" IS '"&amp;C428&amp;"';"</f>
        <v>COMMENT ON COLUMN milscm_2023_009.sny_202310_annony_shikkan2.shikkan415_start_date IS 'C841_疾患開始日';</v>
      </c>
    </row>
    <row r="429" spans="1:45" s="25" customFormat="1">
      <c r="A429" s="4" t="s">
        <v>5558</v>
      </c>
      <c r="B429" s="21">
        <f t="shared" si="93"/>
        <v>417</v>
      </c>
      <c r="C429" s="13" t="str">
        <f t="shared" si="92"/>
        <v>C844_疾患開始日</v>
      </c>
      <c r="D429" s="13" t="s">
        <v>6076</v>
      </c>
      <c r="E429" s="8"/>
      <c r="F429" s="7" t="s">
        <v>4348</v>
      </c>
      <c r="G429" s="7" t="s">
        <v>99</v>
      </c>
      <c r="H429" s="58"/>
      <c r="I429" s="23"/>
      <c r="J429" s="24"/>
      <c r="M429" s="4"/>
      <c r="N429" s="76"/>
      <c r="O429" s="76"/>
      <c r="P429" s="76" t="str">
        <f t="shared" si="94"/>
        <v>,shikkan416_start_date</v>
      </c>
      <c r="Q429" s="76" t="str">
        <f t="shared" si="95"/>
        <v>DATE</v>
      </c>
      <c r="R429" s="76" t="str">
        <f t="shared" si="96"/>
        <v/>
      </c>
      <c r="S429" s="76" t="str">
        <f t="shared" si="97"/>
        <v/>
      </c>
      <c r="T429" s="76" t="str">
        <f t="shared" si="98"/>
        <v>-- C844_疾患開始日</v>
      </c>
      <c r="U429" s="4" t="str">
        <f t="shared" si="68"/>
        <v>, CASE WHEN shikkan_disp_name = 'C844' THEN min_shikkan_start_date ::DATE ELSE NULL END AS shikkan416_start_date</v>
      </c>
      <c r="V429" s="25" t="str">
        <f t="shared" si="69"/>
        <v>, max(shikkan416_start_date)</v>
      </c>
      <c r="AA429" s="4"/>
      <c r="AB429" s="4"/>
      <c r="AC429" s="4"/>
      <c r="AD429" s="4"/>
      <c r="AE429" s="4"/>
      <c r="AF429" s="4"/>
      <c r="AG429" s="4"/>
      <c r="AH429" s="4"/>
      <c r="AI429" s="4"/>
      <c r="AJ429" s="76" t="str">
        <f>IF(E429="○",IF(COUNTA(E$13:E429)=1,"",",")&amp;D429,"")</f>
        <v/>
      </c>
      <c r="AK429" s="4"/>
      <c r="AL429" s="4"/>
      <c r="AM429" s="4"/>
      <c r="AN429" s="4"/>
      <c r="AO429" s="4"/>
      <c r="AP429" s="4"/>
      <c r="AQ429" s="4"/>
      <c r="AR429" s="4"/>
      <c r="AS429" s="76" t="str">
        <f>"COMMENT ON COLUMN "&amp;エンティティ一覧!$O$2&amp;"."&amp;D$8&amp;"."&amp;D429&amp;" IS '"&amp;C429&amp;"';"</f>
        <v>COMMENT ON COLUMN milscm_2023_009.sny_202310_annony_shikkan2.shikkan416_start_date IS 'C844_疾患開始日';</v>
      </c>
    </row>
    <row r="430" spans="1:45" s="25" customFormat="1">
      <c r="A430" s="4" t="s">
        <v>5559</v>
      </c>
      <c r="B430" s="21">
        <f t="shared" si="93"/>
        <v>418</v>
      </c>
      <c r="C430" s="13" t="str">
        <f t="shared" si="92"/>
        <v>C845_疾患開始日</v>
      </c>
      <c r="D430" s="13" t="s">
        <v>6077</v>
      </c>
      <c r="E430" s="8"/>
      <c r="F430" s="7" t="s">
        <v>4348</v>
      </c>
      <c r="G430" s="7" t="s">
        <v>25</v>
      </c>
      <c r="H430" s="58"/>
      <c r="I430" s="23"/>
      <c r="J430" s="24"/>
      <c r="M430" s="4"/>
      <c r="N430" s="76"/>
      <c r="O430" s="76"/>
      <c r="P430" s="76" t="str">
        <f t="shared" si="94"/>
        <v>,shikkan417_start_date</v>
      </c>
      <c r="Q430" s="76" t="str">
        <f t="shared" si="95"/>
        <v>DATE</v>
      </c>
      <c r="R430" s="76" t="str">
        <f t="shared" si="96"/>
        <v/>
      </c>
      <c r="S430" s="76" t="str">
        <f t="shared" si="97"/>
        <v/>
      </c>
      <c r="T430" s="76" t="str">
        <f t="shared" si="98"/>
        <v>-- C845_疾患開始日</v>
      </c>
      <c r="U430" s="4" t="str">
        <f t="shared" si="68"/>
        <v>, CASE WHEN shikkan_disp_name = 'C845' THEN min_shikkan_start_date ::DATE ELSE NULL END AS shikkan417_start_date</v>
      </c>
      <c r="V430" s="25" t="str">
        <f t="shared" si="69"/>
        <v>, max(shikkan417_start_date)</v>
      </c>
      <c r="AA430" s="4"/>
      <c r="AB430" s="4"/>
      <c r="AC430" s="4"/>
      <c r="AD430" s="4"/>
      <c r="AE430" s="4"/>
      <c r="AF430" s="4"/>
      <c r="AG430" s="4"/>
      <c r="AH430" s="4"/>
      <c r="AI430" s="4"/>
      <c r="AJ430" s="76" t="str">
        <f>IF(E430="○",IF(COUNTA(E$13:E430)=1,"",",")&amp;D430,"")</f>
        <v/>
      </c>
      <c r="AK430" s="4"/>
      <c r="AL430" s="4"/>
      <c r="AM430" s="4"/>
      <c r="AN430" s="4"/>
      <c r="AO430" s="4"/>
      <c r="AP430" s="4"/>
      <c r="AQ430" s="4"/>
      <c r="AR430" s="4"/>
      <c r="AS430" s="76" t="str">
        <f>"COMMENT ON COLUMN "&amp;エンティティ一覧!$O$2&amp;"."&amp;D$8&amp;"."&amp;D430&amp;" IS '"&amp;C430&amp;"';"</f>
        <v>COMMENT ON COLUMN milscm_2023_009.sny_202310_annony_shikkan2.shikkan417_start_date IS 'C845_疾患開始日';</v>
      </c>
    </row>
    <row r="431" spans="1:45" s="25" customFormat="1">
      <c r="A431" s="4" t="s">
        <v>5560</v>
      </c>
      <c r="B431" s="21">
        <f t="shared" si="93"/>
        <v>419</v>
      </c>
      <c r="C431" s="13" t="str">
        <f t="shared" si="92"/>
        <v>C846_疾患開始日</v>
      </c>
      <c r="D431" s="13" t="s">
        <v>6078</v>
      </c>
      <c r="E431" s="8"/>
      <c r="F431" s="7" t="s">
        <v>4348</v>
      </c>
      <c r="G431" s="7" t="s">
        <v>25</v>
      </c>
      <c r="H431" s="58"/>
      <c r="I431" s="23"/>
      <c r="J431" s="24"/>
      <c r="M431" s="4"/>
      <c r="N431" s="76"/>
      <c r="O431" s="76"/>
      <c r="P431" s="76" t="str">
        <f t="shared" si="94"/>
        <v>,shikkan418_start_date</v>
      </c>
      <c r="Q431" s="76" t="str">
        <f t="shared" si="95"/>
        <v>DATE</v>
      </c>
      <c r="R431" s="76" t="str">
        <f t="shared" si="96"/>
        <v/>
      </c>
      <c r="S431" s="76" t="str">
        <f t="shared" si="97"/>
        <v/>
      </c>
      <c r="T431" s="76" t="str">
        <f t="shared" si="98"/>
        <v>-- C846_疾患開始日</v>
      </c>
      <c r="U431" s="4" t="str">
        <f t="shared" si="68"/>
        <v>, CASE WHEN shikkan_disp_name = 'C846' THEN min_shikkan_start_date ::DATE ELSE NULL END AS shikkan418_start_date</v>
      </c>
      <c r="V431" s="25" t="str">
        <f t="shared" si="69"/>
        <v>, max(shikkan418_start_date)</v>
      </c>
      <c r="AA431" s="4"/>
      <c r="AB431" s="4"/>
      <c r="AC431" s="4"/>
      <c r="AD431" s="4"/>
      <c r="AE431" s="4"/>
      <c r="AF431" s="4"/>
      <c r="AG431" s="4"/>
      <c r="AH431" s="4"/>
      <c r="AI431" s="4"/>
      <c r="AJ431" s="76" t="str">
        <f>IF(E431="○",IF(COUNTA(E$13:E431)=1,"",",")&amp;D431,"")</f>
        <v/>
      </c>
      <c r="AK431" s="4"/>
      <c r="AL431" s="4"/>
      <c r="AM431" s="4"/>
      <c r="AN431" s="4"/>
      <c r="AO431" s="4"/>
      <c r="AP431" s="4"/>
      <c r="AQ431" s="4"/>
      <c r="AR431" s="4"/>
      <c r="AS431" s="76" t="str">
        <f>"COMMENT ON COLUMN "&amp;エンティティ一覧!$O$2&amp;"."&amp;D$8&amp;"."&amp;D431&amp;" IS '"&amp;C431&amp;"';"</f>
        <v>COMMENT ON COLUMN milscm_2023_009.sny_202310_annony_shikkan2.shikkan418_start_date IS 'C846_疾患開始日';</v>
      </c>
    </row>
    <row r="432" spans="1:45" s="25" customFormat="1">
      <c r="A432" s="4" t="s">
        <v>5561</v>
      </c>
      <c r="B432" s="21">
        <f t="shared" si="93"/>
        <v>420</v>
      </c>
      <c r="C432" s="13" t="str">
        <f t="shared" si="92"/>
        <v>C847_疾患開始日</v>
      </c>
      <c r="D432" s="13" t="s">
        <v>6079</v>
      </c>
      <c r="E432" s="8"/>
      <c r="F432" s="7" t="s">
        <v>4348</v>
      </c>
      <c r="G432" s="7" t="s">
        <v>25</v>
      </c>
      <c r="H432" s="58"/>
      <c r="I432" s="23"/>
      <c r="J432" s="24"/>
      <c r="M432" s="4"/>
      <c r="N432" s="76"/>
      <c r="O432" s="76"/>
      <c r="P432" s="76" t="str">
        <f t="shared" si="94"/>
        <v>,shikkan419_start_date</v>
      </c>
      <c r="Q432" s="76" t="str">
        <f t="shared" si="95"/>
        <v>DATE</v>
      </c>
      <c r="R432" s="76" t="str">
        <f t="shared" si="96"/>
        <v/>
      </c>
      <c r="S432" s="76" t="str">
        <f t="shared" si="97"/>
        <v/>
      </c>
      <c r="T432" s="76" t="str">
        <f t="shared" si="98"/>
        <v>-- C847_疾患開始日</v>
      </c>
      <c r="U432" s="4" t="str">
        <f t="shared" si="68"/>
        <v>, CASE WHEN shikkan_disp_name = 'C847' THEN min_shikkan_start_date ::DATE ELSE NULL END AS shikkan419_start_date</v>
      </c>
      <c r="V432" s="25" t="str">
        <f t="shared" si="69"/>
        <v>, max(shikkan419_start_date)</v>
      </c>
      <c r="AA432" s="4"/>
      <c r="AB432" s="4"/>
      <c r="AC432" s="4"/>
      <c r="AD432" s="4"/>
      <c r="AE432" s="4"/>
      <c r="AF432" s="4"/>
      <c r="AG432" s="4"/>
      <c r="AH432" s="4"/>
      <c r="AI432" s="4"/>
      <c r="AJ432" s="76" t="str">
        <f>IF(E432="○",IF(COUNTA(E$13:E432)=1,"",",")&amp;D432,"")</f>
        <v/>
      </c>
      <c r="AK432" s="4"/>
      <c r="AL432" s="4"/>
      <c r="AM432" s="4"/>
      <c r="AN432" s="4"/>
      <c r="AO432" s="4"/>
      <c r="AP432" s="4"/>
      <c r="AQ432" s="4"/>
      <c r="AR432" s="4"/>
      <c r="AS432" s="76" t="str">
        <f>"COMMENT ON COLUMN "&amp;エンティティ一覧!$O$2&amp;"."&amp;D$8&amp;"."&amp;D432&amp;" IS '"&amp;C432&amp;"';"</f>
        <v>COMMENT ON COLUMN milscm_2023_009.sny_202310_annony_shikkan2.shikkan419_start_date IS 'C847_疾患開始日';</v>
      </c>
    </row>
    <row r="433" spans="1:45" s="25" customFormat="1">
      <c r="A433" s="4" t="s">
        <v>5562</v>
      </c>
      <c r="B433" s="21">
        <f t="shared" si="93"/>
        <v>421</v>
      </c>
      <c r="C433" s="13" t="str">
        <f t="shared" si="92"/>
        <v>C848_疾患開始日</v>
      </c>
      <c r="D433" s="13" t="s">
        <v>6080</v>
      </c>
      <c r="E433" s="8"/>
      <c r="F433" s="7" t="s">
        <v>4348</v>
      </c>
      <c r="G433" s="7" t="s">
        <v>25</v>
      </c>
      <c r="H433" s="58"/>
      <c r="I433" s="23"/>
      <c r="J433" s="24"/>
      <c r="M433" s="4"/>
      <c r="N433" s="76"/>
      <c r="O433" s="76"/>
      <c r="P433" s="76" t="str">
        <f t="shared" si="94"/>
        <v>,shikkan420_start_date</v>
      </c>
      <c r="Q433" s="76" t="str">
        <f t="shared" si="95"/>
        <v>DATE</v>
      </c>
      <c r="R433" s="76" t="str">
        <f t="shared" si="96"/>
        <v/>
      </c>
      <c r="S433" s="76" t="str">
        <f t="shared" si="97"/>
        <v/>
      </c>
      <c r="T433" s="76" t="str">
        <f t="shared" si="98"/>
        <v>-- C848_疾患開始日</v>
      </c>
      <c r="U433" s="4" t="str">
        <f t="shared" si="68"/>
        <v>, CASE WHEN shikkan_disp_name = 'C848' THEN min_shikkan_start_date ::DATE ELSE NULL END AS shikkan420_start_date</v>
      </c>
      <c r="V433" s="25" t="str">
        <f t="shared" si="69"/>
        <v>, max(shikkan420_start_date)</v>
      </c>
      <c r="AA433" s="4"/>
      <c r="AB433" s="4"/>
      <c r="AC433" s="4"/>
      <c r="AD433" s="4"/>
      <c r="AE433" s="4"/>
      <c r="AF433" s="4"/>
      <c r="AG433" s="4"/>
      <c r="AH433" s="4"/>
      <c r="AI433" s="4"/>
      <c r="AJ433" s="76" t="str">
        <f>IF(E433="○",IF(COUNTA(E$13:E433)=1,"",",")&amp;D433,"")</f>
        <v/>
      </c>
      <c r="AK433" s="4"/>
      <c r="AL433" s="4"/>
      <c r="AM433" s="4"/>
      <c r="AN433" s="4"/>
      <c r="AO433" s="4"/>
      <c r="AP433" s="4"/>
      <c r="AQ433" s="4"/>
      <c r="AR433" s="4"/>
      <c r="AS433" s="76" t="str">
        <f>"COMMENT ON COLUMN "&amp;エンティティ一覧!$O$2&amp;"."&amp;D$8&amp;"."&amp;D433&amp;" IS '"&amp;C433&amp;"';"</f>
        <v>COMMENT ON COLUMN milscm_2023_009.sny_202310_annony_shikkan2.shikkan420_start_date IS 'C848_疾患開始日';</v>
      </c>
    </row>
    <row r="434" spans="1:45" s="25" customFormat="1">
      <c r="A434" s="4" t="s">
        <v>5563</v>
      </c>
      <c r="B434" s="21">
        <f t="shared" si="93"/>
        <v>422</v>
      </c>
      <c r="C434" s="13" t="str">
        <f t="shared" si="92"/>
        <v>C849_疾患開始日</v>
      </c>
      <c r="D434" s="13" t="s">
        <v>6081</v>
      </c>
      <c r="E434" s="8"/>
      <c r="F434" s="7" t="s">
        <v>4348</v>
      </c>
      <c r="G434" s="7" t="s">
        <v>25</v>
      </c>
      <c r="H434" s="58"/>
      <c r="I434" s="23"/>
      <c r="J434" s="24"/>
      <c r="M434" s="4"/>
      <c r="N434" s="76"/>
      <c r="O434" s="76"/>
      <c r="P434" s="76" t="str">
        <f t="shared" si="94"/>
        <v>,shikkan421_start_date</v>
      </c>
      <c r="Q434" s="76" t="str">
        <f t="shared" si="95"/>
        <v>DATE</v>
      </c>
      <c r="R434" s="76" t="str">
        <f t="shared" si="96"/>
        <v/>
      </c>
      <c r="S434" s="76" t="str">
        <f t="shared" si="97"/>
        <v/>
      </c>
      <c r="T434" s="76" t="str">
        <f t="shared" si="98"/>
        <v>-- C849_疾患開始日</v>
      </c>
      <c r="U434" s="4" t="str">
        <f t="shared" si="68"/>
        <v>, CASE WHEN shikkan_disp_name = 'C849' THEN min_shikkan_start_date ::DATE ELSE NULL END AS shikkan421_start_date</v>
      </c>
      <c r="V434" s="25" t="str">
        <f t="shared" si="69"/>
        <v>, max(shikkan421_start_date)</v>
      </c>
      <c r="AA434" s="4"/>
      <c r="AB434" s="4"/>
      <c r="AC434" s="4"/>
      <c r="AD434" s="4"/>
      <c r="AE434" s="4"/>
      <c r="AF434" s="4"/>
      <c r="AG434" s="4"/>
      <c r="AH434" s="4"/>
      <c r="AI434" s="4"/>
      <c r="AJ434" s="76" t="str">
        <f>IF(E434="○",IF(COUNTA(E$13:E434)=1,"",",")&amp;D434,"")</f>
        <v/>
      </c>
      <c r="AK434" s="4"/>
      <c r="AL434" s="4"/>
      <c r="AM434" s="4"/>
      <c r="AN434" s="4"/>
      <c r="AO434" s="4"/>
      <c r="AP434" s="4"/>
      <c r="AQ434" s="4"/>
      <c r="AR434" s="4"/>
      <c r="AS434" s="76" t="str">
        <f>"COMMENT ON COLUMN "&amp;エンティティ一覧!$O$2&amp;"."&amp;D$8&amp;"."&amp;D434&amp;" IS '"&amp;C434&amp;"';"</f>
        <v>COMMENT ON COLUMN milscm_2023_009.sny_202310_annony_shikkan2.shikkan421_start_date IS 'C849_疾患開始日';</v>
      </c>
    </row>
    <row r="435" spans="1:45" s="25" customFormat="1">
      <c r="A435" s="4" t="s">
        <v>5564</v>
      </c>
      <c r="B435" s="21">
        <f t="shared" si="93"/>
        <v>423</v>
      </c>
      <c r="C435" s="13" t="str">
        <f t="shared" si="92"/>
        <v>C851_疾患開始日</v>
      </c>
      <c r="D435" s="13" t="s">
        <v>6082</v>
      </c>
      <c r="E435" s="8"/>
      <c r="F435" s="7" t="s">
        <v>4348</v>
      </c>
      <c r="G435" s="7" t="s">
        <v>25</v>
      </c>
      <c r="H435" s="58"/>
      <c r="I435" s="23"/>
      <c r="J435" s="24"/>
      <c r="M435" s="4"/>
      <c r="N435" s="76"/>
      <c r="O435" s="76"/>
      <c r="P435" s="76" t="str">
        <f t="shared" si="94"/>
        <v>,shikkan422_start_date</v>
      </c>
      <c r="Q435" s="76" t="str">
        <f t="shared" si="95"/>
        <v>DATE</v>
      </c>
      <c r="R435" s="76" t="str">
        <f t="shared" si="96"/>
        <v/>
      </c>
      <c r="S435" s="76" t="str">
        <f t="shared" si="97"/>
        <v/>
      </c>
      <c r="T435" s="76" t="str">
        <f t="shared" si="98"/>
        <v>-- C851_疾患開始日</v>
      </c>
      <c r="U435" s="4" t="str">
        <f t="shared" si="68"/>
        <v>, CASE WHEN shikkan_disp_name = 'C851' THEN min_shikkan_start_date ::DATE ELSE NULL END AS shikkan422_start_date</v>
      </c>
      <c r="V435" s="25" t="str">
        <f t="shared" si="69"/>
        <v>, max(shikkan422_start_date)</v>
      </c>
      <c r="AA435" s="4"/>
      <c r="AB435" s="4"/>
      <c r="AC435" s="4"/>
      <c r="AD435" s="4"/>
      <c r="AE435" s="4"/>
      <c r="AF435" s="4"/>
      <c r="AG435" s="4"/>
      <c r="AH435" s="4"/>
      <c r="AI435" s="4"/>
      <c r="AJ435" s="76" t="str">
        <f>IF(E435="○",IF(COUNTA(E$13:E435)=1,"",",")&amp;D435,"")</f>
        <v/>
      </c>
      <c r="AK435" s="4"/>
      <c r="AL435" s="4"/>
      <c r="AM435" s="4"/>
      <c r="AN435" s="4"/>
      <c r="AO435" s="4"/>
      <c r="AP435" s="4"/>
      <c r="AQ435" s="4"/>
      <c r="AR435" s="4"/>
      <c r="AS435" s="76" t="str">
        <f>"COMMENT ON COLUMN "&amp;エンティティ一覧!$O$2&amp;"."&amp;D$8&amp;"."&amp;D435&amp;" IS '"&amp;C435&amp;"';"</f>
        <v>COMMENT ON COLUMN milscm_2023_009.sny_202310_annony_shikkan2.shikkan422_start_date IS 'C851_疾患開始日';</v>
      </c>
    </row>
    <row r="436" spans="1:45" s="25" customFormat="1">
      <c r="A436" s="4" t="s">
        <v>5565</v>
      </c>
      <c r="B436" s="21">
        <f t="shared" si="93"/>
        <v>424</v>
      </c>
      <c r="C436" s="13" t="str">
        <f t="shared" si="92"/>
        <v>C852_疾患開始日</v>
      </c>
      <c r="D436" s="13" t="s">
        <v>6083</v>
      </c>
      <c r="E436" s="8"/>
      <c r="F436" s="7" t="s">
        <v>4348</v>
      </c>
      <c r="G436" s="7" t="s">
        <v>25</v>
      </c>
      <c r="H436" s="58"/>
      <c r="I436" s="23"/>
      <c r="J436" s="24"/>
      <c r="M436" s="4"/>
      <c r="N436" s="76"/>
      <c r="O436" s="76"/>
      <c r="P436" s="76" t="str">
        <f t="shared" si="94"/>
        <v>,shikkan423_start_date</v>
      </c>
      <c r="Q436" s="76" t="str">
        <f t="shared" si="95"/>
        <v>DATE</v>
      </c>
      <c r="R436" s="76" t="str">
        <f t="shared" si="96"/>
        <v/>
      </c>
      <c r="S436" s="76" t="str">
        <f t="shared" si="97"/>
        <v/>
      </c>
      <c r="T436" s="76" t="str">
        <f t="shared" si="98"/>
        <v>-- C852_疾患開始日</v>
      </c>
      <c r="U436" s="4" t="str">
        <f t="shared" si="68"/>
        <v>, CASE WHEN shikkan_disp_name = 'C852' THEN min_shikkan_start_date ::DATE ELSE NULL END AS shikkan423_start_date</v>
      </c>
      <c r="V436" s="25" t="str">
        <f t="shared" si="69"/>
        <v>, max(shikkan423_start_date)</v>
      </c>
      <c r="AA436" s="4"/>
      <c r="AB436" s="4"/>
      <c r="AC436" s="4"/>
      <c r="AD436" s="4"/>
      <c r="AE436" s="4"/>
      <c r="AF436" s="4"/>
      <c r="AG436" s="4"/>
      <c r="AH436" s="4"/>
      <c r="AI436" s="4"/>
      <c r="AJ436" s="76" t="str">
        <f>IF(E436="○",IF(COUNTA(E$13:E436)=1,"",",")&amp;D436,"")</f>
        <v/>
      </c>
      <c r="AK436" s="4"/>
      <c r="AL436" s="4"/>
      <c r="AM436" s="4"/>
      <c r="AN436" s="4"/>
      <c r="AO436" s="4"/>
      <c r="AP436" s="4"/>
      <c r="AQ436" s="4"/>
      <c r="AR436" s="4"/>
      <c r="AS436" s="76" t="str">
        <f>"COMMENT ON COLUMN "&amp;エンティティ一覧!$O$2&amp;"."&amp;D$8&amp;"."&amp;D436&amp;" IS '"&amp;C436&amp;"';"</f>
        <v>COMMENT ON COLUMN milscm_2023_009.sny_202310_annony_shikkan2.shikkan423_start_date IS 'C852_疾患開始日';</v>
      </c>
    </row>
    <row r="437" spans="1:45" s="25" customFormat="1">
      <c r="A437" s="4" t="s">
        <v>5566</v>
      </c>
      <c r="B437" s="21">
        <f t="shared" si="93"/>
        <v>425</v>
      </c>
      <c r="C437" s="13" t="str">
        <f t="shared" si="92"/>
        <v>C857_疾患開始日</v>
      </c>
      <c r="D437" s="13" t="s">
        <v>6084</v>
      </c>
      <c r="E437" s="8"/>
      <c r="F437" s="7" t="s">
        <v>4348</v>
      </c>
      <c r="G437" s="7" t="s">
        <v>25</v>
      </c>
      <c r="H437" s="58"/>
      <c r="I437" s="23"/>
      <c r="J437" s="24"/>
      <c r="M437" s="4"/>
      <c r="N437" s="76"/>
      <c r="O437" s="76"/>
      <c r="P437" s="76" t="str">
        <f t="shared" si="94"/>
        <v>,shikkan424_start_date</v>
      </c>
      <c r="Q437" s="76" t="str">
        <f t="shared" si="95"/>
        <v>DATE</v>
      </c>
      <c r="R437" s="76" t="str">
        <f t="shared" si="96"/>
        <v/>
      </c>
      <c r="S437" s="76" t="str">
        <f t="shared" si="97"/>
        <v/>
      </c>
      <c r="T437" s="76" t="str">
        <f t="shared" si="98"/>
        <v>-- C857_疾患開始日</v>
      </c>
      <c r="U437" s="4" t="str">
        <f t="shared" si="68"/>
        <v>, CASE WHEN shikkan_disp_name = 'C857' THEN min_shikkan_start_date ::DATE ELSE NULL END AS shikkan424_start_date</v>
      </c>
      <c r="V437" s="25" t="str">
        <f t="shared" si="69"/>
        <v>, max(shikkan424_start_date)</v>
      </c>
      <c r="AA437" s="4"/>
      <c r="AB437" s="4"/>
      <c r="AC437" s="4"/>
      <c r="AD437" s="4"/>
      <c r="AE437" s="4"/>
      <c r="AF437" s="4"/>
      <c r="AG437" s="4"/>
      <c r="AH437" s="4"/>
      <c r="AI437" s="4"/>
      <c r="AJ437" s="76" t="str">
        <f>IF(E437="○",IF(COUNTA(E$13:E437)=1,"",",")&amp;D437,"")</f>
        <v/>
      </c>
      <c r="AK437" s="4"/>
      <c r="AL437" s="4"/>
      <c r="AM437" s="4"/>
      <c r="AN437" s="4"/>
      <c r="AO437" s="4"/>
      <c r="AP437" s="4"/>
      <c r="AQ437" s="4"/>
      <c r="AR437" s="4"/>
      <c r="AS437" s="76" t="str">
        <f>"COMMENT ON COLUMN "&amp;エンティティ一覧!$O$2&amp;"."&amp;D$8&amp;"."&amp;D437&amp;" IS '"&amp;C437&amp;"';"</f>
        <v>COMMENT ON COLUMN milscm_2023_009.sny_202310_annony_shikkan2.shikkan424_start_date IS 'C857_疾患開始日';</v>
      </c>
    </row>
    <row r="438" spans="1:45" s="25" customFormat="1">
      <c r="A438" s="4" t="s">
        <v>5567</v>
      </c>
      <c r="B438" s="21">
        <f t="shared" si="93"/>
        <v>426</v>
      </c>
      <c r="C438" s="13" t="str">
        <f t="shared" si="92"/>
        <v>C859_疾患開始日</v>
      </c>
      <c r="D438" s="13" t="s">
        <v>6085</v>
      </c>
      <c r="E438" s="8"/>
      <c r="F438" s="7" t="s">
        <v>4348</v>
      </c>
      <c r="G438" s="7" t="s">
        <v>25</v>
      </c>
      <c r="H438" s="58"/>
      <c r="I438" s="23"/>
      <c r="J438" s="24"/>
      <c r="M438" s="4"/>
      <c r="N438" s="76"/>
      <c r="O438" s="76"/>
      <c r="P438" s="76" t="str">
        <f t="shared" si="94"/>
        <v>,shikkan425_start_date</v>
      </c>
      <c r="Q438" s="76" t="str">
        <f t="shared" si="95"/>
        <v>DATE</v>
      </c>
      <c r="R438" s="76" t="str">
        <f t="shared" si="96"/>
        <v/>
      </c>
      <c r="S438" s="76" t="str">
        <f t="shared" si="97"/>
        <v/>
      </c>
      <c r="T438" s="76" t="str">
        <f t="shared" si="98"/>
        <v>-- C859_疾患開始日</v>
      </c>
      <c r="U438" s="4" t="str">
        <f t="shared" si="68"/>
        <v>, CASE WHEN shikkan_disp_name = 'C859' THEN min_shikkan_start_date ::DATE ELSE NULL END AS shikkan425_start_date</v>
      </c>
      <c r="V438" s="25" t="str">
        <f t="shared" si="69"/>
        <v>, max(shikkan425_start_date)</v>
      </c>
      <c r="AA438" s="4"/>
      <c r="AB438" s="4"/>
      <c r="AC438" s="4"/>
      <c r="AD438" s="4"/>
      <c r="AE438" s="4"/>
      <c r="AF438" s="4"/>
      <c r="AG438" s="4"/>
      <c r="AH438" s="4"/>
      <c r="AI438" s="4"/>
      <c r="AJ438" s="76" t="str">
        <f>IF(E438="○",IF(COUNTA(E$13:E438)=1,"",",")&amp;D438,"")</f>
        <v/>
      </c>
      <c r="AK438" s="4"/>
      <c r="AL438" s="4"/>
      <c r="AM438" s="4"/>
      <c r="AN438" s="4"/>
      <c r="AO438" s="4"/>
      <c r="AP438" s="4"/>
      <c r="AQ438" s="4"/>
      <c r="AR438" s="4"/>
      <c r="AS438" s="76" t="str">
        <f>"COMMENT ON COLUMN "&amp;エンティティ一覧!$O$2&amp;"."&amp;D$8&amp;"."&amp;D438&amp;" IS '"&amp;C438&amp;"';"</f>
        <v>COMMENT ON COLUMN milscm_2023_009.sny_202310_annony_shikkan2.shikkan425_start_date IS 'C859_疾患開始日';</v>
      </c>
    </row>
    <row r="439" spans="1:45" s="25" customFormat="1">
      <c r="A439" s="4" t="s">
        <v>5568</v>
      </c>
      <c r="B439" s="21">
        <f t="shared" si="93"/>
        <v>427</v>
      </c>
      <c r="C439" s="13" t="str">
        <f t="shared" si="92"/>
        <v>C880_疾患開始日</v>
      </c>
      <c r="D439" s="13" t="s">
        <v>6086</v>
      </c>
      <c r="E439" s="8"/>
      <c r="F439" s="7" t="s">
        <v>4348</v>
      </c>
      <c r="G439" s="7" t="s">
        <v>25</v>
      </c>
      <c r="H439" s="58"/>
      <c r="I439" s="23"/>
      <c r="J439" s="24"/>
      <c r="M439" s="4"/>
      <c r="N439" s="76"/>
      <c r="O439" s="76"/>
      <c r="P439" s="76" t="str">
        <f t="shared" si="94"/>
        <v>,shikkan426_start_date</v>
      </c>
      <c r="Q439" s="76" t="str">
        <f t="shared" si="95"/>
        <v>DATE</v>
      </c>
      <c r="R439" s="76" t="str">
        <f t="shared" si="96"/>
        <v/>
      </c>
      <c r="S439" s="76" t="str">
        <f t="shared" si="97"/>
        <v/>
      </c>
      <c r="T439" s="76" t="str">
        <f t="shared" si="98"/>
        <v>-- C880_疾患開始日</v>
      </c>
      <c r="U439" s="4" t="str">
        <f t="shared" si="68"/>
        <v>, CASE WHEN shikkan_disp_name = 'C880' THEN min_shikkan_start_date ::DATE ELSE NULL END AS shikkan426_start_date</v>
      </c>
      <c r="V439" s="25" t="str">
        <f t="shared" si="69"/>
        <v>, max(shikkan426_start_date)</v>
      </c>
      <c r="AA439" s="4"/>
      <c r="AB439" s="4"/>
      <c r="AC439" s="4"/>
      <c r="AD439" s="4"/>
      <c r="AE439" s="4"/>
      <c r="AF439" s="4"/>
      <c r="AG439" s="4"/>
      <c r="AH439" s="4"/>
      <c r="AI439" s="4"/>
      <c r="AJ439" s="76" t="str">
        <f>IF(E439="○",IF(COUNTA(E$13:E439)=1,"",",")&amp;D439,"")</f>
        <v/>
      </c>
      <c r="AK439" s="4"/>
      <c r="AL439" s="4"/>
      <c r="AM439" s="4"/>
      <c r="AN439" s="4"/>
      <c r="AO439" s="4"/>
      <c r="AP439" s="4"/>
      <c r="AQ439" s="4"/>
      <c r="AR439" s="4"/>
      <c r="AS439" s="76" t="str">
        <f>"COMMENT ON COLUMN "&amp;エンティティ一覧!$O$2&amp;"."&amp;D$8&amp;"."&amp;D439&amp;" IS '"&amp;C439&amp;"';"</f>
        <v>COMMENT ON COLUMN milscm_2023_009.sny_202310_annony_shikkan2.shikkan426_start_date IS 'C880_疾患開始日';</v>
      </c>
    </row>
    <row r="440" spans="1:45" s="25" customFormat="1">
      <c r="A440" s="4" t="s">
        <v>5569</v>
      </c>
      <c r="B440" s="21">
        <f t="shared" si="93"/>
        <v>428</v>
      </c>
      <c r="C440" s="13" t="str">
        <f t="shared" si="92"/>
        <v>C882_疾患開始日</v>
      </c>
      <c r="D440" s="13" t="s">
        <v>6087</v>
      </c>
      <c r="E440" s="8"/>
      <c r="F440" s="7" t="s">
        <v>4348</v>
      </c>
      <c r="G440" s="7" t="s">
        <v>25</v>
      </c>
      <c r="H440" s="58"/>
      <c r="I440" s="23"/>
      <c r="J440" s="24"/>
      <c r="M440" s="4"/>
      <c r="N440" s="76"/>
      <c r="O440" s="76"/>
      <c r="P440" s="76" t="str">
        <f t="shared" si="94"/>
        <v>,shikkan427_start_date</v>
      </c>
      <c r="Q440" s="76" t="str">
        <f t="shared" si="95"/>
        <v>DATE</v>
      </c>
      <c r="R440" s="76" t="str">
        <f t="shared" si="96"/>
        <v/>
      </c>
      <c r="S440" s="76" t="str">
        <f t="shared" si="97"/>
        <v/>
      </c>
      <c r="T440" s="76" t="str">
        <f t="shared" si="98"/>
        <v>-- C882_疾患開始日</v>
      </c>
      <c r="U440" s="4" t="str">
        <f t="shared" si="68"/>
        <v>, CASE WHEN shikkan_disp_name = 'C882' THEN min_shikkan_start_date ::DATE ELSE NULL END AS shikkan427_start_date</v>
      </c>
      <c r="V440" s="25" t="str">
        <f t="shared" si="69"/>
        <v>, max(shikkan427_start_date)</v>
      </c>
      <c r="AA440" s="4"/>
      <c r="AB440" s="4"/>
      <c r="AC440" s="4"/>
      <c r="AD440" s="4"/>
      <c r="AE440" s="4"/>
      <c r="AF440" s="4"/>
      <c r="AG440" s="4"/>
      <c r="AH440" s="4"/>
      <c r="AI440" s="4"/>
      <c r="AJ440" s="76" t="str">
        <f>IF(E440="○",IF(COUNTA(E$13:E440)=1,"",",")&amp;D440,"")</f>
        <v/>
      </c>
      <c r="AK440" s="4"/>
      <c r="AL440" s="4"/>
      <c r="AM440" s="4"/>
      <c r="AN440" s="4"/>
      <c r="AO440" s="4"/>
      <c r="AP440" s="4"/>
      <c r="AQ440" s="4"/>
      <c r="AR440" s="4"/>
      <c r="AS440" s="76" t="str">
        <f>"COMMENT ON COLUMN "&amp;エンティティ一覧!$O$2&amp;"."&amp;D$8&amp;"."&amp;D440&amp;" IS '"&amp;C440&amp;"';"</f>
        <v>COMMENT ON COLUMN milscm_2023_009.sny_202310_annony_shikkan2.shikkan427_start_date IS 'C882_疾患開始日';</v>
      </c>
    </row>
    <row r="441" spans="1:45" s="25" customFormat="1">
      <c r="A441" s="4" t="s">
        <v>5570</v>
      </c>
      <c r="B441" s="21">
        <f t="shared" si="93"/>
        <v>429</v>
      </c>
      <c r="C441" s="13" t="str">
        <f t="shared" si="92"/>
        <v>C883_疾患開始日</v>
      </c>
      <c r="D441" s="13" t="s">
        <v>6088</v>
      </c>
      <c r="E441" s="8"/>
      <c r="F441" s="7" t="s">
        <v>4348</v>
      </c>
      <c r="G441" s="7" t="s">
        <v>25</v>
      </c>
      <c r="H441" s="58"/>
      <c r="I441" s="23"/>
      <c r="J441" s="24"/>
      <c r="M441" s="4"/>
      <c r="N441" s="76"/>
      <c r="O441" s="76"/>
      <c r="P441" s="76" t="str">
        <f t="shared" si="94"/>
        <v>,shikkan428_start_date</v>
      </c>
      <c r="Q441" s="76" t="str">
        <f t="shared" si="95"/>
        <v>DATE</v>
      </c>
      <c r="R441" s="76" t="str">
        <f t="shared" si="96"/>
        <v/>
      </c>
      <c r="S441" s="76" t="str">
        <f t="shared" si="97"/>
        <v/>
      </c>
      <c r="T441" s="76" t="str">
        <f t="shared" si="98"/>
        <v>-- C883_疾患開始日</v>
      </c>
      <c r="U441" s="4" t="str">
        <f t="shared" si="68"/>
        <v>, CASE WHEN shikkan_disp_name = 'C883' THEN min_shikkan_start_date ::DATE ELSE NULL END AS shikkan428_start_date</v>
      </c>
      <c r="V441" s="25" t="str">
        <f t="shared" si="69"/>
        <v>, max(shikkan428_start_date)</v>
      </c>
      <c r="AA441" s="4"/>
      <c r="AB441" s="4"/>
      <c r="AC441" s="4"/>
      <c r="AD441" s="4"/>
      <c r="AE441" s="4"/>
      <c r="AF441" s="4"/>
      <c r="AG441" s="4"/>
      <c r="AH441" s="4"/>
      <c r="AI441" s="4"/>
      <c r="AJ441" s="76" t="str">
        <f>IF(E441="○",IF(COUNTA(E$13:E441)=1,"",",")&amp;D441,"")</f>
        <v/>
      </c>
      <c r="AK441" s="4"/>
      <c r="AL441" s="4"/>
      <c r="AM441" s="4"/>
      <c r="AN441" s="4"/>
      <c r="AO441" s="4"/>
      <c r="AP441" s="4"/>
      <c r="AQ441" s="4"/>
      <c r="AR441" s="4"/>
      <c r="AS441" s="76" t="str">
        <f>"COMMENT ON COLUMN "&amp;エンティティ一覧!$O$2&amp;"."&amp;D$8&amp;"."&amp;D441&amp;" IS '"&amp;C441&amp;"';"</f>
        <v>COMMENT ON COLUMN milscm_2023_009.sny_202310_annony_shikkan2.shikkan428_start_date IS 'C883_疾患開始日';</v>
      </c>
    </row>
    <row r="442" spans="1:45" s="25" customFormat="1">
      <c r="A442" s="4" t="s">
        <v>5571</v>
      </c>
      <c r="B442" s="21">
        <f t="shared" si="93"/>
        <v>430</v>
      </c>
      <c r="C442" s="13" t="str">
        <f t="shared" si="92"/>
        <v>C884_疾患開始日</v>
      </c>
      <c r="D442" s="13" t="s">
        <v>6089</v>
      </c>
      <c r="E442" s="8"/>
      <c r="F442" s="7" t="s">
        <v>4348</v>
      </c>
      <c r="G442" s="7" t="s">
        <v>25</v>
      </c>
      <c r="H442" s="58"/>
      <c r="I442" s="23"/>
      <c r="J442" s="24"/>
      <c r="M442" s="4"/>
      <c r="N442" s="76"/>
      <c r="O442" s="76"/>
      <c r="P442" s="76" t="str">
        <f t="shared" si="94"/>
        <v>,shikkan429_start_date</v>
      </c>
      <c r="Q442" s="76" t="str">
        <f t="shared" si="95"/>
        <v>DATE</v>
      </c>
      <c r="R442" s="76" t="str">
        <f t="shared" si="96"/>
        <v/>
      </c>
      <c r="S442" s="76" t="str">
        <f t="shared" si="97"/>
        <v/>
      </c>
      <c r="T442" s="76" t="str">
        <f t="shared" si="98"/>
        <v>-- C884_疾患開始日</v>
      </c>
      <c r="U442" s="4" t="str">
        <f t="shared" si="68"/>
        <v>, CASE WHEN shikkan_disp_name = 'C884' THEN min_shikkan_start_date ::DATE ELSE NULL END AS shikkan429_start_date</v>
      </c>
      <c r="V442" s="25" t="str">
        <f t="shared" si="69"/>
        <v>, max(shikkan429_start_date)</v>
      </c>
      <c r="AA442" s="4"/>
      <c r="AB442" s="4"/>
      <c r="AC442" s="4"/>
      <c r="AD442" s="4"/>
      <c r="AE442" s="4"/>
      <c r="AF442" s="4"/>
      <c r="AG442" s="4"/>
      <c r="AH442" s="4"/>
      <c r="AI442" s="4"/>
      <c r="AJ442" s="76" t="str">
        <f>IF(E442="○",IF(COUNTA(E$13:E442)=1,"",",")&amp;D442,"")</f>
        <v/>
      </c>
      <c r="AK442" s="4"/>
      <c r="AL442" s="4"/>
      <c r="AM442" s="4"/>
      <c r="AN442" s="4"/>
      <c r="AO442" s="4"/>
      <c r="AP442" s="4"/>
      <c r="AQ442" s="4"/>
      <c r="AR442" s="4"/>
      <c r="AS442" s="76" t="str">
        <f>"COMMENT ON COLUMN "&amp;エンティティ一覧!$O$2&amp;"."&amp;D$8&amp;"."&amp;D442&amp;" IS '"&amp;C442&amp;"';"</f>
        <v>COMMENT ON COLUMN milscm_2023_009.sny_202310_annony_shikkan2.shikkan429_start_date IS 'C884_疾患開始日';</v>
      </c>
    </row>
    <row r="443" spans="1:45" s="25" customFormat="1">
      <c r="A443" s="4" t="s">
        <v>5572</v>
      </c>
      <c r="B443" s="21">
        <f t="shared" si="93"/>
        <v>431</v>
      </c>
      <c r="C443" s="13" t="str">
        <f t="shared" si="92"/>
        <v>C887_疾患開始日</v>
      </c>
      <c r="D443" s="13" t="s">
        <v>6090</v>
      </c>
      <c r="E443" s="8"/>
      <c r="F443" s="7" t="s">
        <v>4348</v>
      </c>
      <c r="G443" s="7" t="s">
        <v>25</v>
      </c>
      <c r="H443" s="58"/>
      <c r="I443" s="23"/>
      <c r="J443" s="24"/>
      <c r="M443" s="4"/>
      <c r="N443" s="76"/>
      <c r="O443" s="76"/>
      <c r="P443" s="76" t="str">
        <f t="shared" si="94"/>
        <v>,shikkan430_start_date</v>
      </c>
      <c r="Q443" s="76" t="str">
        <f t="shared" si="95"/>
        <v>DATE</v>
      </c>
      <c r="R443" s="76" t="str">
        <f t="shared" si="96"/>
        <v/>
      </c>
      <c r="S443" s="76" t="str">
        <f t="shared" si="97"/>
        <v/>
      </c>
      <c r="T443" s="76" t="str">
        <f t="shared" si="98"/>
        <v>-- C887_疾患開始日</v>
      </c>
      <c r="U443" s="4" t="str">
        <f t="shared" si="68"/>
        <v>, CASE WHEN shikkan_disp_name = 'C887' THEN min_shikkan_start_date ::DATE ELSE NULL END AS shikkan430_start_date</v>
      </c>
      <c r="V443" s="25" t="str">
        <f t="shared" si="69"/>
        <v>, max(shikkan430_start_date)</v>
      </c>
      <c r="AA443" s="4"/>
      <c r="AB443" s="4"/>
      <c r="AC443" s="4"/>
      <c r="AD443" s="4"/>
      <c r="AE443" s="4"/>
      <c r="AF443" s="4"/>
      <c r="AG443" s="4"/>
      <c r="AH443" s="4"/>
      <c r="AI443" s="4"/>
      <c r="AJ443" s="76" t="str">
        <f>IF(E443="○",IF(COUNTA(E$13:E443)=1,"",",")&amp;D443,"")</f>
        <v/>
      </c>
      <c r="AK443" s="4"/>
      <c r="AL443" s="4"/>
      <c r="AM443" s="4"/>
      <c r="AN443" s="4"/>
      <c r="AO443" s="4"/>
      <c r="AP443" s="4"/>
      <c r="AQ443" s="4"/>
      <c r="AR443" s="4"/>
      <c r="AS443" s="76" t="str">
        <f>"COMMENT ON COLUMN "&amp;エンティティ一覧!$O$2&amp;"."&amp;D$8&amp;"."&amp;D443&amp;" IS '"&amp;C443&amp;"';"</f>
        <v>COMMENT ON COLUMN milscm_2023_009.sny_202310_annony_shikkan2.shikkan430_start_date IS 'C887_疾患開始日';</v>
      </c>
    </row>
    <row r="444" spans="1:45" s="25" customFormat="1">
      <c r="A444" s="4" t="s">
        <v>5573</v>
      </c>
      <c r="B444" s="21">
        <f t="shared" si="93"/>
        <v>432</v>
      </c>
      <c r="C444" s="13" t="str">
        <f t="shared" si="92"/>
        <v>C889_疾患開始日</v>
      </c>
      <c r="D444" s="13" t="s">
        <v>6091</v>
      </c>
      <c r="E444" s="8"/>
      <c r="F444" s="7" t="s">
        <v>4348</v>
      </c>
      <c r="G444" s="7" t="s">
        <v>25</v>
      </c>
      <c r="H444" s="58"/>
      <c r="I444" s="23"/>
      <c r="J444" s="24"/>
      <c r="M444" s="4"/>
      <c r="N444" s="76"/>
      <c r="O444" s="76"/>
      <c r="P444" s="76" t="str">
        <f t="shared" si="94"/>
        <v>,shikkan431_start_date</v>
      </c>
      <c r="Q444" s="76" t="str">
        <f t="shared" si="95"/>
        <v>DATE</v>
      </c>
      <c r="R444" s="76" t="str">
        <f t="shared" si="96"/>
        <v/>
      </c>
      <c r="S444" s="76" t="str">
        <f t="shared" si="97"/>
        <v/>
      </c>
      <c r="T444" s="76" t="str">
        <f t="shared" si="98"/>
        <v>-- C889_疾患開始日</v>
      </c>
      <c r="U444" s="4" t="str">
        <f t="shared" si="68"/>
        <v>, CASE WHEN shikkan_disp_name = 'C889' THEN min_shikkan_start_date ::DATE ELSE NULL END AS shikkan431_start_date</v>
      </c>
      <c r="V444" s="25" t="str">
        <f t="shared" si="69"/>
        <v>, max(shikkan431_start_date)</v>
      </c>
      <c r="AA444" s="4"/>
      <c r="AB444" s="4"/>
      <c r="AC444" s="4"/>
      <c r="AD444" s="4"/>
      <c r="AE444" s="4"/>
      <c r="AF444" s="4"/>
      <c r="AG444" s="4"/>
      <c r="AH444" s="4"/>
      <c r="AI444" s="4"/>
      <c r="AJ444" s="76" t="str">
        <f>IF(E444="○",IF(COUNTA(E$13:E444)=1,"",",")&amp;D444,"")</f>
        <v/>
      </c>
      <c r="AK444" s="4"/>
      <c r="AL444" s="4"/>
      <c r="AM444" s="4"/>
      <c r="AN444" s="4"/>
      <c r="AO444" s="4"/>
      <c r="AP444" s="4"/>
      <c r="AQ444" s="4"/>
      <c r="AR444" s="4"/>
      <c r="AS444" s="76" t="str">
        <f>"COMMENT ON COLUMN "&amp;エンティティ一覧!$O$2&amp;"."&amp;D$8&amp;"."&amp;D444&amp;" IS '"&amp;C444&amp;"';"</f>
        <v>COMMENT ON COLUMN milscm_2023_009.sny_202310_annony_shikkan2.shikkan431_start_date IS 'C889_疾患開始日';</v>
      </c>
    </row>
    <row r="445" spans="1:45" s="25" customFormat="1">
      <c r="A445" s="4" t="s">
        <v>5574</v>
      </c>
      <c r="B445" s="21">
        <f t="shared" si="93"/>
        <v>433</v>
      </c>
      <c r="C445" s="13" t="str">
        <f t="shared" si="92"/>
        <v>C900_疾患開始日</v>
      </c>
      <c r="D445" s="13" t="s">
        <v>6092</v>
      </c>
      <c r="E445" s="8"/>
      <c r="F445" s="7" t="s">
        <v>4348</v>
      </c>
      <c r="G445" s="7" t="s">
        <v>99</v>
      </c>
      <c r="H445" s="58"/>
      <c r="I445" s="23"/>
      <c r="J445" s="24"/>
      <c r="M445" s="4"/>
      <c r="N445" s="76"/>
      <c r="O445" s="76"/>
      <c r="P445" s="76" t="str">
        <f t="shared" si="94"/>
        <v>,shikkan432_start_date</v>
      </c>
      <c r="Q445" s="76" t="str">
        <f t="shared" si="95"/>
        <v>DATE</v>
      </c>
      <c r="R445" s="76" t="str">
        <f t="shared" si="96"/>
        <v/>
      </c>
      <c r="S445" s="76" t="str">
        <f t="shared" si="97"/>
        <v/>
      </c>
      <c r="T445" s="76" t="str">
        <f t="shared" si="98"/>
        <v>-- C900_疾患開始日</v>
      </c>
      <c r="U445" s="4" t="str">
        <f t="shared" si="68"/>
        <v>, CASE WHEN shikkan_disp_name = 'C900' THEN min_shikkan_start_date ::DATE ELSE NULL END AS shikkan432_start_date</v>
      </c>
      <c r="V445" s="25" t="str">
        <f t="shared" si="69"/>
        <v>, max(shikkan432_start_date)</v>
      </c>
      <c r="AA445" s="4"/>
      <c r="AB445" s="4"/>
      <c r="AC445" s="4"/>
      <c r="AD445" s="4"/>
      <c r="AE445" s="4"/>
      <c r="AF445" s="4"/>
      <c r="AG445" s="4"/>
      <c r="AH445" s="4"/>
      <c r="AI445" s="4"/>
      <c r="AJ445" s="76" t="str">
        <f>IF(E445="○",IF(COUNTA(E$13:E445)=1,"",",")&amp;D445,"")</f>
        <v/>
      </c>
      <c r="AK445" s="4"/>
      <c r="AL445" s="4"/>
      <c r="AM445" s="4"/>
      <c r="AN445" s="4"/>
      <c r="AO445" s="4"/>
      <c r="AP445" s="4"/>
      <c r="AQ445" s="4"/>
      <c r="AR445" s="4"/>
      <c r="AS445" s="76" t="str">
        <f>"COMMENT ON COLUMN "&amp;エンティティ一覧!$O$2&amp;"."&amp;D$8&amp;"."&amp;D445&amp;" IS '"&amp;C445&amp;"';"</f>
        <v>COMMENT ON COLUMN milscm_2023_009.sny_202310_annony_shikkan2.shikkan432_start_date IS 'C900_疾患開始日';</v>
      </c>
    </row>
    <row r="446" spans="1:45" s="25" customFormat="1">
      <c r="A446" s="4" t="s">
        <v>5575</v>
      </c>
      <c r="B446" s="21">
        <f t="shared" si="93"/>
        <v>434</v>
      </c>
      <c r="C446" s="13" t="str">
        <f t="shared" si="92"/>
        <v>C901_疾患開始日</v>
      </c>
      <c r="D446" s="13" t="s">
        <v>6093</v>
      </c>
      <c r="E446" s="8"/>
      <c r="F446" s="7" t="s">
        <v>4348</v>
      </c>
      <c r="G446" s="7" t="s">
        <v>25</v>
      </c>
      <c r="H446" s="58"/>
      <c r="I446" s="23"/>
      <c r="J446" s="24"/>
      <c r="M446" s="4"/>
      <c r="N446" s="76"/>
      <c r="O446" s="76"/>
      <c r="P446" s="76" t="str">
        <f t="shared" si="94"/>
        <v>,shikkan433_start_date</v>
      </c>
      <c r="Q446" s="76" t="str">
        <f t="shared" si="95"/>
        <v>DATE</v>
      </c>
      <c r="R446" s="76" t="str">
        <f t="shared" si="96"/>
        <v/>
      </c>
      <c r="S446" s="76" t="str">
        <f t="shared" si="97"/>
        <v/>
      </c>
      <c r="T446" s="76" t="str">
        <f t="shared" si="98"/>
        <v>-- C901_疾患開始日</v>
      </c>
      <c r="U446" s="4" t="str">
        <f t="shared" si="68"/>
        <v>, CASE WHEN shikkan_disp_name = 'C901' THEN min_shikkan_start_date ::DATE ELSE NULL END AS shikkan433_start_date</v>
      </c>
      <c r="V446" s="25" t="str">
        <f t="shared" si="69"/>
        <v>, max(shikkan433_start_date)</v>
      </c>
      <c r="AA446" s="4"/>
      <c r="AB446" s="4"/>
      <c r="AC446" s="4"/>
      <c r="AD446" s="4"/>
      <c r="AE446" s="4"/>
      <c r="AF446" s="4"/>
      <c r="AG446" s="4"/>
      <c r="AH446" s="4"/>
      <c r="AI446" s="4"/>
      <c r="AJ446" s="76" t="str">
        <f>IF(E446="○",IF(COUNTA(E$13:E446)=1,"",",")&amp;D446,"")</f>
        <v/>
      </c>
      <c r="AK446" s="4"/>
      <c r="AL446" s="4"/>
      <c r="AM446" s="4"/>
      <c r="AN446" s="4"/>
      <c r="AO446" s="4"/>
      <c r="AP446" s="4"/>
      <c r="AQ446" s="4"/>
      <c r="AR446" s="4"/>
      <c r="AS446" s="76" t="str">
        <f>"COMMENT ON COLUMN "&amp;エンティティ一覧!$O$2&amp;"."&amp;D$8&amp;"."&amp;D446&amp;" IS '"&amp;C446&amp;"';"</f>
        <v>COMMENT ON COLUMN milscm_2023_009.sny_202310_annony_shikkan2.shikkan433_start_date IS 'C901_疾患開始日';</v>
      </c>
    </row>
    <row r="447" spans="1:45" s="25" customFormat="1">
      <c r="A447" s="4" t="s">
        <v>5576</v>
      </c>
      <c r="B447" s="21">
        <f t="shared" si="93"/>
        <v>435</v>
      </c>
      <c r="C447" s="13" t="str">
        <f t="shared" si="92"/>
        <v>C902_疾患開始日</v>
      </c>
      <c r="D447" s="13" t="s">
        <v>6094</v>
      </c>
      <c r="E447" s="8"/>
      <c r="F447" s="7" t="s">
        <v>4348</v>
      </c>
      <c r="G447" s="7" t="s">
        <v>25</v>
      </c>
      <c r="H447" s="58"/>
      <c r="I447" s="23"/>
      <c r="J447" s="24"/>
      <c r="M447" s="4"/>
      <c r="N447" s="76"/>
      <c r="O447" s="76"/>
      <c r="P447" s="76" t="str">
        <f t="shared" si="94"/>
        <v>,shikkan434_start_date</v>
      </c>
      <c r="Q447" s="76" t="str">
        <f t="shared" si="95"/>
        <v>DATE</v>
      </c>
      <c r="R447" s="76" t="str">
        <f t="shared" si="96"/>
        <v/>
      </c>
      <c r="S447" s="76" t="str">
        <f t="shared" si="97"/>
        <v/>
      </c>
      <c r="T447" s="76" t="str">
        <f t="shared" si="98"/>
        <v>-- C902_疾患開始日</v>
      </c>
      <c r="U447" s="4" t="str">
        <f t="shared" si="68"/>
        <v>, CASE WHEN shikkan_disp_name = 'C902' THEN min_shikkan_start_date ::DATE ELSE NULL END AS shikkan434_start_date</v>
      </c>
      <c r="V447" s="25" t="str">
        <f t="shared" si="69"/>
        <v>, max(shikkan434_start_date)</v>
      </c>
      <c r="AA447" s="4"/>
      <c r="AB447" s="4"/>
      <c r="AC447" s="4"/>
      <c r="AD447" s="4"/>
      <c r="AE447" s="4"/>
      <c r="AF447" s="4"/>
      <c r="AG447" s="4"/>
      <c r="AH447" s="4"/>
      <c r="AI447" s="4"/>
      <c r="AJ447" s="76" t="str">
        <f>IF(E447="○",IF(COUNTA(E$13:E447)=1,"",",")&amp;D447,"")</f>
        <v/>
      </c>
      <c r="AK447" s="4"/>
      <c r="AL447" s="4"/>
      <c r="AM447" s="4"/>
      <c r="AN447" s="4"/>
      <c r="AO447" s="4"/>
      <c r="AP447" s="4"/>
      <c r="AQ447" s="4"/>
      <c r="AR447" s="4"/>
      <c r="AS447" s="76" t="str">
        <f>"COMMENT ON COLUMN "&amp;エンティティ一覧!$O$2&amp;"."&amp;D$8&amp;"."&amp;D447&amp;" IS '"&amp;C447&amp;"';"</f>
        <v>COMMENT ON COLUMN milscm_2023_009.sny_202310_annony_shikkan2.shikkan434_start_date IS 'C902_疾患開始日';</v>
      </c>
    </row>
    <row r="448" spans="1:45" s="25" customFormat="1">
      <c r="A448" s="4" t="s">
        <v>5577</v>
      </c>
      <c r="B448" s="21">
        <f t="shared" si="93"/>
        <v>436</v>
      </c>
      <c r="C448" s="13" t="str">
        <f t="shared" si="92"/>
        <v>C903_疾患開始日</v>
      </c>
      <c r="D448" s="13" t="s">
        <v>6095</v>
      </c>
      <c r="E448" s="8"/>
      <c r="F448" s="7" t="s">
        <v>4348</v>
      </c>
      <c r="G448" s="7" t="s">
        <v>25</v>
      </c>
      <c r="H448" s="58"/>
      <c r="I448" s="23"/>
      <c r="J448" s="24"/>
      <c r="M448" s="4"/>
      <c r="N448" s="76"/>
      <c r="O448" s="76"/>
      <c r="P448" s="76" t="str">
        <f t="shared" si="94"/>
        <v>,shikkan435_start_date</v>
      </c>
      <c r="Q448" s="76" t="str">
        <f t="shared" si="95"/>
        <v>DATE</v>
      </c>
      <c r="R448" s="76" t="str">
        <f t="shared" si="96"/>
        <v/>
      </c>
      <c r="S448" s="76" t="str">
        <f t="shared" si="97"/>
        <v/>
      </c>
      <c r="T448" s="76" t="str">
        <f t="shared" si="98"/>
        <v>-- C903_疾患開始日</v>
      </c>
      <c r="U448" s="4" t="str">
        <f t="shared" si="68"/>
        <v>, CASE WHEN shikkan_disp_name = 'C903' THEN min_shikkan_start_date ::DATE ELSE NULL END AS shikkan435_start_date</v>
      </c>
      <c r="V448" s="25" t="str">
        <f t="shared" si="69"/>
        <v>, max(shikkan435_start_date)</v>
      </c>
      <c r="AA448" s="4"/>
      <c r="AB448" s="4"/>
      <c r="AC448" s="4"/>
      <c r="AD448" s="4"/>
      <c r="AE448" s="4"/>
      <c r="AF448" s="4"/>
      <c r="AG448" s="4"/>
      <c r="AH448" s="4"/>
      <c r="AI448" s="4"/>
      <c r="AJ448" s="76" t="str">
        <f>IF(E448="○",IF(COUNTA(E$13:E448)=1,"",",")&amp;D448,"")</f>
        <v/>
      </c>
      <c r="AK448" s="4"/>
      <c r="AL448" s="4"/>
      <c r="AM448" s="4"/>
      <c r="AN448" s="4"/>
      <c r="AO448" s="4"/>
      <c r="AP448" s="4"/>
      <c r="AQ448" s="4"/>
      <c r="AR448" s="4"/>
      <c r="AS448" s="76" t="str">
        <f>"COMMENT ON COLUMN "&amp;エンティティ一覧!$O$2&amp;"."&amp;D$8&amp;"."&amp;D448&amp;" IS '"&amp;C448&amp;"';"</f>
        <v>COMMENT ON COLUMN milscm_2023_009.sny_202310_annony_shikkan2.shikkan435_start_date IS 'C903_疾患開始日';</v>
      </c>
    </row>
    <row r="449" spans="1:45" s="25" customFormat="1">
      <c r="A449" s="4" t="s">
        <v>5578</v>
      </c>
      <c r="B449" s="21">
        <f t="shared" si="93"/>
        <v>437</v>
      </c>
      <c r="C449" s="13" t="str">
        <f t="shared" si="92"/>
        <v>C910_疾患開始日</v>
      </c>
      <c r="D449" s="13" t="s">
        <v>6096</v>
      </c>
      <c r="E449" s="8"/>
      <c r="F449" s="7" t="s">
        <v>4348</v>
      </c>
      <c r="G449" s="7" t="s">
        <v>25</v>
      </c>
      <c r="H449" s="58"/>
      <c r="I449" s="23"/>
      <c r="J449" s="24"/>
      <c r="M449" s="4"/>
      <c r="N449" s="76"/>
      <c r="O449" s="76"/>
      <c r="P449" s="76" t="str">
        <f t="shared" si="94"/>
        <v>,shikkan436_start_date</v>
      </c>
      <c r="Q449" s="76" t="str">
        <f t="shared" si="95"/>
        <v>DATE</v>
      </c>
      <c r="R449" s="76" t="str">
        <f t="shared" si="96"/>
        <v/>
      </c>
      <c r="S449" s="76" t="str">
        <f t="shared" si="97"/>
        <v/>
      </c>
      <c r="T449" s="76" t="str">
        <f t="shared" si="98"/>
        <v>-- C910_疾患開始日</v>
      </c>
      <c r="U449" s="4" t="str">
        <f t="shared" si="68"/>
        <v>, CASE WHEN shikkan_disp_name = 'C910' THEN min_shikkan_start_date ::DATE ELSE NULL END AS shikkan436_start_date</v>
      </c>
      <c r="V449" s="25" t="str">
        <f t="shared" si="69"/>
        <v>, max(shikkan436_start_date)</v>
      </c>
      <c r="AA449" s="4"/>
      <c r="AB449" s="4"/>
      <c r="AC449" s="4"/>
      <c r="AD449" s="4"/>
      <c r="AE449" s="4"/>
      <c r="AF449" s="4"/>
      <c r="AG449" s="4"/>
      <c r="AH449" s="4"/>
      <c r="AI449" s="4"/>
      <c r="AJ449" s="76" t="str">
        <f>IF(E449="○",IF(COUNTA(E$13:E449)=1,"",",")&amp;D449,"")</f>
        <v/>
      </c>
      <c r="AK449" s="4"/>
      <c r="AL449" s="4"/>
      <c r="AM449" s="4"/>
      <c r="AN449" s="4"/>
      <c r="AO449" s="4"/>
      <c r="AP449" s="4"/>
      <c r="AQ449" s="4"/>
      <c r="AR449" s="4"/>
      <c r="AS449" s="76" t="str">
        <f>"COMMENT ON COLUMN "&amp;エンティティ一覧!$O$2&amp;"."&amp;D$8&amp;"."&amp;D449&amp;" IS '"&amp;C449&amp;"';"</f>
        <v>COMMENT ON COLUMN milscm_2023_009.sny_202310_annony_shikkan2.shikkan436_start_date IS 'C910_疾患開始日';</v>
      </c>
    </row>
    <row r="450" spans="1:45" s="25" customFormat="1">
      <c r="A450" s="4" t="s">
        <v>5579</v>
      </c>
      <c r="B450" s="21">
        <f t="shared" si="93"/>
        <v>438</v>
      </c>
      <c r="C450" s="13" t="str">
        <f t="shared" si="92"/>
        <v>C911_疾患開始日</v>
      </c>
      <c r="D450" s="13" t="s">
        <v>6097</v>
      </c>
      <c r="E450" s="8"/>
      <c r="F450" s="7" t="s">
        <v>4348</v>
      </c>
      <c r="G450" s="7" t="s">
        <v>25</v>
      </c>
      <c r="H450" s="58"/>
      <c r="I450" s="23"/>
      <c r="J450" s="24"/>
      <c r="M450" s="4"/>
      <c r="N450" s="76"/>
      <c r="O450" s="76"/>
      <c r="P450" s="76" t="str">
        <f t="shared" si="94"/>
        <v>,shikkan437_start_date</v>
      </c>
      <c r="Q450" s="76" t="str">
        <f t="shared" si="95"/>
        <v>DATE</v>
      </c>
      <c r="R450" s="76" t="str">
        <f t="shared" si="96"/>
        <v/>
      </c>
      <c r="S450" s="76" t="str">
        <f t="shared" si="97"/>
        <v/>
      </c>
      <c r="T450" s="76" t="str">
        <f t="shared" si="98"/>
        <v>-- C911_疾患開始日</v>
      </c>
      <c r="U450" s="4" t="str">
        <f t="shared" si="68"/>
        <v>, CASE WHEN shikkan_disp_name = 'C911' THEN min_shikkan_start_date ::DATE ELSE NULL END AS shikkan437_start_date</v>
      </c>
      <c r="V450" s="25" t="str">
        <f t="shared" si="69"/>
        <v>, max(shikkan437_start_date)</v>
      </c>
      <c r="AA450" s="4"/>
      <c r="AB450" s="4"/>
      <c r="AC450" s="4"/>
      <c r="AD450" s="4"/>
      <c r="AE450" s="4"/>
      <c r="AF450" s="4"/>
      <c r="AG450" s="4"/>
      <c r="AH450" s="4"/>
      <c r="AI450" s="4"/>
      <c r="AJ450" s="76" t="str">
        <f>IF(E450="○",IF(COUNTA(E$13:E450)=1,"",",")&amp;D450,"")</f>
        <v/>
      </c>
      <c r="AK450" s="4"/>
      <c r="AL450" s="4"/>
      <c r="AM450" s="4"/>
      <c r="AN450" s="4"/>
      <c r="AO450" s="4"/>
      <c r="AP450" s="4"/>
      <c r="AQ450" s="4"/>
      <c r="AR450" s="4"/>
      <c r="AS450" s="76" t="str">
        <f>"COMMENT ON COLUMN "&amp;エンティティ一覧!$O$2&amp;"."&amp;D$8&amp;"."&amp;D450&amp;" IS '"&amp;C450&amp;"';"</f>
        <v>COMMENT ON COLUMN milscm_2023_009.sny_202310_annony_shikkan2.shikkan437_start_date IS 'C911_疾患開始日';</v>
      </c>
    </row>
    <row r="451" spans="1:45" s="25" customFormat="1">
      <c r="A451" s="4" t="s">
        <v>5580</v>
      </c>
      <c r="B451" s="21">
        <f t="shared" si="93"/>
        <v>439</v>
      </c>
      <c r="C451" s="13" t="str">
        <f t="shared" si="92"/>
        <v>C913_疾患開始日</v>
      </c>
      <c r="D451" s="13" t="s">
        <v>6098</v>
      </c>
      <c r="E451" s="8"/>
      <c r="F451" s="7" t="s">
        <v>4348</v>
      </c>
      <c r="G451" s="7" t="s">
        <v>25</v>
      </c>
      <c r="H451" s="58"/>
      <c r="I451" s="23"/>
      <c r="J451" s="24"/>
      <c r="M451" s="4"/>
      <c r="N451" s="76"/>
      <c r="O451" s="76"/>
      <c r="P451" s="76" t="str">
        <f t="shared" si="94"/>
        <v>,shikkan438_start_date</v>
      </c>
      <c r="Q451" s="76" t="str">
        <f t="shared" si="95"/>
        <v>DATE</v>
      </c>
      <c r="R451" s="76" t="str">
        <f t="shared" si="96"/>
        <v/>
      </c>
      <c r="S451" s="76" t="str">
        <f t="shared" si="97"/>
        <v/>
      </c>
      <c r="T451" s="76" t="str">
        <f t="shared" si="98"/>
        <v>-- C913_疾患開始日</v>
      </c>
      <c r="U451" s="4" t="str">
        <f t="shared" si="68"/>
        <v>, CASE WHEN shikkan_disp_name = 'C913' THEN min_shikkan_start_date ::DATE ELSE NULL END AS shikkan438_start_date</v>
      </c>
      <c r="V451" s="25" t="str">
        <f t="shared" si="69"/>
        <v>, max(shikkan438_start_date)</v>
      </c>
      <c r="AA451" s="4"/>
      <c r="AB451" s="4"/>
      <c r="AC451" s="4"/>
      <c r="AD451" s="4"/>
      <c r="AE451" s="4"/>
      <c r="AF451" s="4"/>
      <c r="AG451" s="4"/>
      <c r="AH451" s="4"/>
      <c r="AI451" s="4"/>
      <c r="AJ451" s="76" t="str">
        <f>IF(E451="○",IF(COUNTA(E$13:E451)=1,"",",")&amp;D451,"")</f>
        <v/>
      </c>
      <c r="AK451" s="4"/>
      <c r="AL451" s="4"/>
      <c r="AM451" s="4"/>
      <c r="AN451" s="4"/>
      <c r="AO451" s="4"/>
      <c r="AP451" s="4"/>
      <c r="AQ451" s="4"/>
      <c r="AR451" s="4"/>
      <c r="AS451" s="76" t="str">
        <f>"COMMENT ON COLUMN "&amp;エンティティ一覧!$O$2&amp;"."&amp;D$8&amp;"."&amp;D451&amp;" IS '"&amp;C451&amp;"';"</f>
        <v>COMMENT ON COLUMN milscm_2023_009.sny_202310_annony_shikkan2.shikkan438_start_date IS 'C913_疾患開始日';</v>
      </c>
    </row>
    <row r="452" spans="1:45" s="25" customFormat="1">
      <c r="A452" s="4" t="s">
        <v>5581</v>
      </c>
      <c r="B452" s="21">
        <f t="shared" si="93"/>
        <v>440</v>
      </c>
      <c r="C452" s="13" t="str">
        <f t="shared" si="92"/>
        <v>C914_疾患開始日</v>
      </c>
      <c r="D452" s="13" t="s">
        <v>6099</v>
      </c>
      <c r="E452" s="8"/>
      <c r="F452" s="7" t="s">
        <v>4348</v>
      </c>
      <c r="G452" s="7" t="s">
        <v>25</v>
      </c>
      <c r="H452" s="58"/>
      <c r="I452" s="23"/>
      <c r="J452" s="24"/>
      <c r="M452" s="4"/>
      <c r="N452" s="76"/>
      <c r="O452" s="76"/>
      <c r="P452" s="76" t="str">
        <f t="shared" si="94"/>
        <v>,shikkan439_start_date</v>
      </c>
      <c r="Q452" s="76" t="str">
        <f t="shared" si="95"/>
        <v>DATE</v>
      </c>
      <c r="R452" s="76" t="str">
        <f t="shared" si="96"/>
        <v/>
      </c>
      <c r="S452" s="76" t="str">
        <f t="shared" si="97"/>
        <v/>
      </c>
      <c r="T452" s="76" t="str">
        <f t="shared" si="98"/>
        <v>-- C914_疾患開始日</v>
      </c>
      <c r="U452" s="4" t="str">
        <f t="shared" si="68"/>
        <v>, CASE WHEN shikkan_disp_name = 'C914' THEN min_shikkan_start_date ::DATE ELSE NULL END AS shikkan439_start_date</v>
      </c>
      <c r="V452" s="25" t="str">
        <f t="shared" si="69"/>
        <v>, max(shikkan439_start_date)</v>
      </c>
      <c r="AA452" s="4"/>
      <c r="AB452" s="4"/>
      <c r="AC452" s="4"/>
      <c r="AD452" s="4"/>
      <c r="AE452" s="4"/>
      <c r="AF452" s="4"/>
      <c r="AG452" s="4"/>
      <c r="AH452" s="4"/>
      <c r="AI452" s="4"/>
      <c r="AJ452" s="76" t="str">
        <f>IF(E452="○",IF(COUNTA(E$13:E452)=1,"",",")&amp;D452,"")</f>
        <v/>
      </c>
      <c r="AK452" s="4"/>
      <c r="AL452" s="4"/>
      <c r="AM452" s="4"/>
      <c r="AN452" s="4"/>
      <c r="AO452" s="4"/>
      <c r="AP452" s="4"/>
      <c r="AQ452" s="4"/>
      <c r="AR452" s="4"/>
      <c r="AS452" s="76" t="str">
        <f>"COMMENT ON COLUMN "&amp;エンティティ一覧!$O$2&amp;"."&amp;D$8&amp;"."&amp;D452&amp;" IS '"&amp;C452&amp;"';"</f>
        <v>COMMENT ON COLUMN milscm_2023_009.sny_202310_annony_shikkan2.shikkan439_start_date IS 'C914_疾患開始日';</v>
      </c>
    </row>
    <row r="453" spans="1:45" s="25" customFormat="1">
      <c r="A453" s="4" t="s">
        <v>5582</v>
      </c>
      <c r="B453" s="21">
        <f t="shared" si="93"/>
        <v>441</v>
      </c>
      <c r="C453" s="13" t="str">
        <f t="shared" si="92"/>
        <v>C915_疾患開始日</v>
      </c>
      <c r="D453" s="13" t="s">
        <v>6100</v>
      </c>
      <c r="E453" s="8"/>
      <c r="F453" s="7" t="s">
        <v>4348</v>
      </c>
      <c r="G453" s="7" t="s">
        <v>25</v>
      </c>
      <c r="H453" s="58"/>
      <c r="I453" s="23"/>
      <c r="J453" s="24"/>
      <c r="M453" s="4"/>
      <c r="N453" s="76"/>
      <c r="O453" s="76"/>
      <c r="P453" s="76" t="str">
        <f t="shared" si="94"/>
        <v>,shikkan440_start_date</v>
      </c>
      <c r="Q453" s="76" t="str">
        <f t="shared" si="95"/>
        <v>DATE</v>
      </c>
      <c r="R453" s="76" t="str">
        <f t="shared" si="96"/>
        <v/>
      </c>
      <c r="S453" s="76" t="str">
        <f t="shared" si="97"/>
        <v/>
      </c>
      <c r="T453" s="76" t="str">
        <f t="shared" si="98"/>
        <v>-- C915_疾患開始日</v>
      </c>
      <c r="U453" s="4" t="str">
        <f t="shared" si="68"/>
        <v>, CASE WHEN shikkan_disp_name = 'C915' THEN min_shikkan_start_date ::DATE ELSE NULL END AS shikkan440_start_date</v>
      </c>
      <c r="V453" s="25" t="str">
        <f t="shared" si="69"/>
        <v>, max(shikkan440_start_date)</v>
      </c>
      <c r="AA453" s="4"/>
      <c r="AB453" s="4"/>
      <c r="AC453" s="4"/>
      <c r="AD453" s="4"/>
      <c r="AE453" s="4"/>
      <c r="AF453" s="4"/>
      <c r="AG453" s="4"/>
      <c r="AH453" s="4"/>
      <c r="AI453" s="4"/>
      <c r="AJ453" s="76" t="str">
        <f>IF(E453="○",IF(COUNTA(E$13:E453)=1,"",",")&amp;D453,"")</f>
        <v/>
      </c>
      <c r="AK453" s="4"/>
      <c r="AL453" s="4"/>
      <c r="AM453" s="4"/>
      <c r="AN453" s="4"/>
      <c r="AO453" s="4"/>
      <c r="AP453" s="4"/>
      <c r="AQ453" s="4"/>
      <c r="AR453" s="4"/>
      <c r="AS453" s="76" t="str">
        <f>"COMMENT ON COLUMN "&amp;エンティティ一覧!$O$2&amp;"."&amp;D$8&amp;"."&amp;D453&amp;" IS '"&amp;C453&amp;"';"</f>
        <v>COMMENT ON COLUMN milscm_2023_009.sny_202310_annony_shikkan2.shikkan440_start_date IS 'C915_疾患開始日';</v>
      </c>
    </row>
    <row r="454" spans="1:45" s="25" customFormat="1">
      <c r="A454" s="4" t="s">
        <v>5583</v>
      </c>
      <c r="B454" s="21">
        <f t="shared" si="93"/>
        <v>442</v>
      </c>
      <c r="C454" s="13" t="str">
        <f t="shared" si="92"/>
        <v>C916_疾患開始日</v>
      </c>
      <c r="D454" s="13" t="s">
        <v>6101</v>
      </c>
      <c r="E454" s="8"/>
      <c r="F454" s="7" t="s">
        <v>4348</v>
      </c>
      <c r="G454" s="7" t="s">
        <v>25</v>
      </c>
      <c r="H454" s="58"/>
      <c r="I454" s="23"/>
      <c r="J454" s="24"/>
      <c r="M454" s="4"/>
      <c r="N454" s="76"/>
      <c r="O454" s="76"/>
      <c r="P454" s="76" t="str">
        <f t="shared" si="94"/>
        <v>,shikkan441_start_date</v>
      </c>
      <c r="Q454" s="76" t="str">
        <f t="shared" si="95"/>
        <v>DATE</v>
      </c>
      <c r="R454" s="76" t="str">
        <f t="shared" si="96"/>
        <v/>
      </c>
      <c r="S454" s="76" t="str">
        <f t="shared" si="97"/>
        <v/>
      </c>
      <c r="T454" s="76" t="str">
        <f t="shared" si="98"/>
        <v>-- C916_疾患開始日</v>
      </c>
      <c r="U454" s="4" t="str">
        <f t="shared" si="68"/>
        <v>, CASE WHEN shikkan_disp_name = 'C916' THEN min_shikkan_start_date ::DATE ELSE NULL END AS shikkan441_start_date</v>
      </c>
      <c r="V454" s="25" t="str">
        <f t="shared" si="69"/>
        <v>, max(shikkan441_start_date)</v>
      </c>
      <c r="AA454" s="4"/>
      <c r="AB454" s="4"/>
      <c r="AC454" s="4"/>
      <c r="AD454" s="4"/>
      <c r="AE454" s="4"/>
      <c r="AF454" s="4"/>
      <c r="AG454" s="4"/>
      <c r="AH454" s="4"/>
      <c r="AI454" s="4"/>
      <c r="AJ454" s="76" t="str">
        <f>IF(E454="○",IF(COUNTA(E$13:E454)=1,"",",")&amp;D454,"")</f>
        <v/>
      </c>
      <c r="AK454" s="4"/>
      <c r="AL454" s="4"/>
      <c r="AM454" s="4"/>
      <c r="AN454" s="4"/>
      <c r="AO454" s="4"/>
      <c r="AP454" s="4"/>
      <c r="AQ454" s="4"/>
      <c r="AR454" s="4"/>
      <c r="AS454" s="76" t="str">
        <f>"COMMENT ON COLUMN "&amp;エンティティ一覧!$O$2&amp;"."&amp;D$8&amp;"."&amp;D454&amp;" IS '"&amp;C454&amp;"';"</f>
        <v>COMMENT ON COLUMN milscm_2023_009.sny_202310_annony_shikkan2.shikkan441_start_date IS 'C916_疾患開始日';</v>
      </c>
    </row>
    <row r="455" spans="1:45" s="25" customFormat="1">
      <c r="A455" s="4" t="s">
        <v>5584</v>
      </c>
      <c r="B455" s="21">
        <f t="shared" si="93"/>
        <v>443</v>
      </c>
      <c r="C455" s="13" t="str">
        <f t="shared" si="92"/>
        <v>C917_疾患開始日</v>
      </c>
      <c r="D455" s="13" t="s">
        <v>6102</v>
      </c>
      <c r="E455" s="8"/>
      <c r="F455" s="7" t="s">
        <v>4348</v>
      </c>
      <c r="G455" s="7" t="s">
        <v>25</v>
      </c>
      <c r="H455" s="58"/>
      <c r="I455" s="23"/>
      <c r="J455" s="24"/>
      <c r="M455" s="4"/>
      <c r="N455" s="76"/>
      <c r="O455" s="76"/>
      <c r="P455" s="76" t="str">
        <f t="shared" si="94"/>
        <v>,shikkan442_start_date</v>
      </c>
      <c r="Q455" s="76" t="str">
        <f t="shared" si="95"/>
        <v>DATE</v>
      </c>
      <c r="R455" s="76" t="str">
        <f t="shared" si="96"/>
        <v/>
      </c>
      <c r="S455" s="76" t="str">
        <f t="shared" si="97"/>
        <v/>
      </c>
      <c r="T455" s="76" t="str">
        <f t="shared" si="98"/>
        <v>-- C917_疾患開始日</v>
      </c>
      <c r="U455" s="4" t="str">
        <f t="shared" si="68"/>
        <v>, CASE WHEN shikkan_disp_name = 'C917' THEN min_shikkan_start_date ::DATE ELSE NULL END AS shikkan442_start_date</v>
      </c>
      <c r="V455" s="25" t="str">
        <f t="shared" si="69"/>
        <v>, max(shikkan442_start_date)</v>
      </c>
      <c r="AA455" s="4"/>
      <c r="AB455" s="4"/>
      <c r="AC455" s="4"/>
      <c r="AD455" s="4"/>
      <c r="AE455" s="4"/>
      <c r="AF455" s="4"/>
      <c r="AG455" s="4"/>
      <c r="AH455" s="4"/>
      <c r="AI455" s="4"/>
      <c r="AJ455" s="76" t="str">
        <f>IF(E455="○",IF(COUNTA(E$13:E455)=1,"",",")&amp;D455,"")</f>
        <v/>
      </c>
      <c r="AK455" s="4"/>
      <c r="AL455" s="4"/>
      <c r="AM455" s="4"/>
      <c r="AN455" s="4"/>
      <c r="AO455" s="4"/>
      <c r="AP455" s="4"/>
      <c r="AQ455" s="4"/>
      <c r="AR455" s="4"/>
      <c r="AS455" s="76" t="str">
        <f>"COMMENT ON COLUMN "&amp;エンティティ一覧!$O$2&amp;"."&amp;D$8&amp;"."&amp;D455&amp;" IS '"&amp;C455&amp;"';"</f>
        <v>COMMENT ON COLUMN milscm_2023_009.sny_202310_annony_shikkan2.shikkan442_start_date IS 'C917_疾患開始日';</v>
      </c>
    </row>
    <row r="456" spans="1:45" s="25" customFormat="1">
      <c r="A456" s="4" t="s">
        <v>5585</v>
      </c>
      <c r="B456" s="21">
        <f t="shared" si="93"/>
        <v>444</v>
      </c>
      <c r="C456" s="13" t="str">
        <f t="shared" si="92"/>
        <v>C918_疾患開始日</v>
      </c>
      <c r="D456" s="13" t="s">
        <v>6103</v>
      </c>
      <c r="E456" s="8"/>
      <c r="F456" s="7" t="s">
        <v>4348</v>
      </c>
      <c r="G456" s="7" t="s">
        <v>25</v>
      </c>
      <c r="H456" s="58"/>
      <c r="I456" s="23"/>
      <c r="J456" s="24"/>
      <c r="M456" s="4"/>
      <c r="N456" s="76"/>
      <c r="O456" s="76"/>
      <c r="P456" s="76" t="str">
        <f t="shared" si="94"/>
        <v>,shikkan443_start_date</v>
      </c>
      <c r="Q456" s="76" t="str">
        <f t="shared" si="95"/>
        <v>DATE</v>
      </c>
      <c r="R456" s="76" t="str">
        <f t="shared" si="96"/>
        <v/>
      </c>
      <c r="S456" s="76" t="str">
        <f t="shared" si="97"/>
        <v/>
      </c>
      <c r="T456" s="76" t="str">
        <f t="shared" si="98"/>
        <v>-- C918_疾患開始日</v>
      </c>
      <c r="U456" s="4" t="str">
        <f t="shared" si="68"/>
        <v>, CASE WHEN shikkan_disp_name = 'C918' THEN min_shikkan_start_date ::DATE ELSE NULL END AS shikkan443_start_date</v>
      </c>
      <c r="V456" s="25" t="str">
        <f t="shared" si="69"/>
        <v>, max(shikkan443_start_date)</v>
      </c>
      <c r="AA456" s="4"/>
      <c r="AB456" s="4"/>
      <c r="AC456" s="4"/>
      <c r="AD456" s="4"/>
      <c r="AE456" s="4"/>
      <c r="AF456" s="4"/>
      <c r="AG456" s="4"/>
      <c r="AH456" s="4"/>
      <c r="AI456" s="4"/>
      <c r="AJ456" s="76" t="str">
        <f>IF(E456="○",IF(COUNTA(E$13:E456)=1,"",",")&amp;D456,"")</f>
        <v/>
      </c>
      <c r="AK456" s="4"/>
      <c r="AL456" s="4"/>
      <c r="AM456" s="4"/>
      <c r="AN456" s="4"/>
      <c r="AO456" s="4"/>
      <c r="AP456" s="4"/>
      <c r="AQ456" s="4"/>
      <c r="AR456" s="4"/>
      <c r="AS456" s="76" t="str">
        <f>"COMMENT ON COLUMN "&amp;エンティティ一覧!$O$2&amp;"."&amp;D$8&amp;"."&amp;D456&amp;" IS '"&amp;C456&amp;"';"</f>
        <v>COMMENT ON COLUMN milscm_2023_009.sny_202310_annony_shikkan2.shikkan443_start_date IS 'C918_疾患開始日';</v>
      </c>
    </row>
    <row r="457" spans="1:45" s="25" customFormat="1">
      <c r="A457" s="4" t="s">
        <v>5586</v>
      </c>
      <c r="B457" s="21">
        <f t="shared" si="93"/>
        <v>445</v>
      </c>
      <c r="C457" s="13" t="str">
        <f t="shared" si="92"/>
        <v>C919_疾患開始日</v>
      </c>
      <c r="D457" s="13" t="s">
        <v>6104</v>
      </c>
      <c r="E457" s="8"/>
      <c r="F457" s="7" t="s">
        <v>4348</v>
      </c>
      <c r="G457" s="7" t="s">
        <v>25</v>
      </c>
      <c r="H457" s="58"/>
      <c r="I457" s="23"/>
      <c r="J457" s="24"/>
      <c r="M457" s="4"/>
      <c r="N457" s="76"/>
      <c r="O457" s="76"/>
      <c r="P457" s="76" t="str">
        <f t="shared" si="94"/>
        <v>,shikkan444_start_date</v>
      </c>
      <c r="Q457" s="76" t="str">
        <f t="shared" si="95"/>
        <v>DATE</v>
      </c>
      <c r="R457" s="76" t="str">
        <f t="shared" si="96"/>
        <v/>
      </c>
      <c r="S457" s="76" t="str">
        <f t="shared" si="97"/>
        <v/>
      </c>
      <c r="T457" s="76" t="str">
        <f t="shared" si="98"/>
        <v>-- C919_疾患開始日</v>
      </c>
      <c r="U457" s="4" t="str">
        <f t="shared" si="68"/>
        <v>, CASE WHEN shikkan_disp_name = 'C919' THEN min_shikkan_start_date ::DATE ELSE NULL END AS shikkan444_start_date</v>
      </c>
      <c r="V457" s="25" t="str">
        <f t="shared" si="69"/>
        <v>, max(shikkan444_start_date)</v>
      </c>
      <c r="AA457" s="4"/>
      <c r="AB457" s="4"/>
      <c r="AC457" s="4"/>
      <c r="AD457" s="4"/>
      <c r="AE457" s="4"/>
      <c r="AF457" s="4"/>
      <c r="AG457" s="4"/>
      <c r="AH457" s="4"/>
      <c r="AI457" s="4"/>
      <c r="AJ457" s="76" t="str">
        <f>IF(E457="○",IF(COUNTA(E$13:E457)=1,"",",")&amp;D457,"")</f>
        <v/>
      </c>
      <c r="AK457" s="4"/>
      <c r="AL457" s="4"/>
      <c r="AM457" s="4"/>
      <c r="AN457" s="4"/>
      <c r="AO457" s="4"/>
      <c r="AP457" s="4"/>
      <c r="AQ457" s="4"/>
      <c r="AR457" s="4"/>
      <c r="AS457" s="76" t="str">
        <f>"COMMENT ON COLUMN "&amp;エンティティ一覧!$O$2&amp;"."&amp;D$8&amp;"."&amp;D457&amp;" IS '"&amp;C457&amp;"';"</f>
        <v>COMMENT ON COLUMN milscm_2023_009.sny_202310_annony_shikkan2.shikkan444_start_date IS 'C919_疾患開始日';</v>
      </c>
    </row>
    <row r="458" spans="1:45" s="25" customFormat="1">
      <c r="A458" s="4" t="s">
        <v>5587</v>
      </c>
      <c r="B458" s="21">
        <f t="shared" si="93"/>
        <v>446</v>
      </c>
      <c r="C458" s="13" t="str">
        <f t="shared" si="92"/>
        <v>C920_疾患開始日</v>
      </c>
      <c r="D458" s="13" t="s">
        <v>6105</v>
      </c>
      <c r="E458" s="8"/>
      <c r="F458" s="7" t="s">
        <v>4348</v>
      </c>
      <c r="G458" s="7" t="s">
        <v>25</v>
      </c>
      <c r="H458" s="58"/>
      <c r="I458" s="23"/>
      <c r="J458" s="24"/>
      <c r="M458" s="4"/>
      <c r="N458" s="76"/>
      <c r="O458" s="76"/>
      <c r="P458" s="76" t="str">
        <f t="shared" si="94"/>
        <v>,shikkan445_start_date</v>
      </c>
      <c r="Q458" s="76" t="str">
        <f t="shared" si="95"/>
        <v>DATE</v>
      </c>
      <c r="R458" s="76" t="str">
        <f t="shared" si="96"/>
        <v/>
      </c>
      <c r="S458" s="76" t="str">
        <f t="shared" si="97"/>
        <v/>
      </c>
      <c r="T458" s="76" t="str">
        <f t="shared" si="98"/>
        <v>-- C920_疾患開始日</v>
      </c>
      <c r="U458" s="4" t="str">
        <f t="shared" si="68"/>
        <v>, CASE WHEN shikkan_disp_name = 'C920' THEN min_shikkan_start_date ::DATE ELSE NULL END AS shikkan445_start_date</v>
      </c>
      <c r="V458" s="25" t="str">
        <f t="shared" si="69"/>
        <v>, max(shikkan445_start_date)</v>
      </c>
      <c r="AA458" s="4"/>
      <c r="AB458" s="4"/>
      <c r="AC458" s="4"/>
      <c r="AD458" s="4"/>
      <c r="AE458" s="4"/>
      <c r="AF458" s="4"/>
      <c r="AG458" s="4"/>
      <c r="AH458" s="4"/>
      <c r="AI458" s="4"/>
      <c r="AJ458" s="76" t="str">
        <f>IF(E458="○",IF(COUNTA(E$13:E458)=1,"",",")&amp;D458,"")</f>
        <v/>
      </c>
      <c r="AK458" s="4"/>
      <c r="AL458" s="4"/>
      <c r="AM458" s="4"/>
      <c r="AN458" s="4"/>
      <c r="AO458" s="4"/>
      <c r="AP458" s="4"/>
      <c r="AQ458" s="4"/>
      <c r="AR458" s="4"/>
      <c r="AS458" s="76" t="str">
        <f>"COMMENT ON COLUMN "&amp;エンティティ一覧!$O$2&amp;"."&amp;D$8&amp;"."&amp;D458&amp;" IS '"&amp;C458&amp;"';"</f>
        <v>COMMENT ON COLUMN milscm_2023_009.sny_202310_annony_shikkan2.shikkan445_start_date IS 'C920_疾患開始日';</v>
      </c>
    </row>
    <row r="459" spans="1:45" s="25" customFormat="1">
      <c r="A459" s="4" t="s">
        <v>5588</v>
      </c>
      <c r="B459" s="21">
        <f t="shared" si="93"/>
        <v>447</v>
      </c>
      <c r="C459" s="13" t="str">
        <f t="shared" si="92"/>
        <v>C921_疾患開始日</v>
      </c>
      <c r="D459" s="13" t="s">
        <v>6106</v>
      </c>
      <c r="E459" s="8"/>
      <c r="F459" s="7" t="s">
        <v>4348</v>
      </c>
      <c r="G459" s="7" t="s">
        <v>25</v>
      </c>
      <c r="H459" s="58"/>
      <c r="I459" s="23"/>
      <c r="J459" s="24"/>
      <c r="M459" s="4"/>
      <c r="N459" s="76"/>
      <c r="O459" s="76"/>
      <c r="P459" s="76" t="str">
        <f t="shared" si="94"/>
        <v>,shikkan446_start_date</v>
      </c>
      <c r="Q459" s="76" t="str">
        <f t="shared" si="95"/>
        <v>DATE</v>
      </c>
      <c r="R459" s="76" t="str">
        <f t="shared" si="96"/>
        <v/>
      </c>
      <c r="S459" s="76" t="str">
        <f t="shared" si="97"/>
        <v/>
      </c>
      <c r="T459" s="76" t="str">
        <f t="shared" si="98"/>
        <v>-- C921_疾患開始日</v>
      </c>
      <c r="U459" s="4" t="str">
        <f t="shared" si="68"/>
        <v>, CASE WHEN shikkan_disp_name = 'C921' THEN min_shikkan_start_date ::DATE ELSE NULL END AS shikkan446_start_date</v>
      </c>
      <c r="V459" s="25" t="str">
        <f t="shared" si="69"/>
        <v>, max(shikkan446_start_date)</v>
      </c>
      <c r="AA459" s="4"/>
      <c r="AB459" s="4"/>
      <c r="AC459" s="4"/>
      <c r="AD459" s="4"/>
      <c r="AE459" s="4"/>
      <c r="AF459" s="4"/>
      <c r="AG459" s="4"/>
      <c r="AH459" s="4"/>
      <c r="AI459" s="4"/>
      <c r="AJ459" s="76" t="str">
        <f>IF(E459="○",IF(COUNTA(E$13:E459)=1,"",",")&amp;D459,"")</f>
        <v/>
      </c>
      <c r="AK459" s="4"/>
      <c r="AL459" s="4"/>
      <c r="AM459" s="4"/>
      <c r="AN459" s="4"/>
      <c r="AO459" s="4"/>
      <c r="AP459" s="4"/>
      <c r="AQ459" s="4"/>
      <c r="AR459" s="4"/>
      <c r="AS459" s="76" t="str">
        <f>"COMMENT ON COLUMN "&amp;エンティティ一覧!$O$2&amp;"."&amp;D$8&amp;"."&amp;D459&amp;" IS '"&amp;C459&amp;"';"</f>
        <v>COMMENT ON COLUMN milscm_2023_009.sny_202310_annony_shikkan2.shikkan446_start_date IS 'C921_疾患開始日';</v>
      </c>
    </row>
    <row r="460" spans="1:45" s="25" customFormat="1">
      <c r="A460" s="4" t="s">
        <v>5589</v>
      </c>
      <c r="B460" s="21">
        <f t="shared" si="93"/>
        <v>448</v>
      </c>
      <c r="C460" s="13" t="str">
        <f t="shared" si="92"/>
        <v>C922_疾患開始日</v>
      </c>
      <c r="D460" s="13" t="s">
        <v>6107</v>
      </c>
      <c r="E460" s="8"/>
      <c r="F460" s="7" t="s">
        <v>4348</v>
      </c>
      <c r="G460" s="7" t="s">
        <v>25</v>
      </c>
      <c r="H460" s="58"/>
      <c r="I460" s="23"/>
      <c r="J460" s="24"/>
      <c r="M460" s="4"/>
      <c r="N460" s="76"/>
      <c r="O460" s="76"/>
      <c r="P460" s="76" t="str">
        <f t="shared" si="94"/>
        <v>,shikkan447_start_date</v>
      </c>
      <c r="Q460" s="76" t="str">
        <f t="shared" si="95"/>
        <v>DATE</v>
      </c>
      <c r="R460" s="76" t="str">
        <f t="shared" si="96"/>
        <v/>
      </c>
      <c r="S460" s="76" t="str">
        <f t="shared" si="97"/>
        <v/>
      </c>
      <c r="T460" s="76" t="str">
        <f t="shared" si="98"/>
        <v>-- C922_疾患開始日</v>
      </c>
      <c r="U460" s="4" t="str">
        <f t="shared" si="68"/>
        <v>, CASE WHEN shikkan_disp_name = 'C922' THEN min_shikkan_start_date ::DATE ELSE NULL END AS shikkan447_start_date</v>
      </c>
      <c r="V460" s="25" t="str">
        <f t="shared" si="69"/>
        <v>, max(shikkan447_start_date)</v>
      </c>
      <c r="AA460" s="4"/>
      <c r="AB460" s="4"/>
      <c r="AC460" s="4"/>
      <c r="AD460" s="4"/>
      <c r="AE460" s="4"/>
      <c r="AF460" s="4"/>
      <c r="AG460" s="4"/>
      <c r="AH460" s="4"/>
      <c r="AI460" s="4"/>
      <c r="AJ460" s="76" t="str">
        <f>IF(E460="○",IF(COUNTA(E$13:E460)=1,"",",")&amp;D460,"")</f>
        <v/>
      </c>
      <c r="AK460" s="4"/>
      <c r="AL460" s="4"/>
      <c r="AM460" s="4"/>
      <c r="AN460" s="4"/>
      <c r="AO460" s="4"/>
      <c r="AP460" s="4"/>
      <c r="AQ460" s="4"/>
      <c r="AR460" s="4"/>
      <c r="AS460" s="76" t="str">
        <f>"COMMENT ON COLUMN "&amp;エンティティ一覧!$O$2&amp;"."&amp;D$8&amp;"."&amp;D460&amp;" IS '"&amp;C460&amp;"';"</f>
        <v>COMMENT ON COLUMN milscm_2023_009.sny_202310_annony_shikkan2.shikkan447_start_date IS 'C922_疾患開始日';</v>
      </c>
    </row>
    <row r="461" spans="1:45" s="25" customFormat="1">
      <c r="A461" s="4" t="s">
        <v>5590</v>
      </c>
      <c r="B461" s="21">
        <f t="shared" si="93"/>
        <v>449</v>
      </c>
      <c r="C461" s="13" t="str">
        <f t="shared" si="92"/>
        <v>C923_疾患開始日</v>
      </c>
      <c r="D461" s="13" t="s">
        <v>6108</v>
      </c>
      <c r="E461" s="8"/>
      <c r="F461" s="7" t="s">
        <v>4348</v>
      </c>
      <c r="G461" s="7" t="s">
        <v>99</v>
      </c>
      <c r="H461" s="58"/>
      <c r="I461" s="23"/>
      <c r="J461" s="24"/>
      <c r="M461" s="4"/>
      <c r="N461" s="76"/>
      <c r="O461" s="76"/>
      <c r="P461" s="76" t="str">
        <f t="shared" si="94"/>
        <v>,shikkan448_start_date</v>
      </c>
      <c r="Q461" s="76" t="str">
        <f t="shared" si="95"/>
        <v>DATE</v>
      </c>
      <c r="R461" s="76" t="str">
        <f t="shared" si="96"/>
        <v/>
      </c>
      <c r="S461" s="76" t="str">
        <f t="shared" si="97"/>
        <v/>
      </c>
      <c r="T461" s="76" t="str">
        <f t="shared" si="98"/>
        <v>-- C923_疾患開始日</v>
      </c>
      <c r="U461" s="4" t="str">
        <f t="shared" si="68"/>
        <v>, CASE WHEN shikkan_disp_name = 'C923' THEN min_shikkan_start_date ::DATE ELSE NULL END AS shikkan448_start_date</v>
      </c>
      <c r="V461" s="25" t="str">
        <f t="shared" si="69"/>
        <v>, max(shikkan448_start_date)</v>
      </c>
      <c r="AA461" s="4"/>
      <c r="AB461" s="4"/>
      <c r="AC461" s="4"/>
      <c r="AD461" s="4"/>
      <c r="AE461" s="4"/>
      <c r="AF461" s="4"/>
      <c r="AG461" s="4"/>
      <c r="AH461" s="4"/>
      <c r="AI461" s="4"/>
      <c r="AJ461" s="76" t="str">
        <f>IF(E461="○",IF(COUNTA(E$13:E461)=1,"",",")&amp;D461,"")</f>
        <v/>
      </c>
      <c r="AK461" s="4"/>
      <c r="AL461" s="4"/>
      <c r="AM461" s="4"/>
      <c r="AN461" s="4"/>
      <c r="AO461" s="4"/>
      <c r="AP461" s="4"/>
      <c r="AQ461" s="4"/>
      <c r="AR461" s="4"/>
      <c r="AS461" s="76" t="str">
        <f>"COMMENT ON COLUMN "&amp;エンティティ一覧!$O$2&amp;"."&amp;D$8&amp;"."&amp;D461&amp;" IS '"&amp;C461&amp;"';"</f>
        <v>COMMENT ON COLUMN milscm_2023_009.sny_202310_annony_shikkan2.shikkan448_start_date IS 'C923_疾患開始日';</v>
      </c>
    </row>
    <row r="462" spans="1:45" s="25" customFormat="1">
      <c r="A462" s="4" t="s">
        <v>5591</v>
      </c>
      <c r="B462" s="21">
        <f t="shared" si="93"/>
        <v>450</v>
      </c>
      <c r="C462" s="13" t="str">
        <f t="shared" si="92"/>
        <v>C924_疾患開始日</v>
      </c>
      <c r="D462" s="13" t="s">
        <v>6109</v>
      </c>
      <c r="E462" s="8"/>
      <c r="F462" s="7" t="s">
        <v>4348</v>
      </c>
      <c r="G462" s="7" t="s">
        <v>25</v>
      </c>
      <c r="H462" s="58"/>
      <c r="I462" s="23"/>
      <c r="J462" s="24"/>
      <c r="M462" s="4"/>
      <c r="N462" s="76"/>
      <c r="O462" s="76"/>
      <c r="P462" s="76" t="str">
        <f t="shared" si="94"/>
        <v>,shikkan449_start_date</v>
      </c>
      <c r="Q462" s="76" t="str">
        <f t="shared" si="95"/>
        <v>DATE</v>
      </c>
      <c r="R462" s="76" t="str">
        <f t="shared" si="96"/>
        <v/>
      </c>
      <c r="S462" s="76" t="str">
        <f t="shared" si="97"/>
        <v/>
      </c>
      <c r="T462" s="76" t="str">
        <f t="shared" si="98"/>
        <v>-- C924_疾患開始日</v>
      </c>
      <c r="U462" s="4" t="str">
        <f t="shared" si="68"/>
        <v>, CASE WHEN shikkan_disp_name = 'C924' THEN min_shikkan_start_date ::DATE ELSE NULL END AS shikkan449_start_date</v>
      </c>
      <c r="V462" s="25" t="str">
        <f t="shared" si="69"/>
        <v>, max(shikkan449_start_date)</v>
      </c>
      <c r="AA462" s="4"/>
      <c r="AB462" s="4"/>
      <c r="AC462" s="4"/>
      <c r="AD462" s="4"/>
      <c r="AE462" s="4"/>
      <c r="AF462" s="4"/>
      <c r="AG462" s="4"/>
      <c r="AH462" s="4"/>
      <c r="AI462" s="4"/>
      <c r="AJ462" s="76" t="str">
        <f>IF(E462="○",IF(COUNTA(E$13:E462)=1,"",",")&amp;D462,"")</f>
        <v/>
      </c>
      <c r="AK462" s="4"/>
      <c r="AL462" s="4"/>
      <c r="AM462" s="4"/>
      <c r="AN462" s="4"/>
      <c r="AO462" s="4"/>
      <c r="AP462" s="4"/>
      <c r="AQ462" s="4"/>
      <c r="AR462" s="4"/>
      <c r="AS462" s="76" t="str">
        <f>"COMMENT ON COLUMN "&amp;エンティティ一覧!$O$2&amp;"."&amp;D$8&amp;"."&amp;D462&amp;" IS '"&amp;C462&amp;"';"</f>
        <v>COMMENT ON COLUMN milscm_2023_009.sny_202310_annony_shikkan2.shikkan449_start_date IS 'C924_疾患開始日';</v>
      </c>
    </row>
    <row r="463" spans="1:45" s="25" customFormat="1">
      <c r="A463" s="4" t="s">
        <v>5592</v>
      </c>
      <c r="B463" s="21">
        <f t="shared" si="93"/>
        <v>451</v>
      </c>
      <c r="C463" s="13" t="str">
        <f t="shared" ref="C463:C526" si="99">A463&amp;"_疾患開始日"</f>
        <v>C925_疾患開始日</v>
      </c>
      <c r="D463" s="13" t="s">
        <v>6110</v>
      </c>
      <c r="E463" s="8"/>
      <c r="F463" s="7" t="s">
        <v>4348</v>
      </c>
      <c r="G463" s="7" t="s">
        <v>25</v>
      </c>
      <c r="H463" s="58"/>
      <c r="I463" s="23"/>
      <c r="J463" s="24"/>
      <c r="M463" s="4"/>
      <c r="N463" s="76"/>
      <c r="O463" s="76"/>
      <c r="P463" s="76" t="str">
        <f t="shared" si="94"/>
        <v>,shikkan450_start_date</v>
      </c>
      <c r="Q463" s="76" t="str">
        <f t="shared" si="95"/>
        <v>DATE</v>
      </c>
      <c r="R463" s="76" t="str">
        <f t="shared" si="96"/>
        <v/>
      </c>
      <c r="S463" s="76" t="str">
        <f t="shared" si="97"/>
        <v/>
      </c>
      <c r="T463" s="76" t="str">
        <f t="shared" si="98"/>
        <v>-- C925_疾患開始日</v>
      </c>
      <c r="U463" s="4" t="str">
        <f t="shared" si="68"/>
        <v>, CASE WHEN shikkan_disp_name = 'C925' THEN min_shikkan_start_date ::DATE ELSE NULL END AS shikkan450_start_date</v>
      </c>
      <c r="V463" s="25" t="str">
        <f t="shared" si="69"/>
        <v>, max(shikkan450_start_date)</v>
      </c>
      <c r="AA463" s="4"/>
      <c r="AB463" s="4"/>
      <c r="AC463" s="4"/>
      <c r="AD463" s="4"/>
      <c r="AE463" s="4"/>
      <c r="AF463" s="4"/>
      <c r="AG463" s="4"/>
      <c r="AH463" s="4"/>
      <c r="AI463" s="4"/>
      <c r="AJ463" s="76" t="str">
        <f>IF(E463="○",IF(COUNTA(E$13:E463)=1,"",",")&amp;D463,"")</f>
        <v/>
      </c>
      <c r="AK463" s="4"/>
      <c r="AL463" s="4"/>
      <c r="AM463" s="4"/>
      <c r="AN463" s="4"/>
      <c r="AO463" s="4"/>
      <c r="AP463" s="4"/>
      <c r="AQ463" s="4"/>
      <c r="AR463" s="4"/>
      <c r="AS463" s="76" t="str">
        <f>"COMMENT ON COLUMN "&amp;エンティティ一覧!$O$2&amp;"."&amp;D$8&amp;"."&amp;D463&amp;" IS '"&amp;C463&amp;"';"</f>
        <v>COMMENT ON COLUMN milscm_2023_009.sny_202310_annony_shikkan2.shikkan450_start_date IS 'C925_疾患開始日';</v>
      </c>
    </row>
    <row r="464" spans="1:45" s="25" customFormat="1">
      <c r="A464" s="4" t="s">
        <v>5593</v>
      </c>
      <c r="B464" s="21">
        <f t="shared" ref="B464:B527" si="100">ROW()-12</f>
        <v>452</v>
      </c>
      <c r="C464" s="13" t="str">
        <f t="shared" si="99"/>
        <v>C926_疾患開始日</v>
      </c>
      <c r="D464" s="13" t="s">
        <v>6111</v>
      </c>
      <c r="E464" s="8"/>
      <c r="F464" s="7" t="s">
        <v>4348</v>
      </c>
      <c r="G464" s="7" t="s">
        <v>25</v>
      </c>
      <c r="H464" s="58"/>
      <c r="I464" s="23"/>
      <c r="J464" s="24"/>
      <c r="M464" s="4"/>
      <c r="N464" s="76"/>
      <c r="O464" s="76"/>
      <c r="P464" s="76" t="str">
        <f t="shared" si="94"/>
        <v>,shikkan451_start_date</v>
      </c>
      <c r="Q464" s="76" t="str">
        <f t="shared" si="95"/>
        <v>DATE</v>
      </c>
      <c r="R464" s="76" t="str">
        <f t="shared" si="96"/>
        <v/>
      </c>
      <c r="S464" s="76" t="str">
        <f t="shared" si="97"/>
        <v/>
      </c>
      <c r="T464" s="76" t="str">
        <f t="shared" si="98"/>
        <v>-- C926_疾患開始日</v>
      </c>
      <c r="U464" s="4" t="str">
        <f t="shared" si="68"/>
        <v>, CASE WHEN shikkan_disp_name = 'C926' THEN min_shikkan_start_date ::DATE ELSE NULL END AS shikkan451_start_date</v>
      </c>
      <c r="V464" s="25" t="str">
        <f t="shared" si="69"/>
        <v>, max(shikkan451_start_date)</v>
      </c>
      <c r="AA464" s="4"/>
      <c r="AB464" s="4"/>
      <c r="AC464" s="4"/>
      <c r="AD464" s="4"/>
      <c r="AE464" s="4"/>
      <c r="AF464" s="4"/>
      <c r="AG464" s="4"/>
      <c r="AH464" s="4"/>
      <c r="AI464" s="4"/>
      <c r="AJ464" s="76" t="str">
        <f>IF(E464="○",IF(COUNTA(E$13:E464)=1,"",",")&amp;D464,"")</f>
        <v/>
      </c>
      <c r="AK464" s="4"/>
      <c r="AL464" s="4"/>
      <c r="AM464" s="4"/>
      <c r="AN464" s="4"/>
      <c r="AO464" s="4"/>
      <c r="AP464" s="4"/>
      <c r="AQ464" s="4"/>
      <c r="AR464" s="4"/>
      <c r="AS464" s="76" t="str">
        <f>"COMMENT ON COLUMN "&amp;エンティティ一覧!$O$2&amp;"."&amp;D$8&amp;"."&amp;D464&amp;" IS '"&amp;C464&amp;"';"</f>
        <v>COMMENT ON COLUMN milscm_2023_009.sny_202310_annony_shikkan2.shikkan451_start_date IS 'C926_疾患開始日';</v>
      </c>
    </row>
    <row r="465" spans="1:45" s="25" customFormat="1">
      <c r="A465" s="4" t="s">
        <v>5594</v>
      </c>
      <c r="B465" s="21">
        <f t="shared" si="100"/>
        <v>453</v>
      </c>
      <c r="C465" s="13" t="str">
        <f t="shared" si="99"/>
        <v>C927_疾患開始日</v>
      </c>
      <c r="D465" s="13" t="s">
        <v>6112</v>
      </c>
      <c r="E465" s="8"/>
      <c r="F465" s="7" t="s">
        <v>4348</v>
      </c>
      <c r="G465" s="7" t="s">
        <v>25</v>
      </c>
      <c r="H465" s="58"/>
      <c r="I465" s="23"/>
      <c r="J465" s="24"/>
      <c r="M465" s="4"/>
      <c r="N465" s="76"/>
      <c r="O465" s="76"/>
      <c r="P465" s="76" t="str">
        <f t="shared" si="94"/>
        <v>,shikkan452_start_date</v>
      </c>
      <c r="Q465" s="76" t="str">
        <f t="shared" si="95"/>
        <v>DATE</v>
      </c>
      <c r="R465" s="76" t="str">
        <f t="shared" si="96"/>
        <v/>
      </c>
      <c r="S465" s="76" t="str">
        <f t="shared" si="97"/>
        <v/>
      </c>
      <c r="T465" s="76" t="str">
        <f t="shared" si="98"/>
        <v>-- C927_疾患開始日</v>
      </c>
      <c r="U465" s="4" t="str">
        <f t="shared" si="68"/>
        <v>, CASE WHEN shikkan_disp_name = 'C927' THEN min_shikkan_start_date ::DATE ELSE NULL END AS shikkan452_start_date</v>
      </c>
      <c r="V465" s="25" t="str">
        <f t="shared" si="69"/>
        <v>, max(shikkan452_start_date)</v>
      </c>
      <c r="AA465" s="4"/>
      <c r="AB465" s="4"/>
      <c r="AC465" s="4"/>
      <c r="AD465" s="4"/>
      <c r="AE465" s="4"/>
      <c r="AF465" s="4"/>
      <c r="AG465" s="4"/>
      <c r="AH465" s="4"/>
      <c r="AI465" s="4"/>
      <c r="AJ465" s="76" t="str">
        <f>IF(E465="○",IF(COUNTA(E$13:E465)=1,"",",")&amp;D465,"")</f>
        <v/>
      </c>
      <c r="AK465" s="4"/>
      <c r="AL465" s="4"/>
      <c r="AM465" s="4"/>
      <c r="AN465" s="4"/>
      <c r="AO465" s="4"/>
      <c r="AP465" s="4"/>
      <c r="AQ465" s="4"/>
      <c r="AR465" s="4"/>
      <c r="AS465" s="76" t="str">
        <f>"COMMENT ON COLUMN "&amp;エンティティ一覧!$O$2&amp;"."&amp;D$8&amp;"."&amp;D465&amp;" IS '"&amp;C465&amp;"';"</f>
        <v>COMMENT ON COLUMN milscm_2023_009.sny_202310_annony_shikkan2.shikkan452_start_date IS 'C927_疾患開始日';</v>
      </c>
    </row>
    <row r="466" spans="1:45" s="25" customFormat="1">
      <c r="A466" s="4" t="s">
        <v>5595</v>
      </c>
      <c r="B466" s="21">
        <f t="shared" si="100"/>
        <v>454</v>
      </c>
      <c r="C466" s="13" t="str">
        <f t="shared" si="99"/>
        <v>C928_疾患開始日</v>
      </c>
      <c r="D466" s="13" t="s">
        <v>6113</v>
      </c>
      <c r="E466" s="8"/>
      <c r="F466" s="7" t="s">
        <v>4348</v>
      </c>
      <c r="G466" s="7" t="s">
        <v>25</v>
      </c>
      <c r="H466" s="58"/>
      <c r="I466" s="23"/>
      <c r="J466" s="24"/>
      <c r="M466" s="4"/>
      <c r="N466" s="76"/>
      <c r="O466" s="76"/>
      <c r="P466" s="76" t="str">
        <f t="shared" si="94"/>
        <v>,shikkan453_start_date</v>
      </c>
      <c r="Q466" s="76" t="str">
        <f t="shared" si="95"/>
        <v>DATE</v>
      </c>
      <c r="R466" s="76" t="str">
        <f t="shared" si="96"/>
        <v/>
      </c>
      <c r="S466" s="76" t="str">
        <f t="shared" si="97"/>
        <v/>
      </c>
      <c r="T466" s="76" t="str">
        <f t="shared" si="98"/>
        <v>-- C928_疾患開始日</v>
      </c>
      <c r="U466" s="4" t="str">
        <f t="shared" si="68"/>
        <v>, CASE WHEN shikkan_disp_name = 'C928' THEN min_shikkan_start_date ::DATE ELSE NULL END AS shikkan453_start_date</v>
      </c>
      <c r="V466" s="25" t="str">
        <f t="shared" si="69"/>
        <v>, max(shikkan453_start_date)</v>
      </c>
      <c r="AA466" s="4"/>
      <c r="AB466" s="4"/>
      <c r="AC466" s="4"/>
      <c r="AD466" s="4"/>
      <c r="AE466" s="4"/>
      <c r="AF466" s="4"/>
      <c r="AG466" s="4"/>
      <c r="AH466" s="4"/>
      <c r="AI466" s="4"/>
      <c r="AJ466" s="76" t="str">
        <f>IF(E466="○",IF(COUNTA(E$13:E466)=1,"",",")&amp;D466,"")</f>
        <v/>
      </c>
      <c r="AK466" s="4"/>
      <c r="AL466" s="4"/>
      <c r="AM466" s="4"/>
      <c r="AN466" s="4"/>
      <c r="AO466" s="4"/>
      <c r="AP466" s="4"/>
      <c r="AQ466" s="4"/>
      <c r="AR466" s="4"/>
      <c r="AS466" s="76" t="str">
        <f>"COMMENT ON COLUMN "&amp;エンティティ一覧!$O$2&amp;"."&amp;D$8&amp;"."&amp;D466&amp;" IS '"&amp;C466&amp;"';"</f>
        <v>COMMENT ON COLUMN milscm_2023_009.sny_202310_annony_shikkan2.shikkan453_start_date IS 'C928_疾患開始日';</v>
      </c>
    </row>
    <row r="467" spans="1:45" s="25" customFormat="1">
      <c r="A467" s="4" t="s">
        <v>5596</v>
      </c>
      <c r="B467" s="21">
        <f t="shared" si="100"/>
        <v>455</v>
      </c>
      <c r="C467" s="13" t="str">
        <f t="shared" si="99"/>
        <v>C929_疾患開始日</v>
      </c>
      <c r="D467" s="13" t="s">
        <v>6114</v>
      </c>
      <c r="E467" s="8"/>
      <c r="F467" s="7" t="s">
        <v>4348</v>
      </c>
      <c r="G467" s="7" t="s">
        <v>25</v>
      </c>
      <c r="H467" s="58"/>
      <c r="I467" s="23"/>
      <c r="J467" s="24"/>
      <c r="M467" s="4"/>
      <c r="N467" s="76"/>
      <c r="O467" s="76"/>
      <c r="P467" s="76" t="str">
        <f t="shared" si="94"/>
        <v>,shikkan454_start_date</v>
      </c>
      <c r="Q467" s="76" t="str">
        <f t="shared" si="95"/>
        <v>DATE</v>
      </c>
      <c r="R467" s="76" t="str">
        <f t="shared" si="96"/>
        <v/>
      </c>
      <c r="S467" s="76" t="str">
        <f t="shared" si="97"/>
        <v/>
      </c>
      <c r="T467" s="76" t="str">
        <f t="shared" si="98"/>
        <v>-- C929_疾患開始日</v>
      </c>
      <c r="U467" s="4" t="str">
        <f t="shared" si="68"/>
        <v>, CASE WHEN shikkan_disp_name = 'C929' THEN min_shikkan_start_date ::DATE ELSE NULL END AS shikkan454_start_date</v>
      </c>
      <c r="V467" s="25" t="str">
        <f t="shared" si="69"/>
        <v>, max(shikkan454_start_date)</v>
      </c>
      <c r="AA467" s="4"/>
      <c r="AB467" s="4"/>
      <c r="AC467" s="4"/>
      <c r="AD467" s="4"/>
      <c r="AE467" s="4"/>
      <c r="AF467" s="4"/>
      <c r="AG467" s="4"/>
      <c r="AH467" s="4"/>
      <c r="AI467" s="4"/>
      <c r="AJ467" s="76" t="str">
        <f>IF(E467="○",IF(COUNTA(E$13:E467)=1,"",",")&amp;D467,"")</f>
        <v/>
      </c>
      <c r="AK467" s="4"/>
      <c r="AL467" s="4"/>
      <c r="AM467" s="4"/>
      <c r="AN467" s="4"/>
      <c r="AO467" s="4"/>
      <c r="AP467" s="4"/>
      <c r="AQ467" s="4"/>
      <c r="AR467" s="4"/>
      <c r="AS467" s="76" t="str">
        <f>"COMMENT ON COLUMN "&amp;エンティティ一覧!$O$2&amp;"."&amp;D$8&amp;"."&amp;D467&amp;" IS '"&amp;C467&amp;"';"</f>
        <v>COMMENT ON COLUMN milscm_2023_009.sny_202310_annony_shikkan2.shikkan454_start_date IS 'C929_疾患開始日';</v>
      </c>
    </row>
    <row r="468" spans="1:45" s="25" customFormat="1">
      <c r="A468" s="4" t="s">
        <v>5597</v>
      </c>
      <c r="B468" s="21">
        <f t="shared" si="100"/>
        <v>456</v>
      </c>
      <c r="C468" s="13" t="str">
        <f t="shared" si="99"/>
        <v>C930_疾患開始日</v>
      </c>
      <c r="D468" s="13" t="s">
        <v>6115</v>
      </c>
      <c r="E468" s="8"/>
      <c r="F468" s="7" t="s">
        <v>4348</v>
      </c>
      <c r="G468" s="7" t="s">
        <v>25</v>
      </c>
      <c r="H468" s="58"/>
      <c r="I468" s="23"/>
      <c r="J468" s="24"/>
      <c r="M468" s="4"/>
      <c r="N468" s="76"/>
      <c r="O468" s="76"/>
      <c r="P468" s="76" t="str">
        <f t="shared" si="94"/>
        <v>,shikkan455_start_date</v>
      </c>
      <c r="Q468" s="76" t="str">
        <f t="shared" si="95"/>
        <v>DATE</v>
      </c>
      <c r="R468" s="76" t="str">
        <f t="shared" si="96"/>
        <v/>
      </c>
      <c r="S468" s="76" t="str">
        <f t="shared" si="97"/>
        <v/>
      </c>
      <c r="T468" s="76" t="str">
        <f t="shared" si="98"/>
        <v>-- C930_疾患開始日</v>
      </c>
      <c r="U468" s="4" t="str">
        <f t="shared" si="68"/>
        <v>, CASE WHEN shikkan_disp_name = 'C930' THEN min_shikkan_start_date ::DATE ELSE NULL END AS shikkan455_start_date</v>
      </c>
      <c r="V468" s="25" t="str">
        <f t="shared" si="69"/>
        <v>, max(shikkan455_start_date)</v>
      </c>
      <c r="AA468" s="4"/>
      <c r="AB468" s="4"/>
      <c r="AC468" s="4"/>
      <c r="AD468" s="4"/>
      <c r="AE468" s="4"/>
      <c r="AF468" s="4"/>
      <c r="AG468" s="4"/>
      <c r="AH468" s="4"/>
      <c r="AI468" s="4"/>
      <c r="AJ468" s="76" t="str">
        <f>IF(E468="○",IF(COUNTA(E$13:E468)=1,"",",")&amp;D468,"")</f>
        <v/>
      </c>
      <c r="AK468" s="4"/>
      <c r="AL468" s="4"/>
      <c r="AM468" s="4"/>
      <c r="AN468" s="4"/>
      <c r="AO468" s="4"/>
      <c r="AP468" s="4"/>
      <c r="AQ468" s="4"/>
      <c r="AR468" s="4"/>
      <c r="AS468" s="76" t="str">
        <f>"COMMENT ON COLUMN "&amp;エンティティ一覧!$O$2&amp;"."&amp;D$8&amp;"."&amp;D468&amp;" IS '"&amp;C468&amp;"';"</f>
        <v>COMMENT ON COLUMN milscm_2023_009.sny_202310_annony_shikkan2.shikkan455_start_date IS 'C930_疾患開始日';</v>
      </c>
    </row>
    <row r="469" spans="1:45" s="25" customFormat="1">
      <c r="A469" s="4" t="s">
        <v>5598</v>
      </c>
      <c r="B469" s="21">
        <f t="shared" si="100"/>
        <v>457</v>
      </c>
      <c r="C469" s="13" t="str">
        <f t="shared" si="99"/>
        <v>C931_疾患開始日</v>
      </c>
      <c r="D469" s="13" t="s">
        <v>6116</v>
      </c>
      <c r="E469" s="8"/>
      <c r="F469" s="7" t="s">
        <v>4348</v>
      </c>
      <c r="G469" s="7" t="s">
        <v>25</v>
      </c>
      <c r="H469" s="58"/>
      <c r="I469" s="23"/>
      <c r="J469" s="24"/>
      <c r="M469" s="4"/>
      <c r="N469" s="76"/>
      <c r="O469" s="76"/>
      <c r="P469" s="76" t="str">
        <f t="shared" si="94"/>
        <v>,shikkan456_start_date</v>
      </c>
      <c r="Q469" s="76" t="str">
        <f t="shared" si="95"/>
        <v>DATE</v>
      </c>
      <c r="R469" s="76" t="str">
        <f t="shared" si="96"/>
        <v/>
      </c>
      <c r="S469" s="76" t="str">
        <f t="shared" si="97"/>
        <v/>
      </c>
      <c r="T469" s="76" t="str">
        <f t="shared" si="98"/>
        <v>-- C931_疾患開始日</v>
      </c>
      <c r="U469" s="4" t="str">
        <f t="shared" si="68"/>
        <v>, CASE WHEN shikkan_disp_name = 'C931' THEN min_shikkan_start_date ::DATE ELSE NULL END AS shikkan456_start_date</v>
      </c>
      <c r="V469" s="25" t="str">
        <f t="shared" si="69"/>
        <v>, max(shikkan456_start_date)</v>
      </c>
      <c r="AA469" s="4"/>
      <c r="AB469" s="4"/>
      <c r="AC469" s="4"/>
      <c r="AD469" s="4"/>
      <c r="AE469" s="4"/>
      <c r="AF469" s="4"/>
      <c r="AG469" s="4"/>
      <c r="AH469" s="4"/>
      <c r="AI469" s="4"/>
      <c r="AJ469" s="76" t="str">
        <f>IF(E469="○",IF(COUNTA(E$13:E469)=1,"",",")&amp;D469,"")</f>
        <v/>
      </c>
      <c r="AK469" s="4"/>
      <c r="AL469" s="4"/>
      <c r="AM469" s="4"/>
      <c r="AN469" s="4"/>
      <c r="AO469" s="4"/>
      <c r="AP469" s="4"/>
      <c r="AQ469" s="4"/>
      <c r="AR469" s="4"/>
      <c r="AS469" s="76" t="str">
        <f>"COMMENT ON COLUMN "&amp;エンティティ一覧!$O$2&amp;"."&amp;D$8&amp;"."&amp;D469&amp;" IS '"&amp;C469&amp;"';"</f>
        <v>COMMENT ON COLUMN milscm_2023_009.sny_202310_annony_shikkan2.shikkan456_start_date IS 'C931_疾患開始日';</v>
      </c>
    </row>
    <row r="470" spans="1:45" s="25" customFormat="1">
      <c r="A470" s="4" t="s">
        <v>5599</v>
      </c>
      <c r="B470" s="21">
        <f t="shared" si="100"/>
        <v>458</v>
      </c>
      <c r="C470" s="13" t="str">
        <f t="shared" si="99"/>
        <v>C933_疾患開始日</v>
      </c>
      <c r="D470" s="13" t="s">
        <v>6117</v>
      </c>
      <c r="E470" s="8"/>
      <c r="F470" s="7" t="s">
        <v>4348</v>
      </c>
      <c r="G470" s="7" t="s">
        <v>25</v>
      </c>
      <c r="H470" s="58"/>
      <c r="I470" s="23"/>
      <c r="J470" s="24"/>
      <c r="M470" s="4"/>
      <c r="N470" s="76"/>
      <c r="O470" s="76"/>
      <c r="P470" s="76" t="str">
        <f t="shared" si="94"/>
        <v>,shikkan457_start_date</v>
      </c>
      <c r="Q470" s="76" t="str">
        <f t="shared" si="95"/>
        <v>DATE</v>
      </c>
      <c r="R470" s="76" t="str">
        <f t="shared" si="96"/>
        <v/>
      </c>
      <c r="S470" s="76" t="str">
        <f t="shared" si="97"/>
        <v/>
      </c>
      <c r="T470" s="76" t="str">
        <f t="shared" si="98"/>
        <v>-- C933_疾患開始日</v>
      </c>
      <c r="U470" s="4" t="str">
        <f t="shared" si="68"/>
        <v>, CASE WHEN shikkan_disp_name = 'C933' THEN min_shikkan_start_date ::DATE ELSE NULL END AS shikkan457_start_date</v>
      </c>
      <c r="V470" s="25" t="str">
        <f t="shared" si="69"/>
        <v>, max(shikkan457_start_date)</v>
      </c>
      <c r="AA470" s="4"/>
      <c r="AB470" s="4"/>
      <c r="AC470" s="4"/>
      <c r="AD470" s="4"/>
      <c r="AE470" s="4"/>
      <c r="AF470" s="4"/>
      <c r="AG470" s="4"/>
      <c r="AH470" s="4"/>
      <c r="AI470" s="4"/>
      <c r="AJ470" s="76" t="str">
        <f>IF(E470="○",IF(COUNTA(E$13:E470)=1,"",",")&amp;D470,"")</f>
        <v/>
      </c>
      <c r="AK470" s="4"/>
      <c r="AL470" s="4"/>
      <c r="AM470" s="4"/>
      <c r="AN470" s="4"/>
      <c r="AO470" s="4"/>
      <c r="AP470" s="4"/>
      <c r="AQ470" s="4"/>
      <c r="AR470" s="4"/>
      <c r="AS470" s="76" t="str">
        <f>"COMMENT ON COLUMN "&amp;エンティティ一覧!$O$2&amp;"."&amp;D$8&amp;"."&amp;D470&amp;" IS '"&amp;C470&amp;"';"</f>
        <v>COMMENT ON COLUMN milscm_2023_009.sny_202310_annony_shikkan2.shikkan457_start_date IS 'C933_疾患開始日';</v>
      </c>
    </row>
    <row r="471" spans="1:45" s="25" customFormat="1">
      <c r="A471" s="4" t="s">
        <v>5600</v>
      </c>
      <c r="B471" s="21">
        <f t="shared" si="100"/>
        <v>459</v>
      </c>
      <c r="C471" s="13" t="str">
        <f t="shared" si="99"/>
        <v>C937_疾患開始日</v>
      </c>
      <c r="D471" s="13" t="s">
        <v>6118</v>
      </c>
      <c r="E471" s="8"/>
      <c r="F471" s="7" t="s">
        <v>4348</v>
      </c>
      <c r="G471" s="7" t="s">
        <v>25</v>
      </c>
      <c r="H471" s="58"/>
      <c r="I471" s="23"/>
      <c r="J471" s="24"/>
      <c r="M471" s="4"/>
      <c r="N471" s="76"/>
      <c r="O471" s="76"/>
      <c r="P471" s="76" t="str">
        <f t="shared" si="94"/>
        <v>,shikkan458_start_date</v>
      </c>
      <c r="Q471" s="76" t="str">
        <f t="shared" si="95"/>
        <v>DATE</v>
      </c>
      <c r="R471" s="76" t="str">
        <f t="shared" si="96"/>
        <v/>
      </c>
      <c r="S471" s="76" t="str">
        <f t="shared" si="97"/>
        <v/>
      </c>
      <c r="T471" s="76" t="str">
        <f t="shared" si="98"/>
        <v>-- C937_疾患開始日</v>
      </c>
      <c r="U471" s="4" t="str">
        <f t="shared" si="68"/>
        <v>, CASE WHEN shikkan_disp_name = 'C937' THEN min_shikkan_start_date ::DATE ELSE NULL END AS shikkan458_start_date</v>
      </c>
      <c r="V471" s="25" t="str">
        <f t="shared" si="69"/>
        <v>, max(shikkan458_start_date)</v>
      </c>
      <c r="AA471" s="4"/>
      <c r="AB471" s="4"/>
      <c r="AC471" s="4"/>
      <c r="AD471" s="4"/>
      <c r="AE471" s="4"/>
      <c r="AF471" s="4"/>
      <c r="AG471" s="4"/>
      <c r="AH471" s="4"/>
      <c r="AI471" s="4"/>
      <c r="AJ471" s="76" t="str">
        <f>IF(E471="○",IF(COUNTA(E$13:E471)=1,"",",")&amp;D471,"")</f>
        <v/>
      </c>
      <c r="AK471" s="4"/>
      <c r="AL471" s="4"/>
      <c r="AM471" s="4"/>
      <c r="AN471" s="4"/>
      <c r="AO471" s="4"/>
      <c r="AP471" s="4"/>
      <c r="AQ471" s="4"/>
      <c r="AR471" s="4"/>
      <c r="AS471" s="76" t="str">
        <f>"COMMENT ON COLUMN "&amp;エンティティ一覧!$O$2&amp;"."&amp;D$8&amp;"."&amp;D471&amp;" IS '"&amp;C471&amp;"';"</f>
        <v>COMMENT ON COLUMN milscm_2023_009.sny_202310_annony_shikkan2.shikkan458_start_date IS 'C937_疾患開始日';</v>
      </c>
    </row>
    <row r="472" spans="1:45" s="25" customFormat="1">
      <c r="A472" s="4" t="s">
        <v>5601</v>
      </c>
      <c r="B472" s="21">
        <f t="shared" si="100"/>
        <v>460</v>
      </c>
      <c r="C472" s="13" t="str">
        <f t="shared" si="99"/>
        <v>C939_疾患開始日</v>
      </c>
      <c r="D472" s="13" t="s">
        <v>6119</v>
      </c>
      <c r="E472" s="8"/>
      <c r="F472" s="7" t="s">
        <v>4348</v>
      </c>
      <c r="G472" s="7" t="s">
        <v>25</v>
      </c>
      <c r="H472" s="58"/>
      <c r="I472" s="23"/>
      <c r="J472" s="24"/>
      <c r="M472" s="4"/>
      <c r="N472" s="76"/>
      <c r="O472" s="76"/>
      <c r="P472" s="76" t="str">
        <f t="shared" si="94"/>
        <v>,shikkan459_start_date</v>
      </c>
      <c r="Q472" s="76" t="str">
        <f t="shared" si="95"/>
        <v>DATE</v>
      </c>
      <c r="R472" s="76" t="str">
        <f t="shared" si="96"/>
        <v/>
      </c>
      <c r="S472" s="76" t="str">
        <f t="shared" si="97"/>
        <v/>
      </c>
      <c r="T472" s="76" t="str">
        <f t="shared" si="98"/>
        <v>-- C939_疾患開始日</v>
      </c>
      <c r="U472" s="4" t="str">
        <f t="shared" si="68"/>
        <v>, CASE WHEN shikkan_disp_name = 'C939' THEN min_shikkan_start_date ::DATE ELSE NULL END AS shikkan459_start_date</v>
      </c>
      <c r="V472" s="25" t="str">
        <f t="shared" si="69"/>
        <v>, max(shikkan459_start_date)</v>
      </c>
      <c r="AA472" s="4"/>
      <c r="AB472" s="4"/>
      <c r="AC472" s="4"/>
      <c r="AD472" s="4"/>
      <c r="AE472" s="4"/>
      <c r="AF472" s="4"/>
      <c r="AG472" s="4"/>
      <c r="AH472" s="4"/>
      <c r="AI472" s="4"/>
      <c r="AJ472" s="76" t="str">
        <f>IF(E472="○",IF(COUNTA(E$13:E472)=1,"",",")&amp;D472,"")</f>
        <v/>
      </c>
      <c r="AK472" s="4"/>
      <c r="AL472" s="4"/>
      <c r="AM472" s="4"/>
      <c r="AN472" s="4"/>
      <c r="AO472" s="4"/>
      <c r="AP472" s="4"/>
      <c r="AQ472" s="4"/>
      <c r="AR472" s="4"/>
      <c r="AS472" s="76" t="str">
        <f>"COMMENT ON COLUMN "&amp;エンティティ一覧!$O$2&amp;"."&amp;D$8&amp;"."&amp;D472&amp;" IS '"&amp;C472&amp;"';"</f>
        <v>COMMENT ON COLUMN milscm_2023_009.sny_202310_annony_shikkan2.shikkan459_start_date IS 'C939_疾患開始日';</v>
      </c>
    </row>
    <row r="473" spans="1:45" s="25" customFormat="1">
      <c r="A473" s="4" t="s">
        <v>5602</v>
      </c>
      <c r="B473" s="21">
        <f t="shared" si="100"/>
        <v>461</v>
      </c>
      <c r="C473" s="13" t="str">
        <f t="shared" si="99"/>
        <v>C940_疾患開始日</v>
      </c>
      <c r="D473" s="13" t="s">
        <v>6120</v>
      </c>
      <c r="E473" s="8"/>
      <c r="F473" s="7" t="s">
        <v>4348</v>
      </c>
      <c r="G473" s="7" t="s">
        <v>25</v>
      </c>
      <c r="H473" s="58"/>
      <c r="I473" s="23"/>
      <c r="J473" s="24"/>
      <c r="M473" s="4"/>
      <c r="N473" s="76"/>
      <c r="O473" s="76"/>
      <c r="P473" s="76" t="str">
        <f t="shared" si="94"/>
        <v>,shikkan460_start_date</v>
      </c>
      <c r="Q473" s="76" t="str">
        <f t="shared" si="95"/>
        <v>DATE</v>
      </c>
      <c r="R473" s="76" t="str">
        <f t="shared" si="96"/>
        <v/>
      </c>
      <c r="S473" s="76" t="str">
        <f t="shared" si="97"/>
        <v/>
      </c>
      <c r="T473" s="76" t="str">
        <f t="shared" si="98"/>
        <v>-- C940_疾患開始日</v>
      </c>
      <c r="U473" s="4" t="str">
        <f t="shared" si="68"/>
        <v>, CASE WHEN shikkan_disp_name = 'C940' THEN min_shikkan_start_date ::DATE ELSE NULL END AS shikkan460_start_date</v>
      </c>
      <c r="V473" s="25" t="str">
        <f t="shared" si="69"/>
        <v>, max(shikkan460_start_date)</v>
      </c>
      <c r="AA473" s="4"/>
      <c r="AB473" s="4"/>
      <c r="AC473" s="4"/>
      <c r="AD473" s="4"/>
      <c r="AE473" s="4"/>
      <c r="AF473" s="4"/>
      <c r="AG473" s="4"/>
      <c r="AH473" s="4"/>
      <c r="AI473" s="4"/>
      <c r="AJ473" s="76" t="str">
        <f>IF(E473="○",IF(COUNTA(E$13:E473)=1,"",",")&amp;D473,"")</f>
        <v/>
      </c>
      <c r="AK473" s="4"/>
      <c r="AL473" s="4"/>
      <c r="AM473" s="4"/>
      <c r="AN473" s="4"/>
      <c r="AO473" s="4"/>
      <c r="AP473" s="4"/>
      <c r="AQ473" s="4"/>
      <c r="AR473" s="4"/>
      <c r="AS473" s="76" t="str">
        <f>"COMMENT ON COLUMN "&amp;エンティティ一覧!$O$2&amp;"."&amp;D$8&amp;"."&amp;D473&amp;" IS '"&amp;C473&amp;"';"</f>
        <v>COMMENT ON COLUMN milscm_2023_009.sny_202310_annony_shikkan2.shikkan460_start_date IS 'C940_疾患開始日';</v>
      </c>
    </row>
    <row r="474" spans="1:45" s="25" customFormat="1">
      <c r="A474" s="4" t="s">
        <v>5603</v>
      </c>
      <c r="B474" s="21">
        <f t="shared" si="100"/>
        <v>462</v>
      </c>
      <c r="C474" s="13" t="str">
        <f t="shared" si="99"/>
        <v>C942_疾患開始日</v>
      </c>
      <c r="D474" s="13" t="s">
        <v>6121</v>
      </c>
      <c r="E474" s="8"/>
      <c r="F474" s="7" t="s">
        <v>4348</v>
      </c>
      <c r="G474" s="7" t="s">
        <v>25</v>
      </c>
      <c r="H474" s="58"/>
      <c r="I474" s="23"/>
      <c r="J474" s="24"/>
      <c r="M474" s="4"/>
      <c r="N474" s="76"/>
      <c r="O474" s="76"/>
      <c r="P474" s="76" t="str">
        <f t="shared" si="94"/>
        <v>,shikkan461_start_date</v>
      </c>
      <c r="Q474" s="76" t="str">
        <f t="shared" si="95"/>
        <v>DATE</v>
      </c>
      <c r="R474" s="76" t="str">
        <f t="shared" si="96"/>
        <v/>
      </c>
      <c r="S474" s="76" t="str">
        <f t="shared" si="97"/>
        <v/>
      </c>
      <c r="T474" s="76" t="str">
        <f t="shared" si="98"/>
        <v>-- C942_疾患開始日</v>
      </c>
      <c r="U474" s="4" t="str">
        <f t="shared" si="68"/>
        <v>, CASE WHEN shikkan_disp_name = 'C942' THEN min_shikkan_start_date ::DATE ELSE NULL END AS shikkan461_start_date</v>
      </c>
      <c r="V474" s="25" t="str">
        <f t="shared" si="69"/>
        <v>, max(shikkan461_start_date)</v>
      </c>
      <c r="AA474" s="4"/>
      <c r="AB474" s="4"/>
      <c r="AC474" s="4"/>
      <c r="AD474" s="4"/>
      <c r="AE474" s="4"/>
      <c r="AF474" s="4"/>
      <c r="AG474" s="4"/>
      <c r="AH474" s="4"/>
      <c r="AI474" s="4"/>
      <c r="AJ474" s="76" t="str">
        <f>IF(E474="○",IF(COUNTA(E$13:E474)=1,"",",")&amp;D474,"")</f>
        <v/>
      </c>
      <c r="AK474" s="4"/>
      <c r="AL474" s="4"/>
      <c r="AM474" s="4"/>
      <c r="AN474" s="4"/>
      <c r="AO474" s="4"/>
      <c r="AP474" s="4"/>
      <c r="AQ474" s="4"/>
      <c r="AR474" s="4"/>
      <c r="AS474" s="76" t="str">
        <f>"COMMENT ON COLUMN "&amp;エンティティ一覧!$O$2&amp;"."&amp;D$8&amp;"."&amp;D474&amp;" IS '"&amp;C474&amp;"';"</f>
        <v>COMMENT ON COLUMN milscm_2023_009.sny_202310_annony_shikkan2.shikkan461_start_date IS 'C942_疾患開始日';</v>
      </c>
    </row>
    <row r="475" spans="1:45" s="25" customFormat="1">
      <c r="A475" s="4" t="s">
        <v>5604</v>
      </c>
      <c r="B475" s="21">
        <f t="shared" si="100"/>
        <v>463</v>
      </c>
      <c r="C475" s="13" t="str">
        <f t="shared" si="99"/>
        <v>C943_疾患開始日</v>
      </c>
      <c r="D475" s="13" t="s">
        <v>6122</v>
      </c>
      <c r="E475" s="8"/>
      <c r="F475" s="7" t="s">
        <v>4348</v>
      </c>
      <c r="G475" s="7" t="s">
        <v>25</v>
      </c>
      <c r="H475" s="58"/>
      <c r="I475" s="23"/>
      <c r="J475" s="24"/>
      <c r="M475" s="4"/>
      <c r="N475" s="76"/>
      <c r="O475" s="76"/>
      <c r="P475" s="76" t="str">
        <f t="shared" si="94"/>
        <v>,shikkan462_start_date</v>
      </c>
      <c r="Q475" s="76" t="str">
        <f t="shared" si="95"/>
        <v>DATE</v>
      </c>
      <c r="R475" s="76" t="str">
        <f t="shared" si="96"/>
        <v/>
      </c>
      <c r="S475" s="76" t="str">
        <f t="shared" si="97"/>
        <v/>
      </c>
      <c r="T475" s="76" t="str">
        <f t="shared" si="98"/>
        <v>-- C943_疾患開始日</v>
      </c>
      <c r="U475" s="4" t="str">
        <f t="shared" si="68"/>
        <v>, CASE WHEN shikkan_disp_name = 'C943' THEN min_shikkan_start_date ::DATE ELSE NULL END AS shikkan462_start_date</v>
      </c>
      <c r="V475" s="25" t="str">
        <f t="shared" si="69"/>
        <v>, max(shikkan462_start_date)</v>
      </c>
      <c r="AA475" s="4"/>
      <c r="AB475" s="4"/>
      <c r="AC475" s="4"/>
      <c r="AD475" s="4"/>
      <c r="AE475" s="4"/>
      <c r="AF475" s="4"/>
      <c r="AG475" s="4"/>
      <c r="AH475" s="4"/>
      <c r="AI475" s="4"/>
      <c r="AJ475" s="76" t="str">
        <f>IF(E475="○",IF(COUNTA(E$13:E475)=1,"",",")&amp;D475,"")</f>
        <v/>
      </c>
      <c r="AK475" s="4"/>
      <c r="AL475" s="4"/>
      <c r="AM475" s="4"/>
      <c r="AN475" s="4"/>
      <c r="AO475" s="4"/>
      <c r="AP475" s="4"/>
      <c r="AQ475" s="4"/>
      <c r="AR475" s="4"/>
      <c r="AS475" s="76" t="str">
        <f>"COMMENT ON COLUMN "&amp;エンティティ一覧!$O$2&amp;"."&amp;D$8&amp;"."&amp;D475&amp;" IS '"&amp;C475&amp;"';"</f>
        <v>COMMENT ON COLUMN milscm_2023_009.sny_202310_annony_shikkan2.shikkan462_start_date IS 'C943_疾患開始日';</v>
      </c>
    </row>
    <row r="476" spans="1:45" s="25" customFormat="1">
      <c r="A476" s="4" t="s">
        <v>5605</v>
      </c>
      <c r="B476" s="21">
        <f t="shared" si="100"/>
        <v>464</v>
      </c>
      <c r="C476" s="13" t="str">
        <f t="shared" si="99"/>
        <v>C944_疾患開始日</v>
      </c>
      <c r="D476" s="13" t="s">
        <v>6123</v>
      </c>
      <c r="E476" s="8"/>
      <c r="F476" s="7" t="s">
        <v>4348</v>
      </c>
      <c r="G476" s="7" t="s">
        <v>25</v>
      </c>
      <c r="H476" s="58"/>
      <c r="I476" s="23"/>
      <c r="J476" s="24"/>
      <c r="M476" s="4"/>
      <c r="N476" s="76"/>
      <c r="O476" s="76"/>
      <c r="P476" s="76" t="str">
        <f t="shared" si="94"/>
        <v>,shikkan463_start_date</v>
      </c>
      <c r="Q476" s="76" t="str">
        <f t="shared" si="95"/>
        <v>DATE</v>
      </c>
      <c r="R476" s="76" t="str">
        <f t="shared" si="96"/>
        <v/>
      </c>
      <c r="S476" s="76" t="str">
        <f t="shared" si="97"/>
        <v/>
      </c>
      <c r="T476" s="76" t="str">
        <f t="shared" si="98"/>
        <v>-- C944_疾患開始日</v>
      </c>
      <c r="U476" s="4" t="str">
        <f t="shared" si="68"/>
        <v>, CASE WHEN shikkan_disp_name = 'C944' THEN min_shikkan_start_date ::DATE ELSE NULL END AS shikkan463_start_date</v>
      </c>
      <c r="V476" s="25" t="str">
        <f t="shared" si="69"/>
        <v>, max(shikkan463_start_date)</v>
      </c>
      <c r="AA476" s="4"/>
      <c r="AB476" s="4"/>
      <c r="AC476" s="4"/>
      <c r="AD476" s="4"/>
      <c r="AE476" s="4"/>
      <c r="AF476" s="4"/>
      <c r="AG476" s="4"/>
      <c r="AH476" s="4"/>
      <c r="AI476" s="4"/>
      <c r="AJ476" s="76" t="str">
        <f>IF(E476="○",IF(COUNTA(E$13:E476)=1,"",",")&amp;D476,"")</f>
        <v/>
      </c>
      <c r="AK476" s="4"/>
      <c r="AL476" s="4"/>
      <c r="AM476" s="4"/>
      <c r="AN476" s="4"/>
      <c r="AO476" s="4"/>
      <c r="AP476" s="4"/>
      <c r="AQ476" s="4"/>
      <c r="AR476" s="4"/>
      <c r="AS476" s="76" t="str">
        <f>"COMMENT ON COLUMN "&amp;エンティティ一覧!$O$2&amp;"."&amp;D$8&amp;"."&amp;D476&amp;" IS '"&amp;C476&amp;"';"</f>
        <v>COMMENT ON COLUMN milscm_2023_009.sny_202310_annony_shikkan2.shikkan463_start_date IS 'C944_疾患開始日';</v>
      </c>
    </row>
    <row r="477" spans="1:45" s="25" customFormat="1">
      <c r="A477" s="4" t="s">
        <v>5606</v>
      </c>
      <c r="B477" s="21">
        <f t="shared" si="100"/>
        <v>465</v>
      </c>
      <c r="C477" s="13" t="str">
        <f t="shared" si="99"/>
        <v>C946_疾患開始日</v>
      </c>
      <c r="D477" s="13" t="s">
        <v>6124</v>
      </c>
      <c r="E477" s="8"/>
      <c r="F477" s="7" t="s">
        <v>4348</v>
      </c>
      <c r="G477" s="7" t="s">
        <v>99</v>
      </c>
      <c r="H477" s="58"/>
      <c r="I477" s="23"/>
      <c r="J477" s="24"/>
      <c r="M477" s="4"/>
      <c r="N477" s="76"/>
      <c r="O477" s="76"/>
      <c r="P477" s="76" t="str">
        <f t="shared" si="94"/>
        <v>,shikkan464_start_date</v>
      </c>
      <c r="Q477" s="76" t="str">
        <f t="shared" si="95"/>
        <v>DATE</v>
      </c>
      <c r="R477" s="76" t="str">
        <f t="shared" si="96"/>
        <v/>
      </c>
      <c r="S477" s="76" t="str">
        <f t="shared" si="97"/>
        <v/>
      </c>
      <c r="T477" s="76" t="str">
        <f t="shared" si="98"/>
        <v>-- C946_疾患開始日</v>
      </c>
      <c r="U477" s="4" t="str">
        <f t="shared" si="68"/>
        <v>, CASE WHEN shikkan_disp_name = 'C946' THEN min_shikkan_start_date ::DATE ELSE NULL END AS shikkan464_start_date</v>
      </c>
      <c r="V477" s="25" t="str">
        <f t="shared" si="69"/>
        <v>, max(shikkan464_start_date)</v>
      </c>
      <c r="AA477" s="4"/>
      <c r="AB477" s="4"/>
      <c r="AC477" s="4"/>
      <c r="AD477" s="4"/>
      <c r="AE477" s="4"/>
      <c r="AF477" s="4"/>
      <c r="AG477" s="4"/>
      <c r="AH477" s="4"/>
      <c r="AI477" s="4"/>
      <c r="AJ477" s="76" t="str">
        <f>IF(E477="○",IF(COUNTA(E$13:E477)=1,"",",")&amp;D477,"")</f>
        <v/>
      </c>
      <c r="AK477" s="4"/>
      <c r="AL477" s="4"/>
      <c r="AM477" s="4"/>
      <c r="AN477" s="4"/>
      <c r="AO477" s="4"/>
      <c r="AP477" s="4"/>
      <c r="AQ477" s="4"/>
      <c r="AR477" s="4"/>
      <c r="AS477" s="76" t="str">
        <f>"COMMENT ON COLUMN "&amp;エンティティ一覧!$O$2&amp;"."&amp;D$8&amp;"."&amp;D477&amp;" IS '"&amp;C477&amp;"';"</f>
        <v>COMMENT ON COLUMN milscm_2023_009.sny_202310_annony_shikkan2.shikkan464_start_date IS 'C946_疾患開始日';</v>
      </c>
    </row>
    <row r="478" spans="1:45" s="25" customFormat="1">
      <c r="A478" s="4" t="s">
        <v>5607</v>
      </c>
      <c r="B478" s="21">
        <f t="shared" si="100"/>
        <v>466</v>
      </c>
      <c r="C478" s="13" t="str">
        <f t="shared" si="99"/>
        <v>C947_疾患開始日</v>
      </c>
      <c r="D478" s="13" t="s">
        <v>6125</v>
      </c>
      <c r="E478" s="8"/>
      <c r="F478" s="7" t="s">
        <v>4348</v>
      </c>
      <c r="G478" s="7" t="s">
        <v>25</v>
      </c>
      <c r="H478" s="58"/>
      <c r="I478" s="23"/>
      <c r="J478" s="24"/>
      <c r="M478" s="4"/>
      <c r="N478" s="76"/>
      <c r="O478" s="76"/>
      <c r="P478" s="76" t="str">
        <f t="shared" si="94"/>
        <v>,shikkan465_start_date</v>
      </c>
      <c r="Q478" s="76" t="str">
        <f t="shared" si="95"/>
        <v>DATE</v>
      </c>
      <c r="R478" s="76" t="str">
        <f t="shared" si="96"/>
        <v/>
      </c>
      <c r="S478" s="76" t="str">
        <f t="shared" si="97"/>
        <v/>
      </c>
      <c r="T478" s="76" t="str">
        <f t="shared" si="98"/>
        <v>-- C947_疾患開始日</v>
      </c>
      <c r="U478" s="4" t="str">
        <f t="shared" si="68"/>
        <v>, CASE WHEN shikkan_disp_name = 'C947' THEN min_shikkan_start_date ::DATE ELSE NULL END AS shikkan465_start_date</v>
      </c>
      <c r="V478" s="25" t="str">
        <f t="shared" si="69"/>
        <v>, max(shikkan465_start_date)</v>
      </c>
      <c r="AA478" s="4"/>
      <c r="AB478" s="4"/>
      <c r="AC478" s="4"/>
      <c r="AD478" s="4"/>
      <c r="AE478" s="4"/>
      <c r="AF478" s="4"/>
      <c r="AG478" s="4"/>
      <c r="AH478" s="4"/>
      <c r="AI478" s="4"/>
      <c r="AJ478" s="76" t="str">
        <f>IF(E478="○",IF(COUNTA(E$13:E478)=1,"",",")&amp;D478,"")</f>
        <v/>
      </c>
      <c r="AK478" s="4"/>
      <c r="AL478" s="4"/>
      <c r="AM478" s="4"/>
      <c r="AN478" s="4"/>
      <c r="AO478" s="4"/>
      <c r="AP478" s="4"/>
      <c r="AQ478" s="4"/>
      <c r="AR478" s="4"/>
      <c r="AS478" s="76" t="str">
        <f>"COMMENT ON COLUMN "&amp;エンティティ一覧!$O$2&amp;"."&amp;D$8&amp;"."&amp;D478&amp;" IS '"&amp;C478&amp;"';"</f>
        <v>COMMENT ON COLUMN milscm_2023_009.sny_202310_annony_shikkan2.shikkan465_start_date IS 'C947_疾患開始日';</v>
      </c>
    </row>
    <row r="479" spans="1:45" s="25" customFormat="1">
      <c r="A479" s="4" t="s">
        <v>5608</v>
      </c>
      <c r="B479" s="21">
        <f t="shared" si="100"/>
        <v>467</v>
      </c>
      <c r="C479" s="13" t="str">
        <f t="shared" si="99"/>
        <v>C950_疾患開始日</v>
      </c>
      <c r="D479" s="13" t="s">
        <v>6126</v>
      </c>
      <c r="E479" s="8"/>
      <c r="F479" s="7" t="s">
        <v>4348</v>
      </c>
      <c r="G479" s="7" t="s">
        <v>25</v>
      </c>
      <c r="H479" s="58"/>
      <c r="I479" s="23"/>
      <c r="J479" s="24"/>
      <c r="M479" s="4"/>
      <c r="N479" s="76"/>
      <c r="O479" s="76"/>
      <c r="P479" s="76" t="str">
        <f t="shared" si="94"/>
        <v>,shikkan466_start_date</v>
      </c>
      <c r="Q479" s="76" t="str">
        <f t="shared" si="95"/>
        <v>DATE</v>
      </c>
      <c r="R479" s="76" t="str">
        <f t="shared" si="96"/>
        <v/>
      </c>
      <c r="S479" s="76" t="str">
        <f t="shared" si="97"/>
        <v/>
      </c>
      <c r="T479" s="76" t="str">
        <f t="shared" si="98"/>
        <v>-- C950_疾患開始日</v>
      </c>
      <c r="U479" s="4" t="str">
        <f t="shared" si="68"/>
        <v>, CASE WHEN shikkan_disp_name = 'C950' THEN min_shikkan_start_date ::DATE ELSE NULL END AS shikkan466_start_date</v>
      </c>
      <c r="V479" s="25" t="str">
        <f t="shared" si="69"/>
        <v>, max(shikkan466_start_date)</v>
      </c>
      <c r="AA479" s="4"/>
      <c r="AB479" s="4"/>
      <c r="AC479" s="4"/>
      <c r="AD479" s="4"/>
      <c r="AE479" s="4"/>
      <c r="AF479" s="4"/>
      <c r="AG479" s="4"/>
      <c r="AH479" s="4"/>
      <c r="AI479" s="4"/>
      <c r="AJ479" s="76" t="str">
        <f>IF(E479="○",IF(COUNTA(E$13:E479)=1,"",",")&amp;D479,"")</f>
        <v/>
      </c>
      <c r="AK479" s="4"/>
      <c r="AL479" s="4"/>
      <c r="AM479" s="4"/>
      <c r="AN479" s="4"/>
      <c r="AO479" s="4"/>
      <c r="AP479" s="4"/>
      <c r="AQ479" s="4"/>
      <c r="AR479" s="4"/>
      <c r="AS479" s="76" t="str">
        <f>"COMMENT ON COLUMN "&amp;エンティティ一覧!$O$2&amp;"."&amp;D$8&amp;"."&amp;D479&amp;" IS '"&amp;C479&amp;"';"</f>
        <v>COMMENT ON COLUMN milscm_2023_009.sny_202310_annony_shikkan2.shikkan466_start_date IS 'C950_疾患開始日';</v>
      </c>
    </row>
    <row r="480" spans="1:45" s="25" customFormat="1">
      <c r="A480" s="4" t="s">
        <v>5609</v>
      </c>
      <c r="B480" s="21">
        <f t="shared" si="100"/>
        <v>468</v>
      </c>
      <c r="C480" s="13" t="str">
        <f t="shared" si="99"/>
        <v>C951_疾患開始日</v>
      </c>
      <c r="D480" s="13" t="s">
        <v>6127</v>
      </c>
      <c r="E480" s="8"/>
      <c r="F480" s="7" t="s">
        <v>4348</v>
      </c>
      <c r="G480" s="7" t="s">
        <v>25</v>
      </c>
      <c r="H480" s="58"/>
      <c r="I480" s="23"/>
      <c r="J480" s="24"/>
      <c r="M480" s="4"/>
      <c r="N480" s="76"/>
      <c r="O480" s="76"/>
      <c r="P480" s="76" t="str">
        <f t="shared" si="94"/>
        <v>,shikkan467_start_date</v>
      </c>
      <c r="Q480" s="76" t="str">
        <f t="shared" si="95"/>
        <v>DATE</v>
      </c>
      <c r="R480" s="76" t="str">
        <f t="shared" si="96"/>
        <v/>
      </c>
      <c r="S480" s="76" t="str">
        <f t="shared" si="97"/>
        <v/>
      </c>
      <c r="T480" s="76" t="str">
        <f t="shared" si="98"/>
        <v>-- C951_疾患開始日</v>
      </c>
      <c r="U480" s="4" t="str">
        <f t="shared" si="68"/>
        <v>, CASE WHEN shikkan_disp_name = 'C951' THEN min_shikkan_start_date ::DATE ELSE NULL END AS shikkan467_start_date</v>
      </c>
      <c r="V480" s="25" t="str">
        <f t="shared" si="69"/>
        <v>, max(shikkan467_start_date)</v>
      </c>
      <c r="AA480" s="4"/>
      <c r="AB480" s="4"/>
      <c r="AC480" s="4"/>
      <c r="AD480" s="4"/>
      <c r="AE480" s="4"/>
      <c r="AF480" s="4"/>
      <c r="AG480" s="4"/>
      <c r="AH480" s="4"/>
      <c r="AI480" s="4"/>
      <c r="AJ480" s="76" t="str">
        <f>IF(E480="○",IF(COUNTA(E$13:E480)=1,"",",")&amp;D480,"")</f>
        <v/>
      </c>
      <c r="AK480" s="4"/>
      <c r="AL480" s="4"/>
      <c r="AM480" s="4"/>
      <c r="AN480" s="4"/>
      <c r="AO480" s="4"/>
      <c r="AP480" s="4"/>
      <c r="AQ480" s="4"/>
      <c r="AR480" s="4"/>
      <c r="AS480" s="76" t="str">
        <f>"COMMENT ON COLUMN "&amp;エンティティ一覧!$O$2&amp;"."&amp;D$8&amp;"."&amp;D480&amp;" IS '"&amp;C480&amp;"';"</f>
        <v>COMMENT ON COLUMN milscm_2023_009.sny_202310_annony_shikkan2.shikkan467_start_date IS 'C951_疾患開始日';</v>
      </c>
    </row>
    <row r="481" spans="1:45" s="25" customFormat="1">
      <c r="A481" s="4" t="s">
        <v>5610</v>
      </c>
      <c r="B481" s="21">
        <f t="shared" si="100"/>
        <v>469</v>
      </c>
      <c r="C481" s="13" t="str">
        <f t="shared" si="99"/>
        <v>C957_疾患開始日</v>
      </c>
      <c r="D481" s="13" t="s">
        <v>6128</v>
      </c>
      <c r="E481" s="8"/>
      <c r="F481" s="7" t="s">
        <v>4348</v>
      </c>
      <c r="G481" s="7" t="s">
        <v>25</v>
      </c>
      <c r="H481" s="58"/>
      <c r="I481" s="23"/>
      <c r="J481" s="24"/>
      <c r="M481" s="4"/>
      <c r="N481" s="76"/>
      <c r="O481" s="76"/>
      <c r="P481" s="76" t="str">
        <f t="shared" si="94"/>
        <v>,shikkan468_start_date</v>
      </c>
      <c r="Q481" s="76" t="str">
        <f t="shared" si="95"/>
        <v>DATE</v>
      </c>
      <c r="R481" s="76" t="str">
        <f t="shared" si="96"/>
        <v/>
      </c>
      <c r="S481" s="76" t="str">
        <f t="shared" si="97"/>
        <v/>
      </c>
      <c r="T481" s="76" t="str">
        <f t="shared" si="98"/>
        <v>-- C957_疾患開始日</v>
      </c>
      <c r="U481" s="4" t="str">
        <f t="shared" si="68"/>
        <v>, CASE WHEN shikkan_disp_name = 'C957' THEN min_shikkan_start_date ::DATE ELSE NULL END AS shikkan468_start_date</v>
      </c>
      <c r="V481" s="25" t="str">
        <f t="shared" si="69"/>
        <v>, max(shikkan468_start_date)</v>
      </c>
      <c r="AA481" s="4"/>
      <c r="AB481" s="4"/>
      <c r="AC481" s="4"/>
      <c r="AD481" s="4"/>
      <c r="AE481" s="4"/>
      <c r="AF481" s="4"/>
      <c r="AG481" s="4"/>
      <c r="AH481" s="4"/>
      <c r="AI481" s="4"/>
      <c r="AJ481" s="76" t="str">
        <f>IF(E481="○",IF(COUNTA(E$13:E481)=1,"",",")&amp;D481,"")</f>
        <v/>
      </c>
      <c r="AK481" s="4"/>
      <c r="AL481" s="4"/>
      <c r="AM481" s="4"/>
      <c r="AN481" s="4"/>
      <c r="AO481" s="4"/>
      <c r="AP481" s="4"/>
      <c r="AQ481" s="4"/>
      <c r="AR481" s="4"/>
      <c r="AS481" s="76" t="str">
        <f>"COMMENT ON COLUMN "&amp;エンティティ一覧!$O$2&amp;"."&amp;D$8&amp;"."&amp;D481&amp;" IS '"&amp;C481&amp;"';"</f>
        <v>COMMENT ON COLUMN milscm_2023_009.sny_202310_annony_shikkan2.shikkan468_start_date IS 'C957_疾患開始日';</v>
      </c>
    </row>
    <row r="482" spans="1:45" s="25" customFormat="1">
      <c r="A482" s="4" t="s">
        <v>5611</v>
      </c>
      <c r="B482" s="21">
        <f t="shared" si="100"/>
        <v>470</v>
      </c>
      <c r="C482" s="13" t="str">
        <f t="shared" si="99"/>
        <v>C959_疾患開始日</v>
      </c>
      <c r="D482" s="13" t="s">
        <v>6129</v>
      </c>
      <c r="E482" s="8"/>
      <c r="F482" s="7" t="s">
        <v>4348</v>
      </c>
      <c r="G482" s="7" t="s">
        <v>25</v>
      </c>
      <c r="H482" s="58"/>
      <c r="I482" s="23"/>
      <c r="J482" s="24"/>
      <c r="M482" s="4"/>
      <c r="N482" s="76"/>
      <c r="O482" s="76"/>
      <c r="P482" s="76" t="str">
        <f t="shared" si="94"/>
        <v>,shikkan469_start_date</v>
      </c>
      <c r="Q482" s="76" t="str">
        <f t="shared" si="95"/>
        <v>DATE</v>
      </c>
      <c r="R482" s="76" t="str">
        <f t="shared" si="96"/>
        <v/>
      </c>
      <c r="S482" s="76" t="str">
        <f t="shared" si="97"/>
        <v/>
      </c>
      <c r="T482" s="76" t="str">
        <f t="shared" si="98"/>
        <v>-- C959_疾患開始日</v>
      </c>
      <c r="U482" s="4" t="str">
        <f t="shared" si="68"/>
        <v>, CASE WHEN shikkan_disp_name = 'C959' THEN min_shikkan_start_date ::DATE ELSE NULL END AS shikkan469_start_date</v>
      </c>
      <c r="V482" s="25" t="str">
        <f t="shared" si="69"/>
        <v>, max(shikkan469_start_date)</v>
      </c>
      <c r="AA482" s="4"/>
      <c r="AB482" s="4"/>
      <c r="AC482" s="4"/>
      <c r="AD482" s="4"/>
      <c r="AE482" s="4"/>
      <c r="AF482" s="4"/>
      <c r="AG482" s="4"/>
      <c r="AH482" s="4"/>
      <c r="AI482" s="4"/>
      <c r="AJ482" s="76" t="str">
        <f>IF(E482="○",IF(COUNTA(E$13:E482)=1,"",",")&amp;D482,"")</f>
        <v/>
      </c>
      <c r="AK482" s="4"/>
      <c r="AL482" s="4"/>
      <c r="AM482" s="4"/>
      <c r="AN482" s="4"/>
      <c r="AO482" s="4"/>
      <c r="AP482" s="4"/>
      <c r="AQ482" s="4"/>
      <c r="AR482" s="4"/>
      <c r="AS482" s="76" t="str">
        <f>"COMMENT ON COLUMN "&amp;エンティティ一覧!$O$2&amp;"."&amp;D$8&amp;"."&amp;D482&amp;" IS '"&amp;C482&amp;"';"</f>
        <v>COMMENT ON COLUMN milscm_2023_009.sny_202310_annony_shikkan2.shikkan469_start_date IS 'C959_疾患開始日';</v>
      </c>
    </row>
    <row r="483" spans="1:45" s="25" customFormat="1">
      <c r="A483" s="4" t="s">
        <v>5612</v>
      </c>
      <c r="B483" s="21">
        <f t="shared" si="100"/>
        <v>471</v>
      </c>
      <c r="C483" s="13" t="str">
        <f t="shared" si="99"/>
        <v>C960_疾患開始日</v>
      </c>
      <c r="D483" s="13" t="s">
        <v>6130</v>
      </c>
      <c r="E483" s="8"/>
      <c r="F483" s="7" t="s">
        <v>4348</v>
      </c>
      <c r="G483" s="7" t="s">
        <v>25</v>
      </c>
      <c r="H483" s="58"/>
      <c r="I483" s="23"/>
      <c r="J483" s="24"/>
      <c r="M483" s="4"/>
      <c r="N483" s="76"/>
      <c r="O483" s="76"/>
      <c r="P483" s="76" t="str">
        <f t="shared" si="94"/>
        <v>,shikkan470_start_date</v>
      </c>
      <c r="Q483" s="76" t="str">
        <f t="shared" si="95"/>
        <v>DATE</v>
      </c>
      <c r="R483" s="76" t="str">
        <f t="shared" si="96"/>
        <v/>
      </c>
      <c r="S483" s="76" t="str">
        <f t="shared" si="97"/>
        <v/>
      </c>
      <c r="T483" s="76" t="str">
        <f t="shared" si="98"/>
        <v>-- C960_疾患開始日</v>
      </c>
      <c r="U483" s="4" t="str">
        <f t="shared" si="68"/>
        <v>, CASE WHEN shikkan_disp_name = 'C960' THEN min_shikkan_start_date ::DATE ELSE NULL END AS shikkan470_start_date</v>
      </c>
      <c r="V483" s="25" t="str">
        <f t="shared" si="69"/>
        <v>, max(shikkan470_start_date)</v>
      </c>
      <c r="AA483" s="4"/>
      <c r="AB483" s="4"/>
      <c r="AC483" s="4"/>
      <c r="AD483" s="4"/>
      <c r="AE483" s="4"/>
      <c r="AF483" s="4"/>
      <c r="AG483" s="4"/>
      <c r="AH483" s="4"/>
      <c r="AI483" s="4"/>
      <c r="AJ483" s="76" t="str">
        <f>IF(E483="○",IF(COUNTA(E$13:E483)=1,"",",")&amp;D483,"")</f>
        <v/>
      </c>
      <c r="AK483" s="4"/>
      <c r="AL483" s="4"/>
      <c r="AM483" s="4"/>
      <c r="AN483" s="4"/>
      <c r="AO483" s="4"/>
      <c r="AP483" s="4"/>
      <c r="AQ483" s="4"/>
      <c r="AR483" s="4"/>
      <c r="AS483" s="76" t="str">
        <f>"COMMENT ON COLUMN "&amp;エンティティ一覧!$O$2&amp;"."&amp;D$8&amp;"."&amp;D483&amp;" IS '"&amp;C483&amp;"';"</f>
        <v>COMMENT ON COLUMN milscm_2023_009.sny_202310_annony_shikkan2.shikkan470_start_date IS 'C960_疾患開始日';</v>
      </c>
    </row>
    <row r="484" spans="1:45" s="25" customFormat="1">
      <c r="A484" s="4" t="s">
        <v>5613</v>
      </c>
      <c r="B484" s="21">
        <f t="shared" si="100"/>
        <v>472</v>
      </c>
      <c r="C484" s="13" t="str">
        <f t="shared" si="99"/>
        <v>C962_疾患開始日</v>
      </c>
      <c r="D484" s="13" t="s">
        <v>6131</v>
      </c>
      <c r="E484" s="8"/>
      <c r="F484" s="7" t="s">
        <v>4348</v>
      </c>
      <c r="G484" s="7" t="s">
        <v>25</v>
      </c>
      <c r="H484" s="58"/>
      <c r="I484" s="23"/>
      <c r="J484" s="24"/>
      <c r="M484" s="4"/>
      <c r="N484" s="76"/>
      <c r="O484" s="76"/>
      <c r="P484" s="76" t="str">
        <f t="shared" si="94"/>
        <v>,shikkan471_start_date</v>
      </c>
      <c r="Q484" s="76" t="str">
        <f t="shared" si="95"/>
        <v>DATE</v>
      </c>
      <c r="R484" s="76" t="str">
        <f t="shared" si="96"/>
        <v/>
      </c>
      <c r="S484" s="76" t="str">
        <f t="shared" si="97"/>
        <v/>
      </c>
      <c r="T484" s="76" t="str">
        <f t="shared" si="98"/>
        <v>-- C962_疾患開始日</v>
      </c>
      <c r="U484" s="4" t="str">
        <f t="shared" si="68"/>
        <v>, CASE WHEN shikkan_disp_name = 'C962' THEN min_shikkan_start_date ::DATE ELSE NULL END AS shikkan471_start_date</v>
      </c>
      <c r="V484" s="25" t="str">
        <f t="shared" si="69"/>
        <v>, max(shikkan471_start_date)</v>
      </c>
      <c r="AA484" s="4"/>
      <c r="AB484" s="4"/>
      <c r="AC484" s="4"/>
      <c r="AD484" s="4"/>
      <c r="AE484" s="4"/>
      <c r="AF484" s="4"/>
      <c r="AG484" s="4"/>
      <c r="AH484" s="4"/>
      <c r="AI484" s="4"/>
      <c r="AJ484" s="76" t="str">
        <f>IF(E484="○",IF(COUNTA(E$13:E484)=1,"",",")&amp;D484,"")</f>
        <v/>
      </c>
      <c r="AK484" s="4"/>
      <c r="AL484" s="4"/>
      <c r="AM484" s="4"/>
      <c r="AN484" s="4"/>
      <c r="AO484" s="4"/>
      <c r="AP484" s="4"/>
      <c r="AQ484" s="4"/>
      <c r="AR484" s="4"/>
      <c r="AS484" s="76" t="str">
        <f>"COMMENT ON COLUMN "&amp;エンティティ一覧!$O$2&amp;"."&amp;D$8&amp;"."&amp;D484&amp;" IS '"&amp;C484&amp;"';"</f>
        <v>COMMENT ON COLUMN milscm_2023_009.sny_202310_annony_shikkan2.shikkan471_start_date IS 'C962_疾患開始日';</v>
      </c>
    </row>
    <row r="485" spans="1:45" s="25" customFormat="1">
      <c r="A485" s="4" t="s">
        <v>5614</v>
      </c>
      <c r="B485" s="21">
        <f t="shared" si="100"/>
        <v>473</v>
      </c>
      <c r="C485" s="13" t="str">
        <f t="shared" si="99"/>
        <v>C964_疾患開始日</v>
      </c>
      <c r="D485" s="13" t="s">
        <v>6132</v>
      </c>
      <c r="E485" s="8"/>
      <c r="F485" s="7" t="s">
        <v>4348</v>
      </c>
      <c r="G485" s="7" t="s">
        <v>25</v>
      </c>
      <c r="H485" s="58"/>
      <c r="I485" s="23"/>
      <c r="J485" s="24"/>
      <c r="M485" s="4"/>
      <c r="N485" s="76"/>
      <c r="O485" s="76"/>
      <c r="P485" s="76" t="str">
        <f t="shared" si="94"/>
        <v>,shikkan472_start_date</v>
      </c>
      <c r="Q485" s="76" t="str">
        <f t="shared" si="95"/>
        <v>DATE</v>
      </c>
      <c r="R485" s="76" t="str">
        <f t="shared" si="96"/>
        <v/>
      </c>
      <c r="S485" s="76" t="str">
        <f t="shared" si="97"/>
        <v/>
      </c>
      <c r="T485" s="76" t="str">
        <f t="shared" si="98"/>
        <v>-- C964_疾患開始日</v>
      </c>
      <c r="U485" s="4" t="str">
        <f t="shared" si="68"/>
        <v>, CASE WHEN shikkan_disp_name = 'C964' THEN min_shikkan_start_date ::DATE ELSE NULL END AS shikkan472_start_date</v>
      </c>
      <c r="V485" s="25" t="str">
        <f t="shared" si="69"/>
        <v>, max(shikkan472_start_date)</v>
      </c>
      <c r="AA485" s="4"/>
      <c r="AB485" s="4"/>
      <c r="AC485" s="4"/>
      <c r="AD485" s="4"/>
      <c r="AE485" s="4"/>
      <c r="AF485" s="4"/>
      <c r="AG485" s="4"/>
      <c r="AH485" s="4"/>
      <c r="AI485" s="4"/>
      <c r="AJ485" s="76" t="str">
        <f>IF(E485="○",IF(COUNTA(E$13:E485)=1,"",",")&amp;D485,"")</f>
        <v/>
      </c>
      <c r="AK485" s="4"/>
      <c r="AL485" s="4"/>
      <c r="AM485" s="4"/>
      <c r="AN485" s="4"/>
      <c r="AO485" s="4"/>
      <c r="AP485" s="4"/>
      <c r="AQ485" s="4"/>
      <c r="AR485" s="4"/>
      <c r="AS485" s="76" t="str">
        <f>"COMMENT ON COLUMN "&amp;エンティティ一覧!$O$2&amp;"."&amp;D$8&amp;"."&amp;D485&amp;" IS '"&amp;C485&amp;"';"</f>
        <v>COMMENT ON COLUMN milscm_2023_009.sny_202310_annony_shikkan2.shikkan472_start_date IS 'C964_疾患開始日';</v>
      </c>
    </row>
    <row r="486" spans="1:45" s="25" customFormat="1">
      <c r="A486" s="4" t="s">
        <v>5615</v>
      </c>
      <c r="B486" s="21">
        <f t="shared" si="100"/>
        <v>474</v>
      </c>
      <c r="C486" s="13" t="str">
        <f t="shared" si="99"/>
        <v>C965_疾患開始日</v>
      </c>
      <c r="D486" s="13" t="s">
        <v>6133</v>
      </c>
      <c r="E486" s="8"/>
      <c r="F486" s="7" t="s">
        <v>4348</v>
      </c>
      <c r="G486" s="7" t="s">
        <v>25</v>
      </c>
      <c r="H486" s="58"/>
      <c r="I486" s="23"/>
      <c r="J486" s="24"/>
      <c r="M486" s="4"/>
      <c r="N486" s="76"/>
      <c r="O486" s="76"/>
      <c r="P486" s="76" t="str">
        <f t="shared" ref="P486:P549" si="101">IF(B486&lt;&gt;1,","&amp;D486,D486)</f>
        <v>,shikkan473_start_date</v>
      </c>
      <c r="Q486" s="76" t="str">
        <f t="shared" ref="Q486:Q549" si="102">UPPER(G486)</f>
        <v>DATE</v>
      </c>
      <c r="R486" s="76" t="str">
        <f t="shared" ref="R486:R549" si="103">IF(H486&lt;&gt;"","default "&amp;IF(G486="text","'"&amp;H486&amp;"'",H486),"")</f>
        <v/>
      </c>
      <c r="S486" s="76" t="str">
        <f t="shared" ref="S486:S549" si="104">IF(I486="○","NOT NULL","")</f>
        <v/>
      </c>
      <c r="T486" s="76" t="str">
        <f t="shared" ref="T486:T549" si="105">"-- "&amp;C486</f>
        <v>-- C965_疾患開始日</v>
      </c>
      <c r="U486" s="4" t="str">
        <f t="shared" si="68"/>
        <v>, CASE WHEN shikkan_disp_name = 'C965' THEN min_shikkan_start_date ::DATE ELSE NULL END AS shikkan473_start_date</v>
      </c>
      <c r="V486" s="25" t="str">
        <f t="shared" si="69"/>
        <v>, max(shikkan473_start_date)</v>
      </c>
      <c r="AA486" s="4"/>
      <c r="AB486" s="4"/>
      <c r="AC486" s="4"/>
      <c r="AD486" s="4"/>
      <c r="AE486" s="4"/>
      <c r="AF486" s="4"/>
      <c r="AG486" s="4"/>
      <c r="AH486" s="4"/>
      <c r="AI486" s="4"/>
      <c r="AJ486" s="76" t="str">
        <f>IF(E486="○",IF(COUNTA(E$13:E486)=1,"",",")&amp;D486,"")</f>
        <v/>
      </c>
      <c r="AK486" s="4"/>
      <c r="AL486" s="4"/>
      <c r="AM486" s="4"/>
      <c r="AN486" s="4"/>
      <c r="AO486" s="4"/>
      <c r="AP486" s="4"/>
      <c r="AQ486" s="4"/>
      <c r="AR486" s="4"/>
      <c r="AS486" s="76" t="str">
        <f>"COMMENT ON COLUMN "&amp;エンティティ一覧!$O$2&amp;"."&amp;D$8&amp;"."&amp;D486&amp;" IS '"&amp;C486&amp;"';"</f>
        <v>COMMENT ON COLUMN milscm_2023_009.sny_202310_annony_shikkan2.shikkan473_start_date IS 'C965_疾患開始日';</v>
      </c>
    </row>
    <row r="487" spans="1:45" s="25" customFormat="1">
      <c r="A487" s="4" t="s">
        <v>5616</v>
      </c>
      <c r="B487" s="21">
        <f t="shared" si="100"/>
        <v>475</v>
      </c>
      <c r="C487" s="13" t="str">
        <f t="shared" si="99"/>
        <v>C966_疾患開始日</v>
      </c>
      <c r="D487" s="13" t="s">
        <v>6134</v>
      </c>
      <c r="E487" s="8"/>
      <c r="F487" s="7" t="s">
        <v>4348</v>
      </c>
      <c r="G487" s="7" t="s">
        <v>25</v>
      </c>
      <c r="H487" s="58"/>
      <c r="I487" s="23"/>
      <c r="J487" s="24"/>
      <c r="M487" s="4"/>
      <c r="N487" s="76"/>
      <c r="O487" s="76"/>
      <c r="P487" s="76" t="str">
        <f t="shared" si="101"/>
        <v>,shikkan474_start_date</v>
      </c>
      <c r="Q487" s="76" t="str">
        <f t="shared" si="102"/>
        <v>DATE</v>
      </c>
      <c r="R487" s="76" t="str">
        <f t="shared" si="103"/>
        <v/>
      </c>
      <c r="S487" s="76" t="str">
        <f t="shared" si="104"/>
        <v/>
      </c>
      <c r="T487" s="76" t="str">
        <f t="shared" si="105"/>
        <v>-- C966_疾患開始日</v>
      </c>
      <c r="U487" s="4" t="str">
        <f t="shared" si="68"/>
        <v>, CASE WHEN shikkan_disp_name = 'C966' THEN min_shikkan_start_date ::DATE ELSE NULL END AS shikkan474_start_date</v>
      </c>
      <c r="V487" s="25" t="str">
        <f t="shared" si="69"/>
        <v>, max(shikkan474_start_date)</v>
      </c>
      <c r="AA487" s="4"/>
      <c r="AB487" s="4"/>
      <c r="AC487" s="4"/>
      <c r="AD487" s="4"/>
      <c r="AE487" s="4"/>
      <c r="AF487" s="4"/>
      <c r="AG487" s="4"/>
      <c r="AH487" s="4"/>
      <c r="AI487" s="4"/>
      <c r="AJ487" s="76" t="str">
        <f>IF(E487="○",IF(COUNTA(E$13:E487)=1,"",",")&amp;D487,"")</f>
        <v/>
      </c>
      <c r="AK487" s="4"/>
      <c r="AL487" s="4"/>
      <c r="AM487" s="4"/>
      <c r="AN487" s="4"/>
      <c r="AO487" s="4"/>
      <c r="AP487" s="4"/>
      <c r="AQ487" s="4"/>
      <c r="AR487" s="4"/>
      <c r="AS487" s="76" t="str">
        <f>"COMMENT ON COLUMN "&amp;エンティティ一覧!$O$2&amp;"."&amp;D$8&amp;"."&amp;D487&amp;" IS '"&amp;C487&amp;"';"</f>
        <v>COMMENT ON COLUMN milscm_2023_009.sny_202310_annony_shikkan2.shikkan474_start_date IS 'C966_疾患開始日';</v>
      </c>
    </row>
    <row r="488" spans="1:45" s="25" customFormat="1">
      <c r="A488" s="4" t="s">
        <v>5617</v>
      </c>
      <c r="B488" s="21">
        <f t="shared" si="100"/>
        <v>476</v>
      </c>
      <c r="C488" s="13" t="str">
        <f t="shared" si="99"/>
        <v>C967_疾患開始日</v>
      </c>
      <c r="D488" s="13" t="s">
        <v>6135</v>
      </c>
      <c r="E488" s="8"/>
      <c r="F488" s="7" t="s">
        <v>4348</v>
      </c>
      <c r="G488" s="7" t="s">
        <v>25</v>
      </c>
      <c r="H488" s="58"/>
      <c r="I488" s="23"/>
      <c r="J488" s="24"/>
      <c r="M488" s="4"/>
      <c r="N488" s="76"/>
      <c r="O488" s="76"/>
      <c r="P488" s="76" t="str">
        <f t="shared" si="101"/>
        <v>,shikkan475_start_date</v>
      </c>
      <c r="Q488" s="76" t="str">
        <f t="shared" si="102"/>
        <v>DATE</v>
      </c>
      <c r="R488" s="76" t="str">
        <f t="shared" si="103"/>
        <v/>
      </c>
      <c r="S488" s="76" t="str">
        <f t="shared" si="104"/>
        <v/>
      </c>
      <c r="T488" s="76" t="str">
        <f t="shared" si="105"/>
        <v>-- C967_疾患開始日</v>
      </c>
      <c r="U488" s="4" t="str">
        <f t="shared" si="68"/>
        <v>, CASE WHEN shikkan_disp_name = 'C967' THEN min_shikkan_start_date ::DATE ELSE NULL END AS shikkan475_start_date</v>
      </c>
      <c r="V488" s="25" t="str">
        <f t="shared" si="69"/>
        <v>, max(shikkan475_start_date)</v>
      </c>
      <c r="AA488" s="4"/>
      <c r="AB488" s="4"/>
      <c r="AC488" s="4"/>
      <c r="AD488" s="4"/>
      <c r="AE488" s="4"/>
      <c r="AF488" s="4"/>
      <c r="AG488" s="4"/>
      <c r="AH488" s="4"/>
      <c r="AI488" s="4"/>
      <c r="AJ488" s="76" t="str">
        <f>IF(E488="○",IF(COUNTA(E$13:E488)=1,"",",")&amp;D488,"")</f>
        <v/>
      </c>
      <c r="AK488" s="4"/>
      <c r="AL488" s="4"/>
      <c r="AM488" s="4"/>
      <c r="AN488" s="4"/>
      <c r="AO488" s="4"/>
      <c r="AP488" s="4"/>
      <c r="AQ488" s="4"/>
      <c r="AR488" s="4"/>
      <c r="AS488" s="76" t="str">
        <f>"COMMENT ON COLUMN "&amp;エンティティ一覧!$O$2&amp;"."&amp;D$8&amp;"."&amp;D488&amp;" IS '"&amp;C488&amp;"';"</f>
        <v>COMMENT ON COLUMN milscm_2023_009.sny_202310_annony_shikkan2.shikkan475_start_date IS 'C967_疾患開始日';</v>
      </c>
    </row>
    <row r="489" spans="1:45" s="25" customFormat="1">
      <c r="A489" s="4" t="s">
        <v>5618</v>
      </c>
      <c r="B489" s="21">
        <f t="shared" si="100"/>
        <v>477</v>
      </c>
      <c r="C489" s="13" t="str">
        <f t="shared" si="99"/>
        <v>C968_疾患開始日</v>
      </c>
      <c r="D489" s="13" t="s">
        <v>6136</v>
      </c>
      <c r="E489" s="8"/>
      <c r="F489" s="7" t="s">
        <v>4348</v>
      </c>
      <c r="G489" s="7" t="s">
        <v>25</v>
      </c>
      <c r="H489" s="58"/>
      <c r="I489" s="23"/>
      <c r="J489" s="24"/>
      <c r="M489" s="4"/>
      <c r="N489" s="76"/>
      <c r="O489" s="76"/>
      <c r="P489" s="76" t="str">
        <f t="shared" si="101"/>
        <v>,shikkan476_start_date</v>
      </c>
      <c r="Q489" s="76" t="str">
        <f t="shared" si="102"/>
        <v>DATE</v>
      </c>
      <c r="R489" s="76" t="str">
        <f t="shared" si="103"/>
        <v/>
      </c>
      <c r="S489" s="76" t="str">
        <f t="shared" si="104"/>
        <v/>
      </c>
      <c r="T489" s="76" t="str">
        <f t="shared" si="105"/>
        <v>-- C968_疾患開始日</v>
      </c>
      <c r="U489" s="4" t="str">
        <f t="shared" si="68"/>
        <v>, CASE WHEN shikkan_disp_name = 'C968' THEN min_shikkan_start_date ::DATE ELSE NULL END AS shikkan476_start_date</v>
      </c>
      <c r="V489" s="25" t="str">
        <f t="shared" si="69"/>
        <v>, max(shikkan476_start_date)</v>
      </c>
      <c r="AA489" s="4"/>
      <c r="AB489" s="4"/>
      <c r="AC489" s="4"/>
      <c r="AD489" s="4"/>
      <c r="AE489" s="4"/>
      <c r="AF489" s="4"/>
      <c r="AG489" s="4"/>
      <c r="AH489" s="4"/>
      <c r="AI489" s="4"/>
      <c r="AJ489" s="76" t="str">
        <f>IF(E489="○",IF(COUNTA(E$13:E489)=1,"",",")&amp;D489,"")</f>
        <v/>
      </c>
      <c r="AK489" s="4"/>
      <c r="AL489" s="4"/>
      <c r="AM489" s="4"/>
      <c r="AN489" s="4"/>
      <c r="AO489" s="4"/>
      <c r="AP489" s="4"/>
      <c r="AQ489" s="4"/>
      <c r="AR489" s="4"/>
      <c r="AS489" s="76" t="str">
        <f>"COMMENT ON COLUMN "&amp;エンティティ一覧!$O$2&amp;"."&amp;D$8&amp;"."&amp;D489&amp;" IS '"&amp;C489&amp;"';"</f>
        <v>COMMENT ON COLUMN milscm_2023_009.sny_202310_annony_shikkan2.shikkan476_start_date IS 'C968_疾患開始日';</v>
      </c>
    </row>
    <row r="490" spans="1:45" s="25" customFormat="1">
      <c r="A490" s="4" t="s">
        <v>5619</v>
      </c>
      <c r="B490" s="21">
        <f t="shared" si="100"/>
        <v>478</v>
      </c>
      <c r="C490" s="13" t="str">
        <f t="shared" si="99"/>
        <v>C969_疾患開始日</v>
      </c>
      <c r="D490" s="13" t="s">
        <v>6137</v>
      </c>
      <c r="E490" s="8"/>
      <c r="F490" s="7" t="s">
        <v>4348</v>
      </c>
      <c r="G490" s="7" t="s">
        <v>25</v>
      </c>
      <c r="H490" s="58"/>
      <c r="I490" s="23"/>
      <c r="J490" s="24"/>
      <c r="M490" s="4"/>
      <c r="N490" s="76"/>
      <c r="O490" s="76"/>
      <c r="P490" s="76" t="str">
        <f t="shared" si="101"/>
        <v>,shikkan477_start_date</v>
      </c>
      <c r="Q490" s="76" t="str">
        <f t="shared" si="102"/>
        <v>DATE</v>
      </c>
      <c r="R490" s="76" t="str">
        <f t="shared" si="103"/>
        <v/>
      </c>
      <c r="S490" s="76" t="str">
        <f t="shared" si="104"/>
        <v/>
      </c>
      <c r="T490" s="76" t="str">
        <f t="shared" si="105"/>
        <v>-- C969_疾患開始日</v>
      </c>
      <c r="U490" s="4" t="str">
        <f t="shared" si="68"/>
        <v>, CASE WHEN shikkan_disp_name = 'C969' THEN min_shikkan_start_date ::DATE ELSE NULL END AS shikkan477_start_date</v>
      </c>
      <c r="V490" s="25" t="str">
        <f t="shared" si="69"/>
        <v>, max(shikkan477_start_date)</v>
      </c>
      <c r="AA490" s="4"/>
      <c r="AB490" s="4"/>
      <c r="AC490" s="4"/>
      <c r="AD490" s="4"/>
      <c r="AE490" s="4"/>
      <c r="AF490" s="4"/>
      <c r="AG490" s="4"/>
      <c r="AH490" s="4"/>
      <c r="AI490" s="4"/>
      <c r="AJ490" s="76" t="str">
        <f>IF(E490="○",IF(COUNTA(E$13:E490)=1,"",",")&amp;D490,"")</f>
        <v/>
      </c>
      <c r="AK490" s="4"/>
      <c r="AL490" s="4"/>
      <c r="AM490" s="4"/>
      <c r="AN490" s="4"/>
      <c r="AO490" s="4"/>
      <c r="AP490" s="4"/>
      <c r="AQ490" s="4"/>
      <c r="AR490" s="4"/>
      <c r="AS490" s="76" t="str">
        <f>"COMMENT ON COLUMN "&amp;エンティティ一覧!$O$2&amp;"."&amp;D$8&amp;"."&amp;D490&amp;" IS '"&amp;C490&amp;"';"</f>
        <v>COMMENT ON COLUMN milscm_2023_009.sny_202310_annony_shikkan2.shikkan477_start_date IS 'C969_疾患開始日';</v>
      </c>
    </row>
    <row r="491" spans="1:45" s="25" customFormat="1">
      <c r="A491" s="4" t="s">
        <v>5157</v>
      </c>
      <c r="B491" s="21">
        <f t="shared" si="100"/>
        <v>479</v>
      </c>
      <c r="C491" s="13" t="str">
        <f t="shared" si="99"/>
        <v>C97_疾患開始日</v>
      </c>
      <c r="D491" s="13" t="s">
        <v>6138</v>
      </c>
      <c r="E491" s="8"/>
      <c r="F491" s="7" t="s">
        <v>4348</v>
      </c>
      <c r="G491" s="7" t="s">
        <v>25</v>
      </c>
      <c r="H491" s="58"/>
      <c r="I491" s="23"/>
      <c r="J491" s="24"/>
      <c r="M491" s="4"/>
      <c r="N491" s="76"/>
      <c r="O491" s="76"/>
      <c r="P491" s="76" t="str">
        <f t="shared" si="101"/>
        <v>,shikkan478_start_date</v>
      </c>
      <c r="Q491" s="76" t="str">
        <f t="shared" si="102"/>
        <v>DATE</v>
      </c>
      <c r="R491" s="76" t="str">
        <f t="shared" si="103"/>
        <v/>
      </c>
      <c r="S491" s="76" t="str">
        <f t="shared" si="104"/>
        <v/>
      </c>
      <c r="T491" s="76" t="str">
        <f t="shared" si="105"/>
        <v>-- C97_疾患開始日</v>
      </c>
      <c r="U491" s="4" t="str">
        <f t="shared" si="68"/>
        <v>, CASE WHEN shikkan_disp_name = 'C97' THEN min_shikkan_start_date ::DATE ELSE NULL END AS shikkan478_start_date</v>
      </c>
      <c r="V491" s="25" t="str">
        <f t="shared" si="69"/>
        <v>, max(shikkan478_start_date)</v>
      </c>
      <c r="AA491" s="4"/>
      <c r="AB491" s="4"/>
      <c r="AC491" s="4"/>
      <c r="AD491" s="4"/>
      <c r="AE491" s="4"/>
      <c r="AF491" s="4"/>
      <c r="AG491" s="4"/>
      <c r="AH491" s="4"/>
      <c r="AI491" s="4"/>
      <c r="AJ491" s="76" t="str">
        <f>IF(E491="○",IF(COUNTA(E$13:E491)=1,"",",")&amp;D491,"")</f>
        <v/>
      </c>
      <c r="AK491" s="4"/>
      <c r="AL491" s="4"/>
      <c r="AM491" s="4"/>
      <c r="AN491" s="4"/>
      <c r="AO491" s="4"/>
      <c r="AP491" s="4"/>
      <c r="AQ491" s="4"/>
      <c r="AR491" s="4"/>
      <c r="AS491" s="76" t="str">
        <f>"COMMENT ON COLUMN "&amp;エンティティ一覧!$O$2&amp;"."&amp;D$8&amp;"."&amp;D491&amp;" IS '"&amp;C491&amp;"';"</f>
        <v>COMMENT ON COLUMN milscm_2023_009.sny_202310_annony_shikkan2.shikkan478_start_date IS 'C97_疾患開始日';</v>
      </c>
    </row>
    <row r="492" spans="1:45" s="25" customFormat="1">
      <c r="A492" s="4" t="s">
        <v>5088</v>
      </c>
      <c r="B492" s="21">
        <f t="shared" si="100"/>
        <v>480</v>
      </c>
      <c r="C492" s="13" t="str">
        <f t="shared" si="99"/>
        <v>E100_疾患開始日</v>
      </c>
      <c r="D492" s="13" t="s">
        <v>6139</v>
      </c>
      <c r="E492" s="8"/>
      <c r="F492" s="7" t="s">
        <v>4348</v>
      </c>
      <c r="G492" s="7" t="s">
        <v>25</v>
      </c>
      <c r="H492" s="58"/>
      <c r="I492" s="23"/>
      <c r="J492" s="24"/>
      <c r="M492" s="4"/>
      <c r="N492" s="76"/>
      <c r="O492" s="76"/>
      <c r="P492" s="76" t="str">
        <f t="shared" si="101"/>
        <v>,shikkan479_start_date</v>
      </c>
      <c r="Q492" s="76" t="str">
        <f t="shared" si="102"/>
        <v>DATE</v>
      </c>
      <c r="R492" s="76" t="str">
        <f t="shared" si="103"/>
        <v/>
      </c>
      <c r="S492" s="76" t="str">
        <f t="shared" si="104"/>
        <v/>
      </c>
      <c r="T492" s="76" t="str">
        <f t="shared" si="105"/>
        <v>-- E100_疾患開始日</v>
      </c>
      <c r="U492" s="4" t="str">
        <f t="shared" si="68"/>
        <v>, CASE WHEN shikkan_disp_name = 'E100' THEN min_shikkan_start_date ::DATE ELSE NULL END AS shikkan479_start_date</v>
      </c>
      <c r="V492" s="25" t="str">
        <f t="shared" si="69"/>
        <v>, max(shikkan479_start_date)</v>
      </c>
      <c r="AA492" s="4"/>
      <c r="AB492" s="4"/>
      <c r="AC492" s="4"/>
      <c r="AD492" s="4"/>
      <c r="AE492" s="4"/>
      <c r="AF492" s="4"/>
      <c r="AG492" s="4"/>
      <c r="AH492" s="4"/>
      <c r="AI492" s="4"/>
      <c r="AJ492" s="76" t="str">
        <f>IF(E492="○",IF(COUNTA(E$13:E492)=1,"",",")&amp;D492,"")</f>
        <v/>
      </c>
      <c r="AK492" s="4"/>
      <c r="AL492" s="4"/>
      <c r="AM492" s="4"/>
      <c r="AN492" s="4"/>
      <c r="AO492" s="4"/>
      <c r="AP492" s="4"/>
      <c r="AQ492" s="4"/>
      <c r="AR492" s="4"/>
      <c r="AS492" s="76" t="str">
        <f>"COMMENT ON COLUMN "&amp;エンティティ一覧!$O$2&amp;"."&amp;D$8&amp;"."&amp;D492&amp;" IS '"&amp;C492&amp;"';"</f>
        <v>COMMENT ON COLUMN milscm_2023_009.sny_202310_annony_shikkan2.shikkan479_start_date IS 'E100_疾患開始日';</v>
      </c>
    </row>
    <row r="493" spans="1:45" s="25" customFormat="1">
      <c r="A493" s="4" t="s">
        <v>5089</v>
      </c>
      <c r="B493" s="21">
        <f t="shared" si="100"/>
        <v>481</v>
      </c>
      <c r="C493" s="13" t="str">
        <f t="shared" si="99"/>
        <v>E101_疾患開始日</v>
      </c>
      <c r="D493" s="13" t="s">
        <v>6140</v>
      </c>
      <c r="E493" s="8"/>
      <c r="F493" s="7" t="s">
        <v>4348</v>
      </c>
      <c r="G493" s="7" t="s">
        <v>99</v>
      </c>
      <c r="H493" s="58"/>
      <c r="I493" s="23"/>
      <c r="J493" s="24"/>
      <c r="M493" s="4"/>
      <c r="N493" s="76"/>
      <c r="O493" s="76"/>
      <c r="P493" s="76" t="str">
        <f t="shared" si="101"/>
        <v>,shikkan480_start_date</v>
      </c>
      <c r="Q493" s="76" t="str">
        <f t="shared" si="102"/>
        <v>DATE</v>
      </c>
      <c r="R493" s="76" t="str">
        <f t="shared" si="103"/>
        <v/>
      </c>
      <c r="S493" s="76" t="str">
        <f t="shared" si="104"/>
        <v/>
      </c>
      <c r="T493" s="76" t="str">
        <f t="shared" si="105"/>
        <v>-- E101_疾患開始日</v>
      </c>
      <c r="U493" s="4" t="str">
        <f t="shared" si="68"/>
        <v>, CASE WHEN shikkan_disp_name = 'E101' THEN min_shikkan_start_date ::DATE ELSE NULL END AS shikkan480_start_date</v>
      </c>
      <c r="V493" s="25" t="str">
        <f t="shared" si="69"/>
        <v>, max(shikkan480_start_date)</v>
      </c>
      <c r="AA493" s="4"/>
      <c r="AB493" s="4"/>
      <c r="AC493" s="4"/>
      <c r="AD493" s="4"/>
      <c r="AE493" s="4"/>
      <c r="AF493" s="4"/>
      <c r="AG493" s="4"/>
      <c r="AH493" s="4"/>
      <c r="AI493" s="4"/>
      <c r="AJ493" s="76" t="str">
        <f>IF(E493="○",IF(COUNTA(E$13:E493)=1,"",",")&amp;D493,"")</f>
        <v/>
      </c>
      <c r="AK493" s="4"/>
      <c r="AL493" s="4"/>
      <c r="AM493" s="4"/>
      <c r="AN493" s="4"/>
      <c r="AO493" s="4"/>
      <c r="AP493" s="4"/>
      <c r="AQ493" s="4"/>
      <c r="AR493" s="4"/>
      <c r="AS493" s="76" t="str">
        <f>"COMMENT ON COLUMN "&amp;エンティティ一覧!$O$2&amp;"."&amp;D$8&amp;"."&amp;D493&amp;" IS '"&amp;C493&amp;"';"</f>
        <v>COMMENT ON COLUMN milscm_2023_009.sny_202310_annony_shikkan2.shikkan480_start_date IS 'E101_疾患開始日';</v>
      </c>
    </row>
    <row r="494" spans="1:45" s="25" customFormat="1">
      <c r="A494" s="4" t="s">
        <v>5113</v>
      </c>
      <c r="B494" s="21">
        <f t="shared" si="100"/>
        <v>482</v>
      </c>
      <c r="C494" s="13" t="str">
        <f t="shared" si="99"/>
        <v>E102_疾患開始日</v>
      </c>
      <c r="D494" s="13" t="s">
        <v>6141</v>
      </c>
      <c r="E494" s="8"/>
      <c r="F494" s="7" t="s">
        <v>4348</v>
      </c>
      <c r="G494" s="7" t="s">
        <v>25</v>
      </c>
      <c r="H494" s="58"/>
      <c r="I494" s="23"/>
      <c r="J494" s="24"/>
      <c r="M494" s="4"/>
      <c r="N494" s="76"/>
      <c r="O494" s="76"/>
      <c r="P494" s="76" t="str">
        <f t="shared" si="101"/>
        <v>,shikkan481_start_date</v>
      </c>
      <c r="Q494" s="76" t="str">
        <f t="shared" si="102"/>
        <v>DATE</v>
      </c>
      <c r="R494" s="76" t="str">
        <f t="shared" si="103"/>
        <v/>
      </c>
      <c r="S494" s="76" t="str">
        <f t="shared" si="104"/>
        <v/>
      </c>
      <c r="T494" s="76" t="str">
        <f t="shared" si="105"/>
        <v>-- E102_疾患開始日</v>
      </c>
      <c r="U494" s="4" t="str">
        <f t="shared" si="68"/>
        <v>, CASE WHEN shikkan_disp_name = 'E102' THEN min_shikkan_start_date ::DATE ELSE NULL END AS shikkan481_start_date</v>
      </c>
      <c r="V494" s="25" t="str">
        <f t="shared" si="69"/>
        <v>, max(shikkan481_start_date)</v>
      </c>
      <c r="AA494" s="4"/>
      <c r="AB494" s="4"/>
      <c r="AC494" s="4"/>
      <c r="AD494" s="4"/>
      <c r="AE494" s="4"/>
      <c r="AF494" s="4"/>
      <c r="AG494" s="4"/>
      <c r="AH494" s="4"/>
      <c r="AI494" s="4"/>
      <c r="AJ494" s="76" t="str">
        <f>IF(E494="○",IF(COUNTA(E$13:E494)=1,"",",")&amp;D494,"")</f>
        <v/>
      </c>
      <c r="AK494" s="4"/>
      <c r="AL494" s="4"/>
      <c r="AM494" s="4"/>
      <c r="AN494" s="4"/>
      <c r="AO494" s="4"/>
      <c r="AP494" s="4"/>
      <c r="AQ494" s="4"/>
      <c r="AR494" s="4"/>
      <c r="AS494" s="76" t="str">
        <f>"COMMENT ON COLUMN "&amp;エンティティ一覧!$O$2&amp;"."&amp;D$8&amp;"."&amp;D494&amp;" IS '"&amp;C494&amp;"';"</f>
        <v>COMMENT ON COLUMN milscm_2023_009.sny_202310_annony_shikkan2.shikkan481_start_date IS 'E102_疾患開始日';</v>
      </c>
    </row>
    <row r="495" spans="1:45" s="25" customFormat="1">
      <c r="A495" s="4" t="s">
        <v>5114</v>
      </c>
      <c r="B495" s="21">
        <f t="shared" si="100"/>
        <v>483</v>
      </c>
      <c r="C495" s="13" t="str">
        <f t="shared" si="99"/>
        <v>E103_疾患開始日</v>
      </c>
      <c r="D495" s="13" t="s">
        <v>6142</v>
      </c>
      <c r="E495" s="8"/>
      <c r="F495" s="7" t="s">
        <v>4348</v>
      </c>
      <c r="G495" s="7" t="s">
        <v>25</v>
      </c>
      <c r="H495" s="58"/>
      <c r="I495" s="23"/>
      <c r="J495" s="24"/>
      <c r="M495" s="4"/>
      <c r="N495" s="76"/>
      <c r="O495" s="76"/>
      <c r="P495" s="76" t="str">
        <f t="shared" si="101"/>
        <v>,shikkan482_start_date</v>
      </c>
      <c r="Q495" s="76" t="str">
        <f t="shared" si="102"/>
        <v>DATE</v>
      </c>
      <c r="R495" s="76" t="str">
        <f t="shared" si="103"/>
        <v/>
      </c>
      <c r="S495" s="76" t="str">
        <f t="shared" si="104"/>
        <v/>
      </c>
      <c r="T495" s="76" t="str">
        <f t="shared" si="105"/>
        <v>-- E103_疾患開始日</v>
      </c>
      <c r="U495" s="4" t="str">
        <f t="shared" si="68"/>
        <v>, CASE WHEN shikkan_disp_name = 'E103' THEN min_shikkan_start_date ::DATE ELSE NULL END AS shikkan482_start_date</v>
      </c>
      <c r="V495" s="25" t="str">
        <f t="shared" si="69"/>
        <v>, max(shikkan482_start_date)</v>
      </c>
      <c r="AA495" s="4"/>
      <c r="AB495" s="4"/>
      <c r="AC495" s="4"/>
      <c r="AD495" s="4"/>
      <c r="AE495" s="4"/>
      <c r="AF495" s="4"/>
      <c r="AG495" s="4"/>
      <c r="AH495" s="4"/>
      <c r="AI495" s="4"/>
      <c r="AJ495" s="76" t="str">
        <f>IF(E495="○",IF(COUNTA(E$13:E495)=1,"",",")&amp;D495,"")</f>
        <v/>
      </c>
      <c r="AK495" s="4"/>
      <c r="AL495" s="4"/>
      <c r="AM495" s="4"/>
      <c r="AN495" s="4"/>
      <c r="AO495" s="4"/>
      <c r="AP495" s="4"/>
      <c r="AQ495" s="4"/>
      <c r="AR495" s="4"/>
      <c r="AS495" s="76" t="str">
        <f>"COMMENT ON COLUMN "&amp;エンティティ一覧!$O$2&amp;"."&amp;D$8&amp;"."&amp;D495&amp;" IS '"&amp;C495&amp;"';"</f>
        <v>COMMENT ON COLUMN milscm_2023_009.sny_202310_annony_shikkan2.shikkan482_start_date IS 'E103_疾患開始日';</v>
      </c>
    </row>
    <row r="496" spans="1:45" s="25" customFormat="1">
      <c r="A496" s="4" t="s">
        <v>5115</v>
      </c>
      <c r="B496" s="21">
        <f t="shared" si="100"/>
        <v>484</v>
      </c>
      <c r="C496" s="13" t="str">
        <f t="shared" si="99"/>
        <v>E104_疾患開始日</v>
      </c>
      <c r="D496" s="13" t="s">
        <v>6143</v>
      </c>
      <c r="E496" s="8"/>
      <c r="F496" s="7" t="s">
        <v>4348</v>
      </c>
      <c r="G496" s="7" t="s">
        <v>25</v>
      </c>
      <c r="H496" s="58"/>
      <c r="I496" s="23"/>
      <c r="J496" s="24"/>
      <c r="M496" s="4"/>
      <c r="N496" s="76"/>
      <c r="O496" s="76"/>
      <c r="P496" s="76" t="str">
        <f t="shared" si="101"/>
        <v>,shikkan483_start_date</v>
      </c>
      <c r="Q496" s="76" t="str">
        <f t="shared" si="102"/>
        <v>DATE</v>
      </c>
      <c r="R496" s="76" t="str">
        <f t="shared" si="103"/>
        <v/>
      </c>
      <c r="S496" s="76" t="str">
        <f t="shared" si="104"/>
        <v/>
      </c>
      <c r="T496" s="76" t="str">
        <f t="shared" si="105"/>
        <v>-- E104_疾患開始日</v>
      </c>
      <c r="U496" s="4" t="str">
        <f t="shared" si="68"/>
        <v>, CASE WHEN shikkan_disp_name = 'E104' THEN min_shikkan_start_date ::DATE ELSE NULL END AS shikkan483_start_date</v>
      </c>
      <c r="V496" s="25" t="str">
        <f t="shared" si="69"/>
        <v>, max(shikkan483_start_date)</v>
      </c>
      <c r="AA496" s="4"/>
      <c r="AB496" s="4"/>
      <c r="AC496" s="4"/>
      <c r="AD496" s="4"/>
      <c r="AE496" s="4"/>
      <c r="AF496" s="4"/>
      <c r="AG496" s="4"/>
      <c r="AH496" s="4"/>
      <c r="AI496" s="4"/>
      <c r="AJ496" s="76" t="str">
        <f>IF(E496="○",IF(COUNTA(E$13:E496)=1,"",",")&amp;D496,"")</f>
        <v/>
      </c>
      <c r="AK496" s="4"/>
      <c r="AL496" s="4"/>
      <c r="AM496" s="4"/>
      <c r="AN496" s="4"/>
      <c r="AO496" s="4"/>
      <c r="AP496" s="4"/>
      <c r="AQ496" s="4"/>
      <c r="AR496" s="4"/>
      <c r="AS496" s="76" t="str">
        <f>"COMMENT ON COLUMN "&amp;エンティティ一覧!$O$2&amp;"."&amp;D$8&amp;"."&amp;D496&amp;" IS '"&amp;C496&amp;"';"</f>
        <v>COMMENT ON COLUMN milscm_2023_009.sny_202310_annony_shikkan2.shikkan483_start_date IS 'E104_疾患開始日';</v>
      </c>
    </row>
    <row r="497" spans="1:45" s="25" customFormat="1">
      <c r="A497" s="4" t="s">
        <v>5116</v>
      </c>
      <c r="B497" s="21">
        <f t="shared" si="100"/>
        <v>485</v>
      </c>
      <c r="C497" s="13" t="str">
        <f t="shared" si="99"/>
        <v>E105_疾患開始日</v>
      </c>
      <c r="D497" s="13" t="s">
        <v>6144</v>
      </c>
      <c r="E497" s="8"/>
      <c r="F497" s="7" t="s">
        <v>4348</v>
      </c>
      <c r="G497" s="7" t="s">
        <v>25</v>
      </c>
      <c r="H497" s="58"/>
      <c r="I497" s="23"/>
      <c r="J497" s="24"/>
      <c r="M497" s="4"/>
      <c r="N497" s="76"/>
      <c r="O497" s="76"/>
      <c r="P497" s="76" t="str">
        <f t="shared" si="101"/>
        <v>,shikkan484_start_date</v>
      </c>
      <c r="Q497" s="76" t="str">
        <f t="shared" si="102"/>
        <v>DATE</v>
      </c>
      <c r="R497" s="76" t="str">
        <f t="shared" si="103"/>
        <v/>
      </c>
      <c r="S497" s="76" t="str">
        <f t="shared" si="104"/>
        <v/>
      </c>
      <c r="T497" s="76" t="str">
        <f t="shared" si="105"/>
        <v>-- E105_疾患開始日</v>
      </c>
      <c r="U497" s="4" t="str">
        <f t="shared" si="68"/>
        <v>, CASE WHEN shikkan_disp_name = 'E105' THEN min_shikkan_start_date ::DATE ELSE NULL END AS shikkan484_start_date</v>
      </c>
      <c r="V497" s="25" t="str">
        <f t="shared" si="69"/>
        <v>, max(shikkan484_start_date)</v>
      </c>
      <c r="AA497" s="4"/>
      <c r="AB497" s="4"/>
      <c r="AC497" s="4"/>
      <c r="AD497" s="4"/>
      <c r="AE497" s="4"/>
      <c r="AF497" s="4"/>
      <c r="AG497" s="4"/>
      <c r="AH497" s="4"/>
      <c r="AI497" s="4"/>
      <c r="AJ497" s="76" t="str">
        <f>IF(E497="○",IF(COUNTA(E$13:E497)=1,"",",")&amp;D497,"")</f>
        <v/>
      </c>
      <c r="AK497" s="4"/>
      <c r="AL497" s="4"/>
      <c r="AM497" s="4"/>
      <c r="AN497" s="4"/>
      <c r="AO497" s="4"/>
      <c r="AP497" s="4"/>
      <c r="AQ497" s="4"/>
      <c r="AR497" s="4"/>
      <c r="AS497" s="76" t="str">
        <f>"COMMENT ON COLUMN "&amp;エンティティ一覧!$O$2&amp;"."&amp;D$8&amp;"."&amp;D497&amp;" IS '"&amp;C497&amp;"';"</f>
        <v>COMMENT ON COLUMN milscm_2023_009.sny_202310_annony_shikkan2.shikkan484_start_date IS 'E105_疾患開始日';</v>
      </c>
    </row>
    <row r="498" spans="1:45" s="25" customFormat="1">
      <c r="A498" s="4" t="s">
        <v>5090</v>
      </c>
      <c r="B498" s="21">
        <f t="shared" si="100"/>
        <v>486</v>
      </c>
      <c r="C498" s="13" t="str">
        <f t="shared" si="99"/>
        <v>E106_疾患開始日</v>
      </c>
      <c r="D498" s="13" t="s">
        <v>6145</v>
      </c>
      <c r="E498" s="8"/>
      <c r="F498" s="7" t="s">
        <v>4348</v>
      </c>
      <c r="G498" s="7" t="s">
        <v>25</v>
      </c>
      <c r="H498" s="58"/>
      <c r="I498" s="23"/>
      <c r="J498" s="24"/>
      <c r="M498" s="4"/>
      <c r="N498" s="76"/>
      <c r="O498" s="76"/>
      <c r="P498" s="76" t="str">
        <f t="shared" si="101"/>
        <v>,shikkan485_start_date</v>
      </c>
      <c r="Q498" s="76" t="str">
        <f t="shared" si="102"/>
        <v>DATE</v>
      </c>
      <c r="R498" s="76" t="str">
        <f t="shared" si="103"/>
        <v/>
      </c>
      <c r="S498" s="76" t="str">
        <f t="shared" si="104"/>
        <v/>
      </c>
      <c r="T498" s="76" t="str">
        <f t="shared" si="105"/>
        <v>-- E106_疾患開始日</v>
      </c>
      <c r="U498" s="4" t="str">
        <f t="shared" si="68"/>
        <v>, CASE WHEN shikkan_disp_name = 'E106' THEN min_shikkan_start_date ::DATE ELSE NULL END AS shikkan485_start_date</v>
      </c>
      <c r="V498" s="25" t="str">
        <f t="shared" si="69"/>
        <v>, max(shikkan485_start_date)</v>
      </c>
      <c r="AA498" s="4"/>
      <c r="AB498" s="4"/>
      <c r="AC498" s="4"/>
      <c r="AD498" s="4"/>
      <c r="AE498" s="4"/>
      <c r="AF498" s="4"/>
      <c r="AG498" s="4"/>
      <c r="AH498" s="4"/>
      <c r="AI498" s="4"/>
      <c r="AJ498" s="76" t="str">
        <f>IF(E498="○",IF(COUNTA(E$13:E498)=1,"",",")&amp;D498,"")</f>
        <v/>
      </c>
      <c r="AK498" s="4"/>
      <c r="AL498" s="4"/>
      <c r="AM498" s="4"/>
      <c r="AN498" s="4"/>
      <c r="AO498" s="4"/>
      <c r="AP498" s="4"/>
      <c r="AQ498" s="4"/>
      <c r="AR498" s="4"/>
      <c r="AS498" s="76" t="str">
        <f>"COMMENT ON COLUMN "&amp;エンティティ一覧!$O$2&amp;"."&amp;D$8&amp;"."&amp;D498&amp;" IS '"&amp;C498&amp;"';"</f>
        <v>COMMENT ON COLUMN milscm_2023_009.sny_202310_annony_shikkan2.shikkan485_start_date IS 'E106_疾患開始日';</v>
      </c>
    </row>
    <row r="499" spans="1:45" s="25" customFormat="1">
      <c r="A499" s="4" t="s">
        <v>5091</v>
      </c>
      <c r="B499" s="21">
        <f t="shared" si="100"/>
        <v>487</v>
      </c>
      <c r="C499" s="13" t="str">
        <f t="shared" si="99"/>
        <v>E108_疾患開始日</v>
      </c>
      <c r="D499" s="13" t="s">
        <v>6146</v>
      </c>
      <c r="E499" s="8"/>
      <c r="F499" s="7" t="s">
        <v>4348</v>
      </c>
      <c r="G499" s="7" t="s">
        <v>25</v>
      </c>
      <c r="H499" s="58"/>
      <c r="I499" s="23"/>
      <c r="J499" s="24"/>
      <c r="M499" s="4"/>
      <c r="N499" s="76"/>
      <c r="O499" s="76"/>
      <c r="P499" s="76" t="str">
        <f t="shared" si="101"/>
        <v>,shikkan486_start_date</v>
      </c>
      <c r="Q499" s="76" t="str">
        <f t="shared" si="102"/>
        <v>DATE</v>
      </c>
      <c r="R499" s="76" t="str">
        <f t="shared" si="103"/>
        <v/>
      </c>
      <c r="S499" s="76" t="str">
        <f t="shared" si="104"/>
        <v/>
      </c>
      <c r="T499" s="76" t="str">
        <f t="shared" si="105"/>
        <v>-- E108_疾患開始日</v>
      </c>
      <c r="U499" s="4" t="str">
        <f t="shared" si="68"/>
        <v>, CASE WHEN shikkan_disp_name = 'E108' THEN min_shikkan_start_date ::DATE ELSE NULL END AS shikkan486_start_date</v>
      </c>
      <c r="V499" s="25" t="str">
        <f t="shared" si="69"/>
        <v>, max(shikkan486_start_date)</v>
      </c>
      <c r="AA499" s="4"/>
      <c r="AB499" s="4"/>
      <c r="AC499" s="4"/>
      <c r="AD499" s="4"/>
      <c r="AE499" s="4"/>
      <c r="AF499" s="4"/>
      <c r="AG499" s="4"/>
      <c r="AH499" s="4"/>
      <c r="AI499" s="4"/>
      <c r="AJ499" s="76" t="str">
        <f>IF(E499="○",IF(COUNTA(E$13:E499)=1,"",",")&amp;D499,"")</f>
        <v/>
      </c>
      <c r="AK499" s="4"/>
      <c r="AL499" s="4"/>
      <c r="AM499" s="4"/>
      <c r="AN499" s="4"/>
      <c r="AO499" s="4"/>
      <c r="AP499" s="4"/>
      <c r="AQ499" s="4"/>
      <c r="AR499" s="4"/>
      <c r="AS499" s="76" t="str">
        <f>"COMMENT ON COLUMN "&amp;エンティティ一覧!$O$2&amp;"."&amp;D$8&amp;"."&amp;D499&amp;" IS '"&amp;C499&amp;"';"</f>
        <v>COMMENT ON COLUMN milscm_2023_009.sny_202310_annony_shikkan2.shikkan486_start_date IS 'E108_疾患開始日';</v>
      </c>
    </row>
    <row r="500" spans="1:45" s="25" customFormat="1">
      <c r="A500" s="4" t="s">
        <v>5092</v>
      </c>
      <c r="B500" s="21">
        <f t="shared" si="100"/>
        <v>488</v>
      </c>
      <c r="C500" s="13" t="str">
        <f t="shared" si="99"/>
        <v>E109_疾患開始日</v>
      </c>
      <c r="D500" s="13" t="s">
        <v>6147</v>
      </c>
      <c r="E500" s="8"/>
      <c r="F500" s="7" t="s">
        <v>4348</v>
      </c>
      <c r="G500" s="7" t="s">
        <v>25</v>
      </c>
      <c r="H500" s="58"/>
      <c r="I500" s="23"/>
      <c r="J500" s="24"/>
      <c r="M500" s="4"/>
      <c r="N500" s="76"/>
      <c r="O500" s="76"/>
      <c r="P500" s="76" t="str">
        <f t="shared" si="101"/>
        <v>,shikkan487_start_date</v>
      </c>
      <c r="Q500" s="76" t="str">
        <f t="shared" si="102"/>
        <v>DATE</v>
      </c>
      <c r="R500" s="76" t="str">
        <f t="shared" si="103"/>
        <v/>
      </c>
      <c r="S500" s="76" t="str">
        <f t="shared" si="104"/>
        <v/>
      </c>
      <c r="T500" s="76" t="str">
        <f t="shared" si="105"/>
        <v>-- E109_疾患開始日</v>
      </c>
      <c r="U500" s="4" t="str">
        <f t="shared" si="68"/>
        <v>, CASE WHEN shikkan_disp_name = 'E109' THEN min_shikkan_start_date ::DATE ELSE NULL END AS shikkan487_start_date</v>
      </c>
      <c r="V500" s="25" t="str">
        <f t="shared" si="69"/>
        <v>, max(shikkan487_start_date)</v>
      </c>
      <c r="AA500" s="4"/>
      <c r="AB500" s="4"/>
      <c r="AC500" s="4"/>
      <c r="AD500" s="4"/>
      <c r="AE500" s="4"/>
      <c r="AF500" s="4"/>
      <c r="AG500" s="4"/>
      <c r="AH500" s="4"/>
      <c r="AI500" s="4"/>
      <c r="AJ500" s="76" t="str">
        <f>IF(E500="○",IF(COUNTA(E$13:E500)=1,"",",")&amp;D500,"")</f>
        <v/>
      </c>
      <c r="AK500" s="4"/>
      <c r="AL500" s="4"/>
      <c r="AM500" s="4"/>
      <c r="AN500" s="4"/>
      <c r="AO500" s="4"/>
      <c r="AP500" s="4"/>
      <c r="AQ500" s="4"/>
      <c r="AR500" s="4"/>
      <c r="AS500" s="76" t="str">
        <f>"COMMENT ON COLUMN "&amp;エンティティ一覧!$O$2&amp;"."&amp;D$8&amp;"."&amp;D500&amp;" IS '"&amp;C500&amp;"';"</f>
        <v>COMMENT ON COLUMN milscm_2023_009.sny_202310_annony_shikkan2.shikkan487_start_date IS 'E109_疾患開始日';</v>
      </c>
    </row>
    <row r="501" spans="1:45" s="25" customFormat="1">
      <c r="A501" s="4" t="s">
        <v>5093</v>
      </c>
      <c r="B501" s="21">
        <f t="shared" si="100"/>
        <v>489</v>
      </c>
      <c r="C501" s="13" t="str">
        <f t="shared" si="99"/>
        <v>E110_疾患開始日</v>
      </c>
      <c r="D501" s="13" t="s">
        <v>6148</v>
      </c>
      <c r="E501" s="8"/>
      <c r="F501" s="7" t="s">
        <v>4348</v>
      </c>
      <c r="G501" s="7" t="s">
        <v>25</v>
      </c>
      <c r="H501" s="58"/>
      <c r="I501" s="23"/>
      <c r="J501" s="24"/>
      <c r="M501" s="4"/>
      <c r="N501" s="76"/>
      <c r="O501" s="76"/>
      <c r="P501" s="76" t="str">
        <f t="shared" si="101"/>
        <v>,shikkan488_start_date</v>
      </c>
      <c r="Q501" s="76" t="str">
        <f t="shared" si="102"/>
        <v>DATE</v>
      </c>
      <c r="R501" s="76" t="str">
        <f t="shared" si="103"/>
        <v/>
      </c>
      <c r="S501" s="76" t="str">
        <f t="shared" si="104"/>
        <v/>
      </c>
      <c r="T501" s="76" t="str">
        <f t="shared" si="105"/>
        <v>-- E110_疾患開始日</v>
      </c>
      <c r="U501" s="4" t="str">
        <f t="shared" si="68"/>
        <v>, CASE WHEN shikkan_disp_name = 'E110' THEN min_shikkan_start_date ::DATE ELSE NULL END AS shikkan488_start_date</v>
      </c>
      <c r="V501" s="25" t="str">
        <f t="shared" si="69"/>
        <v>, max(shikkan488_start_date)</v>
      </c>
      <c r="AA501" s="4"/>
      <c r="AB501" s="4"/>
      <c r="AC501" s="4"/>
      <c r="AD501" s="4"/>
      <c r="AE501" s="4"/>
      <c r="AF501" s="4"/>
      <c r="AG501" s="4"/>
      <c r="AH501" s="4"/>
      <c r="AI501" s="4"/>
      <c r="AJ501" s="76" t="str">
        <f>IF(E501="○",IF(COUNTA(E$13:E501)=1,"",",")&amp;D501,"")</f>
        <v/>
      </c>
      <c r="AK501" s="4"/>
      <c r="AL501" s="4"/>
      <c r="AM501" s="4"/>
      <c r="AN501" s="4"/>
      <c r="AO501" s="4"/>
      <c r="AP501" s="4"/>
      <c r="AQ501" s="4"/>
      <c r="AR501" s="4"/>
      <c r="AS501" s="76" t="str">
        <f>"COMMENT ON COLUMN "&amp;エンティティ一覧!$O$2&amp;"."&amp;D$8&amp;"."&amp;D501&amp;" IS '"&amp;C501&amp;"';"</f>
        <v>COMMENT ON COLUMN milscm_2023_009.sny_202310_annony_shikkan2.shikkan488_start_date IS 'E110_疾患開始日';</v>
      </c>
    </row>
    <row r="502" spans="1:45" s="25" customFormat="1">
      <c r="A502" s="4" t="s">
        <v>5094</v>
      </c>
      <c r="B502" s="21">
        <f t="shared" si="100"/>
        <v>490</v>
      </c>
      <c r="C502" s="13" t="str">
        <f t="shared" si="99"/>
        <v>E111_疾患開始日</v>
      </c>
      <c r="D502" s="13" t="s">
        <v>6149</v>
      </c>
      <c r="E502" s="8"/>
      <c r="F502" s="7" t="s">
        <v>4348</v>
      </c>
      <c r="G502" s="7" t="s">
        <v>25</v>
      </c>
      <c r="H502" s="58"/>
      <c r="I502" s="23"/>
      <c r="J502" s="24"/>
      <c r="M502" s="4"/>
      <c r="N502" s="76"/>
      <c r="O502" s="76"/>
      <c r="P502" s="76" t="str">
        <f t="shared" si="101"/>
        <v>,shikkan489_start_date</v>
      </c>
      <c r="Q502" s="76" t="str">
        <f t="shared" si="102"/>
        <v>DATE</v>
      </c>
      <c r="R502" s="76" t="str">
        <f t="shared" si="103"/>
        <v/>
      </c>
      <c r="S502" s="76" t="str">
        <f t="shared" si="104"/>
        <v/>
      </c>
      <c r="T502" s="76" t="str">
        <f t="shared" si="105"/>
        <v>-- E111_疾患開始日</v>
      </c>
      <c r="U502" s="4" t="str">
        <f t="shared" si="68"/>
        <v>, CASE WHEN shikkan_disp_name = 'E111' THEN min_shikkan_start_date ::DATE ELSE NULL END AS shikkan489_start_date</v>
      </c>
      <c r="V502" s="25" t="str">
        <f t="shared" si="69"/>
        <v>, max(shikkan489_start_date)</v>
      </c>
      <c r="AA502" s="4"/>
      <c r="AB502" s="4"/>
      <c r="AC502" s="4"/>
      <c r="AD502" s="4"/>
      <c r="AE502" s="4"/>
      <c r="AF502" s="4"/>
      <c r="AG502" s="4"/>
      <c r="AH502" s="4"/>
      <c r="AI502" s="4"/>
      <c r="AJ502" s="76" t="str">
        <f>IF(E502="○",IF(COUNTA(E$13:E502)=1,"",",")&amp;D502,"")</f>
        <v/>
      </c>
      <c r="AK502" s="4"/>
      <c r="AL502" s="4"/>
      <c r="AM502" s="4"/>
      <c r="AN502" s="4"/>
      <c r="AO502" s="4"/>
      <c r="AP502" s="4"/>
      <c r="AQ502" s="4"/>
      <c r="AR502" s="4"/>
      <c r="AS502" s="76" t="str">
        <f>"COMMENT ON COLUMN "&amp;エンティティ一覧!$O$2&amp;"."&amp;D$8&amp;"."&amp;D502&amp;" IS '"&amp;C502&amp;"';"</f>
        <v>COMMENT ON COLUMN milscm_2023_009.sny_202310_annony_shikkan2.shikkan489_start_date IS 'E111_疾患開始日';</v>
      </c>
    </row>
    <row r="503" spans="1:45" s="25" customFormat="1">
      <c r="A503" s="4" t="s">
        <v>5117</v>
      </c>
      <c r="B503" s="21">
        <f t="shared" si="100"/>
        <v>491</v>
      </c>
      <c r="C503" s="13" t="str">
        <f t="shared" si="99"/>
        <v>E112_疾患開始日</v>
      </c>
      <c r="D503" s="13" t="s">
        <v>6150</v>
      </c>
      <c r="E503" s="8"/>
      <c r="F503" s="7" t="s">
        <v>4348</v>
      </c>
      <c r="G503" s="7" t="s">
        <v>25</v>
      </c>
      <c r="H503" s="58"/>
      <c r="I503" s="23"/>
      <c r="J503" s="24"/>
      <c r="M503" s="4"/>
      <c r="N503" s="76"/>
      <c r="O503" s="76"/>
      <c r="P503" s="76" t="str">
        <f t="shared" si="101"/>
        <v>,shikkan490_start_date</v>
      </c>
      <c r="Q503" s="76" t="str">
        <f t="shared" si="102"/>
        <v>DATE</v>
      </c>
      <c r="R503" s="76" t="str">
        <f t="shared" si="103"/>
        <v/>
      </c>
      <c r="S503" s="76" t="str">
        <f t="shared" si="104"/>
        <v/>
      </c>
      <c r="T503" s="76" t="str">
        <f t="shared" si="105"/>
        <v>-- E112_疾患開始日</v>
      </c>
      <c r="U503" s="4" t="str">
        <f t="shared" si="68"/>
        <v>, CASE WHEN shikkan_disp_name = 'E112' THEN min_shikkan_start_date ::DATE ELSE NULL END AS shikkan490_start_date</v>
      </c>
      <c r="V503" s="25" t="str">
        <f t="shared" si="69"/>
        <v>, max(shikkan490_start_date)</v>
      </c>
      <c r="AA503" s="4"/>
      <c r="AB503" s="4"/>
      <c r="AC503" s="4"/>
      <c r="AD503" s="4"/>
      <c r="AE503" s="4"/>
      <c r="AF503" s="4"/>
      <c r="AG503" s="4"/>
      <c r="AH503" s="4"/>
      <c r="AI503" s="4"/>
      <c r="AJ503" s="76" t="str">
        <f>IF(E503="○",IF(COUNTA(E$13:E503)=1,"",",")&amp;D503,"")</f>
        <v/>
      </c>
      <c r="AK503" s="4"/>
      <c r="AL503" s="4"/>
      <c r="AM503" s="4"/>
      <c r="AN503" s="4"/>
      <c r="AO503" s="4"/>
      <c r="AP503" s="4"/>
      <c r="AQ503" s="4"/>
      <c r="AR503" s="4"/>
      <c r="AS503" s="76" t="str">
        <f>"COMMENT ON COLUMN "&amp;エンティティ一覧!$O$2&amp;"."&amp;D$8&amp;"."&amp;D503&amp;" IS '"&amp;C503&amp;"';"</f>
        <v>COMMENT ON COLUMN milscm_2023_009.sny_202310_annony_shikkan2.shikkan490_start_date IS 'E112_疾患開始日';</v>
      </c>
    </row>
    <row r="504" spans="1:45" s="25" customFormat="1">
      <c r="A504" s="4" t="s">
        <v>5118</v>
      </c>
      <c r="B504" s="21">
        <f t="shared" si="100"/>
        <v>492</v>
      </c>
      <c r="C504" s="13" t="str">
        <f t="shared" si="99"/>
        <v>E113_疾患開始日</v>
      </c>
      <c r="D504" s="13" t="s">
        <v>6151</v>
      </c>
      <c r="E504" s="8"/>
      <c r="F504" s="7" t="s">
        <v>4348</v>
      </c>
      <c r="G504" s="7" t="s">
        <v>25</v>
      </c>
      <c r="H504" s="58"/>
      <c r="I504" s="23"/>
      <c r="J504" s="24"/>
      <c r="M504" s="4"/>
      <c r="N504" s="76"/>
      <c r="O504" s="76"/>
      <c r="P504" s="76" t="str">
        <f t="shared" si="101"/>
        <v>,shikkan491_start_date</v>
      </c>
      <c r="Q504" s="76" t="str">
        <f t="shared" si="102"/>
        <v>DATE</v>
      </c>
      <c r="R504" s="76" t="str">
        <f t="shared" si="103"/>
        <v/>
      </c>
      <c r="S504" s="76" t="str">
        <f t="shared" si="104"/>
        <v/>
      </c>
      <c r="T504" s="76" t="str">
        <f t="shared" si="105"/>
        <v>-- E113_疾患開始日</v>
      </c>
      <c r="U504" s="4" t="str">
        <f t="shared" si="68"/>
        <v>, CASE WHEN shikkan_disp_name = 'E113' THEN min_shikkan_start_date ::DATE ELSE NULL END AS shikkan491_start_date</v>
      </c>
      <c r="V504" s="25" t="str">
        <f t="shared" si="69"/>
        <v>, max(shikkan491_start_date)</v>
      </c>
      <c r="AA504" s="4"/>
      <c r="AB504" s="4"/>
      <c r="AC504" s="4"/>
      <c r="AD504" s="4"/>
      <c r="AE504" s="4"/>
      <c r="AF504" s="4"/>
      <c r="AG504" s="4"/>
      <c r="AH504" s="4"/>
      <c r="AI504" s="4"/>
      <c r="AJ504" s="76" t="str">
        <f>IF(E504="○",IF(COUNTA(E$13:E504)=1,"",",")&amp;D504,"")</f>
        <v/>
      </c>
      <c r="AK504" s="4"/>
      <c r="AL504" s="4"/>
      <c r="AM504" s="4"/>
      <c r="AN504" s="4"/>
      <c r="AO504" s="4"/>
      <c r="AP504" s="4"/>
      <c r="AQ504" s="4"/>
      <c r="AR504" s="4"/>
      <c r="AS504" s="76" t="str">
        <f>"COMMENT ON COLUMN "&amp;エンティティ一覧!$O$2&amp;"."&amp;D$8&amp;"."&amp;D504&amp;" IS '"&amp;C504&amp;"';"</f>
        <v>COMMENT ON COLUMN milscm_2023_009.sny_202310_annony_shikkan2.shikkan491_start_date IS 'E113_疾患開始日';</v>
      </c>
    </row>
    <row r="505" spans="1:45" s="25" customFormat="1">
      <c r="A505" s="4" t="s">
        <v>5119</v>
      </c>
      <c r="B505" s="21">
        <f t="shared" si="100"/>
        <v>493</v>
      </c>
      <c r="C505" s="13" t="str">
        <f t="shared" si="99"/>
        <v>E114_疾患開始日</v>
      </c>
      <c r="D505" s="13" t="s">
        <v>6152</v>
      </c>
      <c r="E505" s="8"/>
      <c r="F505" s="7" t="s">
        <v>4348</v>
      </c>
      <c r="G505" s="7" t="s">
        <v>25</v>
      </c>
      <c r="H505" s="58"/>
      <c r="I505" s="23"/>
      <c r="J505" s="24"/>
      <c r="M505" s="4"/>
      <c r="N505" s="76"/>
      <c r="O505" s="76"/>
      <c r="P505" s="76" t="str">
        <f t="shared" si="101"/>
        <v>,shikkan492_start_date</v>
      </c>
      <c r="Q505" s="76" t="str">
        <f t="shared" si="102"/>
        <v>DATE</v>
      </c>
      <c r="R505" s="76" t="str">
        <f t="shared" si="103"/>
        <v/>
      </c>
      <c r="S505" s="76" t="str">
        <f t="shared" si="104"/>
        <v/>
      </c>
      <c r="T505" s="76" t="str">
        <f t="shared" si="105"/>
        <v>-- E114_疾患開始日</v>
      </c>
      <c r="U505" s="4" t="str">
        <f t="shared" si="68"/>
        <v>, CASE WHEN shikkan_disp_name = 'E114' THEN min_shikkan_start_date ::DATE ELSE NULL END AS shikkan492_start_date</v>
      </c>
      <c r="V505" s="25" t="str">
        <f t="shared" si="69"/>
        <v>, max(shikkan492_start_date)</v>
      </c>
      <c r="AA505" s="4"/>
      <c r="AB505" s="4"/>
      <c r="AC505" s="4"/>
      <c r="AD505" s="4"/>
      <c r="AE505" s="4"/>
      <c r="AF505" s="4"/>
      <c r="AG505" s="4"/>
      <c r="AH505" s="4"/>
      <c r="AI505" s="4"/>
      <c r="AJ505" s="76" t="str">
        <f>IF(E505="○",IF(COUNTA(E$13:E505)=1,"",",")&amp;D505,"")</f>
        <v/>
      </c>
      <c r="AK505" s="4"/>
      <c r="AL505" s="4"/>
      <c r="AM505" s="4"/>
      <c r="AN505" s="4"/>
      <c r="AO505" s="4"/>
      <c r="AP505" s="4"/>
      <c r="AQ505" s="4"/>
      <c r="AR505" s="4"/>
      <c r="AS505" s="76" t="str">
        <f>"COMMENT ON COLUMN "&amp;エンティティ一覧!$O$2&amp;"."&amp;D$8&amp;"."&amp;D505&amp;" IS '"&amp;C505&amp;"';"</f>
        <v>COMMENT ON COLUMN milscm_2023_009.sny_202310_annony_shikkan2.shikkan492_start_date IS 'E114_疾患開始日';</v>
      </c>
    </row>
    <row r="506" spans="1:45" s="25" customFormat="1">
      <c r="A506" s="4" t="s">
        <v>5120</v>
      </c>
      <c r="B506" s="21">
        <f t="shared" si="100"/>
        <v>494</v>
      </c>
      <c r="C506" s="13" t="str">
        <f t="shared" si="99"/>
        <v>E115_疾患開始日</v>
      </c>
      <c r="D506" s="13" t="s">
        <v>6153</v>
      </c>
      <c r="E506" s="8"/>
      <c r="F506" s="7" t="s">
        <v>4348</v>
      </c>
      <c r="G506" s="7" t="s">
        <v>25</v>
      </c>
      <c r="H506" s="58"/>
      <c r="I506" s="23"/>
      <c r="J506" s="24"/>
      <c r="M506" s="4"/>
      <c r="N506" s="76"/>
      <c r="O506" s="76"/>
      <c r="P506" s="76" t="str">
        <f t="shared" si="101"/>
        <v>,shikkan493_start_date</v>
      </c>
      <c r="Q506" s="76" t="str">
        <f t="shared" si="102"/>
        <v>DATE</v>
      </c>
      <c r="R506" s="76" t="str">
        <f t="shared" si="103"/>
        <v/>
      </c>
      <c r="S506" s="76" t="str">
        <f t="shared" si="104"/>
        <v/>
      </c>
      <c r="T506" s="76" t="str">
        <f t="shared" si="105"/>
        <v>-- E115_疾患開始日</v>
      </c>
      <c r="U506" s="4" t="str">
        <f t="shared" si="68"/>
        <v>, CASE WHEN shikkan_disp_name = 'E115' THEN min_shikkan_start_date ::DATE ELSE NULL END AS shikkan493_start_date</v>
      </c>
      <c r="V506" s="25" t="str">
        <f t="shared" si="69"/>
        <v>, max(shikkan493_start_date)</v>
      </c>
      <c r="AA506" s="4"/>
      <c r="AB506" s="4"/>
      <c r="AC506" s="4"/>
      <c r="AD506" s="4"/>
      <c r="AE506" s="4"/>
      <c r="AF506" s="4"/>
      <c r="AG506" s="4"/>
      <c r="AH506" s="4"/>
      <c r="AI506" s="4"/>
      <c r="AJ506" s="76" t="str">
        <f>IF(E506="○",IF(COUNTA(E$13:E506)=1,"",",")&amp;D506,"")</f>
        <v/>
      </c>
      <c r="AK506" s="4"/>
      <c r="AL506" s="4"/>
      <c r="AM506" s="4"/>
      <c r="AN506" s="4"/>
      <c r="AO506" s="4"/>
      <c r="AP506" s="4"/>
      <c r="AQ506" s="4"/>
      <c r="AR506" s="4"/>
      <c r="AS506" s="76" t="str">
        <f>"COMMENT ON COLUMN "&amp;エンティティ一覧!$O$2&amp;"."&amp;D$8&amp;"."&amp;D506&amp;" IS '"&amp;C506&amp;"';"</f>
        <v>COMMENT ON COLUMN milscm_2023_009.sny_202310_annony_shikkan2.shikkan493_start_date IS 'E115_疾患開始日';</v>
      </c>
    </row>
    <row r="507" spans="1:45" s="25" customFormat="1">
      <c r="A507" s="4" t="s">
        <v>5095</v>
      </c>
      <c r="B507" s="21">
        <f t="shared" si="100"/>
        <v>495</v>
      </c>
      <c r="C507" s="13" t="str">
        <f t="shared" si="99"/>
        <v>E116_疾患開始日</v>
      </c>
      <c r="D507" s="13" t="s">
        <v>6154</v>
      </c>
      <c r="E507" s="8"/>
      <c r="F507" s="7" t="s">
        <v>4348</v>
      </c>
      <c r="G507" s="7" t="s">
        <v>25</v>
      </c>
      <c r="H507" s="58"/>
      <c r="I507" s="23"/>
      <c r="J507" s="24"/>
      <c r="M507" s="4"/>
      <c r="N507" s="76"/>
      <c r="O507" s="76"/>
      <c r="P507" s="76" t="str">
        <f t="shared" si="101"/>
        <v>,shikkan494_start_date</v>
      </c>
      <c r="Q507" s="76" t="str">
        <f t="shared" si="102"/>
        <v>DATE</v>
      </c>
      <c r="R507" s="76" t="str">
        <f t="shared" si="103"/>
        <v/>
      </c>
      <c r="S507" s="76" t="str">
        <f t="shared" si="104"/>
        <v/>
      </c>
      <c r="T507" s="76" t="str">
        <f t="shared" si="105"/>
        <v>-- E116_疾患開始日</v>
      </c>
      <c r="U507" s="4" t="str">
        <f t="shared" si="68"/>
        <v>, CASE WHEN shikkan_disp_name = 'E116' THEN min_shikkan_start_date ::DATE ELSE NULL END AS shikkan494_start_date</v>
      </c>
      <c r="V507" s="25" t="str">
        <f t="shared" si="69"/>
        <v>, max(shikkan494_start_date)</v>
      </c>
      <c r="AA507" s="4"/>
      <c r="AB507" s="4"/>
      <c r="AC507" s="4"/>
      <c r="AD507" s="4"/>
      <c r="AE507" s="4"/>
      <c r="AF507" s="4"/>
      <c r="AG507" s="4"/>
      <c r="AH507" s="4"/>
      <c r="AI507" s="4"/>
      <c r="AJ507" s="76" t="str">
        <f>IF(E507="○",IF(COUNTA(E$13:E507)=1,"",",")&amp;D507,"")</f>
        <v/>
      </c>
      <c r="AK507" s="4"/>
      <c r="AL507" s="4"/>
      <c r="AM507" s="4"/>
      <c r="AN507" s="4"/>
      <c r="AO507" s="4"/>
      <c r="AP507" s="4"/>
      <c r="AQ507" s="4"/>
      <c r="AR507" s="4"/>
      <c r="AS507" s="76" t="str">
        <f>"COMMENT ON COLUMN "&amp;エンティティ一覧!$O$2&amp;"."&amp;D$8&amp;"."&amp;D507&amp;" IS '"&amp;C507&amp;"';"</f>
        <v>COMMENT ON COLUMN milscm_2023_009.sny_202310_annony_shikkan2.shikkan494_start_date IS 'E116_疾患開始日';</v>
      </c>
    </row>
    <row r="508" spans="1:45" s="25" customFormat="1">
      <c r="A508" s="4" t="s">
        <v>5121</v>
      </c>
      <c r="B508" s="21">
        <f t="shared" si="100"/>
        <v>496</v>
      </c>
      <c r="C508" s="13" t="str">
        <f t="shared" si="99"/>
        <v>E117_疾患開始日</v>
      </c>
      <c r="D508" s="13" t="s">
        <v>6155</v>
      </c>
      <c r="E508" s="8"/>
      <c r="F508" s="7" t="s">
        <v>4348</v>
      </c>
      <c r="G508" s="7" t="s">
        <v>25</v>
      </c>
      <c r="H508" s="58"/>
      <c r="I508" s="23"/>
      <c r="J508" s="24"/>
      <c r="M508" s="4"/>
      <c r="N508" s="76"/>
      <c r="O508" s="76"/>
      <c r="P508" s="76" t="str">
        <f t="shared" si="101"/>
        <v>,shikkan495_start_date</v>
      </c>
      <c r="Q508" s="76" t="str">
        <f t="shared" si="102"/>
        <v>DATE</v>
      </c>
      <c r="R508" s="76" t="str">
        <f t="shared" si="103"/>
        <v/>
      </c>
      <c r="S508" s="76" t="str">
        <f t="shared" si="104"/>
        <v/>
      </c>
      <c r="T508" s="76" t="str">
        <f t="shared" si="105"/>
        <v>-- E117_疾患開始日</v>
      </c>
      <c r="U508" s="4" t="str">
        <f t="shared" si="68"/>
        <v>, CASE WHEN shikkan_disp_name = 'E117' THEN min_shikkan_start_date ::DATE ELSE NULL END AS shikkan495_start_date</v>
      </c>
      <c r="V508" s="25" t="str">
        <f t="shared" si="69"/>
        <v>, max(shikkan495_start_date)</v>
      </c>
      <c r="AA508" s="4"/>
      <c r="AB508" s="4"/>
      <c r="AC508" s="4"/>
      <c r="AD508" s="4"/>
      <c r="AE508" s="4"/>
      <c r="AF508" s="4"/>
      <c r="AG508" s="4"/>
      <c r="AH508" s="4"/>
      <c r="AI508" s="4"/>
      <c r="AJ508" s="76" t="str">
        <f>IF(E508="○",IF(COUNTA(E$13:E508)=1,"",",")&amp;D508,"")</f>
        <v/>
      </c>
      <c r="AK508" s="4"/>
      <c r="AL508" s="4"/>
      <c r="AM508" s="4"/>
      <c r="AN508" s="4"/>
      <c r="AO508" s="4"/>
      <c r="AP508" s="4"/>
      <c r="AQ508" s="4"/>
      <c r="AR508" s="4"/>
      <c r="AS508" s="76" t="str">
        <f>"COMMENT ON COLUMN "&amp;エンティティ一覧!$O$2&amp;"."&amp;D$8&amp;"."&amp;D508&amp;" IS '"&amp;C508&amp;"';"</f>
        <v>COMMENT ON COLUMN milscm_2023_009.sny_202310_annony_shikkan2.shikkan495_start_date IS 'E117_疾患開始日';</v>
      </c>
    </row>
    <row r="509" spans="1:45" s="25" customFormat="1">
      <c r="A509" s="4" t="s">
        <v>5096</v>
      </c>
      <c r="B509" s="21">
        <f t="shared" si="100"/>
        <v>497</v>
      </c>
      <c r="C509" s="13" t="str">
        <f t="shared" si="99"/>
        <v>E118_疾患開始日</v>
      </c>
      <c r="D509" s="13" t="s">
        <v>6156</v>
      </c>
      <c r="E509" s="8"/>
      <c r="F509" s="7" t="s">
        <v>4348</v>
      </c>
      <c r="G509" s="7" t="s">
        <v>99</v>
      </c>
      <c r="H509" s="58"/>
      <c r="I509" s="23"/>
      <c r="J509" s="24"/>
      <c r="M509" s="4"/>
      <c r="N509" s="76"/>
      <c r="O509" s="76"/>
      <c r="P509" s="76" t="str">
        <f t="shared" si="101"/>
        <v>,shikkan496_start_date</v>
      </c>
      <c r="Q509" s="76" t="str">
        <f t="shared" si="102"/>
        <v>DATE</v>
      </c>
      <c r="R509" s="76" t="str">
        <f t="shared" si="103"/>
        <v/>
      </c>
      <c r="S509" s="76" t="str">
        <f t="shared" si="104"/>
        <v/>
      </c>
      <c r="T509" s="76" t="str">
        <f t="shared" si="105"/>
        <v>-- E118_疾患開始日</v>
      </c>
      <c r="U509" s="4" t="str">
        <f t="shared" si="68"/>
        <v>, CASE WHEN shikkan_disp_name = 'E118' THEN min_shikkan_start_date ::DATE ELSE NULL END AS shikkan496_start_date</v>
      </c>
      <c r="V509" s="25" t="str">
        <f t="shared" si="69"/>
        <v>, max(shikkan496_start_date)</v>
      </c>
      <c r="AA509" s="4"/>
      <c r="AB509" s="4"/>
      <c r="AC509" s="4"/>
      <c r="AD509" s="4"/>
      <c r="AE509" s="4"/>
      <c r="AF509" s="4"/>
      <c r="AG509" s="4"/>
      <c r="AH509" s="4"/>
      <c r="AI509" s="4"/>
      <c r="AJ509" s="76" t="str">
        <f>IF(E509="○",IF(COUNTA(E$13:E509)=1,"",",")&amp;D509,"")</f>
        <v/>
      </c>
      <c r="AK509" s="4"/>
      <c r="AL509" s="4"/>
      <c r="AM509" s="4"/>
      <c r="AN509" s="4"/>
      <c r="AO509" s="4"/>
      <c r="AP509" s="4"/>
      <c r="AQ509" s="4"/>
      <c r="AR509" s="4"/>
      <c r="AS509" s="76" t="str">
        <f>"COMMENT ON COLUMN "&amp;エンティティ一覧!$O$2&amp;"."&amp;D$8&amp;"."&amp;D509&amp;" IS '"&amp;C509&amp;"';"</f>
        <v>COMMENT ON COLUMN milscm_2023_009.sny_202310_annony_shikkan2.shikkan496_start_date IS 'E118_疾患開始日';</v>
      </c>
    </row>
    <row r="510" spans="1:45" s="25" customFormat="1">
      <c r="A510" s="4" t="s">
        <v>5097</v>
      </c>
      <c r="B510" s="21">
        <f t="shared" si="100"/>
        <v>498</v>
      </c>
      <c r="C510" s="13" t="str">
        <f t="shared" si="99"/>
        <v>E119_疾患開始日</v>
      </c>
      <c r="D510" s="13" t="s">
        <v>6157</v>
      </c>
      <c r="E510" s="8"/>
      <c r="F510" s="7" t="s">
        <v>4348</v>
      </c>
      <c r="G510" s="7" t="s">
        <v>25</v>
      </c>
      <c r="H510" s="58"/>
      <c r="I510" s="23"/>
      <c r="J510" s="24"/>
      <c r="M510" s="4"/>
      <c r="N510" s="76"/>
      <c r="O510" s="76"/>
      <c r="P510" s="76" t="str">
        <f t="shared" si="101"/>
        <v>,shikkan497_start_date</v>
      </c>
      <c r="Q510" s="76" t="str">
        <f t="shared" si="102"/>
        <v>DATE</v>
      </c>
      <c r="R510" s="76" t="str">
        <f t="shared" si="103"/>
        <v/>
      </c>
      <c r="S510" s="76" t="str">
        <f t="shared" si="104"/>
        <v/>
      </c>
      <c r="T510" s="76" t="str">
        <f t="shared" si="105"/>
        <v>-- E119_疾患開始日</v>
      </c>
      <c r="U510" s="4" t="str">
        <f t="shared" si="68"/>
        <v>, CASE WHEN shikkan_disp_name = 'E119' THEN min_shikkan_start_date ::DATE ELSE NULL END AS shikkan497_start_date</v>
      </c>
      <c r="V510" s="25" t="str">
        <f t="shared" si="69"/>
        <v>, max(shikkan497_start_date)</v>
      </c>
      <c r="AA510" s="4"/>
      <c r="AB510" s="4"/>
      <c r="AC510" s="4"/>
      <c r="AD510" s="4"/>
      <c r="AE510" s="4"/>
      <c r="AF510" s="4"/>
      <c r="AG510" s="4"/>
      <c r="AH510" s="4"/>
      <c r="AI510" s="4"/>
      <c r="AJ510" s="76" t="str">
        <f>IF(E510="○",IF(COUNTA(E$13:E510)=1,"",",")&amp;D510,"")</f>
        <v/>
      </c>
      <c r="AK510" s="4"/>
      <c r="AL510" s="4"/>
      <c r="AM510" s="4"/>
      <c r="AN510" s="4"/>
      <c r="AO510" s="4"/>
      <c r="AP510" s="4"/>
      <c r="AQ510" s="4"/>
      <c r="AR510" s="4"/>
      <c r="AS510" s="76" t="str">
        <f>"COMMENT ON COLUMN "&amp;エンティティ一覧!$O$2&amp;"."&amp;D$8&amp;"."&amp;D510&amp;" IS '"&amp;C510&amp;"';"</f>
        <v>COMMENT ON COLUMN milscm_2023_009.sny_202310_annony_shikkan2.shikkan497_start_date IS 'E119_疾患開始日';</v>
      </c>
    </row>
    <row r="511" spans="1:45" s="25" customFormat="1">
      <c r="A511" s="4" t="s">
        <v>5098</v>
      </c>
      <c r="B511" s="21">
        <f t="shared" si="100"/>
        <v>499</v>
      </c>
      <c r="C511" s="13" t="str">
        <f t="shared" si="99"/>
        <v>E120_疾患開始日</v>
      </c>
      <c r="D511" s="13" t="s">
        <v>6158</v>
      </c>
      <c r="E511" s="8"/>
      <c r="F511" s="7" t="s">
        <v>4348</v>
      </c>
      <c r="G511" s="7" t="s">
        <v>25</v>
      </c>
      <c r="H511" s="58"/>
      <c r="I511" s="23"/>
      <c r="J511" s="24"/>
      <c r="M511" s="4"/>
      <c r="N511" s="76"/>
      <c r="O511" s="76"/>
      <c r="P511" s="76" t="str">
        <f t="shared" si="101"/>
        <v>,shikkan498_start_date</v>
      </c>
      <c r="Q511" s="76" t="str">
        <f t="shared" si="102"/>
        <v>DATE</v>
      </c>
      <c r="R511" s="76" t="str">
        <f t="shared" si="103"/>
        <v/>
      </c>
      <c r="S511" s="76" t="str">
        <f t="shared" si="104"/>
        <v/>
      </c>
      <c r="T511" s="76" t="str">
        <f t="shared" si="105"/>
        <v>-- E120_疾患開始日</v>
      </c>
      <c r="U511" s="4" t="str">
        <f t="shared" si="68"/>
        <v>, CASE WHEN shikkan_disp_name = 'E120' THEN min_shikkan_start_date ::DATE ELSE NULL END AS shikkan498_start_date</v>
      </c>
      <c r="V511" s="25" t="str">
        <f t="shared" si="69"/>
        <v>, max(shikkan498_start_date)</v>
      </c>
      <c r="AA511" s="4"/>
      <c r="AB511" s="4"/>
      <c r="AC511" s="4"/>
      <c r="AD511" s="4"/>
      <c r="AE511" s="4"/>
      <c r="AF511" s="4"/>
      <c r="AG511" s="4"/>
      <c r="AH511" s="4"/>
      <c r="AI511" s="4"/>
      <c r="AJ511" s="76" t="str">
        <f>IF(E511="○",IF(COUNTA(E$13:E511)=1,"",",")&amp;D511,"")</f>
        <v/>
      </c>
      <c r="AK511" s="4"/>
      <c r="AL511" s="4"/>
      <c r="AM511" s="4"/>
      <c r="AN511" s="4"/>
      <c r="AO511" s="4"/>
      <c r="AP511" s="4"/>
      <c r="AQ511" s="4"/>
      <c r="AR511" s="4"/>
      <c r="AS511" s="76" t="str">
        <f>"COMMENT ON COLUMN "&amp;エンティティ一覧!$O$2&amp;"."&amp;D$8&amp;"."&amp;D511&amp;" IS '"&amp;C511&amp;"';"</f>
        <v>COMMENT ON COLUMN milscm_2023_009.sny_202310_annony_shikkan2.shikkan498_start_date IS 'E120_疾患開始日';</v>
      </c>
    </row>
    <row r="512" spans="1:45" s="25" customFormat="1">
      <c r="A512" s="4" t="s">
        <v>5099</v>
      </c>
      <c r="B512" s="21">
        <f t="shared" si="100"/>
        <v>500</v>
      </c>
      <c r="C512" s="13" t="str">
        <f t="shared" si="99"/>
        <v>E121_疾患開始日</v>
      </c>
      <c r="D512" s="13" t="s">
        <v>6159</v>
      </c>
      <c r="E512" s="8"/>
      <c r="F512" s="7" t="s">
        <v>4348</v>
      </c>
      <c r="G512" s="7" t="s">
        <v>25</v>
      </c>
      <c r="H512" s="58"/>
      <c r="I512" s="23"/>
      <c r="J512" s="24"/>
      <c r="M512" s="4"/>
      <c r="N512" s="76"/>
      <c r="O512" s="76"/>
      <c r="P512" s="76" t="str">
        <f t="shared" si="101"/>
        <v>,shikkan499_start_date</v>
      </c>
      <c r="Q512" s="76" t="str">
        <f t="shared" si="102"/>
        <v>DATE</v>
      </c>
      <c r="R512" s="76" t="str">
        <f t="shared" si="103"/>
        <v/>
      </c>
      <c r="S512" s="76" t="str">
        <f t="shared" si="104"/>
        <v/>
      </c>
      <c r="T512" s="76" t="str">
        <f t="shared" si="105"/>
        <v>-- E121_疾患開始日</v>
      </c>
      <c r="U512" s="4" t="str">
        <f t="shared" si="68"/>
        <v>, CASE WHEN shikkan_disp_name = 'E121' THEN min_shikkan_start_date ::DATE ELSE NULL END AS shikkan499_start_date</v>
      </c>
      <c r="V512" s="25" t="str">
        <f t="shared" si="69"/>
        <v>, max(shikkan499_start_date)</v>
      </c>
      <c r="AA512" s="4"/>
      <c r="AB512" s="4"/>
      <c r="AC512" s="4"/>
      <c r="AD512" s="4"/>
      <c r="AE512" s="4"/>
      <c r="AF512" s="4"/>
      <c r="AG512" s="4"/>
      <c r="AH512" s="4"/>
      <c r="AI512" s="4"/>
      <c r="AJ512" s="76" t="str">
        <f>IF(E512="○",IF(COUNTA(E$13:E512)=1,"",",")&amp;D512,"")</f>
        <v/>
      </c>
      <c r="AK512" s="4"/>
      <c r="AL512" s="4"/>
      <c r="AM512" s="4"/>
      <c r="AN512" s="4"/>
      <c r="AO512" s="4"/>
      <c r="AP512" s="4"/>
      <c r="AQ512" s="4"/>
      <c r="AR512" s="4"/>
      <c r="AS512" s="76" t="str">
        <f>"COMMENT ON COLUMN "&amp;エンティティ一覧!$O$2&amp;"."&amp;D$8&amp;"."&amp;D512&amp;" IS '"&amp;C512&amp;"';"</f>
        <v>COMMENT ON COLUMN milscm_2023_009.sny_202310_annony_shikkan2.shikkan499_start_date IS 'E121_疾患開始日';</v>
      </c>
    </row>
    <row r="513" spans="1:45" s="25" customFormat="1">
      <c r="A513" s="4" t="s">
        <v>5122</v>
      </c>
      <c r="B513" s="21">
        <f t="shared" si="100"/>
        <v>501</v>
      </c>
      <c r="C513" s="13" t="str">
        <f t="shared" si="99"/>
        <v>E122_疾患開始日</v>
      </c>
      <c r="D513" s="13" t="s">
        <v>6160</v>
      </c>
      <c r="E513" s="8"/>
      <c r="F513" s="7" t="s">
        <v>4348</v>
      </c>
      <c r="G513" s="7" t="s">
        <v>25</v>
      </c>
      <c r="H513" s="58"/>
      <c r="I513" s="23"/>
      <c r="J513" s="24"/>
      <c r="M513" s="4"/>
      <c r="N513" s="76"/>
      <c r="O513" s="76"/>
      <c r="P513" s="76" t="str">
        <f t="shared" si="101"/>
        <v>,shikkan500_start_date</v>
      </c>
      <c r="Q513" s="76" t="str">
        <f t="shared" si="102"/>
        <v>DATE</v>
      </c>
      <c r="R513" s="76" t="str">
        <f t="shared" si="103"/>
        <v/>
      </c>
      <c r="S513" s="76" t="str">
        <f t="shared" si="104"/>
        <v/>
      </c>
      <c r="T513" s="76" t="str">
        <f t="shared" si="105"/>
        <v>-- E122_疾患開始日</v>
      </c>
      <c r="U513" s="4" t="str">
        <f t="shared" si="68"/>
        <v>, CASE WHEN shikkan_disp_name = 'E122' THEN min_shikkan_start_date ::DATE ELSE NULL END AS shikkan500_start_date</v>
      </c>
      <c r="V513" s="25" t="str">
        <f t="shared" si="69"/>
        <v>, max(shikkan500_start_date)</v>
      </c>
      <c r="AA513" s="4"/>
      <c r="AB513" s="4"/>
      <c r="AC513" s="4"/>
      <c r="AD513" s="4"/>
      <c r="AE513" s="4"/>
      <c r="AF513" s="4"/>
      <c r="AG513" s="4"/>
      <c r="AH513" s="4"/>
      <c r="AI513" s="4"/>
      <c r="AJ513" s="76" t="str">
        <f>IF(E513="○",IF(COUNTA(E$13:E513)=1,"",",")&amp;D513,"")</f>
        <v/>
      </c>
      <c r="AK513" s="4"/>
      <c r="AL513" s="4"/>
      <c r="AM513" s="4"/>
      <c r="AN513" s="4"/>
      <c r="AO513" s="4"/>
      <c r="AP513" s="4"/>
      <c r="AQ513" s="4"/>
      <c r="AR513" s="4"/>
      <c r="AS513" s="76" t="str">
        <f>"COMMENT ON COLUMN "&amp;エンティティ一覧!$O$2&amp;"."&amp;D$8&amp;"."&amp;D513&amp;" IS '"&amp;C513&amp;"';"</f>
        <v>COMMENT ON COLUMN milscm_2023_009.sny_202310_annony_shikkan2.shikkan500_start_date IS 'E122_疾患開始日';</v>
      </c>
    </row>
    <row r="514" spans="1:45" s="25" customFormat="1">
      <c r="A514" s="4" t="s">
        <v>5123</v>
      </c>
      <c r="B514" s="21">
        <f t="shared" si="100"/>
        <v>502</v>
      </c>
      <c r="C514" s="13" t="str">
        <f t="shared" si="99"/>
        <v>E123_疾患開始日</v>
      </c>
      <c r="D514" s="13" t="s">
        <v>6161</v>
      </c>
      <c r="E514" s="8"/>
      <c r="F514" s="7" t="s">
        <v>4348</v>
      </c>
      <c r="G514" s="7" t="s">
        <v>25</v>
      </c>
      <c r="H514" s="58"/>
      <c r="I514" s="23"/>
      <c r="J514" s="24"/>
      <c r="M514" s="4"/>
      <c r="N514" s="76"/>
      <c r="O514" s="76"/>
      <c r="P514" s="76" t="str">
        <f t="shared" si="101"/>
        <v>,shikkan501_start_date</v>
      </c>
      <c r="Q514" s="76" t="str">
        <f t="shared" si="102"/>
        <v>DATE</v>
      </c>
      <c r="R514" s="76" t="str">
        <f t="shared" si="103"/>
        <v/>
      </c>
      <c r="S514" s="76" t="str">
        <f t="shared" si="104"/>
        <v/>
      </c>
      <c r="T514" s="76" t="str">
        <f t="shared" si="105"/>
        <v>-- E123_疾患開始日</v>
      </c>
      <c r="U514" s="4" t="str">
        <f t="shared" si="68"/>
        <v>, CASE WHEN shikkan_disp_name = 'E123' THEN min_shikkan_start_date ::DATE ELSE NULL END AS shikkan501_start_date</v>
      </c>
      <c r="V514" s="25" t="str">
        <f t="shared" si="69"/>
        <v>, max(shikkan501_start_date)</v>
      </c>
      <c r="AA514" s="4"/>
      <c r="AB514" s="4"/>
      <c r="AC514" s="4"/>
      <c r="AD514" s="4"/>
      <c r="AE514" s="4"/>
      <c r="AF514" s="4"/>
      <c r="AG514" s="4"/>
      <c r="AH514" s="4"/>
      <c r="AI514" s="4"/>
      <c r="AJ514" s="76" t="str">
        <f>IF(E514="○",IF(COUNTA(E$13:E514)=1,"",",")&amp;D514,"")</f>
        <v/>
      </c>
      <c r="AK514" s="4"/>
      <c r="AL514" s="4"/>
      <c r="AM514" s="4"/>
      <c r="AN514" s="4"/>
      <c r="AO514" s="4"/>
      <c r="AP514" s="4"/>
      <c r="AQ514" s="4"/>
      <c r="AR514" s="4"/>
      <c r="AS514" s="76" t="str">
        <f>"COMMENT ON COLUMN "&amp;エンティティ一覧!$O$2&amp;"."&amp;D$8&amp;"."&amp;D514&amp;" IS '"&amp;C514&amp;"';"</f>
        <v>COMMENT ON COLUMN milscm_2023_009.sny_202310_annony_shikkan2.shikkan501_start_date IS 'E123_疾患開始日';</v>
      </c>
    </row>
    <row r="515" spans="1:45" s="25" customFormat="1">
      <c r="A515" s="4" t="s">
        <v>5124</v>
      </c>
      <c r="B515" s="21">
        <f t="shared" si="100"/>
        <v>503</v>
      </c>
      <c r="C515" s="13" t="str">
        <f t="shared" si="99"/>
        <v>E124_疾患開始日</v>
      </c>
      <c r="D515" s="13" t="s">
        <v>6162</v>
      </c>
      <c r="E515" s="8"/>
      <c r="F515" s="7" t="s">
        <v>4348</v>
      </c>
      <c r="G515" s="7" t="s">
        <v>25</v>
      </c>
      <c r="H515" s="58"/>
      <c r="I515" s="23"/>
      <c r="J515" s="24"/>
      <c r="M515" s="4"/>
      <c r="N515" s="76"/>
      <c r="O515" s="76"/>
      <c r="P515" s="76" t="str">
        <f t="shared" si="101"/>
        <v>,shikkan502_start_date</v>
      </c>
      <c r="Q515" s="76" t="str">
        <f t="shared" si="102"/>
        <v>DATE</v>
      </c>
      <c r="R515" s="76" t="str">
        <f t="shared" si="103"/>
        <v/>
      </c>
      <c r="S515" s="76" t="str">
        <f t="shared" si="104"/>
        <v/>
      </c>
      <c r="T515" s="76" t="str">
        <f t="shared" si="105"/>
        <v>-- E124_疾患開始日</v>
      </c>
      <c r="U515" s="4" t="str">
        <f t="shared" si="68"/>
        <v>, CASE WHEN shikkan_disp_name = 'E124' THEN min_shikkan_start_date ::DATE ELSE NULL END AS shikkan502_start_date</v>
      </c>
      <c r="V515" s="25" t="str">
        <f t="shared" si="69"/>
        <v>, max(shikkan502_start_date)</v>
      </c>
      <c r="AA515" s="4"/>
      <c r="AB515" s="4"/>
      <c r="AC515" s="4"/>
      <c r="AD515" s="4"/>
      <c r="AE515" s="4"/>
      <c r="AF515" s="4"/>
      <c r="AG515" s="4"/>
      <c r="AH515" s="4"/>
      <c r="AI515" s="4"/>
      <c r="AJ515" s="76" t="str">
        <f>IF(E515="○",IF(COUNTA(E$13:E515)=1,"",",")&amp;D515,"")</f>
        <v/>
      </c>
      <c r="AK515" s="4"/>
      <c r="AL515" s="4"/>
      <c r="AM515" s="4"/>
      <c r="AN515" s="4"/>
      <c r="AO515" s="4"/>
      <c r="AP515" s="4"/>
      <c r="AQ515" s="4"/>
      <c r="AR515" s="4"/>
      <c r="AS515" s="76" t="str">
        <f>"COMMENT ON COLUMN "&amp;エンティティ一覧!$O$2&amp;"."&amp;D$8&amp;"."&amp;D515&amp;" IS '"&amp;C515&amp;"';"</f>
        <v>COMMENT ON COLUMN milscm_2023_009.sny_202310_annony_shikkan2.shikkan502_start_date IS 'E124_疾患開始日';</v>
      </c>
    </row>
    <row r="516" spans="1:45" s="25" customFormat="1">
      <c r="A516" s="4" t="s">
        <v>5125</v>
      </c>
      <c r="B516" s="21">
        <f t="shared" si="100"/>
        <v>504</v>
      </c>
      <c r="C516" s="13" t="str">
        <f t="shared" si="99"/>
        <v>E125_疾患開始日</v>
      </c>
      <c r="D516" s="13" t="s">
        <v>6163</v>
      </c>
      <c r="E516" s="8"/>
      <c r="F516" s="7" t="s">
        <v>4348</v>
      </c>
      <c r="G516" s="7" t="s">
        <v>25</v>
      </c>
      <c r="H516" s="58"/>
      <c r="I516" s="23"/>
      <c r="J516" s="24"/>
      <c r="M516" s="4"/>
      <c r="N516" s="76"/>
      <c r="O516" s="76"/>
      <c r="P516" s="76" t="str">
        <f t="shared" si="101"/>
        <v>,shikkan503_start_date</v>
      </c>
      <c r="Q516" s="76" t="str">
        <f t="shared" si="102"/>
        <v>DATE</v>
      </c>
      <c r="R516" s="76" t="str">
        <f t="shared" si="103"/>
        <v/>
      </c>
      <c r="S516" s="76" t="str">
        <f t="shared" si="104"/>
        <v/>
      </c>
      <c r="T516" s="76" t="str">
        <f t="shared" si="105"/>
        <v>-- E125_疾患開始日</v>
      </c>
      <c r="U516" s="4" t="str">
        <f t="shared" si="68"/>
        <v>, CASE WHEN shikkan_disp_name = 'E125' THEN min_shikkan_start_date ::DATE ELSE NULL END AS shikkan503_start_date</v>
      </c>
      <c r="V516" s="25" t="str">
        <f t="shared" si="69"/>
        <v>, max(shikkan503_start_date)</v>
      </c>
      <c r="AA516" s="4"/>
      <c r="AB516" s="4"/>
      <c r="AC516" s="4"/>
      <c r="AD516" s="4"/>
      <c r="AE516" s="4"/>
      <c r="AF516" s="4"/>
      <c r="AG516" s="4"/>
      <c r="AH516" s="4"/>
      <c r="AI516" s="4"/>
      <c r="AJ516" s="76" t="str">
        <f>IF(E516="○",IF(COUNTA(E$13:E516)=1,"",",")&amp;D516,"")</f>
        <v/>
      </c>
      <c r="AK516" s="4"/>
      <c r="AL516" s="4"/>
      <c r="AM516" s="4"/>
      <c r="AN516" s="4"/>
      <c r="AO516" s="4"/>
      <c r="AP516" s="4"/>
      <c r="AQ516" s="4"/>
      <c r="AR516" s="4"/>
      <c r="AS516" s="76" t="str">
        <f>"COMMENT ON COLUMN "&amp;エンティティ一覧!$O$2&amp;"."&amp;D$8&amp;"."&amp;D516&amp;" IS '"&amp;C516&amp;"';"</f>
        <v>COMMENT ON COLUMN milscm_2023_009.sny_202310_annony_shikkan2.shikkan503_start_date IS 'E125_疾患開始日';</v>
      </c>
    </row>
    <row r="517" spans="1:45" s="25" customFormat="1">
      <c r="A517" s="4" t="s">
        <v>5100</v>
      </c>
      <c r="B517" s="21">
        <f t="shared" si="100"/>
        <v>505</v>
      </c>
      <c r="C517" s="13" t="str">
        <f t="shared" si="99"/>
        <v>E126_疾患開始日</v>
      </c>
      <c r="D517" s="13" t="s">
        <v>6164</v>
      </c>
      <c r="E517" s="8"/>
      <c r="F517" s="7" t="s">
        <v>4348</v>
      </c>
      <c r="G517" s="7" t="s">
        <v>25</v>
      </c>
      <c r="H517" s="58"/>
      <c r="I517" s="23"/>
      <c r="J517" s="24"/>
      <c r="M517" s="4"/>
      <c r="N517" s="76"/>
      <c r="O517" s="76"/>
      <c r="P517" s="76" t="str">
        <f t="shared" si="101"/>
        <v>,shikkan504_start_date</v>
      </c>
      <c r="Q517" s="76" t="str">
        <f t="shared" si="102"/>
        <v>DATE</v>
      </c>
      <c r="R517" s="76" t="str">
        <f t="shared" si="103"/>
        <v/>
      </c>
      <c r="S517" s="76" t="str">
        <f t="shared" si="104"/>
        <v/>
      </c>
      <c r="T517" s="76" t="str">
        <f t="shared" si="105"/>
        <v>-- E126_疾患開始日</v>
      </c>
      <c r="U517" s="4" t="str">
        <f t="shared" si="68"/>
        <v>, CASE WHEN shikkan_disp_name = 'E126' THEN min_shikkan_start_date ::DATE ELSE NULL END AS shikkan504_start_date</v>
      </c>
      <c r="V517" s="25" t="str">
        <f t="shared" si="69"/>
        <v>, max(shikkan504_start_date)</v>
      </c>
      <c r="AA517" s="4"/>
      <c r="AB517" s="4"/>
      <c r="AC517" s="4"/>
      <c r="AD517" s="4"/>
      <c r="AE517" s="4"/>
      <c r="AF517" s="4"/>
      <c r="AG517" s="4"/>
      <c r="AH517" s="4"/>
      <c r="AI517" s="4"/>
      <c r="AJ517" s="76" t="str">
        <f>IF(E517="○",IF(COUNTA(E$13:E517)=1,"",",")&amp;D517,"")</f>
        <v/>
      </c>
      <c r="AK517" s="4"/>
      <c r="AL517" s="4"/>
      <c r="AM517" s="4"/>
      <c r="AN517" s="4"/>
      <c r="AO517" s="4"/>
      <c r="AP517" s="4"/>
      <c r="AQ517" s="4"/>
      <c r="AR517" s="4"/>
      <c r="AS517" s="76" t="str">
        <f>"COMMENT ON COLUMN "&amp;エンティティ一覧!$O$2&amp;"."&amp;D$8&amp;"."&amp;D517&amp;" IS '"&amp;C517&amp;"';"</f>
        <v>COMMENT ON COLUMN milscm_2023_009.sny_202310_annony_shikkan2.shikkan504_start_date IS 'E126_疾患開始日';</v>
      </c>
    </row>
    <row r="518" spans="1:45" s="25" customFormat="1">
      <c r="A518" s="4" t="s">
        <v>5126</v>
      </c>
      <c r="B518" s="21">
        <f t="shared" si="100"/>
        <v>506</v>
      </c>
      <c r="C518" s="13" t="str">
        <f t="shared" si="99"/>
        <v>E127_疾患開始日</v>
      </c>
      <c r="D518" s="13" t="s">
        <v>6165</v>
      </c>
      <c r="E518" s="8"/>
      <c r="F518" s="7" t="s">
        <v>4348</v>
      </c>
      <c r="G518" s="7" t="s">
        <v>25</v>
      </c>
      <c r="H518" s="58"/>
      <c r="I518" s="23"/>
      <c r="J518" s="24"/>
      <c r="M518" s="4"/>
      <c r="N518" s="76"/>
      <c r="O518" s="76"/>
      <c r="P518" s="76" t="str">
        <f t="shared" si="101"/>
        <v>,shikkan505_start_date</v>
      </c>
      <c r="Q518" s="76" t="str">
        <f t="shared" si="102"/>
        <v>DATE</v>
      </c>
      <c r="R518" s="76" t="str">
        <f t="shared" si="103"/>
        <v/>
      </c>
      <c r="S518" s="76" t="str">
        <f t="shared" si="104"/>
        <v/>
      </c>
      <c r="T518" s="76" t="str">
        <f t="shared" si="105"/>
        <v>-- E127_疾患開始日</v>
      </c>
      <c r="U518" s="4" t="str">
        <f t="shared" si="68"/>
        <v>, CASE WHEN shikkan_disp_name = 'E127' THEN min_shikkan_start_date ::DATE ELSE NULL END AS shikkan505_start_date</v>
      </c>
      <c r="V518" s="25" t="str">
        <f t="shared" si="69"/>
        <v>, max(shikkan505_start_date)</v>
      </c>
      <c r="AA518" s="4"/>
      <c r="AB518" s="4"/>
      <c r="AC518" s="4"/>
      <c r="AD518" s="4"/>
      <c r="AE518" s="4"/>
      <c r="AF518" s="4"/>
      <c r="AG518" s="4"/>
      <c r="AH518" s="4"/>
      <c r="AI518" s="4"/>
      <c r="AJ518" s="76" t="str">
        <f>IF(E518="○",IF(COUNTA(E$13:E518)=1,"",",")&amp;D518,"")</f>
        <v/>
      </c>
      <c r="AK518" s="4"/>
      <c r="AL518" s="4"/>
      <c r="AM518" s="4"/>
      <c r="AN518" s="4"/>
      <c r="AO518" s="4"/>
      <c r="AP518" s="4"/>
      <c r="AQ518" s="4"/>
      <c r="AR518" s="4"/>
      <c r="AS518" s="76" t="str">
        <f>"COMMENT ON COLUMN "&amp;エンティティ一覧!$O$2&amp;"."&amp;D$8&amp;"."&amp;D518&amp;" IS '"&amp;C518&amp;"';"</f>
        <v>COMMENT ON COLUMN milscm_2023_009.sny_202310_annony_shikkan2.shikkan505_start_date IS 'E127_疾患開始日';</v>
      </c>
    </row>
    <row r="519" spans="1:45" s="25" customFormat="1">
      <c r="A519" s="4" t="s">
        <v>5101</v>
      </c>
      <c r="B519" s="21">
        <f t="shared" si="100"/>
        <v>507</v>
      </c>
      <c r="C519" s="13" t="str">
        <f t="shared" si="99"/>
        <v>E128_疾患開始日</v>
      </c>
      <c r="D519" s="13" t="s">
        <v>6166</v>
      </c>
      <c r="E519" s="8"/>
      <c r="F519" s="7" t="s">
        <v>4348</v>
      </c>
      <c r="G519" s="7" t="s">
        <v>25</v>
      </c>
      <c r="H519" s="58"/>
      <c r="I519" s="23"/>
      <c r="J519" s="24"/>
      <c r="M519" s="4"/>
      <c r="N519" s="76"/>
      <c r="O519" s="76"/>
      <c r="P519" s="76" t="str">
        <f t="shared" si="101"/>
        <v>,shikkan506_start_date</v>
      </c>
      <c r="Q519" s="76" t="str">
        <f t="shared" si="102"/>
        <v>DATE</v>
      </c>
      <c r="R519" s="76" t="str">
        <f t="shared" si="103"/>
        <v/>
      </c>
      <c r="S519" s="76" t="str">
        <f t="shared" si="104"/>
        <v/>
      </c>
      <c r="T519" s="76" t="str">
        <f t="shared" si="105"/>
        <v>-- E128_疾患開始日</v>
      </c>
      <c r="U519" s="4" t="str">
        <f t="shared" si="68"/>
        <v>, CASE WHEN shikkan_disp_name = 'E128' THEN min_shikkan_start_date ::DATE ELSE NULL END AS shikkan506_start_date</v>
      </c>
      <c r="V519" s="25" t="str">
        <f t="shared" si="69"/>
        <v>, max(shikkan506_start_date)</v>
      </c>
      <c r="AA519" s="4"/>
      <c r="AB519" s="4"/>
      <c r="AC519" s="4"/>
      <c r="AD519" s="4"/>
      <c r="AE519" s="4"/>
      <c r="AF519" s="4"/>
      <c r="AG519" s="4"/>
      <c r="AH519" s="4"/>
      <c r="AI519" s="4"/>
      <c r="AJ519" s="76" t="str">
        <f>IF(E519="○",IF(COUNTA(E$13:E519)=1,"",",")&amp;D519,"")</f>
        <v/>
      </c>
      <c r="AK519" s="4"/>
      <c r="AL519" s="4"/>
      <c r="AM519" s="4"/>
      <c r="AN519" s="4"/>
      <c r="AO519" s="4"/>
      <c r="AP519" s="4"/>
      <c r="AQ519" s="4"/>
      <c r="AR519" s="4"/>
      <c r="AS519" s="76" t="str">
        <f>"COMMENT ON COLUMN "&amp;エンティティ一覧!$O$2&amp;"."&amp;D$8&amp;"."&amp;D519&amp;" IS '"&amp;C519&amp;"';"</f>
        <v>COMMENT ON COLUMN milscm_2023_009.sny_202310_annony_shikkan2.shikkan506_start_date IS 'E128_疾患開始日';</v>
      </c>
    </row>
    <row r="520" spans="1:45" s="25" customFormat="1">
      <c r="A520" s="4" t="s">
        <v>5102</v>
      </c>
      <c r="B520" s="21">
        <f t="shared" si="100"/>
        <v>508</v>
      </c>
      <c r="C520" s="13" t="str">
        <f t="shared" si="99"/>
        <v>E129_疾患開始日</v>
      </c>
      <c r="D520" s="13" t="s">
        <v>6167</v>
      </c>
      <c r="E520" s="8"/>
      <c r="F520" s="7" t="s">
        <v>4348</v>
      </c>
      <c r="G520" s="7" t="s">
        <v>25</v>
      </c>
      <c r="H520" s="58"/>
      <c r="I520" s="23"/>
      <c r="J520" s="24"/>
      <c r="M520" s="4"/>
      <c r="N520" s="76"/>
      <c r="O520" s="76"/>
      <c r="P520" s="76" t="str">
        <f t="shared" si="101"/>
        <v>,shikkan507_start_date</v>
      </c>
      <c r="Q520" s="76" t="str">
        <f t="shared" si="102"/>
        <v>DATE</v>
      </c>
      <c r="R520" s="76" t="str">
        <f t="shared" si="103"/>
        <v/>
      </c>
      <c r="S520" s="76" t="str">
        <f t="shared" si="104"/>
        <v/>
      </c>
      <c r="T520" s="76" t="str">
        <f t="shared" si="105"/>
        <v>-- E129_疾患開始日</v>
      </c>
      <c r="U520" s="4" t="str">
        <f t="shared" si="68"/>
        <v>, CASE WHEN shikkan_disp_name = 'E129' THEN min_shikkan_start_date ::DATE ELSE NULL END AS shikkan507_start_date</v>
      </c>
      <c r="V520" s="25" t="str">
        <f t="shared" si="69"/>
        <v>, max(shikkan507_start_date)</v>
      </c>
      <c r="AA520" s="4"/>
      <c r="AB520" s="4"/>
      <c r="AC520" s="4"/>
      <c r="AD520" s="4"/>
      <c r="AE520" s="4"/>
      <c r="AF520" s="4"/>
      <c r="AG520" s="4"/>
      <c r="AH520" s="4"/>
      <c r="AI520" s="4"/>
      <c r="AJ520" s="76" t="str">
        <f>IF(E520="○",IF(COUNTA(E$13:E520)=1,"",",")&amp;D520,"")</f>
        <v/>
      </c>
      <c r="AK520" s="4"/>
      <c r="AL520" s="4"/>
      <c r="AM520" s="4"/>
      <c r="AN520" s="4"/>
      <c r="AO520" s="4"/>
      <c r="AP520" s="4"/>
      <c r="AQ520" s="4"/>
      <c r="AR520" s="4"/>
      <c r="AS520" s="76" t="str">
        <f>"COMMENT ON COLUMN "&amp;エンティティ一覧!$O$2&amp;"."&amp;D$8&amp;"."&amp;D520&amp;" IS '"&amp;C520&amp;"';"</f>
        <v>COMMENT ON COLUMN milscm_2023_009.sny_202310_annony_shikkan2.shikkan507_start_date IS 'E129_疾患開始日';</v>
      </c>
    </row>
    <row r="521" spans="1:45" s="25" customFormat="1">
      <c r="A521" s="4" t="s">
        <v>5103</v>
      </c>
      <c r="B521" s="21">
        <f t="shared" si="100"/>
        <v>509</v>
      </c>
      <c r="C521" s="13" t="str">
        <f t="shared" si="99"/>
        <v>E130_疾患開始日</v>
      </c>
      <c r="D521" s="13" t="s">
        <v>6168</v>
      </c>
      <c r="E521" s="8"/>
      <c r="F521" s="7" t="s">
        <v>4348</v>
      </c>
      <c r="G521" s="7" t="s">
        <v>25</v>
      </c>
      <c r="H521" s="58"/>
      <c r="I521" s="23"/>
      <c r="J521" s="24"/>
      <c r="M521" s="4"/>
      <c r="N521" s="76"/>
      <c r="O521" s="76"/>
      <c r="P521" s="76" t="str">
        <f t="shared" si="101"/>
        <v>,shikkan508_start_date</v>
      </c>
      <c r="Q521" s="76" t="str">
        <f t="shared" si="102"/>
        <v>DATE</v>
      </c>
      <c r="R521" s="76" t="str">
        <f t="shared" si="103"/>
        <v/>
      </c>
      <c r="S521" s="76" t="str">
        <f t="shared" si="104"/>
        <v/>
      </c>
      <c r="T521" s="76" t="str">
        <f t="shared" si="105"/>
        <v>-- E130_疾患開始日</v>
      </c>
      <c r="U521" s="4" t="str">
        <f t="shared" si="68"/>
        <v>, CASE WHEN shikkan_disp_name = 'E130' THEN min_shikkan_start_date ::DATE ELSE NULL END AS shikkan508_start_date</v>
      </c>
      <c r="V521" s="25" t="str">
        <f t="shared" si="69"/>
        <v>, max(shikkan508_start_date)</v>
      </c>
      <c r="AA521" s="4"/>
      <c r="AB521" s="4"/>
      <c r="AC521" s="4"/>
      <c r="AD521" s="4"/>
      <c r="AE521" s="4"/>
      <c r="AF521" s="4"/>
      <c r="AG521" s="4"/>
      <c r="AH521" s="4"/>
      <c r="AI521" s="4"/>
      <c r="AJ521" s="76" t="str">
        <f>IF(E521="○",IF(COUNTA(E$13:E521)=1,"",",")&amp;D521,"")</f>
        <v/>
      </c>
      <c r="AK521" s="4"/>
      <c r="AL521" s="4"/>
      <c r="AM521" s="4"/>
      <c r="AN521" s="4"/>
      <c r="AO521" s="4"/>
      <c r="AP521" s="4"/>
      <c r="AQ521" s="4"/>
      <c r="AR521" s="4"/>
      <c r="AS521" s="76" t="str">
        <f>"COMMENT ON COLUMN "&amp;エンティティ一覧!$O$2&amp;"."&amp;D$8&amp;"."&amp;D521&amp;" IS '"&amp;C521&amp;"';"</f>
        <v>COMMENT ON COLUMN milscm_2023_009.sny_202310_annony_shikkan2.shikkan508_start_date IS 'E130_疾患開始日';</v>
      </c>
    </row>
    <row r="522" spans="1:45" s="25" customFormat="1">
      <c r="A522" s="4" t="s">
        <v>5104</v>
      </c>
      <c r="B522" s="21">
        <f t="shared" si="100"/>
        <v>510</v>
      </c>
      <c r="C522" s="13" t="str">
        <f t="shared" si="99"/>
        <v>E131_疾患開始日</v>
      </c>
      <c r="D522" s="13" t="s">
        <v>6169</v>
      </c>
      <c r="E522" s="8"/>
      <c r="F522" s="7" t="s">
        <v>4348</v>
      </c>
      <c r="G522" s="7" t="s">
        <v>25</v>
      </c>
      <c r="H522" s="58"/>
      <c r="I522" s="23"/>
      <c r="J522" s="24"/>
      <c r="M522" s="4"/>
      <c r="N522" s="76"/>
      <c r="O522" s="76"/>
      <c r="P522" s="76" t="str">
        <f t="shared" si="101"/>
        <v>,shikkan509_start_date</v>
      </c>
      <c r="Q522" s="76" t="str">
        <f t="shared" si="102"/>
        <v>DATE</v>
      </c>
      <c r="R522" s="76" t="str">
        <f t="shared" si="103"/>
        <v/>
      </c>
      <c r="S522" s="76" t="str">
        <f t="shared" si="104"/>
        <v/>
      </c>
      <c r="T522" s="76" t="str">
        <f t="shared" si="105"/>
        <v>-- E131_疾患開始日</v>
      </c>
      <c r="U522" s="4" t="str">
        <f t="shared" si="68"/>
        <v>, CASE WHEN shikkan_disp_name = 'E131' THEN min_shikkan_start_date ::DATE ELSE NULL END AS shikkan509_start_date</v>
      </c>
      <c r="V522" s="25" t="str">
        <f t="shared" si="69"/>
        <v>, max(shikkan509_start_date)</v>
      </c>
      <c r="AA522" s="4"/>
      <c r="AB522" s="4"/>
      <c r="AC522" s="4"/>
      <c r="AD522" s="4"/>
      <c r="AE522" s="4"/>
      <c r="AF522" s="4"/>
      <c r="AG522" s="4"/>
      <c r="AH522" s="4"/>
      <c r="AI522" s="4"/>
      <c r="AJ522" s="76" t="str">
        <f>IF(E522="○",IF(COUNTA(E$13:E522)=1,"",",")&amp;D522,"")</f>
        <v/>
      </c>
      <c r="AK522" s="4"/>
      <c r="AL522" s="4"/>
      <c r="AM522" s="4"/>
      <c r="AN522" s="4"/>
      <c r="AO522" s="4"/>
      <c r="AP522" s="4"/>
      <c r="AQ522" s="4"/>
      <c r="AR522" s="4"/>
      <c r="AS522" s="76" t="str">
        <f>"COMMENT ON COLUMN "&amp;エンティティ一覧!$O$2&amp;"."&amp;D$8&amp;"."&amp;D522&amp;" IS '"&amp;C522&amp;"';"</f>
        <v>COMMENT ON COLUMN milscm_2023_009.sny_202310_annony_shikkan2.shikkan509_start_date IS 'E131_疾患開始日';</v>
      </c>
    </row>
    <row r="523" spans="1:45" s="25" customFormat="1">
      <c r="A523" s="4" t="s">
        <v>5127</v>
      </c>
      <c r="B523" s="21">
        <f t="shared" si="100"/>
        <v>511</v>
      </c>
      <c r="C523" s="13" t="str">
        <f t="shared" si="99"/>
        <v>E132_疾患開始日</v>
      </c>
      <c r="D523" s="13" t="s">
        <v>6170</v>
      </c>
      <c r="E523" s="8"/>
      <c r="F523" s="7" t="s">
        <v>4348</v>
      </c>
      <c r="G523" s="7" t="s">
        <v>25</v>
      </c>
      <c r="H523" s="58"/>
      <c r="I523" s="23"/>
      <c r="J523" s="24"/>
      <c r="M523" s="4"/>
      <c r="N523" s="76"/>
      <c r="O523" s="76"/>
      <c r="P523" s="76" t="str">
        <f t="shared" si="101"/>
        <v>,shikkan510_start_date</v>
      </c>
      <c r="Q523" s="76" t="str">
        <f t="shared" si="102"/>
        <v>DATE</v>
      </c>
      <c r="R523" s="76" t="str">
        <f t="shared" si="103"/>
        <v/>
      </c>
      <c r="S523" s="76" t="str">
        <f t="shared" si="104"/>
        <v/>
      </c>
      <c r="T523" s="76" t="str">
        <f t="shared" si="105"/>
        <v>-- E132_疾患開始日</v>
      </c>
      <c r="U523" s="4" t="str">
        <f t="shared" si="68"/>
        <v>, CASE WHEN shikkan_disp_name = 'E132' THEN min_shikkan_start_date ::DATE ELSE NULL END AS shikkan510_start_date</v>
      </c>
      <c r="V523" s="25" t="str">
        <f t="shared" si="69"/>
        <v>, max(shikkan510_start_date)</v>
      </c>
      <c r="AA523" s="4"/>
      <c r="AB523" s="4"/>
      <c r="AC523" s="4"/>
      <c r="AD523" s="4"/>
      <c r="AE523" s="4"/>
      <c r="AF523" s="4"/>
      <c r="AG523" s="4"/>
      <c r="AH523" s="4"/>
      <c r="AI523" s="4"/>
      <c r="AJ523" s="76" t="str">
        <f>IF(E523="○",IF(COUNTA(E$13:E523)=1,"",",")&amp;D523,"")</f>
        <v/>
      </c>
      <c r="AK523" s="4"/>
      <c r="AL523" s="4"/>
      <c r="AM523" s="4"/>
      <c r="AN523" s="4"/>
      <c r="AO523" s="4"/>
      <c r="AP523" s="4"/>
      <c r="AQ523" s="4"/>
      <c r="AR523" s="4"/>
      <c r="AS523" s="76" t="str">
        <f>"COMMENT ON COLUMN "&amp;エンティティ一覧!$O$2&amp;"."&amp;D$8&amp;"."&amp;D523&amp;" IS '"&amp;C523&amp;"';"</f>
        <v>COMMENT ON COLUMN milscm_2023_009.sny_202310_annony_shikkan2.shikkan510_start_date IS 'E132_疾患開始日';</v>
      </c>
    </row>
    <row r="524" spans="1:45" s="25" customFormat="1">
      <c r="A524" s="4" t="s">
        <v>5128</v>
      </c>
      <c r="B524" s="21">
        <f t="shared" si="100"/>
        <v>512</v>
      </c>
      <c r="C524" s="13" t="str">
        <f t="shared" si="99"/>
        <v>E133_疾患開始日</v>
      </c>
      <c r="D524" s="13" t="s">
        <v>6171</v>
      </c>
      <c r="E524" s="8"/>
      <c r="F524" s="7" t="s">
        <v>4348</v>
      </c>
      <c r="G524" s="7" t="s">
        <v>25</v>
      </c>
      <c r="H524" s="58"/>
      <c r="I524" s="23"/>
      <c r="J524" s="24"/>
      <c r="M524" s="4"/>
      <c r="N524" s="76"/>
      <c r="O524" s="76"/>
      <c r="P524" s="76" t="str">
        <f t="shared" si="101"/>
        <v>,shikkan511_start_date</v>
      </c>
      <c r="Q524" s="76" t="str">
        <f t="shared" si="102"/>
        <v>DATE</v>
      </c>
      <c r="R524" s="76" t="str">
        <f t="shared" si="103"/>
        <v/>
      </c>
      <c r="S524" s="76" t="str">
        <f t="shared" si="104"/>
        <v/>
      </c>
      <c r="T524" s="76" t="str">
        <f t="shared" si="105"/>
        <v>-- E133_疾患開始日</v>
      </c>
      <c r="U524" s="4" t="str">
        <f t="shared" si="68"/>
        <v>, CASE WHEN shikkan_disp_name = 'E133' THEN min_shikkan_start_date ::DATE ELSE NULL END AS shikkan511_start_date</v>
      </c>
      <c r="V524" s="25" t="str">
        <f t="shared" si="69"/>
        <v>, max(shikkan511_start_date)</v>
      </c>
      <c r="AA524" s="4"/>
      <c r="AB524" s="4"/>
      <c r="AC524" s="4"/>
      <c r="AD524" s="4"/>
      <c r="AE524" s="4"/>
      <c r="AF524" s="4"/>
      <c r="AG524" s="4"/>
      <c r="AH524" s="4"/>
      <c r="AI524" s="4"/>
      <c r="AJ524" s="76" t="str">
        <f>IF(E524="○",IF(COUNTA(E$13:E524)=1,"",",")&amp;D524,"")</f>
        <v/>
      </c>
      <c r="AK524" s="4"/>
      <c r="AL524" s="4"/>
      <c r="AM524" s="4"/>
      <c r="AN524" s="4"/>
      <c r="AO524" s="4"/>
      <c r="AP524" s="4"/>
      <c r="AQ524" s="4"/>
      <c r="AR524" s="4"/>
      <c r="AS524" s="76" t="str">
        <f>"COMMENT ON COLUMN "&amp;エンティティ一覧!$O$2&amp;"."&amp;D$8&amp;"."&amp;D524&amp;" IS '"&amp;C524&amp;"';"</f>
        <v>COMMENT ON COLUMN milscm_2023_009.sny_202310_annony_shikkan2.shikkan511_start_date IS 'E133_疾患開始日';</v>
      </c>
    </row>
    <row r="525" spans="1:45" s="25" customFormat="1">
      <c r="A525" s="4" t="s">
        <v>5129</v>
      </c>
      <c r="B525" s="21">
        <f t="shared" si="100"/>
        <v>513</v>
      </c>
      <c r="C525" s="13" t="str">
        <f t="shared" si="99"/>
        <v>E134_疾患開始日</v>
      </c>
      <c r="D525" s="13" t="s">
        <v>6172</v>
      </c>
      <c r="E525" s="8"/>
      <c r="F525" s="7" t="s">
        <v>4348</v>
      </c>
      <c r="G525" s="7" t="s">
        <v>99</v>
      </c>
      <c r="H525" s="58"/>
      <c r="I525" s="23"/>
      <c r="J525" s="24"/>
      <c r="M525" s="4"/>
      <c r="N525" s="76"/>
      <c r="O525" s="76"/>
      <c r="P525" s="76" t="str">
        <f t="shared" si="101"/>
        <v>,shikkan512_start_date</v>
      </c>
      <c r="Q525" s="76" t="str">
        <f t="shared" si="102"/>
        <v>DATE</v>
      </c>
      <c r="R525" s="76" t="str">
        <f t="shared" si="103"/>
        <v/>
      </c>
      <c r="S525" s="76" t="str">
        <f t="shared" si="104"/>
        <v/>
      </c>
      <c r="T525" s="76" t="str">
        <f t="shared" si="105"/>
        <v>-- E134_疾患開始日</v>
      </c>
      <c r="U525" s="4" t="str">
        <f t="shared" ref="U525:U588" si="106">", CASE WHEN shikkan_disp_name = '"&amp;A525&amp;"' THEN min_shikkan_start_date ::DATE ELSE NULL END AS "&amp;D525</f>
        <v>, CASE WHEN shikkan_disp_name = 'E134' THEN min_shikkan_start_date ::DATE ELSE NULL END AS shikkan512_start_date</v>
      </c>
      <c r="V525" s="25" t="str">
        <f t="shared" ref="V525:V588" si="107">", max("&amp;D525&amp;")"</f>
        <v>, max(shikkan512_start_date)</v>
      </c>
      <c r="AA525" s="4"/>
      <c r="AB525" s="4"/>
      <c r="AC525" s="4"/>
      <c r="AD525" s="4"/>
      <c r="AE525" s="4"/>
      <c r="AF525" s="4"/>
      <c r="AG525" s="4"/>
      <c r="AH525" s="4"/>
      <c r="AI525" s="4"/>
      <c r="AJ525" s="76" t="str">
        <f>IF(E525="○",IF(COUNTA(E$13:E525)=1,"",",")&amp;D525,"")</f>
        <v/>
      </c>
      <c r="AK525" s="4"/>
      <c r="AL525" s="4"/>
      <c r="AM525" s="4"/>
      <c r="AN525" s="4"/>
      <c r="AO525" s="4"/>
      <c r="AP525" s="4"/>
      <c r="AQ525" s="4"/>
      <c r="AR525" s="4"/>
      <c r="AS525" s="76" t="str">
        <f>"COMMENT ON COLUMN "&amp;エンティティ一覧!$O$2&amp;"."&amp;D$8&amp;"."&amp;D525&amp;" IS '"&amp;C525&amp;"';"</f>
        <v>COMMENT ON COLUMN milscm_2023_009.sny_202310_annony_shikkan2.shikkan512_start_date IS 'E134_疾患開始日';</v>
      </c>
    </row>
    <row r="526" spans="1:45" s="25" customFormat="1">
      <c r="A526" s="4" t="s">
        <v>5130</v>
      </c>
      <c r="B526" s="21">
        <f t="shared" si="100"/>
        <v>514</v>
      </c>
      <c r="C526" s="13" t="str">
        <f t="shared" si="99"/>
        <v>E135_疾患開始日</v>
      </c>
      <c r="D526" s="13" t="s">
        <v>6173</v>
      </c>
      <c r="E526" s="8"/>
      <c r="F526" s="7" t="s">
        <v>4348</v>
      </c>
      <c r="G526" s="7" t="s">
        <v>25</v>
      </c>
      <c r="H526" s="58"/>
      <c r="I526" s="23"/>
      <c r="J526" s="24"/>
      <c r="M526" s="4"/>
      <c r="N526" s="76"/>
      <c r="O526" s="76"/>
      <c r="P526" s="76" t="str">
        <f t="shared" si="101"/>
        <v>,shikkan513_start_date</v>
      </c>
      <c r="Q526" s="76" t="str">
        <f t="shared" si="102"/>
        <v>DATE</v>
      </c>
      <c r="R526" s="76" t="str">
        <f t="shared" si="103"/>
        <v/>
      </c>
      <c r="S526" s="76" t="str">
        <f t="shared" si="104"/>
        <v/>
      </c>
      <c r="T526" s="76" t="str">
        <f t="shared" si="105"/>
        <v>-- E135_疾患開始日</v>
      </c>
      <c r="U526" s="4" t="str">
        <f t="shared" si="106"/>
        <v>, CASE WHEN shikkan_disp_name = 'E135' THEN min_shikkan_start_date ::DATE ELSE NULL END AS shikkan513_start_date</v>
      </c>
      <c r="V526" s="25" t="str">
        <f t="shared" si="107"/>
        <v>, max(shikkan513_start_date)</v>
      </c>
      <c r="AA526" s="4"/>
      <c r="AB526" s="4"/>
      <c r="AC526" s="4"/>
      <c r="AD526" s="4"/>
      <c r="AE526" s="4"/>
      <c r="AF526" s="4"/>
      <c r="AG526" s="4"/>
      <c r="AH526" s="4"/>
      <c r="AI526" s="4"/>
      <c r="AJ526" s="76" t="str">
        <f>IF(E526="○",IF(COUNTA(E$13:E526)=1,"",",")&amp;D526,"")</f>
        <v/>
      </c>
      <c r="AK526" s="4"/>
      <c r="AL526" s="4"/>
      <c r="AM526" s="4"/>
      <c r="AN526" s="4"/>
      <c r="AO526" s="4"/>
      <c r="AP526" s="4"/>
      <c r="AQ526" s="4"/>
      <c r="AR526" s="4"/>
      <c r="AS526" s="76" t="str">
        <f>"COMMENT ON COLUMN "&amp;エンティティ一覧!$O$2&amp;"."&amp;D$8&amp;"."&amp;D526&amp;" IS '"&amp;C526&amp;"';"</f>
        <v>COMMENT ON COLUMN milscm_2023_009.sny_202310_annony_shikkan2.shikkan513_start_date IS 'E135_疾患開始日';</v>
      </c>
    </row>
    <row r="527" spans="1:45" s="25" customFormat="1">
      <c r="A527" s="4" t="s">
        <v>5105</v>
      </c>
      <c r="B527" s="21">
        <f t="shared" si="100"/>
        <v>515</v>
      </c>
      <c r="C527" s="13" t="str">
        <f t="shared" ref="C527:C590" si="108">A527&amp;"_疾患開始日"</f>
        <v>E136_疾患開始日</v>
      </c>
      <c r="D527" s="13" t="s">
        <v>6174</v>
      </c>
      <c r="E527" s="8"/>
      <c r="F527" s="7" t="s">
        <v>4348</v>
      </c>
      <c r="G527" s="7" t="s">
        <v>25</v>
      </c>
      <c r="H527" s="58"/>
      <c r="I527" s="23"/>
      <c r="J527" s="24"/>
      <c r="M527" s="4"/>
      <c r="N527" s="76"/>
      <c r="O527" s="76"/>
      <c r="P527" s="76" t="str">
        <f t="shared" si="101"/>
        <v>,shikkan514_start_date</v>
      </c>
      <c r="Q527" s="76" t="str">
        <f t="shared" si="102"/>
        <v>DATE</v>
      </c>
      <c r="R527" s="76" t="str">
        <f t="shared" si="103"/>
        <v/>
      </c>
      <c r="S527" s="76" t="str">
        <f t="shared" si="104"/>
        <v/>
      </c>
      <c r="T527" s="76" t="str">
        <f t="shared" si="105"/>
        <v>-- E136_疾患開始日</v>
      </c>
      <c r="U527" s="4" t="str">
        <f t="shared" si="106"/>
        <v>, CASE WHEN shikkan_disp_name = 'E136' THEN min_shikkan_start_date ::DATE ELSE NULL END AS shikkan514_start_date</v>
      </c>
      <c r="V527" s="25" t="str">
        <f t="shared" si="107"/>
        <v>, max(shikkan514_start_date)</v>
      </c>
      <c r="AA527" s="4"/>
      <c r="AB527" s="4"/>
      <c r="AC527" s="4"/>
      <c r="AD527" s="4"/>
      <c r="AE527" s="4"/>
      <c r="AF527" s="4"/>
      <c r="AG527" s="4"/>
      <c r="AH527" s="4"/>
      <c r="AI527" s="4"/>
      <c r="AJ527" s="76" t="str">
        <f>IF(E527="○",IF(COUNTA(E$13:E527)=1,"",",")&amp;D527,"")</f>
        <v/>
      </c>
      <c r="AK527" s="4"/>
      <c r="AL527" s="4"/>
      <c r="AM527" s="4"/>
      <c r="AN527" s="4"/>
      <c r="AO527" s="4"/>
      <c r="AP527" s="4"/>
      <c r="AQ527" s="4"/>
      <c r="AR527" s="4"/>
      <c r="AS527" s="76" t="str">
        <f>"COMMENT ON COLUMN "&amp;エンティティ一覧!$O$2&amp;"."&amp;D$8&amp;"."&amp;D527&amp;" IS '"&amp;C527&amp;"';"</f>
        <v>COMMENT ON COLUMN milscm_2023_009.sny_202310_annony_shikkan2.shikkan514_start_date IS 'E136_疾患開始日';</v>
      </c>
    </row>
    <row r="528" spans="1:45" s="25" customFormat="1">
      <c r="A528" s="4" t="s">
        <v>5131</v>
      </c>
      <c r="B528" s="21">
        <f t="shared" ref="B528:B591" si="109">ROW()-12</f>
        <v>516</v>
      </c>
      <c r="C528" s="13" t="str">
        <f t="shared" si="108"/>
        <v>E137_疾患開始日</v>
      </c>
      <c r="D528" s="13" t="s">
        <v>6175</v>
      </c>
      <c r="E528" s="8"/>
      <c r="F528" s="7" t="s">
        <v>4348</v>
      </c>
      <c r="G528" s="7" t="s">
        <v>25</v>
      </c>
      <c r="H528" s="58"/>
      <c r="I528" s="23"/>
      <c r="J528" s="24"/>
      <c r="M528" s="4"/>
      <c r="N528" s="76"/>
      <c r="O528" s="76"/>
      <c r="P528" s="76" t="str">
        <f t="shared" si="101"/>
        <v>,shikkan515_start_date</v>
      </c>
      <c r="Q528" s="76" t="str">
        <f t="shared" si="102"/>
        <v>DATE</v>
      </c>
      <c r="R528" s="76" t="str">
        <f t="shared" si="103"/>
        <v/>
      </c>
      <c r="S528" s="76" t="str">
        <f t="shared" si="104"/>
        <v/>
      </c>
      <c r="T528" s="76" t="str">
        <f t="shared" si="105"/>
        <v>-- E137_疾患開始日</v>
      </c>
      <c r="U528" s="4" t="str">
        <f t="shared" si="106"/>
        <v>, CASE WHEN shikkan_disp_name = 'E137' THEN min_shikkan_start_date ::DATE ELSE NULL END AS shikkan515_start_date</v>
      </c>
      <c r="V528" s="25" t="str">
        <f t="shared" si="107"/>
        <v>, max(shikkan515_start_date)</v>
      </c>
      <c r="AA528" s="4"/>
      <c r="AB528" s="4"/>
      <c r="AC528" s="4"/>
      <c r="AD528" s="4"/>
      <c r="AE528" s="4"/>
      <c r="AF528" s="4"/>
      <c r="AG528" s="4"/>
      <c r="AH528" s="4"/>
      <c r="AI528" s="4"/>
      <c r="AJ528" s="76" t="str">
        <f>IF(E528="○",IF(COUNTA(E$13:E528)=1,"",",")&amp;D528,"")</f>
        <v/>
      </c>
      <c r="AK528" s="4"/>
      <c r="AL528" s="4"/>
      <c r="AM528" s="4"/>
      <c r="AN528" s="4"/>
      <c r="AO528" s="4"/>
      <c r="AP528" s="4"/>
      <c r="AQ528" s="4"/>
      <c r="AR528" s="4"/>
      <c r="AS528" s="76" t="str">
        <f>"COMMENT ON COLUMN "&amp;エンティティ一覧!$O$2&amp;"."&amp;D$8&amp;"."&amp;D528&amp;" IS '"&amp;C528&amp;"';"</f>
        <v>COMMENT ON COLUMN milscm_2023_009.sny_202310_annony_shikkan2.shikkan515_start_date IS 'E137_疾患開始日';</v>
      </c>
    </row>
    <row r="529" spans="1:45" s="25" customFormat="1">
      <c r="A529" s="4" t="s">
        <v>5106</v>
      </c>
      <c r="B529" s="21">
        <f t="shared" si="109"/>
        <v>517</v>
      </c>
      <c r="C529" s="13" t="str">
        <f t="shared" si="108"/>
        <v>E138_疾患開始日</v>
      </c>
      <c r="D529" s="13" t="s">
        <v>6176</v>
      </c>
      <c r="E529" s="8"/>
      <c r="F529" s="7" t="s">
        <v>4348</v>
      </c>
      <c r="G529" s="7" t="s">
        <v>25</v>
      </c>
      <c r="H529" s="58"/>
      <c r="I529" s="23"/>
      <c r="J529" s="24"/>
      <c r="M529" s="4"/>
      <c r="N529" s="76"/>
      <c r="O529" s="76"/>
      <c r="P529" s="76" t="str">
        <f t="shared" si="101"/>
        <v>,shikkan516_start_date</v>
      </c>
      <c r="Q529" s="76" t="str">
        <f t="shared" si="102"/>
        <v>DATE</v>
      </c>
      <c r="R529" s="76" t="str">
        <f t="shared" si="103"/>
        <v/>
      </c>
      <c r="S529" s="76" t="str">
        <f t="shared" si="104"/>
        <v/>
      </c>
      <c r="T529" s="76" t="str">
        <f t="shared" si="105"/>
        <v>-- E138_疾患開始日</v>
      </c>
      <c r="U529" s="4" t="str">
        <f t="shared" si="106"/>
        <v>, CASE WHEN shikkan_disp_name = 'E138' THEN min_shikkan_start_date ::DATE ELSE NULL END AS shikkan516_start_date</v>
      </c>
      <c r="V529" s="25" t="str">
        <f t="shared" si="107"/>
        <v>, max(shikkan516_start_date)</v>
      </c>
      <c r="AA529" s="4"/>
      <c r="AB529" s="4"/>
      <c r="AC529" s="4"/>
      <c r="AD529" s="4"/>
      <c r="AE529" s="4"/>
      <c r="AF529" s="4"/>
      <c r="AG529" s="4"/>
      <c r="AH529" s="4"/>
      <c r="AI529" s="4"/>
      <c r="AJ529" s="76" t="str">
        <f>IF(E529="○",IF(COUNTA(E$13:E529)=1,"",",")&amp;D529,"")</f>
        <v/>
      </c>
      <c r="AK529" s="4"/>
      <c r="AL529" s="4"/>
      <c r="AM529" s="4"/>
      <c r="AN529" s="4"/>
      <c r="AO529" s="4"/>
      <c r="AP529" s="4"/>
      <c r="AQ529" s="4"/>
      <c r="AR529" s="4"/>
      <c r="AS529" s="76" t="str">
        <f>"COMMENT ON COLUMN "&amp;エンティティ一覧!$O$2&amp;"."&amp;D$8&amp;"."&amp;D529&amp;" IS '"&amp;C529&amp;"';"</f>
        <v>COMMENT ON COLUMN milscm_2023_009.sny_202310_annony_shikkan2.shikkan516_start_date IS 'E138_疾患開始日';</v>
      </c>
    </row>
    <row r="530" spans="1:45" s="25" customFormat="1">
      <c r="A530" s="4" t="s">
        <v>5107</v>
      </c>
      <c r="B530" s="21">
        <f t="shared" si="109"/>
        <v>518</v>
      </c>
      <c r="C530" s="13" t="str">
        <f t="shared" si="108"/>
        <v>E139_疾患開始日</v>
      </c>
      <c r="D530" s="13" t="s">
        <v>6177</v>
      </c>
      <c r="E530" s="8"/>
      <c r="F530" s="7" t="s">
        <v>4348</v>
      </c>
      <c r="G530" s="7" t="s">
        <v>25</v>
      </c>
      <c r="H530" s="58"/>
      <c r="I530" s="23"/>
      <c r="J530" s="24"/>
      <c r="M530" s="4"/>
      <c r="N530" s="76"/>
      <c r="O530" s="76"/>
      <c r="P530" s="76" t="str">
        <f t="shared" si="101"/>
        <v>,shikkan517_start_date</v>
      </c>
      <c r="Q530" s="76" t="str">
        <f t="shared" si="102"/>
        <v>DATE</v>
      </c>
      <c r="R530" s="76" t="str">
        <f t="shared" si="103"/>
        <v/>
      </c>
      <c r="S530" s="76" t="str">
        <f t="shared" si="104"/>
        <v/>
      </c>
      <c r="T530" s="76" t="str">
        <f t="shared" si="105"/>
        <v>-- E139_疾患開始日</v>
      </c>
      <c r="U530" s="4" t="str">
        <f t="shared" si="106"/>
        <v>, CASE WHEN shikkan_disp_name = 'E139' THEN min_shikkan_start_date ::DATE ELSE NULL END AS shikkan517_start_date</v>
      </c>
      <c r="V530" s="25" t="str">
        <f t="shared" si="107"/>
        <v>, max(shikkan517_start_date)</v>
      </c>
      <c r="AA530" s="4"/>
      <c r="AB530" s="4"/>
      <c r="AC530" s="4"/>
      <c r="AD530" s="4"/>
      <c r="AE530" s="4"/>
      <c r="AF530" s="4"/>
      <c r="AG530" s="4"/>
      <c r="AH530" s="4"/>
      <c r="AI530" s="4"/>
      <c r="AJ530" s="76" t="str">
        <f>IF(E530="○",IF(COUNTA(E$13:E530)=1,"",",")&amp;D530,"")</f>
        <v/>
      </c>
      <c r="AK530" s="4"/>
      <c r="AL530" s="4"/>
      <c r="AM530" s="4"/>
      <c r="AN530" s="4"/>
      <c r="AO530" s="4"/>
      <c r="AP530" s="4"/>
      <c r="AQ530" s="4"/>
      <c r="AR530" s="4"/>
      <c r="AS530" s="76" t="str">
        <f>"COMMENT ON COLUMN "&amp;エンティティ一覧!$O$2&amp;"."&amp;D$8&amp;"."&amp;D530&amp;" IS '"&amp;C530&amp;"';"</f>
        <v>COMMENT ON COLUMN milscm_2023_009.sny_202310_annony_shikkan2.shikkan517_start_date IS 'E139_疾患開始日';</v>
      </c>
    </row>
    <row r="531" spans="1:45" s="25" customFormat="1">
      <c r="A531" s="4" t="s">
        <v>5108</v>
      </c>
      <c r="B531" s="21">
        <f t="shared" si="109"/>
        <v>519</v>
      </c>
      <c r="C531" s="13" t="str">
        <f t="shared" si="108"/>
        <v>E140_疾患開始日</v>
      </c>
      <c r="D531" s="13" t="s">
        <v>6178</v>
      </c>
      <c r="E531" s="8"/>
      <c r="F531" s="7" t="s">
        <v>4348</v>
      </c>
      <c r="G531" s="7" t="s">
        <v>25</v>
      </c>
      <c r="H531" s="58"/>
      <c r="I531" s="23"/>
      <c r="J531" s="24"/>
      <c r="M531" s="4"/>
      <c r="N531" s="76"/>
      <c r="O531" s="76"/>
      <c r="P531" s="76" t="str">
        <f t="shared" si="101"/>
        <v>,shikkan518_start_date</v>
      </c>
      <c r="Q531" s="76" t="str">
        <f t="shared" si="102"/>
        <v>DATE</v>
      </c>
      <c r="R531" s="76" t="str">
        <f t="shared" si="103"/>
        <v/>
      </c>
      <c r="S531" s="76" t="str">
        <f t="shared" si="104"/>
        <v/>
      </c>
      <c r="T531" s="76" t="str">
        <f t="shared" si="105"/>
        <v>-- E140_疾患開始日</v>
      </c>
      <c r="U531" s="4" t="str">
        <f t="shared" si="106"/>
        <v>, CASE WHEN shikkan_disp_name = 'E140' THEN min_shikkan_start_date ::DATE ELSE NULL END AS shikkan518_start_date</v>
      </c>
      <c r="V531" s="25" t="str">
        <f t="shared" si="107"/>
        <v>, max(shikkan518_start_date)</v>
      </c>
      <c r="AA531" s="4"/>
      <c r="AB531" s="4"/>
      <c r="AC531" s="4"/>
      <c r="AD531" s="4"/>
      <c r="AE531" s="4"/>
      <c r="AF531" s="4"/>
      <c r="AG531" s="4"/>
      <c r="AH531" s="4"/>
      <c r="AI531" s="4"/>
      <c r="AJ531" s="76" t="str">
        <f>IF(E531="○",IF(COUNTA(E$13:E531)=1,"",",")&amp;D531,"")</f>
        <v/>
      </c>
      <c r="AK531" s="4"/>
      <c r="AL531" s="4"/>
      <c r="AM531" s="4"/>
      <c r="AN531" s="4"/>
      <c r="AO531" s="4"/>
      <c r="AP531" s="4"/>
      <c r="AQ531" s="4"/>
      <c r="AR531" s="4"/>
      <c r="AS531" s="76" t="str">
        <f>"COMMENT ON COLUMN "&amp;エンティティ一覧!$O$2&amp;"."&amp;D$8&amp;"."&amp;D531&amp;" IS '"&amp;C531&amp;"';"</f>
        <v>COMMENT ON COLUMN milscm_2023_009.sny_202310_annony_shikkan2.shikkan518_start_date IS 'E140_疾患開始日';</v>
      </c>
    </row>
    <row r="532" spans="1:45" s="25" customFormat="1">
      <c r="A532" s="4" t="s">
        <v>5109</v>
      </c>
      <c r="B532" s="21">
        <f t="shared" si="109"/>
        <v>520</v>
      </c>
      <c r="C532" s="13" t="str">
        <f t="shared" si="108"/>
        <v>E141_疾患開始日</v>
      </c>
      <c r="D532" s="13" t="s">
        <v>6179</v>
      </c>
      <c r="E532" s="8"/>
      <c r="F532" s="7" t="s">
        <v>4348</v>
      </c>
      <c r="G532" s="7" t="s">
        <v>25</v>
      </c>
      <c r="H532" s="58"/>
      <c r="I532" s="23"/>
      <c r="J532" s="24"/>
      <c r="M532" s="4"/>
      <c r="N532" s="76"/>
      <c r="O532" s="76"/>
      <c r="P532" s="76" t="str">
        <f t="shared" si="101"/>
        <v>,shikkan519_start_date</v>
      </c>
      <c r="Q532" s="76" t="str">
        <f t="shared" si="102"/>
        <v>DATE</v>
      </c>
      <c r="R532" s="76" t="str">
        <f t="shared" si="103"/>
        <v/>
      </c>
      <c r="S532" s="76" t="str">
        <f t="shared" si="104"/>
        <v/>
      </c>
      <c r="T532" s="76" t="str">
        <f t="shared" si="105"/>
        <v>-- E141_疾患開始日</v>
      </c>
      <c r="U532" s="4" t="str">
        <f t="shared" si="106"/>
        <v>, CASE WHEN shikkan_disp_name = 'E141' THEN min_shikkan_start_date ::DATE ELSE NULL END AS shikkan519_start_date</v>
      </c>
      <c r="V532" s="25" t="str">
        <f t="shared" si="107"/>
        <v>, max(shikkan519_start_date)</v>
      </c>
      <c r="AA532" s="4"/>
      <c r="AB532" s="4"/>
      <c r="AC532" s="4"/>
      <c r="AD532" s="4"/>
      <c r="AE532" s="4"/>
      <c r="AF532" s="4"/>
      <c r="AG532" s="4"/>
      <c r="AH532" s="4"/>
      <c r="AI532" s="4"/>
      <c r="AJ532" s="76" t="str">
        <f>IF(E532="○",IF(COUNTA(E$13:E532)=1,"",",")&amp;D532,"")</f>
        <v/>
      </c>
      <c r="AK532" s="4"/>
      <c r="AL532" s="4"/>
      <c r="AM532" s="4"/>
      <c r="AN532" s="4"/>
      <c r="AO532" s="4"/>
      <c r="AP532" s="4"/>
      <c r="AQ532" s="4"/>
      <c r="AR532" s="4"/>
      <c r="AS532" s="76" t="str">
        <f>"COMMENT ON COLUMN "&amp;エンティティ一覧!$O$2&amp;"."&amp;D$8&amp;"."&amp;D532&amp;" IS '"&amp;C532&amp;"';"</f>
        <v>COMMENT ON COLUMN milscm_2023_009.sny_202310_annony_shikkan2.shikkan519_start_date IS 'E141_疾患開始日';</v>
      </c>
    </row>
    <row r="533" spans="1:45" s="25" customFormat="1">
      <c r="A533" s="4" t="s">
        <v>5132</v>
      </c>
      <c r="B533" s="21">
        <f t="shared" si="109"/>
        <v>521</v>
      </c>
      <c r="C533" s="13" t="str">
        <f t="shared" si="108"/>
        <v>E142_疾患開始日</v>
      </c>
      <c r="D533" s="13" t="s">
        <v>6180</v>
      </c>
      <c r="E533" s="8"/>
      <c r="F533" s="7" t="s">
        <v>4348</v>
      </c>
      <c r="G533" s="7" t="s">
        <v>25</v>
      </c>
      <c r="H533" s="58"/>
      <c r="I533" s="23"/>
      <c r="J533" s="24"/>
      <c r="M533" s="4"/>
      <c r="N533" s="76"/>
      <c r="O533" s="76"/>
      <c r="P533" s="76" t="str">
        <f t="shared" si="101"/>
        <v>,shikkan520_start_date</v>
      </c>
      <c r="Q533" s="76" t="str">
        <f t="shared" si="102"/>
        <v>DATE</v>
      </c>
      <c r="R533" s="76" t="str">
        <f t="shared" si="103"/>
        <v/>
      </c>
      <c r="S533" s="76" t="str">
        <f t="shared" si="104"/>
        <v/>
      </c>
      <c r="T533" s="76" t="str">
        <f t="shared" si="105"/>
        <v>-- E142_疾患開始日</v>
      </c>
      <c r="U533" s="4" t="str">
        <f t="shared" si="106"/>
        <v>, CASE WHEN shikkan_disp_name = 'E142' THEN min_shikkan_start_date ::DATE ELSE NULL END AS shikkan520_start_date</v>
      </c>
      <c r="V533" s="25" t="str">
        <f t="shared" si="107"/>
        <v>, max(shikkan520_start_date)</v>
      </c>
      <c r="AA533" s="4"/>
      <c r="AB533" s="4"/>
      <c r="AC533" s="4"/>
      <c r="AD533" s="4"/>
      <c r="AE533" s="4"/>
      <c r="AF533" s="4"/>
      <c r="AG533" s="4"/>
      <c r="AH533" s="4"/>
      <c r="AI533" s="4"/>
      <c r="AJ533" s="76" t="str">
        <f>IF(E533="○",IF(COUNTA(E$13:E533)=1,"",",")&amp;D533,"")</f>
        <v/>
      </c>
      <c r="AK533" s="4"/>
      <c r="AL533" s="4"/>
      <c r="AM533" s="4"/>
      <c r="AN533" s="4"/>
      <c r="AO533" s="4"/>
      <c r="AP533" s="4"/>
      <c r="AQ533" s="4"/>
      <c r="AR533" s="4"/>
      <c r="AS533" s="76" t="str">
        <f>"COMMENT ON COLUMN "&amp;エンティティ一覧!$O$2&amp;"."&amp;D$8&amp;"."&amp;D533&amp;" IS '"&amp;C533&amp;"';"</f>
        <v>COMMENT ON COLUMN milscm_2023_009.sny_202310_annony_shikkan2.shikkan520_start_date IS 'E142_疾患開始日';</v>
      </c>
    </row>
    <row r="534" spans="1:45" s="25" customFormat="1">
      <c r="A534" s="4" t="s">
        <v>5133</v>
      </c>
      <c r="B534" s="21">
        <f t="shared" si="109"/>
        <v>522</v>
      </c>
      <c r="C534" s="13" t="str">
        <f t="shared" si="108"/>
        <v>E143_疾患開始日</v>
      </c>
      <c r="D534" s="13" t="s">
        <v>6181</v>
      </c>
      <c r="E534" s="8"/>
      <c r="F534" s="7" t="s">
        <v>4348</v>
      </c>
      <c r="G534" s="7" t="s">
        <v>25</v>
      </c>
      <c r="H534" s="58"/>
      <c r="I534" s="23"/>
      <c r="J534" s="24"/>
      <c r="M534" s="4"/>
      <c r="N534" s="76"/>
      <c r="O534" s="76"/>
      <c r="P534" s="76" t="str">
        <f t="shared" si="101"/>
        <v>,shikkan521_start_date</v>
      </c>
      <c r="Q534" s="76" t="str">
        <f t="shared" si="102"/>
        <v>DATE</v>
      </c>
      <c r="R534" s="76" t="str">
        <f t="shared" si="103"/>
        <v/>
      </c>
      <c r="S534" s="76" t="str">
        <f t="shared" si="104"/>
        <v/>
      </c>
      <c r="T534" s="76" t="str">
        <f t="shared" si="105"/>
        <v>-- E143_疾患開始日</v>
      </c>
      <c r="U534" s="4" t="str">
        <f t="shared" si="106"/>
        <v>, CASE WHEN shikkan_disp_name = 'E143' THEN min_shikkan_start_date ::DATE ELSE NULL END AS shikkan521_start_date</v>
      </c>
      <c r="V534" s="25" t="str">
        <f t="shared" si="107"/>
        <v>, max(shikkan521_start_date)</v>
      </c>
      <c r="AA534" s="4"/>
      <c r="AB534" s="4"/>
      <c r="AC534" s="4"/>
      <c r="AD534" s="4"/>
      <c r="AE534" s="4"/>
      <c r="AF534" s="4"/>
      <c r="AG534" s="4"/>
      <c r="AH534" s="4"/>
      <c r="AI534" s="4"/>
      <c r="AJ534" s="76" t="str">
        <f>IF(E534="○",IF(COUNTA(E$13:E534)=1,"",",")&amp;D534,"")</f>
        <v/>
      </c>
      <c r="AK534" s="4"/>
      <c r="AL534" s="4"/>
      <c r="AM534" s="4"/>
      <c r="AN534" s="4"/>
      <c r="AO534" s="4"/>
      <c r="AP534" s="4"/>
      <c r="AQ534" s="4"/>
      <c r="AR534" s="4"/>
      <c r="AS534" s="76" t="str">
        <f>"COMMENT ON COLUMN "&amp;エンティティ一覧!$O$2&amp;"."&amp;D$8&amp;"."&amp;D534&amp;" IS '"&amp;C534&amp;"';"</f>
        <v>COMMENT ON COLUMN milscm_2023_009.sny_202310_annony_shikkan2.shikkan521_start_date IS 'E143_疾患開始日';</v>
      </c>
    </row>
    <row r="535" spans="1:45" s="25" customFormat="1">
      <c r="A535" s="4" t="s">
        <v>5134</v>
      </c>
      <c r="B535" s="21">
        <f t="shared" si="109"/>
        <v>523</v>
      </c>
      <c r="C535" s="13" t="str">
        <f t="shared" si="108"/>
        <v>E144_疾患開始日</v>
      </c>
      <c r="D535" s="13" t="s">
        <v>6182</v>
      </c>
      <c r="E535" s="8"/>
      <c r="F535" s="7" t="s">
        <v>4348</v>
      </c>
      <c r="G535" s="7" t="s">
        <v>25</v>
      </c>
      <c r="H535" s="58"/>
      <c r="I535" s="23"/>
      <c r="J535" s="24"/>
      <c r="M535" s="4"/>
      <c r="N535" s="76"/>
      <c r="O535" s="76"/>
      <c r="P535" s="76" t="str">
        <f t="shared" si="101"/>
        <v>,shikkan522_start_date</v>
      </c>
      <c r="Q535" s="76" t="str">
        <f t="shared" si="102"/>
        <v>DATE</v>
      </c>
      <c r="R535" s="76" t="str">
        <f t="shared" si="103"/>
        <v/>
      </c>
      <c r="S535" s="76" t="str">
        <f t="shared" si="104"/>
        <v/>
      </c>
      <c r="T535" s="76" t="str">
        <f t="shared" si="105"/>
        <v>-- E144_疾患開始日</v>
      </c>
      <c r="U535" s="4" t="str">
        <f t="shared" si="106"/>
        <v>, CASE WHEN shikkan_disp_name = 'E144' THEN min_shikkan_start_date ::DATE ELSE NULL END AS shikkan522_start_date</v>
      </c>
      <c r="V535" s="25" t="str">
        <f t="shared" si="107"/>
        <v>, max(shikkan522_start_date)</v>
      </c>
      <c r="AA535" s="4"/>
      <c r="AB535" s="4"/>
      <c r="AC535" s="4"/>
      <c r="AD535" s="4"/>
      <c r="AE535" s="4"/>
      <c r="AF535" s="4"/>
      <c r="AG535" s="4"/>
      <c r="AH535" s="4"/>
      <c r="AI535" s="4"/>
      <c r="AJ535" s="76" t="str">
        <f>IF(E535="○",IF(COUNTA(E$13:E535)=1,"",",")&amp;D535,"")</f>
        <v/>
      </c>
      <c r="AK535" s="4"/>
      <c r="AL535" s="4"/>
      <c r="AM535" s="4"/>
      <c r="AN535" s="4"/>
      <c r="AO535" s="4"/>
      <c r="AP535" s="4"/>
      <c r="AQ535" s="4"/>
      <c r="AR535" s="4"/>
      <c r="AS535" s="76" t="str">
        <f>"COMMENT ON COLUMN "&amp;エンティティ一覧!$O$2&amp;"."&amp;D$8&amp;"."&amp;D535&amp;" IS '"&amp;C535&amp;"';"</f>
        <v>COMMENT ON COLUMN milscm_2023_009.sny_202310_annony_shikkan2.shikkan522_start_date IS 'E144_疾患開始日';</v>
      </c>
    </row>
    <row r="536" spans="1:45" s="25" customFormat="1">
      <c r="A536" s="4" t="s">
        <v>5135</v>
      </c>
      <c r="B536" s="21">
        <f t="shared" si="109"/>
        <v>524</v>
      </c>
      <c r="C536" s="13" t="str">
        <f t="shared" si="108"/>
        <v>E145_疾患開始日</v>
      </c>
      <c r="D536" s="13" t="s">
        <v>6183</v>
      </c>
      <c r="E536" s="8"/>
      <c r="F536" s="7" t="s">
        <v>4348</v>
      </c>
      <c r="G536" s="7" t="s">
        <v>25</v>
      </c>
      <c r="H536" s="58"/>
      <c r="I536" s="23"/>
      <c r="J536" s="24"/>
      <c r="M536" s="4"/>
      <c r="N536" s="76"/>
      <c r="O536" s="76"/>
      <c r="P536" s="76" t="str">
        <f t="shared" si="101"/>
        <v>,shikkan523_start_date</v>
      </c>
      <c r="Q536" s="76" t="str">
        <f t="shared" si="102"/>
        <v>DATE</v>
      </c>
      <c r="R536" s="76" t="str">
        <f t="shared" si="103"/>
        <v/>
      </c>
      <c r="S536" s="76" t="str">
        <f t="shared" si="104"/>
        <v/>
      </c>
      <c r="T536" s="76" t="str">
        <f t="shared" si="105"/>
        <v>-- E145_疾患開始日</v>
      </c>
      <c r="U536" s="4" t="str">
        <f t="shared" si="106"/>
        <v>, CASE WHEN shikkan_disp_name = 'E145' THEN min_shikkan_start_date ::DATE ELSE NULL END AS shikkan523_start_date</v>
      </c>
      <c r="V536" s="25" t="str">
        <f t="shared" si="107"/>
        <v>, max(shikkan523_start_date)</v>
      </c>
      <c r="AA536" s="4"/>
      <c r="AB536" s="4"/>
      <c r="AC536" s="4"/>
      <c r="AD536" s="4"/>
      <c r="AE536" s="4"/>
      <c r="AF536" s="4"/>
      <c r="AG536" s="4"/>
      <c r="AH536" s="4"/>
      <c r="AI536" s="4"/>
      <c r="AJ536" s="76" t="str">
        <f>IF(E536="○",IF(COUNTA(E$13:E536)=1,"",",")&amp;D536,"")</f>
        <v/>
      </c>
      <c r="AK536" s="4"/>
      <c r="AL536" s="4"/>
      <c r="AM536" s="4"/>
      <c r="AN536" s="4"/>
      <c r="AO536" s="4"/>
      <c r="AP536" s="4"/>
      <c r="AQ536" s="4"/>
      <c r="AR536" s="4"/>
      <c r="AS536" s="76" t="str">
        <f>"COMMENT ON COLUMN "&amp;エンティティ一覧!$O$2&amp;"."&amp;D$8&amp;"."&amp;D536&amp;" IS '"&amp;C536&amp;"';"</f>
        <v>COMMENT ON COLUMN milscm_2023_009.sny_202310_annony_shikkan2.shikkan523_start_date IS 'E145_疾患開始日';</v>
      </c>
    </row>
    <row r="537" spans="1:45" s="25" customFormat="1">
      <c r="A537" s="4" t="s">
        <v>5110</v>
      </c>
      <c r="B537" s="21">
        <f t="shared" si="109"/>
        <v>525</v>
      </c>
      <c r="C537" s="13" t="str">
        <f t="shared" si="108"/>
        <v>E146_疾患開始日</v>
      </c>
      <c r="D537" s="13" t="s">
        <v>6184</v>
      </c>
      <c r="E537" s="8"/>
      <c r="F537" s="7" t="s">
        <v>4348</v>
      </c>
      <c r="G537" s="7" t="s">
        <v>25</v>
      </c>
      <c r="H537" s="58"/>
      <c r="I537" s="23"/>
      <c r="J537" s="24"/>
      <c r="M537" s="4"/>
      <c r="N537" s="76"/>
      <c r="O537" s="76"/>
      <c r="P537" s="76" t="str">
        <f t="shared" si="101"/>
        <v>,shikkan524_start_date</v>
      </c>
      <c r="Q537" s="76" t="str">
        <f t="shared" si="102"/>
        <v>DATE</v>
      </c>
      <c r="R537" s="76" t="str">
        <f t="shared" si="103"/>
        <v/>
      </c>
      <c r="S537" s="76" t="str">
        <f t="shared" si="104"/>
        <v/>
      </c>
      <c r="T537" s="76" t="str">
        <f t="shared" si="105"/>
        <v>-- E146_疾患開始日</v>
      </c>
      <c r="U537" s="4" t="str">
        <f t="shared" si="106"/>
        <v>, CASE WHEN shikkan_disp_name = 'E146' THEN min_shikkan_start_date ::DATE ELSE NULL END AS shikkan524_start_date</v>
      </c>
      <c r="V537" s="25" t="str">
        <f t="shared" si="107"/>
        <v>, max(shikkan524_start_date)</v>
      </c>
      <c r="AA537" s="4"/>
      <c r="AB537" s="4"/>
      <c r="AC537" s="4"/>
      <c r="AD537" s="4"/>
      <c r="AE537" s="4"/>
      <c r="AF537" s="4"/>
      <c r="AG537" s="4"/>
      <c r="AH537" s="4"/>
      <c r="AI537" s="4"/>
      <c r="AJ537" s="76" t="str">
        <f>IF(E537="○",IF(COUNTA(E$13:E537)=1,"",",")&amp;D537,"")</f>
        <v/>
      </c>
      <c r="AK537" s="4"/>
      <c r="AL537" s="4"/>
      <c r="AM537" s="4"/>
      <c r="AN537" s="4"/>
      <c r="AO537" s="4"/>
      <c r="AP537" s="4"/>
      <c r="AQ537" s="4"/>
      <c r="AR537" s="4"/>
      <c r="AS537" s="76" t="str">
        <f>"COMMENT ON COLUMN "&amp;エンティティ一覧!$O$2&amp;"."&amp;D$8&amp;"."&amp;D537&amp;" IS '"&amp;C537&amp;"';"</f>
        <v>COMMENT ON COLUMN milscm_2023_009.sny_202310_annony_shikkan2.shikkan524_start_date IS 'E146_疾患開始日';</v>
      </c>
    </row>
    <row r="538" spans="1:45" s="25" customFormat="1">
      <c r="A538" s="4" t="s">
        <v>5136</v>
      </c>
      <c r="B538" s="21">
        <f t="shared" si="109"/>
        <v>526</v>
      </c>
      <c r="C538" s="13" t="str">
        <f t="shared" si="108"/>
        <v>E147_疾患開始日</v>
      </c>
      <c r="D538" s="13" t="s">
        <v>6185</v>
      </c>
      <c r="E538" s="8"/>
      <c r="F538" s="7" t="s">
        <v>4348</v>
      </c>
      <c r="G538" s="7" t="s">
        <v>25</v>
      </c>
      <c r="H538" s="58"/>
      <c r="I538" s="23"/>
      <c r="J538" s="24"/>
      <c r="M538" s="4"/>
      <c r="N538" s="76"/>
      <c r="O538" s="76"/>
      <c r="P538" s="76" t="str">
        <f t="shared" si="101"/>
        <v>,shikkan525_start_date</v>
      </c>
      <c r="Q538" s="76" t="str">
        <f t="shared" si="102"/>
        <v>DATE</v>
      </c>
      <c r="R538" s="76" t="str">
        <f t="shared" si="103"/>
        <v/>
      </c>
      <c r="S538" s="76" t="str">
        <f t="shared" si="104"/>
        <v/>
      </c>
      <c r="T538" s="76" t="str">
        <f t="shared" si="105"/>
        <v>-- E147_疾患開始日</v>
      </c>
      <c r="U538" s="4" t="str">
        <f t="shared" si="106"/>
        <v>, CASE WHEN shikkan_disp_name = 'E147' THEN min_shikkan_start_date ::DATE ELSE NULL END AS shikkan525_start_date</v>
      </c>
      <c r="V538" s="25" t="str">
        <f t="shared" si="107"/>
        <v>, max(shikkan525_start_date)</v>
      </c>
      <c r="AA538" s="4"/>
      <c r="AB538" s="4"/>
      <c r="AC538" s="4"/>
      <c r="AD538" s="4"/>
      <c r="AE538" s="4"/>
      <c r="AF538" s="4"/>
      <c r="AG538" s="4"/>
      <c r="AH538" s="4"/>
      <c r="AI538" s="4"/>
      <c r="AJ538" s="76" t="str">
        <f>IF(E538="○",IF(COUNTA(E$13:E538)=1,"",",")&amp;D538,"")</f>
        <v/>
      </c>
      <c r="AK538" s="4"/>
      <c r="AL538" s="4"/>
      <c r="AM538" s="4"/>
      <c r="AN538" s="4"/>
      <c r="AO538" s="4"/>
      <c r="AP538" s="4"/>
      <c r="AQ538" s="4"/>
      <c r="AR538" s="4"/>
      <c r="AS538" s="76" t="str">
        <f>"COMMENT ON COLUMN "&amp;エンティティ一覧!$O$2&amp;"."&amp;D$8&amp;"."&amp;D538&amp;" IS '"&amp;C538&amp;"';"</f>
        <v>COMMENT ON COLUMN milscm_2023_009.sny_202310_annony_shikkan2.shikkan525_start_date IS 'E147_疾患開始日';</v>
      </c>
    </row>
    <row r="539" spans="1:45" s="25" customFormat="1">
      <c r="A539" s="4" t="s">
        <v>5111</v>
      </c>
      <c r="B539" s="21">
        <f t="shared" si="109"/>
        <v>527</v>
      </c>
      <c r="C539" s="13" t="str">
        <f t="shared" si="108"/>
        <v>E148_疾患開始日</v>
      </c>
      <c r="D539" s="13" t="s">
        <v>6186</v>
      </c>
      <c r="E539" s="8"/>
      <c r="F539" s="7" t="s">
        <v>4348</v>
      </c>
      <c r="G539" s="7" t="s">
        <v>25</v>
      </c>
      <c r="H539" s="58"/>
      <c r="I539" s="23"/>
      <c r="J539" s="24"/>
      <c r="M539" s="4"/>
      <c r="N539" s="76"/>
      <c r="O539" s="76"/>
      <c r="P539" s="76" t="str">
        <f t="shared" si="101"/>
        <v>,shikkan526_start_date</v>
      </c>
      <c r="Q539" s="76" t="str">
        <f t="shared" si="102"/>
        <v>DATE</v>
      </c>
      <c r="R539" s="76" t="str">
        <f t="shared" si="103"/>
        <v/>
      </c>
      <c r="S539" s="76" t="str">
        <f t="shared" si="104"/>
        <v/>
      </c>
      <c r="T539" s="76" t="str">
        <f t="shared" si="105"/>
        <v>-- E148_疾患開始日</v>
      </c>
      <c r="U539" s="4" t="str">
        <f t="shared" si="106"/>
        <v>, CASE WHEN shikkan_disp_name = 'E148' THEN min_shikkan_start_date ::DATE ELSE NULL END AS shikkan526_start_date</v>
      </c>
      <c r="V539" s="25" t="str">
        <f t="shared" si="107"/>
        <v>, max(shikkan526_start_date)</v>
      </c>
      <c r="AA539" s="4"/>
      <c r="AB539" s="4"/>
      <c r="AC539" s="4"/>
      <c r="AD539" s="4"/>
      <c r="AE539" s="4"/>
      <c r="AF539" s="4"/>
      <c r="AG539" s="4"/>
      <c r="AH539" s="4"/>
      <c r="AI539" s="4"/>
      <c r="AJ539" s="76" t="str">
        <f>IF(E539="○",IF(COUNTA(E$13:E539)=1,"",",")&amp;D539,"")</f>
        <v/>
      </c>
      <c r="AK539" s="4"/>
      <c r="AL539" s="4"/>
      <c r="AM539" s="4"/>
      <c r="AN539" s="4"/>
      <c r="AO539" s="4"/>
      <c r="AP539" s="4"/>
      <c r="AQ539" s="4"/>
      <c r="AR539" s="4"/>
      <c r="AS539" s="76" t="str">
        <f>"COMMENT ON COLUMN "&amp;エンティティ一覧!$O$2&amp;"."&amp;D$8&amp;"."&amp;D539&amp;" IS '"&amp;C539&amp;"';"</f>
        <v>COMMENT ON COLUMN milscm_2023_009.sny_202310_annony_shikkan2.shikkan526_start_date IS 'E148_疾患開始日';</v>
      </c>
    </row>
    <row r="540" spans="1:45" s="25" customFormat="1">
      <c r="A540" s="4" t="s">
        <v>5112</v>
      </c>
      <c r="B540" s="21">
        <f t="shared" si="109"/>
        <v>528</v>
      </c>
      <c r="C540" s="13" t="str">
        <f t="shared" si="108"/>
        <v>E149_疾患開始日</v>
      </c>
      <c r="D540" s="13" t="s">
        <v>6187</v>
      </c>
      <c r="E540" s="8"/>
      <c r="F540" s="7" t="s">
        <v>4348</v>
      </c>
      <c r="G540" s="7" t="s">
        <v>25</v>
      </c>
      <c r="H540" s="58"/>
      <c r="I540" s="23"/>
      <c r="J540" s="24"/>
      <c r="M540" s="4"/>
      <c r="N540" s="76"/>
      <c r="O540" s="76"/>
      <c r="P540" s="76" t="str">
        <f t="shared" si="101"/>
        <v>,shikkan527_start_date</v>
      </c>
      <c r="Q540" s="76" t="str">
        <f t="shared" si="102"/>
        <v>DATE</v>
      </c>
      <c r="R540" s="76" t="str">
        <f t="shared" si="103"/>
        <v/>
      </c>
      <c r="S540" s="76" t="str">
        <f t="shared" si="104"/>
        <v/>
      </c>
      <c r="T540" s="76" t="str">
        <f t="shared" si="105"/>
        <v>-- E149_疾患開始日</v>
      </c>
      <c r="U540" s="4" t="str">
        <f t="shared" si="106"/>
        <v>, CASE WHEN shikkan_disp_name = 'E149' THEN min_shikkan_start_date ::DATE ELSE NULL END AS shikkan527_start_date</v>
      </c>
      <c r="V540" s="25" t="str">
        <f t="shared" si="107"/>
        <v>, max(shikkan527_start_date)</v>
      </c>
      <c r="AA540" s="4"/>
      <c r="AB540" s="4"/>
      <c r="AC540" s="4"/>
      <c r="AD540" s="4"/>
      <c r="AE540" s="4"/>
      <c r="AF540" s="4"/>
      <c r="AG540" s="4"/>
      <c r="AH540" s="4"/>
      <c r="AI540" s="4"/>
      <c r="AJ540" s="76" t="str">
        <f>IF(E540="○",IF(COUNTA(E$13:E540)=1,"",",")&amp;D540,"")</f>
        <v/>
      </c>
      <c r="AK540" s="4"/>
      <c r="AL540" s="4"/>
      <c r="AM540" s="4"/>
      <c r="AN540" s="4"/>
      <c r="AO540" s="4"/>
      <c r="AP540" s="4"/>
      <c r="AQ540" s="4"/>
      <c r="AR540" s="4"/>
      <c r="AS540" s="76" t="str">
        <f>"COMMENT ON COLUMN "&amp;エンティティ一覧!$O$2&amp;"."&amp;D$8&amp;"."&amp;D540&amp;" IS '"&amp;C540&amp;"';"</f>
        <v>COMMENT ON COLUMN milscm_2023_009.sny_202310_annony_shikkan2.shikkan527_start_date IS 'E149_疾患開始日';</v>
      </c>
    </row>
    <row r="541" spans="1:45" s="25" customFormat="1">
      <c r="A541" s="4" t="s">
        <v>5620</v>
      </c>
      <c r="B541" s="21">
        <f t="shared" si="109"/>
        <v>529</v>
      </c>
      <c r="C541" s="13" t="str">
        <f t="shared" si="108"/>
        <v>F000_疾患開始日</v>
      </c>
      <c r="D541" s="13" t="s">
        <v>6188</v>
      </c>
      <c r="E541" s="8"/>
      <c r="F541" s="7" t="s">
        <v>4348</v>
      </c>
      <c r="G541" s="7" t="s">
        <v>99</v>
      </c>
      <c r="H541" s="58"/>
      <c r="I541" s="23"/>
      <c r="J541" s="24"/>
      <c r="M541" s="4"/>
      <c r="N541" s="76"/>
      <c r="O541" s="76"/>
      <c r="P541" s="76" t="str">
        <f t="shared" si="101"/>
        <v>,shikkan528_start_date</v>
      </c>
      <c r="Q541" s="76" t="str">
        <f t="shared" si="102"/>
        <v>DATE</v>
      </c>
      <c r="R541" s="76" t="str">
        <f t="shared" si="103"/>
        <v/>
      </c>
      <c r="S541" s="76" t="str">
        <f t="shared" si="104"/>
        <v/>
      </c>
      <c r="T541" s="76" t="str">
        <f t="shared" si="105"/>
        <v>-- F000_疾患開始日</v>
      </c>
      <c r="U541" s="4" t="str">
        <f t="shared" si="106"/>
        <v>, CASE WHEN shikkan_disp_name = 'F000' THEN min_shikkan_start_date ::DATE ELSE NULL END AS shikkan528_start_date</v>
      </c>
      <c r="V541" s="25" t="str">
        <f t="shared" si="107"/>
        <v>, max(shikkan528_start_date)</v>
      </c>
      <c r="AA541" s="4"/>
      <c r="AB541" s="4"/>
      <c r="AC541" s="4"/>
      <c r="AD541" s="4"/>
      <c r="AE541" s="4"/>
      <c r="AF541" s="4"/>
      <c r="AG541" s="4"/>
      <c r="AH541" s="4"/>
      <c r="AI541" s="4"/>
      <c r="AJ541" s="76" t="str">
        <f>IF(E541="○",IF(COUNTA(E$13:E541)=1,"",",")&amp;D541,"")</f>
        <v/>
      </c>
      <c r="AK541" s="4"/>
      <c r="AL541" s="4"/>
      <c r="AM541" s="4"/>
      <c r="AN541" s="4"/>
      <c r="AO541" s="4"/>
      <c r="AP541" s="4"/>
      <c r="AQ541" s="4"/>
      <c r="AR541" s="4"/>
      <c r="AS541" s="76" t="str">
        <f>"COMMENT ON COLUMN "&amp;エンティティ一覧!$O$2&amp;"."&amp;D$8&amp;"."&amp;D541&amp;" IS '"&amp;C541&amp;"';"</f>
        <v>COMMENT ON COLUMN milscm_2023_009.sny_202310_annony_shikkan2.shikkan528_start_date IS 'F000_疾患開始日';</v>
      </c>
    </row>
    <row r="542" spans="1:45" s="25" customFormat="1">
      <c r="A542" s="4" t="s">
        <v>5621</v>
      </c>
      <c r="B542" s="21">
        <f t="shared" si="109"/>
        <v>530</v>
      </c>
      <c r="C542" s="13" t="str">
        <f t="shared" si="108"/>
        <v>F001_疾患開始日</v>
      </c>
      <c r="D542" s="13" t="s">
        <v>6189</v>
      </c>
      <c r="E542" s="8"/>
      <c r="F542" s="7" t="s">
        <v>4348</v>
      </c>
      <c r="G542" s="7" t="s">
        <v>25</v>
      </c>
      <c r="H542" s="58"/>
      <c r="I542" s="23"/>
      <c r="J542" s="24"/>
      <c r="M542" s="4"/>
      <c r="N542" s="76"/>
      <c r="O542" s="76"/>
      <c r="P542" s="76" t="str">
        <f t="shared" si="101"/>
        <v>,shikkan529_start_date</v>
      </c>
      <c r="Q542" s="76" t="str">
        <f t="shared" si="102"/>
        <v>DATE</v>
      </c>
      <c r="R542" s="76" t="str">
        <f t="shared" si="103"/>
        <v/>
      </c>
      <c r="S542" s="76" t="str">
        <f t="shared" si="104"/>
        <v/>
      </c>
      <c r="T542" s="76" t="str">
        <f t="shared" si="105"/>
        <v>-- F001_疾患開始日</v>
      </c>
      <c r="U542" s="4" t="str">
        <f t="shared" si="106"/>
        <v>, CASE WHEN shikkan_disp_name = 'F001' THEN min_shikkan_start_date ::DATE ELSE NULL END AS shikkan529_start_date</v>
      </c>
      <c r="V542" s="25" t="str">
        <f t="shared" si="107"/>
        <v>, max(shikkan529_start_date)</v>
      </c>
      <c r="AA542" s="4"/>
      <c r="AB542" s="4"/>
      <c r="AC542" s="4"/>
      <c r="AD542" s="4"/>
      <c r="AE542" s="4"/>
      <c r="AF542" s="4"/>
      <c r="AG542" s="4"/>
      <c r="AH542" s="4"/>
      <c r="AI542" s="4"/>
      <c r="AJ542" s="76" t="str">
        <f>IF(E542="○",IF(COUNTA(E$13:E542)=1,"",",")&amp;D542,"")</f>
        <v/>
      </c>
      <c r="AK542" s="4"/>
      <c r="AL542" s="4"/>
      <c r="AM542" s="4"/>
      <c r="AN542" s="4"/>
      <c r="AO542" s="4"/>
      <c r="AP542" s="4"/>
      <c r="AQ542" s="4"/>
      <c r="AR542" s="4"/>
      <c r="AS542" s="76" t="str">
        <f>"COMMENT ON COLUMN "&amp;エンティティ一覧!$O$2&amp;"."&amp;D$8&amp;"."&amp;D542&amp;" IS '"&amp;C542&amp;"';"</f>
        <v>COMMENT ON COLUMN milscm_2023_009.sny_202310_annony_shikkan2.shikkan529_start_date IS 'F001_疾患開始日';</v>
      </c>
    </row>
    <row r="543" spans="1:45" s="25" customFormat="1">
      <c r="A543" s="4" t="s">
        <v>5622</v>
      </c>
      <c r="B543" s="21">
        <f t="shared" si="109"/>
        <v>531</v>
      </c>
      <c r="C543" s="13" t="str">
        <f t="shared" si="108"/>
        <v>F002_疾患開始日</v>
      </c>
      <c r="D543" s="13" t="s">
        <v>6190</v>
      </c>
      <c r="E543" s="8"/>
      <c r="F543" s="7" t="s">
        <v>4348</v>
      </c>
      <c r="G543" s="7" t="s">
        <v>25</v>
      </c>
      <c r="H543" s="58"/>
      <c r="I543" s="23"/>
      <c r="J543" s="24"/>
      <c r="M543" s="4"/>
      <c r="N543" s="76"/>
      <c r="O543" s="76"/>
      <c r="P543" s="76" t="str">
        <f t="shared" si="101"/>
        <v>,shikkan530_start_date</v>
      </c>
      <c r="Q543" s="76" t="str">
        <f t="shared" si="102"/>
        <v>DATE</v>
      </c>
      <c r="R543" s="76" t="str">
        <f t="shared" si="103"/>
        <v/>
      </c>
      <c r="S543" s="76" t="str">
        <f t="shared" si="104"/>
        <v/>
      </c>
      <c r="T543" s="76" t="str">
        <f t="shared" si="105"/>
        <v>-- F002_疾患開始日</v>
      </c>
      <c r="U543" s="4" t="str">
        <f t="shared" si="106"/>
        <v>, CASE WHEN shikkan_disp_name = 'F002' THEN min_shikkan_start_date ::DATE ELSE NULL END AS shikkan530_start_date</v>
      </c>
      <c r="V543" s="25" t="str">
        <f t="shared" si="107"/>
        <v>, max(shikkan530_start_date)</v>
      </c>
      <c r="AA543" s="4"/>
      <c r="AB543" s="4"/>
      <c r="AC543" s="4"/>
      <c r="AD543" s="4"/>
      <c r="AE543" s="4"/>
      <c r="AF543" s="4"/>
      <c r="AG543" s="4"/>
      <c r="AH543" s="4"/>
      <c r="AI543" s="4"/>
      <c r="AJ543" s="76" t="str">
        <f>IF(E543="○",IF(COUNTA(E$13:E543)=1,"",",")&amp;D543,"")</f>
        <v/>
      </c>
      <c r="AK543" s="4"/>
      <c r="AL543" s="4"/>
      <c r="AM543" s="4"/>
      <c r="AN543" s="4"/>
      <c r="AO543" s="4"/>
      <c r="AP543" s="4"/>
      <c r="AQ543" s="4"/>
      <c r="AR543" s="4"/>
      <c r="AS543" s="76" t="str">
        <f>"COMMENT ON COLUMN "&amp;エンティティ一覧!$O$2&amp;"."&amp;D$8&amp;"."&amp;D543&amp;" IS '"&amp;C543&amp;"';"</f>
        <v>COMMENT ON COLUMN milscm_2023_009.sny_202310_annony_shikkan2.shikkan530_start_date IS 'F002_疾患開始日';</v>
      </c>
    </row>
    <row r="544" spans="1:45" s="25" customFormat="1">
      <c r="A544" s="4" t="s">
        <v>5623</v>
      </c>
      <c r="B544" s="21">
        <f t="shared" si="109"/>
        <v>532</v>
      </c>
      <c r="C544" s="13" t="str">
        <f t="shared" si="108"/>
        <v>F009_疾患開始日</v>
      </c>
      <c r="D544" s="13" t="s">
        <v>6191</v>
      </c>
      <c r="E544" s="8"/>
      <c r="F544" s="7" t="s">
        <v>4348</v>
      </c>
      <c r="G544" s="7" t="s">
        <v>25</v>
      </c>
      <c r="H544" s="58"/>
      <c r="I544" s="23"/>
      <c r="J544" s="24"/>
      <c r="M544" s="4"/>
      <c r="N544" s="76"/>
      <c r="O544" s="76"/>
      <c r="P544" s="76" t="str">
        <f t="shared" si="101"/>
        <v>,shikkan531_start_date</v>
      </c>
      <c r="Q544" s="76" t="str">
        <f t="shared" si="102"/>
        <v>DATE</v>
      </c>
      <c r="R544" s="76" t="str">
        <f t="shared" si="103"/>
        <v/>
      </c>
      <c r="S544" s="76" t="str">
        <f t="shared" si="104"/>
        <v/>
      </c>
      <c r="T544" s="76" t="str">
        <f t="shared" si="105"/>
        <v>-- F009_疾患開始日</v>
      </c>
      <c r="U544" s="4" t="str">
        <f t="shared" si="106"/>
        <v>, CASE WHEN shikkan_disp_name = 'F009' THEN min_shikkan_start_date ::DATE ELSE NULL END AS shikkan531_start_date</v>
      </c>
      <c r="V544" s="25" t="str">
        <f t="shared" si="107"/>
        <v>, max(shikkan531_start_date)</v>
      </c>
      <c r="AA544" s="4"/>
      <c r="AB544" s="4"/>
      <c r="AC544" s="4"/>
      <c r="AD544" s="4"/>
      <c r="AE544" s="4"/>
      <c r="AF544" s="4"/>
      <c r="AG544" s="4"/>
      <c r="AH544" s="4"/>
      <c r="AI544" s="4"/>
      <c r="AJ544" s="76" t="str">
        <f>IF(E544="○",IF(COUNTA(E$13:E544)=1,"",",")&amp;D544,"")</f>
        <v/>
      </c>
      <c r="AK544" s="4"/>
      <c r="AL544" s="4"/>
      <c r="AM544" s="4"/>
      <c r="AN544" s="4"/>
      <c r="AO544" s="4"/>
      <c r="AP544" s="4"/>
      <c r="AQ544" s="4"/>
      <c r="AR544" s="4"/>
      <c r="AS544" s="76" t="str">
        <f>"COMMENT ON COLUMN "&amp;エンティティ一覧!$O$2&amp;"."&amp;D$8&amp;"."&amp;D544&amp;" IS '"&amp;C544&amp;"';"</f>
        <v>COMMENT ON COLUMN milscm_2023_009.sny_202310_annony_shikkan2.shikkan531_start_date IS 'F009_疾患開始日';</v>
      </c>
    </row>
    <row r="545" spans="1:45" s="25" customFormat="1">
      <c r="A545" s="4" t="s">
        <v>5624</v>
      </c>
      <c r="B545" s="21">
        <f t="shared" si="109"/>
        <v>533</v>
      </c>
      <c r="C545" s="13" t="str">
        <f t="shared" si="108"/>
        <v>F010_疾患開始日</v>
      </c>
      <c r="D545" s="13" t="s">
        <v>6192</v>
      </c>
      <c r="E545" s="8"/>
      <c r="F545" s="7" t="s">
        <v>4348</v>
      </c>
      <c r="G545" s="7" t="s">
        <v>25</v>
      </c>
      <c r="H545" s="58"/>
      <c r="I545" s="23"/>
      <c r="J545" s="24"/>
      <c r="M545" s="4"/>
      <c r="N545" s="76"/>
      <c r="O545" s="76"/>
      <c r="P545" s="76" t="str">
        <f t="shared" si="101"/>
        <v>,shikkan532_start_date</v>
      </c>
      <c r="Q545" s="76" t="str">
        <f t="shared" si="102"/>
        <v>DATE</v>
      </c>
      <c r="R545" s="76" t="str">
        <f t="shared" si="103"/>
        <v/>
      </c>
      <c r="S545" s="76" t="str">
        <f t="shared" si="104"/>
        <v/>
      </c>
      <c r="T545" s="76" t="str">
        <f t="shared" si="105"/>
        <v>-- F010_疾患開始日</v>
      </c>
      <c r="U545" s="4" t="str">
        <f t="shared" si="106"/>
        <v>, CASE WHEN shikkan_disp_name = 'F010' THEN min_shikkan_start_date ::DATE ELSE NULL END AS shikkan532_start_date</v>
      </c>
      <c r="V545" s="25" t="str">
        <f t="shared" si="107"/>
        <v>, max(shikkan532_start_date)</v>
      </c>
      <c r="AA545" s="4"/>
      <c r="AB545" s="4"/>
      <c r="AC545" s="4"/>
      <c r="AD545" s="4"/>
      <c r="AE545" s="4"/>
      <c r="AF545" s="4"/>
      <c r="AG545" s="4"/>
      <c r="AH545" s="4"/>
      <c r="AI545" s="4"/>
      <c r="AJ545" s="76" t="str">
        <f>IF(E545="○",IF(COUNTA(E$13:E545)=1,"",",")&amp;D545,"")</f>
        <v/>
      </c>
      <c r="AK545" s="4"/>
      <c r="AL545" s="4"/>
      <c r="AM545" s="4"/>
      <c r="AN545" s="4"/>
      <c r="AO545" s="4"/>
      <c r="AP545" s="4"/>
      <c r="AQ545" s="4"/>
      <c r="AR545" s="4"/>
      <c r="AS545" s="76" t="str">
        <f>"COMMENT ON COLUMN "&amp;エンティティ一覧!$O$2&amp;"."&amp;D$8&amp;"."&amp;D545&amp;" IS '"&amp;C545&amp;"';"</f>
        <v>COMMENT ON COLUMN milscm_2023_009.sny_202310_annony_shikkan2.shikkan532_start_date IS 'F010_疾患開始日';</v>
      </c>
    </row>
    <row r="546" spans="1:45" s="25" customFormat="1">
      <c r="A546" s="4" t="s">
        <v>5625</v>
      </c>
      <c r="B546" s="21">
        <f t="shared" si="109"/>
        <v>534</v>
      </c>
      <c r="C546" s="13" t="str">
        <f t="shared" si="108"/>
        <v>F011_疾患開始日</v>
      </c>
      <c r="D546" s="13" t="s">
        <v>6193</v>
      </c>
      <c r="E546" s="8"/>
      <c r="F546" s="7" t="s">
        <v>4348</v>
      </c>
      <c r="G546" s="7" t="s">
        <v>25</v>
      </c>
      <c r="H546" s="58"/>
      <c r="I546" s="23"/>
      <c r="J546" s="24"/>
      <c r="M546" s="4"/>
      <c r="N546" s="76"/>
      <c r="O546" s="76"/>
      <c r="P546" s="76" t="str">
        <f t="shared" si="101"/>
        <v>,shikkan533_start_date</v>
      </c>
      <c r="Q546" s="76" t="str">
        <f t="shared" si="102"/>
        <v>DATE</v>
      </c>
      <c r="R546" s="76" t="str">
        <f t="shared" si="103"/>
        <v/>
      </c>
      <c r="S546" s="76" t="str">
        <f t="shared" si="104"/>
        <v/>
      </c>
      <c r="T546" s="76" t="str">
        <f t="shared" si="105"/>
        <v>-- F011_疾患開始日</v>
      </c>
      <c r="U546" s="4" t="str">
        <f t="shared" si="106"/>
        <v>, CASE WHEN shikkan_disp_name = 'F011' THEN min_shikkan_start_date ::DATE ELSE NULL END AS shikkan533_start_date</v>
      </c>
      <c r="V546" s="25" t="str">
        <f t="shared" si="107"/>
        <v>, max(shikkan533_start_date)</v>
      </c>
      <c r="AA546" s="4"/>
      <c r="AB546" s="4"/>
      <c r="AC546" s="4"/>
      <c r="AD546" s="4"/>
      <c r="AE546" s="4"/>
      <c r="AF546" s="4"/>
      <c r="AG546" s="4"/>
      <c r="AH546" s="4"/>
      <c r="AI546" s="4"/>
      <c r="AJ546" s="76" t="str">
        <f>IF(E546="○",IF(COUNTA(E$13:E546)=1,"",",")&amp;D546,"")</f>
        <v/>
      </c>
      <c r="AK546" s="4"/>
      <c r="AL546" s="4"/>
      <c r="AM546" s="4"/>
      <c r="AN546" s="4"/>
      <c r="AO546" s="4"/>
      <c r="AP546" s="4"/>
      <c r="AQ546" s="4"/>
      <c r="AR546" s="4"/>
      <c r="AS546" s="76" t="str">
        <f>"COMMENT ON COLUMN "&amp;エンティティ一覧!$O$2&amp;"."&amp;D$8&amp;"."&amp;D546&amp;" IS '"&amp;C546&amp;"';"</f>
        <v>COMMENT ON COLUMN milscm_2023_009.sny_202310_annony_shikkan2.shikkan533_start_date IS 'F011_疾患開始日';</v>
      </c>
    </row>
    <row r="547" spans="1:45" s="25" customFormat="1">
      <c r="A547" s="4" t="s">
        <v>5626</v>
      </c>
      <c r="B547" s="21">
        <f t="shared" si="109"/>
        <v>535</v>
      </c>
      <c r="C547" s="13" t="str">
        <f t="shared" si="108"/>
        <v>F012_疾患開始日</v>
      </c>
      <c r="D547" s="13" t="s">
        <v>6194</v>
      </c>
      <c r="E547" s="8"/>
      <c r="F547" s="7" t="s">
        <v>4348</v>
      </c>
      <c r="G547" s="7" t="s">
        <v>25</v>
      </c>
      <c r="H547" s="58"/>
      <c r="I547" s="23"/>
      <c r="J547" s="24"/>
      <c r="M547" s="4"/>
      <c r="N547" s="76"/>
      <c r="O547" s="76"/>
      <c r="P547" s="76" t="str">
        <f t="shared" si="101"/>
        <v>,shikkan534_start_date</v>
      </c>
      <c r="Q547" s="76" t="str">
        <f t="shared" si="102"/>
        <v>DATE</v>
      </c>
      <c r="R547" s="76" t="str">
        <f t="shared" si="103"/>
        <v/>
      </c>
      <c r="S547" s="76" t="str">
        <f t="shared" si="104"/>
        <v/>
      </c>
      <c r="T547" s="76" t="str">
        <f t="shared" si="105"/>
        <v>-- F012_疾患開始日</v>
      </c>
      <c r="U547" s="4" t="str">
        <f t="shared" si="106"/>
        <v>, CASE WHEN shikkan_disp_name = 'F012' THEN min_shikkan_start_date ::DATE ELSE NULL END AS shikkan534_start_date</v>
      </c>
      <c r="V547" s="25" t="str">
        <f t="shared" si="107"/>
        <v>, max(shikkan534_start_date)</v>
      </c>
      <c r="AA547" s="4"/>
      <c r="AB547" s="4"/>
      <c r="AC547" s="4"/>
      <c r="AD547" s="4"/>
      <c r="AE547" s="4"/>
      <c r="AF547" s="4"/>
      <c r="AG547" s="4"/>
      <c r="AH547" s="4"/>
      <c r="AI547" s="4"/>
      <c r="AJ547" s="76" t="str">
        <f>IF(E547="○",IF(COUNTA(E$13:E547)=1,"",",")&amp;D547,"")</f>
        <v/>
      </c>
      <c r="AK547" s="4"/>
      <c r="AL547" s="4"/>
      <c r="AM547" s="4"/>
      <c r="AN547" s="4"/>
      <c r="AO547" s="4"/>
      <c r="AP547" s="4"/>
      <c r="AQ547" s="4"/>
      <c r="AR547" s="4"/>
      <c r="AS547" s="76" t="str">
        <f>"COMMENT ON COLUMN "&amp;エンティティ一覧!$O$2&amp;"."&amp;D$8&amp;"."&amp;D547&amp;" IS '"&amp;C547&amp;"';"</f>
        <v>COMMENT ON COLUMN milscm_2023_009.sny_202310_annony_shikkan2.shikkan534_start_date IS 'F012_疾患開始日';</v>
      </c>
    </row>
    <row r="548" spans="1:45" s="25" customFormat="1">
      <c r="A548" s="4" t="s">
        <v>5627</v>
      </c>
      <c r="B548" s="21">
        <f t="shared" si="109"/>
        <v>536</v>
      </c>
      <c r="C548" s="13" t="str">
        <f t="shared" si="108"/>
        <v>F013_疾患開始日</v>
      </c>
      <c r="D548" s="13" t="s">
        <v>6195</v>
      </c>
      <c r="E548" s="8"/>
      <c r="F548" s="7" t="s">
        <v>4348</v>
      </c>
      <c r="G548" s="7" t="s">
        <v>25</v>
      </c>
      <c r="H548" s="58"/>
      <c r="I548" s="23"/>
      <c r="J548" s="24"/>
      <c r="M548" s="4"/>
      <c r="N548" s="76"/>
      <c r="O548" s="76"/>
      <c r="P548" s="76" t="str">
        <f t="shared" si="101"/>
        <v>,shikkan535_start_date</v>
      </c>
      <c r="Q548" s="76" t="str">
        <f t="shared" si="102"/>
        <v>DATE</v>
      </c>
      <c r="R548" s="76" t="str">
        <f t="shared" si="103"/>
        <v/>
      </c>
      <c r="S548" s="76" t="str">
        <f t="shared" si="104"/>
        <v/>
      </c>
      <c r="T548" s="76" t="str">
        <f t="shared" si="105"/>
        <v>-- F013_疾患開始日</v>
      </c>
      <c r="U548" s="4" t="str">
        <f t="shared" si="106"/>
        <v>, CASE WHEN shikkan_disp_name = 'F013' THEN min_shikkan_start_date ::DATE ELSE NULL END AS shikkan535_start_date</v>
      </c>
      <c r="V548" s="25" t="str">
        <f t="shared" si="107"/>
        <v>, max(shikkan535_start_date)</v>
      </c>
      <c r="AA548" s="4"/>
      <c r="AB548" s="4"/>
      <c r="AC548" s="4"/>
      <c r="AD548" s="4"/>
      <c r="AE548" s="4"/>
      <c r="AF548" s="4"/>
      <c r="AG548" s="4"/>
      <c r="AH548" s="4"/>
      <c r="AI548" s="4"/>
      <c r="AJ548" s="76" t="str">
        <f>IF(E548="○",IF(COUNTA(E$13:E548)=1,"",",")&amp;D548,"")</f>
        <v/>
      </c>
      <c r="AK548" s="4"/>
      <c r="AL548" s="4"/>
      <c r="AM548" s="4"/>
      <c r="AN548" s="4"/>
      <c r="AO548" s="4"/>
      <c r="AP548" s="4"/>
      <c r="AQ548" s="4"/>
      <c r="AR548" s="4"/>
      <c r="AS548" s="76" t="str">
        <f>"COMMENT ON COLUMN "&amp;エンティティ一覧!$O$2&amp;"."&amp;D$8&amp;"."&amp;D548&amp;" IS '"&amp;C548&amp;"';"</f>
        <v>COMMENT ON COLUMN milscm_2023_009.sny_202310_annony_shikkan2.shikkan535_start_date IS 'F013_疾患開始日';</v>
      </c>
    </row>
    <row r="549" spans="1:45" s="25" customFormat="1">
      <c r="A549" s="4" t="s">
        <v>5628</v>
      </c>
      <c r="B549" s="21">
        <f t="shared" si="109"/>
        <v>537</v>
      </c>
      <c r="C549" s="13" t="str">
        <f t="shared" si="108"/>
        <v>F018_疾患開始日</v>
      </c>
      <c r="D549" s="13" t="s">
        <v>6196</v>
      </c>
      <c r="E549" s="8"/>
      <c r="F549" s="7" t="s">
        <v>4348</v>
      </c>
      <c r="G549" s="7" t="s">
        <v>25</v>
      </c>
      <c r="H549" s="58"/>
      <c r="I549" s="23"/>
      <c r="J549" s="24"/>
      <c r="M549" s="4"/>
      <c r="N549" s="76"/>
      <c r="O549" s="76"/>
      <c r="P549" s="76" t="str">
        <f t="shared" si="101"/>
        <v>,shikkan536_start_date</v>
      </c>
      <c r="Q549" s="76" t="str">
        <f t="shared" si="102"/>
        <v>DATE</v>
      </c>
      <c r="R549" s="76" t="str">
        <f t="shared" si="103"/>
        <v/>
      </c>
      <c r="S549" s="76" t="str">
        <f t="shared" si="104"/>
        <v/>
      </c>
      <c r="T549" s="76" t="str">
        <f t="shared" si="105"/>
        <v>-- F018_疾患開始日</v>
      </c>
      <c r="U549" s="4" t="str">
        <f t="shared" si="106"/>
        <v>, CASE WHEN shikkan_disp_name = 'F018' THEN min_shikkan_start_date ::DATE ELSE NULL END AS shikkan536_start_date</v>
      </c>
      <c r="V549" s="25" t="str">
        <f t="shared" si="107"/>
        <v>, max(shikkan536_start_date)</v>
      </c>
      <c r="AA549" s="4"/>
      <c r="AB549" s="4"/>
      <c r="AC549" s="4"/>
      <c r="AD549" s="4"/>
      <c r="AE549" s="4"/>
      <c r="AF549" s="4"/>
      <c r="AG549" s="4"/>
      <c r="AH549" s="4"/>
      <c r="AI549" s="4"/>
      <c r="AJ549" s="76" t="str">
        <f>IF(E549="○",IF(COUNTA(E$13:E549)=1,"",",")&amp;D549,"")</f>
        <v/>
      </c>
      <c r="AK549" s="4"/>
      <c r="AL549" s="4"/>
      <c r="AM549" s="4"/>
      <c r="AN549" s="4"/>
      <c r="AO549" s="4"/>
      <c r="AP549" s="4"/>
      <c r="AQ549" s="4"/>
      <c r="AR549" s="4"/>
      <c r="AS549" s="76" t="str">
        <f>"COMMENT ON COLUMN "&amp;エンティティ一覧!$O$2&amp;"."&amp;D$8&amp;"."&amp;D549&amp;" IS '"&amp;C549&amp;"';"</f>
        <v>COMMENT ON COLUMN milscm_2023_009.sny_202310_annony_shikkan2.shikkan536_start_date IS 'F018_疾患開始日';</v>
      </c>
    </row>
    <row r="550" spans="1:45" s="25" customFormat="1">
      <c r="A550" s="4" t="s">
        <v>5629</v>
      </c>
      <c r="B550" s="21">
        <f t="shared" si="109"/>
        <v>538</v>
      </c>
      <c r="C550" s="13" t="str">
        <f t="shared" si="108"/>
        <v>F019_疾患開始日</v>
      </c>
      <c r="D550" s="13" t="s">
        <v>6197</v>
      </c>
      <c r="E550" s="8"/>
      <c r="F550" s="7" t="s">
        <v>4348</v>
      </c>
      <c r="G550" s="7" t="s">
        <v>25</v>
      </c>
      <c r="H550" s="58"/>
      <c r="I550" s="23"/>
      <c r="J550" s="24"/>
      <c r="M550" s="4"/>
      <c r="N550" s="76"/>
      <c r="O550" s="76"/>
      <c r="P550" s="76" t="str">
        <f t="shared" ref="P550:P613" si="110">IF(B550&lt;&gt;1,","&amp;D550,D550)</f>
        <v>,shikkan537_start_date</v>
      </c>
      <c r="Q550" s="76" t="str">
        <f t="shared" ref="Q550:Q613" si="111">UPPER(G550)</f>
        <v>DATE</v>
      </c>
      <c r="R550" s="76" t="str">
        <f t="shared" ref="R550:R613" si="112">IF(H550&lt;&gt;"","default "&amp;IF(G550="text","'"&amp;H550&amp;"'",H550),"")</f>
        <v/>
      </c>
      <c r="S550" s="76" t="str">
        <f t="shared" ref="S550:S613" si="113">IF(I550="○","NOT NULL","")</f>
        <v/>
      </c>
      <c r="T550" s="76" t="str">
        <f t="shared" ref="T550:T613" si="114">"-- "&amp;C550</f>
        <v>-- F019_疾患開始日</v>
      </c>
      <c r="U550" s="4" t="str">
        <f t="shared" si="106"/>
        <v>, CASE WHEN shikkan_disp_name = 'F019' THEN min_shikkan_start_date ::DATE ELSE NULL END AS shikkan537_start_date</v>
      </c>
      <c r="V550" s="25" t="str">
        <f t="shared" si="107"/>
        <v>, max(shikkan537_start_date)</v>
      </c>
      <c r="AA550" s="4"/>
      <c r="AB550" s="4"/>
      <c r="AC550" s="4"/>
      <c r="AD550" s="4"/>
      <c r="AE550" s="4"/>
      <c r="AF550" s="4"/>
      <c r="AG550" s="4"/>
      <c r="AH550" s="4"/>
      <c r="AI550" s="4"/>
      <c r="AJ550" s="76" t="str">
        <f>IF(E550="○",IF(COUNTA(E$13:E550)=1,"",",")&amp;D550,"")</f>
        <v/>
      </c>
      <c r="AK550" s="4"/>
      <c r="AL550" s="4"/>
      <c r="AM550" s="4"/>
      <c r="AN550" s="4"/>
      <c r="AO550" s="4"/>
      <c r="AP550" s="4"/>
      <c r="AQ550" s="4"/>
      <c r="AR550" s="4"/>
      <c r="AS550" s="76" t="str">
        <f>"COMMENT ON COLUMN "&amp;エンティティ一覧!$O$2&amp;"."&amp;D$8&amp;"."&amp;D550&amp;" IS '"&amp;C550&amp;"';"</f>
        <v>COMMENT ON COLUMN milscm_2023_009.sny_202310_annony_shikkan2.shikkan537_start_date IS 'F019_疾患開始日';</v>
      </c>
    </row>
    <row r="551" spans="1:45" s="25" customFormat="1">
      <c r="A551" s="4" t="s">
        <v>5630</v>
      </c>
      <c r="B551" s="21">
        <f t="shared" si="109"/>
        <v>539</v>
      </c>
      <c r="C551" s="13" t="str">
        <f t="shared" si="108"/>
        <v>F020_疾患開始日</v>
      </c>
      <c r="D551" s="13" t="s">
        <v>6198</v>
      </c>
      <c r="E551" s="8"/>
      <c r="F551" s="7" t="s">
        <v>4348</v>
      </c>
      <c r="G551" s="7" t="s">
        <v>25</v>
      </c>
      <c r="H551" s="58"/>
      <c r="I551" s="23"/>
      <c r="J551" s="24"/>
      <c r="M551" s="4"/>
      <c r="N551" s="76"/>
      <c r="O551" s="76"/>
      <c r="P551" s="76" t="str">
        <f t="shared" si="110"/>
        <v>,shikkan538_start_date</v>
      </c>
      <c r="Q551" s="76" t="str">
        <f t="shared" si="111"/>
        <v>DATE</v>
      </c>
      <c r="R551" s="76" t="str">
        <f t="shared" si="112"/>
        <v/>
      </c>
      <c r="S551" s="76" t="str">
        <f t="shared" si="113"/>
        <v/>
      </c>
      <c r="T551" s="76" t="str">
        <f t="shared" si="114"/>
        <v>-- F020_疾患開始日</v>
      </c>
      <c r="U551" s="4" t="str">
        <f t="shared" si="106"/>
        <v>, CASE WHEN shikkan_disp_name = 'F020' THEN min_shikkan_start_date ::DATE ELSE NULL END AS shikkan538_start_date</v>
      </c>
      <c r="V551" s="25" t="str">
        <f t="shared" si="107"/>
        <v>, max(shikkan538_start_date)</v>
      </c>
      <c r="AA551" s="4"/>
      <c r="AB551" s="4"/>
      <c r="AC551" s="4"/>
      <c r="AD551" s="4"/>
      <c r="AE551" s="4"/>
      <c r="AF551" s="4"/>
      <c r="AG551" s="4"/>
      <c r="AH551" s="4"/>
      <c r="AI551" s="4"/>
      <c r="AJ551" s="76" t="str">
        <f>IF(E551="○",IF(COUNTA(E$13:E551)=1,"",",")&amp;D551,"")</f>
        <v/>
      </c>
      <c r="AK551" s="4"/>
      <c r="AL551" s="4"/>
      <c r="AM551" s="4"/>
      <c r="AN551" s="4"/>
      <c r="AO551" s="4"/>
      <c r="AP551" s="4"/>
      <c r="AQ551" s="4"/>
      <c r="AR551" s="4"/>
      <c r="AS551" s="76" t="str">
        <f>"COMMENT ON COLUMN "&amp;エンティティ一覧!$O$2&amp;"."&amp;D$8&amp;"."&amp;D551&amp;" IS '"&amp;C551&amp;"';"</f>
        <v>COMMENT ON COLUMN milscm_2023_009.sny_202310_annony_shikkan2.shikkan538_start_date IS 'F020_疾患開始日';</v>
      </c>
    </row>
    <row r="552" spans="1:45" s="25" customFormat="1">
      <c r="A552" s="4" t="s">
        <v>5631</v>
      </c>
      <c r="B552" s="21">
        <f t="shared" si="109"/>
        <v>540</v>
      </c>
      <c r="C552" s="13" t="str">
        <f t="shared" si="108"/>
        <v>F021_疾患開始日</v>
      </c>
      <c r="D552" s="13" t="s">
        <v>6199</v>
      </c>
      <c r="E552" s="8"/>
      <c r="F552" s="7" t="s">
        <v>4348</v>
      </c>
      <c r="G552" s="7" t="s">
        <v>25</v>
      </c>
      <c r="H552" s="58"/>
      <c r="I552" s="23"/>
      <c r="J552" s="24"/>
      <c r="M552" s="4"/>
      <c r="N552" s="76"/>
      <c r="O552" s="76"/>
      <c r="P552" s="76" t="str">
        <f t="shared" si="110"/>
        <v>,shikkan539_start_date</v>
      </c>
      <c r="Q552" s="76" t="str">
        <f t="shared" si="111"/>
        <v>DATE</v>
      </c>
      <c r="R552" s="76" t="str">
        <f t="shared" si="112"/>
        <v/>
      </c>
      <c r="S552" s="76" t="str">
        <f t="shared" si="113"/>
        <v/>
      </c>
      <c r="T552" s="76" t="str">
        <f t="shared" si="114"/>
        <v>-- F021_疾患開始日</v>
      </c>
      <c r="U552" s="4" t="str">
        <f t="shared" si="106"/>
        <v>, CASE WHEN shikkan_disp_name = 'F021' THEN min_shikkan_start_date ::DATE ELSE NULL END AS shikkan539_start_date</v>
      </c>
      <c r="V552" s="25" t="str">
        <f t="shared" si="107"/>
        <v>, max(shikkan539_start_date)</v>
      </c>
      <c r="AA552" s="4"/>
      <c r="AB552" s="4"/>
      <c r="AC552" s="4"/>
      <c r="AD552" s="4"/>
      <c r="AE552" s="4"/>
      <c r="AF552" s="4"/>
      <c r="AG552" s="4"/>
      <c r="AH552" s="4"/>
      <c r="AI552" s="4"/>
      <c r="AJ552" s="76" t="str">
        <f>IF(E552="○",IF(COUNTA(E$13:E552)=1,"",",")&amp;D552,"")</f>
        <v/>
      </c>
      <c r="AK552" s="4"/>
      <c r="AL552" s="4"/>
      <c r="AM552" s="4"/>
      <c r="AN552" s="4"/>
      <c r="AO552" s="4"/>
      <c r="AP552" s="4"/>
      <c r="AQ552" s="4"/>
      <c r="AR552" s="4"/>
      <c r="AS552" s="76" t="str">
        <f>"COMMENT ON COLUMN "&amp;エンティティ一覧!$O$2&amp;"."&amp;D$8&amp;"."&amp;D552&amp;" IS '"&amp;C552&amp;"';"</f>
        <v>COMMENT ON COLUMN milscm_2023_009.sny_202310_annony_shikkan2.shikkan539_start_date IS 'F021_疾患開始日';</v>
      </c>
    </row>
    <row r="553" spans="1:45" s="25" customFormat="1">
      <c r="A553" s="4" t="s">
        <v>5632</v>
      </c>
      <c r="B553" s="21">
        <f t="shared" si="109"/>
        <v>541</v>
      </c>
      <c r="C553" s="13" t="str">
        <f t="shared" si="108"/>
        <v>F022_疾患開始日</v>
      </c>
      <c r="D553" s="13" t="s">
        <v>6200</v>
      </c>
      <c r="E553" s="8"/>
      <c r="F553" s="7" t="s">
        <v>4348</v>
      </c>
      <c r="G553" s="7" t="s">
        <v>25</v>
      </c>
      <c r="H553" s="58"/>
      <c r="I553" s="23"/>
      <c r="J553" s="24"/>
      <c r="M553" s="4"/>
      <c r="N553" s="76"/>
      <c r="O553" s="76"/>
      <c r="P553" s="76" t="str">
        <f t="shared" si="110"/>
        <v>,shikkan540_start_date</v>
      </c>
      <c r="Q553" s="76" t="str">
        <f t="shared" si="111"/>
        <v>DATE</v>
      </c>
      <c r="R553" s="76" t="str">
        <f t="shared" si="112"/>
        <v/>
      </c>
      <c r="S553" s="76" t="str">
        <f t="shared" si="113"/>
        <v/>
      </c>
      <c r="T553" s="76" t="str">
        <f t="shared" si="114"/>
        <v>-- F022_疾患開始日</v>
      </c>
      <c r="U553" s="4" t="str">
        <f t="shared" si="106"/>
        <v>, CASE WHEN shikkan_disp_name = 'F022' THEN min_shikkan_start_date ::DATE ELSE NULL END AS shikkan540_start_date</v>
      </c>
      <c r="V553" s="25" t="str">
        <f t="shared" si="107"/>
        <v>, max(shikkan540_start_date)</v>
      </c>
      <c r="AA553" s="4"/>
      <c r="AB553" s="4"/>
      <c r="AC553" s="4"/>
      <c r="AD553" s="4"/>
      <c r="AE553" s="4"/>
      <c r="AF553" s="4"/>
      <c r="AG553" s="4"/>
      <c r="AH553" s="4"/>
      <c r="AI553" s="4"/>
      <c r="AJ553" s="76" t="str">
        <f>IF(E553="○",IF(COUNTA(E$13:E553)=1,"",",")&amp;D553,"")</f>
        <v/>
      </c>
      <c r="AK553" s="4"/>
      <c r="AL553" s="4"/>
      <c r="AM553" s="4"/>
      <c r="AN553" s="4"/>
      <c r="AO553" s="4"/>
      <c r="AP553" s="4"/>
      <c r="AQ553" s="4"/>
      <c r="AR553" s="4"/>
      <c r="AS553" s="76" t="str">
        <f>"COMMENT ON COLUMN "&amp;エンティティ一覧!$O$2&amp;"."&amp;D$8&amp;"."&amp;D553&amp;" IS '"&amp;C553&amp;"';"</f>
        <v>COMMENT ON COLUMN milscm_2023_009.sny_202310_annony_shikkan2.shikkan540_start_date IS 'F022_疾患開始日';</v>
      </c>
    </row>
    <row r="554" spans="1:45" s="25" customFormat="1">
      <c r="A554" s="4" t="s">
        <v>5633</v>
      </c>
      <c r="B554" s="21">
        <f t="shared" si="109"/>
        <v>542</v>
      </c>
      <c r="C554" s="13" t="str">
        <f t="shared" si="108"/>
        <v>F023_疾患開始日</v>
      </c>
      <c r="D554" s="13" t="s">
        <v>6201</v>
      </c>
      <c r="E554" s="8"/>
      <c r="F554" s="7" t="s">
        <v>4348</v>
      </c>
      <c r="G554" s="7" t="s">
        <v>25</v>
      </c>
      <c r="H554" s="58"/>
      <c r="I554" s="23"/>
      <c r="J554" s="24"/>
      <c r="M554" s="4"/>
      <c r="N554" s="76"/>
      <c r="O554" s="76"/>
      <c r="P554" s="76" t="str">
        <f t="shared" si="110"/>
        <v>,shikkan541_start_date</v>
      </c>
      <c r="Q554" s="76" t="str">
        <f t="shared" si="111"/>
        <v>DATE</v>
      </c>
      <c r="R554" s="76" t="str">
        <f t="shared" si="112"/>
        <v/>
      </c>
      <c r="S554" s="76" t="str">
        <f t="shared" si="113"/>
        <v/>
      </c>
      <c r="T554" s="76" t="str">
        <f t="shared" si="114"/>
        <v>-- F023_疾患開始日</v>
      </c>
      <c r="U554" s="4" t="str">
        <f t="shared" si="106"/>
        <v>, CASE WHEN shikkan_disp_name = 'F023' THEN min_shikkan_start_date ::DATE ELSE NULL END AS shikkan541_start_date</v>
      </c>
      <c r="V554" s="25" t="str">
        <f t="shared" si="107"/>
        <v>, max(shikkan541_start_date)</v>
      </c>
      <c r="AA554" s="4"/>
      <c r="AB554" s="4"/>
      <c r="AC554" s="4"/>
      <c r="AD554" s="4"/>
      <c r="AE554" s="4"/>
      <c r="AF554" s="4"/>
      <c r="AG554" s="4"/>
      <c r="AH554" s="4"/>
      <c r="AI554" s="4"/>
      <c r="AJ554" s="76" t="str">
        <f>IF(E554="○",IF(COUNTA(E$13:E554)=1,"",",")&amp;D554,"")</f>
        <v/>
      </c>
      <c r="AK554" s="4"/>
      <c r="AL554" s="4"/>
      <c r="AM554" s="4"/>
      <c r="AN554" s="4"/>
      <c r="AO554" s="4"/>
      <c r="AP554" s="4"/>
      <c r="AQ554" s="4"/>
      <c r="AR554" s="4"/>
      <c r="AS554" s="76" t="str">
        <f>"COMMENT ON COLUMN "&amp;エンティティ一覧!$O$2&amp;"."&amp;D$8&amp;"."&amp;D554&amp;" IS '"&amp;C554&amp;"';"</f>
        <v>COMMENT ON COLUMN milscm_2023_009.sny_202310_annony_shikkan2.shikkan541_start_date IS 'F023_疾患開始日';</v>
      </c>
    </row>
    <row r="555" spans="1:45" s="25" customFormat="1">
      <c r="A555" s="4" t="s">
        <v>5634</v>
      </c>
      <c r="B555" s="21">
        <f t="shared" si="109"/>
        <v>543</v>
      </c>
      <c r="C555" s="13" t="str">
        <f t="shared" si="108"/>
        <v>F024_疾患開始日</v>
      </c>
      <c r="D555" s="13" t="s">
        <v>6202</v>
      </c>
      <c r="E555" s="8"/>
      <c r="F555" s="7" t="s">
        <v>4348</v>
      </c>
      <c r="G555" s="7" t="s">
        <v>25</v>
      </c>
      <c r="H555" s="58"/>
      <c r="I555" s="23"/>
      <c r="J555" s="24"/>
      <c r="M555" s="4"/>
      <c r="N555" s="76"/>
      <c r="O555" s="76"/>
      <c r="P555" s="76" t="str">
        <f t="shared" si="110"/>
        <v>,shikkan542_start_date</v>
      </c>
      <c r="Q555" s="76" t="str">
        <f t="shared" si="111"/>
        <v>DATE</v>
      </c>
      <c r="R555" s="76" t="str">
        <f t="shared" si="112"/>
        <v/>
      </c>
      <c r="S555" s="76" t="str">
        <f t="shared" si="113"/>
        <v/>
      </c>
      <c r="T555" s="76" t="str">
        <f t="shared" si="114"/>
        <v>-- F024_疾患開始日</v>
      </c>
      <c r="U555" s="4" t="str">
        <f t="shared" si="106"/>
        <v>, CASE WHEN shikkan_disp_name = 'F024' THEN min_shikkan_start_date ::DATE ELSE NULL END AS shikkan542_start_date</v>
      </c>
      <c r="V555" s="25" t="str">
        <f t="shared" si="107"/>
        <v>, max(shikkan542_start_date)</v>
      </c>
      <c r="AA555" s="4"/>
      <c r="AB555" s="4"/>
      <c r="AC555" s="4"/>
      <c r="AD555" s="4"/>
      <c r="AE555" s="4"/>
      <c r="AF555" s="4"/>
      <c r="AG555" s="4"/>
      <c r="AH555" s="4"/>
      <c r="AI555" s="4"/>
      <c r="AJ555" s="76" t="str">
        <f>IF(E555="○",IF(COUNTA(E$13:E555)=1,"",",")&amp;D555,"")</f>
        <v/>
      </c>
      <c r="AK555" s="4"/>
      <c r="AL555" s="4"/>
      <c r="AM555" s="4"/>
      <c r="AN555" s="4"/>
      <c r="AO555" s="4"/>
      <c r="AP555" s="4"/>
      <c r="AQ555" s="4"/>
      <c r="AR555" s="4"/>
      <c r="AS555" s="76" t="str">
        <f>"COMMENT ON COLUMN "&amp;エンティティ一覧!$O$2&amp;"."&amp;D$8&amp;"."&amp;D555&amp;" IS '"&amp;C555&amp;"';"</f>
        <v>COMMENT ON COLUMN milscm_2023_009.sny_202310_annony_shikkan2.shikkan542_start_date IS 'F024_疾患開始日';</v>
      </c>
    </row>
    <row r="556" spans="1:45" s="25" customFormat="1">
      <c r="A556" s="4" t="s">
        <v>5635</v>
      </c>
      <c r="B556" s="21">
        <f t="shared" si="109"/>
        <v>544</v>
      </c>
      <c r="C556" s="13" t="str">
        <f t="shared" si="108"/>
        <v>F028_疾患開始日</v>
      </c>
      <c r="D556" s="13" t="s">
        <v>6203</v>
      </c>
      <c r="E556" s="8"/>
      <c r="F556" s="7" t="s">
        <v>4348</v>
      </c>
      <c r="G556" s="7" t="s">
        <v>25</v>
      </c>
      <c r="H556" s="58"/>
      <c r="I556" s="23"/>
      <c r="J556" s="24"/>
      <c r="M556" s="4"/>
      <c r="N556" s="76"/>
      <c r="O556" s="76"/>
      <c r="P556" s="76" t="str">
        <f t="shared" si="110"/>
        <v>,shikkan543_start_date</v>
      </c>
      <c r="Q556" s="76" t="str">
        <f t="shared" si="111"/>
        <v>DATE</v>
      </c>
      <c r="R556" s="76" t="str">
        <f t="shared" si="112"/>
        <v/>
      </c>
      <c r="S556" s="76" t="str">
        <f t="shared" si="113"/>
        <v/>
      </c>
      <c r="T556" s="76" t="str">
        <f t="shared" si="114"/>
        <v>-- F028_疾患開始日</v>
      </c>
      <c r="U556" s="4" t="str">
        <f t="shared" si="106"/>
        <v>, CASE WHEN shikkan_disp_name = 'F028' THEN min_shikkan_start_date ::DATE ELSE NULL END AS shikkan543_start_date</v>
      </c>
      <c r="V556" s="25" t="str">
        <f t="shared" si="107"/>
        <v>, max(shikkan543_start_date)</v>
      </c>
      <c r="AA556" s="4"/>
      <c r="AB556" s="4"/>
      <c r="AC556" s="4"/>
      <c r="AD556" s="4"/>
      <c r="AE556" s="4"/>
      <c r="AF556" s="4"/>
      <c r="AG556" s="4"/>
      <c r="AH556" s="4"/>
      <c r="AI556" s="4"/>
      <c r="AJ556" s="76" t="str">
        <f>IF(E556="○",IF(COUNTA(E$13:E556)=1,"",",")&amp;D556,"")</f>
        <v/>
      </c>
      <c r="AK556" s="4"/>
      <c r="AL556" s="4"/>
      <c r="AM556" s="4"/>
      <c r="AN556" s="4"/>
      <c r="AO556" s="4"/>
      <c r="AP556" s="4"/>
      <c r="AQ556" s="4"/>
      <c r="AR556" s="4"/>
      <c r="AS556" s="76" t="str">
        <f>"COMMENT ON COLUMN "&amp;エンティティ一覧!$O$2&amp;"."&amp;D$8&amp;"."&amp;D556&amp;" IS '"&amp;C556&amp;"';"</f>
        <v>COMMENT ON COLUMN milscm_2023_009.sny_202310_annony_shikkan2.shikkan543_start_date IS 'F028_疾患開始日';</v>
      </c>
    </row>
    <row r="557" spans="1:45" s="25" customFormat="1">
      <c r="A557" s="4" t="s">
        <v>5063</v>
      </c>
      <c r="B557" s="21">
        <f t="shared" si="109"/>
        <v>545</v>
      </c>
      <c r="C557" s="13" t="str">
        <f t="shared" si="108"/>
        <v>F03_疾患開始日</v>
      </c>
      <c r="D557" s="13" t="s">
        <v>6204</v>
      </c>
      <c r="E557" s="8"/>
      <c r="F557" s="7" t="s">
        <v>4348</v>
      </c>
      <c r="G557" s="7" t="s">
        <v>25</v>
      </c>
      <c r="H557" s="58"/>
      <c r="I557" s="23"/>
      <c r="J557" s="24"/>
      <c r="M557" s="4"/>
      <c r="N557" s="76"/>
      <c r="O557" s="76"/>
      <c r="P557" s="76" t="str">
        <f t="shared" si="110"/>
        <v>,shikkan544_start_date</v>
      </c>
      <c r="Q557" s="76" t="str">
        <f t="shared" si="111"/>
        <v>DATE</v>
      </c>
      <c r="R557" s="76" t="str">
        <f t="shared" si="112"/>
        <v/>
      </c>
      <c r="S557" s="76" t="str">
        <f t="shared" si="113"/>
        <v/>
      </c>
      <c r="T557" s="76" t="str">
        <f t="shared" si="114"/>
        <v>-- F03_疾患開始日</v>
      </c>
      <c r="U557" s="4" t="str">
        <f t="shared" si="106"/>
        <v>, CASE WHEN shikkan_disp_name = 'F03' THEN min_shikkan_start_date ::DATE ELSE NULL END AS shikkan544_start_date</v>
      </c>
      <c r="V557" s="25" t="str">
        <f t="shared" si="107"/>
        <v>, max(shikkan544_start_date)</v>
      </c>
      <c r="AA557" s="4"/>
      <c r="AB557" s="4"/>
      <c r="AC557" s="4"/>
      <c r="AD557" s="4"/>
      <c r="AE557" s="4"/>
      <c r="AF557" s="4"/>
      <c r="AG557" s="4"/>
      <c r="AH557" s="4"/>
      <c r="AI557" s="4"/>
      <c r="AJ557" s="76" t="str">
        <f>IF(E557="○",IF(COUNTA(E$13:E557)=1,"",",")&amp;D557,"")</f>
        <v/>
      </c>
      <c r="AK557" s="4"/>
      <c r="AL557" s="4"/>
      <c r="AM557" s="4"/>
      <c r="AN557" s="4"/>
      <c r="AO557" s="4"/>
      <c r="AP557" s="4"/>
      <c r="AQ557" s="4"/>
      <c r="AR557" s="4"/>
      <c r="AS557" s="76" t="str">
        <f>"COMMENT ON COLUMN "&amp;エンティティ一覧!$O$2&amp;"."&amp;D$8&amp;"."&amp;D557&amp;" IS '"&amp;C557&amp;"';"</f>
        <v>COMMENT ON COLUMN milscm_2023_009.sny_202310_annony_shikkan2.shikkan544_start_date IS 'F03_疾患開始日';</v>
      </c>
    </row>
    <row r="558" spans="1:45" s="25" customFormat="1">
      <c r="A558" s="4" t="s">
        <v>5636</v>
      </c>
      <c r="B558" s="21">
        <f t="shared" si="109"/>
        <v>546</v>
      </c>
      <c r="C558" s="13" t="str">
        <f t="shared" si="108"/>
        <v>F051_疾患開始日</v>
      </c>
      <c r="D558" s="13" t="s">
        <v>6205</v>
      </c>
      <c r="E558" s="8"/>
      <c r="F558" s="7" t="s">
        <v>4348</v>
      </c>
      <c r="G558" s="7" t="s">
        <v>25</v>
      </c>
      <c r="H558" s="58"/>
      <c r="I558" s="23"/>
      <c r="J558" s="24"/>
      <c r="M558" s="4"/>
      <c r="N558" s="76"/>
      <c r="O558" s="76"/>
      <c r="P558" s="76" t="str">
        <f t="shared" si="110"/>
        <v>,shikkan545_start_date</v>
      </c>
      <c r="Q558" s="76" t="str">
        <f t="shared" si="111"/>
        <v>DATE</v>
      </c>
      <c r="R558" s="76" t="str">
        <f t="shared" si="112"/>
        <v/>
      </c>
      <c r="S558" s="76" t="str">
        <f t="shared" si="113"/>
        <v/>
      </c>
      <c r="T558" s="76" t="str">
        <f t="shared" si="114"/>
        <v>-- F051_疾患開始日</v>
      </c>
      <c r="U558" s="4" t="str">
        <f t="shared" si="106"/>
        <v>, CASE WHEN shikkan_disp_name = 'F051' THEN min_shikkan_start_date ::DATE ELSE NULL END AS shikkan545_start_date</v>
      </c>
      <c r="V558" s="25" t="str">
        <f t="shared" si="107"/>
        <v>, max(shikkan545_start_date)</v>
      </c>
      <c r="AA558" s="4"/>
      <c r="AB558" s="4"/>
      <c r="AC558" s="4"/>
      <c r="AD558" s="4"/>
      <c r="AE558" s="4"/>
      <c r="AF558" s="4"/>
      <c r="AG558" s="4"/>
      <c r="AH558" s="4"/>
      <c r="AI558" s="4"/>
      <c r="AJ558" s="76" t="str">
        <f>IF(E558="○",IF(COUNTA(E$13:E558)=1,"",",")&amp;D558,"")</f>
        <v/>
      </c>
      <c r="AK558" s="4"/>
      <c r="AL558" s="4"/>
      <c r="AM558" s="4"/>
      <c r="AN558" s="4"/>
      <c r="AO558" s="4"/>
      <c r="AP558" s="4"/>
      <c r="AQ558" s="4"/>
      <c r="AR558" s="4"/>
      <c r="AS558" s="76" t="str">
        <f>"COMMENT ON COLUMN "&amp;エンティティ一覧!$O$2&amp;"."&amp;D$8&amp;"."&amp;D558&amp;" IS '"&amp;C558&amp;"';"</f>
        <v>COMMENT ON COLUMN milscm_2023_009.sny_202310_annony_shikkan2.shikkan545_start_date IS 'F051_疾患開始日';</v>
      </c>
    </row>
    <row r="559" spans="1:45" s="25" customFormat="1">
      <c r="A559" s="4" t="s">
        <v>5637</v>
      </c>
      <c r="B559" s="21">
        <f t="shared" si="109"/>
        <v>547</v>
      </c>
      <c r="C559" s="13" t="str">
        <f t="shared" si="108"/>
        <v>G041_疾患開始日</v>
      </c>
      <c r="D559" s="13" t="s">
        <v>6206</v>
      </c>
      <c r="E559" s="8"/>
      <c r="F559" s="7" t="s">
        <v>4348</v>
      </c>
      <c r="G559" s="7" t="s">
        <v>25</v>
      </c>
      <c r="H559" s="58"/>
      <c r="I559" s="23"/>
      <c r="J559" s="24"/>
      <c r="M559" s="4"/>
      <c r="N559" s="76"/>
      <c r="O559" s="76"/>
      <c r="P559" s="76" t="str">
        <f t="shared" si="110"/>
        <v>,shikkan546_start_date</v>
      </c>
      <c r="Q559" s="76" t="str">
        <f t="shared" si="111"/>
        <v>DATE</v>
      </c>
      <c r="R559" s="76" t="str">
        <f t="shared" si="112"/>
        <v/>
      </c>
      <c r="S559" s="76" t="str">
        <f t="shared" si="113"/>
        <v/>
      </c>
      <c r="T559" s="76" t="str">
        <f t="shared" si="114"/>
        <v>-- G041_疾患開始日</v>
      </c>
      <c r="U559" s="4" t="str">
        <f t="shared" si="106"/>
        <v>, CASE WHEN shikkan_disp_name = 'G041' THEN min_shikkan_start_date ::DATE ELSE NULL END AS shikkan546_start_date</v>
      </c>
      <c r="V559" s="25" t="str">
        <f t="shared" si="107"/>
        <v>, max(shikkan546_start_date)</v>
      </c>
      <c r="AA559" s="4"/>
      <c r="AB559" s="4"/>
      <c r="AC559" s="4"/>
      <c r="AD559" s="4"/>
      <c r="AE559" s="4"/>
      <c r="AF559" s="4"/>
      <c r="AG559" s="4"/>
      <c r="AH559" s="4"/>
      <c r="AI559" s="4"/>
      <c r="AJ559" s="76" t="str">
        <f>IF(E559="○",IF(COUNTA(E$13:E559)=1,"",",")&amp;D559,"")</f>
        <v/>
      </c>
      <c r="AK559" s="4"/>
      <c r="AL559" s="4"/>
      <c r="AM559" s="4"/>
      <c r="AN559" s="4"/>
      <c r="AO559" s="4"/>
      <c r="AP559" s="4"/>
      <c r="AQ559" s="4"/>
      <c r="AR559" s="4"/>
      <c r="AS559" s="76" t="str">
        <f>"COMMENT ON COLUMN "&amp;エンティティ一覧!$O$2&amp;"."&amp;D$8&amp;"."&amp;D559&amp;" IS '"&amp;C559&amp;"';"</f>
        <v>COMMENT ON COLUMN milscm_2023_009.sny_202310_annony_shikkan2.shikkan546_start_date IS 'G041_疾患開始日';</v>
      </c>
    </row>
    <row r="560" spans="1:45" s="25" customFormat="1">
      <c r="A560" s="4" t="s">
        <v>5638</v>
      </c>
      <c r="B560" s="21">
        <f t="shared" si="109"/>
        <v>548</v>
      </c>
      <c r="C560" s="13" t="str">
        <f t="shared" si="108"/>
        <v>G114_疾患開始日</v>
      </c>
      <c r="D560" s="13" t="s">
        <v>6207</v>
      </c>
      <c r="E560" s="8"/>
      <c r="F560" s="7" t="s">
        <v>4348</v>
      </c>
      <c r="G560" s="7" t="s">
        <v>25</v>
      </c>
      <c r="H560" s="58"/>
      <c r="I560" s="23"/>
      <c r="J560" s="24"/>
      <c r="M560" s="4"/>
      <c r="N560" s="76"/>
      <c r="O560" s="76"/>
      <c r="P560" s="76" t="str">
        <f t="shared" si="110"/>
        <v>,shikkan547_start_date</v>
      </c>
      <c r="Q560" s="76" t="str">
        <f t="shared" si="111"/>
        <v>DATE</v>
      </c>
      <c r="R560" s="76" t="str">
        <f t="shared" si="112"/>
        <v/>
      </c>
      <c r="S560" s="76" t="str">
        <f t="shared" si="113"/>
        <v/>
      </c>
      <c r="T560" s="76" t="str">
        <f t="shared" si="114"/>
        <v>-- G114_疾患開始日</v>
      </c>
      <c r="U560" s="4" t="str">
        <f t="shared" si="106"/>
        <v>, CASE WHEN shikkan_disp_name = 'G114' THEN min_shikkan_start_date ::DATE ELSE NULL END AS shikkan547_start_date</v>
      </c>
      <c r="V560" s="25" t="str">
        <f t="shared" si="107"/>
        <v>, max(shikkan547_start_date)</v>
      </c>
      <c r="AA560" s="4"/>
      <c r="AB560" s="4"/>
      <c r="AC560" s="4"/>
      <c r="AD560" s="4"/>
      <c r="AE560" s="4"/>
      <c r="AF560" s="4"/>
      <c r="AG560" s="4"/>
      <c r="AH560" s="4"/>
      <c r="AI560" s="4"/>
      <c r="AJ560" s="76" t="str">
        <f>IF(E560="○",IF(COUNTA(E$13:E560)=1,"",",")&amp;D560,"")</f>
        <v/>
      </c>
      <c r="AK560" s="4"/>
      <c r="AL560" s="4"/>
      <c r="AM560" s="4"/>
      <c r="AN560" s="4"/>
      <c r="AO560" s="4"/>
      <c r="AP560" s="4"/>
      <c r="AQ560" s="4"/>
      <c r="AR560" s="4"/>
      <c r="AS560" s="76" t="str">
        <f>"COMMENT ON COLUMN "&amp;エンティティ一覧!$O$2&amp;"."&amp;D$8&amp;"."&amp;D560&amp;" IS '"&amp;C560&amp;"';"</f>
        <v>COMMENT ON COLUMN milscm_2023_009.sny_202310_annony_shikkan2.shikkan547_start_date IS 'G114_疾患開始日';</v>
      </c>
    </row>
    <row r="561" spans="1:45" s="25" customFormat="1">
      <c r="A561" s="4" t="s">
        <v>5639</v>
      </c>
      <c r="B561" s="21">
        <f t="shared" si="109"/>
        <v>549</v>
      </c>
      <c r="C561" s="13" t="str">
        <f t="shared" si="108"/>
        <v>G300_疾患開始日</v>
      </c>
      <c r="D561" s="13" t="s">
        <v>6208</v>
      </c>
      <c r="E561" s="8"/>
      <c r="F561" s="7" t="s">
        <v>4348</v>
      </c>
      <c r="G561" s="7" t="s">
        <v>25</v>
      </c>
      <c r="H561" s="58"/>
      <c r="I561" s="23"/>
      <c r="J561" s="24"/>
      <c r="M561" s="4"/>
      <c r="N561" s="76"/>
      <c r="O561" s="76"/>
      <c r="P561" s="76" t="str">
        <f t="shared" si="110"/>
        <v>,shikkan548_start_date</v>
      </c>
      <c r="Q561" s="76" t="str">
        <f t="shared" si="111"/>
        <v>DATE</v>
      </c>
      <c r="R561" s="76" t="str">
        <f t="shared" si="112"/>
        <v/>
      </c>
      <c r="S561" s="76" t="str">
        <f t="shared" si="113"/>
        <v/>
      </c>
      <c r="T561" s="76" t="str">
        <f t="shared" si="114"/>
        <v>-- G300_疾患開始日</v>
      </c>
      <c r="U561" s="4" t="str">
        <f t="shared" si="106"/>
        <v>, CASE WHEN shikkan_disp_name = 'G300' THEN min_shikkan_start_date ::DATE ELSE NULL END AS shikkan548_start_date</v>
      </c>
      <c r="V561" s="25" t="str">
        <f t="shared" si="107"/>
        <v>, max(shikkan548_start_date)</v>
      </c>
      <c r="AA561" s="4"/>
      <c r="AB561" s="4"/>
      <c r="AC561" s="4"/>
      <c r="AD561" s="4"/>
      <c r="AE561" s="4"/>
      <c r="AF561" s="4"/>
      <c r="AG561" s="4"/>
      <c r="AH561" s="4"/>
      <c r="AI561" s="4"/>
      <c r="AJ561" s="76" t="str">
        <f>IF(E561="○",IF(COUNTA(E$13:E561)=1,"",",")&amp;D561,"")</f>
        <v/>
      </c>
      <c r="AK561" s="4"/>
      <c r="AL561" s="4"/>
      <c r="AM561" s="4"/>
      <c r="AN561" s="4"/>
      <c r="AO561" s="4"/>
      <c r="AP561" s="4"/>
      <c r="AQ561" s="4"/>
      <c r="AR561" s="4"/>
      <c r="AS561" s="76" t="str">
        <f>"COMMENT ON COLUMN "&amp;エンティティ一覧!$O$2&amp;"."&amp;D$8&amp;"."&amp;D561&amp;" IS '"&amp;C561&amp;"';"</f>
        <v>COMMENT ON COLUMN milscm_2023_009.sny_202310_annony_shikkan2.shikkan548_start_date IS 'G300_疾患開始日';</v>
      </c>
    </row>
    <row r="562" spans="1:45" s="25" customFormat="1">
      <c r="A562" s="4" t="s">
        <v>5640</v>
      </c>
      <c r="B562" s="21">
        <f t="shared" si="109"/>
        <v>550</v>
      </c>
      <c r="C562" s="13" t="str">
        <f t="shared" si="108"/>
        <v>G301_疾患開始日</v>
      </c>
      <c r="D562" s="13" t="s">
        <v>6209</v>
      </c>
      <c r="E562" s="8"/>
      <c r="F562" s="7" t="s">
        <v>4348</v>
      </c>
      <c r="G562" s="7" t="s">
        <v>25</v>
      </c>
      <c r="H562" s="58"/>
      <c r="I562" s="23"/>
      <c r="J562" s="24"/>
      <c r="M562" s="4"/>
      <c r="N562" s="76"/>
      <c r="O562" s="76"/>
      <c r="P562" s="76" t="str">
        <f t="shared" si="110"/>
        <v>,shikkan549_start_date</v>
      </c>
      <c r="Q562" s="76" t="str">
        <f t="shared" si="111"/>
        <v>DATE</v>
      </c>
      <c r="R562" s="76" t="str">
        <f t="shared" si="112"/>
        <v/>
      </c>
      <c r="S562" s="76" t="str">
        <f t="shared" si="113"/>
        <v/>
      </c>
      <c r="T562" s="76" t="str">
        <f t="shared" si="114"/>
        <v>-- G301_疾患開始日</v>
      </c>
      <c r="U562" s="4" t="str">
        <f t="shared" si="106"/>
        <v>, CASE WHEN shikkan_disp_name = 'G301' THEN min_shikkan_start_date ::DATE ELSE NULL END AS shikkan549_start_date</v>
      </c>
      <c r="V562" s="25" t="str">
        <f t="shared" si="107"/>
        <v>, max(shikkan549_start_date)</v>
      </c>
      <c r="AA562" s="4"/>
      <c r="AB562" s="4"/>
      <c r="AC562" s="4"/>
      <c r="AD562" s="4"/>
      <c r="AE562" s="4"/>
      <c r="AF562" s="4"/>
      <c r="AG562" s="4"/>
      <c r="AH562" s="4"/>
      <c r="AI562" s="4"/>
      <c r="AJ562" s="76" t="str">
        <f>IF(E562="○",IF(COUNTA(E$13:E562)=1,"",",")&amp;D562,"")</f>
        <v/>
      </c>
      <c r="AK562" s="4"/>
      <c r="AL562" s="4"/>
      <c r="AM562" s="4"/>
      <c r="AN562" s="4"/>
      <c r="AO562" s="4"/>
      <c r="AP562" s="4"/>
      <c r="AQ562" s="4"/>
      <c r="AR562" s="4"/>
      <c r="AS562" s="76" t="str">
        <f>"COMMENT ON COLUMN "&amp;エンティティ一覧!$O$2&amp;"."&amp;D$8&amp;"."&amp;D562&amp;" IS '"&amp;C562&amp;"';"</f>
        <v>COMMENT ON COLUMN milscm_2023_009.sny_202310_annony_shikkan2.shikkan549_start_date IS 'G301_疾患開始日';</v>
      </c>
    </row>
    <row r="563" spans="1:45" s="25" customFormat="1">
      <c r="A563" s="4" t="s">
        <v>5641</v>
      </c>
      <c r="B563" s="21">
        <f t="shared" si="109"/>
        <v>551</v>
      </c>
      <c r="C563" s="13" t="str">
        <f t="shared" si="108"/>
        <v>G308_疾患開始日</v>
      </c>
      <c r="D563" s="13" t="s">
        <v>6210</v>
      </c>
      <c r="E563" s="8"/>
      <c r="F563" s="7" t="s">
        <v>4348</v>
      </c>
      <c r="G563" s="7" t="s">
        <v>25</v>
      </c>
      <c r="H563" s="58"/>
      <c r="I563" s="23"/>
      <c r="J563" s="24"/>
      <c r="M563" s="4"/>
      <c r="N563" s="76"/>
      <c r="O563" s="76"/>
      <c r="P563" s="76" t="str">
        <f t="shared" si="110"/>
        <v>,shikkan550_start_date</v>
      </c>
      <c r="Q563" s="76" t="str">
        <f t="shared" si="111"/>
        <v>DATE</v>
      </c>
      <c r="R563" s="76" t="str">
        <f t="shared" si="112"/>
        <v/>
      </c>
      <c r="S563" s="76" t="str">
        <f t="shared" si="113"/>
        <v/>
      </c>
      <c r="T563" s="76" t="str">
        <f t="shared" si="114"/>
        <v>-- G308_疾患開始日</v>
      </c>
      <c r="U563" s="4" t="str">
        <f t="shared" si="106"/>
        <v>, CASE WHEN shikkan_disp_name = 'G308' THEN min_shikkan_start_date ::DATE ELSE NULL END AS shikkan550_start_date</v>
      </c>
      <c r="V563" s="25" t="str">
        <f t="shared" si="107"/>
        <v>, max(shikkan550_start_date)</v>
      </c>
      <c r="AA563" s="4"/>
      <c r="AB563" s="4"/>
      <c r="AC563" s="4"/>
      <c r="AD563" s="4"/>
      <c r="AE563" s="4"/>
      <c r="AF563" s="4"/>
      <c r="AG563" s="4"/>
      <c r="AH563" s="4"/>
      <c r="AI563" s="4"/>
      <c r="AJ563" s="76" t="str">
        <f>IF(E563="○",IF(COUNTA(E$13:E563)=1,"",",")&amp;D563,"")</f>
        <v/>
      </c>
      <c r="AK563" s="4"/>
      <c r="AL563" s="4"/>
      <c r="AM563" s="4"/>
      <c r="AN563" s="4"/>
      <c r="AO563" s="4"/>
      <c r="AP563" s="4"/>
      <c r="AQ563" s="4"/>
      <c r="AR563" s="4"/>
      <c r="AS563" s="76" t="str">
        <f>"COMMENT ON COLUMN "&amp;エンティティ一覧!$O$2&amp;"."&amp;D$8&amp;"."&amp;D563&amp;" IS '"&amp;C563&amp;"';"</f>
        <v>COMMENT ON COLUMN milscm_2023_009.sny_202310_annony_shikkan2.shikkan550_start_date IS 'G308_疾患開始日';</v>
      </c>
    </row>
    <row r="564" spans="1:45" s="25" customFormat="1">
      <c r="A564" s="4" t="s">
        <v>5642</v>
      </c>
      <c r="B564" s="21">
        <f t="shared" si="109"/>
        <v>552</v>
      </c>
      <c r="C564" s="13" t="str">
        <f t="shared" si="108"/>
        <v>G309_疾患開始日</v>
      </c>
      <c r="D564" s="13" t="s">
        <v>6211</v>
      </c>
      <c r="E564" s="8"/>
      <c r="F564" s="7" t="s">
        <v>4348</v>
      </c>
      <c r="G564" s="7" t="s">
        <v>25</v>
      </c>
      <c r="H564" s="58"/>
      <c r="I564" s="23"/>
      <c r="J564" s="24"/>
      <c r="M564" s="4"/>
      <c r="N564" s="76"/>
      <c r="O564" s="76"/>
      <c r="P564" s="76" t="str">
        <f t="shared" si="110"/>
        <v>,shikkan551_start_date</v>
      </c>
      <c r="Q564" s="76" t="str">
        <f t="shared" si="111"/>
        <v>DATE</v>
      </c>
      <c r="R564" s="76" t="str">
        <f t="shared" si="112"/>
        <v/>
      </c>
      <c r="S564" s="76" t="str">
        <f t="shared" si="113"/>
        <v/>
      </c>
      <c r="T564" s="76" t="str">
        <f t="shared" si="114"/>
        <v>-- G309_疾患開始日</v>
      </c>
      <c r="U564" s="4" t="str">
        <f t="shared" si="106"/>
        <v>, CASE WHEN shikkan_disp_name = 'G309' THEN min_shikkan_start_date ::DATE ELSE NULL END AS shikkan551_start_date</v>
      </c>
      <c r="V564" s="25" t="str">
        <f t="shared" si="107"/>
        <v>, max(shikkan551_start_date)</v>
      </c>
      <c r="AA564" s="4"/>
      <c r="AB564" s="4"/>
      <c r="AC564" s="4"/>
      <c r="AD564" s="4"/>
      <c r="AE564" s="4"/>
      <c r="AF564" s="4"/>
      <c r="AG564" s="4"/>
      <c r="AH564" s="4"/>
      <c r="AI564" s="4"/>
      <c r="AJ564" s="76" t="str">
        <f>IF(E564="○",IF(COUNTA(E$13:E564)=1,"",",")&amp;D564,"")</f>
        <v/>
      </c>
      <c r="AK564" s="4"/>
      <c r="AL564" s="4"/>
      <c r="AM564" s="4"/>
      <c r="AN564" s="4"/>
      <c r="AO564" s="4"/>
      <c r="AP564" s="4"/>
      <c r="AQ564" s="4"/>
      <c r="AR564" s="4"/>
      <c r="AS564" s="76" t="str">
        <f>"COMMENT ON COLUMN "&amp;エンティティ一覧!$O$2&amp;"."&amp;D$8&amp;"."&amp;D564&amp;" IS '"&amp;C564&amp;"';"</f>
        <v>COMMENT ON COLUMN milscm_2023_009.sny_202310_annony_shikkan2.shikkan551_start_date IS 'G309_疾患開始日';</v>
      </c>
    </row>
    <row r="565" spans="1:45" s="25" customFormat="1">
      <c r="A565" s="4" t="s">
        <v>5643</v>
      </c>
      <c r="B565" s="21">
        <f t="shared" si="109"/>
        <v>553</v>
      </c>
      <c r="C565" s="13" t="str">
        <f t="shared" si="108"/>
        <v>G311_疾患開始日</v>
      </c>
      <c r="D565" s="13" t="s">
        <v>6212</v>
      </c>
      <c r="E565" s="8"/>
      <c r="F565" s="7" t="s">
        <v>4348</v>
      </c>
      <c r="G565" s="7" t="s">
        <v>25</v>
      </c>
      <c r="H565" s="58"/>
      <c r="I565" s="23"/>
      <c r="J565" s="24"/>
      <c r="M565" s="4"/>
      <c r="N565" s="76"/>
      <c r="O565" s="76"/>
      <c r="P565" s="76" t="str">
        <f t="shared" si="110"/>
        <v>,shikkan552_start_date</v>
      </c>
      <c r="Q565" s="76" t="str">
        <f t="shared" si="111"/>
        <v>DATE</v>
      </c>
      <c r="R565" s="76" t="str">
        <f t="shared" si="112"/>
        <v/>
      </c>
      <c r="S565" s="76" t="str">
        <f t="shared" si="113"/>
        <v/>
      </c>
      <c r="T565" s="76" t="str">
        <f t="shared" si="114"/>
        <v>-- G311_疾患開始日</v>
      </c>
      <c r="U565" s="4" t="str">
        <f t="shared" si="106"/>
        <v>, CASE WHEN shikkan_disp_name = 'G311' THEN min_shikkan_start_date ::DATE ELSE NULL END AS shikkan552_start_date</v>
      </c>
      <c r="V565" s="25" t="str">
        <f t="shared" si="107"/>
        <v>, max(shikkan552_start_date)</v>
      </c>
      <c r="AA565" s="4"/>
      <c r="AB565" s="4"/>
      <c r="AC565" s="4"/>
      <c r="AD565" s="4"/>
      <c r="AE565" s="4"/>
      <c r="AF565" s="4"/>
      <c r="AG565" s="4"/>
      <c r="AH565" s="4"/>
      <c r="AI565" s="4"/>
      <c r="AJ565" s="76" t="str">
        <f>IF(E565="○",IF(COUNTA(E$13:E565)=1,"",",")&amp;D565,"")</f>
        <v/>
      </c>
      <c r="AK565" s="4"/>
      <c r="AL565" s="4"/>
      <c r="AM565" s="4"/>
      <c r="AN565" s="4"/>
      <c r="AO565" s="4"/>
      <c r="AP565" s="4"/>
      <c r="AQ565" s="4"/>
      <c r="AR565" s="4"/>
      <c r="AS565" s="76" t="str">
        <f>"COMMENT ON COLUMN "&amp;エンティティ一覧!$O$2&amp;"."&amp;D$8&amp;"."&amp;D565&amp;" IS '"&amp;C565&amp;"';"</f>
        <v>COMMENT ON COLUMN milscm_2023_009.sny_202310_annony_shikkan2.shikkan552_start_date IS 'G311_疾患開始日';</v>
      </c>
    </row>
    <row r="566" spans="1:45" s="25" customFormat="1">
      <c r="A566" s="4" t="s">
        <v>5644</v>
      </c>
      <c r="B566" s="21">
        <f t="shared" si="109"/>
        <v>554</v>
      </c>
      <c r="C566" s="13" t="str">
        <f t="shared" si="108"/>
        <v>G450_疾患開始日</v>
      </c>
      <c r="D566" s="13" t="s">
        <v>6213</v>
      </c>
      <c r="E566" s="8"/>
      <c r="F566" s="7" t="s">
        <v>4348</v>
      </c>
      <c r="G566" s="7" t="s">
        <v>25</v>
      </c>
      <c r="H566" s="58"/>
      <c r="I566" s="23"/>
      <c r="J566" s="24"/>
      <c r="M566" s="4"/>
      <c r="N566" s="76"/>
      <c r="O566" s="76"/>
      <c r="P566" s="76" t="str">
        <f t="shared" si="110"/>
        <v>,shikkan553_start_date</v>
      </c>
      <c r="Q566" s="76" t="str">
        <f t="shared" si="111"/>
        <v>DATE</v>
      </c>
      <c r="R566" s="76" t="str">
        <f t="shared" si="112"/>
        <v/>
      </c>
      <c r="S566" s="76" t="str">
        <f t="shared" si="113"/>
        <v/>
      </c>
      <c r="T566" s="76" t="str">
        <f t="shared" si="114"/>
        <v>-- G450_疾患開始日</v>
      </c>
      <c r="U566" s="4" t="str">
        <f t="shared" si="106"/>
        <v>, CASE WHEN shikkan_disp_name = 'G450' THEN min_shikkan_start_date ::DATE ELSE NULL END AS shikkan553_start_date</v>
      </c>
      <c r="V566" s="25" t="str">
        <f t="shared" si="107"/>
        <v>, max(shikkan553_start_date)</v>
      </c>
      <c r="AA566" s="4"/>
      <c r="AB566" s="4"/>
      <c r="AC566" s="4"/>
      <c r="AD566" s="4"/>
      <c r="AE566" s="4"/>
      <c r="AF566" s="4"/>
      <c r="AG566" s="4"/>
      <c r="AH566" s="4"/>
      <c r="AI566" s="4"/>
      <c r="AJ566" s="76" t="str">
        <f>IF(E566="○",IF(COUNTA(E$13:E566)=1,"",",")&amp;D566,"")</f>
        <v/>
      </c>
      <c r="AK566" s="4"/>
      <c r="AL566" s="4"/>
      <c r="AM566" s="4"/>
      <c r="AN566" s="4"/>
      <c r="AO566" s="4"/>
      <c r="AP566" s="4"/>
      <c r="AQ566" s="4"/>
      <c r="AR566" s="4"/>
      <c r="AS566" s="76" t="str">
        <f>"COMMENT ON COLUMN "&amp;エンティティ一覧!$O$2&amp;"."&amp;D$8&amp;"."&amp;D566&amp;" IS '"&amp;C566&amp;"';"</f>
        <v>COMMENT ON COLUMN milscm_2023_009.sny_202310_annony_shikkan2.shikkan553_start_date IS 'G450_疾患開始日';</v>
      </c>
    </row>
    <row r="567" spans="1:45" s="25" customFormat="1">
      <c r="A567" s="4" t="s">
        <v>5645</v>
      </c>
      <c r="B567" s="21">
        <f t="shared" si="109"/>
        <v>555</v>
      </c>
      <c r="C567" s="13" t="str">
        <f t="shared" si="108"/>
        <v>G451_疾患開始日</v>
      </c>
      <c r="D567" s="13" t="s">
        <v>6214</v>
      </c>
      <c r="E567" s="8"/>
      <c r="F567" s="7" t="s">
        <v>4348</v>
      </c>
      <c r="G567" s="7" t="s">
        <v>25</v>
      </c>
      <c r="H567" s="58"/>
      <c r="I567" s="23"/>
      <c r="J567" s="24"/>
      <c r="M567" s="4"/>
      <c r="N567" s="76"/>
      <c r="O567" s="76"/>
      <c r="P567" s="76" t="str">
        <f t="shared" si="110"/>
        <v>,shikkan554_start_date</v>
      </c>
      <c r="Q567" s="76" t="str">
        <f t="shared" si="111"/>
        <v>DATE</v>
      </c>
      <c r="R567" s="76" t="str">
        <f t="shared" si="112"/>
        <v/>
      </c>
      <c r="S567" s="76" t="str">
        <f t="shared" si="113"/>
        <v/>
      </c>
      <c r="T567" s="76" t="str">
        <f t="shared" si="114"/>
        <v>-- G451_疾患開始日</v>
      </c>
      <c r="U567" s="4" t="str">
        <f t="shared" si="106"/>
        <v>, CASE WHEN shikkan_disp_name = 'G451' THEN min_shikkan_start_date ::DATE ELSE NULL END AS shikkan554_start_date</v>
      </c>
      <c r="V567" s="25" t="str">
        <f t="shared" si="107"/>
        <v>, max(shikkan554_start_date)</v>
      </c>
      <c r="AA567" s="4"/>
      <c r="AB567" s="4"/>
      <c r="AC567" s="4"/>
      <c r="AD567" s="4"/>
      <c r="AE567" s="4"/>
      <c r="AF567" s="4"/>
      <c r="AG567" s="4"/>
      <c r="AH567" s="4"/>
      <c r="AI567" s="4"/>
      <c r="AJ567" s="76" t="str">
        <f>IF(E567="○",IF(COUNTA(E$13:E567)=1,"",",")&amp;D567,"")</f>
        <v/>
      </c>
      <c r="AK567" s="4"/>
      <c r="AL567" s="4"/>
      <c r="AM567" s="4"/>
      <c r="AN567" s="4"/>
      <c r="AO567" s="4"/>
      <c r="AP567" s="4"/>
      <c r="AQ567" s="4"/>
      <c r="AR567" s="4"/>
      <c r="AS567" s="76" t="str">
        <f>"COMMENT ON COLUMN "&amp;エンティティ一覧!$O$2&amp;"."&amp;D$8&amp;"."&amp;D567&amp;" IS '"&amp;C567&amp;"';"</f>
        <v>COMMENT ON COLUMN milscm_2023_009.sny_202310_annony_shikkan2.shikkan554_start_date IS 'G451_疾患開始日';</v>
      </c>
    </row>
    <row r="568" spans="1:45" s="25" customFormat="1">
      <c r="A568" s="4" t="s">
        <v>5646</v>
      </c>
      <c r="B568" s="21">
        <f t="shared" si="109"/>
        <v>556</v>
      </c>
      <c r="C568" s="13" t="str">
        <f t="shared" si="108"/>
        <v>G452_疾患開始日</v>
      </c>
      <c r="D568" s="13" t="s">
        <v>6215</v>
      </c>
      <c r="E568" s="8"/>
      <c r="F568" s="7" t="s">
        <v>4348</v>
      </c>
      <c r="G568" s="7" t="s">
        <v>25</v>
      </c>
      <c r="H568" s="58"/>
      <c r="I568" s="23"/>
      <c r="J568" s="24"/>
      <c r="M568" s="4"/>
      <c r="N568" s="76"/>
      <c r="O568" s="76"/>
      <c r="P568" s="76" t="str">
        <f t="shared" si="110"/>
        <v>,shikkan555_start_date</v>
      </c>
      <c r="Q568" s="76" t="str">
        <f t="shared" si="111"/>
        <v>DATE</v>
      </c>
      <c r="R568" s="76" t="str">
        <f t="shared" si="112"/>
        <v/>
      </c>
      <c r="S568" s="76" t="str">
        <f t="shared" si="113"/>
        <v/>
      </c>
      <c r="T568" s="76" t="str">
        <f t="shared" si="114"/>
        <v>-- G452_疾患開始日</v>
      </c>
      <c r="U568" s="4" t="str">
        <f t="shared" si="106"/>
        <v>, CASE WHEN shikkan_disp_name = 'G452' THEN min_shikkan_start_date ::DATE ELSE NULL END AS shikkan555_start_date</v>
      </c>
      <c r="V568" s="25" t="str">
        <f t="shared" si="107"/>
        <v>, max(shikkan555_start_date)</v>
      </c>
      <c r="AA568" s="4"/>
      <c r="AB568" s="4"/>
      <c r="AC568" s="4"/>
      <c r="AD568" s="4"/>
      <c r="AE568" s="4"/>
      <c r="AF568" s="4"/>
      <c r="AG568" s="4"/>
      <c r="AH568" s="4"/>
      <c r="AI568" s="4"/>
      <c r="AJ568" s="76" t="str">
        <f>IF(E568="○",IF(COUNTA(E$13:E568)=1,"",",")&amp;D568,"")</f>
        <v/>
      </c>
      <c r="AK568" s="4"/>
      <c r="AL568" s="4"/>
      <c r="AM568" s="4"/>
      <c r="AN568" s="4"/>
      <c r="AO568" s="4"/>
      <c r="AP568" s="4"/>
      <c r="AQ568" s="4"/>
      <c r="AR568" s="4"/>
      <c r="AS568" s="76" t="str">
        <f>"COMMENT ON COLUMN "&amp;エンティティ一覧!$O$2&amp;"."&amp;D$8&amp;"."&amp;D568&amp;" IS '"&amp;C568&amp;"';"</f>
        <v>COMMENT ON COLUMN milscm_2023_009.sny_202310_annony_shikkan2.shikkan555_start_date IS 'G452_疾患開始日';</v>
      </c>
    </row>
    <row r="569" spans="1:45" s="25" customFormat="1">
      <c r="A569" s="4" t="s">
        <v>5647</v>
      </c>
      <c r="B569" s="21">
        <f t="shared" si="109"/>
        <v>557</v>
      </c>
      <c r="C569" s="13" t="str">
        <f t="shared" si="108"/>
        <v>G453_疾患開始日</v>
      </c>
      <c r="D569" s="13" t="s">
        <v>6216</v>
      </c>
      <c r="E569" s="8"/>
      <c r="F569" s="7" t="s">
        <v>4348</v>
      </c>
      <c r="G569" s="7" t="s">
        <v>25</v>
      </c>
      <c r="H569" s="58"/>
      <c r="I569" s="23"/>
      <c r="J569" s="24"/>
      <c r="M569" s="4"/>
      <c r="N569" s="76"/>
      <c r="O569" s="76"/>
      <c r="P569" s="76" t="str">
        <f t="shared" si="110"/>
        <v>,shikkan556_start_date</v>
      </c>
      <c r="Q569" s="76" t="str">
        <f t="shared" si="111"/>
        <v>DATE</v>
      </c>
      <c r="R569" s="76" t="str">
        <f t="shared" si="112"/>
        <v/>
      </c>
      <c r="S569" s="76" t="str">
        <f t="shared" si="113"/>
        <v/>
      </c>
      <c r="T569" s="76" t="str">
        <f t="shared" si="114"/>
        <v>-- G453_疾患開始日</v>
      </c>
      <c r="U569" s="4" t="str">
        <f t="shared" si="106"/>
        <v>, CASE WHEN shikkan_disp_name = 'G453' THEN min_shikkan_start_date ::DATE ELSE NULL END AS shikkan556_start_date</v>
      </c>
      <c r="V569" s="25" t="str">
        <f t="shared" si="107"/>
        <v>, max(shikkan556_start_date)</v>
      </c>
      <c r="AA569" s="4"/>
      <c r="AB569" s="4"/>
      <c r="AC569" s="4"/>
      <c r="AD569" s="4"/>
      <c r="AE569" s="4"/>
      <c r="AF569" s="4"/>
      <c r="AG569" s="4"/>
      <c r="AH569" s="4"/>
      <c r="AI569" s="4"/>
      <c r="AJ569" s="76" t="str">
        <f>IF(E569="○",IF(COUNTA(E$13:E569)=1,"",",")&amp;D569,"")</f>
        <v/>
      </c>
      <c r="AK569" s="4"/>
      <c r="AL569" s="4"/>
      <c r="AM569" s="4"/>
      <c r="AN569" s="4"/>
      <c r="AO569" s="4"/>
      <c r="AP569" s="4"/>
      <c r="AQ569" s="4"/>
      <c r="AR569" s="4"/>
      <c r="AS569" s="76" t="str">
        <f>"COMMENT ON COLUMN "&amp;エンティティ一覧!$O$2&amp;"."&amp;D$8&amp;"."&amp;D569&amp;" IS '"&amp;C569&amp;"';"</f>
        <v>COMMENT ON COLUMN milscm_2023_009.sny_202310_annony_shikkan2.shikkan556_start_date IS 'G453_疾患開始日';</v>
      </c>
    </row>
    <row r="570" spans="1:45" s="25" customFormat="1">
      <c r="A570" s="4" t="s">
        <v>5648</v>
      </c>
      <c r="B570" s="21">
        <f t="shared" si="109"/>
        <v>558</v>
      </c>
      <c r="C570" s="13" t="str">
        <f t="shared" si="108"/>
        <v>G454_疾患開始日</v>
      </c>
      <c r="D570" s="13" t="s">
        <v>6217</v>
      </c>
      <c r="E570" s="8"/>
      <c r="F570" s="7" t="s">
        <v>4348</v>
      </c>
      <c r="G570" s="7" t="s">
        <v>25</v>
      </c>
      <c r="H570" s="58"/>
      <c r="I570" s="23"/>
      <c r="J570" s="24"/>
      <c r="M570" s="4"/>
      <c r="N570" s="76"/>
      <c r="O570" s="76"/>
      <c r="P570" s="76" t="str">
        <f t="shared" si="110"/>
        <v>,shikkan557_start_date</v>
      </c>
      <c r="Q570" s="76" t="str">
        <f t="shared" si="111"/>
        <v>DATE</v>
      </c>
      <c r="R570" s="76" t="str">
        <f t="shared" si="112"/>
        <v/>
      </c>
      <c r="S570" s="76" t="str">
        <f t="shared" si="113"/>
        <v/>
      </c>
      <c r="T570" s="76" t="str">
        <f t="shared" si="114"/>
        <v>-- G454_疾患開始日</v>
      </c>
      <c r="U570" s="4" t="str">
        <f t="shared" si="106"/>
        <v>, CASE WHEN shikkan_disp_name = 'G454' THEN min_shikkan_start_date ::DATE ELSE NULL END AS shikkan557_start_date</v>
      </c>
      <c r="V570" s="25" t="str">
        <f t="shared" si="107"/>
        <v>, max(shikkan557_start_date)</v>
      </c>
      <c r="AA570" s="4"/>
      <c r="AB570" s="4"/>
      <c r="AC570" s="4"/>
      <c r="AD570" s="4"/>
      <c r="AE570" s="4"/>
      <c r="AF570" s="4"/>
      <c r="AG570" s="4"/>
      <c r="AH570" s="4"/>
      <c r="AI570" s="4"/>
      <c r="AJ570" s="76" t="str">
        <f>IF(E570="○",IF(COUNTA(E$13:E570)=1,"",",")&amp;D570,"")</f>
        <v/>
      </c>
      <c r="AK570" s="4"/>
      <c r="AL570" s="4"/>
      <c r="AM570" s="4"/>
      <c r="AN570" s="4"/>
      <c r="AO570" s="4"/>
      <c r="AP570" s="4"/>
      <c r="AQ570" s="4"/>
      <c r="AR570" s="4"/>
      <c r="AS570" s="76" t="str">
        <f>"COMMENT ON COLUMN "&amp;エンティティ一覧!$O$2&amp;"."&amp;D$8&amp;"."&amp;D570&amp;" IS '"&amp;C570&amp;"';"</f>
        <v>COMMENT ON COLUMN milscm_2023_009.sny_202310_annony_shikkan2.shikkan557_start_date IS 'G454_疾患開始日';</v>
      </c>
    </row>
    <row r="571" spans="1:45" s="25" customFormat="1">
      <c r="A571" s="4" t="s">
        <v>5649</v>
      </c>
      <c r="B571" s="21">
        <f t="shared" si="109"/>
        <v>559</v>
      </c>
      <c r="C571" s="13" t="str">
        <f t="shared" si="108"/>
        <v>G458_疾患開始日</v>
      </c>
      <c r="D571" s="13" t="s">
        <v>6218</v>
      </c>
      <c r="E571" s="8"/>
      <c r="F571" s="7" t="s">
        <v>4348</v>
      </c>
      <c r="G571" s="7" t="s">
        <v>25</v>
      </c>
      <c r="H571" s="58"/>
      <c r="I571" s="23"/>
      <c r="J571" s="24"/>
      <c r="M571" s="4"/>
      <c r="N571" s="76"/>
      <c r="O571" s="76"/>
      <c r="P571" s="76" t="str">
        <f t="shared" si="110"/>
        <v>,shikkan558_start_date</v>
      </c>
      <c r="Q571" s="76" t="str">
        <f t="shared" si="111"/>
        <v>DATE</v>
      </c>
      <c r="R571" s="76" t="str">
        <f t="shared" si="112"/>
        <v/>
      </c>
      <c r="S571" s="76" t="str">
        <f t="shared" si="113"/>
        <v/>
      </c>
      <c r="T571" s="76" t="str">
        <f t="shared" si="114"/>
        <v>-- G458_疾患開始日</v>
      </c>
      <c r="U571" s="4" t="str">
        <f t="shared" si="106"/>
        <v>, CASE WHEN shikkan_disp_name = 'G458' THEN min_shikkan_start_date ::DATE ELSE NULL END AS shikkan558_start_date</v>
      </c>
      <c r="V571" s="25" t="str">
        <f t="shared" si="107"/>
        <v>, max(shikkan558_start_date)</v>
      </c>
      <c r="AA571" s="4"/>
      <c r="AB571" s="4"/>
      <c r="AC571" s="4"/>
      <c r="AD571" s="4"/>
      <c r="AE571" s="4"/>
      <c r="AF571" s="4"/>
      <c r="AG571" s="4"/>
      <c r="AH571" s="4"/>
      <c r="AI571" s="4"/>
      <c r="AJ571" s="76" t="str">
        <f>IF(E571="○",IF(COUNTA(E$13:E571)=1,"",",")&amp;D571,"")</f>
        <v/>
      </c>
      <c r="AK571" s="4"/>
      <c r="AL571" s="4"/>
      <c r="AM571" s="4"/>
      <c r="AN571" s="4"/>
      <c r="AO571" s="4"/>
      <c r="AP571" s="4"/>
      <c r="AQ571" s="4"/>
      <c r="AR571" s="4"/>
      <c r="AS571" s="76" t="str">
        <f>"COMMENT ON COLUMN "&amp;エンティティ一覧!$O$2&amp;"."&amp;D$8&amp;"."&amp;D571&amp;" IS '"&amp;C571&amp;"';"</f>
        <v>COMMENT ON COLUMN milscm_2023_009.sny_202310_annony_shikkan2.shikkan558_start_date IS 'G458_疾患開始日';</v>
      </c>
    </row>
    <row r="572" spans="1:45" s="25" customFormat="1">
      <c r="A572" s="4" t="s">
        <v>5650</v>
      </c>
      <c r="B572" s="21">
        <f t="shared" si="109"/>
        <v>560</v>
      </c>
      <c r="C572" s="13" t="str">
        <f t="shared" si="108"/>
        <v>G459_疾患開始日</v>
      </c>
      <c r="D572" s="13" t="s">
        <v>6219</v>
      </c>
      <c r="E572" s="8"/>
      <c r="F572" s="7" t="s">
        <v>4348</v>
      </c>
      <c r="G572" s="7" t="s">
        <v>25</v>
      </c>
      <c r="H572" s="58"/>
      <c r="I572" s="23"/>
      <c r="J572" s="24"/>
      <c r="M572" s="4"/>
      <c r="N572" s="76"/>
      <c r="O572" s="76"/>
      <c r="P572" s="76" t="str">
        <f t="shared" si="110"/>
        <v>,shikkan559_start_date</v>
      </c>
      <c r="Q572" s="76" t="str">
        <f t="shared" si="111"/>
        <v>DATE</v>
      </c>
      <c r="R572" s="76" t="str">
        <f t="shared" si="112"/>
        <v/>
      </c>
      <c r="S572" s="76" t="str">
        <f t="shared" si="113"/>
        <v/>
      </c>
      <c r="T572" s="76" t="str">
        <f t="shared" si="114"/>
        <v>-- G459_疾患開始日</v>
      </c>
      <c r="U572" s="4" t="str">
        <f t="shared" si="106"/>
        <v>, CASE WHEN shikkan_disp_name = 'G459' THEN min_shikkan_start_date ::DATE ELSE NULL END AS shikkan559_start_date</v>
      </c>
      <c r="V572" s="25" t="str">
        <f t="shared" si="107"/>
        <v>, max(shikkan559_start_date)</v>
      </c>
      <c r="AA572" s="4"/>
      <c r="AB572" s="4"/>
      <c r="AC572" s="4"/>
      <c r="AD572" s="4"/>
      <c r="AE572" s="4"/>
      <c r="AF572" s="4"/>
      <c r="AG572" s="4"/>
      <c r="AH572" s="4"/>
      <c r="AI572" s="4"/>
      <c r="AJ572" s="76" t="str">
        <f>IF(E572="○",IF(COUNTA(E$13:E572)=1,"",",")&amp;D572,"")</f>
        <v/>
      </c>
      <c r="AK572" s="4"/>
      <c r="AL572" s="4"/>
      <c r="AM572" s="4"/>
      <c r="AN572" s="4"/>
      <c r="AO572" s="4"/>
      <c r="AP572" s="4"/>
      <c r="AQ572" s="4"/>
      <c r="AR572" s="4"/>
      <c r="AS572" s="76" t="str">
        <f>"COMMENT ON COLUMN "&amp;エンティティ一覧!$O$2&amp;"."&amp;D$8&amp;"."&amp;D572&amp;" IS '"&amp;C572&amp;"';"</f>
        <v>COMMENT ON COLUMN milscm_2023_009.sny_202310_annony_shikkan2.shikkan559_start_date IS 'G459_疾患開始日';</v>
      </c>
    </row>
    <row r="573" spans="1:45" s="25" customFormat="1">
      <c r="A573" s="4" t="s">
        <v>5651</v>
      </c>
      <c r="B573" s="21">
        <f t="shared" si="109"/>
        <v>561</v>
      </c>
      <c r="C573" s="13" t="str">
        <f t="shared" si="108"/>
        <v>G460_疾患開始日</v>
      </c>
      <c r="D573" s="13" t="s">
        <v>6220</v>
      </c>
      <c r="E573" s="8"/>
      <c r="F573" s="7" t="s">
        <v>4348</v>
      </c>
      <c r="G573" s="7" t="s">
        <v>25</v>
      </c>
      <c r="H573" s="58"/>
      <c r="I573" s="23"/>
      <c r="J573" s="24"/>
      <c r="M573" s="4"/>
      <c r="N573" s="76"/>
      <c r="O573" s="76"/>
      <c r="P573" s="76" t="str">
        <f t="shared" si="110"/>
        <v>,shikkan560_start_date</v>
      </c>
      <c r="Q573" s="76" t="str">
        <f t="shared" si="111"/>
        <v>DATE</v>
      </c>
      <c r="R573" s="76" t="str">
        <f t="shared" si="112"/>
        <v/>
      </c>
      <c r="S573" s="76" t="str">
        <f t="shared" si="113"/>
        <v/>
      </c>
      <c r="T573" s="76" t="str">
        <f t="shared" si="114"/>
        <v>-- G460_疾患開始日</v>
      </c>
      <c r="U573" s="4" t="str">
        <f t="shared" si="106"/>
        <v>, CASE WHEN shikkan_disp_name = 'G460' THEN min_shikkan_start_date ::DATE ELSE NULL END AS shikkan560_start_date</v>
      </c>
      <c r="V573" s="25" t="str">
        <f t="shared" si="107"/>
        <v>, max(shikkan560_start_date)</v>
      </c>
      <c r="AA573" s="4"/>
      <c r="AB573" s="4"/>
      <c r="AC573" s="4"/>
      <c r="AD573" s="4"/>
      <c r="AE573" s="4"/>
      <c r="AF573" s="4"/>
      <c r="AG573" s="4"/>
      <c r="AH573" s="4"/>
      <c r="AI573" s="4"/>
      <c r="AJ573" s="76" t="str">
        <f>IF(E573="○",IF(COUNTA(E$13:E573)=1,"",",")&amp;D573,"")</f>
        <v/>
      </c>
      <c r="AK573" s="4"/>
      <c r="AL573" s="4"/>
      <c r="AM573" s="4"/>
      <c r="AN573" s="4"/>
      <c r="AO573" s="4"/>
      <c r="AP573" s="4"/>
      <c r="AQ573" s="4"/>
      <c r="AR573" s="4"/>
      <c r="AS573" s="76" t="str">
        <f>"COMMENT ON COLUMN "&amp;エンティティ一覧!$O$2&amp;"."&amp;D$8&amp;"."&amp;D573&amp;" IS '"&amp;C573&amp;"';"</f>
        <v>COMMENT ON COLUMN milscm_2023_009.sny_202310_annony_shikkan2.shikkan560_start_date IS 'G460_疾患開始日';</v>
      </c>
    </row>
    <row r="574" spans="1:45" s="25" customFormat="1">
      <c r="A574" s="4" t="s">
        <v>5652</v>
      </c>
      <c r="B574" s="21">
        <f t="shared" si="109"/>
        <v>562</v>
      </c>
      <c r="C574" s="13" t="str">
        <f t="shared" si="108"/>
        <v>G461_疾患開始日</v>
      </c>
      <c r="D574" s="13" t="s">
        <v>6221</v>
      </c>
      <c r="E574" s="8"/>
      <c r="F574" s="7" t="s">
        <v>4348</v>
      </c>
      <c r="G574" s="7" t="s">
        <v>25</v>
      </c>
      <c r="H574" s="58"/>
      <c r="I574" s="23"/>
      <c r="J574" s="24"/>
      <c r="M574" s="4"/>
      <c r="N574" s="76"/>
      <c r="O574" s="76"/>
      <c r="P574" s="76" t="str">
        <f t="shared" si="110"/>
        <v>,shikkan561_start_date</v>
      </c>
      <c r="Q574" s="76" t="str">
        <f t="shared" si="111"/>
        <v>DATE</v>
      </c>
      <c r="R574" s="76" t="str">
        <f t="shared" si="112"/>
        <v/>
      </c>
      <c r="S574" s="76" t="str">
        <f t="shared" si="113"/>
        <v/>
      </c>
      <c r="T574" s="76" t="str">
        <f t="shared" si="114"/>
        <v>-- G461_疾患開始日</v>
      </c>
      <c r="U574" s="4" t="str">
        <f t="shared" si="106"/>
        <v>, CASE WHEN shikkan_disp_name = 'G461' THEN min_shikkan_start_date ::DATE ELSE NULL END AS shikkan561_start_date</v>
      </c>
      <c r="V574" s="25" t="str">
        <f t="shared" si="107"/>
        <v>, max(shikkan561_start_date)</v>
      </c>
      <c r="AA574" s="4"/>
      <c r="AB574" s="4"/>
      <c r="AC574" s="4"/>
      <c r="AD574" s="4"/>
      <c r="AE574" s="4"/>
      <c r="AF574" s="4"/>
      <c r="AG574" s="4"/>
      <c r="AH574" s="4"/>
      <c r="AI574" s="4"/>
      <c r="AJ574" s="76" t="str">
        <f>IF(E574="○",IF(COUNTA(E$13:E574)=1,"",",")&amp;D574,"")</f>
        <v/>
      </c>
      <c r="AK574" s="4"/>
      <c r="AL574" s="4"/>
      <c r="AM574" s="4"/>
      <c r="AN574" s="4"/>
      <c r="AO574" s="4"/>
      <c r="AP574" s="4"/>
      <c r="AQ574" s="4"/>
      <c r="AR574" s="4"/>
      <c r="AS574" s="76" t="str">
        <f>"COMMENT ON COLUMN "&amp;エンティティ一覧!$O$2&amp;"."&amp;D$8&amp;"."&amp;D574&amp;" IS '"&amp;C574&amp;"';"</f>
        <v>COMMENT ON COLUMN milscm_2023_009.sny_202310_annony_shikkan2.shikkan561_start_date IS 'G461_疾患開始日';</v>
      </c>
    </row>
    <row r="575" spans="1:45" s="25" customFormat="1">
      <c r="A575" s="4" t="s">
        <v>5653</v>
      </c>
      <c r="B575" s="21">
        <f t="shared" si="109"/>
        <v>563</v>
      </c>
      <c r="C575" s="13" t="str">
        <f t="shared" si="108"/>
        <v>G462_疾患開始日</v>
      </c>
      <c r="D575" s="13" t="s">
        <v>6222</v>
      </c>
      <c r="E575" s="8"/>
      <c r="F575" s="7" t="s">
        <v>4348</v>
      </c>
      <c r="G575" s="7" t="s">
        <v>25</v>
      </c>
      <c r="H575" s="58"/>
      <c r="I575" s="23"/>
      <c r="J575" s="24"/>
      <c r="M575" s="4"/>
      <c r="N575" s="76"/>
      <c r="O575" s="76"/>
      <c r="P575" s="76" t="str">
        <f t="shared" si="110"/>
        <v>,shikkan562_start_date</v>
      </c>
      <c r="Q575" s="76" t="str">
        <f t="shared" si="111"/>
        <v>DATE</v>
      </c>
      <c r="R575" s="76" t="str">
        <f t="shared" si="112"/>
        <v/>
      </c>
      <c r="S575" s="76" t="str">
        <f t="shared" si="113"/>
        <v/>
      </c>
      <c r="T575" s="76" t="str">
        <f t="shared" si="114"/>
        <v>-- G462_疾患開始日</v>
      </c>
      <c r="U575" s="4" t="str">
        <f t="shared" si="106"/>
        <v>, CASE WHEN shikkan_disp_name = 'G462' THEN min_shikkan_start_date ::DATE ELSE NULL END AS shikkan562_start_date</v>
      </c>
      <c r="V575" s="25" t="str">
        <f t="shared" si="107"/>
        <v>, max(shikkan562_start_date)</v>
      </c>
      <c r="AA575" s="4"/>
      <c r="AB575" s="4"/>
      <c r="AC575" s="4"/>
      <c r="AD575" s="4"/>
      <c r="AE575" s="4"/>
      <c r="AF575" s="4"/>
      <c r="AG575" s="4"/>
      <c r="AH575" s="4"/>
      <c r="AI575" s="4"/>
      <c r="AJ575" s="76" t="str">
        <f>IF(E575="○",IF(COUNTA(E$13:E575)=1,"",",")&amp;D575,"")</f>
        <v/>
      </c>
      <c r="AK575" s="4"/>
      <c r="AL575" s="4"/>
      <c r="AM575" s="4"/>
      <c r="AN575" s="4"/>
      <c r="AO575" s="4"/>
      <c r="AP575" s="4"/>
      <c r="AQ575" s="4"/>
      <c r="AR575" s="4"/>
      <c r="AS575" s="76" t="str">
        <f>"COMMENT ON COLUMN "&amp;エンティティ一覧!$O$2&amp;"."&amp;D$8&amp;"."&amp;D575&amp;" IS '"&amp;C575&amp;"';"</f>
        <v>COMMENT ON COLUMN milscm_2023_009.sny_202310_annony_shikkan2.shikkan562_start_date IS 'G462_疾患開始日';</v>
      </c>
    </row>
    <row r="576" spans="1:45" s="25" customFormat="1">
      <c r="A576" s="4" t="s">
        <v>5654</v>
      </c>
      <c r="B576" s="21">
        <f t="shared" si="109"/>
        <v>564</v>
      </c>
      <c r="C576" s="13" t="str">
        <f t="shared" si="108"/>
        <v>G463_疾患開始日</v>
      </c>
      <c r="D576" s="13" t="s">
        <v>6223</v>
      </c>
      <c r="E576" s="8"/>
      <c r="F576" s="7" t="s">
        <v>4348</v>
      </c>
      <c r="G576" s="7" t="s">
        <v>25</v>
      </c>
      <c r="H576" s="58"/>
      <c r="I576" s="23"/>
      <c r="J576" s="24"/>
      <c r="M576" s="4"/>
      <c r="N576" s="76"/>
      <c r="O576" s="76"/>
      <c r="P576" s="76" t="str">
        <f t="shared" si="110"/>
        <v>,shikkan563_start_date</v>
      </c>
      <c r="Q576" s="76" t="str">
        <f t="shared" si="111"/>
        <v>DATE</v>
      </c>
      <c r="R576" s="76" t="str">
        <f t="shared" si="112"/>
        <v/>
      </c>
      <c r="S576" s="76" t="str">
        <f t="shared" si="113"/>
        <v/>
      </c>
      <c r="T576" s="76" t="str">
        <f t="shared" si="114"/>
        <v>-- G463_疾患開始日</v>
      </c>
      <c r="U576" s="4" t="str">
        <f t="shared" si="106"/>
        <v>, CASE WHEN shikkan_disp_name = 'G463' THEN min_shikkan_start_date ::DATE ELSE NULL END AS shikkan563_start_date</v>
      </c>
      <c r="V576" s="25" t="str">
        <f t="shared" si="107"/>
        <v>, max(shikkan563_start_date)</v>
      </c>
      <c r="AA576" s="4"/>
      <c r="AB576" s="4"/>
      <c r="AC576" s="4"/>
      <c r="AD576" s="4"/>
      <c r="AE576" s="4"/>
      <c r="AF576" s="4"/>
      <c r="AG576" s="4"/>
      <c r="AH576" s="4"/>
      <c r="AI576" s="4"/>
      <c r="AJ576" s="76" t="str">
        <f>IF(E576="○",IF(COUNTA(E$13:E576)=1,"",",")&amp;D576,"")</f>
        <v/>
      </c>
      <c r="AK576" s="4"/>
      <c r="AL576" s="4"/>
      <c r="AM576" s="4"/>
      <c r="AN576" s="4"/>
      <c r="AO576" s="4"/>
      <c r="AP576" s="4"/>
      <c r="AQ576" s="4"/>
      <c r="AR576" s="4"/>
      <c r="AS576" s="76" t="str">
        <f>"COMMENT ON COLUMN "&amp;エンティティ一覧!$O$2&amp;"."&amp;D$8&amp;"."&amp;D576&amp;" IS '"&amp;C576&amp;"';"</f>
        <v>COMMENT ON COLUMN milscm_2023_009.sny_202310_annony_shikkan2.shikkan563_start_date IS 'G463_疾患開始日';</v>
      </c>
    </row>
    <row r="577" spans="1:45" s="25" customFormat="1">
      <c r="A577" s="4" t="s">
        <v>5655</v>
      </c>
      <c r="B577" s="21">
        <f t="shared" si="109"/>
        <v>565</v>
      </c>
      <c r="C577" s="13" t="str">
        <f t="shared" si="108"/>
        <v>G464_疾患開始日</v>
      </c>
      <c r="D577" s="13" t="s">
        <v>6224</v>
      </c>
      <c r="E577" s="8"/>
      <c r="F577" s="7" t="s">
        <v>4348</v>
      </c>
      <c r="G577" s="7" t="s">
        <v>25</v>
      </c>
      <c r="H577" s="58"/>
      <c r="I577" s="23"/>
      <c r="J577" s="24"/>
      <c r="M577" s="4"/>
      <c r="N577" s="76"/>
      <c r="O577" s="76"/>
      <c r="P577" s="76" t="str">
        <f t="shared" si="110"/>
        <v>,shikkan564_start_date</v>
      </c>
      <c r="Q577" s="76" t="str">
        <f t="shared" si="111"/>
        <v>DATE</v>
      </c>
      <c r="R577" s="76" t="str">
        <f t="shared" si="112"/>
        <v/>
      </c>
      <c r="S577" s="76" t="str">
        <f t="shared" si="113"/>
        <v/>
      </c>
      <c r="T577" s="76" t="str">
        <f t="shared" si="114"/>
        <v>-- G464_疾患開始日</v>
      </c>
      <c r="U577" s="4" t="str">
        <f t="shared" si="106"/>
        <v>, CASE WHEN shikkan_disp_name = 'G464' THEN min_shikkan_start_date ::DATE ELSE NULL END AS shikkan564_start_date</v>
      </c>
      <c r="V577" s="25" t="str">
        <f t="shared" si="107"/>
        <v>, max(shikkan564_start_date)</v>
      </c>
      <c r="AA577" s="4"/>
      <c r="AB577" s="4"/>
      <c r="AC577" s="4"/>
      <c r="AD577" s="4"/>
      <c r="AE577" s="4"/>
      <c r="AF577" s="4"/>
      <c r="AG577" s="4"/>
      <c r="AH577" s="4"/>
      <c r="AI577" s="4"/>
      <c r="AJ577" s="76" t="str">
        <f>IF(E577="○",IF(COUNTA(E$13:E577)=1,"",",")&amp;D577,"")</f>
        <v/>
      </c>
      <c r="AK577" s="4"/>
      <c r="AL577" s="4"/>
      <c r="AM577" s="4"/>
      <c r="AN577" s="4"/>
      <c r="AO577" s="4"/>
      <c r="AP577" s="4"/>
      <c r="AQ577" s="4"/>
      <c r="AR577" s="4"/>
      <c r="AS577" s="76" t="str">
        <f>"COMMENT ON COLUMN "&amp;エンティティ一覧!$O$2&amp;"."&amp;D$8&amp;"."&amp;D577&amp;" IS '"&amp;C577&amp;"';"</f>
        <v>COMMENT ON COLUMN milscm_2023_009.sny_202310_annony_shikkan2.shikkan564_start_date IS 'G464_疾患開始日';</v>
      </c>
    </row>
    <row r="578" spans="1:45" s="25" customFormat="1">
      <c r="A578" s="4" t="s">
        <v>5656</v>
      </c>
      <c r="B578" s="21">
        <f t="shared" si="109"/>
        <v>566</v>
      </c>
      <c r="C578" s="13" t="str">
        <f t="shared" si="108"/>
        <v>G465_疾患開始日</v>
      </c>
      <c r="D578" s="13" t="s">
        <v>6225</v>
      </c>
      <c r="E578" s="8"/>
      <c r="F578" s="7" t="s">
        <v>4348</v>
      </c>
      <c r="G578" s="7" t="s">
        <v>25</v>
      </c>
      <c r="H578" s="58"/>
      <c r="I578" s="23"/>
      <c r="J578" s="24"/>
      <c r="M578" s="4"/>
      <c r="N578" s="76"/>
      <c r="O578" s="76"/>
      <c r="P578" s="76" t="str">
        <f t="shared" si="110"/>
        <v>,shikkan565_start_date</v>
      </c>
      <c r="Q578" s="76" t="str">
        <f t="shared" si="111"/>
        <v>DATE</v>
      </c>
      <c r="R578" s="76" t="str">
        <f t="shared" si="112"/>
        <v/>
      </c>
      <c r="S578" s="76" t="str">
        <f t="shared" si="113"/>
        <v/>
      </c>
      <c r="T578" s="76" t="str">
        <f t="shared" si="114"/>
        <v>-- G465_疾患開始日</v>
      </c>
      <c r="U578" s="4" t="str">
        <f t="shared" si="106"/>
        <v>, CASE WHEN shikkan_disp_name = 'G465' THEN min_shikkan_start_date ::DATE ELSE NULL END AS shikkan565_start_date</v>
      </c>
      <c r="V578" s="25" t="str">
        <f t="shared" si="107"/>
        <v>, max(shikkan565_start_date)</v>
      </c>
      <c r="AA578" s="4"/>
      <c r="AB578" s="4"/>
      <c r="AC578" s="4"/>
      <c r="AD578" s="4"/>
      <c r="AE578" s="4"/>
      <c r="AF578" s="4"/>
      <c r="AG578" s="4"/>
      <c r="AH578" s="4"/>
      <c r="AI578" s="4"/>
      <c r="AJ578" s="76" t="str">
        <f>IF(E578="○",IF(COUNTA(E$13:E578)=1,"",",")&amp;D578,"")</f>
        <v/>
      </c>
      <c r="AK578" s="4"/>
      <c r="AL578" s="4"/>
      <c r="AM578" s="4"/>
      <c r="AN578" s="4"/>
      <c r="AO578" s="4"/>
      <c r="AP578" s="4"/>
      <c r="AQ578" s="4"/>
      <c r="AR578" s="4"/>
      <c r="AS578" s="76" t="str">
        <f>"COMMENT ON COLUMN "&amp;エンティティ一覧!$O$2&amp;"."&amp;D$8&amp;"."&amp;D578&amp;" IS '"&amp;C578&amp;"';"</f>
        <v>COMMENT ON COLUMN milscm_2023_009.sny_202310_annony_shikkan2.shikkan565_start_date IS 'G465_疾患開始日';</v>
      </c>
    </row>
    <row r="579" spans="1:45" s="25" customFormat="1">
      <c r="A579" s="4" t="s">
        <v>5657</v>
      </c>
      <c r="B579" s="21">
        <f t="shared" si="109"/>
        <v>567</v>
      </c>
      <c r="C579" s="13" t="str">
        <f t="shared" si="108"/>
        <v>G466_疾患開始日</v>
      </c>
      <c r="D579" s="13" t="s">
        <v>6226</v>
      </c>
      <c r="E579" s="8"/>
      <c r="F579" s="7" t="s">
        <v>4348</v>
      </c>
      <c r="G579" s="7" t="s">
        <v>25</v>
      </c>
      <c r="H579" s="58"/>
      <c r="I579" s="23"/>
      <c r="J579" s="24"/>
      <c r="M579" s="4"/>
      <c r="N579" s="76"/>
      <c r="O579" s="76"/>
      <c r="P579" s="76" t="str">
        <f t="shared" si="110"/>
        <v>,shikkan566_start_date</v>
      </c>
      <c r="Q579" s="76" t="str">
        <f t="shared" si="111"/>
        <v>DATE</v>
      </c>
      <c r="R579" s="76" t="str">
        <f t="shared" si="112"/>
        <v/>
      </c>
      <c r="S579" s="76" t="str">
        <f t="shared" si="113"/>
        <v/>
      </c>
      <c r="T579" s="76" t="str">
        <f t="shared" si="114"/>
        <v>-- G466_疾患開始日</v>
      </c>
      <c r="U579" s="4" t="str">
        <f t="shared" si="106"/>
        <v>, CASE WHEN shikkan_disp_name = 'G466' THEN min_shikkan_start_date ::DATE ELSE NULL END AS shikkan566_start_date</v>
      </c>
      <c r="V579" s="25" t="str">
        <f t="shared" si="107"/>
        <v>, max(shikkan566_start_date)</v>
      </c>
      <c r="AA579" s="4"/>
      <c r="AB579" s="4"/>
      <c r="AC579" s="4"/>
      <c r="AD579" s="4"/>
      <c r="AE579" s="4"/>
      <c r="AF579" s="4"/>
      <c r="AG579" s="4"/>
      <c r="AH579" s="4"/>
      <c r="AI579" s="4"/>
      <c r="AJ579" s="76" t="str">
        <f>IF(E579="○",IF(COUNTA(E$13:E579)=1,"",",")&amp;D579,"")</f>
        <v/>
      </c>
      <c r="AK579" s="4"/>
      <c r="AL579" s="4"/>
      <c r="AM579" s="4"/>
      <c r="AN579" s="4"/>
      <c r="AO579" s="4"/>
      <c r="AP579" s="4"/>
      <c r="AQ579" s="4"/>
      <c r="AR579" s="4"/>
      <c r="AS579" s="76" t="str">
        <f>"COMMENT ON COLUMN "&amp;エンティティ一覧!$O$2&amp;"."&amp;D$8&amp;"."&amp;D579&amp;" IS '"&amp;C579&amp;"';"</f>
        <v>COMMENT ON COLUMN milscm_2023_009.sny_202310_annony_shikkan2.shikkan566_start_date IS 'G466_疾患開始日';</v>
      </c>
    </row>
    <row r="580" spans="1:45" s="25" customFormat="1">
      <c r="A580" s="4" t="s">
        <v>5658</v>
      </c>
      <c r="B580" s="21">
        <f t="shared" si="109"/>
        <v>568</v>
      </c>
      <c r="C580" s="13" t="str">
        <f t="shared" si="108"/>
        <v>G467_疾患開始日</v>
      </c>
      <c r="D580" s="13" t="s">
        <v>6227</v>
      </c>
      <c r="E580" s="8"/>
      <c r="F580" s="7" t="s">
        <v>4348</v>
      </c>
      <c r="G580" s="7" t="s">
        <v>25</v>
      </c>
      <c r="H580" s="58"/>
      <c r="I580" s="23"/>
      <c r="J580" s="24"/>
      <c r="M580" s="4"/>
      <c r="N580" s="76"/>
      <c r="O580" s="76"/>
      <c r="P580" s="76" t="str">
        <f t="shared" si="110"/>
        <v>,shikkan567_start_date</v>
      </c>
      <c r="Q580" s="76" t="str">
        <f t="shared" si="111"/>
        <v>DATE</v>
      </c>
      <c r="R580" s="76" t="str">
        <f t="shared" si="112"/>
        <v/>
      </c>
      <c r="S580" s="76" t="str">
        <f t="shared" si="113"/>
        <v/>
      </c>
      <c r="T580" s="76" t="str">
        <f t="shared" si="114"/>
        <v>-- G467_疾患開始日</v>
      </c>
      <c r="U580" s="4" t="str">
        <f t="shared" si="106"/>
        <v>, CASE WHEN shikkan_disp_name = 'G467' THEN min_shikkan_start_date ::DATE ELSE NULL END AS shikkan567_start_date</v>
      </c>
      <c r="V580" s="25" t="str">
        <f t="shared" si="107"/>
        <v>, max(shikkan567_start_date)</v>
      </c>
      <c r="AA580" s="4"/>
      <c r="AB580" s="4"/>
      <c r="AC580" s="4"/>
      <c r="AD580" s="4"/>
      <c r="AE580" s="4"/>
      <c r="AF580" s="4"/>
      <c r="AG580" s="4"/>
      <c r="AH580" s="4"/>
      <c r="AI580" s="4"/>
      <c r="AJ580" s="76" t="str">
        <f>IF(E580="○",IF(COUNTA(E$13:E580)=1,"",",")&amp;D580,"")</f>
        <v/>
      </c>
      <c r="AK580" s="4"/>
      <c r="AL580" s="4"/>
      <c r="AM580" s="4"/>
      <c r="AN580" s="4"/>
      <c r="AO580" s="4"/>
      <c r="AP580" s="4"/>
      <c r="AQ580" s="4"/>
      <c r="AR580" s="4"/>
      <c r="AS580" s="76" t="str">
        <f>"COMMENT ON COLUMN "&amp;エンティティ一覧!$O$2&amp;"."&amp;D$8&amp;"."&amp;D580&amp;" IS '"&amp;C580&amp;"';"</f>
        <v>COMMENT ON COLUMN milscm_2023_009.sny_202310_annony_shikkan2.shikkan567_start_date IS 'G467_疾患開始日';</v>
      </c>
    </row>
    <row r="581" spans="1:45" s="25" customFormat="1">
      <c r="A581" s="4" t="s">
        <v>5659</v>
      </c>
      <c r="B581" s="21">
        <f t="shared" si="109"/>
        <v>569</v>
      </c>
      <c r="C581" s="13" t="str">
        <f t="shared" si="108"/>
        <v>G468_疾患開始日</v>
      </c>
      <c r="D581" s="13" t="s">
        <v>6228</v>
      </c>
      <c r="E581" s="8"/>
      <c r="F581" s="7" t="s">
        <v>4348</v>
      </c>
      <c r="G581" s="7" t="s">
        <v>25</v>
      </c>
      <c r="H581" s="58"/>
      <c r="I581" s="23"/>
      <c r="J581" s="24"/>
      <c r="M581" s="4"/>
      <c r="N581" s="76"/>
      <c r="O581" s="76"/>
      <c r="P581" s="76" t="str">
        <f t="shared" si="110"/>
        <v>,shikkan568_start_date</v>
      </c>
      <c r="Q581" s="76" t="str">
        <f t="shared" si="111"/>
        <v>DATE</v>
      </c>
      <c r="R581" s="76" t="str">
        <f t="shared" si="112"/>
        <v/>
      </c>
      <c r="S581" s="76" t="str">
        <f t="shared" si="113"/>
        <v/>
      </c>
      <c r="T581" s="76" t="str">
        <f t="shared" si="114"/>
        <v>-- G468_疾患開始日</v>
      </c>
      <c r="U581" s="4" t="str">
        <f t="shared" si="106"/>
        <v>, CASE WHEN shikkan_disp_name = 'G468' THEN min_shikkan_start_date ::DATE ELSE NULL END AS shikkan568_start_date</v>
      </c>
      <c r="V581" s="25" t="str">
        <f t="shared" si="107"/>
        <v>, max(shikkan568_start_date)</v>
      </c>
      <c r="AA581" s="4"/>
      <c r="AB581" s="4"/>
      <c r="AC581" s="4"/>
      <c r="AD581" s="4"/>
      <c r="AE581" s="4"/>
      <c r="AF581" s="4"/>
      <c r="AG581" s="4"/>
      <c r="AH581" s="4"/>
      <c r="AI581" s="4"/>
      <c r="AJ581" s="76" t="str">
        <f>IF(E581="○",IF(COUNTA(E$13:E581)=1,"",",")&amp;D581,"")</f>
        <v/>
      </c>
      <c r="AK581" s="4"/>
      <c r="AL581" s="4"/>
      <c r="AM581" s="4"/>
      <c r="AN581" s="4"/>
      <c r="AO581" s="4"/>
      <c r="AP581" s="4"/>
      <c r="AQ581" s="4"/>
      <c r="AR581" s="4"/>
      <c r="AS581" s="76" t="str">
        <f>"COMMENT ON COLUMN "&amp;エンティティ一覧!$O$2&amp;"."&amp;D$8&amp;"."&amp;D581&amp;" IS '"&amp;C581&amp;"';"</f>
        <v>COMMENT ON COLUMN milscm_2023_009.sny_202310_annony_shikkan2.shikkan568_start_date IS 'G468_疾患開始日';</v>
      </c>
    </row>
    <row r="582" spans="1:45" s="25" customFormat="1">
      <c r="A582" s="4" t="s">
        <v>5660</v>
      </c>
      <c r="B582" s="21">
        <f t="shared" si="109"/>
        <v>570</v>
      </c>
      <c r="C582" s="13" t="str">
        <f t="shared" si="108"/>
        <v>G801_疾患開始日</v>
      </c>
      <c r="D582" s="13" t="s">
        <v>6229</v>
      </c>
      <c r="E582" s="8"/>
      <c r="F582" s="7" t="s">
        <v>4348</v>
      </c>
      <c r="G582" s="7" t="s">
        <v>25</v>
      </c>
      <c r="H582" s="58"/>
      <c r="I582" s="23"/>
      <c r="J582" s="24"/>
      <c r="M582" s="4"/>
      <c r="N582" s="76"/>
      <c r="O582" s="76"/>
      <c r="P582" s="76" t="str">
        <f t="shared" si="110"/>
        <v>,shikkan569_start_date</v>
      </c>
      <c r="Q582" s="76" t="str">
        <f t="shared" si="111"/>
        <v>DATE</v>
      </c>
      <c r="R582" s="76" t="str">
        <f t="shared" si="112"/>
        <v/>
      </c>
      <c r="S582" s="76" t="str">
        <f t="shared" si="113"/>
        <v/>
      </c>
      <c r="T582" s="76" t="str">
        <f t="shared" si="114"/>
        <v>-- G801_疾患開始日</v>
      </c>
      <c r="U582" s="4" t="str">
        <f t="shared" si="106"/>
        <v>, CASE WHEN shikkan_disp_name = 'G801' THEN min_shikkan_start_date ::DATE ELSE NULL END AS shikkan569_start_date</v>
      </c>
      <c r="V582" s="25" t="str">
        <f t="shared" si="107"/>
        <v>, max(shikkan569_start_date)</v>
      </c>
      <c r="AA582" s="4"/>
      <c r="AB582" s="4"/>
      <c r="AC582" s="4"/>
      <c r="AD582" s="4"/>
      <c r="AE582" s="4"/>
      <c r="AF582" s="4"/>
      <c r="AG582" s="4"/>
      <c r="AH582" s="4"/>
      <c r="AI582" s="4"/>
      <c r="AJ582" s="76" t="str">
        <f>IF(E582="○",IF(COUNTA(E$13:E582)=1,"",",")&amp;D582,"")</f>
        <v/>
      </c>
      <c r="AK582" s="4"/>
      <c r="AL582" s="4"/>
      <c r="AM582" s="4"/>
      <c r="AN582" s="4"/>
      <c r="AO582" s="4"/>
      <c r="AP582" s="4"/>
      <c r="AQ582" s="4"/>
      <c r="AR582" s="4"/>
      <c r="AS582" s="76" t="str">
        <f>"COMMENT ON COLUMN "&amp;エンティティ一覧!$O$2&amp;"."&amp;D$8&amp;"."&amp;D582&amp;" IS '"&amp;C582&amp;"';"</f>
        <v>COMMENT ON COLUMN milscm_2023_009.sny_202310_annony_shikkan2.shikkan569_start_date IS 'G801_疾患開始日';</v>
      </c>
    </row>
    <row r="583" spans="1:45" s="25" customFormat="1">
      <c r="A583" s="4" t="s">
        <v>5661</v>
      </c>
      <c r="B583" s="21">
        <f t="shared" si="109"/>
        <v>571</v>
      </c>
      <c r="C583" s="13" t="str">
        <f t="shared" si="108"/>
        <v>G802_疾患開始日</v>
      </c>
      <c r="D583" s="13" t="s">
        <v>6230</v>
      </c>
      <c r="E583" s="8"/>
      <c r="F583" s="7" t="s">
        <v>4348</v>
      </c>
      <c r="G583" s="7" t="s">
        <v>25</v>
      </c>
      <c r="H583" s="58"/>
      <c r="I583" s="23"/>
      <c r="J583" s="24"/>
      <c r="M583" s="4"/>
      <c r="N583" s="76"/>
      <c r="O583" s="76"/>
      <c r="P583" s="76" t="str">
        <f t="shared" si="110"/>
        <v>,shikkan570_start_date</v>
      </c>
      <c r="Q583" s="76" t="str">
        <f t="shared" si="111"/>
        <v>DATE</v>
      </c>
      <c r="R583" s="76" t="str">
        <f t="shared" si="112"/>
        <v/>
      </c>
      <c r="S583" s="76" t="str">
        <f t="shared" si="113"/>
        <v/>
      </c>
      <c r="T583" s="76" t="str">
        <f t="shared" si="114"/>
        <v>-- G802_疾患開始日</v>
      </c>
      <c r="U583" s="4" t="str">
        <f t="shared" si="106"/>
        <v>, CASE WHEN shikkan_disp_name = 'G802' THEN min_shikkan_start_date ::DATE ELSE NULL END AS shikkan570_start_date</v>
      </c>
      <c r="V583" s="25" t="str">
        <f t="shared" si="107"/>
        <v>, max(shikkan570_start_date)</v>
      </c>
      <c r="AA583" s="4"/>
      <c r="AB583" s="4"/>
      <c r="AC583" s="4"/>
      <c r="AD583" s="4"/>
      <c r="AE583" s="4"/>
      <c r="AF583" s="4"/>
      <c r="AG583" s="4"/>
      <c r="AH583" s="4"/>
      <c r="AI583" s="4"/>
      <c r="AJ583" s="76" t="str">
        <f>IF(E583="○",IF(COUNTA(E$13:E583)=1,"",",")&amp;D583,"")</f>
        <v/>
      </c>
      <c r="AK583" s="4"/>
      <c r="AL583" s="4"/>
      <c r="AM583" s="4"/>
      <c r="AN583" s="4"/>
      <c r="AO583" s="4"/>
      <c r="AP583" s="4"/>
      <c r="AQ583" s="4"/>
      <c r="AR583" s="4"/>
      <c r="AS583" s="76" t="str">
        <f>"COMMENT ON COLUMN "&amp;エンティティ一覧!$O$2&amp;"."&amp;D$8&amp;"."&amp;D583&amp;" IS '"&amp;C583&amp;"';"</f>
        <v>COMMENT ON COLUMN milscm_2023_009.sny_202310_annony_shikkan2.shikkan570_start_date IS 'G802_疾患開始日';</v>
      </c>
    </row>
    <row r="584" spans="1:45" s="25" customFormat="1">
      <c r="A584" s="4" t="s">
        <v>5662</v>
      </c>
      <c r="B584" s="21">
        <f t="shared" si="109"/>
        <v>572</v>
      </c>
      <c r="C584" s="13" t="str">
        <f t="shared" si="108"/>
        <v>G810_疾患開始日</v>
      </c>
      <c r="D584" s="13" t="s">
        <v>6231</v>
      </c>
      <c r="E584" s="8"/>
      <c r="F584" s="7" t="s">
        <v>4348</v>
      </c>
      <c r="G584" s="7" t="s">
        <v>25</v>
      </c>
      <c r="H584" s="58"/>
      <c r="I584" s="23"/>
      <c r="J584" s="24"/>
      <c r="M584" s="4"/>
      <c r="N584" s="76"/>
      <c r="O584" s="76"/>
      <c r="P584" s="76" t="str">
        <f t="shared" si="110"/>
        <v>,shikkan571_start_date</v>
      </c>
      <c r="Q584" s="76" t="str">
        <f t="shared" si="111"/>
        <v>DATE</v>
      </c>
      <c r="R584" s="76" t="str">
        <f t="shared" si="112"/>
        <v/>
      </c>
      <c r="S584" s="76" t="str">
        <f t="shared" si="113"/>
        <v/>
      </c>
      <c r="T584" s="76" t="str">
        <f t="shared" si="114"/>
        <v>-- G810_疾患開始日</v>
      </c>
      <c r="U584" s="4" t="str">
        <f t="shared" si="106"/>
        <v>, CASE WHEN shikkan_disp_name = 'G810' THEN min_shikkan_start_date ::DATE ELSE NULL END AS shikkan571_start_date</v>
      </c>
      <c r="V584" s="25" t="str">
        <f t="shared" si="107"/>
        <v>, max(shikkan571_start_date)</v>
      </c>
      <c r="AA584" s="4"/>
      <c r="AB584" s="4"/>
      <c r="AC584" s="4"/>
      <c r="AD584" s="4"/>
      <c r="AE584" s="4"/>
      <c r="AF584" s="4"/>
      <c r="AG584" s="4"/>
      <c r="AH584" s="4"/>
      <c r="AI584" s="4"/>
      <c r="AJ584" s="76" t="str">
        <f>IF(E584="○",IF(COUNTA(E$13:E584)=1,"",",")&amp;D584,"")</f>
        <v/>
      </c>
      <c r="AK584" s="4"/>
      <c r="AL584" s="4"/>
      <c r="AM584" s="4"/>
      <c r="AN584" s="4"/>
      <c r="AO584" s="4"/>
      <c r="AP584" s="4"/>
      <c r="AQ584" s="4"/>
      <c r="AR584" s="4"/>
      <c r="AS584" s="76" t="str">
        <f>"COMMENT ON COLUMN "&amp;エンティティ一覧!$O$2&amp;"."&amp;D$8&amp;"."&amp;D584&amp;" IS '"&amp;C584&amp;"';"</f>
        <v>COMMENT ON COLUMN milscm_2023_009.sny_202310_annony_shikkan2.shikkan571_start_date IS 'G810_疾患開始日';</v>
      </c>
    </row>
    <row r="585" spans="1:45" s="25" customFormat="1">
      <c r="A585" s="4" t="s">
        <v>5663</v>
      </c>
      <c r="B585" s="21">
        <f t="shared" si="109"/>
        <v>573</v>
      </c>
      <c r="C585" s="13" t="str">
        <f t="shared" si="108"/>
        <v>G811_疾患開始日</v>
      </c>
      <c r="D585" s="13" t="s">
        <v>6232</v>
      </c>
      <c r="E585" s="8"/>
      <c r="F585" s="7" t="s">
        <v>4348</v>
      </c>
      <c r="G585" s="7" t="s">
        <v>25</v>
      </c>
      <c r="H585" s="58"/>
      <c r="I585" s="23"/>
      <c r="J585" s="24"/>
      <c r="M585" s="4"/>
      <c r="N585" s="76"/>
      <c r="O585" s="76"/>
      <c r="P585" s="76" t="str">
        <f t="shared" si="110"/>
        <v>,shikkan572_start_date</v>
      </c>
      <c r="Q585" s="76" t="str">
        <f t="shared" si="111"/>
        <v>DATE</v>
      </c>
      <c r="R585" s="76" t="str">
        <f t="shared" si="112"/>
        <v/>
      </c>
      <c r="S585" s="76" t="str">
        <f t="shared" si="113"/>
        <v/>
      </c>
      <c r="T585" s="76" t="str">
        <f t="shared" si="114"/>
        <v>-- G811_疾患開始日</v>
      </c>
      <c r="U585" s="4" t="str">
        <f t="shared" si="106"/>
        <v>, CASE WHEN shikkan_disp_name = 'G811' THEN min_shikkan_start_date ::DATE ELSE NULL END AS shikkan572_start_date</v>
      </c>
      <c r="V585" s="25" t="str">
        <f t="shared" si="107"/>
        <v>, max(shikkan572_start_date)</v>
      </c>
      <c r="AA585" s="4"/>
      <c r="AB585" s="4"/>
      <c r="AC585" s="4"/>
      <c r="AD585" s="4"/>
      <c r="AE585" s="4"/>
      <c r="AF585" s="4"/>
      <c r="AG585" s="4"/>
      <c r="AH585" s="4"/>
      <c r="AI585" s="4"/>
      <c r="AJ585" s="76" t="str">
        <f>IF(E585="○",IF(COUNTA(E$13:E585)=1,"",",")&amp;D585,"")</f>
        <v/>
      </c>
      <c r="AK585" s="4"/>
      <c r="AL585" s="4"/>
      <c r="AM585" s="4"/>
      <c r="AN585" s="4"/>
      <c r="AO585" s="4"/>
      <c r="AP585" s="4"/>
      <c r="AQ585" s="4"/>
      <c r="AR585" s="4"/>
      <c r="AS585" s="76" t="str">
        <f>"COMMENT ON COLUMN "&amp;エンティティ一覧!$O$2&amp;"."&amp;D$8&amp;"."&amp;D585&amp;" IS '"&amp;C585&amp;"';"</f>
        <v>COMMENT ON COLUMN milscm_2023_009.sny_202310_annony_shikkan2.shikkan572_start_date IS 'G811_疾患開始日';</v>
      </c>
    </row>
    <row r="586" spans="1:45" s="25" customFormat="1">
      <c r="A586" s="4" t="s">
        <v>5664</v>
      </c>
      <c r="B586" s="21">
        <f t="shared" si="109"/>
        <v>574</v>
      </c>
      <c r="C586" s="13" t="str">
        <f t="shared" si="108"/>
        <v>G819_疾患開始日</v>
      </c>
      <c r="D586" s="13" t="s">
        <v>6233</v>
      </c>
      <c r="E586" s="8"/>
      <c r="F586" s="7" t="s">
        <v>4348</v>
      </c>
      <c r="G586" s="7" t="s">
        <v>25</v>
      </c>
      <c r="H586" s="58"/>
      <c r="I586" s="23"/>
      <c r="J586" s="24"/>
      <c r="M586" s="4"/>
      <c r="N586" s="76"/>
      <c r="O586" s="76"/>
      <c r="P586" s="76" t="str">
        <f t="shared" si="110"/>
        <v>,shikkan573_start_date</v>
      </c>
      <c r="Q586" s="76" t="str">
        <f t="shared" si="111"/>
        <v>DATE</v>
      </c>
      <c r="R586" s="76" t="str">
        <f t="shared" si="112"/>
        <v/>
      </c>
      <c r="S586" s="76" t="str">
        <f t="shared" si="113"/>
        <v/>
      </c>
      <c r="T586" s="76" t="str">
        <f t="shared" si="114"/>
        <v>-- G819_疾患開始日</v>
      </c>
      <c r="U586" s="4" t="str">
        <f t="shared" si="106"/>
        <v>, CASE WHEN shikkan_disp_name = 'G819' THEN min_shikkan_start_date ::DATE ELSE NULL END AS shikkan573_start_date</v>
      </c>
      <c r="V586" s="25" t="str">
        <f t="shared" si="107"/>
        <v>, max(shikkan573_start_date)</v>
      </c>
      <c r="AA586" s="4"/>
      <c r="AB586" s="4"/>
      <c r="AC586" s="4"/>
      <c r="AD586" s="4"/>
      <c r="AE586" s="4"/>
      <c r="AF586" s="4"/>
      <c r="AG586" s="4"/>
      <c r="AH586" s="4"/>
      <c r="AI586" s="4"/>
      <c r="AJ586" s="76" t="str">
        <f>IF(E586="○",IF(COUNTA(E$13:E586)=1,"",",")&amp;D586,"")</f>
        <v/>
      </c>
      <c r="AK586" s="4"/>
      <c r="AL586" s="4"/>
      <c r="AM586" s="4"/>
      <c r="AN586" s="4"/>
      <c r="AO586" s="4"/>
      <c r="AP586" s="4"/>
      <c r="AQ586" s="4"/>
      <c r="AR586" s="4"/>
      <c r="AS586" s="76" t="str">
        <f>"COMMENT ON COLUMN "&amp;エンティティ一覧!$O$2&amp;"."&amp;D$8&amp;"."&amp;D586&amp;" IS '"&amp;C586&amp;"';"</f>
        <v>COMMENT ON COLUMN milscm_2023_009.sny_202310_annony_shikkan2.shikkan573_start_date IS 'G819_疾患開始日';</v>
      </c>
    </row>
    <row r="587" spans="1:45" s="25" customFormat="1">
      <c r="A587" s="4" t="s">
        <v>5665</v>
      </c>
      <c r="B587" s="21">
        <f t="shared" si="109"/>
        <v>575</v>
      </c>
      <c r="C587" s="13" t="str">
        <f t="shared" si="108"/>
        <v>G820_疾患開始日</v>
      </c>
      <c r="D587" s="13" t="s">
        <v>6234</v>
      </c>
      <c r="E587" s="8"/>
      <c r="F587" s="7" t="s">
        <v>4348</v>
      </c>
      <c r="G587" s="7" t="s">
        <v>25</v>
      </c>
      <c r="H587" s="58"/>
      <c r="I587" s="23"/>
      <c r="J587" s="24"/>
      <c r="M587" s="4"/>
      <c r="N587" s="76"/>
      <c r="O587" s="76"/>
      <c r="P587" s="76" t="str">
        <f t="shared" si="110"/>
        <v>,shikkan574_start_date</v>
      </c>
      <c r="Q587" s="76" t="str">
        <f t="shared" si="111"/>
        <v>DATE</v>
      </c>
      <c r="R587" s="76" t="str">
        <f t="shared" si="112"/>
        <v/>
      </c>
      <c r="S587" s="76" t="str">
        <f t="shared" si="113"/>
        <v/>
      </c>
      <c r="T587" s="76" t="str">
        <f t="shared" si="114"/>
        <v>-- G820_疾患開始日</v>
      </c>
      <c r="U587" s="4" t="str">
        <f t="shared" si="106"/>
        <v>, CASE WHEN shikkan_disp_name = 'G820' THEN min_shikkan_start_date ::DATE ELSE NULL END AS shikkan574_start_date</v>
      </c>
      <c r="V587" s="25" t="str">
        <f t="shared" si="107"/>
        <v>, max(shikkan574_start_date)</v>
      </c>
      <c r="AA587" s="4"/>
      <c r="AB587" s="4"/>
      <c r="AC587" s="4"/>
      <c r="AD587" s="4"/>
      <c r="AE587" s="4"/>
      <c r="AF587" s="4"/>
      <c r="AG587" s="4"/>
      <c r="AH587" s="4"/>
      <c r="AI587" s="4"/>
      <c r="AJ587" s="76" t="str">
        <f>IF(E587="○",IF(COUNTA(E$13:E587)=1,"",",")&amp;D587,"")</f>
        <v/>
      </c>
      <c r="AK587" s="4"/>
      <c r="AL587" s="4"/>
      <c r="AM587" s="4"/>
      <c r="AN587" s="4"/>
      <c r="AO587" s="4"/>
      <c r="AP587" s="4"/>
      <c r="AQ587" s="4"/>
      <c r="AR587" s="4"/>
      <c r="AS587" s="76" t="str">
        <f>"COMMENT ON COLUMN "&amp;エンティティ一覧!$O$2&amp;"."&amp;D$8&amp;"."&amp;D587&amp;" IS '"&amp;C587&amp;"';"</f>
        <v>COMMENT ON COLUMN milscm_2023_009.sny_202310_annony_shikkan2.shikkan574_start_date IS 'G820_疾患開始日';</v>
      </c>
    </row>
    <row r="588" spans="1:45" s="25" customFormat="1">
      <c r="A588" s="4" t="s">
        <v>5666</v>
      </c>
      <c r="B588" s="21">
        <f t="shared" si="109"/>
        <v>576</v>
      </c>
      <c r="C588" s="13" t="str">
        <f t="shared" si="108"/>
        <v>G821_疾患開始日</v>
      </c>
      <c r="D588" s="13" t="s">
        <v>6235</v>
      </c>
      <c r="E588" s="8"/>
      <c r="F588" s="7" t="s">
        <v>4348</v>
      </c>
      <c r="G588" s="7" t="s">
        <v>25</v>
      </c>
      <c r="H588" s="58"/>
      <c r="I588" s="23"/>
      <c r="J588" s="24"/>
      <c r="M588" s="4"/>
      <c r="N588" s="76"/>
      <c r="O588" s="76"/>
      <c r="P588" s="76" t="str">
        <f t="shared" si="110"/>
        <v>,shikkan575_start_date</v>
      </c>
      <c r="Q588" s="76" t="str">
        <f t="shared" si="111"/>
        <v>DATE</v>
      </c>
      <c r="R588" s="76" t="str">
        <f t="shared" si="112"/>
        <v/>
      </c>
      <c r="S588" s="76" t="str">
        <f t="shared" si="113"/>
        <v/>
      </c>
      <c r="T588" s="76" t="str">
        <f t="shared" si="114"/>
        <v>-- G821_疾患開始日</v>
      </c>
      <c r="U588" s="4" t="str">
        <f t="shared" si="106"/>
        <v>, CASE WHEN shikkan_disp_name = 'G821' THEN min_shikkan_start_date ::DATE ELSE NULL END AS shikkan575_start_date</v>
      </c>
      <c r="V588" s="25" t="str">
        <f t="shared" si="107"/>
        <v>, max(shikkan575_start_date)</v>
      </c>
      <c r="AA588" s="4"/>
      <c r="AB588" s="4"/>
      <c r="AC588" s="4"/>
      <c r="AD588" s="4"/>
      <c r="AE588" s="4"/>
      <c r="AF588" s="4"/>
      <c r="AG588" s="4"/>
      <c r="AH588" s="4"/>
      <c r="AI588" s="4"/>
      <c r="AJ588" s="76" t="str">
        <f>IF(E588="○",IF(COUNTA(E$13:E588)=1,"",",")&amp;D588,"")</f>
        <v/>
      </c>
      <c r="AK588" s="4"/>
      <c r="AL588" s="4"/>
      <c r="AM588" s="4"/>
      <c r="AN588" s="4"/>
      <c r="AO588" s="4"/>
      <c r="AP588" s="4"/>
      <c r="AQ588" s="4"/>
      <c r="AR588" s="4"/>
      <c r="AS588" s="76" t="str">
        <f>"COMMENT ON COLUMN "&amp;エンティティ一覧!$O$2&amp;"."&amp;D$8&amp;"."&amp;D588&amp;" IS '"&amp;C588&amp;"';"</f>
        <v>COMMENT ON COLUMN milscm_2023_009.sny_202310_annony_shikkan2.shikkan575_start_date IS 'G821_疾患開始日';</v>
      </c>
    </row>
    <row r="589" spans="1:45" s="25" customFormat="1">
      <c r="A589" s="4" t="s">
        <v>5667</v>
      </c>
      <c r="B589" s="21">
        <f t="shared" si="109"/>
        <v>577</v>
      </c>
      <c r="C589" s="13" t="str">
        <f t="shared" si="108"/>
        <v>G822_疾患開始日</v>
      </c>
      <c r="D589" s="13" t="s">
        <v>6236</v>
      </c>
      <c r="E589" s="8"/>
      <c r="F589" s="7" t="s">
        <v>4348</v>
      </c>
      <c r="G589" s="7" t="s">
        <v>25</v>
      </c>
      <c r="H589" s="58"/>
      <c r="I589" s="23"/>
      <c r="J589" s="24"/>
      <c r="M589" s="4"/>
      <c r="N589" s="76"/>
      <c r="O589" s="76"/>
      <c r="P589" s="76" t="str">
        <f t="shared" si="110"/>
        <v>,shikkan576_start_date</v>
      </c>
      <c r="Q589" s="76" t="str">
        <f t="shared" si="111"/>
        <v>DATE</v>
      </c>
      <c r="R589" s="76" t="str">
        <f t="shared" si="112"/>
        <v/>
      </c>
      <c r="S589" s="76" t="str">
        <f t="shared" si="113"/>
        <v/>
      </c>
      <c r="T589" s="76" t="str">
        <f t="shared" si="114"/>
        <v>-- G822_疾患開始日</v>
      </c>
      <c r="U589" s="4" t="str">
        <f t="shared" ref="U589:U843" si="115">", CASE WHEN shikkan_disp_name = '"&amp;A589&amp;"' THEN min_shikkan_start_date ::DATE ELSE NULL END AS "&amp;D589</f>
        <v>, CASE WHEN shikkan_disp_name = 'G822' THEN min_shikkan_start_date ::DATE ELSE NULL END AS shikkan576_start_date</v>
      </c>
      <c r="V589" s="25" t="str">
        <f t="shared" ref="V589:V843" si="116">", max("&amp;D589&amp;")"</f>
        <v>, max(shikkan576_start_date)</v>
      </c>
      <c r="AA589" s="4"/>
      <c r="AB589" s="4"/>
      <c r="AC589" s="4"/>
      <c r="AD589" s="4"/>
      <c r="AE589" s="4"/>
      <c r="AF589" s="4"/>
      <c r="AG589" s="4"/>
      <c r="AH589" s="4"/>
      <c r="AI589" s="4"/>
      <c r="AJ589" s="76" t="str">
        <f>IF(E589="○",IF(COUNTA(E$13:E589)=1,"",",")&amp;D589,"")</f>
        <v/>
      </c>
      <c r="AK589" s="4"/>
      <c r="AL589" s="4"/>
      <c r="AM589" s="4"/>
      <c r="AN589" s="4"/>
      <c r="AO589" s="4"/>
      <c r="AP589" s="4"/>
      <c r="AQ589" s="4"/>
      <c r="AR589" s="4"/>
      <c r="AS589" s="76" t="str">
        <f>"COMMENT ON COLUMN "&amp;エンティティ一覧!$O$2&amp;"."&amp;D$8&amp;"."&amp;D589&amp;" IS '"&amp;C589&amp;"';"</f>
        <v>COMMENT ON COLUMN milscm_2023_009.sny_202310_annony_shikkan2.shikkan576_start_date IS 'G822_疾患開始日';</v>
      </c>
    </row>
    <row r="590" spans="1:45" s="25" customFormat="1">
      <c r="A590" s="4" t="s">
        <v>5668</v>
      </c>
      <c r="B590" s="21">
        <f t="shared" si="109"/>
        <v>578</v>
      </c>
      <c r="C590" s="13" t="str">
        <f t="shared" si="108"/>
        <v>G823_疾患開始日</v>
      </c>
      <c r="D590" s="13" t="s">
        <v>6237</v>
      </c>
      <c r="E590" s="8"/>
      <c r="F590" s="7" t="s">
        <v>4348</v>
      </c>
      <c r="G590" s="7" t="s">
        <v>25</v>
      </c>
      <c r="H590" s="58"/>
      <c r="I590" s="23"/>
      <c r="J590" s="24"/>
      <c r="M590" s="4"/>
      <c r="N590" s="76"/>
      <c r="O590" s="76"/>
      <c r="P590" s="76" t="str">
        <f t="shared" si="110"/>
        <v>,shikkan577_start_date</v>
      </c>
      <c r="Q590" s="76" t="str">
        <f t="shared" si="111"/>
        <v>DATE</v>
      </c>
      <c r="R590" s="76" t="str">
        <f t="shared" si="112"/>
        <v/>
      </c>
      <c r="S590" s="76" t="str">
        <f t="shared" si="113"/>
        <v/>
      </c>
      <c r="T590" s="76" t="str">
        <f t="shared" si="114"/>
        <v>-- G823_疾患開始日</v>
      </c>
      <c r="U590" s="4" t="str">
        <f t="shared" si="115"/>
        <v>, CASE WHEN shikkan_disp_name = 'G823' THEN min_shikkan_start_date ::DATE ELSE NULL END AS shikkan577_start_date</v>
      </c>
      <c r="V590" s="25" t="str">
        <f t="shared" si="116"/>
        <v>, max(shikkan577_start_date)</v>
      </c>
      <c r="AA590" s="4"/>
      <c r="AB590" s="4"/>
      <c r="AC590" s="4"/>
      <c r="AD590" s="4"/>
      <c r="AE590" s="4"/>
      <c r="AF590" s="4"/>
      <c r="AG590" s="4"/>
      <c r="AH590" s="4"/>
      <c r="AI590" s="4"/>
      <c r="AJ590" s="76" t="str">
        <f>IF(E590="○",IF(COUNTA(E$13:E590)=1,"",",")&amp;D590,"")</f>
        <v/>
      </c>
      <c r="AK590" s="4"/>
      <c r="AL590" s="4"/>
      <c r="AM590" s="4"/>
      <c r="AN590" s="4"/>
      <c r="AO590" s="4"/>
      <c r="AP590" s="4"/>
      <c r="AQ590" s="4"/>
      <c r="AR590" s="4"/>
      <c r="AS590" s="76" t="str">
        <f>"COMMENT ON COLUMN "&amp;エンティティ一覧!$O$2&amp;"."&amp;D$8&amp;"."&amp;D590&amp;" IS '"&amp;C590&amp;"';"</f>
        <v>COMMENT ON COLUMN milscm_2023_009.sny_202310_annony_shikkan2.shikkan577_start_date IS 'G823_疾患開始日';</v>
      </c>
    </row>
    <row r="591" spans="1:45" s="25" customFormat="1">
      <c r="A591" s="4" t="s">
        <v>5669</v>
      </c>
      <c r="B591" s="21">
        <f t="shared" si="109"/>
        <v>579</v>
      </c>
      <c r="C591" s="13" t="str">
        <f t="shared" ref="C591:C654" si="117">A591&amp;"_疾患開始日"</f>
        <v>G824_疾患開始日</v>
      </c>
      <c r="D591" s="13" t="s">
        <v>6238</v>
      </c>
      <c r="E591" s="8"/>
      <c r="F591" s="7" t="s">
        <v>4348</v>
      </c>
      <c r="G591" s="7" t="s">
        <v>25</v>
      </c>
      <c r="H591" s="58"/>
      <c r="I591" s="23"/>
      <c r="J591" s="24"/>
      <c r="M591" s="4"/>
      <c r="N591" s="76"/>
      <c r="O591" s="76"/>
      <c r="P591" s="76" t="str">
        <f t="shared" si="110"/>
        <v>,shikkan578_start_date</v>
      </c>
      <c r="Q591" s="76" t="str">
        <f t="shared" si="111"/>
        <v>DATE</v>
      </c>
      <c r="R591" s="76" t="str">
        <f t="shared" si="112"/>
        <v/>
      </c>
      <c r="S591" s="76" t="str">
        <f t="shared" si="113"/>
        <v/>
      </c>
      <c r="T591" s="76" t="str">
        <f t="shared" si="114"/>
        <v>-- G824_疾患開始日</v>
      </c>
      <c r="U591" s="4" t="str">
        <f t="shared" si="115"/>
        <v>, CASE WHEN shikkan_disp_name = 'G824' THEN min_shikkan_start_date ::DATE ELSE NULL END AS shikkan578_start_date</v>
      </c>
      <c r="V591" s="25" t="str">
        <f t="shared" si="116"/>
        <v>, max(shikkan578_start_date)</v>
      </c>
      <c r="AA591" s="4"/>
      <c r="AB591" s="4"/>
      <c r="AC591" s="4"/>
      <c r="AD591" s="4"/>
      <c r="AE591" s="4"/>
      <c r="AF591" s="4"/>
      <c r="AG591" s="4"/>
      <c r="AH591" s="4"/>
      <c r="AI591" s="4"/>
      <c r="AJ591" s="76" t="str">
        <f>IF(E591="○",IF(COUNTA(E$13:E591)=1,"",",")&amp;D591,"")</f>
        <v/>
      </c>
      <c r="AK591" s="4"/>
      <c r="AL591" s="4"/>
      <c r="AM591" s="4"/>
      <c r="AN591" s="4"/>
      <c r="AO591" s="4"/>
      <c r="AP591" s="4"/>
      <c r="AQ591" s="4"/>
      <c r="AR591" s="4"/>
      <c r="AS591" s="76" t="str">
        <f>"COMMENT ON COLUMN "&amp;エンティティ一覧!$O$2&amp;"."&amp;D$8&amp;"."&amp;D591&amp;" IS '"&amp;C591&amp;"';"</f>
        <v>COMMENT ON COLUMN milscm_2023_009.sny_202310_annony_shikkan2.shikkan578_start_date IS 'G824_疾患開始日';</v>
      </c>
    </row>
    <row r="592" spans="1:45" s="25" customFormat="1">
      <c r="A592" s="4" t="s">
        <v>5670</v>
      </c>
      <c r="B592" s="21">
        <f t="shared" ref="B592:B655" si="118">ROW()-12</f>
        <v>580</v>
      </c>
      <c r="C592" s="13" t="str">
        <f t="shared" si="117"/>
        <v>G825_疾患開始日</v>
      </c>
      <c r="D592" s="13" t="s">
        <v>6239</v>
      </c>
      <c r="E592" s="8"/>
      <c r="F592" s="7" t="s">
        <v>4348</v>
      </c>
      <c r="G592" s="7" t="s">
        <v>25</v>
      </c>
      <c r="H592" s="58"/>
      <c r="I592" s="23"/>
      <c r="J592" s="24"/>
      <c r="M592" s="4"/>
      <c r="N592" s="76"/>
      <c r="O592" s="76"/>
      <c r="P592" s="76" t="str">
        <f t="shared" si="110"/>
        <v>,shikkan579_start_date</v>
      </c>
      <c r="Q592" s="76" t="str">
        <f t="shared" si="111"/>
        <v>DATE</v>
      </c>
      <c r="R592" s="76" t="str">
        <f t="shared" si="112"/>
        <v/>
      </c>
      <c r="S592" s="76" t="str">
        <f t="shared" si="113"/>
        <v/>
      </c>
      <c r="T592" s="76" t="str">
        <f t="shared" si="114"/>
        <v>-- G825_疾患開始日</v>
      </c>
      <c r="U592" s="4" t="str">
        <f t="shared" si="115"/>
        <v>, CASE WHEN shikkan_disp_name = 'G825' THEN min_shikkan_start_date ::DATE ELSE NULL END AS shikkan579_start_date</v>
      </c>
      <c r="V592" s="25" t="str">
        <f t="shared" si="116"/>
        <v>, max(shikkan579_start_date)</v>
      </c>
      <c r="AA592" s="4"/>
      <c r="AB592" s="4"/>
      <c r="AC592" s="4"/>
      <c r="AD592" s="4"/>
      <c r="AE592" s="4"/>
      <c r="AF592" s="4"/>
      <c r="AG592" s="4"/>
      <c r="AH592" s="4"/>
      <c r="AI592" s="4"/>
      <c r="AJ592" s="76" t="str">
        <f>IF(E592="○",IF(COUNTA(E$13:E592)=1,"",",")&amp;D592,"")</f>
        <v/>
      </c>
      <c r="AK592" s="4"/>
      <c r="AL592" s="4"/>
      <c r="AM592" s="4"/>
      <c r="AN592" s="4"/>
      <c r="AO592" s="4"/>
      <c r="AP592" s="4"/>
      <c r="AQ592" s="4"/>
      <c r="AR592" s="4"/>
      <c r="AS592" s="76" t="str">
        <f>"COMMENT ON COLUMN "&amp;エンティティ一覧!$O$2&amp;"."&amp;D$8&amp;"."&amp;D592&amp;" IS '"&amp;C592&amp;"';"</f>
        <v>COMMENT ON COLUMN milscm_2023_009.sny_202310_annony_shikkan2.shikkan579_start_date IS 'G825_疾患開始日';</v>
      </c>
    </row>
    <row r="593" spans="1:45" s="25" customFormat="1">
      <c r="A593" s="4" t="s">
        <v>5671</v>
      </c>
      <c r="B593" s="21">
        <f t="shared" si="118"/>
        <v>581</v>
      </c>
      <c r="C593" s="13" t="str">
        <f t="shared" si="117"/>
        <v>G830_疾患開始日</v>
      </c>
      <c r="D593" s="13" t="s">
        <v>6240</v>
      </c>
      <c r="E593" s="8"/>
      <c r="F593" s="7" t="s">
        <v>4348</v>
      </c>
      <c r="G593" s="7" t="s">
        <v>25</v>
      </c>
      <c r="H593" s="58"/>
      <c r="I593" s="23"/>
      <c r="J593" s="24"/>
      <c r="M593" s="4"/>
      <c r="N593" s="76"/>
      <c r="O593" s="76"/>
      <c r="P593" s="76" t="str">
        <f t="shared" si="110"/>
        <v>,shikkan580_start_date</v>
      </c>
      <c r="Q593" s="76" t="str">
        <f t="shared" si="111"/>
        <v>DATE</v>
      </c>
      <c r="R593" s="76" t="str">
        <f t="shared" si="112"/>
        <v/>
      </c>
      <c r="S593" s="76" t="str">
        <f t="shared" si="113"/>
        <v/>
      </c>
      <c r="T593" s="76" t="str">
        <f t="shared" si="114"/>
        <v>-- G830_疾患開始日</v>
      </c>
      <c r="U593" s="4" t="str">
        <f t="shared" si="115"/>
        <v>, CASE WHEN shikkan_disp_name = 'G830' THEN min_shikkan_start_date ::DATE ELSE NULL END AS shikkan580_start_date</v>
      </c>
      <c r="V593" s="25" t="str">
        <f t="shared" si="116"/>
        <v>, max(shikkan580_start_date)</v>
      </c>
      <c r="AA593" s="4"/>
      <c r="AB593" s="4"/>
      <c r="AC593" s="4"/>
      <c r="AD593" s="4"/>
      <c r="AE593" s="4"/>
      <c r="AF593" s="4"/>
      <c r="AG593" s="4"/>
      <c r="AH593" s="4"/>
      <c r="AI593" s="4"/>
      <c r="AJ593" s="76" t="str">
        <f>IF(E593="○",IF(COUNTA(E$13:E593)=1,"",",")&amp;D593,"")</f>
        <v/>
      </c>
      <c r="AK593" s="4"/>
      <c r="AL593" s="4"/>
      <c r="AM593" s="4"/>
      <c r="AN593" s="4"/>
      <c r="AO593" s="4"/>
      <c r="AP593" s="4"/>
      <c r="AQ593" s="4"/>
      <c r="AR593" s="4"/>
      <c r="AS593" s="76" t="str">
        <f>"COMMENT ON COLUMN "&amp;エンティティ一覧!$O$2&amp;"."&amp;D$8&amp;"."&amp;D593&amp;" IS '"&amp;C593&amp;"';"</f>
        <v>COMMENT ON COLUMN milscm_2023_009.sny_202310_annony_shikkan2.shikkan580_start_date IS 'G830_疾患開始日';</v>
      </c>
    </row>
    <row r="594" spans="1:45" s="25" customFormat="1">
      <c r="A594" s="4" t="s">
        <v>5672</v>
      </c>
      <c r="B594" s="21">
        <f t="shared" si="118"/>
        <v>582</v>
      </c>
      <c r="C594" s="13" t="str">
        <f t="shared" si="117"/>
        <v>G831_疾患開始日</v>
      </c>
      <c r="D594" s="13" t="s">
        <v>6241</v>
      </c>
      <c r="E594" s="8"/>
      <c r="F594" s="7" t="s">
        <v>4348</v>
      </c>
      <c r="G594" s="7" t="s">
        <v>25</v>
      </c>
      <c r="H594" s="58"/>
      <c r="I594" s="23"/>
      <c r="J594" s="24"/>
      <c r="M594" s="4"/>
      <c r="N594" s="76"/>
      <c r="O594" s="76"/>
      <c r="P594" s="76" t="str">
        <f t="shared" si="110"/>
        <v>,shikkan581_start_date</v>
      </c>
      <c r="Q594" s="76" t="str">
        <f t="shared" si="111"/>
        <v>DATE</v>
      </c>
      <c r="R594" s="76" t="str">
        <f t="shared" si="112"/>
        <v/>
      </c>
      <c r="S594" s="76" t="str">
        <f t="shared" si="113"/>
        <v/>
      </c>
      <c r="T594" s="76" t="str">
        <f t="shared" si="114"/>
        <v>-- G831_疾患開始日</v>
      </c>
      <c r="U594" s="4" t="str">
        <f t="shared" si="115"/>
        <v>, CASE WHEN shikkan_disp_name = 'G831' THEN min_shikkan_start_date ::DATE ELSE NULL END AS shikkan581_start_date</v>
      </c>
      <c r="V594" s="25" t="str">
        <f t="shared" si="116"/>
        <v>, max(shikkan581_start_date)</v>
      </c>
      <c r="AA594" s="4"/>
      <c r="AB594" s="4"/>
      <c r="AC594" s="4"/>
      <c r="AD594" s="4"/>
      <c r="AE594" s="4"/>
      <c r="AF594" s="4"/>
      <c r="AG594" s="4"/>
      <c r="AH594" s="4"/>
      <c r="AI594" s="4"/>
      <c r="AJ594" s="76" t="str">
        <f>IF(E594="○",IF(COUNTA(E$13:E594)=1,"",",")&amp;D594,"")</f>
        <v/>
      </c>
      <c r="AK594" s="4"/>
      <c r="AL594" s="4"/>
      <c r="AM594" s="4"/>
      <c r="AN594" s="4"/>
      <c r="AO594" s="4"/>
      <c r="AP594" s="4"/>
      <c r="AQ594" s="4"/>
      <c r="AR594" s="4"/>
      <c r="AS594" s="76" t="str">
        <f>"COMMENT ON COLUMN "&amp;エンティティ一覧!$O$2&amp;"."&amp;D$8&amp;"."&amp;D594&amp;" IS '"&amp;C594&amp;"';"</f>
        <v>COMMENT ON COLUMN milscm_2023_009.sny_202310_annony_shikkan2.shikkan581_start_date IS 'G831_疾患開始日';</v>
      </c>
    </row>
    <row r="595" spans="1:45" s="25" customFormat="1">
      <c r="A595" s="4" t="s">
        <v>5673</v>
      </c>
      <c r="B595" s="21">
        <f t="shared" si="118"/>
        <v>583</v>
      </c>
      <c r="C595" s="13" t="str">
        <f t="shared" si="117"/>
        <v>G832_疾患開始日</v>
      </c>
      <c r="D595" s="13" t="s">
        <v>6242</v>
      </c>
      <c r="E595" s="8"/>
      <c r="F595" s="7" t="s">
        <v>4348</v>
      </c>
      <c r="G595" s="7" t="s">
        <v>25</v>
      </c>
      <c r="H595" s="58"/>
      <c r="I595" s="23"/>
      <c r="J595" s="24"/>
      <c r="M595" s="4"/>
      <c r="N595" s="76"/>
      <c r="O595" s="76"/>
      <c r="P595" s="76" t="str">
        <f t="shared" si="110"/>
        <v>,shikkan582_start_date</v>
      </c>
      <c r="Q595" s="76" t="str">
        <f t="shared" si="111"/>
        <v>DATE</v>
      </c>
      <c r="R595" s="76" t="str">
        <f t="shared" si="112"/>
        <v/>
      </c>
      <c r="S595" s="76" t="str">
        <f t="shared" si="113"/>
        <v/>
      </c>
      <c r="T595" s="76" t="str">
        <f t="shared" si="114"/>
        <v>-- G832_疾患開始日</v>
      </c>
      <c r="U595" s="4" t="str">
        <f t="shared" si="115"/>
        <v>, CASE WHEN shikkan_disp_name = 'G832' THEN min_shikkan_start_date ::DATE ELSE NULL END AS shikkan582_start_date</v>
      </c>
      <c r="V595" s="25" t="str">
        <f t="shared" si="116"/>
        <v>, max(shikkan582_start_date)</v>
      </c>
      <c r="AA595" s="4"/>
      <c r="AB595" s="4"/>
      <c r="AC595" s="4"/>
      <c r="AD595" s="4"/>
      <c r="AE595" s="4"/>
      <c r="AF595" s="4"/>
      <c r="AG595" s="4"/>
      <c r="AH595" s="4"/>
      <c r="AI595" s="4"/>
      <c r="AJ595" s="76" t="str">
        <f>IF(E595="○",IF(COUNTA(E$13:E595)=1,"",",")&amp;D595,"")</f>
        <v/>
      </c>
      <c r="AK595" s="4"/>
      <c r="AL595" s="4"/>
      <c r="AM595" s="4"/>
      <c r="AN595" s="4"/>
      <c r="AO595" s="4"/>
      <c r="AP595" s="4"/>
      <c r="AQ595" s="4"/>
      <c r="AR595" s="4"/>
      <c r="AS595" s="76" t="str">
        <f>"COMMENT ON COLUMN "&amp;エンティティ一覧!$O$2&amp;"."&amp;D$8&amp;"."&amp;D595&amp;" IS '"&amp;C595&amp;"';"</f>
        <v>COMMENT ON COLUMN milscm_2023_009.sny_202310_annony_shikkan2.shikkan582_start_date IS 'G832_疾患開始日';</v>
      </c>
    </row>
    <row r="596" spans="1:45" s="25" customFormat="1">
      <c r="A596" s="4" t="s">
        <v>5674</v>
      </c>
      <c r="B596" s="21">
        <f t="shared" si="118"/>
        <v>584</v>
      </c>
      <c r="C596" s="13" t="str">
        <f t="shared" si="117"/>
        <v>G833_疾患開始日</v>
      </c>
      <c r="D596" s="13" t="s">
        <v>6243</v>
      </c>
      <c r="E596" s="8"/>
      <c r="F596" s="7" t="s">
        <v>4348</v>
      </c>
      <c r="G596" s="7" t="s">
        <v>25</v>
      </c>
      <c r="H596" s="58"/>
      <c r="I596" s="23"/>
      <c r="J596" s="24"/>
      <c r="M596" s="4"/>
      <c r="N596" s="76"/>
      <c r="O596" s="76"/>
      <c r="P596" s="76" t="str">
        <f t="shared" si="110"/>
        <v>,shikkan583_start_date</v>
      </c>
      <c r="Q596" s="76" t="str">
        <f t="shared" si="111"/>
        <v>DATE</v>
      </c>
      <c r="R596" s="76" t="str">
        <f t="shared" si="112"/>
        <v/>
      </c>
      <c r="S596" s="76" t="str">
        <f t="shared" si="113"/>
        <v/>
      </c>
      <c r="T596" s="76" t="str">
        <f t="shared" si="114"/>
        <v>-- G833_疾患開始日</v>
      </c>
      <c r="U596" s="4" t="str">
        <f t="shared" si="115"/>
        <v>, CASE WHEN shikkan_disp_name = 'G833' THEN min_shikkan_start_date ::DATE ELSE NULL END AS shikkan583_start_date</v>
      </c>
      <c r="V596" s="25" t="str">
        <f t="shared" si="116"/>
        <v>, max(shikkan583_start_date)</v>
      </c>
      <c r="AA596" s="4"/>
      <c r="AB596" s="4"/>
      <c r="AC596" s="4"/>
      <c r="AD596" s="4"/>
      <c r="AE596" s="4"/>
      <c r="AF596" s="4"/>
      <c r="AG596" s="4"/>
      <c r="AH596" s="4"/>
      <c r="AI596" s="4"/>
      <c r="AJ596" s="76" t="str">
        <f>IF(E596="○",IF(COUNTA(E$13:E596)=1,"",",")&amp;D596,"")</f>
        <v/>
      </c>
      <c r="AK596" s="4"/>
      <c r="AL596" s="4"/>
      <c r="AM596" s="4"/>
      <c r="AN596" s="4"/>
      <c r="AO596" s="4"/>
      <c r="AP596" s="4"/>
      <c r="AQ596" s="4"/>
      <c r="AR596" s="4"/>
      <c r="AS596" s="76" t="str">
        <f>"COMMENT ON COLUMN "&amp;エンティティ一覧!$O$2&amp;"."&amp;D$8&amp;"."&amp;D596&amp;" IS '"&amp;C596&amp;"';"</f>
        <v>COMMENT ON COLUMN milscm_2023_009.sny_202310_annony_shikkan2.shikkan583_start_date IS 'G833_疾患開始日';</v>
      </c>
    </row>
    <row r="597" spans="1:45" s="25" customFormat="1">
      <c r="A597" s="4" t="s">
        <v>5675</v>
      </c>
      <c r="B597" s="21">
        <f t="shared" si="118"/>
        <v>585</v>
      </c>
      <c r="C597" s="13" t="str">
        <f t="shared" si="117"/>
        <v>G834_疾患開始日</v>
      </c>
      <c r="D597" s="13" t="s">
        <v>6244</v>
      </c>
      <c r="E597" s="8"/>
      <c r="F597" s="7" t="s">
        <v>4348</v>
      </c>
      <c r="G597" s="7" t="s">
        <v>25</v>
      </c>
      <c r="H597" s="58"/>
      <c r="I597" s="23"/>
      <c r="J597" s="24"/>
      <c r="M597" s="4"/>
      <c r="N597" s="76"/>
      <c r="O597" s="76"/>
      <c r="P597" s="76" t="str">
        <f t="shared" si="110"/>
        <v>,shikkan584_start_date</v>
      </c>
      <c r="Q597" s="76" t="str">
        <f t="shared" si="111"/>
        <v>DATE</v>
      </c>
      <c r="R597" s="76" t="str">
        <f t="shared" si="112"/>
        <v/>
      </c>
      <c r="S597" s="76" t="str">
        <f t="shared" si="113"/>
        <v/>
      </c>
      <c r="T597" s="76" t="str">
        <f t="shared" si="114"/>
        <v>-- G834_疾患開始日</v>
      </c>
      <c r="U597" s="4" t="str">
        <f t="shared" si="115"/>
        <v>, CASE WHEN shikkan_disp_name = 'G834' THEN min_shikkan_start_date ::DATE ELSE NULL END AS shikkan584_start_date</v>
      </c>
      <c r="V597" s="25" t="str">
        <f t="shared" si="116"/>
        <v>, max(shikkan584_start_date)</v>
      </c>
      <c r="AA597" s="4"/>
      <c r="AB597" s="4"/>
      <c r="AC597" s="4"/>
      <c r="AD597" s="4"/>
      <c r="AE597" s="4"/>
      <c r="AF597" s="4"/>
      <c r="AG597" s="4"/>
      <c r="AH597" s="4"/>
      <c r="AI597" s="4"/>
      <c r="AJ597" s="76" t="str">
        <f>IF(E597="○",IF(COUNTA(E$13:E597)=1,"",",")&amp;D597,"")</f>
        <v/>
      </c>
      <c r="AK597" s="4"/>
      <c r="AL597" s="4"/>
      <c r="AM597" s="4"/>
      <c r="AN597" s="4"/>
      <c r="AO597" s="4"/>
      <c r="AP597" s="4"/>
      <c r="AQ597" s="4"/>
      <c r="AR597" s="4"/>
      <c r="AS597" s="76" t="str">
        <f>"COMMENT ON COLUMN "&amp;エンティティ一覧!$O$2&amp;"."&amp;D$8&amp;"."&amp;D597&amp;" IS '"&amp;C597&amp;"';"</f>
        <v>COMMENT ON COLUMN milscm_2023_009.sny_202310_annony_shikkan2.shikkan584_start_date IS 'G834_疾患開始日';</v>
      </c>
    </row>
    <row r="598" spans="1:45" s="25" customFormat="1">
      <c r="A598" s="4" t="s">
        <v>5676</v>
      </c>
      <c r="B598" s="21">
        <f t="shared" si="118"/>
        <v>586</v>
      </c>
      <c r="C598" s="13" t="str">
        <f t="shared" si="117"/>
        <v>G839_疾患開始日</v>
      </c>
      <c r="D598" s="13" t="s">
        <v>6245</v>
      </c>
      <c r="E598" s="8"/>
      <c r="F598" s="7" t="s">
        <v>4348</v>
      </c>
      <c r="G598" s="7" t="s">
        <v>25</v>
      </c>
      <c r="H598" s="58"/>
      <c r="I598" s="23"/>
      <c r="J598" s="24"/>
      <c r="M598" s="4"/>
      <c r="N598" s="76"/>
      <c r="O598" s="76"/>
      <c r="P598" s="76" t="str">
        <f t="shared" si="110"/>
        <v>,shikkan585_start_date</v>
      </c>
      <c r="Q598" s="76" t="str">
        <f t="shared" si="111"/>
        <v>DATE</v>
      </c>
      <c r="R598" s="76" t="str">
        <f t="shared" si="112"/>
        <v/>
      </c>
      <c r="S598" s="76" t="str">
        <f t="shared" si="113"/>
        <v/>
      </c>
      <c r="T598" s="76" t="str">
        <f t="shared" si="114"/>
        <v>-- G839_疾患開始日</v>
      </c>
      <c r="U598" s="4" t="str">
        <f t="shared" si="115"/>
        <v>, CASE WHEN shikkan_disp_name = 'G839' THEN min_shikkan_start_date ::DATE ELSE NULL END AS shikkan585_start_date</v>
      </c>
      <c r="V598" s="25" t="str">
        <f t="shared" si="116"/>
        <v>, max(shikkan585_start_date)</v>
      </c>
      <c r="AA598" s="4"/>
      <c r="AB598" s="4"/>
      <c r="AC598" s="4"/>
      <c r="AD598" s="4"/>
      <c r="AE598" s="4"/>
      <c r="AF598" s="4"/>
      <c r="AG598" s="4"/>
      <c r="AH598" s="4"/>
      <c r="AI598" s="4"/>
      <c r="AJ598" s="76" t="str">
        <f>IF(E598="○",IF(COUNTA(E$13:E598)=1,"",",")&amp;D598,"")</f>
        <v/>
      </c>
      <c r="AK598" s="4"/>
      <c r="AL598" s="4"/>
      <c r="AM598" s="4"/>
      <c r="AN598" s="4"/>
      <c r="AO598" s="4"/>
      <c r="AP598" s="4"/>
      <c r="AQ598" s="4"/>
      <c r="AR598" s="4"/>
      <c r="AS598" s="76" t="str">
        <f>"COMMENT ON COLUMN "&amp;エンティティ一覧!$O$2&amp;"."&amp;D$8&amp;"."&amp;D598&amp;" IS '"&amp;C598&amp;"';"</f>
        <v>COMMENT ON COLUMN milscm_2023_009.sny_202310_annony_shikkan2.shikkan585_start_date IS 'G839_疾患開始日';</v>
      </c>
    </row>
    <row r="599" spans="1:45" s="25" customFormat="1">
      <c r="A599" s="4" t="s">
        <v>5677</v>
      </c>
      <c r="B599" s="21">
        <f t="shared" si="118"/>
        <v>587</v>
      </c>
      <c r="C599" s="13" t="str">
        <f t="shared" si="117"/>
        <v>H340_疾患開始日</v>
      </c>
      <c r="D599" s="13" t="s">
        <v>6246</v>
      </c>
      <c r="E599" s="8"/>
      <c r="F599" s="7" t="s">
        <v>4348</v>
      </c>
      <c r="G599" s="7" t="s">
        <v>25</v>
      </c>
      <c r="H599" s="58"/>
      <c r="I599" s="23"/>
      <c r="J599" s="24"/>
      <c r="M599" s="4"/>
      <c r="N599" s="76"/>
      <c r="O599" s="76"/>
      <c r="P599" s="76" t="str">
        <f t="shared" si="110"/>
        <v>,shikkan586_start_date</v>
      </c>
      <c r="Q599" s="76" t="str">
        <f t="shared" si="111"/>
        <v>DATE</v>
      </c>
      <c r="R599" s="76" t="str">
        <f t="shared" si="112"/>
        <v/>
      </c>
      <c r="S599" s="76" t="str">
        <f t="shared" si="113"/>
        <v/>
      </c>
      <c r="T599" s="76" t="str">
        <f t="shared" si="114"/>
        <v>-- H340_疾患開始日</v>
      </c>
      <c r="U599" s="4" t="str">
        <f t="shared" si="115"/>
        <v>, CASE WHEN shikkan_disp_name = 'H340' THEN min_shikkan_start_date ::DATE ELSE NULL END AS shikkan586_start_date</v>
      </c>
      <c r="V599" s="25" t="str">
        <f t="shared" si="116"/>
        <v>, max(shikkan586_start_date)</v>
      </c>
      <c r="AA599" s="4"/>
      <c r="AB599" s="4"/>
      <c r="AC599" s="4"/>
      <c r="AD599" s="4"/>
      <c r="AE599" s="4"/>
      <c r="AF599" s="4"/>
      <c r="AG599" s="4"/>
      <c r="AH599" s="4"/>
      <c r="AI599" s="4"/>
      <c r="AJ599" s="76" t="str">
        <f>IF(E599="○",IF(COUNTA(E$13:E599)=1,"",",")&amp;D599,"")</f>
        <v/>
      </c>
      <c r="AK599" s="4"/>
      <c r="AL599" s="4"/>
      <c r="AM599" s="4"/>
      <c r="AN599" s="4"/>
      <c r="AO599" s="4"/>
      <c r="AP599" s="4"/>
      <c r="AQ599" s="4"/>
      <c r="AR599" s="4"/>
      <c r="AS599" s="76" t="str">
        <f>"COMMENT ON COLUMN "&amp;エンティティ一覧!$O$2&amp;"."&amp;D$8&amp;"."&amp;D599&amp;" IS '"&amp;C599&amp;"';"</f>
        <v>COMMENT ON COLUMN milscm_2023_009.sny_202310_annony_shikkan2.shikkan586_start_date IS 'H340_疾患開始日';</v>
      </c>
    </row>
    <row r="600" spans="1:45" s="25" customFormat="1">
      <c r="A600" s="4" t="s">
        <v>5678</v>
      </c>
      <c r="B600" s="21">
        <f t="shared" si="118"/>
        <v>588</v>
      </c>
      <c r="C600" s="13" t="str">
        <f t="shared" si="117"/>
        <v>I099_疾患開始日</v>
      </c>
      <c r="D600" s="13" t="s">
        <v>6247</v>
      </c>
      <c r="E600" s="8"/>
      <c r="F600" s="7" t="s">
        <v>4348</v>
      </c>
      <c r="G600" s="7" t="s">
        <v>25</v>
      </c>
      <c r="H600" s="58"/>
      <c r="I600" s="23"/>
      <c r="J600" s="24"/>
      <c r="M600" s="4"/>
      <c r="N600" s="76"/>
      <c r="O600" s="76"/>
      <c r="P600" s="76" t="str">
        <f t="shared" si="110"/>
        <v>,shikkan587_start_date</v>
      </c>
      <c r="Q600" s="76" t="str">
        <f t="shared" si="111"/>
        <v>DATE</v>
      </c>
      <c r="R600" s="76" t="str">
        <f t="shared" si="112"/>
        <v/>
      </c>
      <c r="S600" s="76" t="str">
        <f t="shared" si="113"/>
        <v/>
      </c>
      <c r="T600" s="76" t="str">
        <f t="shared" si="114"/>
        <v>-- I099_疾患開始日</v>
      </c>
      <c r="U600" s="4" t="str">
        <f t="shared" si="115"/>
        <v>, CASE WHEN shikkan_disp_name = 'I099' THEN min_shikkan_start_date ::DATE ELSE NULL END AS shikkan587_start_date</v>
      </c>
      <c r="V600" s="25" t="str">
        <f t="shared" si="116"/>
        <v>, max(shikkan587_start_date)</v>
      </c>
      <c r="AA600" s="4"/>
      <c r="AB600" s="4"/>
      <c r="AC600" s="4"/>
      <c r="AD600" s="4"/>
      <c r="AE600" s="4"/>
      <c r="AF600" s="4"/>
      <c r="AG600" s="4"/>
      <c r="AH600" s="4"/>
      <c r="AI600" s="4"/>
      <c r="AJ600" s="76" t="str">
        <f>IF(E600="○",IF(COUNTA(E$13:E600)=1,"",",")&amp;D600,"")</f>
        <v/>
      </c>
      <c r="AK600" s="4"/>
      <c r="AL600" s="4"/>
      <c r="AM600" s="4"/>
      <c r="AN600" s="4"/>
      <c r="AO600" s="4"/>
      <c r="AP600" s="4"/>
      <c r="AQ600" s="4"/>
      <c r="AR600" s="4"/>
      <c r="AS600" s="76" t="str">
        <f>"COMMENT ON COLUMN "&amp;エンティティ一覧!$O$2&amp;"."&amp;D$8&amp;"."&amp;D600&amp;" IS '"&amp;C600&amp;"';"</f>
        <v>COMMENT ON COLUMN milscm_2023_009.sny_202310_annony_shikkan2.shikkan587_start_date IS 'I099_疾患開始日';</v>
      </c>
    </row>
    <row r="601" spans="1:45" s="25" customFormat="1">
      <c r="A601" s="4" t="s">
        <v>5679</v>
      </c>
      <c r="B601" s="21">
        <f t="shared" si="118"/>
        <v>589</v>
      </c>
      <c r="C601" s="13" t="str">
        <f t="shared" si="117"/>
        <v>I110_疾患開始日</v>
      </c>
      <c r="D601" s="13" t="s">
        <v>6248</v>
      </c>
      <c r="E601" s="8"/>
      <c r="F601" s="7" t="s">
        <v>4348</v>
      </c>
      <c r="G601" s="7" t="s">
        <v>25</v>
      </c>
      <c r="H601" s="58"/>
      <c r="I601" s="23"/>
      <c r="J601" s="24"/>
      <c r="M601" s="4"/>
      <c r="N601" s="76"/>
      <c r="O601" s="76"/>
      <c r="P601" s="76" t="str">
        <f t="shared" si="110"/>
        <v>,shikkan588_start_date</v>
      </c>
      <c r="Q601" s="76" t="str">
        <f t="shared" si="111"/>
        <v>DATE</v>
      </c>
      <c r="R601" s="76" t="str">
        <f t="shared" si="112"/>
        <v/>
      </c>
      <c r="S601" s="76" t="str">
        <f t="shared" si="113"/>
        <v/>
      </c>
      <c r="T601" s="76" t="str">
        <f t="shared" si="114"/>
        <v>-- I110_疾患開始日</v>
      </c>
      <c r="U601" s="4" t="str">
        <f t="shared" si="115"/>
        <v>, CASE WHEN shikkan_disp_name = 'I110' THEN min_shikkan_start_date ::DATE ELSE NULL END AS shikkan588_start_date</v>
      </c>
      <c r="V601" s="25" t="str">
        <f t="shared" si="116"/>
        <v>, max(shikkan588_start_date)</v>
      </c>
      <c r="AA601" s="4"/>
      <c r="AB601" s="4"/>
      <c r="AC601" s="4"/>
      <c r="AD601" s="4"/>
      <c r="AE601" s="4"/>
      <c r="AF601" s="4"/>
      <c r="AG601" s="4"/>
      <c r="AH601" s="4"/>
      <c r="AI601" s="4"/>
      <c r="AJ601" s="76" t="str">
        <f>IF(E601="○",IF(COUNTA(E$13:E601)=1,"",",")&amp;D601,"")</f>
        <v/>
      </c>
      <c r="AK601" s="4"/>
      <c r="AL601" s="4"/>
      <c r="AM601" s="4"/>
      <c r="AN601" s="4"/>
      <c r="AO601" s="4"/>
      <c r="AP601" s="4"/>
      <c r="AQ601" s="4"/>
      <c r="AR601" s="4"/>
      <c r="AS601" s="76" t="str">
        <f>"COMMENT ON COLUMN "&amp;エンティティ一覧!$O$2&amp;"."&amp;D$8&amp;"."&amp;D601&amp;" IS '"&amp;C601&amp;"';"</f>
        <v>COMMENT ON COLUMN milscm_2023_009.sny_202310_annony_shikkan2.shikkan588_start_date IS 'I110_疾患開始日';</v>
      </c>
    </row>
    <row r="602" spans="1:45" s="25" customFormat="1">
      <c r="A602" s="4" t="s">
        <v>5680</v>
      </c>
      <c r="B602" s="21">
        <f t="shared" si="118"/>
        <v>590</v>
      </c>
      <c r="C602" s="13" t="str">
        <f t="shared" si="117"/>
        <v>I120_疾患開始日</v>
      </c>
      <c r="D602" s="13" t="s">
        <v>6249</v>
      </c>
      <c r="E602" s="8"/>
      <c r="F602" s="7" t="s">
        <v>4348</v>
      </c>
      <c r="G602" s="7" t="s">
        <v>25</v>
      </c>
      <c r="H602" s="58"/>
      <c r="I602" s="23"/>
      <c r="J602" s="24"/>
      <c r="M602" s="4"/>
      <c r="N602" s="76"/>
      <c r="O602" s="76"/>
      <c r="P602" s="76" t="str">
        <f t="shared" si="110"/>
        <v>,shikkan589_start_date</v>
      </c>
      <c r="Q602" s="76" t="str">
        <f t="shared" si="111"/>
        <v>DATE</v>
      </c>
      <c r="R602" s="76" t="str">
        <f t="shared" si="112"/>
        <v/>
      </c>
      <c r="S602" s="76" t="str">
        <f t="shared" si="113"/>
        <v/>
      </c>
      <c r="T602" s="76" t="str">
        <f t="shared" si="114"/>
        <v>-- I120_疾患開始日</v>
      </c>
      <c r="U602" s="4" t="str">
        <f t="shared" si="115"/>
        <v>, CASE WHEN shikkan_disp_name = 'I120' THEN min_shikkan_start_date ::DATE ELSE NULL END AS shikkan589_start_date</v>
      </c>
      <c r="V602" s="25" t="str">
        <f t="shared" si="116"/>
        <v>, max(shikkan589_start_date)</v>
      </c>
      <c r="AA602" s="4"/>
      <c r="AB602" s="4"/>
      <c r="AC602" s="4"/>
      <c r="AD602" s="4"/>
      <c r="AE602" s="4"/>
      <c r="AF602" s="4"/>
      <c r="AG602" s="4"/>
      <c r="AH602" s="4"/>
      <c r="AI602" s="4"/>
      <c r="AJ602" s="76" t="str">
        <f>IF(E602="○",IF(COUNTA(E$13:E602)=1,"",",")&amp;D602,"")</f>
        <v/>
      </c>
      <c r="AK602" s="4"/>
      <c r="AL602" s="4"/>
      <c r="AM602" s="4"/>
      <c r="AN602" s="4"/>
      <c r="AO602" s="4"/>
      <c r="AP602" s="4"/>
      <c r="AQ602" s="4"/>
      <c r="AR602" s="4"/>
      <c r="AS602" s="76" t="str">
        <f>"COMMENT ON COLUMN "&amp;エンティティ一覧!$O$2&amp;"."&amp;D$8&amp;"."&amp;D602&amp;" IS '"&amp;C602&amp;"';"</f>
        <v>COMMENT ON COLUMN milscm_2023_009.sny_202310_annony_shikkan2.shikkan589_start_date IS 'I120_疾患開始日';</v>
      </c>
    </row>
    <row r="603" spans="1:45" s="25" customFormat="1">
      <c r="A603" s="4" t="s">
        <v>5059</v>
      </c>
      <c r="B603" s="21">
        <f t="shared" si="118"/>
        <v>591</v>
      </c>
      <c r="C603" s="13" t="str">
        <f t="shared" si="117"/>
        <v>I130_疾患開始日</v>
      </c>
      <c r="D603" s="13" t="s">
        <v>6250</v>
      </c>
      <c r="E603" s="8"/>
      <c r="F603" s="7" t="s">
        <v>4348</v>
      </c>
      <c r="G603" s="7" t="s">
        <v>25</v>
      </c>
      <c r="H603" s="58"/>
      <c r="I603" s="23"/>
      <c r="J603" s="24"/>
      <c r="M603" s="4"/>
      <c r="N603" s="76"/>
      <c r="O603" s="76"/>
      <c r="P603" s="76" t="str">
        <f t="shared" si="110"/>
        <v>,shikkan590_start_date</v>
      </c>
      <c r="Q603" s="76" t="str">
        <f t="shared" si="111"/>
        <v>DATE</v>
      </c>
      <c r="R603" s="76" t="str">
        <f t="shared" si="112"/>
        <v/>
      </c>
      <c r="S603" s="76" t="str">
        <f t="shared" si="113"/>
        <v/>
      </c>
      <c r="T603" s="76" t="str">
        <f t="shared" si="114"/>
        <v>-- I130_疾患開始日</v>
      </c>
      <c r="U603" s="4" t="str">
        <f t="shared" si="115"/>
        <v>, CASE WHEN shikkan_disp_name = 'I130' THEN min_shikkan_start_date ::DATE ELSE NULL END AS shikkan590_start_date</v>
      </c>
      <c r="V603" s="25" t="str">
        <f t="shared" si="116"/>
        <v>, max(shikkan590_start_date)</v>
      </c>
      <c r="AA603" s="4"/>
      <c r="AB603" s="4"/>
      <c r="AC603" s="4"/>
      <c r="AD603" s="4"/>
      <c r="AE603" s="4"/>
      <c r="AF603" s="4"/>
      <c r="AG603" s="4"/>
      <c r="AH603" s="4"/>
      <c r="AI603" s="4"/>
      <c r="AJ603" s="76" t="str">
        <f>IF(E603="○",IF(COUNTA(E$13:E603)=1,"",",")&amp;D603,"")</f>
        <v/>
      </c>
      <c r="AK603" s="4"/>
      <c r="AL603" s="4"/>
      <c r="AM603" s="4"/>
      <c r="AN603" s="4"/>
      <c r="AO603" s="4"/>
      <c r="AP603" s="4"/>
      <c r="AQ603" s="4"/>
      <c r="AR603" s="4"/>
      <c r="AS603" s="76" t="str">
        <f>"COMMENT ON COLUMN "&amp;エンティティ一覧!$O$2&amp;"."&amp;D$8&amp;"."&amp;D603&amp;" IS '"&amp;C603&amp;"';"</f>
        <v>COMMENT ON COLUMN milscm_2023_009.sny_202310_annony_shikkan2.shikkan590_start_date IS 'I130_疾患開始日';</v>
      </c>
    </row>
    <row r="604" spans="1:45" s="25" customFormat="1">
      <c r="A604" s="4" t="s">
        <v>5137</v>
      </c>
      <c r="B604" s="21">
        <f t="shared" si="118"/>
        <v>592</v>
      </c>
      <c r="C604" s="13" t="str">
        <f t="shared" si="117"/>
        <v>I131_疾患開始日</v>
      </c>
      <c r="D604" s="13" t="s">
        <v>6251</v>
      </c>
      <c r="E604" s="8"/>
      <c r="F604" s="7" t="s">
        <v>4348</v>
      </c>
      <c r="G604" s="7" t="s">
        <v>99</v>
      </c>
      <c r="H604" s="58"/>
      <c r="I604" s="23"/>
      <c r="J604" s="24"/>
      <c r="M604" s="4"/>
      <c r="N604" s="76"/>
      <c r="O604" s="76"/>
      <c r="P604" s="76" t="str">
        <f t="shared" si="110"/>
        <v>,shikkan591_start_date</v>
      </c>
      <c r="Q604" s="76" t="str">
        <f t="shared" si="111"/>
        <v>DATE</v>
      </c>
      <c r="R604" s="76" t="str">
        <f t="shared" si="112"/>
        <v/>
      </c>
      <c r="S604" s="76" t="str">
        <f t="shared" si="113"/>
        <v/>
      </c>
      <c r="T604" s="76" t="str">
        <f t="shared" si="114"/>
        <v>-- I131_疾患開始日</v>
      </c>
      <c r="U604" s="4" t="str">
        <f t="shared" si="115"/>
        <v>, CASE WHEN shikkan_disp_name = 'I131' THEN min_shikkan_start_date ::DATE ELSE NULL END AS shikkan591_start_date</v>
      </c>
      <c r="V604" s="25" t="str">
        <f t="shared" si="116"/>
        <v>, max(shikkan591_start_date)</v>
      </c>
      <c r="AA604" s="4"/>
      <c r="AB604" s="4"/>
      <c r="AC604" s="4"/>
      <c r="AD604" s="4"/>
      <c r="AE604" s="4"/>
      <c r="AF604" s="4"/>
      <c r="AG604" s="4"/>
      <c r="AH604" s="4"/>
      <c r="AI604" s="4"/>
      <c r="AJ604" s="76" t="str">
        <f>IF(E604="○",IF(COUNTA(E$13:E604)=1,"",",")&amp;D604,"")</f>
        <v/>
      </c>
      <c r="AK604" s="4"/>
      <c r="AL604" s="4"/>
      <c r="AM604" s="4"/>
      <c r="AN604" s="4"/>
      <c r="AO604" s="4"/>
      <c r="AP604" s="4"/>
      <c r="AQ604" s="4"/>
      <c r="AR604" s="4"/>
      <c r="AS604" s="76" t="str">
        <f>"COMMENT ON COLUMN "&amp;エンティティ一覧!$O$2&amp;"."&amp;D$8&amp;"."&amp;D604&amp;" IS '"&amp;C604&amp;"';"</f>
        <v>COMMENT ON COLUMN milscm_2023_009.sny_202310_annony_shikkan2.shikkan591_start_date IS 'I131_疾患開始日';</v>
      </c>
    </row>
    <row r="605" spans="1:45" s="25" customFormat="1">
      <c r="A605" s="4" t="s">
        <v>5060</v>
      </c>
      <c r="B605" s="21">
        <f t="shared" si="118"/>
        <v>593</v>
      </c>
      <c r="C605" s="13" t="str">
        <f t="shared" si="117"/>
        <v>I132_疾患開始日</v>
      </c>
      <c r="D605" s="13" t="s">
        <v>6252</v>
      </c>
      <c r="E605" s="8"/>
      <c r="F605" s="7" t="s">
        <v>4348</v>
      </c>
      <c r="G605" s="7" t="s">
        <v>25</v>
      </c>
      <c r="H605" s="58"/>
      <c r="I605" s="23"/>
      <c r="J605" s="24"/>
      <c r="M605" s="4"/>
      <c r="N605" s="76"/>
      <c r="O605" s="76"/>
      <c r="P605" s="76" t="str">
        <f t="shared" si="110"/>
        <v>,shikkan592_start_date</v>
      </c>
      <c r="Q605" s="76" t="str">
        <f t="shared" si="111"/>
        <v>DATE</v>
      </c>
      <c r="R605" s="76" t="str">
        <f t="shared" si="112"/>
        <v/>
      </c>
      <c r="S605" s="76" t="str">
        <f t="shared" si="113"/>
        <v/>
      </c>
      <c r="T605" s="76" t="str">
        <f t="shared" si="114"/>
        <v>-- I132_疾患開始日</v>
      </c>
      <c r="U605" s="4" t="str">
        <f t="shared" si="115"/>
        <v>, CASE WHEN shikkan_disp_name = 'I132' THEN min_shikkan_start_date ::DATE ELSE NULL END AS shikkan592_start_date</v>
      </c>
      <c r="V605" s="25" t="str">
        <f t="shared" si="116"/>
        <v>, max(shikkan592_start_date)</v>
      </c>
      <c r="AA605" s="4"/>
      <c r="AB605" s="4"/>
      <c r="AC605" s="4"/>
      <c r="AD605" s="4"/>
      <c r="AE605" s="4"/>
      <c r="AF605" s="4"/>
      <c r="AG605" s="4"/>
      <c r="AH605" s="4"/>
      <c r="AI605" s="4"/>
      <c r="AJ605" s="76" t="str">
        <f>IF(E605="○",IF(COUNTA(E$13:E605)=1,"",",")&amp;D605,"")</f>
        <v/>
      </c>
      <c r="AK605" s="4"/>
      <c r="AL605" s="4"/>
      <c r="AM605" s="4"/>
      <c r="AN605" s="4"/>
      <c r="AO605" s="4"/>
      <c r="AP605" s="4"/>
      <c r="AQ605" s="4"/>
      <c r="AR605" s="4"/>
      <c r="AS605" s="76" t="str">
        <f>"COMMENT ON COLUMN "&amp;エンティティ一覧!$O$2&amp;"."&amp;D$8&amp;"."&amp;D605&amp;" IS '"&amp;C605&amp;"';"</f>
        <v>COMMENT ON COLUMN milscm_2023_009.sny_202310_annony_shikkan2.shikkan592_start_date IS 'I132_疾患開始日';</v>
      </c>
    </row>
    <row r="606" spans="1:45" s="25" customFormat="1">
      <c r="A606" s="4" t="s">
        <v>5681</v>
      </c>
      <c r="B606" s="21">
        <f t="shared" si="118"/>
        <v>594</v>
      </c>
      <c r="C606" s="13" t="str">
        <f t="shared" si="117"/>
        <v>I210_疾患開始日</v>
      </c>
      <c r="D606" s="13" t="s">
        <v>6253</v>
      </c>
      <c r="E606" s="8"/>
      <c r="F606" s="7" t="s">
        <v>4348</v>
      </c>
      <c r="G606" s="7" t="s">
        <v>25</v>
      </c>
      <c r="H606" s="58"/>
      <c r="I606" s="23"/>
      <c r="J606" s="24"/>
      <c r="M606" s="4"/>
      <c r="N606" s="76"/>
      <c r="O606" s="76"/>
      <c r="P606" s="76" t="str">
        <f t="shared" si="110"/>
        <v>,shikkan593_start_date</v>
      </c>
      <c r="Q606" s="76" t="str">
        <f t="shared" si="111"/>
        <v>DATE</v>
      </c>
      <c r="R606" s="76" t="str">
        <f t="shared" si="112"/>
        <v/>
      </c>
      <c r="S606" s="76" t="str">
        <f t="shared" si="113"/>
        <v/>
      </c>
      <c r="T606" s="76" t="str">
        <f t="shared" si="114"/>
        <v>-- I210_疾患開始日</v>
      </c>
      <c r="U606" s="4" t="str">
        <f t="shared" si="115"/>
        <v>, CASE WHEN shikkan_disp_name = 'I210' THEN min_shikkan_start_date ::DATE ELSE NULL END AS shikkan593_start_date</v>
      </c>
      <c r="V606" s="25" t="str">
        <f t="shared" si="116"/>
        <v>, max(shikkan593_start_date)</v>
      </c>
      <c r="AA606" s="4"/>
      <c r="AB606" s="4"/>
      <c r="AC606" s="4"/>
      <c r="AD606" s="4"/>
      <c r="AE606" s="4"/>
      <c r="AF606" s="4"/>
      <c r="AG606" s="4"/>
      <c r="AH606" s="4"/>
      <c r="AI606" s="4"/>
      <c r="AJ606" s="76" t="str">
        <f>IF(E606="○",IF(COUNTA(E$13:E606)=1,"",",")&amp;D606,"")</f>
        <v/>
      </c>
      <c r="AK606" s="4"/>
      <c r="AL606" s="4"/>
      <c r="AM606" s="4"/>
      <c r="AN606" s="4"/>
      <c r="AO606" s="4"/>
      <c r="AP606" s="4"/>
      <c r="AQ606" s="4"/>
      <c r="AR606" s="4"/>
      <c r="AS606" s="76" t="str">
        <f>"COMMENT ON COLUMN "&amp;エンティティ一覧!$O$2&amp;"."&amp;D$8&amp;"."&amp;D606&amp;" IS '"&amp;C606&amp;"';"</f>
        <v>COMMENT ON COLUMN milscm_2023_009.sny_202310_annony_shikkan2.shikkan593_start_date IS 'I210_疾患開始日';</v>
      </c>
    </row>
    <row r="607" spans="1:45" s="25" customFormat="1">
      <c r="A607" s="4" t="s">
        <v>5682</v>
      </c>
      <c r="B607" s="21">
        <f t="shared" si="118"/>
        <v>595</v>
      </c>
      <c r="C607" s="13" t="str">
        <f t="shared" si="117"/>
        <v>I211_疾患開始日</v>
      </c>
      <c r="D607" s="13" t="s">
        <v>6254</v>
      </c>
      <c r="E607" s="8"/>
      <c r="F607" s="7" t="s">
        <v>4348</v>
      </c>
      <c r="G607" s="7" t="s">
        <v>25</v>
      </c>
      <c r="H607" s="58"/>
      <c r="I607" s="23"/>
      <c r="J607" s="24"/>
      <c r="M607" s="4"/>
      <c r="N607" s="76"/>
      <c r="O607" s="76"/>
      <c r="P607" s="76" t="str">
        <f t="shared" si="110"/>
        <v>,shikkan594_start_date</v>
      </c>
      <c r="Q607" s="76" t="str">
        <f t="shared" si="111"/>
        <v>DATE</v>
      </c>
      <c r="R607" s="76" t="str">
        <f t="shared" si="112"/>
        <v/>
      </c>
      <c r="S607" s="76" t="str">
        <f t="shared" si="113"/>
        <v/>
      </c>
      <c r="T607" s="76" t="str">
        <f t="shared" si="114"/>
        <v>-- I211_疾患開始日</v>
      </c>
      <c r="U607" s="4" t="str">
        <f t="shared" si="115"/>
        <v>, CASE WHEN shikkan_disp_name = 'I211' THEN min_shikkan_start_date ::DATE ELSE NULL END AS shikkan594_start_date</v>
      </c>
      <c r="V607" s="25" t="str">
        <f t="shared" si="116"/>
        <v>, max(shikkan594_start_date)</v>
      </c>
      <c r="AA607" s="4"/>
      <c r="AB607" s="4"/>
      <c r="AC607" s="4"/>
      <c r="AD607" s="4"/>
      <c r="AE607" s="4"/>
      <c r="AF607" s="4"/>
      <c r="AG607" s="4"/>
      <c r="AH607" s="4"/>
      <c r="AI607" s="4"/>
      <c r="AJ607" s="76" t="str">
        <f>IF(E607="○",IF(COUNTA(E$13:E607)=1,"",",")&amp;D607,"")</f>
        <v/>
      </c>
      <c r="AK607" s="4"/>
      <c r="AL607" s="4"/>
      <c r="AM607" s="4"/>
      <c r="AN607" s="4"/>
      <c r="AO607" s="4"/>
      <c r="AP607" s="4"/>
      <c r="AQ607" s="4"/>
      <c r="AR607" s="4"/>
      <c r="AS607" s="76" t="str">
        <f>"COMMENT ON COLUMN "&amp;エンティティ一覧!$O$2&amp;"."&amp;D$8&amp;"."&amp;D607&amp;" IS '"&amp;C607&amp;"';"</f>
        <v>COMMENT ON COLUMN milscm_2023_009.sny_202310_annony_shikkan2.shikkan594_start_date IS 'I211_疾患開始日';</v>
      </c>
    </row>
    <row r="608" spans="1:45" s="25" customFormat="1">
      <c r="A608" s="4" t="s">
        <v>5683</v>
      </c>
      <c r="B608" s="21">
        <f t="shared" si="118"/>
        <v>596</v>
      </c>
      <c r="C608" s="13" t="str">
        <f t="shared" si="117"/>
        <v>I212_疾患開始日</v>
      </c>
      <c r="D608" s="13" t="s">
        <v>6255</v>
      </c>
      <c r="E608" s="8"/>
      <c r="F608" s="7" t="s">
        <v>4348</v>
      </c>
      <c r="G608" s="7" t="s">
        <v>25</v>
      </c>
      <c r="H608" s="58"/>
      <c r="I608" s="23"/>
      <c r="J608" s="24"/>
      <c r="M608" s="4"/>
      <c r="N608" s="76"/>
      <c r="O608" s="76"/>
      <c r="P608" s="76" t="str">
        <f t="shared" si="110"/>
        <v>,shikkan595_start_date</v>
      </c>
      <c r="Q608" s="76" t="str">
        <f t="shared" si="111"/>
        <v>DATE</v>
      </c>
      <c r="R608" s="76" t="str">
        <f t="shared" si="112"/>
        <v/>
      </c>
      <c r="S608" s="76" t="str">
        <f t="shared" si="113"/>
        <v/>
      </c>
      <c r="T608" s="76" t="str">
        <f t="shared" si="114"/>
        <v>-- I212_疾患開始日</v>
      </c>
      <c r="U608" s="4" t="str">
        <f t="shared" si="115"/>
        <v>, CASE WHEN shikkan_disp_name = 'I212' THEN min_shikkan_start_date ::DATE ELSE NULL END AS shikkan595_start_date</v>
      </c>
      <c r="V608" s="25" t="str">
        <f t="shared" si="116"/>
        <v>, max(shikkan595_start_date)</v>
      </c>
      <c r="AA608" s="4"/>
      <c r="AB608" s="4"/>
      <c r="AC608" s="4"/>
      <c r="AD608" s="4"/>
      <c r="AE608" s="4"/>
      <c r="AF608" s="4"/>
      <c r="AG608" s="4"/>
      <c r="AH608" s="4"/>
      <c r="AI608" s="4"/>
      <c r="AJ608" s="76" t="str">
        <f>IF(E608="○",IF(COUNTA(E$13:E608)=1,"",",")&amp;D608,"")</f>
        <v/>
      </c>
      <c r="AK608" s="4"/>
      <c r="AL608" s="4"/>
      <c r="AM608" s="4"/>
      <c r="AN608" s="4"/>
      <c r="AO608" s="4"/>
      <c r="AP608" s="4"/>
      <c r="AQ608" s="4"/>
      <c r="AR608" s="4"/>
      <c r="AS608" s="76" t="str">
        <f>"COMMENT ON COLUMN "&amp;エンティティ一覧!$O$2&amp;"."&amp;D$8&amp;"."&amp;D608&amp;" IS '"&amp;C608&amp;"';"</f>
        <v>COMMENT ON COLUMN milscm_2023_009.sny_202310_annony_shikkan2.shikkan595_start_date IS 'I212_疾患開始日';</v>
      </c>
    </row>
    <row r="609" spans="1:45" s="25" customFormat="1">
      <c r="A609" s="4" t="s">
        <v>5684</v>
      </c>
      <c r="B609" s="21">
        <f t="shared" si="118"/>
        <v>597</v>
      </c>
      <c r="C609" s="13" t="str">
        <f t="shared" si="117"/>
        <v>I213_疾患開始日</v>
      </c>
      <c r="D609" s="13" t="s">
        <v>6256</v>
      </c>
      <c r="E609" s="8"/>
      <c r="F609" s="7" t="s">
        <v>4348</v>
      </c>
      <c r="G609" s="7" t="s">
        <v>25</v>
      </c>
      <c r="H609" s="58"/>
      <c r="I609" s="23"/>
      <c r="J609" s="24"/>
      <c r="M609" s="4"/>
      <c r="N609" s="76"/>
      <c r="O609" s="76"/>
      <c r="P609" s="76" t="str">
        <f t="shared" si="110"/>
        <v>,shikkan596_start_date</v>
      </c>
      <c r="Q609" s="76" t="str">
        <f t="shared" si="111"/>
        <v>DATE</v>
      </c>
      <c r="R609" s="76" t="str">
        <f t="shared" si="112"/>
        <v/>
      </c>
      <c r="S609" s="76" t="str">
        <f t="shared" si="113"/>
        <v/>
      </c>
      <c r="T609" s="76" t="str">
        <f t="shared" si="114"/>
        <v>-- I213_疾患開始日</v>
      </c>
      <c r="U609" s="4" t="str">
        <f t="shared" si="115"/>
        <v>, CASE WHEN shikkan_disp_name = 'I213' THEN min_shikkan_start_date ::DATE ELSE NULL END AS shikkan596_start_date</v>
      </c>
      <c r="V609" s="25" t="str">
        <f t="shared" si="116"/>
        <v>, max(shikkan596_start_date)</v>
      </c>
      <c r="AA609" s="4"/>
      <c r="AB609" s="4"/>
      <c r="AC609" s="4"/>
      <c r="AD609" s="4"/>
      <c r="AE609" s="4"/>
      <c r="AF609" s="4"/>
      <c r="AG609" s="4"/>
      <c r="AH609" s="4"/>
      <c r="AI609" s="4"/>
      <c r="AJ609" s="76" t="str">
        <f>IF(E609="○",IF(COUNTA(E$13:E609)=1,"",",")&amp;D609,"")</f>
        <v/>
      </c>
      <c r="AK609" s="4"/>
      <c r="AL609" s="4"/>
      <c r="AM609" s="4"/>
      <c r="AN609" s="4"/>
      <c r="AO609" s="4"/>
      <c r="AP609" s="4"/>
      <c r="AQ609" s="4"/>
      <c r="AR609" s="4"/>
      <c r="AS609" s="76" t="str">
        <f>"COMMENT ON COLUMN "&amp;エンティティ一覧!$O$2&amp;"."&amp;D$8&amp;"."&amp;D609&amp;" IS '"&amp;C609&amp;"';"</f>
        <v>COMMENT ON COLUMN milscm_2023_009.sny_202310_annony_shikkan2.shikkan596_start_date IS 'I213_疾患開始日';</v>
      </c>
    </row>
    <row r="610" spans="1:45" s="25" customFormat="1">
      <c r="A610" s="4" t="s">
        <v>5685</v>
      </c>
      <c r="B610" s="21">
        <f t="shared" si="118"/>
        <v>598</v>
      </c>
      <c r="C610" s="13" t="str">
        <f t="shared" si="117"/>
        <v>I214_疾患開始日</v>
      </c>
      <c r="D610" s="13" t="s">
        <v>6257</v>
      </c>
      <c r="E610" s="8"/>
      <c r="F610" s="7" t="s">
        <v>4348</v>
      </c>
      <c r="G610" s="7" t="s">
        <v>25</v>
      </c>
      <c r="H610" s="58"/>
      <c r="I610" s="23"/>
      <c r="J610" s="24"/>
      <c r="M610" s="4"/>
      <c r="N610" s="76"/>
      <c r="O610" s="76"/>
      <c r="P610" s="76" t="str">
        <f t="shared" si="110"/>
        <v>,shikkan597_start_date</v>
      </c>
      <c r="Q610" s="76" t="str">
        <f t="shared" si="111"/>
        <v>DATE</v>
      </c>
      <c r="R610" s="76" t="str">
        <f t="shared" si="112"/>
        <v/>
      </c>
      <c r="S610" s="76" t="str">
        <f t="shared" si="113"/>
        <v/>
      </c>
      <c r="T610" s="76" t="str">
        <f t="shared" si="114"/>
        <v>-- I214_疾患開始日</v>
      </c>
      <c r="U610" s="4" t="str">
        <f t="shared" si="115"/>
        <v>, CASE WHEN shikkan_disp_name = 'I214' THEN min_shikkan_start_date ::DATE ELSE NULL END AS shikkan597_start_date</v>
      </c>
      <c r="V610" s="25" t="str">
        <f t="shared" si="116"/>
        <v>, max(shikkan597_start_date)</v>
      </c>
      <c r="AA610" s="4"/>
      <c r="AB610" s="4"/>
      <c r="AC610" s="4"/>
      <c r="AD610" s="4"/>
      <c r="AE610" s="4"/>
      <c r="AF610" s="4"/>
      <c r="AG610" s="4"/>
      <c r="AH610" s="4"/>
      <c r="AI610" s="4"/>
      <c r="AJ610" s="76" t="str">
        <f>IF(E610="○",IF(COUNTA(E$13:E610)=1,"",",")&amp;D610,"")</f>
        <v/>
      </c>
      <c r="AK610" s="4"/>
      <c r="AL610" s="4"/>
      <c r="AM610" s="4"/>
      <c r="AN610" s="4"/>
      <c r="AO610" s="4"/>
      <c r="AP610" s="4"/>
      <c r="AQ610" s="4"/>
      <c r="AR610" s="4"/>
      <c r="AS610" s="76" t="str">
        <f>"COMMENT ON COLUMN "&amp;エンティティ一覧!$O$2&amp;"."&amp;D$8&amp;"."&amp;D610&amp;" IS '"&amp;C610&amp;"';"</f>
        <v>COMMENT ON COLUMN milscm_2023_009.sny_202310_annony_shikkan2.shikkan597_start_date IS 'I214_疾患開始日';</v>
      </c>
    </row>
    <row r="611" spans="1:45" s="25" customFormat="1">
      <c r="A611" s="4" t="s">
        <v>5686</v>
      </c>
      <c r="B611" s="21">
        <f t="shared" si="118"/>
        <v>599</v>
      </c>
      <c r="C611" s="13" t="str">
        <f t="shared" si="117"/>
        <v>I219_疾患開始日</v>
      </c>
      <c r="D611" s="13" t="s">
        <v>6258</v>
      </c>
      <c r="E611" s="8"/>
      <c r="F611" s="7" t="s">
        <v>4348</v>
      </c>
      <c r="G611" s="7" t="s">
        <v>25</v>
      </c>
      <c r="H611" s="58"/>
      <c r="I611" s="23"/>
      <c r="J611" s="24"/>
      <c r="M611" s="4"/>
      <c r="N611" s="76"/>
      <c r="O611" s="76"/>
      <c r="P611" s="76" t="str">
        <f t="shared" si="110"/>
        <v>,shikkan598_start_date</v>
      </c>
      <c r="Q611" s="76" t="str">
        <f t="shared" si="111"/>
        <v>DATE</v>
      </c>
      <c r="R611" s="76" t="str">
        <f t="shared" si="112"/>
        <v/>
      </c>
      <c r="S611" s="76" t="str">
        <f t="shared" si="113"/>
        <v/>
      </c>
      <c r="T611" s="76" t="str">
        <f t="shared" si="114"/>
        <v>-- I219_疾患開始日</v>
      </c>
      <c r="U611" s="4" t="str">
        <f t="shared" si="115"/>
        <v>, CASE WHEN shikkan_disp_name = 'I219' THEN min_shikkan_start_date ::DATE ELSE NULL END AS shikkan598_start_date</v>
      </c>
      <c r="V611" s="25" t="str">
        <f t="shared" si="116"/>
        <v>, max(shikkan598_start_date)</v>
      </c>
      <c r="AA611" s="4"/>
      <c r="AB611" s="4"/>
      <c r="AC611" s="4"/>
      <c r="AD611" s="4"/>
      <c r="AE611" s="4"/>
      <c r="AF611" s="4"/>
      <c r="AG611" s="4"/>
      <c r="AH611" s="4"/>
      <c r="AI611" s="4"/>
      <c r="AJ611" s="76" t="str">
        <f>IF(E611="○",IF(COUNTA(E$13:E611)=1,"",",")&amp;D611,"")</f>
        <v/>
      </c>
      <c r="AK611" s="4"/>
      <c r="AL611" s="4"/>
      <c r="AM611" s="4"/>
      <c r="AN611" s="4"/>
      <c r="AO611" s="4"/>
      <c r="AP611" s="4"/>
      <c r="AQ611" s="4"/>
      <c r="AR611" s="4"/>
      <c r="AS611" s="76" t="str">
        <f>"COMMENT ON COLUMN "&amp;エンティティ一覧!$O$2&amp;"."&amp;D$8&amp;"."&amp;D611&amp;" IS '"&amp;C611&amp;"';"</f>
        <v>COMMENT ON COLUMN milscm_2023_009.sny_202310_annony_shikkan2.shikkan598_start_date IS 'I219_疾患開始日';</v>
      </c>
    </row>
    <row r="612" spans="1:45" s="25" customFormat="1">
      <c r="A612" s="4" t="s">
        <v>5687</v>
      </c>
      <c r="B612" s="21">
        <f t="shared" si="118"/>
        <v>600</v>
      </c>
      <c r="C612" s="13" t="str">
        <f t="shared" si="117"/>
        <v>I220_疾患開始日</v>
      </c>
      <c r="D612" s="13" t="s">
        <v>6259</v>
      </c>
      <c r="E612" s="8"/>
      <c r="F612" s="7" t="s">
        <v>4348</v>
      </c>
      <c r="G612" s="7" t="s">
        <v>25</v>
      </c>
      <c r="H612" s="58"/>
      <c r="I612" s="23"/>
      <c r="J612" s="24"/>
      <c r="M612" s="4"/>
      <c r="N612" s="76"/>
      <c r="O612" s="76"/>
      <c r="P612" s="76" t="str">
        <f t="shared" si="110"/>
        <v>,shikkan599_start_date</v>
      </c>
      <c r="Q612" s="76" t="str">
        <f t="shared" si="111"/>
        <v>DATE</v>
      </c>
      <c r="R612" s="76" t="str">
        <f t="shared" si="112"/>
        <v/>
      </c>
      <c r="S612" s="76" t="str">
        <f t="shared" si="113"/>
        <v/>
      </c>
      <c r="T612" s="76" t="str">
        <f t="shared" si="114"/>
        <v>-- I220_疾患開始日</v>
      </c>
      <c r="U612" s="4" t="str">
        <f t="shared" si="115"/>
        <v>, CASE WHEN shikkan_disp_name = 'I220' THEN min_shikkan_start_date ::DATE ELSE NULL END AS shikkan599_start_date</v>
      </c>
      <c r="V612" s="25" t="str">
        <f t="shared" si="116"/>
        <v>, max(shikkan599_start_date)</v>
      </c>
      <c r="AA612" s="4"/>
      <c r="AB612" s="4"/>
      <c r="AC612" s="4"/>
      <c r="AD612" s="4"/>
      <c r="AE612" s="4"/>
      <c r="AF612" s="4"/>
      <c r="AG612" s="4"/>
      <c r="AH612" s="4"/>
      <c r="AI612" s="4"/>
      <c r="AJ612" s="76" t="str">
        <f>IF(E612="○",IF(COUNTA(E$13:E612)=1,"",",")&amp;D612,"")</f>
        <v/>
      </c>
      <c r="AK612" s="4"/>
      <c r="AL612" s="4"/>
      <c r="AM612" s="4"/>
      <c r="AN612" s="4"/>
      <c r="AO612" s="4"/>
      <c r="AP612" s="4"/>
      <c r="AQ612" s="4"/>
      <c r="AR612" s="4"/>
      <c r="AS612" s="76" t="str">
        <f>"COMMENT ON COLUMN "&amp;エンティティ一覧!$O$2&amp;"."&amp;D$8&amp;"."&amp;D612&amp;" IS '"&amp;C612&amp;"';"</f>
        <v>COMMENT ON COLUMN milscm_2023_009.sny_202310_annony_shikkan2.shikkan599_start_date IS 'I220_疾患開始日';</v>
      </c>
    </row>
    <row r="613" spans="1:45" s="25" customFormat="1">
      <c r="A613" s="4" t="s">
        <v>5688</v>
      </c>
      <c r="B613" s="21">
        <f t="shared" si="118"/>
        <v>601</v>
      </c>
      <c r="C613" s="13" t="str">
        <f t="shared" si="117"/>
        <v>I221_疾患開始日</v>
      </c>
      <c r="D613" s="13" t="s">
        <v>6260</v>
      </c>
      <c r="E613" s="8"/>
      <c r="F613" s="7" t="s">
        <v>4348</v>
      </c>
      <c r="G613" s="7" t="s">
        <v>25</v>
      </c>
      <c r="H613" s="58"/>
      <c r="I613" s="23"/>
      <c r="J613" s="24"/>
      <c r="M613" s="4"/>
      <c r="N613" s="76"/>
      <c r="O613" s="76"/>
      <c r="P613" s="76" t="str">
        <f t="shared" si="110"/>
        <v>,shikkan600_start_date</v>
      </c>
      <c r="Q613" s="76" t="str">
        <f t="shared" si="111"/>
        <v>DATE</v>
      </c>
      <c r="R613" s="76" t="str">
        <f t="shared" si="112"/>
        <v/>
      </c>
      <c r="S613" s="76" t="str">
        <f t="shared" si="113"/>
        <v/>
      </c>
      <c r="T613" s="76" t="str">
        <f t="shared" si="114"/>
        <v>-- I221_疾患開始日</v>
      </c>
      <c r="U613" s="4" t="str">
        <f t="shared" si="115"/>
        <v>, CASE WHEN shikkan_disp_name = 'I221' THEN min_shikkan_start_date ::DATE ELSE NULL END AS shikkan600_start_date</v>
      </c>
      <c r="V613" s="25" t="str">
        <f t="shared" si="116"/>
        <v>, max(shikkan600_start_date)</v>
      </c>
      <c r="AA613" s="4"/>
      <c r="AB613" s="4"/>
      <c r="AC613" s="4"/>
      <c r="AD613" s="4"/>
      <c r="AE613" s="4"/>
      <c r="AF613" s="4"/>
      <c r="AG613" s="4"/>
      <c r="AH613" s="4"/>
      <c r="AI613" s="4"/>
      <c r="AJ613" s="76" t="str">
        <f>IF(E613="○",IF(COUNTA(E$13:E613)=1,"",",")&amp;D613,"")</f>
        <v/>
      </c>
      <c r="AK613" s="4"/>
      <c r="AL613" s="4"/>
      <c r="AM613" s="4"/>
      <c r="AN613" s="4"/>
      <c r="AO613" s="4"/>
      <c r="AP613" s="4"/>
      <c r="AQ613" s="4"/>
      <c r="AR613" s="4"/>
      <c r="AS613" s="76" t="str">
        <f>"COMMENT ON COLUMN "&amp;エンティティ一覧!$O$2&amp;"."&amp;D$8&amp;"."&amp;D613&amp;" IS '"&amp;C613&amp;"';"</f>
        <v>COMMENT ON COLUMN milscm_2023_009.sny_202310_annony_shikkan2.shikkan600_start_date IS 'I221_疾患開始日';</v>
      </c>
    </row>
    <row r="614" spans="1:45" s="25" customFormat="1">
      <c r="A614" s="4" t="s">
        <v>5689</v>
      </c>
      <c r="B614" s="21">
        <f t="shared" si="118"/>
        <v>602</v>
      </c>
      <c r="C614" s="13" t="str">
        <f t="shared" si="117"/>
        <v>I228_疾患開始日</v>
      </c>
      <c r="D614" s="13" t="s">
        <v>6261</v>
      </c>
      <c r="E614" s="8"/>
      <c r="F614" s="7" t="s">
        <v>4348</v>
      </c>
      <c r="G614" s="7" t="s">
        <v>25</v>
      </c>
      <c r="H614" s="58"/>
      <c r="I614" s="23"/>
      <c r="J614" s="24"/>
      <c r="M614" s="4"/>
      <c r="N614" s="76"/>
      <c r="O614" s="76"/>
      <c r="P614" s="76" t="str">
        <f t="shared" ref="P614:P677" si="119">IF(B614&lt;&gt;1,","&amp;D614,D614)</f>
        <v>,shikkan601_start_date</v>
      </c>
      <c r="Q614" s="76" t="str">
        <f t="shared" ref="Q614:Q677" si="120">UPPER(G614)</f>
        <v>DATE</v>
      </c>
      <c r="R614" s="76" t="str">
        <f t="shared" ref="R614:R677" si="121">IF(H614&lt;&gt;"","default "&amp;IF(G614="text","'"&amp;H614&amp;"'",H614),"")</f>
        <v/>
      </c>
      <c r="S614" s="76" t="str">
        <f t="shared" ref="S614:S677" si="122">IF(I614="○","NOT NULL","")</f>
        <v/>
      </c>
      <c r="T614" s="76" t="str">
        <f t="shared" ref="T614:T677" si="123">"-- "&amp;C614</f>
        <v>-- I228_疾患開始日</v>
      </c>
      <c r="U614" s="4" t="str">
        <f t="shared" si="115"/>
        <v>, CASE WHEN shikkan_disp_name = 'I228' THEN min_shikkan_start_date ::DATE ELSE NULL END AS shikkan601_start_date</v>
      </c>
      <c r="V614" s="25" t="str">
        <f t="shared" si="116"/>
        <v>, max(shikkan601_start_date)</v>
      </c>
      <c r="AA614" s="4"/>
      <c r="AB614" s="4"/>
      <c r="AC614" s="4"/>
      <c r="AD614" s="4"/>
      <c r="AE614" s="4"/>
      <c r="AF614" s="4"/>
      <c r="AG614" s="4"/>
      <c r="AH614" s="4"/>
      <c r="AI614" s="4"/>
      <c r="AJ614" s="76" t="str">
        <f>IF(E614="○",IF(COUNTA(E$13:E614)=1,"",",")&amp;D614,"")</f>
        <v/>
      </c>
      <c r="AK614" s="4"/>
      <c r="AL614" s="4"/>
      <c r="AM614" s="4"/>
      <c r="AN614" s="4"/>
      <c r="AO614" s="4"/>
      <c r="AP614" s="4"/>
      <c r="AQ614" s="4"/>
      <c r="AR614" s="4"/>
      <c r="AS614" s="76" t="str">
        <f>"COMMENT ON COLUMN "&amp;エンティティ一覧!$O$2&amp;"."&amp;D$8&amp;"."&amp;D614&amp;" IS '"&amp;C614&amp;"';"</f>
        <v>COMMENT ON COLUMN milscm_2023_009.sny_202310_annony_shikkan2.shikkan601_start_date IS 'I228_疾患開始日';</v>
      </c>
    </row>
    <row r="615" spans="1:45" s="25" customFormat="1">
      <c r="A615" s="4" t="s">
        <v>5690</v>
      </c>
      <c r="B615" s="21">
        <f t="shared" si="118"/>
        <v>603</v>
      </c>
      <c r="C615" s="13" t="str">
        <f t="shared" si="117"/>
        <v>I229_疾患開始日</v>
      </c>
      <c r="D615" s="13" t="s">
        <v>6262</v>
      </c>
      <c r="E615" s="8"/>
      <c r="F615" s="7" t="s">
        <v>4348</v>
      </c>
      <c r="G615" s="7" t="s">
        <v>25</v>
      </c>
      <c r="H615" s="58"/>
      <c r="I615" s="23"/>
      <c r="J615" s="24"/>
      <c r="M615" s="4"/>
      <c r="N615" s="76"/>
      <c r="O615" s="76"/>
      <c r="P615" s="76" t="str">
        <f t="shared" si="119"/>
        <v>,shikkan602_start_date</v>
      </c>
      <c r="Q615" s="76" t="str">
        <f t="shared" si="120"/>
        <v>DATE</v>
      </c>
      <c r="R615" s="76" t="str">
        <f t="shared" si="121"/>
        <v/>
      </c>
      <c r="S615" s="76" t="str">
        <f t="shared" si="122"/>
        <v/>
      </c>
      <c r="T615" s="76" t="str">
        <f t="shared" si="123"/>
        <v>-- I229_疾患開始日</v>
      </c>
      <c r="U615" s="4" t="str">
        <f t="shared" si="115"/>
        <v>, CASE WHEN shikkan_disp_name = 'I229' THEN min_shikkan_start_date ::DATE ELSE NULL END AS shikkan602_start_date</v>
      </c>
      <c r="V615" s="25" t="str">
        <f t="shared" si="116"/>
        <v>, max(shikkan602_start_date)</v>
      </c>
      <c r="AA615" s="4"/>
      <c r="AB615" s="4"/>
      <c r="AC615" s="4"/>
      <c r="AD615" s="4"/>
      <c r="AE615" s="4"/>
      <c r="AF615" s="4"/>
      <c r="AG615" s="4"/>
      <c r="AH615" s="4"/>
      <c r="AI615" s="4"/>
      <c r="AJ615" s="76" t="str">
        <f>IF(E615="○",IF(COUNTA(E$13:E615)=1,"",",")&amp;D615,"")</f>
        <v/>
      </c>
      <c r="AK615" s="4"/>
      <c r="AL615" s="4"/>
      <c r="AM615" s="4"/>
      <c r="AN615" s="4"/>
      <c r="AO615" s="4"/>
      <c r="AP615" s="4"/>
      <c r="AQ615" s="4"/>
      <c r="AR615" s="4"/>
      <c r="AS615" s="76" t="str">
        <f>"COMMENT ON COLUMN "&amp;エンティティ一覧!$O$2&amp;"."&amp;D$8&amp;"."&amp;D615&amp;" IS '"&amp;C615&amp;"';"</f>
        <v>COMMENT ON COLUMN milscm_2023_009.sny_202310_annony_shikkan2.shikkan602_start_date IS 'I229_疾患開始日';</v>
      </c>
    </row>
    <row r="616" spans="1:45" s="25" customFormat="1">
      <c r="A616" s="4" t="s">
        <v>5058</v>
      </c>
      <c r="B616" s="21">
        <f t="shared" si="118"/>
        <v>604</v>
      </c>
      <c r="C616" s="13" t="str">
        <f t="shared" si="117"/>
        <v>I252_疾患開始日</v>
      </c>
      <c r="D616" s="13" t="s">
        <v>6263</v>
      </c>
      <c r="E616" s="8"/>
      <c r="F616" s="7" t="s">
        <v>4348</v>
      </c>
      <c r="G616" s="7" t="s">
        <v>25</v>
      </c>
      <c r="H616" s="58"/>
      <c r="I616" s="23"/>
      <c r="J616" s="24"/>
      <c r="M616" s="4"/>
      <c r="N616" s="76"/>
      <c r="O616" s="76"/>
      <c r="P616" s="76" t="str">
        <f t="shared" si="119"/>
        <v>,shikkan603_start_date</v>
      </c>
      <c r="Q616" s="76" t="str">
        <f t="shared" si="120"/>
        <v>DATE</v>
      </c>
      <c r="R616" s="76" t="str">
        <f t="shared" si="121"/>
        <v/>
      </c>
      <c r="S616" s="76" t="str">
        <f t="shared" si="122"/>
        <v/>
      </c>
      <c r="T616" s="76" t="str">
        <f t="shared" si="123"/>
        <v>-- I252_疾患開始日</v>
      </c>
      <c r="U616" s="4" t="str">
        <f t="shared" si="115"/>
        <v>, CASE WHEN shikkan_disp_name = 'I252' THEN min_shikkan_start_date ::DATE ELSE NULL END AS shikkan603_start_date</v>
      </c>
      <c r="V616" s="25" t="str">
        <f t="shared" si="116"/>
        <v>, max(shikkan603_start_date)</v>
      </c>
      <c r="AA616" s="4"/>
      <c r="AB616" s="4"/>
      <c r="AC616" s="4"/>
      <c r="AD616" s="4"/>
      <c r="AE616" s="4"/>
      <c r="AF616" s="4"/>
      <c r="AG616" s="4"/>
      <c r="AH616" s="4"/>
      <c r="AI616" s="4"/>
      <c r="AJ616" s="76" t="str">
        <f>IF(E616="○",IF(COUNTA(E$13:E616)=1,"",",")&amp;D616,"")</f>
        <v/>
      </c>
      <c r="AK616" s="4"/>
      <c r="AL616" s="4"/>
      <c r="AM616" s="4"/>
      <c r="AN616" s="4"/>
      <c r="AO616" s="4"/>
      <c r="AP616" s="4"/>
      <c r="AQ616" s="4"/>
      <c r="AR616" s="4"/>
      <c r="AS616" s="76" t="str">
        <f>"COMMENT ON COLUMN "&amp;エンティティ一覧!$O$2&amp;"."&amp;D$8&amp;"."&amp;D616&amp;" IS '"&amp;C616&amp;"';"</f>
        <v>COMMENT ON COLUMN milscm_2023_009.sny_202310_annony_shikkan2.shikkan603_start_date IS 'I252_疾患開始日';</v>
      </c>
    </row>
    <row r="617" spans="1:45" s="25" customFormat="1">
      <c r="A617" s="4" t="s">
        <v>5061</v>
      </c>
      <c r="B617" s="21">
        <f t="shared" si="118"/>
        <v>605</v>
      </c>
      <c r="C617" s="13" t="str">
        <f t="shared" si="117"/>
        <v>I255_疾患開始日</v>
      </c>
      <c r="D617" s="13" t="s">
        <v>6264</v>
      </c>
      <c r="E617" s="8"/>
      <c r="F617" s="7" t="s">
        <v>4348</v>
      </c>
      <c r="G617" s="7" t="s">
        <v>25</v>
      </c>
      <c r="H617" s="58"/>
      <c r="I617" s="23"/>
      <c r="J617" s="24"/>
      <c r="M617" s="4"/>
      <c r="N617" s="76"/>
      <c r="O617" s="76"/>
      <c r="P617" s="76" t="str">
        <f t="shared" si="119"/>
        <v>,shikkan604_start_date</v>
      </c>
      <c r="Q617" s="76" t="str">
        <f t="shared" si="120"/>
        <v>DATE</v>
      </c>
      <c r="R617" s="76" t="str">
        <f t="shared" si="121"/>
        <v/>
      </c>
      <c r="S617" s="76" t="str">
        <f t="shared" si="122"/>
        <v/>
      </c>
      <c r="T617" s="76" t="str">
        <f t="shared" si="123"/>
        <v>-- I255_疾患開始日</v>
      </c>
      <c r="U617" s="4" t="str">
        <f t="shared" si="115"/>
        <v>, CASE WHEN shikkan_disp_name = 'I255' THEN min_shikkan_start_date ::DATE ELSE NULL END AS shikkan604_start_date</v>
      </c>
      <c r="V617" s="25" t="str">
        <f t="shared" si="116"/>
        <v>, max(shikkan604_start_date)</v>
      </c>
      <c r="AA617" s="4"/>
      <c r="AB617" s="4"/>
      <c r="AC617" s="4"/>
      <c r="AD617" s="4"/>
      <c r="AE617" s="4"/>
      <c r="AF617" s="4"/>
      <c r="AG617" s="4"/>
      <c r="AH617" s="4"/>
      <c r="AI617" s="4"/>
      <c r="AJ617" s="76" t="str">
        <f>IF(E617="○",IF(COUNTA(E$13:E617)=1,"",",")&amp;D617,"")</f>
        <v/>
      </c>
      <c r="AK617" s="4"/>
      <c r="AL617" s="4"/>
      <c r="AM617" s="4"/>
      <c r="AN617" s="4"/>
      <c r="AO617" s="4"/>
      <c r="AP617" s="4"/>
      <c r="AQ617" s="4"/>
      <c r="AR617" s="4"/>
      <c r="AS617" s="76" t="str">
        <f>"COMMENT ON COLUMN "&amp;エンティティ一覧!$O$2&amp;"."&amp;D$8&amp;"."&amp;D617&amp;" IS '"&amp;C617&amp;"';"</f>
        <v>COMMENT ON COLUMN milscm_2023_009.sny_202310_annony_shikkan2.shikkan604_start_date IS 'I255_疾患開始日';</v>
      </c>
    </row>
    <row r="618" spans="1:45" s="25" customFormat="1">
      <c r="A618" s="4" t="s">
        <v>5691</v>
      </c>
      <c r="B618" s="21">
        <f t="shared" si="118"/>
        <v>606</v>
      </c>
      <c r="C618" s="13" t="str">
        <f t="shared" si="117"/>
        <v>I278_疾患開始日</v>
      </c>
      <c r="D618" s="13" t="s">
        <v>6265</v>
      </c>
      <c r="E618" s="8"/>
      <c r="F618" s="7" t="s">
        <v>4348</v>
      </c>
      <c r="G618" s="7" t="s">
        <v>25</v>
      </c>
      <c r="H618" s="58"/>
      <c r="I618" s="23"/>
      <c r="J618" s="24"/>
      <c r="M618" s="4"/>
      <c r="N618" s="76"/>
      <c r="O618" s="76"/>
      <c r="P618" s="76" t="str">
        <f t="shared" si="119"/>
        <v>,shikkan605_start_date</v>
      </c>
      <c r="Q618" s="76" t="str">
        <f t="shared" si="120"/>
        <v>DATE</v>
      </c>
      <c r="R618" s="76" t="str">
        <f t="shared" si="121"/>
        <v/>
      </c>
      <c r="S618" s="76" t="str">
        <f t="shared" si="122"/>
        <v/>
      </c>
      <c r="T618" s="76" t="str">
        <f t="shared" si="123"/>
        <v>-- I278_疾患開始日</v>
      </c>
      <c r="U618" s="4" t="str">
        <f t="shared" si="115"/>
        <v>, CASE WHEN shikkan_disp_name = 'I278' THEN min_shikkan_start_date ::DATE ELSE NULL END AS shikkan605_start_date</v>
      </c>
      <c r="V618" s="25" t="str">
        <f t="shared" si="116"/>
        <v>, max(shikkan605_start_date)</v>
      </c>
      <c r="AA618" s="4"/>
      <c r="AB618" s="4"/>
      <c r="AC618" s="4"/>
      <c r="AD618" s="4"/>
      <c r="AE618" s="4"/>
      <c r="AF618" s="4"/>
      <c r="AG618" s="4"/>
      <c r="AH618" s="4"/>
      <c r="AI618" s="4"/>
      <c r="AJ618" s="76" t="str">
        <f>IF(E618="○",IF(COUNTA(E$13:E618)=1,"",",")&amp;D618,"")</f>
        <v/>
      </c>
      <c r="AK618" s="4"/>
      <c r="AL618" s="4"/>
      <c r="AM618" s="4"/>
      <c r="AN618" s="4"/>
      <c r="AO618" s="4"/>
      <c r="AP618" s="4"/>
      <c r="AQ618" s="4"/>
      <c r="AR618" s="4"/>
      <c r="AS618" s="76" t="str">
        <f>"COMMENT ON COLUMN "&amp;エンティティ一覧!$O$2&amp;"."&amp;D$8&amp;"."&amp;D618&amp;" IS '"&amp;C618&amp;"';"</f>
        <v>COMMENT ON COLUMN milscm_2023_009.sny_202310_annony_shikkan2.shikkan605_start_date IS 'I278_疾患開始日';</v>
      </c>
    </row>
    <row r="619" spans="1:45" s="25" customFormat="1">
      <c r="A619" s="4" t="s">
        <v>5692</v>
      </c>
      <c r="B619" s="21">
        <f t="shared" si="118"/>
        <v>607</v>
      </c>
      <c r="C619" s="13" t="str">
        <f t="shared" si="117"/>
        <v>I279_疾患開始日</v>
      </c>
      <c r="D619" s="13" t="s">
        <v>6266</v>
      </c>
      <c r="E619" s="8"/>
      <c r="F619" s="7" t="s">
        <v>4348</v>
      </c>
      <c r="G619" s="7" t="s">
        <v>25</v>
      </c>
      <c r="H619" s="58"/>
      <c r="I619" s="23"/>
      <c r="J619" s="24"/>
      <c r="M619" s="4"/>
      <c r="N619" s="76"/>
      <c r="O619" s="76"/>
      <c r="P619" s="76" t="str">
        <f t="shared" si="119"/>
        <v>,shikkan606_start_date</v>
      </c>
      <c r="Q619" s="76" t="str">
        <f t="shared" si="120"/>
        <v>DATE</v>
      </c>
      <c r="R619" s="76" t="str">
        <f t="shared" si="121"/>
        <v/>
      </c>
      <c r="S619" s="76" t="str">
        <f t="shared" si="122"/>
        <v/>
      </c>
      <c r="T619" s="76" t="str">
        <f t="shared" si="123"/>
        <v>-- I279_疾患開始日</v>
      </c>
      <c r="U619" s="4" t="str">
        <f t="shared" si="115"/>
        <v>, CASE WHEN shikkan_disp_name = 'I279' THEN min_shikkan_start_date ::DATE ELSE NULL END AS shikkan606_start_date</v>
      </c>
      <c r="V619" s="25" t="str">
        <f t="shared" si="116"/>
        <v>, max(shikkan606_start_date)</v>
      </c>
      <c r="AA619" s="4"/>
      <c r="AB619" s="4"/>
      <c r="AC619" s="4"/>
      <c r="AD619" s="4"/>
      <c r="AE619" s="4"/>
      <c r="AF619" s="4"/>
      <c r="AG619" s="4"/>
      <c r="AH619" s="4"/>
      <c r="AI619" s="4"/>
      <c r="AJ619" s="76" t="str">
        <f>IF(E619="○",IF(COUNTA(E$13:E619)=1,"",",")&amp;D619,"")</f>
        <v/>
      </c>
      <c r="AK619" s="4"/>
      <c r="AL619" s="4"/>
      <c r="AM619" s="4"/>
      <c r="AN619" s="4"/>
      <c r="AO619" s="4"/>
      <c r="AP619" s="4"/>
      <c r="AQ619" s="4"/>
      <c r="AR619" s="4"/>
      <c r="AS619" s="76" t="str">
        <f>"COMMENT ON COLUMN "&amp;エンティティ一覧!$O$2&amp;"."&amp;D$8&amp;"."&amp;D619&amp;" IS '"&amp;C619&amp;"';"</f>
        <v>COMMENT ON COLUMN milscm_2023_009.sny_202310_annony_shikkan2.shikkan606_start_date IS 'I279_疾患開始日';</v>
      </c>
    </row>
    <row r="620" spans="1:45" s="25" customFormat="1">
      <c r="A620" s="4" t="s">
        <v>5693</v>
      </c>
      <c r="B620" s="21">
        <f t="shared" si="118"/>
        <v>608</v>
      </c>
      <c r="C620" s="13" t="str">
        <f t="shared" si="117"/>
        <v>I420_疾患開始日</v>
      </c>
      <c r="D620" s="13" t="s">
        <v>6267</v>
      </c>
      <c r="E620" s="8"/>
      <c r="F620" s="7" t="s">
        <v>4348</v>
      </c>
      <c r="G620" s="7" t="s">
        <v>99</v>
      </c>
      <c r="H620" s="58"/>
      <c r="I620" s="23"/>
      <c r="J620" s="24"/>
      <c r="M620" s="4"/>
      <c r="N620" s="76"/>
      <c r="O620" s="76"/>
      <c r="P620" s="76" t="str">
        <f t="shared" si="119"/>
        <v>,shikkan607_start_date</v>
      </c>
      <c r="Q620" s="76" t="str">
        <f t="shared" si="120"/>
        <v>DATE</v>
      </c>
      <c r="R620" s="76" t="str">
        <f t="shared" si="121"/>
        <v/>
      </c>
      <c r="S620" s="76" t="str">
        <f t="shared" si="122"/>
        <v/>
      </c>
      <c r="T620" s="76" t="str">
        <f t="shared" si="123"/>
        <v>-- I420_疾患開始日</v>
      </c>
      <c r="U620" s="4" t="str">
        <f t="shared" si="115"/>
        <v>, CASE WHEN shikkan_disp_name = 'I420' THEN min_shikkan_start_date ::DATE ELSE NULL END AS shikkan607_start_date</v>
      </c>
      <c r="V620" s="25" t="str">
        <f t="shared" si="116"/>
        <v>, max(shikkan607_start_date)</v>
      </c>
      <c r="AA620" s="4"/>
      <c r="AB620" s="4"/>
      <c r="AC620" s="4"/>
      <c r="AD620" s="4"/>
      <c r="AE620" s="4"/>
      <c r="AF620" s="4"/>
      <c r="AG620" s="4"/>
      <c r="AH620" s="4"/>
      <c r="AI620" s="4"/>
      <c r="AJ620" s="76" t="str">
        <f>IF(E620="○",IF(COUNTA(E$13:E620)=1,"",",")&amp;D620,"")</f>
        <v/>
      </c>
      <c r="AK620" s="4"/>
      <c r="AL620" s="4"/>
      <c r="AM620" s="4"/>
      <c r="AN620" s="4"/>
      <c r="AO620" s="4"/>
      <c r="AP620" s="4"/>
      <c r="AQ620" s="4"/>
      <c r="AR620" s="4"/>
      <c r="AS620" s="76" t="str">
        <f>"COMMENT ON COLUMN "&amp;エンティティ一覧!$O$2&amp;"."&amp;D$8&amp;"."&amp;D620&amp;" IS '"&amp;C620&amp;"';"</f>
        <v>COMMENT ON COLUMN milscm_2023_009.sny_202310_annony_shikkan2.shikkan607_start_date IS 'I420_疾患開始日';</v>
      </c>
    </row>
    <row r="621" spans="1:45" s="25" customFormat="1">
      <c r="A621" s="4" t="s">
        <v>5694</v>
      </c>
      <c r="B621" s="21">
        <f t="shared" si="118"/>
        <v>609</v>
      </c>
      <c r="C621" s="13" t="str">
        <f t="shared" si="117"/>
        <v>I425_疾患開始日</v>
      </c>
      <c r="D621" s="13" t="s">
        <v>6268</v>
      </c>
      <c r="E621" s="8"/>
      <c r="F621" s="7" t="s">
        <v>4348</v>
      </c>
      <c r="G621" s="7" t="s">
        <v>25</v>
      </c>
      <c r="H621" s="58"/>
      <c r="I621" s="23"/>
      <c r="J621" s="24"/>
      <c r="M621" s="4"/>
      <c r="N621" s="76"/>
      <c r="O621" s="76"/>
      <c r="P621" s="76" t="str">
        <f t="shared" si="119"/>
        <v>,shikkan608_start_date</v>
      </c>
      <c r="Q621" s="76" t="str">
        <f t="shared" si="120"/>
        <v>DATE</v>
      </c>
      <c r="R621" s="76" t="str">
        <f t="shared" si="121"/>
        <v/>
      </c>
      <c r="S621" s="76" t="str">
        <f t="shared" si="122"/>
        <v/>
      </c>
      <c r="T621" s="76" t="str">
        <f t="shared" si="123"/>
        <v>-- I425_疾患開始日</v>
      </c>
      <c r="U621" s="4" t="str">
        <f t="shared" si="115"/>
        <v>, CASE WHEN shikkan_disp_name = 'I425' THEN min_shikkan_start_date ::DATE ELSE NULL END AS shikkan608_start_date</v>
      </c>
      <c r="V621" s="25" t="str">
        <f t="shared" si="116"/>
        <v>, max(shikkan608_start_date)</v>
      </c>
      <c r="AA621" s="4"/>
      <c r="AB621" s="4"/>
      <c r="AC621" s="4"/>
      <c r="AD621" s="4"/>
      <c r="AE621" s="4"/>
      <c r="AF621" s="4"/>
      <c r="AG621" s="4"/>
      <c r="AH621" s="4"/>
      <c r="AI621" s="4"/>
      <c r="AJ621" s="76" t="str">
        <f>IF(E621="○",IF(COUNTA(E$13:E621)=1,"",",")&amp;D621,"")</f>
        <v/>
      </c>
      <c r="AK621" s="4"/>
      <c r="AL621" s="4"/>
      <c r="AM621" s="4"/>
      <c r="AN621" s="4"/>
      <c r="AO621" s="4"/>
      <c r="AP621" s="4"/>
      <c r="AQ621" s="4"/>
      <c r="AR621" s="4"/>
      <c r="AS621" s="76" t="str">
        <f>"COMMENT ON COLUMN "&amp;エンティティ一覧!$O$2&amp;"."&amp;D$8&amp;"."&amp;D621&amp;" IS '"&amp;C621&amp;"';"</f>
        <v>COMMENT ON COLUMN milscm_2023_009.sny_202310_annony_shikkan2.shikkan608_start_date IS 'I425_疾患開始日';</v>
      </c>
    </row>
    <row r="622" spans="1:45" s="25" customFormat="1">
      <c r="A622" s="4" t="s">
        <v>5695</v>
      </c>
      <c r="B622" s="21">
        <f t="shared" si="118"/>
        <v>610</v>
      </c>
      <c r="C622" s="13" t="str">
        <f t="shared" si="117"/>
        <v>I426_疾患開始日</v>
      </c>
      <c r="D622" s="13" t="s">
        <v>6269</v>
      </c>
      <c r="E622" s="8"/>
      <c r="F622" s="7" t="s">
        <v>4348</v>
      </c>
      <c r="G622" s="7" t="s">
        <v>25</v>
      </c>
      <c r="H622" s="58"/>
      <c r="I622" s="23"/>
      <c r="J622" s="24"/>
      <c r="M622" s="4"/>
      <c r="N622" s="76"/>
      <c r="O622" s="76"/>
      <c r="P622" s="76" t="str">
        <f t="shared" si="119"/>
        <v>,shikkan609_start_date</v>
      </c>
      <c r="Q622" s="76" t="str">
        <f t="shared" si="120"/>
        <v>DATE</v>
      </c>
      <c r="R622" s="76" t="str">
        <f t="shared" si="121"/>
        <v/>
      </c>
      <c r="S622" s="76" t="str">
        <f t="shared" si="122"/>
        <v/>
      </c>
      <c r="T622" s="76" t="str">
        <f t="shared" si="123"/>
        <v>-- I426_疾患開始日</v>
      </c>
      <c r="U622" s="4" t="str">
        <f t="shared" si="115"/>
        <v>, CASE WHEN shikkan_disp_name = 'I426' THEN min_shikkan_start_date ::DATE ELSE NULL END AS shikkan609_start_date</v>
      </c>
      <c r="V622" s="25" t="str">
        <f t="shared" si="116"/>
        <v>, max(shikkan609_start_date)</v>
      </c>
      <c r="AA622" s="4"/>
      <c r="AB622" s="4"/>
      <c r="AC622" s="4"/>
      <c r="AD622" s="4"/>
      <c r="AE622" s="4"/>
      <c r="AF622" s="4"/>
      <c r="AG622" s="4"/>
      <c r="AH622" s="4"/>
      <c r="AI622" s="4"/>
      <c r="AJ622" s="76" t="str">
        <f>IF(E622="○",IF(COUNTA(E$13:E622)=1,"",",")&amp;D622,"")</f>
        <v/>
      </c>
      <c r="AK622" s="4"/>
      <c r="AL622" s="4"/>
      <c r="AM622" s="4"/>
      <c r="AN622" s="4"/>
      <c r="AO622" s="4"/>
      <c r="AP622" s="4"/>
      <c r="AQ622" s="4"/>
      <c r="AR622" s="4"/>
      <c r="AS622" s="76" t="str">
        <f>"COMMENT ON COLUMN "&amp;エンティティ一覧!$O$2&amp;"."&amp;D$8&amp;"."&amp;D622&amp;" IS '"&amp;C622&amp;"';"</f>
        <v>COMMENT ON COLUMN milscm_2023_009.sny_202310_annony_shikkan2.shikkan609_start_date IS 'I426_疾患開始日';</v>
      </c>
    </row>
    <row r="623" spans="1:45" s="25" customFormat="1">
      <c r="A623" s="4" t="s">
        <v>5696</v>
      </c>
      <c r="B623" s="21">
        <f t="shared" si="118"/>
        <v>611</v>
      </c>
      <c r="C623" s="13" t="str">
        <f t="shared" si="117"/>
        <v>I427_疾患開始日</v>
      </c>
      <c r="D623" s="13" t="s">
        <v>6270</v>
      </c>
      <c r="E623" s="8"/>
      <c r="F623" s="7" t="s">
        <v>4348</v>
      </c>
      <c r="G623" s="7" t="s">
        <v>25</v>
      </c>
      <c r="H623" s="58"/>
      <c r="I623" s="23"/>
      <c r="J623" s="24"/>
      <c r="M623" s="4"/>
      <c r="N623" s="76"/>
      <c r="O623" s="76"/>
      <c r="P623" s="76" t="str">
        <f t="shared" si="119"/>
        <v>,shikkan610_start_date</v>
      </c>
      <c r="Q623" s="76" t="str">
        <f t="shared" si="120"/>
        <v>DATE</v>
      </c>
      <c r="R623" s="76" t="str">
        <f t="shared" si="121"/>
        <v/>
      </c>
      <c r="S623" s="76" t="str">
        <f t="shared" si="122"/>
        <v/>
      </c>
      <c r="T623" s="76" t="str">
        <f t="shared" si="123"/>
        <v>-- I427_疾患開始日</v>
      </c>
      <c r="U623" s="4" t="str">
        <f t="shared" si="115"/>
        <v>, CASE WHEN shikkan_disp_name = 'I427' THEN min_shikkan_start_date ::DATE ELSE NULL END AS shikkan610_start_date</v>
      </c>
      <c r="V623" s="25" t="str">
        <f t="shared" si="116"/>
        <v>, max(shikkan610_start_date)</v>
      </c>
      <c r="AA623" s="4"/>
      <c r="AB623" s="4"/>
      <c r="AC623" s="4"/>
      <c r="AD623" s="4"/>
      <c r="AE623" s="4"/>
      <c r="AF623" s="4"/>
      <c r="AG623" s="4"/>
      <c r="AH623" s="4"/>
      <c r="AI623" s="4"/>
      <c r="AJ623" s="76" t="str">
        <f>IF(E623="○",IF(COUNTA(E$13:E623)=1,"",",")&amp;D623,"")</f>
        <v/>
      </c>
      <c r="AK623" s="4"/>
      <c r="AL623" s="4"/>
      <c r="AM623" s="4"/>
      <c r="AN623" s="4"/>
      <c r="AO623" s="4"/>
      <c r="AP623" s="4"/>
      <c r="AQ623" s="4"/>
      <c r="AR623" s="4"/>
      <c r="AS623" s="76" t="str">
        <f>"COMMENT ON COLUMN "&amp;エンティティ一覧!$O$2&amp;"."&amp;D$8&amp;"."&amp;D623&amp;" IS '"&amp;C623&amp;"';"</f>
        <v>COMMENT ON COLUMN milscm_2023_009.sny_202310_annony_shikkan2.shikkan610_start_date IS 'I427_疾患開始日';</v>
      </c>
    </row>
    <row r="624" spans="1:45" s="25" customFormat="1">
      <c r="A624" s="4" t="s">
        <v>5697</v>
      </c>
      <c r="B624" s="21">
        <f t="shared" si="118"/>
        <v>612</v>
      </c>
      <c r="C624" s="13" t="str">
        <f t="shared" si="117"/>
        <v>I428_疾患開始日</v>
      </c>
      <c r="D624" s="13" t="s">
        <v>6271</v>
      </c>
      <c r="E624" s="8"/>
      <c r="F624" s="7" t="s">
        <v>4348</v>
      </c>
      <c r="G624" s="7" t="s">
        <v>25</v>
      </c>
      <c r="H624" s="58"/>
      <c r="I624" s="23"/>
      <c r="J624" s="24"/>
      <c r="M624" s="4"/>
      <c r="N624" s="76"/>
      <c r="O624" s="76"/>
      <c r="P624" s="76" t="str">
        <f t="shared" si="119"/>
        <v>,shikkan611_start_date</v>
      </c>
      <c r="Q624" s="76" t="str">
        <f t="shared" si="120"/>
        <v>DATE</v>
      </c>
      <c r="R624" s="76" t="str">
        <f t="shared" si="121"/>
        <v/>
      </c>
      <c r="S624" s="76" t="str">
        <f t="shared" si="122"/>
        <v/>
      </c>
      <c r="T624" s="76" t="str">
        <f t="shared" si="123"/>
        <v>-- I428_疾患開始日</v>
      </c>
      <c r="U624" s="4" t="str">
        <f t="shared" si="115"/>
        <v>, CASE WHEN shikkan_disp_name = 'I428' THEN min_shikkan_start_date ::DATE ELSE NULL END AS shikkan611_start_date</v>
      </c>
      <c r="V624" s="25" t="str">
        <f t="shared" si="116"/>
        <v>, max(shikkan611_start_date)</v>
      </c>
      <c r="AA624" s="4"/>
      <c r="AB624" s="4"/>
      <c r="AC624" s="4"/>
      <c r="AD624" s="4"/>
      <c r="AE624" s="4"/>
      <c r="AF624" s="4"/>
      <c r="AG624" s="4"/>
      <c r="AH624" s="4"/>
      <c r="AI624" s="4"/>
      <c r="AJ624" s="76" t="str">
        <f>IF(E624="○",IF(COUNTA(E$13:E624)=1,"",",")&amp;D624,"")</f>
        <v/>
      </c>
      <c r="AK624" s="4"/>
      <c r="AL624" s="4"/>
      <c r="AM624" s="4"/>
      <c r="AN624" s="4"/>
      <c r="AO624" s="4"/>
      <c r="AP624" s="4"/>
      <c r="AQ624" s="4"/>
      <c r="AR624" s="4"/>
      <c r="AS624" s="76" t="str">
        <f>"COMMENT ON COLUMN "&amp;エンティティ一覧!$O$2&amp;"."&amp;D$8&amp;"."&amp;D624&amp;" IS '"&amp;C624&amp;"';"</f>
        <v>COMMENT ON COLUMN milscm_2023_009.sny_202310_annony_shikkan2.shikkan611_start_date IS 'I428_疾患開始日';</v>
      </c>
    </row>
    <row r="625" spans="1:45" s="25" customFormat="1">
      <c r="A625" s="4" t="s">
        <v>5698</v>
      </c>
      <c r="B625" s="21">
        <f t="shared" si="118"/>
        <v>613</v>
      </c>
      <c r="C625" s="13" t="str">
        <f t="shared" si="117"/>
        <v>I429_疾患開始日</v>
      </c>
      <c r="D625" s="13" t="s">
        <v>6272</v>
      </c>
      <c r="E625" s="8"/>
      <c r="F625" s="7" t="s">
        <v>4348</v>
      </c>
      <c r="G625" s="7" t="s">
        <v>25</v>
      </c>
      <c r="H625" s="58"/>
      <c r="I625" s="23"/>
      <c r="J625" s="24"/>
      <c r="M625" s="4"/>
      <c r="N625" s="76"/>
      <c r="O625" s="76"/>
      <c r="P625" s="76" t="str">
        <f t="shared" si="119"/>
        <v>,shikkan612_start_date</v>
      </c>
      <c r="Q625" s="76" t="str">
        <f t="shared" si="120"/>
        <v>DATE</v>
      </c>
      <c r="R625" s="76" t="str">
        <f t="shared" si="121"/>
        <v/>
      </c>
      <c r="S625" s="76" t="str">
        <f t="shared" si="122"/>
        <v/>
      </c>
      <c r="T625" s="76" t="str">
        <f t="shared" si="123"/>
        <v>-- I429_疾患開始日</v>
      </c>
      <c r="U625" s="4" t="str">
        <f t="shared" si="115"/>
        <v>, CASE WHEN shikkan_disp_name = 'I429' THEN min_shikkan_start_date ::DATE ELSE NULL END AS shikkan612_start_date</v>
      </c>
      <c r="V625" s="25" t="str">
        <f t="shared" si="116"/>
        <v>, max(shikkan612_start_date)</v>
      </c>
      <c r="AA625" s="4"/>
      <c r="AB625" s="4"/>
      <c r="AC625" s="4"/>
      <c r="AD625" s="4"/>
      <c r="AE625" s="4"/>
      <c r="AF625" s="4"/>
      <c r="AG625" s="4"/>
      <c r="AH625" s="4"/>
      <c r="AI625" s="4"/>
      <c r="AJ625" s="76" t="str">
        <f>IF(E625="○",IF(COUNTA(E$13:E625)=1,"",",")&amp;D625,"")</f>
        <v/>
      </c>
      <c r="AK625" s="4"/>
      <c r="AL625" s="4"/>
      <c r="AM625" s="4"/>
      <c r="AN625" s="4"/>
      <c r="AO625" s="4"/>
      <c r="AP625" s="4"/>
      <c r="AQ625" s="4"/>
      <c r="AR625" s="4"/>
      <c r="AS625" s="76" t="str">
        <f>"COMMENT ON COLUMN "&amp;エンティティ一覧!$O$2&amp;"."&amp;D$8&amp;"."&amp;D625&amp;" IS '"&amp;C625&amp;"';"</f>
        <v>COMMENT ON COLUMN milscm_2023_009.sny_202310_annony_shikkan2.shikkan612_start_date IS 'I429_疾患開始日';</v>
      </c>
    </row>
    <row r="626" spans="1:45" s="25" customFormat="1">
      <c r="A626" s="4" t="s">
        <v>5699</v>
      </c>
      <c r="B626" s="21">
        <f t="shared" si="118"/>
        <v>614</v>
      </c>
      <c r="C626" s="13" t="str">
        <f t="shared" si="117"/>
        <v>I430_疾患開始日</v>
      </c>
      <c r="D626" s="13" t="s">
        <v>6273</v>
      </c>
      <c r="E626" s="8"/>
      <c r="F626" s="7" t="s">
        <v>4348</v>
      </c>
      <c r="G626" s="7" t="s">
        <v>25</v>
      </c>
      <c r="H626" s="58"/>
      <c r="I626" s="23"/>
      <c r="J626" s="24"/>
      <c r="M626" s="4"/>
      <c r="N626" s="76"/>
      <c r="O626" s="76"/>
      <c r="P626" s="76" t="str">
        <f t="shared" si="119"/>
        <v>,shikkan613_start_date</v>
      </c>
      <c r="Q626" s="76" t="str">
        <f t="shared" si="120"/>
        <v>DATE</v>
      </c>
      <c r="R626" s="76" t="str">
        <f t="shared" si="121"/>
        <v/>
      </c>
      <c r="S626" s="76" t="str">
        <f t="shared" si="122"/>
        <v/>
      </c>
      <c r="T626" s="76" t="str">
        <f t="shared" si="123"/>
        <v>-- I430_疾患開始日</v>
      </c>
      <c r="U626" s="4" t="str">
        <f t="shared" si="115"/>
        <v>, CASE WHEN shikkan_disp_name = 'I430' THEN min_shikkan_start_date ::DATE ELSE NULL END AS shikkan613_start_date</v>
      </c>
      <c r="V626" s="25" t="str">
        <f t="shared" si="116"/>
        <v>, max(shikkan613_start_date)</v>
      </c>
      <c r="AA626" s="4"/>
      <c r="AB626" s="4"/>
      <c r="AC626" s="4"/>
      <c r="AD626" s="4"/>
      <c r="AE626" s="4"/>
      <c r="AF626" s="4"/>
      <c r="AG626" s="4"/>
      <c r="AH626" s="4"/>
      <c r="AI626" s="4"/>
      <c r="AJ626" s="76" t="str">
        <f>IF(E626="○",IF(COUNTA(E$13:E626)=1,"",",")&amp;D626,"")</f>
        <v/>
      </c>
      <c r="AK626" s="4"/>
      <c r="AL626" s="4"/>
      <c r="AM626" s="4"/>
      <c r="AN626" s="4"/>
      <c r="AO626" s="4"/>
      <c r="AP626" s="4"/>
      <c r="AQ626" s="4"/>
      <c r="AR626" s="4"/>
      <c r="AS626" s="76" t="str">
        <f>"COMMENT ON COLUMN "&amp;エンティティ一覧!$O$2&amp;"."&amp;D$8&amp;"."&amp;D626&amp;" IS '"&amp;C626&amp;"';"</f>
        <v>COMMENT ON COLUMN milscm_2023_009.sny_202310_annony_shikkan2.shikkan613_start_date IS 'I430_疾患開始日';</v>
      </c>
    </row>
    <row r="627" spans="1:45" s="25" customFormat="1">
      <c r="A627" s="4" t="s">
        <v>5700</v>
      </c>
      <c r="B627" s="21">
        <f t="shared" si="118"/>
        <v>615</v>
      </c>
      <c r="C627" s="13" t="str">
        <f t="shared" si="117"/>
        <v>I431_疾患開始日</v>
      </c>
      <c r="D627" s="13" t="s">
        <v>6274</v>
      </c>
      <c r="E627" s="8"/>
      <c r="F627" s="7" t="s">
        <v>4348</v>
      </c>
      <c r="G627" s="7" t="s">
        <v>25</v>
      </c>
      <c r="H627" s="58"/>
      <c r="I627" s="23"/>
      <c r="J627" s="24"/>
      <c r="M627" s="4"/>
      <c r="N627" s="76"/>
      <c r="O627" s="76"/>
      <c r="P627" s="76" t="str">
        <f t="shared" si="119"/>
        <v>,shikkan614_start_date</v>
      </c>
      <c r="Q627" s="76" t="str">
        <f t="shared" si="120"/>
        <v>DATE</v>
      </c>
      <c r="R627" s="76" t="str">
        <f t="shared" si="121"/>
        <v/>
      </c>
      <c r="S627" s="76" t="str">
        <f t="shared" si="122"/>
        <v/>
      </c>
      <c r="T627" s="76" t="str">
        <f t="shared" si="123"/>
        <v>-- I431_疾患開始日</v>
      </c>
      <c r="U627" s="4" t="str">
        <f t="shared" si="115"/>
        <v>, CASE WHEN shikkan_disp_name = 'I431' THEN min_shikkan_start_date ::DATE ELSE NULL END AS shikkan614_start_date</v>
      </c>
      <c r="V627" s="25" t="str">
        <f t="shared" si="116"/>
        <v>, max(shikkan614_start_date)</v>
      </c>
      <c r="AA627" s="4"/>
      <c r="AB627" s="4"/>
      <c r="AC627" s="4"/>
      <c r="AD627" s="4"/>
      <c r="AE627" s="4"/>
      <c r="AF627" s="4"/>
      <c r="AG627" s="4"/>
      <c r="AH627" s="4"/>
      <c r="AI627" s="4"/>
      <c r="AJ627" s="76" t="str">
        <f>IF(E627="○",IF(COUNTA(E$13:E627)=1,"",",")&amp;D627,"")</f>
        <v/>
      </c>
      <c r="AK627" s="4"/>
      <c r="AL627" s="4"/>
      <c r="AM627" s="4"/>
      <c r="AN627" s="4"/>
      <c r="AO627" s="4"/>
      <c r="AP627" s="4"/>
      <c r="AQ627" s="4"/>
      <c r="AR627" s="4"/>
      <c r="AS627" s="76" t="str">
        <f>"COMMENT ON COLUMN "&amp;エンティティ一覧!$O$2&amp;"."&amp;D$8&amp;"."&amp;D627&amp;" IS '"&amp;C627&amp;"';"</f>
        <v>COMMENT ON COLUMN milscm_2023_009.sny_202310_annony_shikkan2.shikkan614_start_date IS 'I431_疾患開始日';</v>
      </c>
    </row>
    <row r="628" spans="1:45" s="25" customFormat="1">
      <c r="A628" s="4" t="s">
        <v>5701</v>
      </c>
      <c r="B628" s="21">
        <f t="shared" si="118"/>
        <v>616</v>
      </c>
      <c r="C628" s="13" t="str">
        <f t="shared" si="117"/>
        <v>I432_疾患開始日</v>
      </c>
      <c r="D628" s="13" t="s">
        <v>6275</v>
      </c>
      <c r="E628" s="8"/>
      <c r="F628" s="7" t="s">
        <v>4348</v>
      </c>
      <c r="G628" s="7" t="s">
        <v>25</v>
      </c>
      <c r="H628" s="58"/>
      <c r="I628" s="23"/>
      <c r="J628" s="24"/>
      <c r="M628" s="4"/>
      <c r="N628" s="76"/>
      <c r="O628" s="76"/>
      <c r="P628" s="76" t="str">
        <f t="shared" si="119"/>
        <v>,shikkan615_start_date</v>
      </c>
      <c r="Q628" s="76" t="str">
        <f t="shared" si="120"/>
        <v>DATE</v>
      </c>
      <c r="R628" s="76" t="str">
        <f t="shared" si="121"/>
        <v/>
      </c>
      <c r="S628" s="76" t="str">
        <f t="shared" si="122"/>
        <v/>
      </c>
      <c r="T628" s="76" t="str">
        <f t="shared" si="123"/>
        <v>-- I432_疾患開始日</v>
      </c>
      <c r="U628" s="4" t="str">
        <f t="shared" si="115"/>
        <v>, CASE WHEN shikkan_disp_name = 'I432' THEN min_shikkan_start_date ::DATE ELSE NULL END AS shikkan615_start_date</v>
      </c>
      <c r="V628" s="25" t="str">
        <f t="shared" si="116"/>
        <v>, max(shikkan615_start_date)</v>
      </c>
      <c r="AA628" s="4"/>
      <c r="AB628" s="4"/>
      <c r="AC628" s="4"/>
      <c r="AD628" s="4"/>
      <c r="AE628" s="4"/>
      <c r="AF628" s="4"/>
      <c r="AG628" s="4"/>
      <c r="AH628" s="4"/>
      <c r="AI628" s="4"/>
      <c r="AJ628" s="76" t="str">
        <f>IF(E628="○",IF(COUNTA(E$13:E628)=1,"",",")&amp;D628,"")</f>
        <v/>
      </c>
      <c r="AK628" s="4"/>
      <c r="AL628" s="4"/>
      <c r="AM628" s="4"/>
      <c r="AN628" s="4"/>
      <c r="AO628" s="4"/>
      <c r="AP628" s="4"/>
      <c r="AQ628" s="4"/>
      <c r="AR628" s="4"/>
      <c r="AS628" s="76" t="str">
        <f>"COMMENT ON COLUMN "&amp;エンティティ一覧!$O$2&amp;"."&amp;D$8&amp;"."&amp;D628&amp;" IS '"&amp;C628&amp;"';"</f>
        <v>COMMENT ON COLUMN milscm_2023_009.sny_202310_annony_shikkan2.shikkan615_start_date IS 'I432_疾患開始日';</v>
      </c>
    </row>
    <row r="629" spans="1:45" s="25" customFormat="1">
      <c r="A629" s="4" t="s">
        <v>5702</v>
      </c>
      <c r="B629" s="21">
        <f t="shared" si="118"/>
        <v>617</v>
      </c>
      <c r="C629" s="13" t="str">
        <f t="shared" si="117"/>
        <v>I438_疾患開始日</v>
      </c>
      <c r="D629" s="13" t="s">
        <v>6276</v>
      </c>
      <c r="E629" s="8"/>
      <c r="F629" s="7" t="s">
        <v>4348</v>
      </c>
      <c r="G629" s="7" t="s">
        <v>25</v>
      </c>
      <c r="H629" s="58"/>
      <c r="I629" s="23"/>
      <c r="J629" s="24"/>
      <c r="M629" s="4"/>
      <c r="N629" s="76"/>
      <c r="O629" s="76"/>
      <c r="P629" s="76" t="str">
        <f t="shared" si="119"/>
        <v>,shikkan616_start_date</v>
      </c>
      <c r="Q629" s="76" t="str">
        <f t="shared" si="120"/>
        <v>DATE</v>
      </c>
      <c r="R629" s="76" t="str">
        <f t="shared" si="121"/>
        <v/>
      </c>
      <c r="S629" s="76" t="str">
        <f t="shared" si="122"/>
        <v/>
      </c>
      <c r="T629" s="76" t="str">
        <f t="shared" si="123"/>
        <v>-- I438_疾患開始日</v>
      </c>
      <c r="U629" s="4" t="str">
        <f t="shared" si="115"/>
        <v>, CASE WHEN shikkan_disp_name = 'I438' THEN min_shikkan_start_date ::DATE ELSE NULL END AS shikkan616_start_date</v>
      </c>
      <c r="V629" s="25" t="str">
        <f t="shared" si="116"/>
        <v>, max(shikkan616_start_date)</v>
      </c>
      <c r="AA629" s="4"/>
      <c r="AB629" s="4"/>
      <c r="AC629" s="4"/>
      <c r="AD629" s="4"/>
      <c r="AE629" s="4"/>
      <c r="AF629" s="4"/>
      <c r="AG629" s="4"/>
      <c r="AH629" s="4"/>
      <c r="AI629" s="4"/>
      <c r="AJ629" s="76" t="str">
        <f>IF(E629="○",IF(COUNTA(E$13:E629)=1,"",",")&amp;D629,"")</f>
        <v/>
      </c>
      <c r="AK629" s="4"/>
      <c r="AL629" s="4"/>
      <c r="AM629" s="4"/>
      <c r="AN629" s="4"/>
      <c r="AO629" s="4"/>
      <c r="AP629" s="4"/>
      <c r="AQ629" s="4"/>
      <c r="AR629" s="4"/>
      <c r="AS629" s="76" t="str">
        <f>"COMMENT ON COLUMN "&amp;エンティティ一覧!$O$2&amp;"."&amp;D$8&amp;"."&amp;D629&amp;" IS '"&amp;C629&amp;"';"</f>
        <v>COMMENT ON COLUMN milscm_2023_009.sny_202310_annony_shikkan2.shikkan616_start_date IS 'I438_疾患開始日';</v>
      </c>
    </row>
    <row r="630" spans="1:45" s="25" customFormat="1">
      <c r="A630" s="4" t="s">
        <v>5703</v>
      </c>
      <c r="B630" s="21">
        <f t="shared" si="118"/>
        <v>618</v>
      </c>
      <c r="C630" s="13" t="str">
        <f t="shared" si="117"/>
        <v>I500_疾患開始日</v>
      </c>
      <c r="D630" s="13" t="s">
        <v>6277</v>
      </c>
      <c r="E630" s="8"/>
      <c r="F630" s="7" t="s">
        <v>4348</v>
      </c>
      <c r="G630" s="7" t="s">
        <v>25</v>
      </c>
      <c r="H630" s="58"/>
      <c r="I630" s="23"/>
      <c r="J630" s="24"/>
      <c r="M630" s="4"/>
      <c r="N630" s="76"/>
      <c r="O630" s="76"/>
      <c r="P630" s="76" t="str">
        <f t="shared" si="119"/>
        <v>,shikkan617_start_date</v>
      </c>
      <c r="Q630" s="76" t="str">
        <f t="shared" si="120"/>
        <v>DATE</v>
      </c>
      <c r="R630" s="76" t="str">
        <f t="shared" si="121"/>
        <v/>
      </c>
      <c r="S630" s="76" t="str">
        <f t="shared" si="122"/>
        <v/>
      </c>
      <c r="T630" s="76" t="str">
        <f t="shared" si="123"/>
        <v>-- I500_疾患開始日</v>
      </c>
      <c r="U630" s="4" t="str">
        <f t="shared" si="115"/>
        <v>, CASE WHEN shikkan_disp_name = 'I500' THEN min_shikkan_start_date ::DATE ELSE NULL END AS shikkan617_start_date</v>
      </c>
      <c r="V630" s="25" t="str">
        <f t="shared" si="116"/>
        <v>, max(shikkan617_start_date)</v>
      </c>
      <c r="AA630" s="4"/>
      <c r="AB630" s="4"/>
      <c r="AC630" s="4"/>
      <c r="AD630" s="4"/>
      <c r="AE630" s="4"/>
      <c r="AF630" s="4"/>
      <c r="AG630" s="4"/>
      <c r="AH630" s="4"/>
      <c r="AI630" s="4"/>
      <c r="AJ630" s="76" t="str">
        <f>IF(E630="○",IF(COUNTA(E$13:E630)=1,"",",")&amp;D630,"")</f>
        <v/>
      </c>
      <c r="AK630" s="4"/>
      <c r="AL630" s="4"/>
      <c r="AM630" s="4"/>
      <c r="AN630" s="4"/>
      <c r="AO630" s="4"/>
      <c r="AP630" s="4"/>
      <c r="AQ630" s="4"/>
      <c r="AR630" s="4"/>
      <c r="AS630" s="76" t="str">
        <f>"COMMENT ON COLUMN "&amp;エンティティ一覧!$O$2&amp;"."&amp;D$8&amp;"."&amp;D630&amp;" IS '"&amp;C630&amp;"';"</f>
        <v>COMMENT ON COLUMN milscm_2023_009.sny_202310_annony_shikkan2.shikkan617_start_date IS 'I500_疾患開始日';</v>
      </c>
    </row>
    <row r="631" spans="1:45" s="25" customFormat="1">
      <c r="A631" s="4" t="s">
        <v>5704</v>
      </c>
      <c r="B631" s="21">
        <f t="shared" si="118"/>
        <v>619</v>
      </c>
      <c r="C631" s="13" t="str">
        <f t="shared" si="117"/>
        <v>I501_疾患開始日</v>
      </c>
      <c r="D631" s="13" t="s">
        <v>6278</v>
      </c>
      <c r="E631" s="8"/>
      <c r="F631" s="7" t="s">
        <v>4348</v>
      </c>
      <c r="G631" s="7" t="s">
        <v>25</v>
      </c>
      <c r="H631" s="58"/>
      <c r="I631" s="23"/>
      <c r="J631" s="24"/>
      <c r="M631" s="4"/>
      <c r="N631" s="76"/>
      <c r="O631" s="76"/>
      <c r="P631" s="76" t="str">
        <f t="shared" si="119"/>
        <v>,shikkan618_start_date</v>
      </c>
      <c r="Q631" s="76" t="str">
        <f t="shared" si="120"/>
        <v>DATE</v>
      </c>
      <c r="R631" s="76" t="str">
        <f t="shared" si="121"/>
        <v/>
      </c>
      <c r="S631" s="76" t="str">
        <f t="shared" si="122"/>
        <v/>
      </c>
      <c r="T631" s="76" t="str">
        <f t="shared" si="123"/>
        <v>-- I501_疾患開始日</v>
      </c>
      <c r="U631" s="4" t="str">
        <f t="shared" si="115"/>
        <v>, CASE WHEN shikkan_disp_name = 'I501' THEN min_shikkan_start_date ::DATE ELSE NULL END AS shikkan618_start_date</v>
      </c>
      <c r="V631" s="25" t="str">
        <f t="shared" si="116"/>
        <v>, max(shikkan618_start_date)</v>
      </c>
      <c r="AA631" s="4"/>
      <c r="AB631" s="4"/>
      <c r="AC631" s="4"/>
      <c r="AD631" s="4"/>
      <c r="AE631" s="4"/>
      <c r="AF631" s="4"/>
      <c r="AG631" s="4"/>
      <c r="AH631" s="4"/>
      <c r="AI631" s="4"/>
      <c r="AJ631" s="76" t="str">
        <f>IF(E631="○",IF(COUNTA(E$13:E631)=1,"",",")&amp;D631,"")</f>
        <v/>
      </c>
      <c r="AK631" s="4"/>
      <c r="AL631" s="4"/>
      <c r="AM631" s="4"/>
      <c r="AN631" s="4"/>
      <c r="AO631" s="4"/>
      <c r="AP631" s="4"/>
      <c r="AQ631" s="4"/>
      <c r="AR631" s="4"/>
      <c r="AS631" s="76" t="str">
        <f>"COMMENT ON COLUMN "&amp;エンティティ一覧!$O$2&amp;"."&amp;D$8&amp;"."&amp;D631&amp;" IS '"&amp;C631&amp;"';"</f>
        <v>COMMENT ON COLUMN milscm_2023_009.sny_202310_annony_shikkan2.shikkan618_start_date IS 'I501_疾患開始日';</v>
      </c>
    </row>
    <row r="632" spans="1:45" s="25" customFormat="1">
      <c r="A632" s="4" t="s">
        <v>5705</v>
      </c>
      <c r="B632" s="21">
        <f t="shared" si="118"/>
        <v>620</v>
      </c>
      <c r="C632" s="13" t="str">
        <f t="shared" si="117"/>
        <v>I509_疾患開始日</v>
      </c>
      <c r="D632" s="13" t="s">
        <v>6279</v>
      </c>
      <c r="E632" s="8"/>
      <c r="F632" s="7" t="s">
        <v>4348</v>
      </c>
      <c r="G632" s="7" t="s">
        <v>25</v>
      </c>
      <c r="H632" s="58"/>
      <c r="I632" s="23"/>
      <c r="J632" s="24"/>
      <c r="M632" s="4"/>
      <c r="N632" s="76"/>
      <c r="O632" s="76"/>
      <c r="P632" s="76" t="str">
        <f t="shared" si="119"/>
        <v>,shikkan619_start_date</v>
      </c>
      <c r="Q632" s="76" t="str">
        <f t="shared" si="120"/>
        <v>DATE</v>
      </c>
      <c r="R632" s="76" t="str">
        <f t="shared" si="121"/>
        <v/>
      </c>
      <c r="S632" s="76" t="str">
        <f t="shared" si="122"/>
        <v/>
      </c>
      <c r="T632" s="76" t="str">
        <f t="shared" si="123"/>
        <v>-- I509_疾患開始日</v>
      </c>
      <c r="U632" s="4" t="str">
        <f t="shared" si="115"/>
        <v>, CASE WHEN shikkan_disp_name = 'I509' THEN min_shikkan_start_date ::DATE ELSE NULL END AS shikkan619_start_date</v>
      </c>
      <c r="V632" s="25" t="str">
        <f t="shared" si="116"/>
        <v>, max(shikkan619_start_date)</v>
      </c>
      <c r="AA632" s="4"/>
      <c r="AB632" s="4"/>
      <c r="AC632" s="4"/>
      <c r="AD632" s="4"/>
      <c r="AE632" s="4"/>
      <c r="AF632" s="4"/>
      <c r="AG632" s="4"/>
      <c r="AH632" s="4"/>
      <c r="AI632" s="4"/>
      <c r="AJ632" s="76" t="str">
        <f>IF(E632="○",IF(COUNTA(E$13:E632)=1,"",",")&amp;D632,"")</f>
        <v/>
      </c>
      <c r="AK632" s="4"/>
      <c r="AL632" s="4"/>
      <c r="AM632" s="4"/>
      <c r="AN632" s="4"/>
      <c r="AO632" s="4"/>
      <c r="AP632" s="4"/>
      <c r="AQ632" s="4"/>
      <c r="AR632" s="4"/>
      <c r="AS632" s="76" t="str">
        <f>"COMMENT ON COLUMN "&amp;エンティティ一覧!$O$2&amp;"."&amp;D$8&amp;"."&amp;D632&amp;" IS '"&amp;C632&amp;"';"</f>
        <v>COMMENT ON COLUMN milscm_2023_009.sny_202310_annony_shikkan2.shikkan619_start_date IS 'I509_疾患開始日';</v>
      </c>
    </row>
    <row r="633" spans="1:45" s="25" customFormat="1">
      <c r="A633" s="4" t="s">
        <v>5706</v>
      </c>
      <c r="B633" s="21">
        <f t="shared" si="118"/>
        <v>621</v>
      </c>
      <c r="C633" s="13" t="str">
        <f t="shared" si="117"/>
        <v>I600_疾患開始日</v>
      </c>
      <c r="D633" s="13" t="s">
        <v>6280</v>
      </c>
      <c r="E633" s="8"/>
      <c r="F633" s="7" t="s">
        <v>4348</v>
      </c>
      <c r="G633" s="7" t="s">
        <v>25</v>
      </c>
      <c r="H633" s="58"/>
      <c r="I633" s="23"/>
      <c r="J633" s="24"/>
      <c r="M633" s="4"/>
      <c r="N633" s="76"/>
      <c r="O633" s="76"/>
      <c r="P633" s="76" t="str">
        <f t="shared" si="119"/>
        <v>,shikkan620_start_date</v>
      </c>
      <c r="Q633" s="76" t="str">
        <f t="shared" si="120"/>
        <v>DATE</v>
      </c>
      <c r="R633" s="76" t="str">
        <f t="shared" si="121"/>
        <v/>
      </c>
      <c r="S633" s="76" t="str">
        <f t="shared" si="122"/>
        <v/>
      </c>
      <c r="T633" s="76" t="str">
        <f t="shared" si="123"/>
        <v>-- I600_疾患開始日</v>
      </c>
      <c r="U633" s="4" t="str">
        <f t="shared" si="115"/>
        <v>, CASE WHEN shikkan_disp_name = 'I600' THEN min_shikkan_start_date ::DATE ELSE NULL END AS shikkan620_start_date</v>
      </c>
      <c r="V633" s="25" t="str">
        <f t="shared" si="116"/>
        <v>, max(shikkan620_start_date)</v>
      </c>
      <c r="AA633" s="4"/>
      <c r="AB633" s="4"/>
      <c r="AC633" s="4"/>
      <c r="AD633" s="4"/>
      <c r="AE633" s="4"/>
      <c r="AF633" s="4"/>
      <c r="AG633" s="4"/>
      <c r="AH633" s="4"/>
      <c r="AI633" s="4"/>
      <c r="AJ633" s="76" t="str">
        <f>IF(E633="○",IF(COUNTA(E$13:E633)=1,"",",")&amp;D633,"")</f>
        <v/>
      </c>
      <c r="AK633" s="4"/>
      <c r="AL633" s="4"/>
      <c r="AM633" s="4"/>
      <c r="AN633" s="4"/>
      <c r="AO633" s="4"/>
      <c r="AP633" s="4"/>
      <c r="AQ633" s="4"/>
      <c r="AR633" s="4"/>
      <c r="AS633" s="76" t="str">
        <f>"COMMENT ON COLUMN "&amp;エンティティ一覧!$O$2&amp;"."&amp;D$8&amp;"."&amp;D633&amp;" IS '"&amp;C633&amp;"';"</f>
        <v>COMMENT ON COLUMN milscm_2023_009.sny_202310_annony_shikkan2.shikkan620_start_date IS 'I600_疾患開始日';</v>
      </c>
    </row>
    <row r="634" spans="1:45" s="25" customFormat="1">
      <c r="A634" s="4" t="s">
        <v>5707</v>
      </c>
      <c r="B634" s="21">
        <f t="shared" si="118"/>
        <v>622</v>
      </c>
      <c r="C634" s="13" t="str">
        <f t="shared" si="117"/>
        <v>I601_疾患開始日</v>
      </c>
      <c r="D634" s="13" t="s">
        <v>6281</v>
      </c>
      <c r="E634" s="8"/>
      <c r="F634" s="7" t="s">
        <v>4348</v>
      </c>
      <c r="G634" s="7" t="s">
        <v>25</v>
      </c>
      <c r="H634" s="58"/>
      <c r="I634" s="23"/>
      <c r="J634" s="24"/>
      <c r="M634" s="4"/>
      <c r="N634" s="76"/>
      <c r="O634" s="76"/>
      <c r="P634" s="76" t="str">
        <f t="shared" si="119"/>
        <v>,shikkan621_start_date</v>
      </c>
      <c r="Q634" s="76" t="str">
        <f t="shared" si="120"/>
        <v>DATE</v>
      </c>
      <c r="R634" s="76" t="str">
        <f t="shared" si="121"/>
        <v/>
      </c>
      <c r="S634" s="76" t="str">
        <f t="shared" si="122"/>
        <v/>
      </c>
      <c r="T634" s="76" t="str">
        <f t="shared" si="123"/>
        <v>-- I601_疾患開始日</v>
      </c>
      <c r="U634" s="4" t="str">
        <f t="shared" si="115"/>
        <v>, CASE WHEN shikkan_disp_name = 'I601' THEN min_shikkan_start_date ::DATE ELSE NULL END AS shikkan621_start_date</v>
      </c>
      <c r="V634" s="25" t="str">
        <f t="shared" si="116"/>
        <v>, max(shikkan621_start_date)</v>
      </c>
      <c r="AA634" s="4"/>
      <c r="AB634" s="4"/>
      <c r="AC634" s="4"/>
      <c r="AD634" s="4"/>
      <c r="AE634" s="4"/>
      <c r="AF634" s="4"/>
      <c r="AG634" s="4"/>
      <c r="AH634" s="4"/>
      <c r="AI634" s="4"/>
      <c r="AJ634" s="76" t="str">
        <f>IF(E634="○",IF(COUNTA(E$13:E634)=1,"",",")&amp;D634,"")</f>
        <v/>
      </c>
      <c r="AK634" s="4"/>
      <c r="AL634" s="4"/>
      <c r="AM634" s="4"/>
      <c r="AN634" s="4"/>
      <c r="AO634" s="4"/>
      <c r="AP634" s="4"/>
      <c r="AQ634" s="4"/>
      <c r="AR634" s="4"/>
      <c r="AS634" s="76" t="str">
        <f>"COMMENT ON COLUMN "&amp;エンティティ一覧!$O$2&amp;"."&amp;D$8&amp;"."&amp;D634&amp;" IS '"&amp;C634&amp;"';"</f>
        <v>COMMENT ON COLUMN milscm_2023_009.sny_202310_annony_shikkan2.shikkan621_start_date IS 'I601_疾患開始日';</v>
      </c>
    </row>
    <row r="635" spans="1:45" s="25" customFormat="1">
      <c r="A635" s="4" t="s">
        <v>5708</v>
      </c>
      <c r="B635" s="21">
        <f t="shared" si="118"/>
        <v>623</v>
      </c>
      <c r="C635" s="13" t="str">
        <f t="shared" si="117"/>
        <v>I602_疾患開始日</v>
      </c>
      <c r="D635" s="13" t="s">
        <v>6282</v>
      </c>
      <c r="E635" s="8"/>
      <c r="F635" s="7" t="s">
        <v>4348</v>
      </c>
      <c r="G635" s="7" t="s">
        <v>25</v>
      </c>
      <c r="H635" s="58"/>
      <c r="I635" s="23"/>
      <c r="J635" s="24"/>
      <c r="M635" s="4"/>
      <c r="N635" s="76"/>
      <c r="O635" s="76"/>
      <c r="P635" s="76" t="str">
        <f t="shared" si="119"/>
        <v>,shikkan622_start_date</v>
      </c>
      <c r="Q635" s="76" t="str">
        <f t="shared" si="120"/>
        <v>DATE</v>
      </c>
      <c r="R635" s="76" t="str">
        <f t="shared" si="121"/>
        <v/>
      </c>
      <c r="S635" s="76" t="str">
        <f t="shared" si="122"/>
        <v/>
      </c>
      <c r="T635" s="76" t="str">
        <f t="shared" si="123"/>
        <v>-- I602_疾患開始日</v>
      </c>
      <c r="U635" s="4" t="str">
        <f t="shared" si="115"/>
        <v>, CASE WHEN shikkan_disp_name = 'I602' THEN min_shikkan_start_date ::DATE ELSE NULL END AS shikkan622_start_date</v>
      </c>
      <c r="V635" s="25" t="str">
        <f t="shared" si="116"/>
        <v>, max(shikkan622_start_date)</v>
      </c>
      <c r="AA635" s="4"/>
      <c r="AB635" s="4"/>
      <c r="AC635" s="4"/>
      <c r="AD635" s="4"/>
      <c r="AE635" s="4"/>
      <c r="AF635" s="4"/>
      <c r="AG635" s="4"/>
      <c r="AH635" s="4"/>
      <c r="AI635" s="4"/>
      <c r="AJ635" s="76" t="str">
        <f>IF(E635="○",IF(COUNTA(E$13:E635)=1,"",",")&amp;D635,"")</f>
        <v/>
      </c>
      <c r="AK635" s="4"/>
      <c r="AL635" s="4"/>
      <c r="AM635" s="4"/>
      <c r="AN635" s="4"/>
      <c r="AO635" s="4"/>
      <c r="AP635" s="4"/>
      <c r="AQ635" s="4"/>
      <c r="AR635" s="4"/>
      <c r="AS635" s="76" t="str">
        <f>"COMMENT ON COLUMN "&amp;エンティティ一覧!$O$2&amp;"."&amp;D$8&amp;"."&amp;D635&amp;" IS '"&amp;C635&amp;"';"</f>
        <v>COMMENT ON COLUMN milscm_2023_009.sny_202310_annony_shikkan2.shikkan622_start_date IS 'I602_疾患開始日';</v>
      </c>
    </row>
    <row r="636" spans="1:45" s="25" customFormat="1">
      <c r="A636" s="4" t="s">
        <v>5709</v>
      </c>
      <c r="B636" s="21">
        <f t="shared" si="118"/>
        <v>624</v>
      </c>
      <c r="C636" s="13" t="str">
        <f t="shared" si="117"/>
        <v>I603_疾患開始日</v>
      </c>
      <c r="D636" s="13" t="s">
        <v>6283</v>
      </c>
      <c r="E636" s="8"/>
      <c r="F636" s="7" t="s">
        <v>4348</v>
      </c>
      <c r="G636" s="7" t="s">
        <v>99</v>
      </c>
      <c r="H636" s="58"/>
      <c r="I636" s="23"/>
      <c r="J636" s="24"/>
      <c r="M636" s="4"/>
      <c r="N636" s="76"/>
      <c r="O636" s="76"/>
      <c r="P636" s="76" t="str">
        <f t="shared" si="119"/>
        <v>,shikkan623_start_date</v>
      </c>
      <c r="Q636" s="76" t="str">
        <f t="shared" si="120"/>
        <v>DATE</v>
      </c>
      <c r="R636" s="76" t="str">
        <f t="shared" si="121"/>
        <v/>
      </c>
      <c r="S636" s="76" t="str">
        <f t="shared" si="122"/>
        <v/>
      </c>
      <c r="T636" s="76" t="str">
        <f t="shared" si="123"/>
        <v>-- I603_疾患開始日</v>
      </c>
      <c r="U636" s="4" t="str">
        <f t="shared" si="115"/>
        <v>, CASE WHEN shikkan_disp_name = 'I603' THEN min_shikkan_start_date ::DATE ELSE NULL END AS shikkan623_start_date</v>
      </c>
      <c r="V636" s="25" t="str">
        <f t="shared" si="116"/>
        <v>, max(shikkan623_start_date)</v>
      </c>
      <c r="AA636" s="4"/>
      <c r="AB636" s="4"/>
      <c r="AC636" s="4"/>
      <c r="AD636" s="4"/>
      <c r="AE636" s="4"/>
      <c r="AF636" s="4"/>
      <c r="AG636" s="4"/>
      <c r="AH636" s="4"/>
      <c r="AI636" s="4"/>
      <c r="AJ636" s="76" t="str">
        <f>IF(E636="○",IF(COUNTA(E$13:E636)=1,"",",")&amp;D636,"")</f>
        <v/>
      </c>
      <c r="AK636" s="4"/>
      <c r="AL636" s="4"/>
      <c r="AM636" s="4"/>
      <c r="AN636" s="4"/>
      <c r="AO636" s="4"/>
      <c r="AP636" s="4"/>
      <c r="AQ636" s="4"/>
      <c r="AR636" s="4"/>
      <c r="AS636" s="76" t="str">
        <f>"COMMENT ON COLUMN "&amp;エンティティ一覧!$O$2&amp;"."&amp;D$8&amp;"."&amp;D636&amp;" IS '"&amp;C636&amp;"';"</f>
        <v>COMMENT ON COLUMN milscm_2023_009.sny_202310_annony_shikkan2.shikkan623_start_date IS 'I603_疾患開始日';</v>
      </c>
    </row>
    <row r="637" spans="1:45" s="25" customFormat="1">
      <c r="A637" s="4" t="s">
        <v>5710</v>
      </c>
      <c r="B637" s="21">
        <f t="shared" si="118"/>
        <v>625</v>
      </c>
      <c r="C637" s="13" t="str">
        <f t="shared" si="117"/>
        <v>I604_疾患開始日</v>
      </c>
      <c r="D637" s="13" t="s">
        <v>6284</v>
      </c>
      <c r="E637" s="8"/>
      <c r="F637" s="7" t="s">
        <v>4348</v>
      </c>
      <c r="G637" s="7" t="s">
        <v>25</v>
      </c>
      <c r="H637" s="58"/>
      <c r="I637" s="23"/>
      <c r="J637" s="24"/>
      <c r="M637" s="4"/>
      <c r="N637" s="76"/>
      <c r="O637" s="76"/>
      <c r="P637" s="76" t="str">
        <f t="shared" si="119"/>
        <v>,shikkan624_start_date</v>
      </c>
      <c r="Q637" s="76" t="str">
        <f t="shared" si="120"/>
        <v>DATE</v>
      </c>
      <c r="R637" s="76" t="str">
        <f t="shared" si="121"/>
        <v/>
      </c>
      <c r="S637" s="76" t="str">
        <f t="shared" si="122"/>
        <v/>
      </c>
      <c r="T637" s="76" t="str">
        <f t="shared" si="123"/>
        <v>-- I604_疾患開始日</v>
      </c>
      <c r="U637" s="4" t="str">
        <f t="shared" si="115"/>
        <v>, CASE WHEN shikkan_disp_name = 'I604' THEN min_shikkan_start_date ::DATE ELSE NULL END AS shikkan624_start_date</v>
      </c>
      <c r="V637" s="25" t="str">
        <f t="shared" si="116"/>
        <v>, max(shikkan624_start_date)</v>
      </c>
      <c r="AA637" s="4"/>
      <c r="AB637" s="4"/>
      <c r="AC637" s="4"/>
      <c r="AD637" s="4"/>
      <c r="AE637" s="4"/>
      <c r="AF637" s="4"/>
      <c r="AG637" s="4"/>
      <c r="AH637" s="4"/>
      <c r="AI637" s="4"/>
      <c r="AJ637" s="76" t="str">
        <f>IF(E637="○",IF(COUNTA(E$13:E637)=1,"",",")&amp;D637,"")</f>
        <v/>
      </c>
      <c r="AK637" s="4"/>
      <c r="AL637" s="4"/>
      <c r="AM637" s="4"/>
      <c r="AN637" s="4"/>
      <c r="AO637" s="4"/>
      <c r="AP637" s="4"/>
      <c r="AQ637" s="4"/>
      <c r="AR637" s="4"/>
      <c r="AS637" s="76" t="str">
        <f>"COMMENT ON COLUMN "&amp;エンティティ一覧!$O$2&amp;"."&amp;D$8&amp;"."&amp;D637&amp;" IS '"&amp;C637&amp;"';"</f>
        <v>COMMENT ON COLUMN milscm_2023_009.sny_202310_annony_shikkan2.shikkan624_start_date IS 'I604_疾患開始日';</v>
      </c>
    </row>
    <row r="638" spans="1:45" s="25" customFormat="1">
      <c r="A638" s="4" t="s">
        <v>5711</v>
      </c>
      <c r="B638" s="21">
        <f t="shared" si="118"/>
        <v>626</v>
      </c>
      <c r="C638" s="13" t="str">
        <f t="shared" si="117"/>
        <v>I605_疾患開始日</v>
      </c>
      <c r="D638" s="13" t="s">
        <v>6285</v>
      </c>
      <c r="E638" s="8"/>
      <c r="F638" s="7" t="s">
        <v>4348</v>
      </c>
      <c r="G638" s="7" t="s">
        <v>25</v>
      </c>
      <c r="H638" s="58"/>
      <c r="I638" s="23"/>
      <c r="J638" s="24"/>
      <c r="M638" s="4"/>
      <c r="N638" s="76"/>
      <c r="O638" s="76"/>
      <c r="P638" s="76" t="str">
        <f t="shared" si="119"/>
        <v>,shikkan625_start_date</v>
      </c>
      <c r="Q638" s="76" t="str">
        <f t="shared" si="120"/>
        <v>DATE</v>
      </c>
      <c r="R638" s="76" t="str">
        <f t="shared" si="121"/>
        <v/>
      </c>
      <c r="S638" s="76" t="str">
        <f t="shared" si="122"/>
        <v/>
      </c>
      <c r="T638" s="76" t="str">
        <f t="shared" si="123"/>
        <v>-- I605_疾患開始日</v>
      </c>
      <c r="U638" s="4" t="str">
        <f t="shared" si="115"/>
        <v>, CASE WHEN shikkan_disp_name = 'I605' THEN min_shikkan_start_date ::DATE ELSE NULL END AS shikkan625_start_date</v>
      </c>
      <c r="V638" s="25" t="str">
        <f t="shared" si="116"/>
        <v>, max(shikkan625_start_date)</v>
      </c>
      <c r="AA638" s="4"/>
      <c r="AB638" s="4"/>
      <c r="AC638" s="4"/>
      <c r="AD638" s="4"/>
      <c r="AE638" s="4"/>
      <c r="AF638" s="4"/>
      <c r="AG638" s="4"/>
      <c r="AH638" s="4"/>
      <c r="AI638" s="4"/>
      <c r="AJ638" s="76" t="str">
        <f>IF(E638="○",IF(COUNTA(E$13:E638)=1,"",",")&amp;D638,"")</f>
        <v/>
      </c>
      <c r="AK638" s="4"/>
      <c r="AL638" s="4"/>
      <c r="AM638" s="4"/>
      <c r="AN638" s="4"/>
      <c r="AO638" s="4"/>
      <c r="AP638" s="4"/>
      <c r="AQ638" s="4"/>
      <c r="AR638" s="4"/>
      <c r="AS638" s="76" t="str">
        <f>"COMMENT ON COLUMN "&amp;エンティティ一覧!$O$2&amp;"."&amp;D$8&amp;"."&amp;D638&amp;" IS '"&amp;C638&amp;"';"</f>
        <v>COMMENT ON COLUMN milscm_2023_009.sny_202310_annony_shikkan2.shikkan625_start_date IS 'I605_疾患開始日';</v>
      </c>
    </row>
    <row r="639" spans="1:45" s="25" customFormat="1">
      <c r="A639" s="4" t="s">
        <v>5712</v>
      </c>
      <c r="B639" s="21">
        <f t="shared" si="118"/>
        <v>627</v>
      </c>
      <c r="C639" s="13" t="str">
        <f t="shared" si="117"/>
        <v>I606_疾患開始日</v>
      </c>
      <c r="D639" s="13" t="s">
        <v>6286</v>
      </c>
      <c r="E639" s="8"/>
      <c r="F639" s="7" t="s">
        <v>4348</v>
      </c>
      <c r="G639" s="7" t="s">
        <v>25</v>
      </c>
      <c r="H639" s="58"/>
      <c r="I639" s="23"/>
      <c r="J639" s="24"/>
      <c r="M639" s="4"/>
      <c r="N639" s="76"/>
      <c r="O639" s="76"/>
      <c r="P639" s="76" t="str">
        <f t="shared" si="119"/>
        <v>,shikkan626_start_date</v>
      </c>
      <c r="Q639" s="76" t="str">
        <f t="shared" si="120"/>
        <v>DATE</v>
      </c>
      <c r="R639" s="76" t="str">
        <f t="shared" si="121"/>
        <v/>
      </c>
      <c r="S639" s="76" t="str">
        <f t="shared" si="122"/>
        <v/>
      </c>
      <c r="T639" s="76" t="str">
        <f t="shared" si="123"/>
        <v>-- I606_疾患開始日</v>
      </c>
      <c r="U639" s="4" t="str">
        <f t="shared" si="115"/>
        <v>, CASE WHEN shikkan_disp_name = 'I606' THEN min_shikkan_start_date ::DATE ELSE NULL END AS shikkan626_start_date</v>
      </c>
      <c r="V639" s="25" t="str">
        <f t="shared" si="116"/>
        <v>, max(shikkan626_start_date)</v>
      </c>
      <c r="AA639" s="4"/>
      <c r="AB639" s="4"/>
      <c r="AC639" s="4"/>
      <c r="AD639" s="4"/>
      <c r="AE639" s="4"/>
      <c r="AF639" s="4"/>
      <c r="AG639" s="4"/>
      <c r="AH639" s="4"/>
      <c r="AI639" s="4"/>
      <c r="AJ639" s="76" t="str">
        <f>IF(E639="○",IF(COUNTA(E$13:E639)=1,"",",")&amp;D639,"")</f>
        <v/>
      </c>
      <c r="AK639" s="4"/>
      <c r="AL639" s="4"/>
      <c r="AM639" s="4"/>
      <c r="AN639" s="4"/>
      <c r="AO639" s="4"/>
      <c r="AP639" s="4"/>
      <c r="AQ639" s="4"/>
      <c r="AR639" s="4"/>
      <c r="AS639" s="76" t="str">
        <f>"COMMENT ON COLUMN "&amp;エンティティ一覧!$O$2&amp;"."&amp;D$8&amp;"."&amp;D639&amp;" IS '"&amp;C639&amp;"';"</f>
        <v>COMMENT ON COLUMN milscm_2023_009.sny_202310_annony_shikkan2.shikkan626_start_date IS 'I606_疾患開始日';</v>
      </c>
    </row>
    <row r="640" spans="1:45" s="25" customFormat="1">
      <c r="A640" s="4" t="s">
        <v>5713</v>
      </c>
      <c r="B640" s="21">
        <f t="shared" si="118"/>
        <v>628</v>
      </c>
      <c r="C640" s="13" t="str">
        <f t="shared" si="117"/>
        <v>I607_疾患開始日</v>
      </c>
      <c r="D640" s="13" t="s">
        <v>6287</v>
      </c>
      <c r="E640" s="8"/>
      <c r="F640" s="7" t="s">
        <v>4348</v>
      </c>
      <c r="G640" s="7" t="s">
        <v>25</v>
      </c>
      <c r="H640" s="58"/>
      <c r="I640" s="23"/>
      <c r="J640" s="24"/>
      <c r="M640" s="4"/>
      <c r="N640" s="76"/>
      <c r="O640" s="76"/>
      <c r="P640" s="76" t="str">
        <f t="shared" si="119"/>
        <v>,shikkan627_start_date</v>
      </c>
      <c r="Q640" s="76" t="str">
        <f t="shared" si="120"/>
        <v>DATE</v>
      </c>
      <c r="R640" s="76" t="str">
        <f t="shared" si="121"/>
        <v/>
      </c>
      <c r="S640" s="76" t="str">
        <f t="shared" si="122"/>
        <v/>
      </c>
      <c r="T640" s="76" t="str">
        <f t="shared" si="123"/>
        <v>-- I607_疾患開始日</v>
      </c>
      <c r="U640" s="4" t="str">
        <f t="shared" si="115"/>
        <v>, CASE WHEN shikkan_disp_name = 'I607' THEN min_shikkan_start_date ::DATE ELSE NULL END AS shikkan627_start_date</v>
      </c>
      <c r="V640" s="25" t="str">
        <f t="shared" si="116"/>
        <v>, max(shikkan627_start_date)</v>
      </c>
      <c r="AA640" s="4"/>
      <c r="AB640" s="4"/>
      <c r="AC640" s="4"/>
      <c r="AD640" s="4"/>
      <c r="AE640" s="4"/>
      <c r="AF640" s="4"/>
      <c r="AG640" s="4"/>
      <c r="AH640" s="4"/>
      <c r="AI640" s="4"/>
      <c r="AJ640" s="76" t="str">
        <f>IF(E640="○",IF(COUNTA(E$13:E640)=1,"",",")&amp;D640,"")</f>
        <v/>
      </c>
      <c r="AK640" s="4"/>
      <c r="AL640" s="4"/>
      <c r="AM640" s="4"/>
      <c r="AN640" s="4"/>
      <c r="AO640" s="4"/>
      <c r="AP640" s="4"/>
      <c r="AQ640" s="4"/>
      <c r="AR640" s="4"/>
      <c r="AS640" s="76" t="str">
        <f>"COMMENT ON COLUMN "&amp;エンティティ一覧!$O$2&amp;"."&amp;D$8&amp;"."&amp;D640&amp;" IS '"&amp;C640&amp;"';"</f>
        <v>COMMENT ON COLUMN milscm_2023_009.sny_202310_annony_shikkan2.shikkan627_start_date IS 'I607_疾患開始日';</v>
      </c>
    </row>
    <row r="641" spans="1:45" s="25" customFormat="1">
      <c r="A641" s="4" t="s">
        <v>5714</v>
      </c>
      <c r="B641" s="21">
        <f t="shared" si="118"/>
        <v>629</v>
      </c>
      <c r="C641" s="13" t="str">
        <f t="shared" si="117"/>
        <v>I608_疾患開始日</v>
      </c>
      <c r="D641" s="13" t="s">
        <v>6288</v>
      </c>
      <c r="E641" s="8"/>
      <c r="F641" s="7" t="s">
        <v>4348</v>
      </c>
      <c r="G641" s="7" t="s">
        <v>25</v>
      </c>
      <c r="H641" s="58"/>
      <c r="I641" s="23"/>
      <c r="J641" s="24"/>
      <c r="M641" s="4"/>
      <c r="N641" s="76"/>
      <c r="O641" s="76"/>
      <c r="P641" s="76" t="str">
        <f t="shared" si="119"/>
        <v>,shikkan628_start_date</v>
      </c>
      <c r="Q641" s="76" t="str">
        <f t="shared" si="120"/>
        <v>DATE</v>
      </c>
      <c r="R641" s="76" t="str">
        <f t="shared" si="121"/>
        <v/>
      </c>
      <c r="S641" s="76" t="str">
        <f t="shared" si="122"/>
        <v/>
      </c>
      <c r="T641" s="76" t="str">
        <f t="shared" si="123"/>
        <v>-- I608_疾患開始日</v>
      </c>
      <c r="U641" s="4" t="str">
        <f t="shared" si="115"/>
        <v>, CASE WHEN shikkan_disp_name = 'I608' THEN min_shikkan_start_date ::DATE ELSE NULL END AS shikkan628_start_date</v>
      </c>
      <c r="V641" s="25" t="str">
        <f t="shared" si="116"/>
        <v>, max(shikkan628_start_date)</v>
      </c>
      <c r="AA641" s="4"/>
      <c r="AB641" s="4"/>
      <c r="AC641" s="4"/>
      <c r="AD641" s="4"/>
      <c r="AE641" s="4"/>
      <c r="AF641" s="4"/>
      <c r="AG641" s="4"/>
      <c r="AH641" s="4"/>
      <c r="AI641" s="4"/>
      <c r="AJ641" s="76" t="str">
        <f>IF(E641="○",IF(COUNTA(E$13:E641)=1,"",",")&amp;D641,"")</f>
        <v/>
      </c>
      <c r="AK641" s="4"/>
      <c r="AL641" s="4"/>
      <c r="AM641" s="4"/>
      <c r="AN641" s="4"/>
      <c r="AO641" s="4"/>
      <c r="AP641" s="4"/>
      <c r="AQ641" s="4"/>
      <c r="AR641" s="4"/>
      <c r="AS641" s="76" t="str">
        <f>"COMMENT ON COLUMN "&amp;エンティティ一覧!$O$2&amp;"."&amp;D$8&amp;"."&amp;D641&amp;" IS '"&amp;C641&amp;"';"</f>
        <v>COMMENT ON COLUMN milscm_2023_009.sny_202310_annony_shikkan2.shikkan628_start_date IS 'I608_疾患開始日';</v>
      </c>
    </row>
    <row r="642" spans="1:45" s="25" customFormat="1">
      <c r="A642" s="4" t="s">
        <v>5715</v>
      </c>
      <c r="B642" s="21">
        <f t="shared" si="118"/>
        <v>630</v>
      </c>
      <c r="C642" s="13" t="str">
        <f t="shared" si="117"/>
        <v>I609_疾患開始日</v>
      </c>
      <c r="D642" s="13" t="s">
        <v>6289</v>
      </c>
      <c r="E642" s="8"/>
      <c r="F642" s="7" t="s">
        <v>4348</v>
      </c>
      <c r="G642" s="7" t="s">
        <v>25</v>
      </c>
      <c r="H642" s="58"/>
      <c r="I642" s="23"/>
      <c r="J642" s="24"/>
      <c r="M642" s="4"/>
      <c r="N642" s="76"/>
      <c r="O642" s="76"/>
      <c r="P642" s="76" t="str">
        <f t="shared" si="119"/>
        <v>,shikkan629_start_date</v>
      </c>
      <c r="Q642" s="76" t="str">
        <f t="shared" si="120"/>
        <v>DATE</v>
      </c>
      <c r="R642" s="76" t="str">
        <f t="shared" si="121"/>
        <v/>
      </c>
      <c r="S642" s="76" t="str">
        <f t="shared" si="122"/>
        <v/>
      </c>
      <c r="T642" s="76" t="str">
        <f t="shared" si="123"/>
        <v>-- I609_疾患開始日</v>
      </c>
      <c r="U642" s="4" t="str">
        <f t="shared" si="115"/>
        <v>, CASE WHEN shikkan_disp_name = 'I609' THEN min_shikkan_start_date ::DATE ELSE NULL END AS shikkan629_start_date</v>
      </c>
      <c r="V642" s="25" t="str">
        <f t="shared" si="116"/>
        <v>, max(shikkan629_start_date)</v>
      </c>
      <c r="AA642" s="4"/>
      <c r="AB642" s="4"/>
      <c r="AC642" s="4"/>
      <c r="AD642" s="4"/>
      <c r="AE642" s="4"/>
      <c r="AF642" s="4"/>
      <c r="AG642" s="4"/>
      <c r="AH642" s="4"/>
      <c r="AI642" s="4"/>
      <c r="AJ642" s="76" t="str">
        <f>IF(E642="○",IF(COUNTA(E$13:E642)=1,"",",")&amp;D642,"")</f>
        <v/>
      </c>
      <c r="AK642" s="4"/>
      <c r="AL642" s="4"/>
      <c r="AM642" s="4"/>
      <c r="AN642" s="4"/>
      <c r="AO642" s="4"/>
      <c r="AP642" s="4"/>
      <c r="AQ642" s="4"/>
      <c r="AR642" s="4"/>
      <c r="AS642" s="76" t="str">
        <f>"COMMENT ON COLUMN "&amp;エンティティ一覧!$O$2&amp;"."&amp;D$8&amp;"."&amp;D642&amp;" IS '"&amp;C642&amp;"';"</f>
        <v>COMMENT ON COLUMN milscm_2023_009.sny_202310_annony_shikkan2.shikkan629_start_date IS 'I609_疾患開始日';</v>
      </c>
    </row>
    <row r="643" spans="1:45" s="25" customFormat="1">
      <c r="A643" s="4" t="s">
        <v>5716</v>
      </c>
      <c r="B643" s="21">
        <f t="shared" si="118"/>
        <v>631</v>
      </c>
      <c r="C643" s="13" t="str">
        <f t="shared" si="117"/>
        <v>I610_疾患開始日</v>
      </c>
      <c r="D643" s="13" t="s">
        <v>6290</v>
      </c>
      <c r="E643" s="8"/>
      <c r="F643" s="7" t="s">
        <v>4348</v>
      </c>
      <c r="G643" s="7" t="s">
        <v>25</v>
      </c>
      <c r="H643" s="58"/>
      <c r="I643" s="23"/>
      <c r="J643" s="24"/>
      <c r="M643" s="4"/>
      <c r="N643" s="76"/>
      <c r="O643" s="76"/>
      <c r="P643" s="76" t="str">
        <f t="shared" si="119"/>
        <v>,shikkan630_start_date</v>
      </c>
      <c r="Q643" s="76" t="str">
        <f t="shared" si="120"/>
        <v>DATE</v>
      </c>
      <c r="R643" s="76" t="str">
        <f t="shared" si="121"/>
        <v/>
      </c>
      <c r="S643" s="76" t="str">
        <f t="shared" si="122"/>
        <v/>
      </c>
      <c r="T643" s="76" t="str">
        <f t="shared" si="123"/>
        <v>-- I610_疾患開始日</v>
      </c>
      <c r="U643" s="4" t="str">
        <f t="shared" si="115"/>
        <v>, CASE WHEN shikkan_disp_name = 'I610' THEN min_shikkan_start_date ::DATE ELSE NULL END AS shikkan630_start_date</v>
      </c>
      <c r="V643" s="25" t="str">
        <f t="shared" si="116"/>
        <v>, max(shikkan630_start_date)</v>
      </c>
      <c r="AA643" s="4"/>
      <c r="AB643" s="4"/>
      <c r="AC643" s="4"/>
      <c r="AD643" s="4"/>
      <c r="AE643" s="4"/>
      <c r="AF643" s="4"/>
      <c r="AG643" s="4"/>
      <c r="AH643" s="4"/>
      <c r="AI643" s="4"/>
      <c r="AJ643" s="76" t="str">
        <f>IF(E643="○",IF(COUNTA(E$13:E643)=1,"",",")&amp;D643,"")</f>
        <v/>
      </c>
      <c r="AK643" s="4"/>
      <c r="AL643" s="4"/>
      <c r="AM643" s="4"/>
      <c r="AN643" s="4"/>
      <c r="AO643" s="4"/>
      <c r="AP643" s="4"/>
      <c r="AQ643" s="4"/>
      <c r="AR643" s="4"/>
      <c r="AS643" s="76" t="str">
        <f>"COMMENT ON COLUMN "&amp;エンティティ一覧!$O$2&amp;"."&amp;D$8&amp;"."&amp;D643&amp;" IS '"&amp;C643&amp;"';"</f>
        <v>COMMENT ON COLUMN milscm_2023_009.sny_202310_annony_shikkan2.shikkan630_start_date IS 'I610_疾患開始日';</v>
      </c>
    </row>
    <row r="644" spans="1:45" s="25" customFormat="1">
      <c r="A644" s="4" t="s">
        <v>5717</v>
      </c>
      <c r="B644" s="21">
        <f t="shared" si="118"/>
        <v>632</v>
      </c>
      <c r="C644" s="13" t="str">
        <f t="shared" si="117"/>
        <v>I611_疾患開始日</v>
      </c>
      <c r="D644" s="13" t="s">
        <v>6291</v>
      </c>
      <c r="E644" s="8"/>
      <c r="F644" s="7" t="s">
        <v>4348</v>
      </c>
      <c r="G644" s="7" t="s">
        <v>25</v>
      </c>
      <c r="H644" s="58"/>
      <c r="I644" s="23"/>
      <c r="J644" s="24"/>
      <c r="M644" s="4"/>
      <c r="N644" s="76"/>
      <c r="O644" s="76"/>
      <c r="P644" s="76" t="str">
        <f t="shared" si="119"/>
        <v>,shikkan631_start_date</v>
      </c>
      <c r="Q644" s="76" t="str">
        <f t="shared" si="120"/>
        <v>DATE</v>
      </c>
      <c r="R644" s="76" t="str">
        <f t="shared" si="121"/>
        <v/>
      </c>
      <c r="S644" s="76" t="str">
        <f t="shared" si="122"/>
        <v/>
      </c>
      <c r="T644" s="76" t="str">
        <f t="shared" si="123"/>
        <v>-- I611_疾患開始日</v>
      </c>
      <c r="U644" s="4" t="str">
        <f t="shared" si="115"/>
        <v>, CASE WHEN shikkan_disp_name = 'I611' THEN min_shikkan_start_date ::DATE ELSE NULL END AS shikkan631_start_date</v>
      </c>
      <c r="V644" s="25" t="str">
        <f t="shared" si="116"/>
        <v>, max(shikkan631_start_date)</v>
      </c>
      <c r="AA644" s="4"/>
      <c r="AB644" s="4"/>
      <c r="AC644" s="4"/>
      <c r="AD644" s="4"/>
      <c r="AE644" s="4"/>
      <c r="AF644" s="4"/>
      <c r="AG644" s="4"/>
      <c r="AH644" s="4"/>
      <c r="AI644" s="4"/>
      <c r="AJ644" s="76" t="str">
        <f>IF(E644="○",IF(COUNTA(E$13:E644)=1,"",",")&amp;D644,"")</f>
        <v/>
      </c>
      <c r="AK644" s="4"/>
      <c r="AL644" s="4"/>
      <c r="AM644" s="4"/>
      <c r="AN644" s="4"/>
      <c r="AO644" s="4"/>
      <c r="AP644" s="4"/>
      <c r="AQ644" s="4"/>
      <c r="AR644" s="4"/>
      <c r="AS644" s="76" t="str">
        <f>"COMMENT ON COLUMN "&amp;エンティティ一覧!$O$2&amp;"."&amp;D$8&amp;"."&amp;D644&amp;" IS '"&amp;C644&amp;"';"</f>
        <v>COMMENT ON COLUMN milscm_2023_009.sny_202310_annony_shikkan2.shikkan631_start_date IS 'I611_疾患開始日';</v>
      </c>
    </row>
    <row r="645" spans="1:45" s="25" customFormat="1">
      <c r="A645" s="4" t="s">
        <v>5718</v>
      </c>
      <c r="B645" s="21">
        <f t="shared" si="118"/>
        <v>633</v>
      </c>
      <c r="C645" s="13" t="str">
        <f t="shared" si="117"/>
        <v>I612_疾患開始日</v>
      </c>
      <c r="D645" s="13" t="s">
        <v>6292</v>
      </c>
      <c r="E645" s="8"/>
      <c r="F645" s="7" t="s">
        <v>4348</v>
      </c>
      <c r="G645" s="7" t="s">
        <v>25</v>
      </c>
      <c r="H645" s="58"/>
      <c r="I645" s="23"/>
      <c r="J645" s="24"/>
      <c r="M645" s="4"/>
      <c r="N645" s="76"/>
      <c r="O645" s="76"/>
      <c r="P645" s="76" t="str">
        <f t="shared" si="119"/>
        <v>,shikkan632_start_date</v>
      </c>
      <c r="Q645" s="76" t="str">
        <f t="shared" si="120"/>
        <v>DATE</v>
      </c>
      <c r="R645" s="76" t="str">
        <f t="shared" si="121"/>
        <v/>
      </c>
      <c r="S645" s="76" t="str">
        <f t="shared" si="122"/>
        <v/>
      </c>
      <c r="T645" s="76" t="str">
        <f t="shared" si="123"/>
        <v>-- I612_疾患開始日</v>
      </c>
      <c r="U645" s="4" t="str">
        <f t="shared" si="115"/>
        <v>, CASE WHEN shikkan_disp_name = 'I612' THEN min_shikkan_start_date ::DATE ELSE NULL END AS shikkan632_start_date</v>
      </c>
      <c r="V645" s="25" t="str">
        <f t="shared" si="116"/>
        <v>, max(shikkan632_start_date)</v>
      </c>
      <c r="AA645" s="4"/>
      <c r="AB645" s="4"/>
      <c r="AC645" s="4"/>
      <c r="AD645" s="4"/>
      <c r="AE645" s="4"/>
      <c r="AF645" s="4"/>
      <c r="AG645" s="4"/>
      <c r="AH645" s="4"/>
      <c r="AI645" s="4"/>
      <c r="AJ645" s="76" t="str">
        <f>IF(E645="○",IF(COUNTA(E$13:E645)=1,"",",")&amp;D645,"")</f>
        <v/>
      </c>
      <c r="AK645" s="4"/>
      <c r="AL645" s="4"/>
      <c r="AM645" s="4"/>
      <c r="AN645" s="4"/>
      <c r="AO645" s="4"/>
      <c r="AP645" s="4"/>
      <c r="AQ645" s="4"/>
      <c r="AR645" s="4"/>
      <c r="AS645" s="76" t="str">
        <f>"COMMENT ON COLUMN "&amp;エンティティ一覧!$O$2&amp;"."&amp;D$8&amp;"."&amp;D645&amp;" IS '"&amp;C645&amp;"';"</f>
        <v>COMMENT ON COLUMN milscm_2023_009.sny_202310_annony_shikkan2.shikkan632_start_date IS 'I612_疾患開始日';</v>
      </c>
    </row>
    <row r="646" spans="1:45" s="25" customFormat="1">
      <c r="A646" s="4" t="s">
        <v>5719</v>
      </c>
      <c r="B646" s="21">
        <f t="shared" si="118"/>
        <v>634</v>
      </c>
      <c r="C646" s="13" t="str">
        <f t="shared" si="117"/>
        <v>I613_疾患開始日</v>
      </c>
      <c r="D646" s="13" t="s">
        <v>6293</v>
      </c>
      <c r="E646" s="8"/>
      <c r="F646" s="7" t="s">
        <v>4348</v>
      </c>
      <c r="G646" s="7" t="s">
        <v>25</v>
      </c>
      <c r="H646" s="58"/>
      <c r="I646" s="23"/>
      <c r="J646" s="24"/>
      <c r="M646" s="4"/>
      <c r="N646" s="76"/>
      <c r="O646" s="76"/>
      <c r="P646" s="76" t="str">
        <f t="shared" si="119"/>
        <v>,shikkan633_start_date</v>
      </c>
      <c r="Q646" s="76" t="str">
        <f t="shared" si="120"/>
        <v>DATE</v>
      </c>
      <c r="R646" s="76" t="str">
        <f t="shared" si="121"/>
        <v/>
      </c>
      <c r="S646" s="76" t="str">
        <f t="shared" si="122"/>
        <v/>
      </c>
      <c r="T646" s="76" t="str">
        <f t="shared" si="123"/>
        <v>-- I613_疾患開始日</v>
      </c>
      <c r="U646" s="4" t="str">
        <f t="shared" si="115"/>
        <v>, CASE WHEN shikkan_disp_name = 'I613' THEN min_shikkan_start_date ::DATE ELSE NULL END AS shikkan633_start_date</v>
      </c>
      <c r="V646" s="25" t="str">
        <f t="shared" si="116"/>
        <v>, max(shikkan633_start_date)</v>
      </c>
      <c r="AA646" s="4"/>
      <c r="AB646" s="4"/>
      <c r="AC646" s="4"/>
      <c r="AD646" s="4"/>
      <c r="AE646" s="4"/>
      <c r="AF646" s="4"/>
      <c r="AG646" s="4"/>
      <c r="AH646" s="4"/>
      <c r="AI646" s="4"/>
      <c r="AJ646" s="76" t="str">
        <f>IF(E646="○",IF(COUNTA(E$13:E646)=1,"",",")&amp;D646,"")</f>
        <v/>
      </c>
      <c r="AK646" s="4"/>
      <c r="AL646" s="4"/>
      <c r="AM646" s="4"/>
      <c r="AN646" s="4"/>
      <c r="AO646" s="4"/>
      <c r="AP646" s="4"/>
      <c r="AQ646" s="4"/>
      <c r="AR646" s="4"/>
      <c r="AS646" s="76" t="str">
        <f>"COMMENT ON COLUMN "&amp;エンティティ一覧!$O$2&amp;"."&amp;D$8&amp;"."&amp;D646&amp;" IS '"&amp;C646&amp;"';"</f>
        <v>COMMENT ON COLUMN milscm_2023_009.sny_202310_annony_shikkan2.shikkan633_start_date IS 'I613_疾患開始日';</v>
      </c>
    </row>
    <row r="647" spans="1:45" s="25" customFormat="1">
      <c r="A647" s="4" t="s">
        <v>5720</v>
      </c>
      <c r="B647" s="21">
        <f t="shared" si="118"/>
        <v>635</v>
      </c>
      <c r="C647" s="13" t="str">
        <f t="shared" si="117"/>
        <v>I614_疾患開始日</v>
      </c>
      <c r="D647" s="13" t="s">
        <v>6294</v>
      </c>
      <c r="E647" s="8"/>
      <c r="F647" s="7" t="s">
        <v>4348</v>
      </c>
      <c r="G647" s="7" t="s">
        <v>25</v>
      </c>
      <c r="H647" s="58"/>
      <c r="I647" s="23"/>
      <c r="J647" s="24"/>
      <c r="M647" s="4"/>
      <c r="N647" s="76"/>
      <c r="O647" s="76"/>
      <c r="P647" s="76" t="str">
        <f t="shared" si="119"/>
        <v>,shikkan634_start_date</v>
      </c>
      <c r="Q647" s="76" t="str">
        <f t="shared" si="120"/>
        <v>DATE</v>
      </c>
      <c r="R647" s="76" t="str">
        <f t="shared" si="121"/>
        <v/>
      </c>
      <c r="S647" s="76" t="str">
        <f t="shared" si="122"/>
        <v/>
      </c>
      <c r="T647" s="76" t="str">
        <f t="shared" si="123"/>
        <v>-- I614_疾患開始日</v>
      </c>
      <c r="U647" s="4" t="str">
        <f t="shared" si="115"/>
        <v>, CASE WHEN shikkan_disp_name = 'I614' THEN min_shikkan_start_date ::DATE ELSE NULL END AS shikkan634_start_date</v>
      </c>
      <c r="V647" s="25" t="str">
        <f t="shared" si="116"/>
        <v>, max(shikkan634_start_date)</v>
      </c>
      <c r="AA647" s="4"/>
      <c r="AB647" s="4"/>
      <c r="AC647" s="4"/>
      <c r="AD647" s="4"/>
      <c r="AE647" s="4"/>
      <c r="AF647" s="4"/>
      <c r="AG647" s="4"/>
      <c r="AH647" s="4"/>
      <c r="AI647" s="4"/>
      <c r="AJ647" s="76" t="str">
        <f>IF(E647="○",IF(COUNTA(E$13:E647)=1,"",",")&amp;D647,"")</f>
        <v/>
      </c>
      <c r="AK647" s="4"/>
      <c r="AL647" s="4"/>
      <c r="AM647" s="4"/>
      <c r="AN647" s="4"/>
      <c r="AO647" s="4"/>
      <c r="AP647" s="4"/>
      <c r="AQ647" s="4"/>
      <c r="AR647" s="4"/>
      <c r="AS647" s="76" t="str">
        <f>"COMMENT ON COLUMN "&amp;エンティティ一覧!$O$2&amp;"."&amp;D$8&amp;"."&amp;D647&amp;" IS '"&amp;C647&amp;"';"</f>
        <v>COMMENT ON COLUMN milscm_2023_009.sny_202310_annony_shikkan2.shikkan634_start_date IS 'I614_疾患開始日';</v>
      </c>
    </row>
    <row r="648" spans="1:45" s="25" customFormat="1">
      <c r="A648" s="4" t="s">
        <v>5721</v>
      </c>
      <c r="B648" s="21">
        <f t="shared" si="118"/>
        <v>636</v>
      </c>
      <c r="C648" s="13" t="str">
        <f t="shared" si="117"/>
        <v>I615_疾患開始日</v>
      </c>
      <c r="D648" s="13" t="s">
        <v>6295</v>
      </c>
      <c r="E648" s="8"/>
      <c r="F648" s="7" t="s">
        <v>4348</v>
      </c>
      <c r="G648" s="7" t="s">
        <v>25</v>
      </c>
      <c r="H648" s="58"/>
      <c r="I648" s="23"/>
      <c r="J648" s="24"/>
      <c r="M648" s="4"/>
      <c r="N648" s="76"/>
      <c r="O648" s="76"/>
      <c r="P648" s="76" t="str">
        <f t="shared" si="119"/>
        <v>,shikkan635_start_date</v>
      </c>
      <c r="Q648" s="76" t="str">
        <f t="shared" si="120"/>
        <v>DATE</v>
      </c>
      <c r="R648" s="76" t="str">
        <f t="shared" si="121"/>
        <v/>
      </c>
      <c r="S648" s="76" t="str">
        <f t="shared" si="122"/>
        <v/>
      </c>
      <c r="T648" s="76" t="str">
        <f t="shared" si="123"/>
        <v>-- I615_疾患開始日</v>
      </c>
      <c r="U648" s="4" t="str">
        <f t="shared" si="115"/>
        <v>, CASE WHEN shikkan_disp_name = 'I615' THEN min_shikkan_start_date ::DATE ELSE NULL END AS shikkan635_start_date</v>
      </c>
      <c r="V648" s="25" t="str">
        <f t="shared" si="116"/>
        <v>, max(shikkan635_start_date)</v>
      </c>
      <c r="AA648" s="4"/>
      <c r="AB648" s="4"/>
      <c r="AC648" s="4"/>
      <c r="AD648" s="4"/>
      <c r="AE648" s="4"/>
      <c r="AF648" s="4"/>
      <c r="AG648" s="4"/>
      <c r="AH648" s="4"/>
      <c r="AI648" s="4"/>
      <c r="AJ648" s="76" t="str">
        <f>IF(E648="○",IF(COUNTA(E$13:E648)=1,"",",")&amp;D648,"")</f>
        <v/>
      </c>
      <c r="AK648" s="4"/>
      <c r="AL648" s="4"/>
      <c r="AM648" s="4"/>
      <c r="AN648" s="4"/>
      <c r="AO648" s="4"/>
      <c r="AP648" s="4"/>
      <c r="AQ648" s="4"/>
      <c r="AR648" s="4"/>
      <c r="AS648" s="76" t="str">
        <f>"COMMENT ON COLUMN "&amp;エンティティ一覧!$O$2&amp;"."&amp;D$8&amp;"."&amp;D648&amp;" IS '"&amp;C648&amp;"';"</f>
        <v>COMMENT ON COLUMN milscm_2023_009.sny_202310_annony_shikkan2.shikkan635_start_date IS 'I615_疾患開始日';</v>
      </c>
    </row>
    <row r="649" spans="1:45" s="25" customFormat="1">
      <c r="A649" s="4" t="s">
        <v>5722</v>
      </c>
      <c r="B649" s="21">
        <f t="shared" si="118"/>
        <v>637</v>
      </c>
      <c r="C649" s="13" t="str">
        <f t="shared" si="117"/>
        <v>I616_疾患開始日</v>
      </c>
      <c r="D649" s="13" t="s">
        <v>6296</v>
      </c>
      <c r="E649" s="8"/>
      <c r="F649" s="7" t="s">
        <v>4348</v>
      </c>
      <c r="G649" s="7" t="s">
        <v>25</v>
      </c>
      <c r="H649" s="58"/>
      <c r="I649" s="23"/>
      <c r="J649" s="24"/>
      <c r="M649" s="4"/>
      <c r="N649" s="76"/>
      <c r="O649" s="76"/>
      <c r="P649" s="76" t="str">
        <f t="shared" si="119"/>
        <v>,shikkan636_start_date</v>
      </c>
      <c r="Q649" s="76" t="str">
        <f t="shared" si="120"/>
        <v>DATE</v>
      </c>
      <c r="R649" s="76" t="str">
        <f t="shared" si="121"/>
        <v/>
      </c>
      <c r="S649" s="76" t="str">
        <f t="shared" si="122"/>
        <v/>
      </c>
      <c r="T649" s="76" t="str">
        <f t="shared" si="123"/>
        <v>-- I616_疾患開始日</v>
      </c>
      <c r="U649" s="4" t="str">
        <f t="shared" si="115"/>
        <v>, CASE WHEN shikkan_disp_name = 'I616' THEN min_shikkan_start_date ::DATE ELSE NULL END AS shikkan636_start_date</v>
      </c>
      <c r="V649" s="25" t="str">
        <f t="shared" si="116"/>
        <v>, max(shikkan636_start_date)</v>
      </c>
      <c r="AA649" s="4"/>
      <c r="AB649" s="4"/>
      <c r="AC649" s="4"/>
      <c r="AD649" s="4"/>
      <c r="AE649" s="4"/>
      <c r="AF649" s="4"/>
      <c r="AG649" s="4"/>
      <c r="AH649" s="4"/>
      <c r="AI649" s="4"/>
      <c r="AJ649" s="76" t="str">
        <f>IF(E649="○",IF(COUNTA(E$13:E649)=1,"",",")&amp;D649,"")</f>
        <v/>
      </c>
      <c r="AK649" s="4"/>
      <c r="AL649" s="4"/>
      <c r="AM649" s="4"/>
      <c r="AN649" s="4"/>
      <c r="AO649" s="4"/>
      <c r="AP649" s="4"/>
      <c r="AQ649" s="4"/>
      <c r="AR649" s="4"/>
      <c r="AS649" s="76" t="str">
        <f>"COMMENT ON COLUMN "&amp;エンティティ一覧!$O$2&amp;"."&amp;D$8&amp;"."&amp;D649&amp;" IS '"&amp;C649&amp;"';"</f>
        <v>COMMENT ON COLUMN milscm_2023_009.sny_202310_annony_shikkan2.shikkan636_start_date IS 'I616_疾患開始日';</v>
      </c>
    </row>
    <row r="650" spans="1:45" s="25" customFormat="1">
      <c r="A650" s="4" t="s">
        <v>5723</v>
      </c>
      <c r="B650" s="21">
        <f t="shared" si="118"/>
        <v>638</v>
      </c>
      <c r="C650" s="13" t="str">
        <f t="shared" si="117"/>
        <v>I618_疾患開始日</v>
      </c>
      <c r="D650" s="13" t="s">
        <v>6297</v>
      </c>
      <c r="E650" s="8"/>
      <c r="F650" s="7" t="s">
        <v>4348</v>
      </c>
      <c r="G650" s="7" t="s">
        <v>25</v>
      </c>
      <c r="H650" s="58"/>
      <c r="I650" s="23"/>
      <c r="J650" s="24"/>
      <c r="M650" s="4"/>
      <c r="N650" s="76"/>
      <c r="O650" s="76"/>
      <c r="P650" s="76" t="str">
        <f t="shared" si="119"/>
        <v>,shikkan637_start_date</v>
      </c>
      <c r="Q650" s="76" t="str">
        <f t="shared" si="120"/>
        <v>DATE</v>
      </c>
      <c r="R650" s="76" t="str">
        <f t="shared" si="121"/>
        <v/>
      </c>
      <c r="S650" s="76" t="str">
        <f t="shared" si="122"/>
        <v/>
      </c>
      <c r="T650" s="76" t="str">
        <f t="shared" si="123"/>
        <v>-- I618_疾患開始日</v>
      </c>
      <c r="U650" s="4" t="str">
        <f t="shared" si="115"/>
        <v>, CASE WHEN shikkan_disp_name = 'I618' THEN min_shikkan_start_date ::DATE ELSE NULL END AS shikkan637_start_date</v>
      </c>
      <c r="V650" s="25" t="str">
        <f t="shared" si="116"/>
        <v>, max(shikkan637_start_date)</v>
      </c>
      <c r="AA650" s="4"/>
      <c r="AB650" s="4"/>
      <c r="AC650" s="4"/>
      <c r="AD650" s="4"/>
      <c r="AE650" s="4"/>
      <c r="AF650" s="4"/>
      <c r="AG650" s="4"/>
      <c r="AH650" s="4"/>
      <c r="AI650" s="4"/>
      <c r="AJ650" s="76" t="str">
        <f>IF(E650="○",IF(COUNTA(E$13:E650)=1,"",",")&amp;D650,"")</f>
        <v/>
      </c>
      <c r="AK650" s="4"/>
      <c r="AL650" s="4"/>
      <c r="AM650" s="4"/>
      <c r="AN650" s="4"/>
      <c r="AO650" s="4"/>
      <c r="AP650" s="4"/>
      <c r="AQ650" s="4"/>
      <c r="AR650" s="4"/>
      <c r="AS650" s="76" t="str">
        <f>"COMMENT ON COLUMN "&amp;エンティティ一覧!$O$2&amp;"."&amp;D$8&amp;"."&amp;D650&amp;" IS '"&amp;C650&amp;"';"</f>
        <v>COMMENT ON COLUMN milscm_2023_009.sny_202310_annony_shikkan2.shikkan637_start_date IS 'I618_疾患開始日';</v>
      </c>
    </row>
    <row r="651" spans="1:45" s="25" customFormat="1">
      <c r="A651" s="4" t="s">
        <v>5724</v>
      </c>
      <c r="B651" s="21">
        <f t="shared" si="118"/>
        <v>639</v>
      </c>
      <c r="C651" s="13" t="str">
        <f t="shared" si="117"/>
        <v>I619_疾患開始日</v>
      </c>
      <c r="D651" s="13" t="s">
        <v>6298</v>
      </c>
      <c r="E651" s="8"/>
      <c r="F651" s="7" t="s">
        <v>4348</v>
      </c>
      <c r="G651" s="7" t="s">
        <v>25</v>
      </c>
      <c r="H651" s="58"/>
      <c r="I651" s="23"/>
      <c r="J651" s="24"/>
      <c r="M651" s="4"/>
      <c r="N651" s="76"/>
      <c r="O651" s="76"/>
      <c r="P651" s="76" t="str">
        <f t="shared" si="119"/>
        <v>,shikkan638_start_date</v>
      </c>
      <c r="Q651" s="76" t="str">
        <f t="shared" si="120"/>
        <v>DATE</v>
      </c>
      <c r="R651" s="76" t="str">
        <f t="shared" si="121"/>
        <v/>
      </c>
      <c r="S651" s="76" t="str">
        <f t="shared" si="122"/>
        <v/>
      </c>
      <c r="T651" s="76" t="str">
        <f t="shared" si="123"/>
        <v>-- I619_疾患開始日</v>
      </c>
      <c r="U651" s="4" t="str">
        <f t="shared" si="115"/>
        <v>, CASE WHEN shikkan_disp_name = 'I619' THEN min_shikkan_start_date ::DATE ELSE NULL END AS shikkan638_start_date</v>
      </c>
      <c r="V651" s="25" t="str">
        <f t="shared" si="116"/>
        <v>, max(shikkan638_start_date)</v>
      </c>
      <c r="AA651" s="4"/>
      <c r="AB651" s="4"/>
      <c r="AC651" s="4"/>
      <c r="AD651" s="4"/>
      <c r="AE651" s="4"/>
      <c r="AF651" s="4"/>
      <c r="AG651" s="4"/>
      <c r="AH651" s="4"/>
      <c r="AI651" s="4"/>
      <c r="AJ651" s="76" t="str">
        <f>IF(E651="○",IF(COUNTA(E$13:E651)=1,"",",")&amp;D651,"")</f>
        <v/>
      </c>
      <c r="AK651" s="4"/>
      <c r="AL651" s="4"/>
      <c r="AM651" s="4"/>
      <c r="AN651" s="4"/>
      <c r="AO651" s="4"/>
      <c r="AP651" s="4"/>
      <c r="AQ651" s="4"/>
      <c r="AR651" s="4"/>
      <c r="AS651" s="76" t="str">
        <f>"COMMENT ON COLUMN "&amp;エンティティ一覧!$O$2&amp;"."&amp;D$8&amp;"."&amp;D651&amp;" IS '"&amp;C651&amp;"';"</f>
        <v>COMMENT ON COLUMN milscm_2023_009.sny_202310_annony_shikkan2.shikkan638_start_date IS 'I619_疾患開始日';</v>
      </c>
    </row>
    <row r="652" spans="1:45" s="25" customFormat="1">
      <c r="A652" s="4" t="s">
        <v>5725</v>
      </c>
      <c r="B652" s="21">
        <f t="shared" si="118"/>
        <v>640</v>
      </c>
      <c r="C652" s="13" t="str">
        <f t="shared" si="117"/>
        <v>I620_疾患開始日</v>
      </c>
      <c r="D652" s="13" t="s">
        <v>6299</v>
      </c>
      <c r="E652" s="8"/>
      <c r="F652" s="7" t="s">
        <v>4348</v>
      </c>
      <c r="G652" s="7" t="s">
        <v>99</v>
      </c>
      <c r="H652" s="58"/>
      <c r="I652" s="23"/>
      <c r="J652" s="24"/>
      <c r="M652" s="4"/>
      <c r="N652" s="76"/>
      <c r="O652" s="76"/>
      <c r="P652" s="76" t="str">
        <f t="shared" si="119"/>
        <v>,shikkan639_start_date</v>
      </c>
      <c r="Q652" s="76" t="str">
        <f t="shared" si="120"/>
        <v>DATE</v>
      </c>
      <c r="R652" s="76" t="str">
        <f t="shared" si="121"/>
        <v/>
      </c>
      <c r="S652" s="76" t="str">
        <f t="shared" si="122"/>
        <v/>
      </c>
      <c r="T652" s="76" t="str">
        <f t="shared" si="123"/>
        <v>-- I620_疾患開始日</v>
      </c>
      <c r="U652" s="4" t="str">
        <f t="shared" si="115"/>
        <v>, CASE WHEN shikkan_disp_name = 'I620' THEN min_shikkan_start_date ::DATE ELSE NULL END AS shikkan639_start_date</v>
      </c>
      <c r="V652" s="25" t="str">
        <f t="shared" si="116"/>
        <v>, max(shikkan639_start_date)</v>
      </c>
      <c r="AA652" s="4"/>
      <c r="AB652" s="4"/>
      <c r="AC652" s="4"/>
      <c r="AD652" s="4"/>
      <c r="AE652" s="4"/>
      <c r="AF652" s="4"/>
      <c r="AG652" s="4"/>
      <c r="AH652" s="4"/>
      <c r="AI652" s="4"/>
      <c r="AJ652" s="76" t="str">
        <f>IF(E652="○",IF(COUNTA(E$13:E652)=1,"",",")&amp;D652,"")</f>
        <v/>
      </c>
      <c r="AK652" s="4"/>
      <c r="AL652" s="4"/>
      <c r="AM652" s="4"/>
      <c r="AN652" s="4"/>
      <c r="AO652" s="4"/>
      <c r="AP652" s="4"/>
      <c r="AQ652" s="4"/>
      <c r="AR652" s="4"/>
      <c r="AS652" s="76" t="str">
        <f>"COMMENT ON COLUMN "&amp;エンティティ一覧!$O$2&amp;"."&amp;D$8&amp;"."&amp;D652&amp;" IS '"&amp;C652&amp;"';"</f>
        <v>COMMENT ON COLUMN milscm_2023_009.sny_202310_annony_shikkan2.shikkan639_start_date IS 'I620_疾患開始日';</v>
      </c>
    </row>
    <row r="653" spans="1:45" s="25" customFormat="1">
      <c r="A653" s="4" t="s">
        <v>5726</v>
      </c>
      <c r="B653" s="21">
        <f t="shared" si="118"/>
        <v>641</v>
      </c>
      <c r="C653" s="13" t="str">
        <f t="shared" si="117"/>
        <v>I621_疾患開始日</v>
      </c>
      <c r="D653" s="13" t="s">
        <v>6300</v>
      </c>
      <c r="E653" s="8"/>
      <c r="F653" s="7" t="s">
        <v>4348</v>
      </c>
      <c r="G653" s="7" t="s">
        <v>25</v>
      </c>
      <c r="H653" s="58"/>
      <c r="I653" s="23"/>
      <c r="J653" s="24"/>
      <c r="M653" s="4"/>
      <c r="N653" s="76"/>
      <c r="O653" s="76"/>
      <c r="P653" s="76" t="str">
        <f t="shared" si="119"/>
        <v>,shikkan640_start_date</v>
      </c>
      <c r="Q653" s="76" t="str">
        <f t="shared" si="120"/>
        <v>DATE</v>
      </c>
      <c r="R653" s="76" t="str">
        <f t="shared" si="121"/>
        <v/>
      </c>
      <c r="S653" s="76" t="str">
        <f t="shared" si="122"/>
        <v/>
      </c>
      <c r="T653" s="76" t="str">
        <f t="shared" si="123"/>
        <v>-- I621_疾患開始日</v>
      </c>
      <c r="U653" s="4" t="str">
        <f t="shared" si="115"/>
        <v>, CASE WHEN shikkan_disp_name = 'I621' THEN min_shikkan_start_date ::DATE ELSE NULL END AS shikkan640_start_date</v>
      </c>
      <c r="V653" s="25" t="str">
        <f t="shared" si="116"/>
        <v>, max(shikkan640_start_date)</v>
      </c>
      <c r="AA653" s="4"/>
      <c r="AB653" s="4"/>
      <c r="AC653" s="4"/>
      <c r="AD653" s="4"/>
      <c r="AE653" s="4"/>
      <c r="AF653" s="4"/>
      <c r="AG653" s="4"/>
      <c r="AH653" s="4"/>
      <c r="AI653" s="4"/>
      <c r="AJ653" s="76" t="str">
        <f>IF(E653="○",IF(COUNTA(E$13:E653)=1,"",",")&amp;D653,"")</f>
        <v/>
      </c>
      <c r="AK653" s="4"/>
      <c r="AL653" s="4"/>
      <c r="AM653" s="4"/>
      <c r="AN653" s="4"/>
      <c r="AO653" s="4"/>
      <c r="AP653" s="4"/>
      <c r="AQ653" s="4"/>
      <c r="AR653" s="4"/>
      <c r="AS653" s="76" t="str">
        <f>"COMMENT ON COLUMN "&amp;エンティティ一覧!$O$2&amp;"."&amp;D$8&amp;"."&amp;D653&amp;" IS '"&amp;C653&amp;"';"</f>
        <v>COMMENT ON COLUMN milscm_2023_009.sny_202310_annony_shikkan2.shikkan640_start_date IS 'I621_疾患開始日';</v>
      </c>
    </row>
    <row r="654" spans="1:45" s="25" customFormat="1">
      <c r="A654" s="4" t="s">
        <v>5727</v>
      </c>
      <c r="B654" s="21">
        <f t="shared" si="118"/>
        <v>642</v>
      </c>
      <c r="C654" s="13" t="str">
        <f t="shared" si="117"/>
        <v>I629_疾患開始日</v>
      </c>
      <c r="D654" s="13" t="s">
        <v>6301</v>
      </c>
      <c r="E654" s="8"/>
      <c r="F654" s="7" t="s">
        <v>4348</v>
      </c>
      <c r="G654" s="7" t="s">
        <v>25</v>
      </c>
      <c r="H654" s="58"/>
      <c r="I654" s="23"/>
      <c r="J654" s="24"/>
      <c r="M654" s="4"/>
      <c r="N654" s="76"/>
      <c r="O654" s="76"/>
      <c r="P654" s="76" t="str">
        <f t="shared" si="119"/>
        <v>,shikkan641_start_date</v>
      </c>
      <c r="Q654" s="76" t="str">
        <f t="shared" si="120"/>
        <v>DATE</v>
      </c>
      <c r="R654" s="76" t="str">
        <f t="shared" si="121"/>
        <v/>
      </c>
      <c r="S654" s="76" t="str">
        <f t="shared" si="122"/>
        <v/>
      </c>
      <c r="T654" s="76" t="str">
        <f t="shared" si="123"/>
        <v>-- I629_疾患開始日</v>
      </c>
      <c r="U654" s="4" t="str">
        <f t="shared" si="115"/>
        <v>, CASE WHEN shikkan_disp_name = 'I629' THEN min_shikkan_start_date ::DATE ELSE NULL END AS shikkan641_start_date</v>
      </c>
      <c r="V654" s="25" t="str">
        <f t="shared" si="116"/>
        <v>, max(shikkan641_start_date)</v>
      </c>
      <c r="AA654" s="4"/>
      <c r="AB654" s="4"/>
      <c r="AC654" s="4"/>
      <c r="AD654" s="4"/>
      <c r="AE654" s="4"/>
      <c r="AF654" s="4"/>
      <c r="AG654" s="4"/>
      <c r="AH654" s="4"/>
      <c r="AI654" s="4"/>
      <c r="AJ654" s="76" t="str">
        <f>IF(E654="○",IF(COUNTA(E$13:E654)=1,"",",")&amp;D654,"")</f>
        <v/>
      </c>
      <c r="AK654" s="4"/>
      <c r="AL654" s="4"/>
      <c r="AM654" s="4"/>
      <c r="AN654" s="4"/>
      <c r="AO654" s="4"/>
      <c r="AP654" s="4"/>
      <c r="AQ654" s="4"/>
      <c r="AR654" s="4"/>
      <c r="AS654" s="76" t="str">
        <f>"COMMENT ON COLUMN "&amp;エンティティ一覧!$O$2&amp;"."&amp;D$8&amp;"."&amp;D654&amp;" IS '"&amp;C654&amp;"';"</f>
        <v>COMMENT ON COLUMN milscm_2023_009.sny_202310_annony_shikkan2.shikkan641_start_date IS 'I629_疾患開始日';</v>
      </c>
    </row>
    <row r="655" spans="1:45" s="25" customFormat="1">
      <c r="A655" s="4" t="s">
        <v>5728</v>
      </c>
      <c r="B655" s="21">
        <f t="shared" si="118"/>
        <v>643</v>
      </c>
      <c r="C655" s="13" t="str">
        <f t="shared" ref="C655:C718" si="124">A655&amp;"_疾患開始日"</f>
        <v>I630_疾患開始日</v>
      </c>
      <c r="D655" s="13" t="s">
        <v>6302</v>
      </c>
      <c r="E655" s="8"/>
      <c r="F655" s="7" t="s">
        <v>4348</v>
      </c>
      <c r="G655" s="7" t="s">
        <v>25</v>
      </c>
      <c r="H655" s="58"/>
      <c r="I655" s="23"/>
      <c r="J655" s="24"/>
      <c r="M655" s="4"/>
      <c r="N655" s="76"/>
      <c r="O655" s="76"/>
      <c r="P655" s="76" t="str">
        <f t="shared" si="119"/>
        <v>,shikkan642_start_date</v>
      </c>
      <c r="Q655" s="76" t="str">
        <f t="shared" si="120"/>
        <v>DATE</v>
      </c>
      <c r="R655" s="76" t="str">
        <f t="shared" si="121"/>
        <v/>
      </c>
      <c r="S655" s="76" t="str">
        <f t="shared" si="122"/>
        <v/>
      </c>
      <c r="T655" s="76" t="str">
        <f t="shared" si="123"/>
        <v>-- I630_疾患開始日</v>
      </c>
      <c r="U655" s="4" t="str">
        <f t="shared" si="115"/>
        <v>, CASE WHEN shikkan_disp_name = 'I630' THEN min_shikkan_start_date ::DATE ELSE NULL END AS shikkan642_start_date</v>
      </c>
      <c r="V655" s="25" t="str">
        <f t="shared" si="116"/>
        <v>, max(shikkan642_start_date)</v>
      </c>
      <c r="AA655" s="4"/>
      <c r="AB655" s="4"/>
      <c r="AC655" s="4"/>
      <c r="AD655" s="4"/>
      <c r="AE655" s="4"/>
      <c r="AF655" s="4"/>
      <c r="AG655" s="4"/>
      <c r="AH655" s="4"/>
      <c r="AI655" s="4"/>
      <c r="AJ655" s="76" t="str">
        <f>IF(E655="○",IF(COUNTA(E$13:E655)=1,"",",")&amp;D655,"")</f>
        <v/>
      </c>
      <c r="AK655" s="4"/>
      <c r="AL655" s="4"/>
      <c r="AM655" s="4"/>
      <c r="AN655" s="4"/>
      <c r="AO655" s="4"/>
      <c r="AP655" s="4"/>
      <c r="AQ655" s="4"/>
      <c r="AR655" s="4"/>
      <c r="AS655" s="76" t="str">
        <f>"COMMENT ON COLUMN "&amp;エンティティ一覧!$O$2&amp;"."&amp;D$8&amp;"."&amp;D655&amp;" IS '"&amp;C655&amp;"';"</f>
        <v>COMMENT ON COLUMN milscm_2023_009.sny_202310_annony_shikkan2.shikkan642_start_date IS 'I630_疾患開始日';</v>
      </c>
    </row>
    <row r="656" spans="1:45" s="25" customFormat="1">
      <c r="A656" s="4" t="s">
        <v>5729</v>
      </c>
      <c r="B656" s="21">
        <f t="shared" ref="B656:B720" si="125">ROW()-12</f>
        <v>644</v>
      </c>
      <c r="C656" s="13" t="str">
        <f t="shared" si="124"/>
        <v>I631_疾患開始日</v>
      </c>
      <c r="D656" s="13" t="s">
        <v>6303</v>
      </c>
      <c r="E656" s="8"/>
      <c r="F656" s="7" t="s">
        <v>4348</v>
      </c>
      <c r="G656" s="7" t="s">
        <v>25</v>
      </c>
      <c r="H656" s="58"/>
      <c r="I656" s="23"/>
      <c r="J656" s="24"/>
      <c r="M656" s="4"/>
      <c r="N656" s="76"/>
      <c r="O656" s="76"/>
      <c r="P656" s="76" t="str">
        <f t="shared" si="119"/>
        <v>,shikkan643_start_date</v>
      </c>
      <c r="Q656" s="76" t="str">
        <f t="shared" si="120"/>
        <v>DATE</v>
      </c>
      <c r="R656" s="76" t="str">
        <f t="shared" si="121"/>
        <v/>
      </c>
      <c r="S656" s="76" t="str">
        <f t="shared" si="122"/>
        <v/>
      </c>
      <c r="T656" s="76" t="str">
        <f t="shared" si="123"/>
        <v>-- I631_疾患開始日</v>
      </c>
      <c r="U656" s="4" t="str">
        <f t="shared" si="115"/>
        <v>, CASE WHEN shikkan_disp_name = 'I631' THEN min_shikkan_start_date ::DATE ELSE NULL END AS shikkan643_start_date</v>
      </c>
      <c r="V656" s="25" t="str">
        <f t="shared" si="116"/>
        <v>, max(shikkan643_start_date)</v>
      </c>
      <c r="AA656" s="4"/>
      <c r="AB656" s="4"/>
      <c r="AC656" s="4"/>
      <c r="AD656" s="4"/>
      <c r="AE656" s="4"/>
      <c r="AF656" s="4"/>
      <c r="AG656" s="4"/>
      <c r="AH656" s="4"/>
      <c r="AI656" s="4"/>
      <c r="AJ656" s="76" t="str">
        <f>IF(E656="○",IF(COUNTA(E$13:E656)=1,"",",")&amp;D656,"")</f>
        <v/>
      </c>
      <c r="AK656" s="4"/>
      <c r="AL656" s="4"/>
      <c r="AM656" s="4"/>
      <c r="AN656" s="4"/>
      <c r="AO656" s="4"/>
      <c r="AP656" s="4"/>
      <c r="AQ656" s="4"/>
      <c r="AR656" s="4"/>
      <c r="AS656" s="76" t="str">
        <f>"COMMENT ON COLUMN "&amp;エンティティ一覧!$O$2&amp;"."&amp;D$8&amp;"."&amp;D656&amp;" IS '"&amp;C656&amp;"';"</f>
        <v>COMMENT ON COLUMN milscm_2023_009.sny_202310_annony_shikkan2.shikkan643_start_date IS 'I631_疾患開始日';</v>
      </c>
    </row>
    <row r="657" spans="1:45" s="25" customFormat="1">
      <c r="A657" s="4" t="s">
        <v>5730</v>
      </c>
      <c r="B657" s="21">
        <f t="shared" si="125"/>
        <v>645</v>
      </c>
      <c r="C657" s="13" t="str">
        <f t="shared" si="124"/>
        <v>I632_疾患開始日</v>
      </c>
      <c r="D657" s="13" t="s">
        <v>6304</v>
      </c>
      <c r="E657" s="8"/>
      <c r="F657" s="7" t="s">
        <v>4348</v>
      </c>
      <c r="G657" s="7" t="s">
        <v>25</v>
      </c>
      <c r="H657" s="58"/>
      <c r="I657" s="23"/>
      <c r="J657" s="24"/>
      <c r="M657" s="4"/>
      <c r="N657" s="76"/>
      <c r="O657" s="76"/>
      <c r="P657" s="76" t="str">
        <f t="shared" si="119"/>
        <v>,shikkan644_start_date</v>
      </c>
      <c r="Q657" s="76" t="str">
        <f t="shared" si="120"/>
        <v>DATE</v>
      </c>
      <c r="R657" s="76" t="str">
        <f t="shared" si="121"/>
        <v/>
      </c>
      <c r="S657" s="76" t="str">
        <f t="shared" si="122"/>
        <v/>
      </c>
      <c r="T657" s="76" t="str">
        <f t="shared" si="123"/>
        <v>-- I632_疾患開始日</v>
      </c>
      <c r="U657" s="4" t="str">
        <f t="shared" si="115"/>
        <v>, CASE WHEN shikkan_disp_name = 'I632' THEN min_shikkan_start_date ::DATE ELSE NULL END AS shikkan644_start_date</v>
      </c>
      <c r="V657" s="25" t="str">
        <f t="shared" si="116"/>
        <v>, max(shikkan644_start_date)</v>
      </c>
      <c r="AA657" s="4"/>
      <c r="AB657" s="4"/>
      <c r="AC657" s="4"/>
      <c r="AD657" s="4"/>
      <c r="AE657" s="4"/>
      <c r="AF657" s="4"/>
      <c r="AG657" s="4"/>
      <c r="AH657" s="4"/>
      <c r="AI657" s="4"/>
      <c r="AJ657" s="76" t="str">
        <f>IF(E657="○",IF(COUNTA(E$13:E657)=1,"",",")&amp;D657,"")</f>
        <v/>
      </c>
      <c r="AK657" s="4"/>
      <c r="AL657" s="4"/>
      <c r="AM657" s="4"/>
      <c r="AN657" s="4"/>
      <c r="AO657" s="4"/>
      <c r="AP657" s="4"/>
      <c r="AQ657" s="4"/>
      <c r="AR657" s="4"/>
      <c r="AS657" s="76" t="str">
        <f>"COMMENT ON COLUMN "&amp;エンティティ一覧!$O$2&amp;"."&amp;D$8&amp;"."&amp;D657&amp;" IS '"&amp;C657&amp;"';"</f>
        <v>COMMENT ON COLUMN milscm_2023_009.sny_202310_annony_shikkan2.shikkan644_start_date IS 'I632_疾患開始日';</v>
      </c>
    </row>
    <row r="658" spans="1:45" s="25" customFormat="1">
      <c r="A658" s="4" t="s">
        <v>5731</v>
      </c>
      <c r="B658" s="21">
        <f t="shared" si="125"/>
        <v>646</v>
      </c>
      <c r="C658" s="13" t="str">
        <f t="shared" si="124"/>
        <v>I633_疾患開始日</v>
      </c>
      <c r="D658" s="13" t="s">
        <v>6305</v>
      </c>
      <c r="E658" s="8"/>
      <c r="F658" s="7" t="s">
        <v>4348</v>
      </c>
      <c r="G658" s="7" t="s">
        <v>25</v>
      </c>
      <c r="H658" s="58"/>
      <c r="I658" s="23"/>
      <c r="J658" s="24"/>
      <c r="M658" s="4"/>
      <c r="N658" s="76"/>
      <c r="O658" s="76"/>
      <c r="P658" s="76" t="str">
        <f t="shared" si="119"/>
        <v>,shikkan645_start_date</v>
      </c>
      <c r="Q658" s="76" t="str">
        <f t="shared" si="120"/>
        <v>DATE</v>
      </c>
      <c r="R658" s="76" t="str">
        <f t="shared" si="121"/>
        <v/>
      </c>
      <c r="S658" s="76" t="str">
        <f t="shared" si="122"/>
        <v/>
      </c>
      <c r="T658" s="76" t="str">
        <f t="shared" si="123"/>
        <v>-- I633_疾患開始日</v>
      </c>
      <c r="U658" s="4" t="str">
        <f t="shared" si="115"/>
        <v>, CASE WHEN shikkan_disp_name = 'I633' THEN min_shikkan_start_date ::DATE ELSE NULL END AS shikkan645_start_date</v>
      </c>
      <c r="V658" s="25" t="str">
        <f t="shared" si="116"/>
        <v>, max(shikkan645_start_date)</v>
      </c>
      <c r="AA658" s="4"/>
      <c r="AB658" s="4"/>
      <c r="AC658" s="4"/>
      <c r="AD658" s="4"/>
      <c r="AE658" s="4"/>
      <c r="AF658" s="4"/>
      <c r="AG658" s="4"/>
      <c r="AH658" s="4"/>
      <c r="AI658" s="4"/>
      <c r="AJ658" s="76" t="str">
        <f>IF(E658="○",IF(COUNTA(E$13:E658)=1,"",",")&amp;D658,"")</f>
        <v/>
      </c>
      <c r="AK658" s="4"/>
      <c r="AL658" s="4"/>
      <c r="AM658" s="4"/>
      <c r="AN658" s="4"/>
      <c r="AO658" s="4"/>
      <c r="AP658" s="4"/>
      <c r="AQ658" s="4"/>
      <c r="AR658" s="4"/>
      <c r="AS658" s="76" t="str">
        <f>"COMMENT ON COLUMN "&amp;エンティティ一覧!$O$2&amp;"."&amp;D$8&amp;"."&amp;D658&amp;" IS '"&amp;C658&amp;"';"</f>
        <v>COMMENT ON COLUMN milscm_2023_009.sny_202310_annony_shikkan2.shikkan645_start_date IS 'I633_疾患開始日';</v>
      </c>
    </row>
    <row r="659" spans="1:45" s="25" customFormat="1">
      <c r="A659" s="4" t="s">
        <v>5732</v>
      </c>
      <c r="B659" s="21">
        <f t="shared" si="125"/>
        <v>647</v>
      </c>
      <c r="C659" s="13" t="str">
        <f t="shared" si="124"/>
        <v>I634_疾患開始日</v>
      </c>
      <c r="D659" s="13" t="s">
        <v>6306</v>
      </c>
      <c r="E659" s="8"/>
      <c r="F659" s="7" t="s">
        <v>4348</v>
      </c>
      <c r="G659" s="7" t="s">
        <v>25</v>
      </c>
      <c r="H659" s="58"/>
      <c r="I659" s="23"/>
      <c r="J659" s="24"/>
      <c r="M659" s="4"/>
      <c r="N659" s="76"/>
      <c r="O659" s="76"/>
      <c r="P659" s="76" t="str">
        <f t="shared" si="119"/>
        <v>,shikkan646_start_date</v>
      </c>
      <c r="Q659" s="76" t="str">
        <f t="shared" si="120"/>
        <v>DATE</v>
      </c>
      <c r="R659" s="76" t="str">
        <f t="shared" si="121"/>
        <v/>
      </c>
      <c r="S659" s="76" t="str">
        <f t="shared" si="122"/>
        <v/>
      </c>
      <c r="T659" s="76" t="str">
        <f t="shared" si="123"/>
        <v>-- I634_疾患開始日</v>
      </c>
      <c r="U659" s="4" t="str">
        <f t="shared" si="115"/>
        <v>, CASE WHEN shikkan_disp_name = 'I634' THEN min_shikkan_start_date ::DATE ELSE NULL END AS shikkan646_start_date</v>
      </c>
      <c r="V659" s="25" t="str">
        <f t="shared" si="116"/>
        <v>, max(shikkan646_start_date)</v>
      </c>
      <c r="AA659" s="4"/>
      <c r="AB659" s="4"/>
      <c r="AC659" s="4"/>
      <c r="AD659" s="4"/>
      <c r="AE659" s="4"/>
      <c r="AF659" s="4"/>
      <c r="AG659" s="4"/>
      <c r="AH659" s="4"/>
      <c r="AI659" s="4"/>
      <c r="AJ659" s="76" t="str">
        <f>IF(E659="○",IF(COUNTA(E$13:E659)=1,"",",")&amp;D659,"")</f>
        <v/>
      </c>
      <c r="AK659" s="4"/>
      <c r="AL659" s="4"/>
      <c r="AM659" s="4"/>
      <c r="AN659" s="4"/>
      <c r="AO659" s="4"/>
      <c r="AP659" s="4"/>
      <c r="AQ659" s="4"/>
      <c r="AR659" s="4"/>
      <c r="AS659" s="76" t="str">
        <f>"COMMENT ON COLUMN "&amp;エンティティ一覧!$O$2&amp;"."&amp;D$8&amp;"."&amp;D659&amp;" IS '"&amp;C659&amp;"';"</f>
        <v>COMMENT ON COLUMN milscm_2023_009.sny_202310_annony_shikkan2.shikkan646_start_date IS 'I634_疾患開始日';</v>
      </c>
    </row>
    <row r="660" spans="1:45" s="25" customFormat="1">
      <c r="A660" s="4" t="s">
        <v>5733</v>
      </c>
      <c r="B660" s="21">
        <f t="shared" si="125"/>
        <v>648</v>
      </c>
      <c r="C660" s="13" t="str">
        <f t="shared" si="124"/>
        <v>I635_疾患開始日</v>
      </c>
      <c r="D660" s="13" t="s">
        <v>6307</v>
      </c>
      <c r="E660" s="8"/>
      <c r="F660" s="7" t="s">
        <v>4348</v>
      </c>
      <c r="G660" s="7" t="s">
        <v>25</v>
      </c>
      <c r="H660" s="58"/>
      <c r="I660" s="23"/>
      <c r="J660" s="24"/>
      <c r="M660" s="4"/>
      <c r="N660" s="76"/>
      <c r="O660" s="76"/>
      <c r="P660" s="76" t="str">
        <f t="shared" si="119"/>
        <v>,shikkan647_start_date</v>
      </c>
      <c r="Q660" s="76" t="str">
        <f t="shared" si="120"/>
        <v>DATE</v>
      </c>
      <c r="R660" s="76" t="str">
        <f t="shared" si="121"/>
        <v/>
      </c>
      <c r="S660" s="76" t="str">
        <f t="shared" si="122"/>
        <v/>
      </c>
      <c r="T660" s="76" t="str">
        <f t="shared" si="123"/>
        <v>-- I635_疾患開始日</v>
      </c>
      <c r="U660" s="4" t="str">
        <f t="shared" si="115"/>
        <v>, CASE WHEN shikkan_disp_name = 'I635' THEN min_shikkan_start_date ::DATE ELSE NULL END AS shikkan647_start_date</v>
      </c>
      <c r="V660" s="25" t="str">
        <f t="shared" si="116"/>
        <v>, max(shikkan647_start_date)</v>
      </c>
      <c r="AA660" s="4"/>
      <c r="AB660" s="4"/>
      <c r="AC660" s="4"/>
      <c r="AD660" s="4"/>
      <c r="AE660" s="4"/>
      <c r="AF660" s="4"/>
      <c r="AG660" s="4"/>
      <c r="AH660" s="4"/>
      <c r="AI660" s="4"/>
      <c r="AJ660" s="76" t="str">
        <f>IF(E660="○",IF(COUNTA(E$13:E660)=1,"",",")&amp;D660,"")</f>
        <v/>
      </c>
      <c r="AK660" s="4"/>
      <c r="AL660" s="4"/>
      <c r="AM660" s="4"/>
      <c r="AN660" s="4"/>
      <c r="AO660" s="4"/>
      <c r="AP660" s="4"/>
      <c r="AQ660" s="4"/>
      <c r="AR660" s="4"/>
      <c r="AS660" s="76" t="str">
        <f>"COMMENT ON COLUMN "&amp;エンティティ一覧!$O$2&amp;"."&amp;D$8&amp;"."&amp;D660&amp;" IS '"&amp;C660&amp;"';"</f>
        <v>COMMENT ON COLUMN milscm_2023_009.sny_202310_annony_shikkan2.shikkan647_start_date IS 'I635_疾患開始日';</v>
      </c>
    </row>
    <row r="661" spans="1:45" s="25" customFormat="1">
      <c r="A661" s="4" t="s">
        <v>5734</v>
      </c>
      <c r="B661" s="21">
        <f t="shared" si="125"/>
        <v>649</v>
      </c>
      <c r="C661" s="13" t="str">
        <f t="shared" si="124"/>
        <v>I636_疾患開始日</v>
      </c>
      <c r="D661" s="13" t="s">
        <v>6308</v>
      </c>
      <c r="E661" s="8"/>
      <c r="F661" s="7" t="s">
        <v>4348</v>
      </c>
      <c r="G661" s="7" t="s">
        <v>25</v>
      </c>
      <c r="H661" s="58"/>
      <c r="I661" s="23"/>
      <c r="J661" s="24"/>
      <c r="M661" s="4"/>
      <c r="N661" s="76"/>
      <c r="O661" s="76"/>
      <c r="P661" s="76" t="str">
        <f t="shared" si="119"/>
        <v>,shikkan648_start_date</v>
      </c>
      <c r="Q661" s="76" t="str">
        <f t="shared" si="120"/>
        <v>DATE</v>
      </c>
      <c r="R661" s="76" t="str">
        <f t="shared" si="121"/>
        <v/>
      </c>
      <c r="S661" s="76" t="str">
        <f t="shared" si="122"/>
        <v/>
      </c>
      <c r="T661" s="76" t="str">
        <f t="shared" si="123"/>
        <v>-- I636_疾患開始日</v>
      </c>
      <c r="U661" s="4" t="str">
        <f t="shared" si="115"/>
        <v>, CASE WHEN shikkan_disp_name = 'I636' THEN min_shikkan_start_date ::DATE ELSE NULL END AS shikkan648_start_date</v>
      </c>
      <c r="V661" s="25" t="str">
        <f t="shared" si="116"/>
        <v>, max(shikkan648_start_date)</v>
      </c>
      <c r="AA661" s="4"/>
      <c r="AB661" s="4"/>
      <c r="AC661" s="4"/>
      <c r="AD661" s="4"/>
      <c r="AE661" s="4"/>
      <c r="AF661" s="4"/>
      <c r="AG661" s="4"/>
      <c r="AH661" s="4"/>
      <c r="AI661" s="4"/>
      <c r="AJ661" s="76" t="str">
        <f>IF(E661="○",IF(COUNTA(E$13:E661)=1,"",",")&amp;D661,"")</f>
        <v/>
      </c>
      <c r="AK661" s="4"/>
      <c r="AL661" s="4"/>
      <c r="AM661" s="4"/>
      <c r="AN661" s="4"/>
      <c r="AO661" s="4"/>
      <c r="AP661" s="4"/>
      <c r="AQ661" s="4"/>
      <c r="AR661" s="4"/>
      <c r="AS661" s="76" t="str">
        <f>"COMMENT ON COLUMN "&amp;エンティティ一覧!$O$2&amp;"."&amp;D$8&amp;"."&amp;D661&amp;" IS '"&amp;C661&amp;"';"</f>
        <v>COMMENT ON COLUMN milscm_2023_009.sny_202310_annony_shikkan2.shikkan648_start_date IS 'I636_疾患開始日';</v>
      </c>
    </row>
    <row r="662" spans="1:45" s="25" customFormat="1">
      <c r="A662" s="4" t="s">
        <v>5735</v>
      </c>
      <c r="B662" s="21">
        <f t="shared" si="125"/>
        <v>650</v>
      </c>
      <c r="C662" s="13" t="str">
        <f t="shared" si="124"/>
        <v>I638_疾患開始日</v>
      </c>
      <c r="D662" s="13" t="s">
        <v>6309</v>
      </c>
      <c r="E662" s="8"/>
      <c r="F662" s="7" t="s">
        <v>4348</v>
      </c>
      <c r="G662" s="7" t="s">
        <v>25</v>
      </c>
      <c r="H662" s="58"/>
      <c r="I662" s="23"/>
      <c r="J662" s="24"/>
      <c r="M662" s="4"/>
      <c r="N662" s="76"/>
      <c r="O662" s="76"/>
      <c r="P662" s="76" t="str">
        <f t="shared" si="119"/>
        <v>,shikkan649_start_date</v>
      </c>
      <c r="Q662" s="76" t="str">
        <f t="shared" si="120"/>
        <v>DATE</v>
      </c>
      <c r="R662" s="76" t="str">
        <f t="shared" si="121"/>
        <v/>
      </c>
      <c r="S662" s="76" t="str">
        <f t="shared" si="122"/>
        <v/>
      </c>
      <c r="T662" s="76" t="str">
        <f t="shared" si="123"/>
        <v>-- I638_疾患開始日</v>
      </c>
      <c r="U662" s="4" t="str">
        <f t="shared" si="115"/>
        <v>, CASE WHEN shikkan_disp_name = 'I638' THEN min_shikkan_start_date ::DATE ELSE NULL END AS shikkan649_start_date</v>
      </c>
      <c r="V662" s="25" t="str">
        <f t="shared" si="116"/>
        <v>, max(shikkan649_start_date)</v>
      </c>
      <c r="AA662" s="4"/>
      <c r="AB662" s="4"/>
      <c r="AC662" s="4"/>
      <c r="AD662" s="4"/>
      <c r="AE662" s="4"/>
      <c r="AF662" s="4"/>
      <c r="AG662" s="4"/>
      <c r="AH662" s="4"/>
      <c r="AI662" s="4"/>
      <c r="AJ662" s="76" t="str">
        <f>IF(E662="○",IF(COUNTA(E$13:E662)=1,"",",")&amp;D662,"")</f>
        <v/>
      </c>
      <c r="AK662" s="4"/>
      <c r="AL662" s="4"/>
      <c r="AM662" s="4"/>
      <c r="AN662" s="4"/>
      <c r="AO662" s="4"/>
      <c r="AP662" s="4"/>
      <c r="AQ662" s="4"/>
      <c r="AR662" s="4"/>
      <c r="AS662" s="76" t="str">
        <f>"COMMENT ON COLUMN "&amp;エンティティ一覧!$O$2&amp;"."&amp;D$8&amp;"."&amp;D662&amp;" IS '"&amp;C662&amp;"';"</f>
        <v>COMMENT ON COLUMN milscm_2023_009.sny_202310_annony_shikkan2.shikkan649_start_date IS 'I638_疾患開始日';</v>
      </c>
    </row>
    <row r="663" spans="1:45" s="25" customFormat="1">
      <c r="A663" s="4" t="s">
        <v>5736</v>
      </c>
      <c r="B663" s="21">
        <f t="shared" si="125"/>
        <v>651</v>
      </c>
      <c r="C663" s="13" t="str">
        <f t="shared" si="124"/>
        <v>I639_疾患開始日</v>
      </c>
      <c r="D663" s="13" t="s">
        <v>6310</v>
      </c>
      <c r="E663" s="8"/>
      <c r="F663" s="7" t="s">
        <v>4348</v>
      </c>
      <c r="G663" s="7" t="s">
        <v>25</v>
      </c>
      <c r="H663" s="58"/>
      <c r="I663" s="23"/>
      <c r="J663" s="24"/>
      <c r="M663" s="4"/>
      <c r="N663" s="76"/>
      <c r="O663" s="76"/>
      <c r="P663" s="76" t="str">
        <f t="shared" si="119"/>
        <v>,shikkan650_start_date</v>
      </c>
      <c r="Q663" s="76" t="str">
        <f t="shared" si="120"/>
        <v>DATE</v>
      </c>
      <c r="R663" s="76" t="str">
        <f t="shared" si="121"/>
        <v/>
      </c>
      <c r="S663" s="76" t="str">
        <f t="shared" si="122"/>
        <v/>
      </c>
      <c r="T663" s="76" t="str">
        <f t="shared" si="123"/>
        <v>-- I639_疾患開始日</v>
      </c>
      <c r="U663" s="4" t="str">
        <f t="shared" si="115"/>
        <v>, CASE WHEN shikkan_disp_name = 'I639' THEN min_shikkan_start_date ::DATE ELSE NULL END AS shikkan650_start_date</v>
      </c>
      <c r="V663" s="25" t="str">
        <f t="shared" si="116"/>
        <v>, max(shikkan650_start_date)</v>
      </c>
      <c r="AA663" s="4"/>
      <c r="AB663" s="4"/>
      <c r="AC663" s="4"/>
      <c r="AD663" s="4"/>
      <c r="AE663" s="4"/>
      <c r="AF663" s="4"/>
      <c r="AG663" s="4"/>
      <c r="AH663" s="4"/>
      <c r="AI663" s="4"/>
      <c r="AJ663" s="76" t="str">
        <f>IF(E663="○",IF(COUNTA(E$13:E663)=1,"",",")&amp;D663,"")</f>
        <v/>
      </c>
      <c r="AK663" s="4"/>
      <c r="AL663" s="4"/>
      <c r="AM663" s="4"/>
      <c r="AN663" s="4"/>
      <c r="AO663" s="4"/>
      <c r="AP663" s="4"/>
      <c r="AQ663" s="4"/>
      <c r="AR663" s="4"/>
      <c r="AS663" s="76" t="str">
        <f>"COMMENT ON COLUMN "&amp;エンティティ一覧!$O$2&amp;"."&amp;D$8&amp;"."&amp;D663&amp;" IS '"&amp;C663&amp;"';"</f>
        <v>COMMENT ON COLUMN milscm_2023_009.sny_202310_annony_shikkan2.shikkan650_start_date IS 'I639_疾患開始日';</v>
      </c>
    </row>
    <row r="664" spans="1:45" s="25" customFormat="1">
      <c r="A664" s="4" t="s">
        <v>5062</v>
      </c>
      <c r="B664" s="21">
        <f t="shared" si="125"/>
        <v>652</v>
      </c>
      <c r="C664" s="13" t="str">
        <f t="shared" si="124"/>
        <v>I64_疾患開始日</v>
      </c>
      <c r="D664" s="13" t="s">
        <v>6311</v>
      </c>
      <c r="E664" s="8"/>
      <c r="F664" s="7" t="s">
        <v>4348</v>
      </c>
      <c r="G664" s="7" t="s">
        <v>25</v>
      </c>
      <c r="H664" s="58"/>
      <c r="I664" s="23"/>
      <c r="J664" s="24"/>
      <c r="M664" s="4"/>
      <c r="N664" s="76"/>
      <c r="O664" s="76"/>
      <c r="P664" s="76" t="str">
        <f t="shared" si="119"/>
        <v>,shikkan651_start_date</v>
      </c>
      <c r="Q664" s="76" t="str">
        <f t="shared" si="120"/>
        <v>DATE</v>
      </c>
      <c r="R664" s="76" t="str">
        <f t="shared" si="121"/>
        <v/>
      </c>
      <c r="S664" s="76" t="str">
        <f t="shared" si="122"/>
        <v/>
      </c>
      <c r="T664" s="76" t="str">
        <f t="shared" si="123"/>
        <v>-- I64_疾患開始日</v>
      </c>
      <c r="U664" s="4" t="str">
        <f t="shared" si="115"/>
        <v>, CASE WHEN shikkan_disp_name = 'I64' THEN min_shikkan_start_date ::DATE ELSE NULL END AS shikkan651_start_date</v>
      </c>
      <c r="V664" s="25" t="str">
        <f t="shared" si="116"/>
        <v>, max(shikkan651_start_date)</v>
      </c>
      <c r="AA664" s="4"/>
      <c r="AB664" s="4"/>
      <c r="AC664" s="4"/>
      <c r="AD664" s="4"/>
      <c r="AE664" s="4"/>
      <c r="AF664" s="4"/>
      <c r="AG664" s="4"/>
      <c r="AH664" s="4"/>
      <c r="AI664" s="4"/>
      <c r="AJ664" s="76" t="str">
        <f>IF(E664="○",IF(COUNTA(E$13:E664)=1,"",",")&amp;D664,"")</f>
        <v/>
      </c>
      <c r="AK664" s="4"/>
      <c r="AL664" s="4"/>
      <c r="AM664" s="4"/>
      <c r="AN664" s="4"/>
      <c r="AO664" s="4"/>
      <c r="AP664" s="4"/>
      <c r="AQ664" s="4"/>
      <c r="AR664" s="4"/>
      <c r="AS664" s="76" t="str">
        <f>"COMMENT ON COLUMN "&amp;エンティティ一覧!$O$2&amp;"."&amp;D$8&amp;"."&amp;D664&amp;" IS '"&amp;C664&amp;"';"</f>
        <v>COMMENT ON COLUMN milscm_2023_009.sny_202310_annony_shikkan2.shikkan651_start_date IS 'I64_疾患開始日';</v>
      </c>
    </row>
    <row r="665" spans="1:45" s="25" customFormat="1">
      <c r="A665" s="4" t="s">
        <v>5737</v>
      </c>
      <c r="B665" s="21">
        <f t="shared" si="125"/>
        <v>653</v>
      </c>
      <c r="C665" s="13" t="str">
        <f t="shared" si="124"/>
        <v>I650_疾患開始日</v>
      </c>
      <c r="D665" s="13" t="s">
        <v>6312</v>
      </c>
      <c r="E665" s="8"/>
      <c r="F665" s="7" t="s">
        <v>4348</v>
      </c>
      <c r="G665" s="7" t="s">
        <v>25</v>
      </c>
      <c r="H665" s="58"/>
      <c r="I665" s="23"/>
      <c r="J665" s="24"/>
      <c r="M665" s="4"/>
      <c r="N665" s="76"/>
      <c r="O665" s="76"/>
      <c r="P665" s="76" t="str">
        <f t="shared" si="119"/>
        <v>,shikkan652_start_date</v>
      </c>
      <c r="Q665" s="76" t="str">
        <f t="shared" si="120"/>
        <v>DATE</v>
      </c>
      <c r="R665" s="76" t="str">
        <f t="shared" si="121"/>
        <v/>
      </c>
      <c r="S665" s="76" t="str">
        <f t="shared" si="122"/>
        <v/>
      </c>
      <c r="T665" s="76" t="str">
        <f t="shared" si="123"/>
        <v>-- I650_疾患開始日</v>
      </c>
      <c r="U665" s="4" t="str">
        <f t="shared" si="115"/>
        <v>, CASE WHEN shikkan_disp_name = 'I650' THEN min_shikkan_start_date ::DATE ELSE NULL END AS shikkan652_start_date</v>
      </c>
      <c r="V665" s="25" t="str">
        <f t="shared" si="116"/>
        <v>, max(shikkan652_start_date)</v>
      </c>
      <c r="AA665" s="4"/>
      <c r="AB665" s="4"/>
      <c r="AC665" s="4"/>
      <c r="AD665" s="4"/>
      <c r="AE665" s="4"/>
      <c r="AF665" s="4"/>
      <c r="AG665" s="4"/>
      <c r="AH665" s="4"/>
      <c r="AI665" s="4"/>
      <c r="AJ665" s="76" t="str">
        <f>IF(E665="○",IF(COUNTA(E$13:E665)=1,"",",")&amp;D665,"")</f>
        <v/>
      </c>
      <c r="AK665" s="4"/>
      <c r="AL665" s="4"/>
      <c r="AM665" s="4"/>
      <c r="AN665" s="4"/>
      <c r="AO665" s="4"/>
      <c r="AP665" s="4"/>
      <c r="AQ665" s="4"/>
      <c r="AR665" s="4"/>
      <c r="AS665" s="76" t="str">
        <f>"COMMENT ON COLUMN "&amp;エンティティ一覧!$O$2&amp;"."&amp;D$8&amp;"."&amp;D665&amp;" IS '"&amp;C665&amp;"';"</f>
        <v>COMMENT ON COLUMN milscm_2023_009.sny_202310_annony_shikkan2.shikkan652_start_date IS 'I650_疾患開始日';</v>
      </c>
    </row>
    <row r="666" spans="1:45" s="25" customFormat="1">
      <c r="A666" s="4" t="s">
        <v>5738</v>
      </c>
      <c r="B666" s="21">
        <f t="shared" si="125"/>
        <v>654</v>
      </c>
      <c r="C666" s="13" t="str">
        <f t="shared" si="124"/>
        <v>I651_疾患開始日</v>
      </c>
      <c r="D666" s="13" t="s">
        <v>6313</v>
      </c>
      <c r="E666" s="8"/>
      <c r="F666" s="7" t="s">
        <v>4348</v>
      </c>
      <c r="G666" s="7" t="s">
        <v>25</v>
      </c>
      <c r="H666" s="58"/>
      <c r="I666" s="23"/>
      <c r="J666" s="24"/>
      <c r="M666" s="4"/>
      <c r="N666" s="76"/>
      <c r="O666" s="76"/>
      <c r="P666" s="76" t="str">
        <f t="shared" si="119"/>
        <v>,shikkan653_start_date</v>
      </c>
      <c r="Q666" s="76" t="str">
        <f t="shared" si="120"/>
        <v>DATE</v>
      </c>
      <c r="R666" s="76" t="str">
        <f t="shared" si="121"/>
        <v/>
      </c>
      <c r="S666" s="76" t="str">
        <f t="shared" si="122"/>
        <v/>
      </c>
      <c r="T666" s="76" t="str">
        <f t="shared" si="123"/>
        <v>-- I651_疾患開始日</v>
      </c>
      <c r="U666" s="4" t="str">
        <f t="shared" si="115"/>
        <v>, CASE WHEN shikkan_disp_name = 'I651' THEN min_shikkan_start_date ::DATE ELSE NULL END AS shikkan653_start_date</v>
      </c>
      <c r="V666" s="25" t="str">
        <f t="shared" si="116"/>
        <v>, max(shikkan653_start_date)</v>
      </c>
      <c r="AA666" s="4"/>
      <c r="AB666" s="4"/>
      <c r="AC666" s="4"/>
      <c r="AD666" s="4"/>
      <c r="AE666" s="4"/>
      <c r="AF666" s="4"/>
      <c r="AG666" s="4"/>
      <c r="AH666" s="4"/>
      <c r="AI666" s="4"/>
      <c r="AJ666" s="76" t="str">
        <f>IF(E666="○",IF(COUNTA(E$13:E666)=1,"",",")&amp;D666,"")</f>
        <v/>
      </c>
      <c r="AK666" s="4"/>
      <c r="AL666" s="4"/>
      <c r="AM666" s="4"/>
      <c r="AN666" s="4"/>
      <c r="AO666" s="4"/>
      <c r="AP666" s="4"/>
      <c r="AQ666" s="4"/>
      <c r="AR666" s="4"/>
      <c r="AS666" s="76" t="str">
        <f>"COMMENT ON COLUMN "&amp;エンティティ一覧!$O$2&amp;"."&amp;D$8&amp;"."&amp;D666&amp;" IS '"&amp;C666&amp;"';"</f>
        <v>COMMENT ON COLUMN milscm_2023_009.sny_202310_annony_shikkan2.shikkan653_start_date IS 'I651_疾患開始日';</v>
      </c>
    </row>
    <row r="667" spans="1:45" s="25" customFormat="1">
      <c r="A667" s="4" t="s">
        <v>5739</v>
      </c>
      <c r="B667" s="21">
        <f t="shared" si="125"/>
        <v>655</v>
      </c>
      <c r="C667" s="13" t="str">
        <f t="shared" si="124"/>
        <v>I652_疾患開始日</v>
      </c>
      <c r="D667" s="13" t="s">
        <v>6314</v>
      </c>
      <c r="E667" s="8"/>
      <c r="F667" s="7" t="s">
        <v>4348</v>
      </c>
      <c r="G667" s="7" t="s">
        <v>25</v>
      </c>
      <c r="H667" s="58"/>
      <c r="I667" s="23"/>
      <c r="J667" s="24"/>
      <c r="M667" s="4"/>
      <c r="N667" s="76"/>
      <c r="O667" s="76"/>
      <c r="P667" s="76" t="str">
        <f t="shared" si="119"/>
        <v>,shikkan654_start_date</v>
      </c>
      <c r="Q667" s="76" t="str">
        <f t="shared" si="120"/>
        <v>DATE</v>
      </c>
      <c r="R667" s="76" t="str">
        <f t="shared" si="121"/>
        <v/>
      </c>
      <c r="S667" s="76" t="str">
        <f t="shared" si="122"/>
        <v/>
      </c>
      <c r="T667" s="76" t="str">
        <f t="shared" si="123"/>
        <v>-- I652_疾患開始日</v>
      </c>
      <c r="U667" s="4" t="str">
        <f t="shared" si="115"/>
        <v>, CASE WHEN shikkan_disp_name = 'I652' THEN min_shikkan_start_date ::DATE ELSE NULL END AS shikkan654_start_date</v>
      </c>
      <c r="V667" s="25" t="str">
        <f t="shared" si="116"/>
        <v>, max(shikkan654_start_date)</v>
      </c>
      <c r="AA667" s="4"/>
      <c r="AB667" s="4"/>
      <c r="AC667" s="4"/>
      <c r="AD667" s="4"/>
      <c r="AE667" s="4"/>
      <c r="AF667" s="4"/>
      <c r="AG667" s="4"/>
      <c r="AH667" s="4"/>
      <c r="AI667" s="4"/>
      <c r="AJ667" s="76" t="str">
        <f>IF(E667="○",IF(COUNTA(E$13:E667)=1,"",",")&amp;D667,"")</f>
        <v/>
      </c>
      <c r="AK667" s="4"/>
      <c r="AL667" s="4"/>
      <c r="AM667" s="4"/>
      <c r="AN667" s="4"/>
      <c r="AO667" s="4"/>
      <c r="AP667" s="4"/>
      <c r="AQ667" s="4"/>
      <c r="AR667" s="4"/>
      <c r="AS667" s="76" t="str">
        <f>"COMMENT ON COLUMN "&amp;エンティティ一覧!$O$2&amp;"."&amp;D$8&amp;"."&amp;D667&amp;" IS '"&amp;C667&amp;"';"</f>
        <v>COMMENT ON COLUMN milscm_2023_009.sny_202310_annony_shikkan2.shikkan654_start_date IS 'I652_疾患開始日';</v>
      </c>
    </row>
    <row r="668" spans="1:45" s="25" customFormat="1">
      <c r="A668" s="4" t="s">
        <v>5740</v>
      </c>
      <c r="B668" s="21">
        <f t="shared" si="125"/>
        <v>656</v>
      </c>
      <c r="C668" s="13" t="str">
        <f t="shared" si="124"/>
        <v>I653_疾患開始日</v>
      </c>
      <c r="D668" s="13" t="s">
        <v>6315</v>
      </c>
      <c r="E668" s="8"/>
      <c r="F668" s="7" t="s">
        <v>4348</v>
      </c>
      <c r="G668" s="7" t="s">
        <v>99</v>
      </c>
      <c r="H668" s="58"/>
      <c r="I668" s="23"/>
      <c r="J668" s="24"/>
      <c r="M668" s="4"/>
      <c r="N668" s="76"/>
      <c r="O668" s="76"/>
      <c r="P668" s="76" t="str">
        <f t="shared" si="119"/>
        <v>,shikkan655_start_date</v>
      </c>
      <c r="Q668" s="76" t="str">
        <f t="shared" si="120"/>
        <v>DATE</v>
      </c>
      <c r="R668" s="76" t="str">
        <f t="shared" si="121"/>
        <v/>
      </c>
      <c r="S668" s="76" t="str">
        <f t="shared" si="122"/>
        <v/>
      </c>
      <c r="T668" s="76" t="str">
        <f t="shared" si="123"/>
        <v>-- I653_疾患開始日</v>
      </c>
      <c r="U668" s="4" t="str">
        <f t="shared" si="115"/>
        <v>, CASE WHEN shikkan_disp_name = 'I653' THEN min_shikkan_start_date ::DATE ELSE NULL END AS shikkan655_start_date</v>
      </c>
      <c r="V668" s="25" t="str">
        <f t="shared" si="116"/>
        <v>, max(shikkan655_start_date)</v>
      </c>
      <c r="AA668" s="4"/>
      <c r="AB668" s="4"/>
      <c r="AC668" s="4"/>
      <c r="AD668" s="4"/>
      <c r="AE668" s="4"/>
      <c r="AF668" s="4"/>
      <c r="AG668" s="4"/>
      <c r="AH668" s="4"/>
      <c r="AI668" s="4"/>
      <c r="AJ668" s="76" t="str">
        <f>IF(E668="○",IF(COUNTA(E$13:E668)=1,"",",")&amp;D668,"")</f>
        <v/>
      </c>
      <c r="AK668" s="4"/>
      <c r="AL668" s="4"/>
      <c r="AM668" s="4"/>
      <c r="AN668" s="4"/>
      <c r="AO668" s="4"/>
      <c r="AP668" s="4"/>
      <c r="AQ668" s="4"/>
      <c r="AR668" s="4"/>
      <c r="AS668" s="76" t="str">
        <f>"COMMENT ON COLUMN "&amp;エンティティ一覧!$O$2&amp;"."&amp;D$8&amp;"."&amp;D668&amp;" IS '"&amp;C668&amp;"';"</f>
        <v>COMMENT ON COLUMN milscm_2023_009.sny_202310_annony_shikkan2.shikkan655_start_date IS 'I653_疾患開始日';</v>
      </c>
    </row>
    <row r="669" spans="1:45" s="25" customFormat="1">
      <c r="A669" s="4" t="s">
        <v>5741</v>
      </c>
      <c r="B669" s="21">
        <f t="shared" si="125"/>
        <v>657</v>
      </c>
      <c r="C669" s="13" t="str">
        <f t="shared" si="124"/>
        <v>I658_疾患開始日</v>
      </c>
      <c r="D669" s="13" t="s">
        <v>6316</v>
      </c>
      <c r="E669" s="8"/>
      <c r="F669" s="7" t="s">
        <v>4348</v>
      </c>
      <c r="G669" s="7" t="s">
        <v>25</v>
      </c>
      <c r="H669" s="58"/>
      <c r="I669" s="23"/>
      <c r="J669" s="24"/>
      <c r="M669" s="4"/>
      <c r="N669" s="76"/>
      <c r="O669" s="76"/>
      <c r="P669" s="76" t="str">
        <f t="shared" si="119"/>
        <v>,shikkan656_start_date</v>
      </c>
      <c r="Q669" s="76" t="str">
        <f t="shared" si="120"/>
        <v>DATE</v>
      </c>
      <c r="R669" s="76" t="str">
        <f t="shared" si="121"/>
        <v/>
      </c>
      <c r="S669" s="76" t="str">
        <f t="shared" si="122"/>
        <v/>
      </c>
      <c r="T669" s="76" t="str">
        <f t="shared" si="123"/>
        <v>-- I658_疾患開始日</v>
      </c>
      <c r="U669" s="4" t="str">
        <f t="shared" si="115"/>
        <v>, CASE WHEN shikkan_disp_name = 'I658' THEN min_shikkan_start_date ::DATE ELSE NULL END AS shikkan656_start_date</v>
      </c>
      <c r="V669" s="25" t="str">
        <f t="shared" si="116"/>
        <v>, max(shikkan656_start_date)</v>
      </c>
      <c r="AA669" s="4"/>
      <c r="AB669" s="4"/>
      <c r="AC669" s="4"/>
      <c r="AD669" s="4"/>
      <c r="AE669" s="4"/>
      <c r="AF669" s="4"/>
      <c r="AG669" s="4"/>
      <c r="AH669" s="4"/>
      <c r="AI669" s="4"/>
      <c r="AJ669" s="76" t="str">
        <f>IF(E669="○",IF(COUNTA(E$13:E669)=1,"",",")&amp;D669,"")</f>
        <v/>
      </c>
      <c r="AK669" s="4"/>
      <c r="AL669" s="4"/>
      <c r="AM669" s="4"/>
      <c r="AN669" s="4"/>
      <c r="AO669" s="4"/>
      <c r="AP669" s="4"/>
      <c r="AQ669" s="4"/>
      <c r="AR669" s="4"/>
      <c r="AS669" s="76" t="str">
        <f>"COMMENT ON COLUMN "&amp;エンティティ一覧!$O$2&amp;"."&amp;D$8&amp;"."&amp;D669&amp;" IS '"&amp;C669&amp;"';"</f>
        <v>COMMENT ON COLUMN milscm_2023_009.sny_202310_annony_shikkan2.shikkan656_start_date IS 'I658_疾患開始日';</v>
      </c>
    </row>
    <row r="670" spans="1:45" s="25" customFormat="1">
      <c r="A670" s="4" t="s">
        <v>5742</v>
      </c>
      <c r="B670" s="21">
        <f t="shared" si="125"/>
        <v>658</v>
      </c>
      <c r="C670" s="13" t="str">
        <f t="shared" si="124"/>
        <v>I659_疾患開始日</v>
      </c>
      <c r="D670" s="13" t="s">
        <v>6317</v>
      </c>
      <c r="E670" s="8"/>
      <c r="F670" s="7" t="s">
        <v>4348</v>
      </c>
      <c r="G670" s="7" t="s">
        <v>25</v>
      </c>
      <c r="H670" s="58"/>
      <c r="I670" s="23"/>
      <c r="J670" s="24"/>
      <c r="M670" s="4"/>
      <c r="N670" s="76"/>
      <c r="O670" s="76"/>
      <c r="P670" s="76" t="str">
        <f t="shared" si="119"/>
        <v>,shikkan657_start_date</v>
      </c>
      <c r="Q670" s="76" t="str">
        <f t="shared" si="120"/>
        <v>DATE</v>
      </c>
      <c r="R670" s="76" t="str">
        <f t="shared" si="121"/>
        <v/>
      </c>
      <c r="S670" s="76" t="str">
        <f t="shared" si="122"/>
        <v/>
      </c>
      <c r="T670" s="76" t="str">
        <f t="shared" si="123"/>
        <v>-- I659_疾患開始日</v>
      </c>
      <c r="U670" s="4" t="str">
        <f t="shared" si="115"/>
        <v>, CASE WHEN shikkan_disp_name = 'I659' THEN min_shikkan_start_date ::DATE ELSE NULL END AS shikkan657_start_date</v>
      </c>
      <c r="V670" s="25" t="str">
        <f t="shared" si="116"/>
        <v>, max(shikkan657_start_date)</v>
      </c>
      <c r="AA670" s="4"/>
      <c r="AB670" s="4"/>
      <c r="AC670" s="4"/>
      <c r="AD670" s="4"/>
      <c r="AE670" s="4"/>
      <c r="AF670" s="4"/>
      <c r="AG670" s="4"/>
      <c r="AH670" s="4"/>
      <c r="AI670" s="4"/>
      <c r="AJ670" s="76" t="str">
        <f>IF(E670="○",IF(COUNTA(E$13:E670)=1,"",",")&amp;D670,"")</f>
        <v/>
      </c>
      <c r="AK670" s="4"/>
      <c r="AL670" s="4"/>
      <c r="AM670" s="4"/>
      <c r="AN670" s="4"/>
      <c r="AO670" s="4"/>
      <c r="AP670" s="4"/>
      <c r="AQ670" s="4"/>
      <c r="AR670" s="4"/>
      <c r="AS670" s="76" t="str">
        <f>"COMMENT ON COLUMN "&amp;エンティティ一覧!$O$2&amp;"."&amp;D$8&amp;"."&amp;D670&amp;" IS '"&amp;C670&amp;"';"</f>
        <v>COMMENT ON COLUMN milscm_2023_009.sny_202310_annony_shikkan2.shikkan657_start_date IS 'I659_疾患開始日';</v>
      </c>
    </row>
    <row r="671" spans="1:45" s="25" customFormat="1">
      <c r="A671" s="4" t="s">
        <v>5743</v>
      </c>
      <c r="B671" s="21">
        <f t="shared" si="125"/>
        <v>659</v>
      </c>
      <c r="C671" s="13" t="str">
        <f t="shared" si="124"/>
        <v>I660_疾患開始日</v>
      </c>
      <c r="D671" s="13" t="s">
        <v>6318</v>
      </c>
      <c r="E671" s="8"/>
      <c r="F671" s="7" t="s">
        <v>4348</v>
      </c>
      <c r="G671" s="7" t="s">
        <v>25</v>
      </c>
      <c r="H671" s="58"/>
      <c r="I671" s="23"/>
      <c r="J671" s="24"/>
      <c r="M671" s="4"/>
      <c r="N671" s="76"/>
      <c r="O671" s="76"/>
      <c r="P671" s="76" t="str">
        <f t="shared" si="119"/>
        <v>,shikkan658_start_date</v>
      </c>
      <c r="Q671" s="76" t="str">
        <f t="shared" si="120"/>
        <v>DATE</v>
      </c>
      <c r="R671" s="76" t="str">
        <f t="shared" si="121"/>
        <v/>
      </c>
      <c r="S671" s="76" t="str">
        <f t="shared" si="122"/>
        <v/>
      </c>
      <c r="T671" s="76" t="str">
        <f t="shared" si="123"/>
        <v>-- I660_疾患開始日</v>
      </c>
      <c r="U671" s="4" t="str">
        <f t="shared" si="115"/>
        <v>, CASE WHEN shikkan_disp_name = 'I660' THEN min_shikkan_start_date ::DATE ELSE NULL END AS shikkan658_start_date</v>
      </c>
      <c r="V671" s="25" t="str">
        <f t="shared" si="116"/>
        <v>, max(shikkan658_start_date)</v>
      </c>
      <c r="AA671" s="4"/>
      <c r="AB671" s="4"/>
      <c r="AC671" s="4"/>
      <c r="AD671" s="4"/>
      <c r="AE671" s="4"/>
      <c r="AF671" s="4"/>
      <c r="AG671" s="4"/>
      <c r="AH671" s="4"/>
      <c r="AI671" s="4"/>
      <c r="AJ671" s="76" t="str">
        <f>IF(E671="○",IF(COUNTA(E$13:E671)=1,"",",")&amp;D671,"")</f>
        <v/>
      </c>
      <c r="AK671" s="4"/>
      <c r="AL671" s="4"/>
      <c r="AM671" s="4"/>
      <c r="AN671" s="4"/>
      <c r="AO671" s="4"/>
      <c r="AP671" s="4"/>
      <c r="AQ671" s="4"/>
      <c r="AR671" s="4"/>
      <c r="AS671" s="76" t="str">
        <f>"COMMENT ON COLUMN "&amp;エンティティ一覧!$O$2&amp;"."&amp;D$8&amp;"."&amp;D671&amp;" IS '"&amp;C671&amp;"';"</f>
        <v>COMMENT ON COLUMN milscm_2023_009.sny_202310_annony_shikkan2.shikkan658_start_date IS 'I660_疾患開始日';</v>
      </c>
    </row>
    <row r="672" spans="1:45" s="25" customFormat="1">
      <c r="A672" s="4" t="s">
        <v>5744</v>
      </c>
      <c r="B672" s="21">
        <f t="shared" si="125"/>
        <v>660</v>
      </c>
      <c r="C672" s="13" t="str">
        <f t="shared" si="124"/>
        <v>I661_疾患開始日</v>
      </c>
      <c r="D672" s="13" t="s">
        <v>6319</v>
      </c>
      <c r="E672" s="8"/>
      <c r="F672" s="7" t="s">
        <v>4348</v>
      </c>
      <c r="G672" s="7" t="s">
        <v>25</v>
      </c>
      <c r="H672" s="58"/>
      <c r="I672" s="23"/>
      <c r="J672" s="24"/>
      <c r="M672" s="4"/>
      <c r="N672" s="76"/>
      <c r="O672" s="76"/>
      <c r="P672" s="76" t="str">
        <f t="shared" si="119"/>
        <v>,shikkan659_start_date</v>
      </c>
      <c r="Q672" s="76" t="str">
        <f t="shared" si="120"/>
        <v>DATE</v>
      </c>
      <c r="R672" s="76" t="str">
        <f t="shared" si="121"/>
        <v/>
      </c>
      <c r="S672" s="76" t="str">
        <f t="shared" si="122"/>
        <v/>
      </c>
      <c r="T672" s="76" t="str">
        <f t="shared" si="123"/>
        <v>-- I661_疾患開始日</v>
      </c>
      <c r="U672" s="4" t="str">
        <f t="shared" si="115"/>
        <v>, CASE WHEN shikkan_disp_name = 'I661' THEN min_shikkan_start_date ::DATE ELSE NULL END AS shikkan659_start_date</v>
      </c>
      <c r="V672" s="25" t="str">
        <f t="shared" si="116"/>
        <v>, max(shikkan659_start_date)</v>
      </c>
      <c r="AA672" s="4"/>
      <c r="AB672" s="4"/>
      <c r="AC672" s="4"/>
      <c r="AD672" s="4"/>
      <c r="AE672" s="4"/>
      <c r="AF672" s="4"/>
      <c r="AG672" s="4"/>
      <c r="AH672" s="4"/>
      <c r="AI672" s="4"/>
      <c r="AJ672" s="76" t="str">
        <f>IF(E672="○",IF(COUNTA(E$13:E672)=1,"",",")&amp;D672,"")</f>
        <v/>
      </c>
      <c r="AK672" s="4"/>
      <c r="AL672" s="4"/>
      <c r="AM672" s="4"/>
      <c r="AN672" s="4"/>
      <c r="AO672" s="4"/>
      <c r="AP672" s="4"/>
      <c r="AQ672" s="4"/>
      <c r="AR672" s="4"/>
      <c r="AS672" s="76" t="str">
        <f>"COMMENT ON COLUMN "&amp;エンティティ一覧!$O$2&amp;"."&amp;D$8&amp;"."&amp;D672&amp;" IS '"&amp;C672&amp;"';"</f>
        <v>COMMENT ON COLUMN milscm_2023_009.sny_202310_annony_shikkan2.shikkan659_start_date IS 'I661_疾患開始日';</v>
      </c>
    </row>
    <row r="673" spans="1:45" s="25" customFormat="1">
      <c r="A673" s="4" t="s">
        <v>5745</v>
      </c>
      <c r="B673" s="21">
        <f t="shared" si="125"/>
        <v>661</v>
      </c>
      <c r="C673" s="13" t="str">
        <f t="shared" si="124"/>
        <v>I662_疾患開始日</v>
      </c>
      <c r="D673" s="13" t="s">
        <v>6320</v>
      </c>
      <c r="E673" s="8"/>
      <c r="F673" s="7" t="s">
        <v>4348</v>
      </c>
      <c r="G673" s="7" t="s">
        <v>25</v>
      </c>
      <c r="H673" s="58"/>
      <c r="I673" s="23"/>
      <c r="J673" s="24"/>
      <c r="M673" s="4"/>
      <c r="N673" s="76"/>
      <c r="O673" s="76"/>
      <c r="P673" s="76" t="str">
        <f t="shared" si="119"/>
        <v>,shikkan660_start_date</v>
      </c>
      <c r="Q673" s="76" t="str">
        <f t="shared" si="120"/>
        <v>DATE</v>
      </c>
      <c r="R673" s="76" t="str">
        <f t="shared" si="121"/>
        <v/>
      </c>
      <c r="S673" s="76" t="str">
        <f t="shared" si="122"/>
        <v/>
      </c>
      <c r="T673" s="76" t="str">
        <f t="shared" si="123"/>
        <v>-- I662_疾患開始日</v>
      </c>
      <c r="U673" s="4" t="str">
        <f t="shared" si="115"/>
        <v>, CASE WHEN shikkan_disp_name = 'I662' THEN min_shikkan_start_date ::DATE ELSE NULL END AS shikkan660_start_date</v>
      </c>
      <c r="V673" s="25" t="str">
        <f t="shared" si="116"/>
        <v>, max(shikkan660_start_date)</v>
      </c>
      <c r="AA673" s="4"/>
      <c r="AB673" s="4"/>
      <c r="AC673" s="4"/>
      <c r="AD673" s="4"/>
      <c r="AE673" s="4"/>
      <c r="AF673" s="4"/>
      <c r="AG673" s="4"/>
      <c r="AH673" s="4"/>
      <c r="AI673" s="4"/>
      <c r="AJ673" s="76" t="str">
        <f>IF(E673="○",IF(COUNTA(E$13:E673)=1,"",",")&amp;D673,"")</f>
        <v/>
      </c>
      <c r="AK673" s="4"/>
      <c r="AL673" s="4"/>
      <c r="AM673" s="4"/>
      <c r="AN673" s="4"/>
      <c r="AO673" s="4"/>
      <c r="AP673" s="4"/>
      <c r="AQ673" s="4"/>
      <c r="AR673" s="4"/>
      <c r="AS673" s="76" t="str">
        <f>"COMMENT ON COLUMN "&amp;エンティティ一覧!$O$2&amp;"."&amp;D$8&amp;"."&amp;D673&amp;" IS '"&amp;C673&amp;"';"</f>
        <v>COMMENT ON COLUMN milscm_2023_009.sny_202310_annony_shikkan2.shikkan660_start_date IS 'I662_疾患開始日';</v>
      </c>
    </row>
    <row r="674" spans="1:45" s="25" customFormat="1">
      <c r="A674" s="4" t="s">
        <v>5746</v>
      </c>
      <c r="B674" s="21">
        <f t="shared" si="125"/>
        <v>662</v>
      </c>
      <c r="C674" s="13" t="str">
        <f t="shared" si="124"/>
        <v>I663_疾患開始日</v>
      </c>
      <c r="D674" s="13" t="s">
        <v>6321</v>
      </c>
      <c r="E674" s="8"/>
      <c r="F674" s="7" t="s">
        <v>4348</v>
      </c>
      <c r="G674" s="7" t="s">
        <v>25</v>
      </c>
      <c r="H674" s="58"/>
      <c r="I674" s="23"/>
      <c r="J674" s="24"/>
      <c r="M674" s="4"/>
      <c r="N674" s="76"/>
      <c r="O674" s="76"/>
      <c r="P674" s="76" t="str">
        <f t="shared" si="119"/>
        <v>,shikkan661_start_date</v>
      </c>
      <c r="Q674" s="76" t="str">
        <f t="shared" si="120"/>
        <v>DATE</v>
      </c>
      <c r="R674" s="76" t="str">
        <f t="shared" si="121"/>
        <v/>
      </c>
      <c r="S674" s="76" t="str">
        <f t="shared" si="122"/>
        <v/>
      </c>
      <c r="T674" s="76" t="str">
        <f t="shared" si="123"/>
        <v>-- I663_疾患開始日</v>
      </c>
      <c r="U674" s="4" t="str">
        <f t="shared" si="115"/>
        <v>, CASE WHEN shikkan_disp_name = 'I663' THEN min_shikkan_start_date ::DATE ELSE NULL END AS shikkan661_start_date</v>
      </c>
      <c r="V674" s="25" t="str">
        <f t="shared" si="116"/>
        <v>, max(shikkan661_start_date)</v>
      </c>
      <c r="AA674" s="4"/>
      <c r="AB674" s="4"/>
      <c r="AC674" s="4"/>
      <c r="AD674" s="4"/>
      <c r="AE674" s="4"/>
      <c r="AF674" s="4"/>
      <c r="AG674" s="4"/>
      <c r="AH674" s="4"/>
      <c r="AI674" s="4"/>
      <c r="AJ674" s="76" t="str">
        <f>IF(E674="○",IF(COUNTA(E$13:E674)=1,"",",")&amp;D674,"")</f>
        <v/>
      </c>
      <c r="AK674" s="4"/>
      <c r="AL674" s="4"/>
      <c r="AM674" s="4"/>
      <c r="AN674" s="4"/>
      <c r="AO674" s="4"/>
      <c r="AP674" s="4"/>
      <c r="AQ674" s="4"/>
      <c r="AR674" s="4"/>
      <c r="AS674" s="76" t="str">
        <f>"COMMENT ON COLUMN "&amp;エンティティ一覧!$O$2&amp;"."&amp;D$8&amp;"."&amp;D674&amp;" IS '"&amp;C674&amp;"';"</f>
        <v>COMMENT ON COLUMN milscm_2023_009.sny_202310_annony_shikkan2.shikkan661_start_date IS 'I663_疾患開始日';</v>
      </c>
    </row>
    <row r="675" spans="1:45" s="25" customFormat="1">
      <c r="A675" s="4" t="s">
        <v>5747</v>
      </c>
      <c r="B675" s="21">
        <f t="shared" si="125"/>
        <v>663</v>
      </c>
      <c r="C675" s="13" t="str">
        <f t="shared" si="124"/>
        <v>I664_疾患開始日</v>
      </c>
      <c r="D675" s="13" t="s">
        <v>6322</v>
      </c>
      <c r="E675" s="8"/>
      <c r="F675" s="7" t="s">
        <v>4348</v>
      </c>
      <c r="G675" s="7" t="s">
        <v>25</v>
      </c>
      <c r="H675" s="58"/>
      <c r="I675" s="23"/>
      <c r="J675" s="24"/>
      <c r="M675" s="4"/>
      <c r="N675" s="76"/>
      <c r="O675" s="76"/>
      <c r="P675" s="76" t="str">
        <f t="shared" si="119"/>
        <v>,shikkan662_start_date</v>
      </c>
      <c r="Q675" s="76" t="str">
        <f t="shared" si="120"/>
        <v>DATE</v>
      </c>
      <c r="R675" s="76" t="str">
        <f t="shared" si="121"/>
        <v/>
      </c>
      <c r="S675" s="76" t="str">
        <f t="shared" si="122"/>
        <v/>
      </c>
      <c r="T675" s="76" t="str">
        <f t="shared" si="123"/>
        <v>-- I664_疾患開始日</v>
      </c>
      <c r="U675" s="4" t="str">
        <f t="shared" si="115"/>
        <v>, CASE WHEN shikkan_disp_name = 'I664' THEN min_shikkan_start_date ::DATE ELSE NULL END AS shikkan662_start_date</v>
      </c>
      <c r="V675" s="25" t="str">
        <f t="shared" si="116"/>
        <v>, max(shikkan662_start_date)</v>
      </c>
      <c r="AA675" s="4"/>
      <c r="AB675" s="4"/>
      <c r="AC675" s="4"/>
      <c r="AD675" s="4"/>
      <c r="AE675" s="4"/>
      <c r="AF675" s="4"/>
      <c r="AG675" s="4"/>
      <c r="AH675" s="4"/>
      <c r="AI675" s="4"/>
      <c r="AJ675" s="76" t="str">
        <f>IF(E675="○",IF(COUNTA(E$13:E675)=1,"",",")&amp;D675,"")</f>
        <v/>
      </c>
      <c r="AK675" s="4"/>
      <c r="AL675" s="4"/>
      <c r="AM675" s="4"/>
      <c r="AN675" s="4"/>
      <c r="AO675" s="4"/>
      <c r="AP675" s="4"/>
      <c r="AQ675" s="4"/>
      <c r="AR675" s="4"/>
      <c r="AS675" s="76" t="str">
        <f>"COMMENT ON COLUMN "&amp;エンティティ一覧!$O$2&amp;"."&amp;D$8&amp;"."&amp;D675&amp;" IS '"&amp;C675&amp;"';"</f>
        <v>COMMENT ON COLUMN milscm_2023_009.sny_202310_annony_shikkan2.shikkan662_start_date IS 'I664_疾患開始日';</v>
      </c>
    </row>
    <row r="676" spans="1:45" s="25" customFormat="1">
      <c r="A676" s="4" t="s">
        <v>5748</v>
      </c>
      <c r="B676" s="21">
        <f t="shared" si="125"/>
        <v>664</v>
      </c>
      <c r="C676" s="13" t="str">
        <f t="shared" si="124"/>
        <v>I668_疾患開始日</v>
      </c>
      <c r="D676" s="13" t="s">
        <v>6323</v>
      </c>
      <c r="E676" s="8"/>
      <c r="F676" s="7" t="s">
        <v>4348</v>
      </c>
      <c r="G676" s="7" t="s">
        <v>25</v>
      </c>
      <c r="H676" s="58"/>
      <c r="I676" s="23"/>
      <c r="J676" s="24"/>
      <c r="M676" s="4"/>
      <c r="N676" s="76"/>
      <c r="O676" s="76"/>
      <c r="P676" s="76" t="str">
        <f t="shared" si="119"/>
        <v>,shikkan663_start_date</v>
      </c>
      <c r="Q676" s="76" t="str">
        <f t="shared" si="120"/>
        <v>DATE</v>
      </c>
      <c r="R676" s="76" t="str">
        <f t="shared" si="121"/>
        <v/>
      </c>
      <c r="S676" s="76" t="str">
        <f t="shared" si="122"/>
        <v/>
      </c>
      <c r="T676" s="76" t="str">
        <f t="shared" si="123"/>
        <v>-- I668_疾患開始日</v>
      </c>
      <c r="U676" s="4" t="str">
        <f t="shared" si="115"/>
        <v>, CASE WHEN shikkan_disp_name = 'I668' THEN min_shikkan_start_date ::DATE ELSE NULL END AS shikkan663_start_date</v>
      </c>
      <c r="V676" s="25" t="str">
        <f t="shared" si="116"/>
        <v>, max(shikkan663_start_date)</v>
      </c>
      <c r="AA676" s="4"/>
      <c r="AB676" s="4"/>
      <c r="AC676" s="4"/>
      <c r="AD676" s="4"/>
      <c r="AE676" s="4"/>
      <c r="AF676" s="4"/>
      <c r="AG676" s="4"/>
      <c r="AH676" s="4"/>
      <c r="AI676" s="4"/>
      <c r="AJ676" s="76" t="str">
        <f>IF(E676="○",IF(COUNTA(E$13:E676)=1,"",",")&amp;D676,"")</f>
        <v/>
      </c>
      <c r="AK676" s="4"/>
      <c r="AL676" s="4"/>
      <c r="AM676" s="4"/>
      <c r="AN676" s="4"/>
      <c r="AO676" s="4"/>
      <c r="AP676" s="4"/>
      <c r="AQ676" s="4"/>
      <c r="AR676" s="4"/>
      <c r="AS676" s="76" t="str">
        <f>"COMMENT ON COLUMN "&amp;エンティティ一覧!$O$2&amp;"."&amp;D$8&amp;"."&amp;D676&amp;" IS '"&amp;C676&amp;"';"</f>
        <v>COMMENT ON COLUMN milscm_2023_009.sny_202310_annony_shikkan2.shikkan663_start_date IS 'I668_疾患開始日';</v>
      </c>
    </row>
    <row r="677" spans="1:45" s="25" customFormat="1">
      <c r="A677" s="4" t="s">
        <v>5749</v>
      </c>
      <c r="B677" s="21">
        <f t="shared" si="125"/>
        <v>665</v>
      </c>
      <c r="C677" s="13" t="str">
        <f t="shared" si="124"/>
        <v>I669_疾患開始日</v>
      </c>
      <c r="D677" s="13" t="s">
        <v>6324</v>
      </c>
      <c r="E677" s="8"/>
      <c r="F677" s="7" t="s">
        <v>4348</v>
      </c>
      <c r="G677" s="7" t="s">
        <v>25</v>
      </c>
      <c r="H677" s="58"/>
      <c r="I677" s="23"/>
      <c r="J677" s="24"/>
      <c r="M677" s="4"/>
      <c r="N677" s="76"/>
      <c r="O677" s="76"/>
      <c r="P677" s="76" t="str">
        <f t="shared" si="119"/>
        <v>,shikkan664_start_date</v>
      </c>
      <c r="Q677" s="76" t="str">
        <f t="shared" si="120"/>
        <v>DATE</v>
      </c>
      <c r="R677" s="76" t="str">
        <f t="shared" si="121"/>
        <v/>
      </c>
      <c r="S677" s="76" t="str">
        <f t="shared" si="122"/>
        <v/>
      </c>
      <c r="T677" s="76" t="str">
        <f t="shared" si="123"/>
        <v>-- I669_疾患開始日</v>
      </c>
      <c r="U677" s="4" t="str">
        <f t="shared" si="115"/>
        <v>, CASE WHEN shikkan_disp_name = 'I669' THEN min_shikkan_start_date ::DATE ELSE NULL END AS shikkan664_start_date</v>
      </c>
      <c r="V677" s="25" t="str">
        <f t="shared" si="116"/>
        <v>, max(shikkan664_start_date)</v>
      </c>
      <c r="AA677" s="4"/>
      <c r="AB677" s="4"/>
      <c r="AC677" s="4"/>
      <c r="AD677" s="4"/>
      <c r="AE677" s="4"/>
      <c r="AF677" s="4"/>
      <c r="AG677" s="4"/>
      <c r="AH677" s="4"/>
      <c r="AI677" s="4"/>
      <c r="AJ677" s="76" t="str">
        <f>IF(E677="○",IF(COUNTA(E$13:E677)=1,"",",")&amp;D677,"")</f>
        <v/>
      </c>
      <c r="AK677" s="4"/>
      <c r="AL677" s="4"/>
      <c r="AM677" s="4"/>
      <c r="AN677" s="4"/>
      <c r="AO677" s="4"/>
      <c r="AP677" s="4"/>
      <c r="AQ677" s="4"/>
      <c r="AR677" s="4"/>
      <c r="AS677" s="76" t="str">
        <f>"COMMENT ON COLUMN "&amp;エンティティ一覧!$O$2&amp;"."&amp;D$8&amp;"."&amp;D677&amp;" IS '"&amp;C677&amp;"';"</f>
        <v>COMMENT ON COLUMN milscm_2023_009.sny_202310_annony_shikkan2.shikkan664_start_date IS 'I669_疾患開始日';</v>
      </c>
    </row>
    <row r="678" spans="1:45" s="25" customFormat="1">
      <c r="A678" s="4" t="s">
        <v>5750</v>
      </c>
      <c r="B678" s="21">
        <f t="shared" si="125"/>
        <v>666</v>
      </c>
      <c r="C678" s="13" t="str">
        <f t="shared" si="124"/>
        <v>I670_疾患開始日</v>
      </c>
      <c r="D678" s="13" t="s">
        <v>6325</v>
      </c>
      <c r="E678" s="8"/>
      <c r="F678" s="7" t="s">
        <v>4348</v>
      </c>
      <c r="G678" s="7" t="s">
        <v>25</v>
      </c>
      <c r="H678" s="58"/>
      <c r="I678" s="23"/>
      <c r="J678" s="24"/>
      <c r="M678" s="4"/>
      <c r="N678" s="76"/>
      <c r="O678" s="76"/>
      <c r="P678" s="76" t="str">
        <f t="shared" ref="P678:P741" si="126">IF(B678&lt;&gt;1,","&amp;D678,D678)</f>
        <v>,shikkan665_start_date</v>
      </c>
      <c r="Q678" s="76" t="str">
        <f t="shared" ref="Q678:Q741" si="127">UPPER(G678)</f>
        <v>DATE</v>
      </c>
      <c r="R678" s="76" t="str">
        <f t="shared" ref="R678:R741" si="128">IF(H678&lt;&gt;"","default "&amp;IF(G678="text","'"&amp;H678&amp;"'",H678),"")</f>
        <v/>
      </c>
      <c r="S678" s="76" t="str">
        <f t="shared" ref="S678:S741" si="129">IF(I678="○","NOT NULL","")</f>
        <v/>
      </c>
      <c r="T678" s="76" t="str">
        <f t="shared" ref="T678:T741" si="130">"-- "&amp;C678</f>
        <v>-- I670_疾患開始日</v>
      </c>
      <c r="U678" s="4" t="str">
        <f t="shared" si="115"/>
        <v>, CASE WHEN shikkan_disp_name = 'I670' THEN min_shikkan_start_date ::DATE ELSE NULL END AS shikkan665_start_date</v>
      </c>
      <c r="V678" s="25" t="str">
        <f t="shared" si="116"/>
        <v>, max(shikkan665_start_date)</v>
      </c>
      <c r="AA678" s="4"/>
      <c r="AB678" s="4"/>
      <c r="AC678" s="4"/>
      <c r="AD678" s="4"/>
      <c r="AE678" s="4"/>
      <c r="AF678" s="4"/>
      <c r="AG678" s="4"/>
      <c r="AH678" s="4"/>
      <c r="AI678" s="4"/>
      <c r="AJ678" s="76" t="str">
        <f>IF(E678="○",IF(COUNTA(E$13:E678)=1,"",",")&amp;D678,"")</f>
        <v/>
      </c>
      <c r="AK678" s="4"/>
      <c r="AL678" s="4"/>
      <c r="AM678" s="4"/>
      <c r="AN678" s="4"/>
      <c r="AO678" s="4"/>
      <c r="AP678" s="4"/>
      <c r="AQ678" s="4"/>
      <c r="AR678" s="4"/>
      <c r="AS678" s="76" t="str">
        <f>"COMMENT ON COLUMN "&amp;エンティティ一覧!$O$2&amp;"."&amp;D$8&amp;"."&amp;D678&amp;" IS '"&amp;C678&amp;"';"</f>
        <v>COMMENT ON COLUMN milscm_2023_009.sny_202310_annony_shikkan2.shikkan665_start_date IS 'I670_疾患開始日';</v>
      </c>
    </row>
    <row r="679" spans="1:45" s="25" customFormat="1">
      <c r="A679" s="4" t="s">
        <v>5751</v>
      </c>
      <c r="B679" s="21">
        <f t="shared" si="125"/>
        <v>667</v>
      </c>
      <c r="C679" s="13" t="str">
        <f t="shared" si="124"/>
        <v>I671_疾患開始日</v>
      </c>
      <c r="D679" s="13" t="s">
        <v>6326</v>
      </c>
      <c r="E679" s="8"/>
      <c r="F679" s="7" t="s">
        <v>4348</v>
      </c>
      <c r="G679" s="7" t="s">
        <v>25</v>
      </c>
      <c r="H679" s="58"/>
      <c r="I679" s="23"/>
      <c r="J679" s="24"/>
      <c r="M679" s="4"/>
      <c r="N679" s="76"/>
      <c r="O679" s="76"/>
      <c r="P679" s="76" t="str">
        <f t="shared" si="126"/>
        <v>,shikkan666_start_date</v>
      </c>
      <c r="Q679" s="76" t="str">
        <f t="shared" si="127"/>
        <v>DATE</v>
      </c>
      <c r="R679" s="76" t="str">
        <f t="shared" si="128"/>
        <v/>
      </c>
      <c r="S679" s="76" t="str">
        <f t="shared" si="129"/>
        <v/>
      </c>
      <c r="T679" s="76" t="str">
        <f t="shared" si="130"/>
        <v>-- I671_疾患開始日</v>
      </c>
      <c r="U679" s="4" t="str">
        <f t="shared" si="115"/>
        <v>, CASE WHEN shikkan_disp_name = 'I671' THEN min_shikkan_start_date ::DATE ELSE NULL END AS shikkan666_start_date</v>
      </c>
      <c r="V679" s="25" t="str">
        <f t="shared" si="116"/>
        <v>, max(shikkan666_start_date)</v>
      </c>
      <c r="AA679" s="4"/>
      <c r="AB679" s="4"/>
      <c r="AC679" s="4"/>
      <c r="AD679" s="4"/>
      <c r="AE679" s="4"/>
      <c r="AF679" s="4"/>
      <c r="AG679" s="4"/>
      <c r="AH679" s="4"/>
      <c r="AI679" s="4"/>
      <c r="AJ679" s="76" t="str">
        <f>IF(E679="○",IF(COUNTA(E$13:E679)=1,"",",")&amp;D679,"")</f>
        <v/>
      </c>
      <c r="AK679" s="4"/>
      <c r="AL679" s="4"/>
      <c r="AM679" s="4"/>
      <c r="AN679" s="4"/>
      <c r="AO679" s="4"/>
      <c r="AP679" s="4"/>
      <c r="AQ679" s="4"/>
      <c r="AR679" s="4"/>
      <c r="AS679" s="76" t="str">
        <f>"COMMENT ON COLUMN "&amp;エンティティ一覧!$O$2&amp;"."&amp;D$8&amp;"."&amp;D679&amp;" IS '"&amp;C679&amp;"';"</f>
        <v>COMMENT ON COLUMN milscm_2023_009.sny_202310_annony_shikkan2.shikkan666_start_date IS 'I671_疾患開始日';</v>
      </c>
    </row>
    <row r="680" spans="1:45" s="25" customFormat="1">
      <c r="A680" s="4" t="s">
        <v>5752</v>
      </c>
      <c r="B680" s="21">
        <f t="shared" si="125"/>
        <v>668</v>
      </c>
      <c r="C680" s="13" t="str">
        <f t="shared" si="124"/>
        <v>I672_疾患開始日</v>
      </c>
      <c r="D680" s="13" t="s">
        <v>6327</v>
      </c>
      <c r="E680" s="8"/>
      <c r="F680" s="7" t="s">
        <v>4348</v>
      </c>
      <c r="G680" s="7" t="s">
        <v>25</v>
      </c>
      <c r="H680" s="58"/>
      <c r="I680" s="23"/>
      <c r="J680" s="24"/>
      <c r="M680" s="4"/>
      <c r="N680" s="76"/>
      <c r="O680" s="76"/>
      <c r="P680" s="76" t="str">
        <f t="shared" si="126"/>
        <v>,shikkan667_start_date</v>
      </c>
      <c r="Q680" s="76" t="str">
        <f t="shared" si="127"/>
        <v>DATE</v>
      </c>
      <c r="R680" s="76" t="str">
        <f t="shared" si="128"/>
        <v/>
      </c>
      <c r="S680" s="76" t="str">
        <f t="shared" si="129"/>
        <v/>
      </c>
      <c r="T680" s="76" t="str">
        <f t="shared" si="130"/>
        <v>-- I672_疾患開始日</v>
      </c>
      <c r="U680" s="4" t="str">
        <f t="shared" si="115"/>
        <v>, CASE WHEN shikkan_disp_name = 'I672' THEN min_shikkan_start_date ::DATE ELSE NULL END AS shikkan667_start_date</v>
      </c>
      <c r="V680" s="25" t="str">
        <f t="shared" si="116"/>
        <v>, max(shikkan667_start_date)</v>
      </c>
      <c r="AA680" s="4"/>
      <c r="AB680" s="4"/>
      <c r="AC680" s="4"/>
      <c r="AD680" s="4"/>
      <c r="AE680" s="4"/>
      <c r="AF680" s="4"/>
      <c r="AG680" s="4"/>
      <c r="AH680" s="4"/>
      <c r="AI680" s="4"/>
      <c r="AJ680" s="76" t="str">
        <f>IF(E680="○",IF(COUNTA(E$13:E680)=1,"",",")&amp;D680,"")</f>
        <v/>
      </c>
      <c r="AK680" s="4"/>
      <c r="AL680" s="4"/>
      <c r="AM680" s="4"/>
      <c r="AN680" s="4"/>
      <c r="AO680" s="4"/>
      <c r="AP680" s="4"/>
      <c r="AQ680" s="4"/>
      <c r="AR680" s="4"/>
      <c r="AS680" s="76" t="str">
        <f>"COMMENT ON COLUMN "&amp;エンティティ一覧!$O$2&amp;"."&amp;D$8&amp;"."&amp;D680&amp;" IS '"&amp;C680&amp;"';"</f>
        <v>COMMENT ON COLUMN milscm_2023_009.sny_202310_annony_shikkan2.shikkan667_start_date IS 'I672_疾患開始日';</v>
      </c>
    </row>
    <row r="681" spans="1:45" s="25" customFormat="1">
      <c r="A681" s="4" t="s">
        <v>5753</v>
      </c>
      <c r="B681" s="21">
        <f t="shared" si="125"/>
        <v>669</v>
      </c>
      <c r="C681" s="13" t="str">
        <f t="shared" si="124"/>
        <v>I673_疾患開始日</v>
      </c>
      <c r="D681" s="13" t="s">
        <v>6328</v>
      </c>
      <c r="E681" s="8"/>
      <c r="F681" s="7" t="s">
        <v>4348</v>
      </c>
      <c r="G681" s="7" t="s">
        <v>25</v>
      </c>
      <c r="H681" s="58"/>
      <c r="I681" s="23"/>
      <c r="J681" s="24"/>
      <c r="M681" s="4"/>
      <c r="N681" s="76"/>
      <c r="O681" s="76"/>
      <c r="P681" s="76" t="str">
        <f t="shared" si="126"/>
        <v>,shikkan668_start_date</v>
      </c>
      <c r="Q681" s="76" t="str">
        <f t="shared" si="127"/>
        <v>DATE</v>
      </c>
      <c r="R681" s="76" t="str">
        <f t="shared" si="128"/>
        <v/>
      </c>
      <c r="S681" s="76" t="str">
        <f t="shared" si="129"/>
        <v/>
      </c>
      <c r="T681" s="76" t="str">
        <f t="shared" si="130"/>
        <v>-- I673_疾患開始日</v>
      </c>
      <c r="U681" s="4" t="str">
        <f t="shared" si="115"/>
        <v>, CASE WHEN shikkan_disp_name = 'I673' THEN min_shikkan_start_date ::DATE ELSE NULL END AS shikkan668_start_date</v>
      </c>
      <c r="V681" s="25" t="str">
        <f t="shared" si="116"/>
        <v>, max(shikkan668_start_date)</v>
      </c>
      <c r="AA681" s="4"/>
      <c r="AB681" s="4"/>
      <c r="AC681" s="4"/>
      <c r="AD681" s="4"/>
      <c r="AE681" s="4"/>
      <c r="AF681" s="4"/>
      <c r="AG681" s="4"/>
      <c r="AH681" s="4"/>
      <c r="AI681" s="4"/>
      <c r="AJ681" s="76" t="str">
        <f>IF(E681="○",IF(COUNTA(E$13:E681)=1,"",",")&amp;D681,"")</f>
        <v/>
      </c>
      <c r="AK681" s="4"/>
      <c r="AL681" s="4"/>
      <c r="AM681" s="4"/>
      <c r="AN681" s="4"/>
      <c r="AO681" s="4"/>
      <c r="AP681" s="4"/>
      <c r="AQ681" s="4"/>
      <c r="AR681" s="4"/>
      <c r="AS681" s="76" t="str">
        <f>"COMMENT ON COLUMN "&amp;エンティティ一覧!$O$2&amp;"."&amp;D$8&amp;"."&amp;D681&amp;" IS '"&amp;C681&amp;"';"</f>
        <v>COMMENT ON COLUMN milscm_2023_009.sny_202310_annony_shikkan2.shikkan668_start_date IS 'I673_疾患開始日';</v>
      </c>
    </row>
    <row r="682" spans="1:45" s="25" customFormat="1">
      <c r="A682" s="4" t="s">
        <v>5754</v>
      </c>
      <c r="B682" s="21">
        <f t="shared" si="125"/>
        <v>670</v>
      </c>
      <c r="C682" s="13" t="str">
        <f t="shared" si="124"/>
        <v>I674_疾患開始日</v>
      </c>
      <c r="D682" s="13" t="s">
        <v>6329</v>
      </c>
      <c r="E682" s="8"/>
      <c r="F682" s="7" t="s">
        <v>4348</v>
      </c>
      <c r="G682" s="7" t="s">
        <v>25</v>
      </c>
      <c r="H682" s="58"/>
      <c r="I682" s="23"/>
      <c r="J682" s="24"/>
      <c r="M682" s="4"/>
      <c r="N682" s="76"/>
      <c r="O682" s="76"/>
      <c r="P682" s="76" t="str">
        <f t="shared" si="126"/>
        <v>,shikkan669_start_date</v>
      </c>
      <c r="Q682" s="76" t="str">
        <f t="shared" si="127"/>
        <v>DATE</v>
      </c>
      <c r="R682" s="76" t="str">
        <f t="shared" si="128"/>
        <v/>
      </c>
      <c r="S682" s="76" t="str">
        <f t="shared" si="129"/>
        <v/>
      </c>
      <c r="T682" s="76" t="str">
        <f t="shared" si="130"/>
        <v>-- I674_疾患開始日</v>
      </c>
      <c r="U682" s="4" t="str">
        <f t="shared" si="115"/>
        <v>, CASE WHEN shikkan_disp_name = 'I674' THEN min_shikkan_start_date ::DATE ELSE NULL END AS shikkan669_start_date</v>
      </c>
      <c r="V682" s="25" t="str">
        <f t="shared" si="116"/>
        <v>, max(shikkan669_start_date)</v>
      </c>
      <c r="AA682" s="4"/>
      <c r="AB682" s="4"/>
      <c r="AC682" s="4"/>
      <c r="AD682" s="4"/>
      <c r="AE682" s="4"/>
      <c r="AF682" s="4"/>
      <c r="AG682" s="4"/>
      <c r="AH682" s="4"/>
      <c r="AI682" s="4"/>
      <c r="AJ682" s="76" t="str">
        <f>IF(E682="○",IF(COUNTA(E$13:E682)=1,"",",")&amp;D682,"")</f>
        <v/>
      </c>
      <c r="AK682" s="4"/>
      <c r="AL682" s="4"/>
      <c r="AM682" s="4"/>
      <c r="AN682" s="4"/>
      <c r="AO682" s="4"/>
      <c r="AP682" s="4"/>
      <c r="AQ682" s="4"/>
      <c r="AR682" s="4"/>
      <c r="AS682" s="76" t="str">
        <f>"COMMENT ON COLUMN "&amp;エンティティ一覧!$O$2&amp;"."&amp;D$8&amp;"."&amp;D682&amp;" IS '"&amp;C682&amp;"';"</f>
        <v>COMMENT ON COLUMN milscm_2023_009.sny_202310_annony_shikkan2.shikkan669_start_date IS 'I674_疾患開始日';</v>
      </c>
    </row>
    <row r="683" spans="1:45" s="25" customFormat="1">
      <c r="A683" s="4" t="s">
        <v>5755</v>
      </c>
      <c r="B683" s="21">
        <f t="shared" si="125"/>
        <v>671</v>
      </c>
      <c r="C683" s="13" t="str">
        <f t="shared" si="124"/>
        <v>I675_疾患開始日</v>
      </c>
      <c r="D683" s="13" t="s">
        <v>6330</v>
      </c>
      <c r="E683" s="8"/>
      <c r="F683" s="7" t="s">
        <v>4348</v>
      </c>
      <c r="G683" s="7" t="s">
        <v>25</v>
      </c>
      <c r="H683" s="58"/>
      <c r="I683" s="23"/>
      <c r="J683" s="24"/>
      <c r="M683" s="4"/>
      <c r="N683" s="76"/>
      <c r="O683" s="76"/>
      <c r="P683" s="76" t="str">
        <f t="shared" si="126"/>
        <v>,shikkan670_start_date</v>
      </c>
      <c r="Q683" s="76" t="str">
        <f t="shared" si="127"/>
        <v>DATE</v>
      </c>
      <c r="R683" s="76" t="str">
        <f t="shared" si="128"/>
        <v/>
      </c>
      <c r="S683" s="76" t="str">
        <f t="shared" si="129"/>
        <v/>
      </c>
      <c r="T683" s="76" t="str">
        <f t="shared" si="130"/>
        <v>-- I675_疾患開始日</v>
      </c>
      <c r="U683" s="4" t="str">
        <f t="shared" si="115"/>
        <v>, CASE WHEN shikkan_disp_name = 'I675' THEN min_shikkan_start_date ::DATE ELSE NULL END AS shikkan670_start_date</v>
      </c>
      <c r="V683" s="25" t="str">
        <f t="shared" si="116"/>
        <v>, max(shikkan670_start_date)</v>
      </c>
      <c r="AA683" s="4"/>
      <c r="AB683" s="4"/>
      <c r="AC683" s="4"/>
      <c r="AD683" s="4"/>
      <c r="AE683" s="4"/>
      <c r="AF683" s="4"/>
      <c r="AG683" s="4"/>
      <c r="AH683" s="4"/>
      <c r="AI683" s="4"/>
      <c r="AJ683" s="76" t="str">
        <f>IF(E683="○",IF(COUNTA(E$13:E683)=1,"",",")&amp;D683,"")</f>
        <v/>
      </c>
      <c r="AK683" s="4"/>
      <c r="AL683" s="4"/>
      <c r="AM683" s="4"/>
      <c r="AN683" s="4"/>
      <c r="AO683" s="4"/>
      <c r="AP683" s="4"/>
      <c r="AQ683" s="4"/>
      <c r="AR683" s="4"/>
      <c r="AS683" s="76" t="str">
        <f>"COMMENT ON COLUMN "&amp;エンティティ一覧!$O$2&amp;"."&amp;D$8&amp;"."&amp;D683&amp;" IS '"&amp;C683&amp;"';"</f>
        <v>COMMENT ON COLUMN milscm_2023_009.sny_202310_annony_shikkan2.shikkan670_start_date IS 'I675_疾患開始日';</v>
      </c>
    </row>
    <row r="684" spans="1:45" s="25" customFormat="1">
      <c r="A684" s="4" t="s">
        <v>5756</v>
      </c>
      <c r="B684" s="21">
        <f t="shared" si="125"/>
        <v>672</v>
      </c>
      <c r="C684" s="13" t="str">
        <f t="shared" si="124"/>
        <v>I676_疾患開始日</v>
      </c>
      <c r="D684" s="13" t="s">
        <v>6331</v>
      </c>
      <c r="E684" s="8"/>
      <c r="F684" s="7" t="s">
        <v>4348</v>
      </c>
      <c r="G684" s="7" t="s">
        <v>99</v>
      </c>
      <c r="H684" s="58"/>
      <c r="I684" s="23"/>
      <c r="J684" s="24"/>
      <c r="M684" s="4"/>
      <c r="N684" s="76"/>
      <c r="O684" s="76"/>
      <c r="P684" s="76" t="str">
        <f t="shared" si="126"/>
        <v>,shikkan671_start_date</v>
      </c>
      <c r="Q684" s="76" t="str">
        <f t="shared" si="127"/>
        <v>DATE</v>
      </c>
      <c r="R684" s="76" t="str">
        <f t="shared" si="128"/>
        <v/>
      </c>
      <c r="S684" s="76" t="str">
        <f t="shared" si="129"/>
        <v/>
      </c>
      <c r="T684" s="76" t="str">
        <f t="shared" si="130"/>
        <v>-- I676_疾患開始日</v>
      </c>
      <c r="U684" s="4" t="str">
        <f t="shared" si="115"/>
        <v>, CASE WHEN shikkan_disp_name = 'I676' THEN min_shikkan_start_date ::DATE ELSE NULL END AS shikkan671_start_date</v>
      </c>
      <c r="V684" s="25" t="str">
        <f t="shared" si="116"/>
        <v>, max(shikkan671_start_date)</v>
      </c>
      <c r="AA684" s="4"/>
      <c r="AB684" s="4"/>
      <c r="AC684" s="4"/>
      <c r="AD684" s="4"/>
      <c r="AE684" s="4"/>
      <c r="AF684" s="4"/>
      <c r="AG684" s="4"/>
      <c r="AH684" s="4"/>
      <c r="AI684" s="4"/>
      <c r="AJ684" s="76" t="str">
        <f>IF(E684="○",IF(COUNTA(E$13:E684)=1,"",",")&amp;D684,"")</f>
        <v/>
      </c>
      <c r="AK684" s="4"/>
      <c r="AL684" s="4"/>
      <c r="AM684" s="4"/>
      <c r="AN684" s="4"/>
      <c r="AO684" s="4"/>
      <c r="AP684" s="4"/>
      <c r="AQ684" s="4"/>
      <c r="AR684" s="4"/>
      <c r="AS684" s="76" t="str">
        <f>"COMMENT ON COLUMN "&amp;エンティティ一覧!$O$2&amp;"."&amp;D$8&amp;"."&amp;D684&amp;" IS '"&amp;C684&amp;"';"</f>
        <v>COMMENT ON COLUMN milscm_2023_009.sny_202310_annony_shikkan2.shikkan671_start_date IS 'I676_疾患開始日';</v>
      </c>
    </row>
    <row r="685" spans="1:45" s="25" customFormat="1">
      <c r="A685" s="4" t="s">
        <v>5757</v>
      </c>
      <c r="B685" s="21">
        <f t="shared" si="125"/>
        <v>673</v>
      </c>
      <c r="C685" s="13" t="str">
        <f t="shared" si="124"/>
        <v>I677_疾患開始日</v>
      </c>
      <c r="D685" s="13" t="s">
        <v>6332</v>
      </c>
      <c r="E685" s="8"/>
      <c r="F685" s="7" t="s">
        <v>4348</v>
      </c>
      <c r="G685" s="7" t="s">
        <v>25</v>
      </c>
      <c r="H685" s="58"/>
      <c r="I685" s="23"/>
      <c r="J685" s="24"/>
      <c r="M685" s="4"/>
      <c r="N685" s="76"/>
      <c r="O685" s="76"/>
      <c r="P685" s="76" t="str">
        <f t="shared" si="126"/>
        <v>,shikkan672_start_date</v>
      </c>
      <c r="Q685" s="76" t="str">
        <f t="shared" si="127"/>
        <v>DATE</v>
      </c>
      <c r="R685" s="76" t="str">
        <f t="shared" si="128"/>
        <v/>
      </c>
      <c r="S685" s="76" t="str">
        <f t="shared" si="129"/>
        <v/>
      </c>
      <c r="T685" s="76" t="str">
        <f t="shared" si="130"/>
        <v>-- I677_疾患開始日</v>
      </c>
      <c r="U685" s="4" t="str">
        <f t="shared" si="115"/>
        <v>, CASE WHEN shikkan_disp_name = 'I677' THEN min_shikkan_start_date ::DATE ELSE NULL END AS shikkan672_start_date</v>
      </c>
      <c r="V685" s="25" t="str">
        <f t="shared" si="116"/>
        <v>, max(shikkan672_start_date)</v>
      </c>
      <c r="AA685" s="4"/>
      <c r="AB685" s="4"/>
      <c r="AC685" s="4"/>
      <c r="AD685" s="4"/>
      <c r="AE685" s="4"/>
      <c r="AF685" s="4"/>
      <c r="AG685" s="4"/>
      <c r="AH685" s="4"/>
      <c r="AI685" s="4"/>
      <c r="AJ685" s="76" t="str">
        <f>IF(E685="○",IF(COUNTA(E$13:E685)=1,"",",")&amp;D685,"")</f>
        <v/>
      </c>
      <c r="AK685" s="4"/>
      <c r="AL685" s="4"/>
      <c r="AM685" s="4"/>
      <c r="AN685" s="4"/>
      <c r="AO685" s="4"/>
      <c r="AP685" s="4"/>
      <c r="AQ685" s="4"/>
      <c r="AR685" s="4"/>
      <c r="AS685" s="76" t="str">
        <f>"COMMENT ON COLUMN "&amp;エンティティ一覧!$O$2&amp;"."&amp;D$8&amp;"."&amp;D685&amp;" IS '"&amp;C685&amp;"';"</f>
        <v>COMMENT ON COLUMN milscm_2023_009.sny_202310_annony_shikkan2.shikkan672_start_date IS 'I677_疾患開始日';</v>
      </c>
    </row>
    <row r="686" spans="1:45" s="25" customFormat="1">
      <c r="A686" s="4" t="s">
        <v>5758</v>
      </c>
      <c r="B686" s="21">
        <f t="shared" si="125"/>
        <v>674</v>
      </c>
      <c r="C686" s="13" t="str">
        <f t="shared" si="124"/>
        <v>I678_疾患開始日</v>
      </c>
      <c r="D686" s="13" t="s">
        <v>6333</v>
      </c>
      <c r="E686" s="8"/>
      <c r="F686" s="7" t="s">
        <v>4348</v>
      </c>
      <c r="G686" s="7" t="s">
        <v>25</v>
      </c>
      <c r="H686" s="58"/>
      <c r="I686" s="23"/>
      <c r="J686" s="24"/>
      <c r="M686" s="4"/>
      <c r="N686" s="76"/>
      <c r="O686" s="76"/>
      <c r="P686" s="76" t="str">
        <f t="shared" si="126"/>
        <v>,shikkan673_start_date</v>
      </c>
      <c r="Q686" s="76" t="str">
        <f t="shared" si="127"/>
        <v>DATE</v>
      </c>
      <c r="R686" s="76" t="str">
        <f t="shared" si="128"/>
        <v/>
      </c>
      <c r="S686" s="76" t="str">
        <f t="shared" si="129"/>
        <v/>
      </c>
      <c r="T686" s="76" t="str">
        <f t="shared" si="130"/>
        <v>-- I678_疾患開始日</v>
      </c>
      <c r="U686" s="4" t="str">
        <f t="shared" si="115"/>
        <v>, CASE WHEN shikkan_disp_name = 'I678' THEN min_shikkan_start_date ::DATE ELSE NULL END AS shikkan673_start_date</v>
      </c>
      <c r="V686" s="25" t="str">
        <f t="shared" si="116"/>
        <v>, max(shikkan673_start_date)</v>
      </c>
      <c r="AA686" s="4"/>
      <c r="AB686" s="4"/>
      <c r="AC686" s="4"/>
      <c r="AD686" s="4"/>
      <c r="AE686" s="4"/>
      <c r="AF686" s="4"/>
      <c r="AG686" s="4"/>
      <c r="AH686" s="4"/>
      <c r="AI686" s="4"/>
      <c r="AJ686" s="76" t="str">
        <f>IF(E686="○",IF(COUNTA(E$13:E686)=1,"",",")&amp;D686,"")</f>
        <v/>
      </c>
      <c r="AK686" s="4"/>
      <c r="AL686" s="4"/>
      <c r="AM686" s="4"/>
      <c r="AN686" s="4"/>
      <c r="AO686" s="4"/>
      <c r="AP686" s="4"/>
      <c r="AQ686" s="4"/>
      <c r="AR686" s="4"/>
      <c r="AS686" s="76" t="str">
        <f>"COMMENT ON COLUMN "&amp;エンティティ一覧!$O$2&amp;"."&amp;D$8&amp;"."&amp;D686&amp;" IS '"&amp;C686&amp;"';"</f>
        <v>COMMENT ON COLUMN milscm_2023_009.sny_202310_annony_shikkan2.shikkan673_start_date IS 'I678_疾患開始日';</v>
      </c>
    </row>
    <row r="687" spans="1:45" s="25" customFormat="1">
      <c r="A687" s="4" t="s">
        <v>5759</v>
      </c>
      <c r="B687" s="21">
        <f t="shared" si="125"/>
        <v>675</v>
      </c>
      <c r="C687" s="13" t="str">
        <f t="shared" si="124"/>
        <v>I679_疾患開始日</v>
      </c>
      <c r="D687" s="13" t="s">
        <v>6334</v>
      </c>
      <c r="E687" s="8"/>
      <c r="F687" s="7" t="s">
        <v>4348</v>
      </c>
      <c r="G687" s="7" t="s">
        <v>25</v>
      </c>
      <c r="H687" s="58"/>
      <c r="I687" s="23"/>
      <c r="J687" s="24"/>
      <c r="M687" s="4"/>
      <c r="N687" s="76"/>
      <c r="O687" s="76"/>
      <c r="P687" s="76" t="str">
        <f t="shared" si="126"/>
        <v>,shikkan674_start_date</v>
      </c>
      <c r="Q687" s="76" t="str">
        <f t="shared" si="127"/>
        <v>DATE</v>
      </c>
      <c r="R687" s="76" t="str">
        <f t="shared" si="128"/>
        <v/>
      </c>
      <c r="S687" s="76" t="str">
        <f t="shared" si="129"/>
        <v/>
      </c>
      <c r="T687" s="76" t="str">
        <f t="shared" si="130"/>
        <v>-- I679_疾患開始日</v>
      </c>
      <c r="U687" s="4" t="str">
        <f t="shared" si="115"/>
        <v>, CASE WHEN shikkan_disp_name = 'I679' THEN min_shikkan_start_date ::DATE ELSE NULL END AS shikkan674_start_date</v>
      </c>
      <c r="V687" s="25" t="str">
        <f t="shared" si="116"/>
        <v>, max(shikkan674_start_date)</v>
      </c>
      <c r="AA687" s="4"/>
      <c r="AB687" s="4"/>
      <c r="AC687" s="4"/>
      <c r="AD687" s="4"/>
      <c r="AE687" s="4"/>
      <c r="AF687" s="4"/>
      <c r="AG687" s="4"/>
      <c r="AH687" s="4"/>
      <c r="AI687" s="4"/>
      <c r="AJ687" s="76" t="str">
        <f>IF(E687="○",IF(COUNTA(E$13:E687)=1,"",",")&amp;D687,"")</f>
        <v/>
      </c>
      <c r="AK687" s="4"/>
      <c r="AL687" s="4"/>
      <c r="AM687" s="4"/>
      <c r="AN687" s="4"/>
      <c r="AO687" s="4"/>
      <c r="AP687" s="4"/>
      <c r="AQ687" s="4"/>
      <c r="AR687" s="4"/>
      <c r="AS687" s="76" t="str">
        <f>"COMMENT ON COLUMN "&amp;エンティティ一覧!$O$2&amp;"."&amp;D$8&amp;"."&amp;D687&amp;" IS '"&amp;C687&amp;"';"</f>
        <v>COMMENT ON COLUMN milscm_2023_009.sny_202310_annony_shikkan2.shikkan674_start_date IS 'I679_疾患開始日';</v>
      </c>
    </row>
    <row r="688" spans="1:45" s="25" customFormat="1">
      <c r="A688" s="4" t="s">
        <v>5760</v>
      </c>
      <c r="B688" s="21">
        <f t="shared" si="125"/>
        <v>676</v>
      </c>
      <c r="C688" s="13" t="str">
        <f t="shared" si="124"/>
        <v>I680_疾患開始日</v>
      </c>
      <c r="D688" s="13" t="s">
        <v>6335</v>
      </c>
      <c r="E688" s="8"/>
      <c r="F688" s="7" t="s">
        <v>4348</v>
      </c>
      <c r="G688" s="7" t="s">
        <v>25</v>
      </c>
      <c r="H688" s="58"/>
      <c r="I688" s="23"/>
      <c r="J688" s="24"/>
      <c r="M688" s="4"/>
      <c r="N688" s="76"/>
      <c r="O688" s="76"/>
      <c r="P688" s="76" t="str">
        <f t="shared" si="126"/>
        <v>,shikkan675_start_date</v>
      </c>
      <c r="Q688" s="76" t="str">
        <f t="shared" si="127"/>
        <v>DATE</v>
      </c>
      <c r="R688" s="76" t="str">
        <f t="shared" si="128"/>
        <v/>
      </c>
      <c r="S688" s="76" t="str">
        <f t="shared" si="129"/>
        <v/>
      </c>
      <c r="T688" s="76" t="str">
        <f t="shared" si="130"/>
        <v>-- I680_疾患開始日</v>
      </c>
      <c r="U688" s="4" t="str">
        <f t="shared" si="115"/>
        <v>, CASE WHEN shikkan_disp_name = 'I680' THEN min_shikkan_start_date ::DATE ELSE NULL END AS shikkan675_start_date</v>
      </c>
      <c r="V688" s="25" t="str">
        <f t="shared" si="116"/>
        <v>, max(shikkan675_start_date)</v>
      </c>
      <c r="AA688" s="4"/>
      <c r="AB688" s="4"/>
      <c r="AC688" s="4"/>
      <c r="AD688" s="4"/>
      <c r="AE688" s="4"/>
      <c r="AF688" s="4"/>
      <c r="AG688" s="4"/>
      <c r="AH688" s="4"/>
      <c r="AI688" s="4"/>
      <c r="AJ688" s="76" t="str">
        <f>IF(E688="○",IF(COUNTA(E$13:E688)=1,"",",")&amp;D688,"")</f>
        <v/>
      </c>
      <c r="AK688" s="4"/>
      <c r="AL688" s="4"/>
      <c r="AM688" s="4"/>
      <c r="AN688" s="4"/>
      <c r="AO688" s="4"/>
      <c r="AP688" s="4"/>
      <c r="AQ688" s="4"/>
      <c r="AR688" s="4"/>
      <c r="AS688" s="76" t="str">
        <f>"COMMENT ON COLUMN "&amp;エンティティ一覧!$O$2&amp;"."&amp;D$8&amp;"."&amp;D688&amp;" IS '"&amp;C688&amp;"';"</f>
        <v>COMMENT ON COLUMN milscm_2023_009.sny_202310_annony_shikkan2.shikkan675_start_date IS 'I680_疾患開始日';</v>
      </c>
    </row>
    <row r="689" spans="1:45" s="25" customFormat="1">
      <c r="A689" s="4" t="s">
        <v>5761</v>
      </c>
      <c r="B689" s="21">
        <f t="shared" si="125"/>
        <v>677</v>
      </c>
      <c r="C689" s="13" t="str">
        <f t="shared" si="124"/>
        <v>I681_疾患開始日</v>
      </c>
      <c r="D689" s="13" t="s">
        <v>6336</v>
      </c>
      <c r="E689" s="8"/>
      <c r="F689" s="7" t="s">
        <v>4348</v>
      </c>
      <c r="G689" s="7" t="s">
        <v>25</v>
      </c>
      <c r="H689" s="58"/>
      <c r="I689" s="23"/>
      <c r="J689" s="24"/>
      <c r="M689" s="4"/>
      <c r="N689" s="76"/>
      <c r="O689" s="76"/>
      <c r="P689" s="76" t="str">
        <f t="shared" si="126"/>
        <v>,shikkan676_start_date</v>
      </c>
      <c r="Q689" s="76" t="str">
        <f t="shared" si="127"/>
        <v>DATE</v>
      </c>
      <c r="R689" s="76" t="str">
        <f t="shared" si="128"/>
        <v/>
      </c>
      <c r="S689" s="76" t="str">
        <f t="shared" si="129"/>
        <v/>
      </c>
      <c r="T689" s="76" t="str">
        <f t="shared" si="130"/>
        <v>-- I681_疾患開始日</v>
      </c>
      <c r="U689" s="4" t="str">
        <f t="shared" si="115"/>
        <v>, CASE WHEN shikkan_disp_name = 'I681' THEN min_shikkan_start_date ::DATE ELSE NULL END AS shikkan676_start_date</v>
      </c>
      <c r="V689" s="25" t="str">
        <f t="shared" si="116"/>
        <v>, max(shikkan676_start_date)</v>
      </c>
      <c r="AA689" s="4"/>
      <c r="AB689" s="4"/>
      <c r="AC689" s="4"/>
      <c r="AD689" s="4"/>
      <c r="AE689" s="4"/>
      <c r="AF689" s="4"/>
      <c r="AG689" s="4"/>
      <c r="AH689" s="4"/>
      <c r="AI689" s="4"/>
      <c r="AJ689" s="76" t="str">
        <f>IF(E689="○",IF(COUNTA(E$13:E689)=1,"",",")&amp;D689,"")</f>
        <v/>
      </c>
      <c r="AK689" s="4"/>
      <c r="AL689" s="4"/>
      <c r="AM689" s="4"/>
      <c r="AN689" s="4"/>
      <c r="AO689" s="4"/>
      <c r="AP689" s="4"/>
      <c r="AQ689" s="4"/>
      <c r="AR689" s="4"/>
      <c r="AS689" s="76" t="str">
        <f>"COMMENT ON COLUMN "&amp;エンティティ一覧!$O$2&amp;"."&amp;D$8&amp;"."&amp;D689&amp;" IS '"&amp;C689&amp;"';"</f>
        <v>COMMENT ON COLUMN milscm_2023_009.sny_202310_annony_shikkan2.shikkan676_start_date IS 'I681_疾患開始日';</v>
      </c>
    </row>
    <row r="690" spans="1:45" s="25" customFormat="1">
      <c r="A690" s="4" t="s">
        <v>5762</v>
      </c>
      <c r="B690" s="21">
        <f t="shared" si="125"/>
        <v>678</v>
      </c>
      <c r="C690" s="13" t="str">
        <f t="shared" si="124"/>
        <v>I682_疾患開始日</v>
      </c>
      <c r="D690" s="13" t="s">
        <v>6337</v>
      </c>
      <c r="E690" s="8"/>
      <c r="F690" s="7" t="s">
        <v>4348</v>
      </c>
      <c r="G690" s="7" t="s">
        <v>25</v>
      </c>
      <c r="H690" s="58"/>
      <c r="I690" s="23"/>
      <c r="J690" s="24"/>
      <c r="M690" s="4"/>
      <c r="N690" s="76"/>
      <c r="O690" s="76"/>
      <c r="P690" s="76" t="str">
        <f t="shared" si="126"/>
        <v>,shikkan677_start_date</v>
      </c>
      <c r="Q690" s="76" t="str">
        <f t="shared" si="127"/>
        <v>DATE</v>
      </c>
      <c r="R690" s="76" t="str">
        <f t="shared" si="128"/>
        <v/>
      </c>
      <c r="S690" s="76" t="str">
        <f t="shared" si="129"/>
        <v/>
      </c>
      <c r="T690" s="76" t="str">
        <f t="shared" si="130"/>
        <v>-- I682_疾患開始日</v>
      </c>
      <c r="U690" s="4" t="str">
        <f t="shared" si="115"/>
        <v>, CASE WHEN shikkan_disp_name = 'I682' THEN min_shikkan_start_date ::DATE ELSE NULL END AS shikkan677_start_date</v>
      </c>
      <c r="V690" s="25" t="str">
        <f t="shared" si="116"/>
        <v>, max(shikkan677_start_date)</v>
      </c>
      <c r="AA690" s="4"/>
      <c r="AB690" s="4"/>
      <c r="AC690" s="4"/>
      <c r="AD690" s="4"/>
      <c r="AE690" s="4"/>
      <c r="AF690" s="4"/>
      <c r="AG690" s="4"/>
      <c r="AH690" s="4"/>
      <c r="AI690" s="4"/>
      <c r="AJ690" s="76" t="str">
        <f>IF(E690="○",IF(COUNTA(E$13:E690)=1,"",",")&amp;D690,"")</f>
        <v/>
      </c>
      <c r="AK690" s="4"/>
      <c r="AL690" s="4"/>
      <c r="AM690" s="4"/>
      <c r="AN690" s="4"/>
      <c r="AO690" s="4"/>
      <c r="AP690" s="4"/>
      <c r="AQ690" s="4"/>
      <c r="AR690" s="4"/>
      <c r="AS690" s="76" t="str">
        <f>"COMMENT ON COLUMN "&amp;エンティティ一覧!$O$2&amp;"."&amp;D$8&amp;"."&amp;D690&amp;" IS '"&amp;C690&amp;"';"</f>
        <v>COMMENT ON COLUMN milscm_2023_009.sny_202310_annony_shikkan2.shikkan677_start_date IS 'I682_疾患開始日';</v>
      </c>
    </row>
    <row r="691" spans="1:45" s="25" customFormat="1">
      <c r="A691" s="4" t="s">
        <v>5763</v>
      </c>
      <c r="B691" s="21">
        <f t="shared" si="125"/>
        <v>679</v>
      </c>
      <c r="C691" s="13" t="str">
        <f t="shared" si="124"/>
        <v>I688_疾患開始日</v>
      </c>
      <c r="D691" s="13" t="s">
        <v>6338</v>
      </c>
      <c r="E691" s="8"/>
      <c r="F691" s="7" t="s">
        <v>4348</v>
      </c>
      <c r="G691" s="7" t="s">
        <v>25</v>
      </c>
      <c r="H691" s="58"/>
      <c r="I691" s="23"/>
      <c r="J691" s="24"/>
      <c r="M691" s="4"/>
      <c r="N691" s="76"/>
      <c r="O691" s="76"/>
      <c r="P691" s="76" t="str">
        <f t="shared" si="126"/>
        <v>,shikkan678_start_date</v>
      </c>
      <c r="Q691" s="76" t="str">
        <f t="shared" si="127"/>
        <v>DATE</v>
      </c>
      <c r="R691" s="76" t="str">
        <f t="shared" si="128"/>
        <v/>
      </c>
      <c r="S691" s="76" t="str">
        <f t="shared" si="129"/>
        <v/>
      </c>
      <c r="T691" s="76" t="str">
        <f t="shared" si="130"/>
        <v>-- I688_疾患開始日</v>
      </c>
      <c r="U691" s="4" t="str">
        <f t="shared" si="115"/>
        <v>, CASE WHEN shikkan_disp_name = 'I688' THEN min_shikkan_start_date ::DATE ELSE NULL END AS shikkan678_start_date</v>
      </c>
      <c r="V691" s="25" t="str">
        <f t="shared" si="116"/>
        <v>, max(shikkan678_start_date)</v>
      </c>
      <c r="AA691" s="4"/>
      <c r="AB691" s="4"/>
      <c r="AC691" s="4"/>
      <c r="AD691" s="4"/>
      <c r="AE691" s="4"/>
      <c r="AF691" s="4"/>
      <c r="AG691" s="4"/>
      <c r="AH691" s="4"/>
      <c r="AI691" s="4"/>
      <c r="AJ691" s="76" t="str">
        <f>IF(E691="○",IF(COUNTA(E$13:E691)=1,"",",")&amp;D691,"")</f>
        <v/>
      </c>
      <c r="AK691" s="4"/>
      <c r="AL691" s="4"/>
      <c r="AM691" s="4"/>
      <c r="AN691" s="4"/>
      <c r="AO691" s="4"/>
      <c r="AP691" s="4"/>
      <c r="AQ691" s="4"/>
      <c r="AR691" s="4"/>
      <c r="AS691" s="76" t="str">
        <f>"COMMENT ON COLUMN "&amp;エンティティ一覧!$O$2&amp;"."&amp;D$8&amp;"."&amp;D691&amp;" IS '"&amp;C691&amp;"';"</f>
        <v>COMMENT ON COLUMN milscm_2023_009.sny_202310_annony_shikkan2.shikkan678_start_date IS 'I688_疾患開始日';</v>
      </c>
    </row>
    <row r="692" spans="1:45" s="25" customFormat="1">
      <c r="A692" s="4" t="s">
        <v>5764</v>
      </c>
      <c r="B692" s="21">
        <f t="shared" si="125"/>
        <v>680</v>
      </c>
      <c r="C692" s="13" t="str">
        <f t="shared" si="124"/>
        <v>I690_疾患開始日</v>
      </c>
      <c r="D692" s="13" t="s">
        <v>6339</v>
      </c>
      <c r="E692" s="8"/>
      <c r="F692" s="7" t="s">
        <v>4348</v>
      </c>
      <c r="G692" s="7" t="s">
        <v>25</v>
      </c>
      <c r="H692" s="58"/>
      <c r="I692" s="23"/>
      <c r="J692" s="24"/>
      <c r="M692" s="4"/>
      <c r="N692" s="76"/>
      <c r="O692" s="76"/>
      <c r="P692" s="76" t="str">
        <f t="shared" si="126"/>
        <v>,shikkan679_start_date</v>
      </c>
      <c r="Q692" s="76" t="str">
        <f t="shared" si="127"/>
        <v>DATE</v>
      </c>
      <c r="R692" s="76" t="str">
        <f t="shared" si="128"/>
        <v/>
      </c>
      <c r="S692" s="76" t="str">
        <f t="shared" si="129"/>
        <v/>
      </c>
      <c r="T692" s="76" t="str">
        <f t="shared" si="130"/>
        <v>-- I690_疾患開始日</v>
      </c>
      <c r="U692" s="4" t="str">
        <f t="shared" si="115"/>
        <v>, CASE WHEN shikkan_disp_name = 'I690' THEN min_shikkan_start_date ::DATE ELSE NULL END AS shikkan679_start_date</v>
      </c>
      <c r="V692" s="25" t="str">
        <f t="shared" si="116"/>
        <v>, max(shikkan679_start_date)</v>
      </c>
      <c r="AA692" s="4"/>
      <c r="AB692" s="4"/>
      <c r="AC692" s="4"/>
      <c r="AD692" s="4"/>
      <c r="AE692" s="4"/>
      <c r="AF692" s="4"/>
      <c r="AG692" s="4"/>
      <c r="AH692" s="4"/>
      <c r="AI692" s="4"/>
      <c r="AJ692" s="76" t="str">
        <f>IF(E692="○",IF(COUNTA(E$13:E692)=1,"",",")&amp;D692,"")</f>
        <v/>
      </c>
      <c r="AK692" s="4"/>
      <c r="AL692" s="4"/>
      <c r="AM692" s="4"/>
      <c r="AN692" s="4"/>
      <c r="AO692" s="4"/>
      <c r="AP692" s="4"/>
      <c r="AQ692" s="4"/>
      <c r="AR692" s="4"/>
      <c r="AS692" s="76" t="str">
        <f>"COMMENT ON COLUMN "&amp;エンティティ一覧!$O$2&amp;"."&amp;D$8&amp;"."&amp;D692&amp;" IS '"&amp;C692&amp;"';"</f>
        <v>COMMENT ON COLUMN milscm_2023_009.sny_202310_annony_shikkan2.shikkan679_start_date IS 'I690_疾患開始日';</v>
      </c>
    </row>
    <row r="693" spans="1:45" s="25" customFormat="1">
      <c r="A693" s="4" t="s">
        <v>5765</v>
      </c>
      <c r="B693" s="21">
        <f t="shared" si="125"/>
        <v>681</v>
      </c>
      <c r="C693" s="13" t="str">
        <f t="shared" si="124"/>
        <v>I691_疾患開始日</v>
      </c>
      <c r="D693" s="13" t="s">
        <v>6340</v>
      </c>
      <c r="E693" s="8"/>
      <c r="F693" s="7" t="s">
        <v>4348</v>
      </c>
      <c r="G693" s="7" t="s">
        <v>25</v>
      </c>
      <c r="H693" s="58"/>
      <c r="I693" s="23"/>
      <c r="J693" s="24"/>
      <c r="M693" s="4"/>
      <c r="N693" s="76"/>
      <c r="O693" s="76"/>
      <c r="P693" s="76" t="str">
        <f t="shared" si="126"/>
        <v>,shikkan680_start_date</v>
      </c>
      <c r="Q693" s="76" t="str">
        <f t="shared" si="127"/>
        <v>DATE</v>
      </c>
      <c r="R693" s="76" t="str">
        <f t="shared" si="128"/>
        <v/>
      </c>
      <c r="S693" s="76" t="str">
        <f t="shared" si="129"/>
        <v/>
      </c>
      <c r="T693" s="76" t="str">
        <f t="shared" si="130"/>
        <v>-- I691_疾患開始日</v>
      </c>
      <c r="U693" s="4" t="str">
        <f t="shared" si="115"/>
        <v>, CASE WHEN shikkan_disp_name = 'I691' THEN min_shikkan_start_date ::DATE ELSE NULL END AS shikkan680_start_date</v>
      </c>
      <c r="V693" s="25" t="str">
        <f t="shared" si="116"/>
        <v>, max(shikkan680_start_date)</v>
      </c>
      <c r="AA693" s="4"/>
      <c r="AB693" s="4"/>
      <c r="AC693" s="4"/>
      <c r="AD693" s="4"/>
      <c r="AE693" s="4"/>
      <c r="AF693" s="4"/>
      <c r="AG693" s="4"/>
      <c r="AH693" s="4"/>
      <c r="AI693" s="4"/>
      <c r="AJ693" s="76" t="str">
        <f>IF(E693="○",IF(COUNTA(E$13:E693)=1,"",",")&amp;D693,"")</f>
        <v/>
      </c>
      <c r="AK693" s="4"/>
      <c r="AL693" s="4"/>
      <c r="AM693" s="4"/>
      <c r="AN693" s="4"/>
      <c r="AO693" s="4"/>
      <c r="AP693" s="4"/>
      <c r="AQ693" s="4"/>
      <c r="AR693" s="4"/>
      <c r="AS693" s="76" t="str">
        <f>"COMMENT ON COLUMN "&amp;エンティティ一覧!$O$2&amp;"."&amp;D$8&amp;"."&amp;D693&amp;" IS '"&amp;C693&amp;"';"</f>
        <v>COMMENT ON COLUMN milscm_2023_009.sny_202310_annony_shikkan2.shikkan680_start_date IS 'I691_疾患開始日';</v>
      </c>
    </row>
    <row r="694" spans="1:45" s="25" customFormat="1">
      <c r="A694" s="4" t="s">
        <v>5766</v>
      </c>
      <c r="B694" s="21">
        <f t="shared" si="125"/>
        <v>682</v>
      </c>
      <c r="C694" s="13" t="str">
        <f t="shared" si="124"/>
        <v>I692_疾患開始日</v>
      </c>
      <c r="D694" s="13" t="s">
        <v>6341</v>
      </c>
      <c r="E694" s="8"/>
      <c r="F694" s="7" t="s">
        <v>4348</v>
      </c>
      <c r="G694" s="7" t="s">
        <v>25</v>
      </c>
      <c r="H694" s="58"/>
      <c r="I694" s="23"/>
      <c r="J694" s="24"/>
      <c r="M694" s="4"/>
      <c r="N694" s="76"/>
      <c r="O694" s="76"/>
      <c r="P694" s="76" t="str">
        <f t="shared" si="126"/>
        <v>,shikkan681_start_date</v>
      </c>
      <c r="Q694" s="76" t="str">
        <f t="shared" si="127"/>
        <v>DATE</v>
      </c>
      <c r="R694" s="76" t="str">
        <f t="shared" si="128"/>
        <v/>
      </c>
      <c r="S694" s="76" t="str">
        <f t="shared" si="129"/>
        <v/>
      </c>
      <c r="T694" s="76" t="str">
        <f t="shared" si="130"/>
        <v>-- I692_疾患開始日</v>
      </c>
      <c r="U694" s="4" t="str">
        <f t="shared" si="115"/>
        <v>, CASE WHEN shikkan_disp_name = 'I692' THEN min_shikkan_start_date ::DATE ELSE NULL END AS shikkan681_start_date</v>
      </c>
      <c r="V694" s="25" t="str">
        <f t="shared" si="116"/>
        <v>, max(shikkan681_start_date)</v>
      </c>
      <c r="AA694" s="4"/>
      <c r="AB694" s="4"/>
      <c r="AC694" s="4"/>
      <c r="AD694" s="4"/>
      <c r="AE694" s="4"/>
      <c r="AF694" s="4"/>
      <c r="AG694" s="4"/>
      <c r="AH694" s="4"/>
      <c r="AI694" s="4"/>
      <c r="AJ694" s="76" t="str">
        <f>IF(E694="○",IF(COUNTA(E$13:E694)=1,"",",")&amp;D694,"")</f>
        <v/>
      </c>
      <c r="AK694" s="4"/>
      <c r="AL694" s="4"/>
      <c r="AM694" s="4"/>
      <c r="AN694" s="4"/>
      <c r="AO694" s="4"/>
      <c r="AP694" s="4"/>
      <c r="AQ694" s="4"/>
      <c r="AR694" s="4"/>
      <c r="AS694" s="76" t="str">
        <f>"COMMENT ON COLUMN "&amp;エンティティ一覧!$O$2&amp;"."&amp;D$8&amp;"."&amp;D694&amp;" IS '"&amp;C694&amp;"';"</f>
        <v>COMMENT ON COLUMN milscm_2023_009.sny_202310_annony_shikkan2.shikkan681_start_date IS 'I692_疾患開始日';</v>
      </c>
    </row>
    <row r="695" spans="1:45" s="25" customFormat="1">
      <c r="A695" s="4" t="s">
        <v>5767</v>
      </c>
      <c r="B695" s="21">
        <f t="shared" si="125"/>
        <v>683</v>
      </c>
      <c r="C695" s="13" t="str">
        <f t="shared" si="124"/>
        <v>I693_疾患開始日</v>
      </c>
      <c r="D695" s="13" t="s">
        <v>6342</v>
      </c>
      <c r="E695" s="8"/>
      <c r="F695" s="7" t="s">
        <v>4348</v>
      </c>
      <c r="G695" s="7" t="s">
        <v>25</v>
      </c>
      <c r="H695" s="58"/>
      <c r="I695" s="23"/>
      <c r="J695" s="24"/>
      <c r="M695" s="4"/>
      <c r="N695" s="76"/>
      <c r="O695" s="76"/>
      <c r="P695" s="76" t="str">
        <f t="shared" si="126"/>
        <v>,shikkan682_start_date</v>
      </c>
      <c r="Q695" s="76" t="str">
        <f t="shared" si="127"/>
        <v>DATE</v>
      </c>
      <c r="R695" s="76" t="str">
        <f t="shared" si="128"/>
        <v/>
      </c>
      <c r="S695" s="76" t="str">
        <f t="shared" si="129"/>
        <v/>
      </c>
      <c r="T695" s="76" t="str">
        <f t="shared" si="130"/>
        <v>-- I693_疾患開始日</v>
      </c>
      <c r="U695" s="4" t="str">
        <f t="shared" si="115"/>
        <v>, CASE WHEN shikkan_disp_name = 'I693' THEN min_shikkan_start_date ::DATE ELSE NULL END AS shikkan682_start_date</v>
      </c>
      <c r="V695" s="25" t="str">
        <f t="shared" si="116"/>
        <v>, max(shikkan682_start_date)</v>
      </c>
      <c r="AA695" s="4"/>
      <c r="AB695" s="4"/>
      <c r="AC695" s="4"/>
      <c r="AD695" s="4"/>
      <c r="AE695" s="4"/>
      <c r="AF695" s="4"/>
      <c r="AG695" s="4"/>
      <c r="AH695" s="4"/>
      <c r="AI695" s="4"/>
      <c r="AJ695" s="76" t="str">
        <f>IF(E695="○",IF(COUNTA(E$13:E695)=1,"",",")&amp;D695,"")</f>
        <v/>
      </c>
      <c r="AK695" s="4"/>
      <c r="AL695" s="4"/>
      <c r="AM695" s="4"/>
      <c r="AN695" s="4"/>
      <c r="AO695" s="4"/>
      <c r="AP695" s="4"/>
      <c r="AQ695" s="4"/>
      <c r="AR695" s="4"/>
      <c r="AS695" s="76" t="str">
        <f>"COMMENT ON COLUMN "&amp;エンティティ一覧!$O$2&amp;"."&amp;D$8&amp;"."&amp;D695&amp;" IS '"&amp;C695&amp;"';"</f>
        <v>COMMENT ON COLUMN milscm_2023_009.sny_202310_annony_shikkan2.shikkan682_start_date IS 'I693_疾患開始日';</v>
      </c>
    </row>
    <row r="696" spans="1:45" s="25" customFormat="1">
      <c r="A696" s="4" t="s">
        <v>5768</v>
      </c>
      <c r="B696" s="21">
        <f t="shared" si="125"/>
        <v>684</v>
      </c>
      <c r="C696" s="13" t="str">
        <f t="shared" si="124"/>
        <v>I694_疾患開始日</v>
      </c>
      <c r="D696" s="13" t="s">
        <v>6343</v>
      </c>
      <c r="E696" s="8"/>
      <c r="F696" s="7" t="s">
        <v>4348</v>
      </c>
      <c r="G696" s="7" t="s">
        <v>25</v>
      </c>
      <c r="H696" s="58"/>
      <c r="I696" s="23"/>
      <c r="J696" s="24"/>
      <c r="M696" s="4"/>
      <c r="N696" s="76"/>
      <c r="O696" s="76"/>
      <c r="P696" s="76" t="str">
        <f t="shared" si="126"/>
        <v>,shikkan683_start_date</v>
      </c>
      <c r="Q696" s="76" t="str">
        <f t="shared" si="127"/>
        <v>DATE</v>
      </c>
      <c r="R696" s="76" t="str">
        <f t="shared" si="128"/>
        <v/>
      </c>
      <c r="S696" s="76" t="str">
        <f t="shared" si="129"/>
        <v/>
      </c>
      <c r="T696" s="76" t="str">
        <f t="shared" si="130"/>
        <v>-- I694_疾患開始日</v>
      </c>
      <c r="U696" s="4" t="str">
        <f t="shared" si="115"/>
        <v>, CASE WHEN shikkan_disp_name = 'I694' THEN min_shikkan_start_date ::DATE ELSE NULL END AS shikkan683_start_date</v>
      </c>
      <c r="V696" s="25" t="str">
        <f t="shared" si="116"/>
        <v>, max(shikkan683_start_date)</v>
      </c>
      <c r="AA696" s="4"/>
      <c r="AB696" s="4"/>
      <c r="AC696" s="4"/>
      <c r="AD696" s="4"/>
      <c r="AE696" s="4"/>
      <c r="AF696" s="4"/>
      <c r="AG696" s="4"/>
      <c r="AH696" s="4"/>
      <c r="AI696" s="4"/>
      <c r="AJ696" s="76" t="str">
        <f>IF(E696="○",IF(COUNTA(E$13:E696)=1,"",",")&amp;D696,"")</f>
        <v/>
      </c>
      <c r="AK696" s="4"/>
      <c r="AL696" s="4"/>
      <c r="AM696" s="4"/>
      <c r="AN696" s="4"/>
      <c r="AO696" s="4"/>
      <c r="AP696" s="4"/>
      <c r="AQ696" s="4"/>
      <c r="AR696" s="4"/>
      <c r="AS696" s="76" t="str">
        <f>"COMMENT ON COLUMN "&amp;エンティティ一覧!$O$2&amp;"."&amp;D$8&amp;"."&amp;D696&amp;" IS '"&amp;C696&amp;"';"</f>
        <v>COMMENT ON COLUMN milscm_2023_009.sny_202310_annony_shikkan2.shikkan683_start_date IS 'I694_疾患開始日';</v>
      </c>
    </row>
    <row r="697" spans="1:45" s="25" customFormat="1">
      <c r="A697" s="4" t="s">
        <v>5769</v>
      </c>
      <c r="B697" s="21">
        <f t="shared" si="125"/>
        <v>685</v>
      </c>
      <c r="C697" s="13" t="str">
        <f t="shared" si="124"/>
        <v>I698_疾患開始日</v>
      </c>
      <c r="D697" s="13" t="s">
        <v>6344</v>
      </c>
      <c r="E697" s="8"/>
      <c r="F697" s="7" t="s">
        <v>4348</v>
      </c>
      <c r="G697" s="7" t="s">
        <v>25</v>
      </c>
      <c r="H697" s="58"/>
      <c r="I697" s="23"/>
      <c r="J697" s="24"/>
      <c r="M697" s="4"/>
      <c r="N697" s="76"/>
      <c r="O697" s="76"/>
      <c r="P697" s="76" t="str">
        <f t="shared" si="126"/>
        <v>,shikkan684_start_date</v>
      </c>
      <c r="Q697" s="76" t="str">
        <f t="shared" si="127"/>
        <v>DATE</v>
      </c>
      <c r="R697" s="76" t="str">
        <f t="shared" si="128"/>
        <v/>
      </c>
      <c r="S697" s="76" t="str">
        <f t="shared" si="129"/>
        <v/>
      </c>
      <c r="T697" s="76" t="str">
        <f t="shared" si="130"/>
        <v>-- I698_疾患開始日</v>
      </c>
      <c r="U697" s="4" t="str">
        <f t="shared" si="115"/>
        <v>, CASE WHEN shikkan_disp_name = 'I698' THEN min_shikkan_start_date ::DATE ELSE NULL END AS shikkan684_start_date</v>
      </c>
      <c r="V697" s="25" t="str">
        <f t="shared" si="116"/>
        <v>, max(shikkan684_start_date)</v>
      </c>
      <c r="AA697" s="4"/>
      <c r="AB697" s="4"/>
      <c r="AC697" s="4"/>
      <c r="AD697" s="4"/>
      <c r="AE697" s="4"/>
      <c r="AF697" s="4"/>
      <c r="AG697" s="4"/>
      <c r="AH697" s="4"/>
      <c r="AI697" s="4"/>
      <c r="AJ697" s="76" t="str">
        <f>IF(E697="○",IF(COUNTA(E$13:E697)=1,"",",")&amp;D697,"")</f>
        <v/>
      </c>
      <c r="AK697" s="4"/>
      <c r="AL697" s="4"/>
      <c r="AM697" s="4"/>
      <c r="AN697" s="4"/>
      <c r="AO697" s="4"/>
      <c r="AP697" s="4"/>
      <c r="AQ697" s="4"/>
      <c r="AR697" s="4"/>
      <c r="AS697" s="76" t="str">
        <f>"COMMENT ON COLUMN "&amp;エンティティ一覧!$O$2&amp;"."&amp;D$8&amp;"."&amp;D697&amp;" IS '"&amp;C697&amp;"';"</f>
        <v>COMMENT ON COLUMN milscm_2023_009.sny_202310_annony_shikkan2.shikkan684_start_date IS 'I698_疾患開始日';</v>
      </c>
    </row>
    <row r="698" spans="1:45" s="25" customFormat="1">
      <c r="A698" s="4" t="s">
        <v>5770</v>
      </c>
      <c r="B698" s="21">
        <f t="shared" si="125"/>
        <v>686</v>
      </c>
      <c r="C698" s="13" t="str">
        <f t="shared" si="124"/>
        <v>I700_疾患開始日</v>
      </c>
      <c r="D698" s="13" t="s">
        <v>6345</v>
      </c>
      <c r="E698" s="8"/>
      <c r="F698" s="7" t="s">
        <v>4348</v>
      </c>
      <c r="G698" s="7" t="s">
        <v>25</v>
      </c>
      <c r="H698" s="58"/>
      <c r="I698" s="23"/>
      <c r="J698" s="24"/>
      <c r="M698" s="4"/>
      <c r="N698" s="76"/>
      <c r="O698" s="76"/>
      <c r="P698" s="76" t="str">
        <f t="shared" si="126"/>
        <v>,shikkan685_start_date</v>
      </c>
      <c r="Q698" s="76" t="str">
        <f t="shared" si="127"/>
        <v>DATE</v>
      </c>
      <c r="R698" s="76" t="str">
        <f t="shared" si="128"/>
        <v/>
      </c>
      <c r="S698" s="76" t="str">
        <f t="shared" si="129"/>
        <v/>
      </c>
      <c r="T698" s="76" t="str">
        <f t="shared" si="130"/>
        <v>-- I700_疾患開始日</v>
      </c>
      <c r="U698" s="4" t="str">
        <f t="shared" si="115"/>
        <v>, CASE WHEN shikkan_disp_name = 'I700' THEN min_shikkan_start_date ::DATE ELSE NULL END AS shikkan685_start_date</v>
      </c>
      <c r="V698" s="25" t="str">
        <f t="shared" si="116"/>
        <v>, max(shikkan685_start_date)</v>
      </c>
      <c r="AA698" s="4"/>
      <c r="AB698" s="4"/>
      <c r="AC698" s="4"/>
      <c r="AD698" s="4"/>
      <c r="AE698" s="4"/>
      <c r="AF698" s="4"/>
      <c r="AG698" s="4"/>
      <c r="AH698" s="4"/>
      <c r="AI698" s="4"/>
      <c r="AJ698" s="76" t="str">
        <f>IF(E698="○",IF(COUNTA(E$13:E698)=1,"",",")&amp;D698,"")</f>
        <v/>
      </c>
      <c r="AK698" s="4"/>
      <c r="AL698" s="4"/>
      <c r="AM698" s="4"/>
      <c r="AN698" s="4"/>
      <c r="AO698" s="4"/>
      <c r="AP698" s="4"/>
      <c r="AQ698" s="4"/>
      <c r="AR698" s="4"/>
      <c r="AS698" s="76" t="str">
        <f>"COMMENT ON COLUMN "&amp;エンティティ一覧!$O$2&amp;"."&amp;D$8&amp;"."&amp;D698&amp;" IS '"&amp;C698&amp;"';"</f>
        <v>COMMENT ON COLUMN milscm_2023_009.sny_202310_annony_shikkan2.shikkan685_start_date IS 'I700_疾患開始日';</v>
      </c>
    </row>
    <row r="699" spans="1:45" s="25" customFormat="1">
      <c r="A699" s="4" t="s">
        <v>5771</v>
      </c>
      <c r="B699" s="21">
        <f t="shared" si="125"/>
        <v>687</v>
      </c>
      <c r="C699" s="13" t="str">
        <f t="shared" si="124"/>
        <v>I701_疾患開始日</v>
      </c>
      <c r="D699" s="13" t="s">
        <v>6346</v>
      </c>
      <c r="E699" s="8"/>
      <c r="F699" s="7" t="s">
        <v>4348</v>
      </c>
      <c r="G699" s="7" t="s">
        <v>25</v>
      </c>
      <c r="H699" s="58"/>
      <c r="I699" s="23"/>
      <c r="J699" s="24"/>
      <c r="M699" s="4"/>
      <c r="N699" s="76"/>
      <c r="O699" s="76"/>
      <c r="P699" s="76" t="str">
        <f t="shared" si="126"/>
        <v>,shikkan686_start_date</v>
      </c>
      <c r="Q699" s="76" t="str">
        <f t="shared" si="127"/>
        <v>DATE</v>
      </c>
      <c r="R699" s="76" t="str">
        <f t="shared" si="128"/>
        <v/>
      </c>
      <c r="S699" s="76" t="str">
        <f t="shared" si="129"/>
        <v/>
      </c>
      <c r="T699" s="76" t="str">
        <f t="shared" si="130"/>
        <v>-- I701_疾患開始日</v>
      </c>
      <c r="U699" s="4" t="str">
        <f t="shared" si="115"/>
        <v>, CASE WHEN shikkan_disp_name = 'I701' THEN min_shikkan_start_date ::DATE ELSE NULL END AS shikkan686_start_date</v>
      </c>
      <c r="V699" s="25" t="str">
        <f t="shared" si="116"/>
        <v>, max(shikkan686_start_date)</v>
      </c>
      <c r="AA699" s="4"/>
      <c r="AB699" s="4"/>
      <c r="AC699" s="4"/>
      <c r="AD699" s="4"/>
      <c r="AE699" s="4"/>
      <c r="AF699" s="4"/>
      <c r="AG699" s="4"/>
      <c r="AH699" s="4"/>
      <c r="AI699" s="4"/>
      <c r="AJ699" s="76" t="str">
        <f>IF(E699="○",IF(COUNTA(E$13:E699)=1,"",",")&amp;D699,"")</f>
        <v/>
      </c>
      <c r="AK699" s="4"/>
      <c r="AL699" s="4"/>
      <c r="AM699" s="4"/>
      <c r="AN699" s="4"/>
      <c r="AO699" s="4"/>
      <c r="AP699" s="4"/>
      <c r="AQ699" s="4"/>
      <c r="AR699" s="4"/>
      <c r="AS699" s="76" t="str">
        <f>"COMMENT ON COLUMN "&amp;エンティティ一覧!$O$2&amp;"."&amp;D$8&amp;"."&amp;D699&amp;" IS '"&amp;C699&amp;"';"</f>
        <v>COMMENT ON COLUMN milscm_2023_009.sny_202310_annony_shikkan2.shikkan686_start_date IS 'I701_疾患開始日';</v>
      </c>
    </row>
    <row r="700" spans="1:45" s="25" customFormat="1">
      <c r="A700" s="4" t="s">
        <v>5772</v>
      </c>
      <c r="B700" s="21">
        <f t="shared" si="125"/>
        <v>688</v>
      </c>
      <c r="C700" s="13" t="str">
        <f t="shared" si="124"/>
        <v>I702_疾患開始日</v>
      </c>
      <c r="D700" s="13" t="s">
        <v>6347</v>
      </c>
      <c r="E700" s="8"/>
      <c r="F700" s="7" t="s">
        <v>4348</v>
      </c>
      <c r="G700" s="7" t="s">
        <v>99</v>
      </c>
      <c r="H700" s="58"/>
      <c r="I700" s="23"/>
      <c r="J700" s="24"/>
      <c r="M700" s="4"/>
      <c r="N700" s="76"/>
      <c r="O700" s="76"/>
      <c r="P700" s="76" t="str">
        <f t="shared" si="126"/>
        <v>,shikkan687_start_date</v>
      </c>
      <c r="Q700" s="76" t="str">
        <f t="shared" si="127"/>
        <v>DATE</v>
      </c>
      <c r="R700" s="76" t="str">
        <f t="shared" si="128"/>
        <v/>
      </c>
      <c r="S700" s="76" t="str">
        <f t="shared" si="129"/>
        <v/>
      </c>
      <c r="T700" s="76" t="str">
        <f t="shared" si="130"/>
        <v>-- I702_疾患開始日</v>
      </c>
      <c r="U700" s="4" t="str">
        <f t="shared" si="115"/>
        <v>, CASE WHEN shikkan_disp_name = 'I702' THEN min_shikkan_start_date ::DATE ELSE NULL END AS shikkan687_start_date</v>
      </c>
      <c r="V700" s="25" t="str">
        <f t="shared" si="116"/>
        <v>, max(shikkan687_start_date)</v>
      </c>
      <c r="AA700" s="4"/>
      <c r="AB700" s="4"/>
      <c r="AC700" s="4"/>
      <c r="AD700" s="4"/>
      <c r="AE700" s="4"/>
      <c r="AF700" s="4"/>
      <c r="AG700" s="4"/>
      <c r="AH700" s="4"/>
      <c r="AI700" s="4"/>
      <c r="AJ700" s="76" t="str">
        <f>IF(E700="○",IF(COUNTA(E$13:E700)=1,"",",")&amp;D700,"")</f>
        <v/>
      </c>
      <c r="AK700" s="4"/>
      <c r="AL700" s="4"/>
      <c r="AM700" s="4"/>
      <c r="AN700" s="4"/>
      <c r="AO700" s="4"/>
      <c r="AP700" s="4"/>
      <c r="AQ700" s="4"/>
      <c r="AR700" s="4"/>
      <c r="AS700" s="76" t="str">
        <f>"COMMENT ON COLUMN "&amp;エンティティ一覧!$O$2&amp;"."&amp;D$8&amp;"."&amp;D700&amp;" IS '"&amp;C700&amp;"';"</f>
        <v>COMMENT ON COLUMN milscm_2023_009.sny_202310_annony_shikkan2.shikkan687_start_date IS 'I702_疾患開始日';</v>
      </c>
    </row>
    <row r="701" spans="1:45" s="25" customFormat="1">
      <c r="A701" s="4" t="s">
        <v>5773</v>
      </c>
      <c r="B701" s="21">
        <f t="shared" si="125"/>
        <v>689</v>
      </c>
      <c r="C701" s="13" t="str">
        <f t="shared" si="124"/>
        <v>I708_疾患開始日</v>
      </c>
      <c r="D701" s="13" t="s">
        <v>6348</v>
      </c>
      <c r="E701" s="8"/>
      <c r="F701" s="7" t="s">
        <v>4348</v>
      </c>
      <c r="G701" s="7" t="s">
        <v>25</v>
      </c>
      <c r="H701" s="58"/>
      <c r="I701" s="23"/>
      <c r="J701" s="24"/>
      <c r="M701" s="4"/>
      <c r="N701" s="76"/>
      <c r="O701" s="76"/>
      <c r="P701" s="76" t="str">
        <f t="shared" si="126"/>
        <v>,shikkan688_start_date</v>
      </c>
      <c r="Q701" s="76" t="str">
        <f t="shared" si="127"/>
        <v>DATE</v>
      </c>
      <c r="R701" s="76" t="str">
        <f t="shared" si="128"/>
        <v/>
      </c>
      <c r="S701" s="76" t="str">
        <f t="shared" si="129"/>
        <v/>
      </c>
      <c r="T701" s="76" t="str">
        <f t="shared" si="130"/>
        <v>-- I708_疾患開始日</v>
      </c>
      <c r="U701" s="4" t="str">
        <f t="shared" si="115"/>
        <v>, CASE WHEN shikkan_disp_name = 'I708' THEN min_shikkan_start_date ::DATE ELSE NULL END AS shikkan688_start_date</v>
      </c>
      <c r="V701" s="25" t="str">
        <f t="shared" si="116"/>
        <v>, max(shikkan688_start_date)</v>
      </c>
      <c r="AA701" s="4"/>
      <c r="AB701" s="4"/>
      <c r="AC701" s="4"/>
      <c r="AD701" s="4"/>
      <c r="AE701" s="4"/>
      <c r="AF701" s="4"/>
      <c r="AG701" s="4"/>
      <c r="AH701" s="4"/>
      <c r="AI701" s="4"/>
      <c r="AJ701" s="76" t="str">
        <f>IF(E701="○",IF(COUNTA(E$13:E701)=1,"",",")&amp;D701,"")</f>
        <v/>
      </c>
      <c r="AK701" s="4"/>
      <c r="AL701" s="4"/>
      <c r="AM701" s="4"/>
      <c r="AN701" s="4"/>
      <c r="AO701" s="4"/>
      <c r="AP701" s="4"/>
      <c r="AQ701" s="4"/>
      <c r="AR701" s="4"/>
      <c r="AS701" s="76" t="str">
        <f>"COMMENT ON COLUMN "&amp;エンティティ一覧!$O$2&amp;"."&amp;D$8&amp;"."&amp;D701&amp;" IS '"&amp;C701&amp;"';"</f>
        <v>COMMENT ON COLUMN milscm_2023_009.sny_202310_annony_shikkan2.shikkan688_start_date IS 'I708_疾患開始日';</v>
      </c>
    </row>
    <row r="702" spans="1:45" s="25" customFormat="1">
      <c r="A702" s="4" t="s">
        <v>5774</v>
      </c>
      <c r="B702" s="21">
        <f t="shared" si="125"/>
        <v>690</v>
      </c>
      <c r="C702" s="13" t="str">
        <f t="shared" si="124"/>
        <v>I709_疾患開始日</v>
      </c>
      <c r="D702" s="13" t="s">
        <v>6349</v>
      </c>
      <c r="E702" s="8"/>
      <c r="F702" s="7" t="s">
        <v>4348</v>
      </c>
      <c r="G702" s="7" t="s">
        <v>25</v>
      </c>
      <c r="H702" s="58"/>
      <c r="I702" s="23"/>
      <c r="J702" s="24"/>
      <c r="M702" s="4"/>
      <c r="N702" s="76"/>
      <c r="O702" s="76"/>
      <c r="P702" s="76" t="str">
        <f t="shared" si="126"/>
        <v>,shikkan689_start_date</v>
      </c>
      <c r="Q702" s="76" t="str">
        <f t="shared" si="127"/>
        <v>DATE</v>
      </c>
      <c r="R702" s="76" t="str">
        <f t="shared" si="128"/>
        <v/>
      </c>
      <c r="S702" s="76" t="str">
        <f t="shared" si="129"/>
        <v/>
      </c>
      <c r="T702" s="76" t="str">
        <f t="shared" si="130"/>
        <v>-- I709_疾患開始日</v>
      </c>
      <c r="U702" s="4" t="str">
        <f t="shared" si="115"/>
        <v>, CASE WHEN shikkan_disp_name = 'I709' THEN min_shikkan_start_date ::DATE ELSE NULL END AS shikkan689_start_date</v>
      </c>
      <c r="V702" s="25" t="str">
        <f t="shared" si="116"/>
        <v>, max(shikkan689_start_date)</v>
      </c>
      <c r="AA702" s="4"/>
      <c r="AB702" s="4"/>
      <c r="AC702" s="4"/>
      <c r="AD702" s="4"/>
      <c r="AE702" s="4"/>
      <c r="AF702" s="4"/>
      <c r="AG702" s="4"/>
      <c r="AH702" s="4"/>
      <c r="AI702" s="4"/>
      <c r="AJ702" s="76" t="str">
        <f>IF(E702="○",IF(COUNTA(E$13:E702)=1,"",",")&amp;D702,"")</f>
        <v/>
      </c>
      <c r="AK702" s="4"/>
      <c r="AL702" s="4"/>
      <c r="AM702" s="4"/>
      <c r="AN702" s="4"/>
      <c r="AO702" s="4"/>
      <c r="AP702" s="4"/>
      <c r="AQ702" s="4"/>
      <c r="AR702" s="4"/>
      <c r="AS702" s="76" t="str">
        <f>"COMMENT ON COLUMN "&amp;エンティティ一覧!$O$2&amp;"."&amp;D$8&amp;"."&amp;D702&amp;" IS '"&amp;C702&amp;"';"</f>
        <v>COMMENT ON COLUMN milscm_2023_009.sny_202310_annony_shikkan2.shikkan689_start_date IS 'I709_疾患開始日';</v>
      </c>
    </row>
    <row r="703" spans="1:45" s="25" customFormat="1">
      <c r="A703" s="4" t="s">
        <v>5775</v>
      </c>
      <c r="B703" s="21">
        <f t="shared" si="125"/>
        <v>691</v>
      </c>
      <c r="C703" s="13" t="str">
        <f t="shared" si="124"/>
        <v>I710_疾患開始日</v>
      </c>
      <c r="D703" s="13" t="s">
        <v>6350</v>
      </c>
      <c r="E703" s="8"/>
      <c r="F703" s="7" t="s">
        <v>4348</v>
      </c>
      <c r="G703" s="7" t="s">
        <v>25</v>
      </c>
      <c r="H703" s="58"/>
      <c r="I703" s="23"/>
      <c r="J703" s="24"/>
      <c r="M703" s="4"/>
      <c r="N703" s="76"/>
      <c r="O703" s="76"/>
      <c r="P703" s="76" t="str">
        <f t="shared" si="126"/>
        <v>,shikkan690_start_date</v>
      </c>
      <c r="Q703" s="76" t="str">
        <f t="shared" si="127"/>
        <v>DATE</v>
      </c>
      <c r="R703" s="76" t="str">
        <f t="shared" si="128"/>
        <v/>
      </c>
      <c r="S703" s="76" t="str">
        <f t="shared" si="129"/>
        <v/>
      </c>
      <c r="T703" s="76" t="str">
        <f t="shared" si="130"/>
        <v>-- I710_疾患開始日</v>
      </c>
      <c r="U703" s="4" t="str">
        <f t="shared" si="115"/>
        <v>, CASE WHEN shikkan_disp_name = 'I710' THEN min_shikkan_start_date ::DATE ELSE NULL END AS shikkan690_start_date</v>
      </c>
      <c r="V703" s="25" t="str">
        <f t="shared" si="116"/>
        <v>, max(shikkan690_start_date)</v>
      </c>
      <c r="AA703" s="4"/>
      <c r="AB703" s="4"/>
      <c r="AC703" s="4"/>
      <c r="AD703" s="4"/>
      <c r="AE703" s="4"/>
      <c r="AF703" s="4"/>
      <c r="AG703" s="4"/>
      <c r="AH703" s="4"/>
      <c r="AI703" s="4"/>
      <c r="AJ703" s="76" t="str">
        <f>IF(E703="○",IF(COUNTA(E$13:E703)=1,"",",")&amp;D703,"")</f>
        <v/>
      </c>
      <c r="AK703" s="4"/>
      <c r="AL703" s="4"/>
      <c r="AM703" s="4"/>
      <c r="AN703" s="4"/>
      <c r="AO703" s="4"/>
      <c r="AP703" s="4"/>
      <c r="AQ703" s="4"/>
      <c r="AR703" s="4"/>
      <c r="AS703" s="76" t="str">
        <f>"COMMENT ON COLUMN "&amp;エンティティ一覧!$O$2&amp;"."&amp;D$8&amp;"."&amp;D703&amp;" IS '"&amp;C703&amp;"';"</f>
        <v>COMMENT ON COLUMN milscm_2023_009.sny_202310_annony_shikkan2.shikkan690_start_date IS 'I710_疾患開始日';</v>
      </c>
    </row>
    <row r="704" spans="1:45" s="25" customFormat="1">
      <c r="A704" s="4" t="s">
        <v>5776</v>
      </c>
      <c r="B704" s="21">
        <f t="shared" si="125"/>
        <v>692</v>
      </c>
      <c r="C704" s="13" t="str">
        <f t="shared" si="124"/>
        <v>I711_疾患開始日</v>
      </c>
      <c r="D704" s="13" t="s">
        <v>6351</v>
      </c>
      <c r="E704" s="8"/>
      <c r="F704" s="7" t="s">
        <v>4348</v>
      </c>
      <c r="G704" s="7" t="s">
        <v>25</v>
      </c>
      <c r="H704" s="58"/>
      <c r="I704" s="23"/>
      <c r="J704" s="24"/>
      <c r="M704" s="4"/>
      <c r="N704" s="76"/>
      <c r="O704" s="76"/>
      <c r="P704" s="76" t="str">
        <f t="shared" si="126"/>
        <v>,shikkan691_start_date</v>
      </c>
      <c r="Q704" s="76" t="str">
        <f t="shared" si="127"/>
        <v>DATE</v>
      </c>
      <c r="R704" s="76" t="str">
        <f t="shared" si="128"/>
        <v/>
      </c>
      <c r="S704" s="76" t="str">
        <f t="shared" si="129"/>
        <v/>
      </c>
      <c r="T704" s="76" t="str">
        <f t="shared" si="130"/>
        <v>-- I711_疾患開始日</v>
      </c>
      <c r="U704" s="4" t="str">
        <f t="shared" si="115"/>
        <v>, CASE WHEN shikkan_disp_name = 'I711' THEN min_shikkan_start_date ::DATE ELSE NULL END AS shikkan691_start_date</v>
      </c>
      <c r="V704" s="25" t="str">
        <f t="shared" si="116"/>
        <v>, max(shikkan691_start_date)</v>
      </c>
      <c r="AA704" s="4"/>
      <c r="AB704" s="4"/>
      <c r="AC704" s="4"/>
      <c r="AD704" s="4"/>
      <c r="AE704" s="4"/>
      <c r="AF704" s="4"/>
      <c r="AG704" s="4"/>
      <c r="AH704" s="4"/>
      <c r="AI704" s="4"/>
      <c r="AJ704" s="76" t="str">
        <f>IF(E704="○",IF(COUNTA(E$13:E704)=1,"",",")&amp;D704,"")</f>
        <v/>
      </c>
      <c r="AK704" s="4"/>
      <c r="AL704" s="4"/>
      <c r="AM704" s="4"/>
      <c r="AN704" s="4"/>
      <c r="AO704" s="4"/>
      <c r="AP704" s="4"/>
      <c r="AQ704" s="4"/>
      <c r="AR704" s="4"/>
      <c r="AS704" s="76" t="str">
        <f>"COMMENT ON COLUMN "&amp;エンティティ一覧!$O$2&amp;"."&amp;D$8&amp;"."&amp;D704&amp;" IS '"&amp;C704&amp;"';"</f>
        <v>COMMENT ON COLUMN milscm_2023_009.sny_202310_annony_shikkan2.shikkan691_start_date IS 'I711_疾患開始日';</v>
      </c>
    </row>
    <row r="705" spans="1:45" s="25" customFormat="1">
      <c r="A705" s="4" t="s">
        <v>5777</v>
      </c>
      <c r="B705" s="21">
        <f t="shared" si="125"/>
        <v>693</v>
      </c>
      <c r="C705" s="13" t="str">
        <f t="shared" si="124"/>
        <v>I712_疾患開始日</v>
      </c>
      <c r="D705" s="13" t="s">
        <v>6352</v>
      </c>
      <c r="E705" s="8"/>
      <c r="F705" s="7" t="s">
        <v>4348</v>
      </c>
      <c r="G705" s="7" t="s">
        <v>25</v>
      </c>
      <c r="H705" s="58"/>
      <c r="I705" s="23"/>
      <c r="J705" s="24"/>
      <c r="M705" s="4"/>
      <c r="N705" s="76"/>
      <c r="O705" s="76"/>
      <c r="P705" s="76" t="str">
        <f t="shared" si="126"/>
        <v>,shikkan692_start_date</v>
      </c>
      <c r="Q705" s="76" t="str">
        <f t="shared" si="127"/>
        <v>DATE</v>
      </c>
      <c r="R705" s="76" t="str">
        <f t="shared" si="128"/>
        <v/>
      </c>
      <c r="S705" s="76" t="str">
        <f t="shared" si="129"/>
        <v/>
      </c>
      <c r="T705" s="76" t="str">
        <f t="shared" si="130"/>
        <v>-- I712_疾患開始日</v>
      </c>
      <c r="U705" s="4" t="str">
        <f t="shared" si="115"/>
        <v>, CASE WHEN shikkan_disp_name = 'I712' THEN min_shikkan_start_date ::DATE ELSE NULL END AS shikkan692_start_date</v>
      </c>
      <c r="V705" s="25" t="str">
        <f t="shared" si="116"/>
        <v>, max(shikkan692_start_date)</v>
      </c>
      <c r="AA705" s="4"/>
      <c r="AB705" s="4"/>
      <c r="AC705" s="4"/>
      <c r="AD705" s="4"/>
      <c r="AE705" s="4"/>
      <c r="AF705" s="4"/>
      <c r="AG705" s="4"/>
      <c r="AH705" s="4"/>
      <c r="AI705" s="4"/>
      <c r="AJ705" s="76" t="str">
        <f>IF(E705="○",IF(COUNTA(E$13:E705)=1,"",",")&amp;D705,"")</f>
        <v/>
      </c>
      <c r="AK705" s="4"/>
      <c r="AL705" s="4"/>
      <c r="AM705" s="4"/>
      <c r="AN705" s="4"/>
      <c r="AO705" s="4"/>
      <c r="AP705" s="4"/>
      <c r="AQ705" s="4"/>
      <c r="AR705" s="4"/>
      <c r="AS705" s="76" t="str">
        <f>"COMMENT ON COLUMN "&amp;エンティティ一覧!$O$2&amp;"."&amp;D$8&amp;"."&amp;D705&amp;" IS '"&amp;C705&amp;"';"</f>
        <v>COMMENT ON COLUMN milscm_2023_009.sny_202310_annony_shikkan2.shikkan692_start_date IS 'I712_疾患開始日';</v>
      </c>
    </row>
    <row r="706" spans="1:45" s="25" customFormat="1">
      <c r="A706" s="4" t="s">
        <v>5778</v>
      </c>
      <c r="B706" s="21">
        <f t="shared" si="125"/>
        <v>694</v>
      </c>
      <c r="C706" s="13" t="str">
        <f t="shared" si="124"/>
        <v>I713_疾患開始日</v>
      </c>
      <c r="D706" s="13" t="s">
        <v>6353</v>
      </c>
      <c r="E706" s="8"/>
      <c r="F706" s="7" t="s">
        <v>4348</v>
      </c>
      <c r="G706" s="7" t="s">
        <v>25</v>
      </c>
      <c r="H706" s="58"/>
      <c r="I706" s="23"/>
      <c r="J706" s="24"/>
      <c r="M706" s="4"/>
      <c r="N706" s="76"/>
      <c r="O706" s="76"/>
      <c r="P706" s="76" t="str">
        <f t="shared" si="126"/>
        <v>,shikkan693_start_date</v>
      </c>
      <c r="Q706" s="76" t="str">
        <f t="shared" si="127"/>
        <v>DATE</v>
      </c>
      <c r="R706" s="76" t="str">
        <f t="shared" si="128"/>
        <v/>
      </c>
      <c r="S706" s="76" t="str">
        <f t="shared" si="129"/>
        <v/>
      </c>
      <c r="T706" s="76" t="str">
        <f t="shared" si="130"/>
        <v>-- I713_疾患開始日</v>
      </c>
      <c r="U706" s="4" t="str">
        <f t="shared" si="115"/>
        <v>, CASE WHEN shikkan_disp_name = 'I713' THEN min_shikkan_start_date ::DATE ELSE NULL END AS shikkan693_start_date</v>
      </c>
      <c r="V706" s="25" t="str">
        <f t="shared" si="116"/>
        <v>, max(shikkan693_start_date)</v>
      </c>
      <c r="AA706" s="4"/>
      <c r="AB706" s="4"/>
      <c r="AC706" s="4"/>
      <c r="AD706" s="4"/>
      <c r="AE706" s="4"/>
      <c r="AF706" s="4"/>
      <c r="AG706" s="4"/>
      <c r="AH706" s="4"/>
      <c r="AI706" s="4"/>
      <c r="AJ706" s="76" t="str">
        <f>IF(E706="○",IF(COUNTA(E$13:E706)=1,"",",")&amp;D706,"")</f>
        <v/>
      </c>
      <c r="AK706" s="4"/>
      <c r="AL706" s="4"/>
      <c r="AM706" s="4"/>
      <c r="AN706" s="4"/>
      <c r="AO706" s="4"/>
      <c r="AP706" s="4"/>
      <c r="AQ706" s="4"/>
      <c r="AR706" s="4"/>
      <c r="AS706" s="76" t="str">
        <f>"COMMENT ON COLUMN "&amp;エンティティ一覧!$O$2&amp;"."&amp;D$8&amp;"."&amp;D706&amp;" IS '"&amp;C706&amp;"';"</f>
        <v>COMMENT ON COLUMN milscm_2023_009.sny_202310_annony_shikkan2.shikkan693_start_date IS 'I713_疾患開始日';</v>
      </c>
    </row>
    <row r="707" spans="1:45" s="25" customFormat="1">
      <c r="A707" s="4" t="s">
        <v>5779</v>
      </c>
      <c r="B707" s="21">
        <f t="shared" si="125"/>
        <v>695</v>
      </c>
      <c r="C707" s="13" t="str">
        <f t="shared" si="124"/>
        <v>I714_疾患開始日</v>
      </c>
      <c r="D707" s="13" t="s">
        <v>6354</v>
      </c>
      <c r="E707" s="8"/>
      <c r="F707" s="7" t="s">
        <v>4348</v>
      </c>
      <c r="G707" s="7" t="s">
        <v>25</v>
      </c>
      <c r="H707" s="58"/>
      <c r="I707" s="23"/>
      <c r="J707" s="24"/>
      <c r="M707" s="4"/>
      <c r="N707" s="76"/>
      <c r="O707" s="76"/>
      <c r="P707" s="76" t="str">
        <f t="shared" si="126"/>
        <v>,shikkan694_start_date</v>
      </c>
      <c r="Q707" s="76" t="str">
        <f t="shared" si="127"/>
        <v>DATE</v>
      </c>
      <c r="R707" s="76" t="str">
        <f t="shared" si="128"/>
        <v/>
      </c>
      <c r="S707" s="76" t="str">
        <f t="shared" si="129"/>
        <v/>
      </c>
      <c r="T707" s="76" t="str">
        <f t="shared" si="130"/>
        <v>-- I714_疾患開始日</v>
      </c>
      <c r="U707" s="4" t="str">
        <f t="shared" si="115"/>
        <v>, CASE WHEN shikkan_disp_name = 'I714' THEN min_shikkan_start_date ::DATE ELSE NULL END AS shikkan694_start_date</v>
      </c>
      <c r="V707" s="25" t="str">
        <f t="shared" si="116"/>
        <v>, max(shikkan694_start_date)</v>
      </c>
      <c r="AA707" s="4"/>
      <c r="AB707" s="4"/>
      <c r="AC707" s="4"/>
      <c r="AD707" s="4"/>
      <c r="AE707" s="4"/>
      <c r="AF707" s="4"/>
      <c r="AG707" s="4"/>
      <c r="AH707" s="4"/>
      <c r="AI707" s="4"/>
      <c r="AJ707" s="76" t="str">
        <f>IF(E707="○",IF(COUNTA(E$13:E707)=1,"",",")&amp;D707,"")</f>
        <v/>
      </c>
      <c r="AK707" s="4"/>
      <c r="AL707" s="4"/>
      <c r="AM707" s="4"/>
      <c r="AN707" s="4"/>
      <c r="AO707" s="4"/>
      <c r="AP707" s="4"/>
      <c r="AQ707" s="4"/>
      <c r="AR707" s="4"/>
      <c r="AS707" s="76" t="str">
        <f>"COMMENT ON COLUMN "&amp;エンティティ一覧!$O$2&amp;"."&amp;D$8&amp;"."&amp;D707&amp;" IS '"&amp;C707&amp;"';"</f>
        <v>COMMENT ON COLUMN milscm_2023_009.sny_202310_annony_shikkan2.shikkan694_start_date IS 'I714_疾患開始日';</v>
      </c>
    </row>
    <row r="708" spans="1:45" s="25" customFormat="1">
      <c r="A708" s="4" t="s">
        <v>5780</v>
      </c>
      <c r="B708" s="21">
        <f t="shared" si="125"/>
        <v>696</v>
      </c>
      <c r="C708" s="13" t="str">
        <f t="shared" si="124"/>
        <v>I715_疾患開始日</v>
      </c>
      <c r="D708" s="13" t="s">
        <v>6355</v>
      </c>
      <c r="E708" s="8"/>
      <c r="F708" s="7" t="s">
        <v>4348</v>
      </c>
      <c r="G708" s="7" t="s">
        <v>25</v>
      </c>
      <c r="H708" s="58"/>
      <c r="I708" s="23"/>
      <c r="J708" s="24"/>
      <c r="M708" s="4"/>
      <c r="N708" s="76"/>
      <c r="O708" s="76"/>
      <c r="P708" s="76" t="str">
        <f t="shared" si="126"/>
        <v>,shikkan695_start_date</v>
      </c>
      <c r="Q708" s="76" t="str">
        <f t="shared" si="127"/>
        <v>DATE</v>
      </c>
      <c r="R708" s="76" t="str">
        <f t="shared" si="128"/>
        <v/>
      </c>
      <c r="S708" s="76" t="str">
        <f t="shared" si="129"/>
        <v/>
      </c>
      <c r="T708" s="76" t="str">
        <f t="shared" si="130"/>
        <v>-- I715_疾患開始日</v>
      </c>
      <c r="U708" s="4" t="str">
        <f t="shared" si="115"/>
        <v>, CASE WHEN shikkan_disp_name = 'I715' THEN min_shikkan_start_date ::DATE ELSE NULL END AS shikkan695_start_date</v>
      </c>
      <c r="V708" s="25" t="str">
        <f t="shared" si="116"/>
        <v>, max(shikkan695_start_date)</v>
      </c>
      <c r="AA708" s="4"/>
      <c r="AB708" s="4"/>
      <c r="AC708" s="4"/>
      <c r="AD708" s="4"/>
      <c r="AE708" s="4"/>
      <c r="AF708" s="4"/>
      <c r="AG708" s="4"/>
      <c r="AH708" s="4"/>
      <c r="AI708" s="4"/>
      <c r="AJ708" s="76" t="str">
        <f>IF(E708="○",IF(COUNTA(E$13:E708)=1,"",",")&amp;D708,"")</f>
        <v/>
      </c>
      <c r="AK708" s="4"/>
      <c r="AL708" s="4"/>
      <c r="AM708" s="4"/>
      <c r="AN708" s="4"/>
      <c r="AO708" s="4"/>
      <c r="AP708" s="4"/>
      <c r="AQ708" s="4"/>
      <c r="AR708" s="4"/>
      <c r="AS708" s="76" t="str">
        <f>"COMMENT ON COLUMN "&amp;エンティティ一覧!$O$2&amp;"."&amp;D$8&amp;"."&amp;D708&amp;" IS '"&amp;C708&amp;"';"</f>
        <v>COMMENT ON COLUMN milscm_2023_009.sny_202310_annony_shikkan2.shikkan695_start_date IS 'I715_疾患開始日';</v>
      </c>
    </row>
    <row r="709" spans="1:45" s="25" customFormat="1">
      <c r="A709" s="4" t="s">
        <v>5781</v>
      </c>
      <c r="B709" s="21">
        <f t="shared" si="125"/>
        <v>697</v>
      </c>
      <c r="C709" s="13" t="str">
        <f t="shared" si="124"/>
        <v>I716_疾患開始日</v>
      </c>
      <c r="D709" s="13" t="s">
        <v>6356</v>
      </c>
      <c r="E709" s="8"/>
      <c r="F709" s="7" t="s">
        <v>4348</v>
      </c>
      <c r="G709" s="7" t="s">
        <v>25</v>
      </c>
      <c r="H709" s="58"/>
      <c r="I709" s="23"/>
      <c r="J709" s="24"/>
      <c r="M709" s="4"/>
      <c r="N709" s="76"/>
      <c r="O709" s="76"/>
      <c r="P709" s="76" t="str">
        <f t="shared" si="126"/>
        <v>,shikkan696_start_date</v>
      </c>
      <c r="Q709" s="76" t="str">
        <f t="shared" si="127"/>
        <v>DATE</v>
      </c>
      <c r="R709" s="76" t="str">
        <f t="shared" si="128"/>
        <v/>
      </c>
      <c r="S709" s="76" t="str">
        <f t="shared" si="129"/>
        <v/>
      </c>
      <c r="T709" s="76" t="str">
        <f t="shared" si="130"/>
        <v>-- I716_疾患開始日</v>
      </c>
      <c r="U709" s="4" t="str">
        <f t="shared" si="115"/>
        <v>, CASE WHEN shikkan_disp_name = 'I716' THEN min_shikkan_start_date ::DATE ELSE NULL END AS shikkan696_start_date</v>
      </c>
      <c r="V709" s="25" t="str">
        <f t="shared" si="116"/>
        <v>, max(shikkan696_start_date)</v>
      </c>
      <c r="AA709" s="4"/>
      <c r="AB709" s="4"/>
      <c r="AC709" s="4"/>
      <c r="AD709" s="4"/>
      <c r="AE709" s="4"/>
      <c r="AF709" s="4"/>
      <c r="AG709" s="4"/>
      <c r="AH709" s="4"/>
      <c r="AI709" s="4"/>
      <c r="AJ709" s="76" t="str">
        <f>IF(E709="○",IF(COUNTA(E$13:E709)=1,"",",")&amp;D709,"")</f>
        <v/>
      </c>
      <c r="AK709" s="4"/>
      <c r="AL709" s="4"/>
      <c r="AM709" s="4"/>
      <c r="AN709" s="4"/>
      <c r="AO709" s="4"/>
      <c r="AP709" s="4"/>
      <c r="AQ709" s="4"/>
      <c r="AR709" s="4"/>
      <c r="AS709" s="76" t="str">
        <f>"COMMENT ON COLUMN "&amp;エンティティ一覧!$O$2&amp;"."&amp;D$8&amp;"."&amp;D709&amp;" IS '"&amp;C709&amp;"';"</f>
        <v>COMMENT ON COLUMN milscm_2023_009.sny_202310_annony_shikkan2.shikkan696_start_date IS 'I716_疾患開始日';</v>
      </c>
    </row>
    <row r="710" spans="1:45" s="25" customFormat="1">
      <c r="A710" s="4" t="s">
        <v>5782</v>
      </c>
      <c r="B710" s="21">
        <f t="shared" si="125"/>
        <v>698</v>
      </c>
      <c r="C710" s="13" t="str">
        <f t="shared" si="124"/>
        <v>I718_疾患開始日</v>
      </c>
      <c r="D710" s="13" t="s">
        <v>6357</v>
      </c>
      <c r="E710" s="8"/>
      <c r="F710" s="7" t="s">
        <v>4348</v>
      </c>
      <c r="G710" s="7" t="s">
        <v>25</v>
      </c>
      <c r="H710" s="58"/>
      <c r="I710" s="23"/>
      <c r="J710" s="24"/>
      <c r="M710" s="4"/>
      <c r="N710" s="76"/>
      <c r="O710" s="76"/>
      <c r="P710" s="76" t="str">
        <f t="shared" si="126"/>
        <v>,shikkan697_start_date</v>
      </c>
      <c r="Q710" s="76" t="str">
        <f t="shared" si="127"/>
        <v>DATE</v>
      </c>
      <c r="R710" s="76" t="str">
        <f t="shared" si="128"/>
        <v/>
      </c>
      <c r="S710" s="76" t="str">
        <f t="shared" si="129"/>
        <v/>
      </c>
      <c r="T710" s="76" t="str">
        <f t="shared" si="130"/>
        <v>-- I718_疾患開始日</v>
      </c>
      <c r="U710" s="4" t="str">
        <f t="shared" si="115"/>
        <v>, CASE WHEN shikkan_disp_name = 'I718' THEN min_shikkan_start_date ::DATE ELSE NULL END AS shikkan697_start_date</v>
      </c>
      <c r="V710" s="25" t="str">
        <f t="shared" si="116"/>
        <v>, max(shikkan697_start_date)</v>
      </c>
      <c r="AA710" s="4"/>
      <c r="AB710" s="4"/>
      <c r="AC710" s="4"/>
      <c r="AD710" s="4"/>
      <c r="AE710" s="4"/>
      <c r="AF710" s="4"/>
      <c r="AG710" s="4"/>
      <c r="AH710" s="4"/>
      <c r="AI710" s="4"/>
      <c r="AJ710" s="76" t="str">
        <f>IF(E710="○",IF(COUNTA(E$13:E710)=1,"",",")&amp;D710,"")</f>
        <v/>
      </c>
      <c r="AK710" s="4"/>
      <c r="AL710" s="4"/>
      <c r="AM710" s="4"/>
      <c r="AN710" s="4"/>
      <c r="AO710" s="4"/>
      <c r="AP710" s="4"/>
      <c r="AQ710" s="4"/>
      <c r="AR710" s="4"/>
      <c r="AS710" s="76" t="str">
        <f>"COMMENT ON COLUMN "&amp;エンティティ一覧!$O$2&amp;"."&amp;D$8&amp;"."&amp;D710&amp;" IS '"&amp;C710&amp;"';"</f>
        <v>COMMENT ON COLUMN milscm_2023_009.sny_202310_annony_shikkan2.shikkan697_start_date IS 'I718_疾患開始日';</v>
      </c>
    </row>
    <row r="711" spans="1:45" s="25" customFormat="1">
      <c r="A711" s="4" t="s">
        <v>5783</v>
      </c>
      <c r="B711" s="21">
        <f t="shared" si="125"/>
        <v>699</v>
      </c>
      <c r="C711" s="13" t="str">
        <f t="shared" si="124"/>
        <v>I719_疾患開始日</v>
      </c>
      <c r="D711" s="13" t="s">
        <v>6358</v>
      </c>
      <c r="E711" s="8"/>
      <c r="F711" s="7" t="s">
        <v>4348</v>
      </c>
      <c r="G711" s="7" t="s">
        <v>25</v>
      </c>
      <c r="H711" s="58"/>
      <c r="I711" s="23"/>
      <c r="J711" s="24"/>
      <c r="M711" s="4"/>
      <c r="N711" s="76"/>
      <c r="O711" s="76"/>
      <c r="P711" s="76" t="str">
        <f t="shared" si="126"/>
        <v>,shikkan698_start_date</v>
      </c>
      <c r="Q711" s="76" t="str">
        <f t="shared" si="127"/>
        <v>DATE</v>
      </c>
      <c r="R711" s="76" t="str">
        <f t="shared" si="128"/>
        <v/>
      </c>
      <c r="S711" s="76" t="str">
        <f t="shared" si="129"/>
        <v/>
      </c>
      <c r="T711" s="76" t="str">
        <f t="shared" si="130"/>
        <v>-- I719_疾患開始日</v>
      </c>
      <c r="U711" s="4" t="str">
        <f t="shared" si="115"/>
        <v>, CASE WHEN shikkan_disp_name = 'I719' THEN min_shikkan_start_date ::DATE ELSE NULL END AS shikkan698_start_date</v>
      </c>
      <c r="V711" s="25" t="str">
        <f t="shared" si="116"/>
        <v>, max(shikkan698_start_date)</v>
      </c>
      <c r="AA711" s="4"/>
      <c r="AB711" s="4"/>
      <c r="AC711" s="4"/>
      <c r="AD711" s="4"/>
      <c r="AE711" s="4"/>
      <c r="AF711" s="4"/>
      <c r="AG711" s="4"/>
      <c r="AH711" s="4"/>
      <c r="AI711" s="4"/>
      <c r="AJ711" s="76" t="str">
        <f>IF(E711="○",IF(COUNTA(E$13:E711)=1,"",",")&amp;D711,"")</f>
        <v/>
      </c>
      <c r="AK711" s="4"/>
      <c r="AL711" s="4"/>
      <c r="AM711" s="4"/>
      <c r="AN711" s="4"/>
      <c r="AO711" s="4"/>
      <c r="AP711" s="4"/>
      <c r="AQ711" s="4"/>
      <c r="AR711" s="4"/>
      <c r="AS711" s="76" t="str">
        <f>"COMMENT ON COLUMN "&amp;エンティティ一覧!$O$2&amp;"."&amp;D$8&amp;"."&amp;D711&amp;" IS '"&amp;C711&amp;"';"</f>
        <v>COMMENT ON COLUMN milscm_2023_009.sny_202310_annony_shikkan2.shikkan698_start_date IS 'I719_疾患開始日';</v>
      </c>
    </row>
    <row r="712" spans="1:45" s="25" customFormat="1">
      <c r="A712" s="4" t="s">
        <v>5784</v>
      </c>
      <c r="B712" s="21">
        <f t="shared" si="125"/>
        <v>700</v>
      </c>
      <c r="C712" s="13" t="str">
        <f t="shared" si="124"/>
        <v>I731_疾患開始日</v>
      </c>
      <c r="D712" s="13" t="s">
        <v>6359</v>
      </c>
      <c r="E712" s="8"/>
      <c r="F712" s="7" t="s">
        <v>4348</v>
      </c>
      <c r="G712" s="7" t="s">
        <v>25</v>
      </c>
      <c r="H712" s="58"/>
      <c r="I712" s="23"/>
      <c r="J712" s="24"/>
      <c r="M712" s="4"/>
      <c r="N712" s="76"/>
      <c r="O712" s="76"/>
      <c r="P712" s="76" t="str">
        <f t="shared" si="126"/>
        <v>,shikkan699_start_date</v>
      </c>
      <c r="Q712" s="76" t="str">
        <f t="shared" si="127"/>
        <v>DATE</v>
      </c>
      <c r="R712" s="76" t="str">
        <f t="shared" si="128"/>
        <v/>
      </c>
      <c r="S712" s="76" t="str">
        <f t="shared" si="129"/>
        <v/>
      </c>
      <c r="T712" s="76" t="str">
        <f t="shared" si="130"/>
        <v>-- I731_疾患開始日</v>
      </c>
      <c r="U712" s="4" t="str">
        <f t="shared" si="115"/>
        <v>, CASE WHEN shikkan_disp_name = 'I731' THEN min_shikkan_start_date ::DATE ELSE NULL END AS shikkan699_start_date</v>
      </c>
      <c r="V712" s="25" t="str">
        <f t="shared" si="116"/>
        <v>, max(shikkan699_start_date)</v>
      </c>
      <c r="AA712" s="4"/>
      <c r="AB712" s="4"/>
      <c r="AC712" s="4"/>
      <c r="AD712" s="4"/>
      <c r="AE712" s="4"/>
      <c r="AF712" s="4"/>
      <c r="AG712" s="4"/>
      <c r="AH712" s="4"/>
      <c r="AI712" s="4"/>
      <c r="AJ712" s="76" t="str">
        <f>IF(E712="○",IF(COUNTA(E$13:E712)=1,"",",")&amp;D712,"")</f>
        <v/>
      </c>
      <c r="AK712" s="4"/>
      <c r="AL712" s="4"/>
      <c r="AM712" s="4"/>
      <c r="AN712" s="4"/>
      <c r="AO712" s="4"/>
      <c r="AP712" s="4"/>
      <c r="AQ712" s="4"/>
      <c r="AR712" s="4"/>
      <c r="AS712" s="76" t="str">
        <f>"COMMENT ON COLUMN "&amp;エンティティ一覧!$O$2&amp;"."&amp;D$8&amp;"."&amp;D712&amp;" IS '"&amp;C712&amp;"';"</f>
        <v>COMMENT ON COLUMN milscm_2023_009.sny_202310_annony_shikkan2.shikkan699_start_date IS 'I731_疾患開始日';</v>
      </c>
    </row>
    <row r="713" spans="1:45" s="25" customFormat="1">
      <c r="A713" s="4" t="s">
        <v>5785</v>
      </c>
      <c r="B713" s="21">
        <f t="shared" si="125"/>
        <v>701</v>
      </c>
      <c r="C713" s="13" t="str">
        <f t="shared" si="124"/>
        <v>I738_疾患開始日</v>
      </c>
      <c r="D713" s="13" t="s">
        <v>6360</v>
      </c>
      <c r="E713" s="8"/>
      <c r="F713" s="7" t="s">
        <v>4348</v>
      </c>
      <c r="G713" s="7" t="s">
        <v>25</v>
      </c>
      <c r="H713" s="58"/>
      <c r="I713" s="23"/>
      <c r="J713" s="24"/>
      <c r="M713" s="4"/>
      <c r="N713" s="76"/>
      <c r="O713" s="76"/>
      <c r="P713" s="76" t="str">
        <f t="shared" si="126"/>
        <v>,shikkan700_start_date</v>
      </c>
      <c r="Q713" s="76" t="str">
        <f t="shared" si="127"/>
        <v>DATE</v>
      </c>
      <c r="R713" s="76" t="str">
        <f t="shared" si="128"/>
        <v/>
      </c>
      <c r="S713" s="76" t="str">
        <f t="shared" si="129"/>
        <v/>
      </c>
      <c r="T713" s="76" t="str">
        <f t="shared" si="130"/>
        <v>-- I738_疾患開始日</v>
      </c>
      <c r="U713" s="4" t="str">
        <f t="shared" si="115"/>
        <v>, CASE WHEN shikkan_disp_name = 'I738' THEN min_shikkan_start_date ::DATE ELSE NULL END AS shikkan700_start_date</v>
      </c>
      <c r="V713" s="25" t="str">
        <f t="shared" si="116"/>
        <v>, max(shikkan700_start_date)</v>
      </c>
      <c r="AA713" s="4"/>
      <c r="AB713" s="4"/>
      <c r="AC713" s="4"/>
      <c r="AD713" s="4"/>
      <c r="AE713" s="4"/>
      <c r="AF713" s="4"/>
      <c r="AG713" s="4"/>
      <c r="AH713" s="4"/>
      <c r="AI713" s="4"/>
      <c r="AJ713" s="76" t="str">
        <f>IF(E713="○",IF(COUNTA(E$13:E713)=1,"",",")&amp;D713,"")</f>
        <v/>
      </c>
      <c r="AK713" s="4"/>
      <c r="AL713" s="4"/>
      <c r="AM713" s="4"/>
      <c r="AN713" s="4"/>
      <c r="AO713" s="4"/>
      <c r="AP713" s="4"/>
      <c r="AQ713" s="4"/>
      <c r="AR713" s="4"/>
      <c r="AS713" s="76" t="str">
        <f>"COMMENT ON COLUMN "&amp;エンティティ一覧!$O$2&amp;"."&amp;D$8&amp;"."&amp;D713&amp;" IS '"&amp;C713&amp;"';"</f>
        <v>COMMENT ON COLUMN milscm_2023_009.sny_202310_annony_shikkan2.shikkan700_start_date IS 'I738_疾患開始日';</v>
      </c>
    </row>
    <row r="714" spans="1:45" s="25" customFormat="1">
      <c r="A714" s="4" t="s">
        <v>5786</v>
      </c>
      <c r="B714" s="21">
        <f t="shared" si="125"/>
        <v>702</v>
      </c>
      <c r="C714" s="13" t="str">
        <f t="shared" si="124"/>
        <v>I739_疾患開始日</v>
      </c>
      <c r="D714" s="13" t="s">
        <v>6361</v>
      </c>
      <c r="E714" s="8"/>
      <c r="F714" s="7" t="s">
        <v>4348</v>
      </c>
      <c r="G714" s="7" t="s">
        <v>25</v>
      </c>
      <c r="H714" s="58"/>
      <c r="I714" s="23"/>
      <c r="J714" s="24"/>
      <c r="M714" s="4"/>
      <c r="N714" s="76"/>
      <c r="O714" s="76"/>
      <c r="P714" s="76" t="str">
        <f t="shared" si="126"/>
        <v>,shikkan701_start_date</v>
      </c>
      <c r="Q714" s="76" t="str">
        <f t="shared" si="127"/>
        <v>DATE</v>
      </c>
      <c r="R714" s="76" t="str">
        <f t="shared" si="128"/>
        <v/>
      </c>
      <c r="S714" s="76" t="str">
        <f t="shared" si="129"/>
        <v/>
      </c>
      <c r="T714" s="76" t="str">
        <f t="shared" si="130"/>
        <v>-- I739_疾患開始日</v>
      </c>
      <c r="U714" s="4" t="str">
        <f t="shared" si="115"/>
        <v>, CASE WHEN shikkan_disp_name = 'I739' THEN min_shikkan_start_date ::DATE ELSE NULL END AS shikkan701_start_date</v>
      </c>
      <c r="V714" s="25" t="str">
        <f t="shared" si="116"/>
        <v>, max(shikkan701_start_date)</v>
      </c>
      <c r="AA714" s="4"/>
      <c r="AB714" s="4"/>
      <c r="AC714" s="4"/>
      <c r="AD714" s="4"/>
      <c r="AE714" s="4"/>
      <c r="AF714" s="4"/>
      <c r="AG714" s="4"/>
      <c r="AH714" s="4"/>
      <c r="AI714" s="4"/>
      <c r="AJ714" s="76" t="str">
        <f>IF(E714="○",IF(COUNTA(E$13:E714)=1,"",",")&amp;D714,"")</f>
        <v/>
      </c>
      <c r="AK714" s="4"/>
      <c r="AL714" s="4"/>
      <c r="AM714" s="4"/>
      <c r="AN714" s="4"/>
      <c r="AO714" s="4"/>
      <c r="AP714" s="4"/>
      <c r="AQ714" s="4"/>
      <c r="AR714" s="4"/>
      <c r="AS714" s="76" t="str">
        <f>"COMMENT ON COLUMN "&amp;エンティティ一覧!$O$2&amp;"."&amp;D$8&amp;"."&amp;D714&amp;" IS '"&amp;C714&amp;"';"</f>
        <v>COMMENT ON COLUMN milscm_2023_009.sny_202310_annony_shikkan2.shikkan701_start_date IS 'I739_疾患開始日';</v>
      </c>
    </row>
    <row r="715" spans="1:45" s="25" customFormat="1">
      <c r="A715" s="4" t="s">
        <v>5787</v>
      </c>
      <c r="B715" s="21">
        <f t="shared" si="125"/>
        <v>703</v>
      </c>
      <c r="C715" s="13" t="str">
        <f t="shared" si="124"/>
        <v>I771_疾患開始日</v>
      </c>
      <c r="D715" s="13" t="s">
        <v>6362</v>
      </c>
      <c r="E715" s="8"/>
      <c r="F715" s="7" t="s">
        <v>4348</v>
      </c>
      <c r="G715" s="7" t="s">
        <v>25</v>
      </c>
      <c r="H715" s="58"/>
      <c r="I715" s="23"/>
      <c r="J715" s="24"/>
      <c r="M715" s="4"/>
      <c r="N715" s="76"/>
      <c r="O715" s="76"/>
      <c r="P715" s="76" t="str">
        <f t="shared" si="126"/>
        <v>,shikkan702_start_date</v>
      </c>
      <c r="Q715" s="76" t="str">
        <f t="shared" si="127"/>
        <v>DATE</v>
      </c>
      <c r="R715" s="76" t="str">
        <f t="shared" si="128"/>
        <v/>
      </c>
      <c r="S715" s="76" t="str">
        <f t="shared" si="129"/>
        <v/>
      </c>
      <c r="T715" s="76" t="str">
        <f t="shared" si="130"/>
        <v>-- I771_疾患開始日</v>
      </c>
      <c r="U715" s="4" t="str">
        <f t="shared" si="115"/>
        <v>, CASE WHEN shikkan_disp_name = 'I771' THEN min_shikkan_start_date ::DATE ELSE NULL END AS shikkan702_start_date</v>
      </c>
      <c r="V715" s="25" t="str">
        <f t="shared" si="116"/>
        <v>, max(shikkan702_start_date)</v>
      </c>
      <c r="AA715" s="4"/>
      <c r="AB715" s="4"/>
      <c r="AC715" s="4"/>
      <c r="AD715" s="4"/>
      <c r="AE715" s="4"/>
      <c r="AF715" s="4"/>
      <c r="AG715" s="4"/>
      <c r="AH715" s="4"/>
      <c r="AI715" s="4"/>
      <c r="AJ715" s="76" t="str">
        <f>IF(E715="○",IF(COUNTA(E$13:E715)=1,"",",")&amp;D715,"")</f>
        <v/>
      </c>
      <c r="AK715" s="4"/>
      <c r="AL715" s="4"/>
      <c r="AM715" s="4"/>
      <c r="AN715" s="4"/>
      <c r="AO715" s="4"/>
      <c r="AP715" s="4"/>
      <c r="AQ715" s="4"/>
      <c r="AR715" s="4"/>
      <c r="AS715" s="76" t="str">
        <f>"COMMENT ON COLUMN "&amp;エンティティ一覧!$O$2&amp;"."&amp;D$8&amp;"."&amp;D715&amp;" IS '"&amp;C715&amp;"';"</f>
        <v>COMMENT ON COLUMN milscm_2023_009.sny_202310_annony_shikkan2.shikkan702_start_date IS 'I771_疾患開始日';</v>
      </c>
    </row>
    <row r="716" spans="1:45" s="25" customFormat="1">
      <c r="A716" s="4" t="s">
        <v>5788</v>
      </c>
      <c r="B716" s="21">
        <f t="shared" si="125"/>
        <v>704</v>
      </c>
      <c r="C716" s="13" t="str">
        <f t="shared" si="124"/>
        <v>I790_疾患開始日</v>
      </c>
      <c r="D716" s="13" t="s">
        <v>6363</v>
      </c>
      <c r="E716" s="8"/>
      <c r="F716" s="7" t="s">
        <v>4348</v>
      </c>
      <c r="G716" s="7" t="s">
        <v>99</v>
      </c>
      <c r="H716" s="58"/>
      <c r="I716" s="23"/>
      <c r="J716" s="24"/>
      <c r="M716" s="4"/>
      <c r="N716" s="76"/>
      <c r="O716" s="76"/>
      <c r="P716" s="76" t="str">
        <f t="shared" si="126"/>
        <v>,shikkan703_start_date</v>
      </c>
      <c r="Q716" s="76" t="str">
        <f t="shared" si="127"/>
        <v>DATE</v>
      </c>
      <c r="R716" s="76" t="str">
        <f t="shared" si="128"/>
        <v/>
      </c>
      <c r="S716" s="76" t="str">
        <f t="shared" si="129"/>
        <v/>
      </c>
      <c r="T716" s="76" t="str">
        <f t="shared" si="130"/>
        <v>-- I790_疾患開始日</v>
      </c>
      <c r="U716" s="4" t="str">
        <f t="shared" si="115"/>
        <v>, CASE WHEN shikkan_disp_name = 'I790' THEN min_shikkan_start_date ::DATE ELSE NULL END AS shikkan703_start_date</v>
      </c>
      <c r="V716" s="25" t="str">
        <f t="shared" si="116"/>
        <v>, max(shikkan703_start_date)</v>
      </c>
      <c r="AA716" s="4"/>
      <c r="AB716" s="4"/>
      <c r="AC716" s="4"/>
      <c r="AD716" s="4"/>
      <c r="AE716" s="4"/>
      <c r="AF716" s="4"/>
      <c r="AG716" s="4"/>
      <c r="AH716" s="4"/>
      <c r="AI716" s="4"/>
      <c r="AJ716" s="76" t="str">
        <f>IF(E716="○",IF(COUNTA(E$13:E716)=1,"",",")&amp;D716,"")</f>
        <v/>
      </c>
      <c r="AK716" s="4"/>
      <c r="AL716" s="4"/>
      <c r="AM716" s="4"/>
      <c r="AN716" s="4"/>
      <c r="AO716" s="4"/>
      <c r="AP716" s="4"/>
      <c r="AQ716" s="4"/>
      <c r="AR716" s="4"/>
      <c r="AS716" s="76" t="str">
        <f>"COMMENT ON COLUMN "&amp;エンティティ一覧!$O$2&amp;"."&amp;D$8&amp;"."&amp;D716&amp;" IS '"&amp;C716&amp;"';"</f>
        <v>COMMENT ON COLUMN milscm_2023_009.sny_202310_annony_shikkan2.shikkan703_start_date IS 'I790_疾患開始日';</v>
      </c>
    </row>
    <row r="717" spans="1:45" s="25" customFormat="1">
      <c r="A717" s="4" t="s">
        <v>5789</v>
      </c>
      <c r="B717" s="21">
        <f t="shared" si="125"/>
        <v>705</v>
      </c>
      <c r="C717" s="13" t="str">
        <f t="shared" si="124"/>
        <v>I792_疾患開始日</v>
      </c>
      <c r="D717" s="13" t="s">
        <v>6364</v>
      </c>
      <c r="E717" s="8"/>
      <c r="F717" s="7" t="s">
        <v>4348</v>
      </c>
      <c r="G717" s="7" t="s">
        <v>25</v>
      </c>
      <c r="H717" s="58"/>
      <c r="I717" s="23"/>
      <c r="J717" s="24"/>
      <c r="M717" s="4"/>
      <c r="N717" s="76"/>
      <c r="O717" s="76"/>
      <c r="P717" s="76" t="str">
        <f t="shared" si="126"/>
        <v>,shikkan704_start_date</v>
      </c>
      <c r="Q717" s="76" t="str">
        <f t="shared" si="127"/>
        <v>DATE</v>
      </c>
      <c r="R717" s="76" t="str">
        <f t="shared" si="128"/>
        <v/>
      </c>
      <c r="S717" s="76" t="str">
        <f t="shared" si="129"/>
        <v/>
      </c>
      <c r="T717" s="76" t="str">
        <f t="shared" si="130"/>
        <v>-- I792_疾患開始日</v>
      </c>
      <c r="U717" s="4" t="str">
        <f t="shared" si="115"/>
        <v>, CASE WHEN shikkan_disp_name = 'I792' THEN min_shikkan_start_date ::DATE ELSE NULL END AS shikkan704_start_date</v>
      </c>
      <c r="V717" s="25" t="str">
        <f t="shared" si="116"/>
        <v>, max(shikkan704_start_date)</v>
      </c>
      <c r="AA717" s="4"/>
      <c r="AB717" s="4"/>
      <c r="AC717" s="4"/>
      <c r="AD717" s="4"/>
      <c r="AE717" s="4"/>
      <c r="AF717" s="4"/>
      <c r="AG717" s="4"/>
      <c r="AH717" s="4"/>
      <c r="AI717" s="4"/>
      <c r="AJ717" s="76" t="str">
        <f>IF(E717="○",IF(COUNTA(E$13:E717)=1,"",",")&amp;D717,"")</f>
        <v/>
      </c>
      <c r="AK717" s="4"/>
      <c r="AL717" s="4"/>
      <c r="AM717" s="4"/>
      <c r="AN717" s="4"/>
      <c r="AO717" s="4"/>
      <c r="AP717" s="4"/>
      <c r="AQ717" s="4"/>
      <c r="AR717" s="4"/>
      <c r="AS717" s="76" t="str">
        <f>"COMMENT ON COLUMN "&amp;エンティティ一覧!$O$2&amp;"."&amp;D$8&amp;"."&amp;D717&amp;" IS '"&amp;C717&amp;"';"</f>
        <v>COMMENT ON COLUMN milscm_2023_009.sny_202310_annony_shikkan2.shikkan704_start_date IS 'I792_疾患開始日';</v>
      </c>
    </row>
    <row r="718" spans="1:45" s="25" customFormat="1">
      <c r="A718" s="4" t="s">
        <v>5790</v>
      </c>
      <c r="B718" s="21">
        <f t="shared" si="125"/>
        <v>706</v>
      </c>
      <c r="C718" s="13" t="str">
        <f t="shared" si="124"/>
        <v>I850_疾患開始日</v>
      </c>
      <c r="D718" s="13" t="s">
        <v>6365</v>
      </c>
      <c r="E718" s="8"/>
      <c r="F718" s="7" t="s">
        <v>4348</v>
      </c>
      <c r="G718" s="7" t="s">
        <v>25</v>
      </c>
      <c r="H718" s="58"/>
      <c r="I718" s="23"/>
      <c r="J718" s="24"/>
      <c r="M718" s="4"/>
      <c r="N718" s="76"/>
      <c r="O718" s="76"/>
      <c r="P718" s="76" t="str">
        <f t="shared" si="126"/>
        <v>,shikkan705_start_date</v>
      </c>
      <c r="Q718" s="76" t="str">
        <f t="shared" si="127"/>
        <v>DATE</v>
      </c>
      <c r="R718" s="76" t="str">
        <f t="shared" si="128"/>
        <v/>
      </c>
      <c r="S718" s="76" t="str">
        <f t="shared" si="129"/>
        <v/>
      </c>
      <c r="T718" s="76" t="str">
        <f t="shared" si="130"/>
        <v>-- I850_疾患開始日</v>
      </c>
      <c r="U718" s="4" t="str">
        <f t="shared" si="115"/>
        <v>, CASE WHEN shikkan_disp_name = 'I850' THEN min_shikkan_start_date ::DATE ELSE NULL END AS shikkan705_start_date</v>
      </c>
      <c r="V718" s="25" t="str">
        <f t="shared" si="116"/>
        <v>, max(shikkan705_start_date)</v>
      </c>
      <c r="AA718" s="4"/>
      <c r="AB718" s="4"/>
      <c r="AC718" s="4"/>
      <c r="AD718" s="4"/>
      <c r="AE718" s="4"/>
      <c r="AF718" s="4"/>
      <c r="AG718" s="4"/>
      <c r="AH718" s="4"/>
      <c r="AI718" s="4"/>
      <c r="AJ718" s="76" t="str">
        <f>IF(E718="○",IF(COUNTA(E$13:E718)=1,"",",")&amp;D718,"")</f>
        <v/>
      </c>
      <c r="AK718" s="4"/>
      <c r="AL718" s="4"/>
      <c r="AM718" s="4"/>
      <c r="AN718" s="4"/>
      <c r="AO718" s="4"/>
      <c r="AP718" s="4"/>
      <c r="AQ718" s="4"/>
      <c r="AR718" s="4"/>
      <c r="AS718" s="76" t="str">
        <f>"COMMENT ON COLUMN "&amp;エンティティ一覧!$O$2&amp;"."&amp;D$8&amp;"."&amp;D718&amp;" IS '"&amp;C718&amp;"';"</f>
        <v>COMMENT ON COLUMN milscm_2023_009.sny_202310_annony_shikkan2.shikkan705_start_date IS 'I850_疾患開始日';</v>
      </c>
    </row>
    <row r="719" spans="1:45" s="25" customFormat="1">
      <c r="A719" s="4" t="s">
        <v>5791</v>
      </c>
      <c r="B719" s="21">
        <f t="shared" si="125"/>
        <v>707</v>
      </c>
      <c r="C719" s="13" t="str">
        <f t="shared" ref="C719:C782" si="131">A719&amp;"_疾患開始日"</f>
        <v>I859_疾患開始日</v>
      </c>
      <c r="D719" s="13" t="s">
        <v>6366</v>
      </c>
      <c r="E719" s="8"/>
      <c r="F719" s="7" t="s">
        <v>4348</v>
      </c>
      <c r="G719" s="7" t="s">
        <v>25</v>
      </c>
      <c r="H719" s="58"/>
      <c r="I719" s="23"/>
      <c r="J719" s="24"/>
      <c r="M719" s="4"/>
      <c r="N719" s="76"/>
      <c r="O719" s="76"/>
      <c r="P719" s="76" t="str">
        <f t="shared" si="126"/>
        <v>,shikkan706_start_date</v>
      </c>
      <c r="Q719" s="76" t="str">
        <f t="shared" si="127"/>
        <v>DATE</v>
      </c>
      <c r="R719" s="76" t="str">
        <f t="shared" si="128"/>
        <v/>
      </c>
      <c r="S719" s="76" t="str">
        <f t="shared" si="129"/>
        <v/>
      </c>
      <c r="T719" s="76" t="str">
        <f t="shared" si="130"/>
        <v>-- I859_疾患開始日</v>
      </c>
      <c r="U719" s="4" t="str">
        <f t="shared" si="115"/>
        <v>, CASE WHEN shikkan_disp_name = 'I859' THEN min_shikkan_start_date ::DATE ELSE NULL END AS shikkan706_start_date</v>
      </c>
      <c r="V719" s="25" t="str">
        <f t="shared" si="116"/>
        <v>, max(shikkan706_start_date)</v>
      </c>
      <c r="AA719" s="4"/>
      <c r="AB719" s="4"/>
      <c r="AC719" s="4"/>
      <c r="AD719" s="4"/>
      <c r="AE719" s="4"/>
      <c r="AF719" s="4"/>
      <c r="AG719" s="4"/>
      <c r="AH719" s="4"/>
      <c r="AI719" s="4"/>
      <c r="AJ719" s="76" t="str">
        <f>IF(E719="○",IF(COUNTA(E$13:E719)=1,"",",")&amp;D719,"")</f>
        <v/>
      </c>
      <c r="AK719" s="4"/>
      <c r="AL719" s="4"/>
      <c r="AM719" s="4"/>
      <c r="AN719" s="4"/>
      <c r="AO719" s="4"/>
      <c r="AP719" s="4"/>
      <c r="AQ719" s="4"/>
      <c r="AR719" s="4"/>
      <c r="AS719" s="76" t="str">
        <f>"COMMENT ON COLUMN "&amp;エンティティ一覧!$O$2&amp;"."&amp;D$8&amp;"."&amp;D719&amp;" IS '"&amp;C719&amp;"';"</f>
        <v>COMMENT ON COLUMN milscm_2023_009.sny_202310_annony_shikkan2.shikkan706_start_date IS 'I859_疾患開始日';</v>
      </c>
    </row>
    <row r="720" spans="1:45" s="25" customFormat="1">
      <c r="A720" s="4" t="s">
        <v>5792</v>
      </c>
      <c r="B720" s="21">
        <f t="shared" si="125"/>
        <v>708</v>
      </c>
      <c r="C720" s="13" t="str">
        <f t="shared" si="131"/>
        <v>I864_疾患開始日</v>
      </c>
      <c r="D720" s="13" t="s">
        <v>6367</v>
      </c>
      <c r="E720" s="8"/>
      <c r="F720" s="7" t="s">
        <v>4348</v>
      </c>
      <c r="G720" s="7" t="s">
        <v>25</v>
      </c>
      <c r="H720" s="58"/>
      <c r="I720" s="23"/>
      <c r="J720" s="24"/>
      <c r="M720" s="4"/>
      <c r="N720" s="76"/>
      <c r="O720" s="76"/>
      <c r="P720" s="76" t="str">
        <f t="shared" si="126"/>
        <v>,shikkan707_start_date</v>
      </c>
      <c r="Q720" s="76" t="str">
        <f t="shared" si="127"/>
        <v>DATE</v>
      </c>
      <c r="R720" s="76" t="str">
        <f t="shared" si="128"/>
        <v/>
      </c>
      <c r="S720" s="76" t="str">
        <f t="shared" si="129"/>
        <v/>
      </c>
      <c r="T720" s="76" t="str">
        <f t="shared" si="130"/>
        <v>-- I864_疾患開始日</v>
      </c>
      <c r="U720" s="4" t="str">
        <f t="shared" si="115"/>
        <v>, CASE WHEN shikkan_disp_name = 'I864' THEN min_shikkan_start_date ::DATE ELSE NULL END AS shikkan707_start_date</v>
      </c>
      <c r="V720" s="25" t="str">
        <f t="shared" si="116"/>
        <v>, max(shikkan707_start_date)</v>
      </c>
      <c r="AA720" s="4"/>
      <c r="AB720" s="4"/>
      <c r="AC720" s="4"/>
      <c r="AD720" s="4"/>
      <c r="AE720" s="4"/>
      <c r="AF720" s="4"/>
      <c r="AG720" s="4"/>
      <c r="AH720" s="4"/>
      <c r="AI720" s="4"/>
      <c r="AJ720" s="76" t="str">
        <f>IF(E720="○",IF(COUNTA(E$13:E720)=1,"",",")&amp;D720,"")</f>
        <v/>
      </c>
      <c r="AK720" s="4"/>
      <c r="AL720" s="4"/>
      <c r="AM720" s="4"/>
      <c r="AN720" s="4"/>
      <c r="AO720" s="4"/>
      <c r="AP720" s="4"/>
      <c r="AQ720" s="4"/>
      <c r="AR720" s="4"/>
      <c r="AS720" s="76" t="str">
        <f>"COMMENT ON COLUMN "&amp;エンティティ一覧!$O$2&amp;"."&amp;D$8&amp;"."&amp;D720&amp;" IS '"&amp;C720&amp;"';"</f>
        <v>COMMENT ON COLUMN milscm_2023_009.sny_202310_annony_shikkan2.shikkan707_start_date IS 'I864_疾患開始日';</v>
      </c>
    </row>
    <row r="721" spans="1:45" s="25" customFormat="1">
      <c r="A721" s="4" t="s">
        <v>5793</v>
      </c>
      <c r="B721" s="21">
        <f t="shared" ref="B721:B784" si="132">ROW()-12</f>
        <v>709</v>
      </c>
      <c r="C721" s="13" t="str">
        <f t="shared" si="131"/>
        <v>I982_疾患開始日</v>
      </c>
      <c r="D721" s="13" t="s">
        <v>6368</v>
      </c>
      <c r="E721" s="8"/>
      <c r="F721" s="7" t="s">
        <v>4348</v>
      </c>
      <c r="G721" s="7" t="s">
        <v>25</v>
      </c>
      <c r="H721" s="58"/>
      <c r="I721" s="23"/>
      <c r="J721" s="24"/>
      <c r="M721" s="4"/>
      <c r="N721" s="76"/>
      <c r="O721" s="76"/>
      <c r="P721" s="76" t="str">
        <f t="shared" si="126"/>
        <v>,shikkan708_start_date</v>
      </c>
      <c r="Q721" s="76" t="str">
        <f t="shared" si="127"/>
        <v>DATE</v>
      </c>
      <c r="R721" s="76" t="str">
        <f t="shared" si="128"/>
        <v/>
      </c>
      <c r="S721" s="76" t="str">
        <f t="shared" si="129"/>
        <v/>
      </c>
      <c r="T721" s="76" t="str">
        <f t="shared" si="130"/>
        <v>-- I982_疾患開始日</v>
      </c>
      <c r="U721" s="4" t="str">
        <f t="shared" si="115"/>
        <v>, CASE WHEN shikkan_disp_name = 'I982' THEN min_shikkan_start_date ::DATE ELSE NULL END AS shikkan708_start_date</v>
      </c>
      <c r="V721" s="25" t="str">
        <f t="shared" si="116"/>
        <v>, max(shikkan708_start_date)</v>
      </c>
      <c r="AA721" s="4"/>
      <c r="AB721" s="4"/>
      <c r="AC721" s="4"/>
      <c r="AD721" s="4"/>
      <c r="AE721" s="4"/>
      <c r="AF721" s="4"/>
      <c r="AG721" s="4"/>
      <c r="AH721" s="4"/>
      <c r="AI721" s="4"/>
      <c r="AJ721" s="76" t="str">
        <f>IF(E721="○",IF(COUNTA(E$13:E721)=1,"",",")&amp;D721,"")</f>
        <v/>
      </c>
      <c r="AK721" s="4"/>
      <c r="AL721" s="4"/>
      <c r="AM721" s="4"/>
      <c r="AN721" s="4"/>
      <c r="AO721" s="4"/>
      <c r="AP721" s="4"/>
      <c r="AQ721" s="4"/>
      <c r="AR721" s="4"/>
      <c r="AS721" s="76" t="str">
        <f>"COMMENT ON COLUMN "&amp;エンティティ一覧!$O$2&amp;"."&amp;D$8&amp;"."&amp;D721&amp;" IS '"&amp;C721&amp;"';"</f>
        <v>COMMENT ON COLUMN milscm_2023_009.sny_202310_annony_shikkan2.shikkan708_start_date IS 'I982_疾患開始日';</v>
      </c>
    </row>
    <row r="722" spans="1:45" s="25" customFormat="1">
      <c r="A722" s="4" t="s">
        <v>5064</v>
      </c>
      <c r="B722" s="21">
        <f t="shared" si="132"/>
        <v>710</v>
      </c>
      <c r="C722" s="13" t="str">
        <f t="shared" si="131"/>
        <v>J40_疾患開始日</v>
      </c>
      <c r="D722" s="13" t="s">
        <v>6369</v>
      </c>
      <c r="E722" s="8"/>
      <c r="F722" s="7" t="s">
        <v>4348</v>
      </c>
      <c r="G722" s="7" t="s">
        <v>25</v>
      </c>
      <c r="H722" s="58"/>
      <c r="I722" s="23"/>
      <c r="J722" s="24"/>
      <c r="M722" s="4"/>
      <c r="N722" s="76"/>
      <c r="O722" s="76"/>
      <c r="P722" s="76" t="str">
        <f t="shared" si="126"/>
        <v>,shikkan709_start_date</v>
      </c>
      <c r="Q722" s="76" t="str">
        <f t="shared" si="127"/>
        <v>DATE</v>
      </c>
      <c r="R722" s="76" t="str">
        <f t="shared" si="128"/>
        <v/>
      </c>
      <c r="S722" s="76" t="str">
        <f t="shared" si="129"/>
        <v/>
      </c>
      <c r="T722" s="76" t="str">
        <f t="shared" si="130"/>
        <v>-- J40_疾患開始日</v>
      </c>
      <c r="U722" s="4" t="str">
        <f t="shared" si="115"/>
        <v>, CASE WHEN shikkan_disp_name = 'J40' THEN min_shikkan_start_date ::DATE ELSE NULL END AS shikkan709_start_date</v>
      </c>
      <c r="V722" s="25" t="str">
        <f t="shared" si="116"/>
        <v>, max(shikkan709_start_date)</v>
      </c>
      <c r="AA722" s="4"/>
      <c r="AB722" s="4"/>
      <c r="AC722" s="4"/>
      <c r="AD722" s="4"/>
      <c r="AE722" s="4"/>
      <c r="AF722" s="4"/>
      <c r="AG722" s="4"/>
      <c r="AH722" s="4"/>
      <c r="AI722" s="4"/>
      <c r="AJ722" s="76" t="str">
        <f>IF(E722="○",IF(COUNTA(E$13:E722)=1,"",",")&amp;D722,"")</f>
        <v/>
      </c>
      <c r="AK722" s="4"/>
      <c r="AL722" s="4"/>
      <c r="AM722" s="4"/>
      <c r="AN722" s="4"/>
      <c r="AO722" s="4"/>
      <c r="AP722" s="4"/>
      <c r="AQ722" s="4"/>
      <c r="AR722" s="4"/>
      <c r="AS722" s="76" t="str">
        <f>"COMMENT ON COLUMN "&amp;エンティティ一覧!$O$2&amp;"."&amp;D$8&amp;"."&amp;D722&amp;" IS '"&amp;C722&amp;"';"</f>
        <v>COMMENT ON COLUMN milscm_2023_009.sny_202310_annony_shikkan2.shikkan709_start_date IS 'J40_疾患開始日';</v>
      </c>
    </row>
    <row r="723" spans="1:45" s="25" customFormat="1">
      <c r="A723" s="4" t="s">
        <v>5794</v>
      </c>
      <c r="B723" s="21">
        <f t="shared" si="132"/>
        <v>711</v>
      </c>
      <c r="C723" s="13" t="str">
        <f t="shared" si="131"/>
        <v>J410_疾患開始日</v>
      </c>
      <c r="D723" s="13" t="s">
        <v>6370</v>
      </c>
      <c r="E723" s="8"/>
      <c r="F723" s="7" t="s">
        <v>4348</v>
      </c>
      <c r="G723" s="7" t="s">
        <v>25</v>
      </c>
      <c r="H723" s="58"/>
      <c r="I723" s="23"/>
      <c r="J723" s="24"/>
      <c r="M723" s="4"/>
      <c r="N723" s="76"/>
      <c r="O723" s="76"/>
      <c r="P723" s="76" t="str">
        <f t="shared" si="126"/>
        <v>,shikkan710_start_date</v>
      </c>
      <c r="Q723" s="76" t="str">
        <f t="shared" si="127"/>
        <v>DATE</v>
      </c>
      <c r="R723" s="76" t="str">
        <f t="shared" si="128"/>
        <v/>
      </c>
      <c r="S723" s="76" t="str">
        <f t="shared" si="129"/>
        <v/>
      </c>
      <c r="T723" s="76" t="str">
        <f t="shared" si="130"/>
        <v>-- J410_疾患開始日</v>
      </c>
      <c r="U723" s="4" t="str">
        <f t="shared" si="115"/>
        <v>, CASE WHEN shikkan_disp_name = 'J410' THEN min_shikkan_start_date ::DATE ELSE NULL END AS shikkan710_start_date</v>
      </c>
      <c r="V723" s="25" t="str">
        <f t="shared" si="116"/>
        <v>, max(shikkan710_start_date)</v>
      </c>
      <c r="AA723" s="4"/>
      <c r="AB723" s="4"/>
      <c r="AC723" s="4"/>
      <c r="AD723" s="4"/>
      <c r="AE723" s="4"/>
      <c r="AF723" s="4"/>
      <c r="AG723" s="4"/>
      <c r="AH723" s="4"/>
      <c r="AI723" s="4"/>
      <c r="AJ723" s="76" t="str">
        <f>IF(E723="○",IF(COUNTA(E$13:E723)=1,"",",")&amp;D723,"")</f>
        <v/>
      </c>
      <c r="AK723" s="4"/>
      <c r="AL723" s="4"/>
      <c r="AM723" s="4"/>
      <c r="AN723" s="4"/>
      <c r="AO723" s="4"/>
      <c r="AP723" s="4"/>
      <c r="AQ723" s="4"/>
      <c r="AR723" s="4"/>
      <c r="AS723" s="76" t="str">
        <f>"COMMENT ON COLUMN "&amp;エンティティ一覧!$O$2&amp;"."&amp;D$8&amp;"."&amp;D723&amp;" IS '"&amp;C723&amp;"';"</f>
        <v>COMMENT ON COLUMN milscm_2023_009.sny_202310_annony_shikkan2.shikkan710_start_date IS 'J410_疾患開始日';</v>
      </c>
    </row>
    <row r="724" spans="1:45" s="25" customFormat="1">
      <c r="A724" s="4" t="s">
        <v>5795</v>
      </c>
      <c r="B724" s="21">
        <f t="shared" si="132"/>
        <v>712</v>
      </c>
      <c r="C724" s="13" t="str">
        <f t="shared" si="131"/>
        <v>J411_疾患開始日</v>
      </c>
      <c r="D724" s="13" t="s">
        <v>6371</v>
      </c>
      <c r="E724" s="8"/>
      <c r="F724" s="7" t="s">
        <v>4348</v>
      </c>
      <c r="G724" s="7" t="s">
        <v>25</v>
      </c>
      <c r="H724" s="58"/>
      <c r="I724" s="23"/>
      <c r="J724" s="24"/>
      <c r="M724" s="4"/>
      <c r="N724" s="76"/>
      <c r="O724" s="76"/>
      <c r="P724" s="76" t="str">
        <f t="shared" si="126"/>
        <v>,shikkan711_start_date</v>
      </c>
      <c r="Q724" s="76" t="str">
        <f t="shared" si="127"/>
        <v>DATE</v>
      </c>
      <c r="R724" s="76" t="str">
        <f t="shared" si="128"/>
        <v/>
      </c>
      <c r="S724" s="76" t="str">
        <f t="shared" si="129"/>
        <v/>
      </c>
      <c r="T724" s="76" t="str">
        <f t="shared" si="130"/>
        <v>-- J411_疾患開始日</v>
      </c>
      <c r="U724" s="4" t="str">
        <f t="shared" si="115"/>
        <v>, CASE WHEN shikkan_disp_name = 'J411' THEN min_shikkan_start_date ::DATE ELSE NULL END AS shikkan711_start_date</v>
      </c>
      <c r="V724" s="25" t="str">
        <f t="shared" si="116"/>
        <v>, max(shikkan711_start_date)</v>
      </c>
      <c r="AA724" s="4"/>
      <c r="AB724" s="4"/>
      <c r="AC724" s="4"/>
      <c r="AD724" s="4"/>
      <c r="AE724" s="4"/>
      <c r="AF724" s="4"/>
      <c r="AG724" s="4"/>
      <c r="AH724" s="4"/>
      <c r="AI724" s="4"/>
      <c r="AJ724" s="76" t="str">
        <f>IF(E724="○",IF(COUNTA(E$13:E724)=1,"",",")&amp;D724,"")</f>
        <v/>
      </c>
      <c r="AK724" s="4"/>
      <c r="AL724" s="4"/>
      <c r="AM724" s="4"/>
      <c r="AN724" s="4"/>
      <c r="AO724" s="4"/>
      <c r="AP724" s="4"/>
      <c r="AQ724" s="4"/>
      <c r="AR724" s="4"/>
      <c r="AS724" s="76" t="str">
        <f>"COMMENT ON COLUMN "&amp;エンティティ一覧!$O$2&amp;"."&amp;D$8&amp;"."&amp;D724&amp;" IS '"&amp;C724&amp;"';"</f>
        <v>COMMENT ON COLUMN milscm_2023_009.sny_202310_annony_shikkan2.shikkan711_start_date IS 'J411_疾患開始日';</v>
      </c>
    </row>
    <row r="725" spans="1:45" s="25" customFormat="1">
      <c r="A725" s="4" t="s">
        <v>5796</v>
      </c>
      <c r="B725" s="21">
        <f t="shared" si="132"/>
        <v>713</v>
      </c>
      <c r="C725" s="13" t="str">
        <f t="shared" si="131"/>
        <v>J418_疾患開始日</v>
      </c>
      <c r="D725" s="13" t="s">
        <v>6372</v>
      </c>
      <c r="E725" s="8"/>
      <c r="F725" s="7" t="s">
        <v>4348</v>
      </c>
      <c r="G725" s="7" t="s">
        <v>25</v>
      </c>
      <c r="H725" s="58"/>
      <c r="I725" s="23"/>
      <c r="J725" s="24"/>
      <c r="M725" s="4"/>
      <c r="N725" s="76"/>
      <c r="O725" s="76"/>
      <c r="P725" s="76" t="str">
        <f t="shared" si="126"/>
        <v>,shikkan712_start_date</v>
      </c>
      <c r="Q725" s="76" t="str">
        <f t="shared" si="127"/>
        <v>DATE</v>
      </c>
      <c r="R725" s="76" t="str">
        <f t="shared" si="128"/>
        <v/>
      </c>
      <c r="S725" s="76" t="str">
        <f t="shared" si="129"/>
        <v/>
      </c>
      <c r="T725" s="76" t="str">
        <f t="shared" si="130"/>
        <v>-- J418_疾患開始日</v>
      </c>
      <c r="U725" s="4" t="str">
        <f t="shared" si="115"/>
        <v>, CASE WHEN shikkan_disp_name = 'J418' THEN min_shikkan_start_date ::DATE ELSE NULL END AS shikkan712_start_date</v>
      </c>
      <c r="V725" s="25" t="str">
        <f t="shared" si="116"/>
        <v>, max(shikkan712_start_date)</v>
      </c>
      <c r="AA725" s="4"/>
      <c r="AB725" s="4"/>
      <c r="AC725" s="4"/>
      <c r="AD725" s="4"/>
      <c r="AE725" s="4"/>
      <c r="AF725" s="4"/>
      <c r="AG725" s="4"/>
      <c r="AH725" s="4"/>
      <c r="AI725" s="4"/>
      <c r="AJ725" s="76" t="str">
        <f>IF(E725="○",IF(COUNTA(E$13:E725)=1,"",",")&amp;D725,"")</f>
        <v/>
      </c>
      <c r="AK725" s="4"/>
      <c r="AL725" s="4"/>
      <c r="AM725" s="4"/>
      <c r="AN725" s="4"/>
      <c r="AO725" s="4"/>
      <c r="AP725" s="4"/>
      <c r="AQ725" s="4"/>
      <c r="AR725" s="4"/>
      <c r="AS725" s="76" t="str">
        <f>"COMMENT ON COLUMN "&amp;エンティティ一覧!$O$2&amp;"."&amp;D$8&amp;"."&amp;D725&amp;" IS '"&amp;C725&amp;"';"</f>
        <v>COMMENT ON COLUMN milscm_2023_009.sny_202310_annony_shikkan2.shikkan712_start_date IS 'J418_疾患開始日';</v>
      </c>
    </row>
    <row r="726" spans="1:45" s="25" customFormat="1">
      <c r="A726" s="4" t="s">
        <v>5065</v>
      </c>
      <c r="B726" s="21">
        <f t="shared" si="132"/>
        <v>714</v>
      </c>
      <c r="C726" s="13" t="str">
        <f t="shared" si="131"/>
        <v>J42_疾患開始日</v>
      </c>
      <c r="D726" s="13" t="s">
        <v>6373</v>
      </c>
      <c r="E726" s="8"/>
      <c r="F726" s="7" t="s">
        <v>4348</v>
      </c>
      <c r="G726" s="7" t="s">
        <v>25</v>
      </c>
      <c r="H726" s="58"/>
      <c r="I726" s="23"/>
      <c r="J726" s="24"/>
      <c r="M726" s="4"/>
      <c r="N726" s="76"/>
      <c r="O726" s="76"/>
      <c r="P726" s="76" t="str">
        <f t="shared" si="126"/>
        <v>,shikkan713_start_date</v>
      </c>
      <c r="Q726" s="76" t="str">
        <f t="shared" si="127"/>
        <v>DATE</v>
      </c>
      <c r="R726" s="76" t="str">
        <f t="shared" si="128"/>
        <v/>
      </c>
      <c r="S726" s="76" t="str">
        <f t="shared" si="129"/>
        <v/>
      </c>
      <c r="T726" s="76" t="str">
        <f t="shared" si="130"/>
        <v>-- J42_疾患開始日</v>
      </c>
      <c r="U726" s="4" t="str">
        <f t="shared" si="115"/>
        <v>, CASE WHEN shikkan_disp_name = 'J42' THEN min_shikkan_start_date ::DATE ELSE NULL END AS shikkan713_start_date</v>
      </c>
      <c r="V726" s="25" t="str">
        <f t="shared" si="116"/>
        <v>, max(shikkan713_start_date)</v>
      </c>
      <c r="AA726" s="4"/>
      <c r="AB726" s="4"/>
      <c r="AC726" s="4"/>
      <c r="AD726" s="4"/>
      <c r="AE726" s="4"/>
      <c r="AF726" s="4"/>
      <c r="AG726" s="4"/>
      <c r="AH726" s="4"/>
      <c r="AI726" s="4"/>
      <c r="AJ726" s="76" t="str">
        <f>IF(E726="○",IF(COUNTA(E$13:E726)=1,"",",")&amp;D726,"")</f>
        <v/>
      </c>
      <c r="AK726" s="4"/>
      <c r="AL726" s="4"/>
      <c r="AM726" s="4"/>
      <c r="AN726" s="4"/>
      <c r="AO726" s="4"/>
      <c r="AP726" s="4"/>
      <c r="AQ726" s="4"/>
      <c r="AR726" s="4"/>
      <c r="AS726" s="76" t="str">
        <f>"COMMENT ON COLUMN "&amp;エンティティ一覧!$O$2&amp;"."&amp;D$8&amp;"."&amp;D726&amp;" IS '"&amp;C726&amp;"';"</f>
        <v>COMMENT ON COLUMN milscm_2023_009.sny_202310_annony_shikkan2.shikkan713_start_date IS 'J42_疾患開始日';</v>
      </c>
    </row>
    <row r="727" spans="1:45" s="25" customFormat="1">
      <c r="A727" s="4" t="s">
        <v>5797</v>
      </c>
      <c r="B727" s="21">
        <f t="shared" si="132"/>
        <v>715</v>
      </c>
      <c r="C727" s="13" t="str">
        <f t="shared" si="131"/>
        <v>J430_疾患開始日</v>
      </c>
      <c r="D727" s="13" t="s">
        <v>6374</v>
      </c>
      <c r="E727" s="8"/>
      <c r="F727" s="7" t="s">
        <v>4348</v>
      </c>
      <c r="G727" s="7" t="s">
        <v>25</v>
      </c>
      <c r="H727" s="58"/>
      <c r="I727" s="23"/>
      <c r="J727" s="24"/>
      <c r="M727" s="4"/>
      <c r="N727" s="76"/>
      <c r="O727" s="76"/>
      <c r="P727" s="76" t="str">
        <f t="shared" si="126"/>
        <v>,shikkan714_start_date</v>
      </c>
      <c r="Q727" s="76" t="str">
        <f t="shared" si="127"/>
        <v>DATE</v>
      </c>
      <c r="R727" s="76" t="str">
        <f t="shared" si="128"/>
        <v/>
      </c>
      <c r="S727" s="76" t="str">
        <f t="shared" si="129"/>
        <v/>
      </c>
      <c r="T727" s="76" t="str">
        <f t="shared" si="130"/>
        <v>-- J430_疾患開始日</v>
      </c>
      <c r="U727" s="4" t="str">
        <f t="shared" si="115"/>
        <v>, CASE WHEN shikkan_disp_name = 'J430' THEN min_shikkan_start_date ::DATE ELSE NULL END AS shikkan714_start_date</v>
      </c>
      <c r="V727" s="25" t="str">
        <f t="shared" si="116"/>
        <v>, max(shikkan714_start_date)</v>
      </c>
      <c r="AA727" s="4"/>
      <c r="AB727" s="4"/>
      <c r="AC727" s="4"/>
      <c r="AD727" s="4"/>
      <c r="AE727" s="4"/>
      <c r="AF727" s="4"/>
      <c r="AG727" s="4"/>
      <c r="AH727" s="4"/>
      <c r="AI727" s="4"/>
      <c r="AJ727" s="76" t="str">
        <f>IF(E727="○",IF(COUNTA(E$13:E727)=1,"",",")&amp;D727,"")</f>
        <v/>
      </c>
      <c r="AK727" s="4"/>
      <c r="AL727" s="4"/>
      <c r="AM727" s="4"/>
      <c r="AN727" s="4"/>
      <c r="AO727" s="4"/>
      <c r="AP727" s="4"/>
      <c r="AQ727" s="4"/>
      <c r="AR727" s="4"/>
      <c r="AS727" s="76" t="str">
        <f>"COMMENT ON COLUMN "&amp;エンティティ一覧!$O$2&amp;"."&amp;D$8&amp;"."&amp;D727&amp;" IS '"&amp;C727&amp;"';"</f>
        <v>COMMENT ON COLUMN milscm_2023_009.sny_202310_annony_shikkan2.shikkan714_start_date IS 'J430_疾患開始日';</v>
      </c>
    </row>
    <row r="728" spans="1:45" s="25" customFormat="1">
      <c r="A728" s="4" t="s">
        <v>5798</v>
      </c>
      <c r="B728" s="21">
        <f t="shared" si="132"/>
        <v>716</v>
      </c>
      <c r="C728" s="13" t="str">
        <f t="shared" si="131"/>
        <v>J431_疾患開始日</v>
      </c>
      <c r="D728" s="13" t="s">
        <v>6375</v>
      </c>
      <c r="E728" s="8"/>
      <c r="F728" s="7" t="s">
        <v>4348</v>
      </c>
      <c r="G728" s="7" t="s">
        <v>25</v>
      </c>
      <c r="H728" s="58"/>
      <c r="I728" s="23"/>
      <c r="J728" s="24"/>
      <c r="M728" s="4"/>
      <c r="N728" s="76"/>
      <c r="O728" s="76"/>
      <c r="P728" s="76" t="str">
        <f t="shared" si="126"/>
        <v>,shikkan715_start_date</v>
      </c>
      <c r="Q728" s="76" t="str">
        <f t="shared" si="127"/>
        <v>DATE</v>
      </c>
      <c r="R728" s="76" t="str">
        <f t="shared" si="128"/>
        <v/>
      </c>
      <c r="S728" s="76" t="str">
        <f t="shared" si="129"/>
        <v/>
      </c>
      <c r="T728" s="76" t="str">
        <f t="shared" si="130"/>
        <v>-- J431_疾患開始日</v>
      </c>
      <c r="U728" s="4" t="str">
        <f t="shared" si="115"/>
        <v>, CASE WHEN shikkan_disp_name = 'J431' THEN min_shikkan_start_date ::DATE ELSE NULL END AS shikkan715_start_date</v>
      </c>
      <c r="V728" s="25" t="str">
        <f t="shared" si="116"/>
        <v>, max(shikkan715_start_date)</v>
      </c>
      <c r="AA728" s="4"/>
      <c r="AB728" s="4"/>
      <c r="AC728" s="4"/>
      <c r="AD728" s="4"/>
      <c r="AE728" s="4"/>
      <c r="AF728" s="4"/>
      <c r="AG728" s="4"/>
      <c r="AH728" s="4"/>
      <c r="AI728" s="4"/>
      <c r="AJ728" s="76" t="str">
        <f>IF(E728="○",IF(COUNTA(E$13:E728)=1,"",",")&amp;D728,"")</f>
        <v/>
      </c>
      <c r="AK728" s="4"/>
      <c r="AL728" s="4"/>
      <c r="AM728" s="4"/>
      <c r="AN728" s="4"/>
      <c r="AO728" s="4"/>
      <c r="AP728" s="4"/>
      <c r="AQ728" s="4"/>
      <c r="AR728" s="4"/>
      <c r="AS728" s="76" t="str">
        <f>"COMMENT ON COLUMN "&amp;エンティティ一覧!$O$2&amp;"."&amp;D$8&amp;"."&amp;D728&amp;" IS '"&amp;C728&amp;"';"</f>
        <v>COMMENT ON COLUMN milscm_2023_009.sny_202310_annony_shikkan2.shikkan715_start_date IS 'J431_疾患開始日';</v>
      </c>
    </row>
    <row r="729" spans="1:45" s="25" customFormat="1">
      <c r="A729" s="4" t="s">
        <v>5799</v>
      </c>
      <c r="B729" s="21">
        <f t="shared" si="132"/>
        <v>717</v>
      </c>
      <c r="C729" s="13" t="str">
        <f t="shared" si="131"/>
        <v>J432_疾患開始日</v>
      </c>
      <c r="D729" s="13" t="s">
        <v>6376</v>
      </c>
      <c r="E729" s="8"/>
      <c r="F729" s="7" t="s">
        <v>4348</v>
      </c>
      <c r="G729" s="7" t="s">
        <v>25</v>
      </c>
      <c r="H729" s="58"/>
      <c r="I729" s="23"/>
      <c r="J729" s="24"/>
      <c r="M729" s="4"/>
      <c r="N729" s="76"/>
      <c r="O729" s="76"/>
      <c r="P729" s="76" t="str">
        <f t="shared" si="126"/>
        <v>,shikkan716_start_date</v>
      </c>
      <c r="Q729" s="76" t="str">
        <f t="shared" si="127"/>
        <v>DATE</v>
      </c>
      <c r="R729" s="76" t="str">
        <f t="shared" si="128"/>
        <v/>
      </c>
      <c r="S729" s="76" t="str">
        <f t="shared" si="129"/>
        <v/>
      </c>
      <c r="T729" s="76" t="str">
        <f t="shared" si="130"/>
        <v>-- J432_疾患開始日</v>
      </c>
      <c r="U729" s="4" t="str">
        <f t="shared" si="115"/>
        <v>, CASE WHEN shikkan_disp_name = 'J432' THEN min_shikkan_start_date ::DATE ELSE NULL END AS shikkan716_start_date</v>
      </c>
      <c r="V729" s="25" t="str">
        <f t="shared" si="116"/>
        <v>, max(shikkan716_start_date)</v>
      </c>
      <c r="AA729" s="4"/>
      <c r="AB729" s="4"/>
      <c r="AC729" s="4"/>
      <c r="AD729" s="4"/>
      <c r="AE729" s="4"/>
      <c r="AF729" s="4"/>
      <c r="AG729" s="4"/>
      <c r="AH729" s="4"/>
      <c r="AI729" s="4"/>
      <c r="AJ729" s="76" t="str">
        <f>IF(E729="○",IF(COUNTA(E$13:E729)=1,"",",")&amp;D729,"")</f>
        <v/>
      </c>
      <c r="AK729" s="4"/>
      <c r="AL729" s="4"/>
      <c r="AM729" s="4"/>
      <c r="AN729" s="4"/>
      <c r="AO729" s="4"/>
      <c r="AP729" s="4"/>
      <c r="AQ729" s="4"/>
      <c r="AR729" s="4"/>
      <c r="AS729" s="76" t="str">
        <f>"COMMENT ON COLUMN "&amp;エンティティ一覧!$O$2&amp;"."&amp;D$8&amp;"."&amp;D729&amp;" IS '"&amp;C729&amp;"';"</f>
        <v>COMMENT ON COLUMN milscm_2023_009.sny_202310_annony_shikkan2.shikkan716_start_date IS 'J432_疾患開始日';</v>
      </c>
    </row>
    <row r="730" spans="1:45" s="25" customFormat="1">
      <c r="A730" s="4" t="s">
        <v>5800</v>
      </c>
      <c r="B730" s="21">
        <f t="shared" si="132"/>
        <v>718</v>
      </c>
      <c r="C730" s="13" t="str">
        <f t="shared" si="131"/>
        <v>J438_疾患開始日</v>
      </c>
      <c r="D730" s="13" t="s">
        <v>6377</v>
      </c>
      <c r="E730" s="8"/>
      <c r="F730" s="7" t="s">
        <v>4348</v>
      </c>
      <c r="G730" s="7" t="s">
        <v>25</v>
      </c>
      <c r="H730" s="58"/>
      <c r="I730" s="23"/>
      <c r="J730" s="24"/>
      <c r="M730" s="4"/>
      <c r="N730" s="76"/>
      <c r="O730" s="76"/>
      <c r="P730" s="76" t="str">
        <f t="shared" si="126"/>
        <v>,shikkan717_start_date</v>
      </c>
      <c r="Q730" s="76" t="str">
        <f t="shared" si="127"/>
        <v>DATE</v>
      </c>
      <c r="R730" s="76" t="str">
        <f t="shared" si="128"/>
        <v/>
      </c>
      <c r="S730" s="76" t="str">
        <f t="shared" si="129"/>
        <v/>
      </c>
      <c r="T730" s="76" t="str">
        <f t="shared" si="130"/>
        <v>-- J438_疾患開始日</v>
      </c>
      <c r="U730" s="4" t="str">
        <f t="shared" si="115"/>
        <v>, CASE WHEN shikkan_disp_name = 'J438' THEN min_shikkan_start_date ::DATE ELSE NULL END AS shikkan717_start_date</v>
      </c>
      <c r="V730" s="25" t="str">
        <f t="shared" si="116"/>
        <v>, max(shikkan717_start_date)</v>
      </c>
      <c r="AA730" s="4"/>
      <c r="AB730" s="4"/>
      <c r="AC730" s="4"/>
      <c r="AD730" s="4"/>
      <c r="AE730" s="4"/>
      <c r="AF730" s="4"/>
      <c r="AG730" s="4"/>
      <c r="AH730" s="4"/>
      <c r="AI730" s="4"/>
      <c r="AJ730" s="76" t="str">
        <f>IF(E730="○",IF(COUNTA(E$13:E730)=1,"",",")&amp;D730,"")</f>
        <v/>
      </c>
      <c r="AK730" s="4"/>
      <c r="AL730" s="4"/>
      <c r="AM730" s="4"/>
      <c r="AN730" s="4"/>
      <c r="AO730" s="4"/>
      <c r="AP730" s="4"/>
      <c r="AQ730" s="4"/>
      <c r="AR730" s="4"/>
      <c r="AS730" s="76" t="str">
        <f>"COMMENT ON COLUMN "&amp;エンティティ一覧!$O$2&amp;"."&amp;D$8&amp;"."&amp;D730&amp;" IS '"&amp;C730&amp;"';"</f>
        <v>COMMENT ON COLUMN milscm_2023_009.sny_202310_annony_shikkan2.shikkan717_start_date IS 'J438_疾患開始日';</v>
      </c>
    </row>
    <row r="731" spans="1:45" s="25" customFormat="1">
      <c r="A731" s="4" t="s">
        <v>5801</v>
      </c>
      <c r="B731" s="21">
        <f t="shared" si="132"/>
        <v>719</v>
      </c>
      <c r="C731" s="13" t="str">
        <f t="shared" si="131"/>
        <v>J439_疾患開始日</v>
      </c>
      <c r="D731" s="13" t="s">
        <v>6378</v>
      </c>
      <c r="E731" s="8"/>
      <c r="F731" s="7" t="s">
        <v>4348</v>
      </c>
      <c r="G731" s="7" t="s">
        <v>25</v>
      </c>
      <c r="H731" s="58"/>
      <c r="I731" s="23"/>
      <c r="J731" s="24"/>
      <c r="M731" s="4"/>
      <c r="N731" s="76"/>
      <c r="O731" s="76"/>
      <c r="P731" s="76" t="str">
        <f t="shared" si="126"/>
        <v>,shikkan718_start_date</v>
      </c>
      <c r="Q731" s="76" t="str">
        <f t="shared" si="127"/>
        <v>DATE</v>
      </c>
      <c r="R731" s="76" t="str">
        <f t="shared" si="128"/>
        <v/>
      </c>
      <c r="S731" s="76" t="str">
        <f t="shared" si="129"/>
        <v/>
      </c>
      <c r="T731" s="76" t="str">
        <f t="shared" si="130"/>
        <v>-- J439_疾患開始日</v>
      </c>
      <c r="U731" s="4" t="str">
        <f t="shared" si="115"/>
        <v>, CASE WHEN shikkan_disp_name = 'J439' THEN min_shikkan_start_date ::DATE ELSE NULL END AS shikkan718_start_date</v>
      </c>
      <c r="V731" s="25" t="str">
        <f t="shared" si="116"/>
        <v>, max(shikkan718_start_date)</v>
      </c>
      <c r="AA731" s="4"/>
      <c r="AB731" s="4"/>
      <c r="AC731" s="4"/>
      <c r="AD731" s="4"/>
      <c r="AE731" s="4"/>
      <c r="AF731" s="4"/>
      <c r="AG731" s="4"/>
      <c r="AH731" s="4"/>
      <c r="AI731" s="4"/>
      <c r="AJ731" s="76" t="str">
        <f>IF(E731="○",IF(COUNTA(E$13:E731)=1,"",",")&amp;D731,"")</f>
        <v/>
      </c>
      <c r="AK731" s="4"/>
      <c r="AL731" s="4"/>
      <c r="AM731" s="4"/>
      <c r="AN731" s="4"/>
      <c r="AO731" s="4"/>
      <c r="AP731" s="4"/>
      <c r="AQ731" s="4"/>
      <c r="AR731" s="4"/>
      <c r="AS731" s="76" t="str">
        <f>"COMMENT ON COLUMN "&amp;エンティティ一覧!$O$2&amp;"."&amp;D$8&amp;"."&amp;D731&amp;" IS '"&amp;C731&amp;"';"</f>
        <v>COMMENT ON COLUMN milscm_2023_009.sny_202310_annony_shikkan2.shikkan718_start_date IS 'J439_疾患開始日';</v>
      </c>
    </row>
    <row r="732" spans="1:45" s="25" customFormat="1">
      <c r="A732" s="4" t="s">
        <v>5802</v>
      </c>
      <c r="B732" s="21">
        <f t="shared" si="132"/>
        <v>720</v>
      </c>
      <c r="C732" s="13" t="str">
        <f t="shared" si="131"/>
        <v>J440_疾患開始日</v>
      </c>
      <c r="D732" s="13" t="s">
        <v>6379</v>
      </c>
      <c r="E732" s="8"/>
      <c r="F732" s="7" t="s">
        <v>4348</v>
      </c>
      <c r="G732" s="7" t="s">
        <v>99</v>
      </c>
      <c r="H732" s="58"/>
      <c r="I732" s="23"/>
      <c r="J732" s="24"/>
      <c r="M732" s="4"/>
      <c r="N732" s="76"/>
      <c r="O732" s="76"/>
      <c r="P732" s="76" t="str">
        <f t="shared" si="126"/>
        <v>,shikkan719_start_date</v>
      </c>
      <c r="Q732" s="76" t="str">
        <f t="shared" si="127"/>
        <v>DATE</v>
      </c>
      <c r="R732" s="76" t="str">
        <f t="shared" si="128"/>
        <v/>
      </c>
      <c r="S732" s="76" t="str">
        <f t="shared" si="129"/>
        <v/>
      </c>
      <c r="T732" s="76" t="str">
        <f t="shared" si="130"/>
        <v>-- J440_疾患開始日</v>
      </c>
      <c r="U732" s="4" t="str">
        <f t="shared" si="115"/>
        <v>, CASE WHEN shikkan_disp_name = 'J440' THEN min_shikkan_start_date ::DATE ELSE NULL END AS shikkan719_start_date</v>
      </c>
      <c r="V732" s="25" t="str">
        <f t="shared" si="116"/>
        <v>, max(shikkan719_start_date)</v>
      </c>
      <c r="AA732" s="4"/>
      <c r="AB732" s="4"/>
      <c r="AC732" s="4"/>
      <c r="AD732" s="4"/>
      <c r="AE732" s="4"/>
      <c r="AF732" s="4"/>
      <c r="AG732" s="4"/>
      <c r="AH732" s="4"/>
      <c r="AI732" s="4"/>
      <c r="AJ732" s="76" t="str">
        <f>IF(E732="○",IF(COUNTA(E$13:E732)=1,"",",")&amp;D732,"")</f>
        <v/>
      </c>
      <c r="AK732" s="4"/>
      <c r="AL732" s="4"/>
      <c r="AM732" s="4"/>
      <c r="AN732" s="4"/>
      <c r="AO732" s="4"/>
      <c r="AP732" s="4"/>
      <c r="AQ732" s="4"/>
      <c r="AR732" s="4"/>
      <c r="AS732" s="76" t="str">
        <f>"COMMENT ON COLUMN "&amp;エンティティ一覧!$O$2&amp;"."&amp;D$8&amp;"."&amp;D732&amp;" IS '"&amp;C732&amp;"';"</f>
        <v>COMMENT ON COLUMN milscm_2023_009.sny_202310_annony_shikkan2.shikkan719_start_date IS 'J440_疾患開始日';</v>
      </c>
    </row>
    <row r="733" spans="1:45" s="25" customFormat="1">
      <c r="A733" s="4" t="s">
        <v>5803</v>
      </c>
      <c r="B733" s="21">
        <f t="shared" si="132"/>
        <v>721</v>
      </c>
      <c r="C733" s="13" t="str">
        <f t="shared" si="131"/>
        <v>J441_疾患開始日</v>
      </c>
      <c r="D733" s="13" t="s">
        <v>6380</v>
      </c>
      <c r="E733" s="8"/>
      <c r="F733" s="7" t="s">
        <v>4348</v>
      </c>
      <c r="G733" s="7" t="s">
        <v>25</v>
      </c>
      <c r="H733" s="58"/>
      <c r="I733" s="23"/>
      <c r="J733" s="24"/>
      <c r="M733" s="4"/>
      <c r="N733" s="76"/>
      <c r="O733" s="76"/>
      <c r="P733" s="76" t="str">
        <f t="shared" si="126"/>
        <v>,shikkan720_start_date</v>
      </c>
      <c r="Q733" s="76" t="str">
        <f t="shared" si="127"/>
        <v>DATE</v>
      </c>
      <c r="R733" s="76" t="str">
        <f t="shared" si="128"/>
        <v/>
      </c>
      <c r="S733" s="76" t="str">
        <f t="shared" si="129"/>
        <v/>
      </c>
      <c r="T733" s="76" t="str">
        <f t="shared" si="130"/>
        <v>-- J441_疾患開始日</v>
      </c>
      <c r="U733" s="4" t="str">
        <f t="shared" si="115"/>
        <v>, CASE WHEN shikkan_disp_name = 'J441' THEN min_shikkan_start_date ::DATE ELSE NULL END AS shikkan720_start_date</v>
      </c>
      <c r="V733" s="25" t="str">
        <f t="shared" si="116"/>
        <v>, max(shikkan720_start_date)</v>
      </c>
      <c r="AA733" s="4"/>
      <c r="AB733" s="4"/>
      <c r="AC733" s="4"/>
      <c r="AD733" s="4"/>
      <c r="AE733" s="4"/>
      <c r="AF733" s="4"/>
      <c r="AG733" s="4"/>
      <c r="AH733" s="4"/>
      <c r="AI733" s="4"/>
      <c r="AJ733" s="76" t="str">
        <f>IF(E733="○",IF(COUNTA(E$13:E733)=1,"",",")&amp;D733,"")</f>
        <v/>
      </c>
      <c r="AK733" s="4"/>
      <c r="AL733" s="4"/>
      <c r="AM733" s="4"/>
      <c r="AN733" s="4"/>
      <c r="AO733" s="4"/>
      <c r="AP733" s="4"/>
      <c r="AQ733" s="4"/>
      <c r="AR733" s="4"/>
      <c r="AS733" s="76" t="str">
        <f>"COMMENT ON COLUMN "&amp;エンティティ一覧!$O$2&amp;"."&amp;D$8&amp;"."&amp;D733&amp;" IS '"&amp;C733&amp;"';"</f>
        <v>COMMENT ON COLUMN milscm_2023_009.sny_202310_annony_shikkan2.shikkan720_start_date IS 'J441_疾患開始日';</v>
      </c>
    </row>
    <row r="734" spans="1:45" s="25" customFormat="1">
      <c r="A734" s="4" t="s">
        <v>5804</v>
      </c>
      <c r="B734" s="21">
        <f t="shared" si="132"/>
        <v>722</v>
      </c>
      <c r="C734" s="13" t="str">
        <f t="shared" si="131"/>
        <v>J448_疾患開始日</v>
      </c>
      <c r="D734" s="13" t="s">
        <v>6381</v>
      </c>
      <c r="E734" s="8"/>
      <c r="F734" s="7" t="s">
        <v>4348</v>
      </c>
      <c r="G734" s="7" t="s">
        <v>25</v>
      </c>
      <c r="H734" s="58"/>
      <c r="I734" s="23"/>
      <c r="J734" s="24"/>
      <c r="M734" s="4"/>
      <c r="N734" s="76"/>
      <c r="O734" s="76"/>
      <c r="P734" s="76" t="str">
        <f t="shared" si="126"/>
        <v>,shikkan721_start_date</v>
      </c>
      <c r="Q734" s="76" t="str">
        <f t="shared" si="127"/>
        <v>DATE</v>
      </c>
      <c r="R734" s="76" t="str">
        <f t="shared" si="128"/>
        <v/>
      </c>
      <c r="S734" s="76" t="str">
        <f t="shared" si="129"/>
        <v/>
      </c>
      <c r="T734" s="76" t="str">
        <f t="shared" si="130"/>
        <v>-- J448_疾患開始日</v>
      </c>
      <c r="U734" s="4" t="str">
        <f t="shared" si="115"/>
        <v>, CASE WHEN shikkan_disp_name = 'J448' THEN min_shikkan_start_date ::DATE ELSE NULL END AS shikkan721_start_date</v>
      </c>
      <c r="V734" s="25" t="str">
        <f t="shared" si="116"/>
        <v>, max(shikkan721_start_date)</v>
      </c>
      <c r="AA734" s="4"/>
      <c r="AB734" s="4"/>
      <c r="AC734" s="4"/>
      <c r="AD734" s="4"/>
      <c r="AE734" s="4"/>
      <c r="AF734" s="4"/>
      <c r="AG734" s="4"/>
      <c r="AH734" s="4"/>
      <c r="AI734" s="4"/>
      <c r="AJ734" s="76" t="str">
        <f>IF(E734="○",IF(COUNTA(E$13:E734)=1,"",",")&amp;D734,"")</f>
        <v/>
      </c>
      <c r="AK734" s="4"/>
      <c r="AL734" s="4"/>
      <c r="AM734" s="4"/>
      <c r="AN734" s="4"/>
      <c r="AO734" s="4"/>
      <c r="AP734" s="4"/>
      <c r="AQ734" s="4"/>
      <c r="AR734" s="4"/>
      <c r="AS734" s="76" t="str">
        <f>"COMMENT ON COLUMN "&amp;エンティティ一覧!$O$2&amp;"."&amp;D$8&amp;"."&amp;D734&amp;" IS '"&amp;C734&amp;"';"</f>
        <v>COMMENT ON COLUMN milscm_2023_009.sny_202310_annony_shikkan2.shikkan721_start_date IS 'J448_疾患開始日';</v>
      </c>
    </row>
    <row r="735" spans="1:45" s="25" customFormat="1">
      <c r="A735" s="4" t="s">
        <v>5805</v>
      </c>
      <c r="B735" s="21">
        <f t="shared" si="132"/>
        <v>723</v>
      </c>
      <c r="C735" s="13" t="str">
        <f t="shared" si="131"/>
        <v>J449_疾患開始日</v>
      </c>
      <c r="D735" s="13" t="s">
        <v>6382</v>
      </c>
      <c r="E735" s="8"/>
      <c r="F735" s="7" t="s">
        <v>4348</v>
      </c>
      <c r="G735" s="7" t="s">
        <v>25</v>
      </c>
      <c r="H735" s="58"/>
      <c r="I735" s="23"/>
      <c r="J735" s="24"/>
      <c r="M735" s="4"/>
      <c r="N735" s="76"/>
      <c r="O735" s="76"/>
      <c r="P735" s="76" t="str">
        <f t="shared" si="126"/>
        <v>,shikkan722_start_date</v>
      </c>
      <c r="Q735" s="76" t="str">
        <f t="shared" si="127"/>
        <v>DATE</v>
      </c>
      <c r="R735" s="76" t="str">
        <f t="shared" si="128"/>
        <v/>
      </c>
      <c r="S735" s="76" t="str">
        <f t="shared" si="129"/>
        <v/>
      </c>
      <c r="T735" s="76" t="str">
        <f t="shared" si="130"/>
        <v>-- J449_疾患開始日</v>
      </c>
      <c r="U735" s="4" t="str">
        <f t="shared" si="115"/>
        <v>, CASE WHEN shikkan_disp_name = 'J449' THEN min_shikkan_start_date ::DATE ELSE NULL END AS shikkan722_start_date</v>
      </c>
      <c r="V735" s="25" t="str">
        <f t="shared" si="116"/>
        <v>, max(shikkan722_start_date)</v>
      </c>
      <c r="AA735" s="4"/>
      <c r="AB735" s="4"/>
      <c r="AC735" s="4"/>
      <c r="AD735" s="4"/>
      <c r="AE735" s="4"/>
      <c r="AF735" s="4"/>
      <c r="AG735" s="4"/>
      <c r="AH735" s="4"/>
      <c r="AI735" s="4"/>
      <c r="AJ735" s="76" t="str">
        <f>IF(E735="○",IF(COUNTA(E$13:E735)=1,"",",")&amp;D735,"")</f>
        <v/>
      </c>
      <c r="AK735" s="4"/>
      <c r="AL735" s="4"/>
      <c r="AM735" s="4"/>
      <c r="AN735" s="4"/>
      <c r="AO735" s="4"/>
      <c r="AP735" s="4"/>
      <c r="AQ735" s="4"/>
      <c r="AR735" s="4"/>
      <c r="AS735" s="76" t="str">
        <f>"COMMENT ON COLUMN "&amp;エンティティ一覧!$O$2&amp;"."&amp;D$8&amp;"."&amp;D735&amp;" IS '"&amp;C735&amp;"';"</f>
        <v>COMMENT ON COLUMN milscm_2023_009.sny_202310_annony_shikkan2.shikkan722_start_date IS 'J449_疾患開始日';</v>
      </c>
    </row>
    <row r="736" spans="1:45" s="25" customFormat="1">
      <c r="A736" s="4" t="s">
        <v>5806</v>
      </c>
      <c r="B736" s="21">
        <f t="shared" si="132"/>
        <v>724</v>
      </c>
      <c r="C736" s="13" t="str">
        <f t="shared" si="131"/>
        <v>J450_疾患開始日</v>
      </c>
      <c r="D736" s="13" t="s">
        <v>6383</v>
      </c>
      <c r="E736" s="8"/>
      <c r="F736" s="7" t="s">
        <v>4348</v>
      </c>
      <c r="G736" s="7" t="s">
        <v>25</v>
      </c>
      <c r="H736" s="58"/>
      <c r="I736" s="23"/>
      <c r="J736" s="24"/>
      <c r="M736" s="4"/>
      <c r="N736" s="76"/>
      <c r="O736" s="76"/>
      <c r="P736" s="76" t="str">
        <f t="shared" si="126"/>
        <v>,shikkan723_start_date</v>
      </c>
      <c r="Q736" s="76" t="str">
        <f t="shared" si="127"/>
        <v>DATE</v>
      </c>
      <c r="R736" s="76" t="str">
        <f t="shared" si="128"/>
        <v/>
      </c>
      <c r="S736" s="76" t="str">
        <f t="shared" si="129"/>
        <v/>
      </c>
      <c r="T736" s="76" t="str">
        <f t="shared" si="130"/>
        <v>-- J450_疾患開始日</v>
      </c>
      <c r="U736" s="4" t="str">
        <f t="shared" si="115"/>
        <v>, CASE WHEN shikkan_disp_name = 'J450' THEN min_shikkan_start_date ::DATE ELSE NULL END AS shikkan723_start_date</v>
      </c>
      <c r="V736" s="25" t="str">
        <f t="shared" si="116"/>
        <v>, max(shikkan723_start_date)</v>
      </c>
      <c r="AA736" s="4"/>
      <c r="AB736" s="4"/>
      <c r="AC736" s="4"/>
      <c r="AD736" s="4"/>
      <c r="AE736" s="4"/>
      <c r="AF736" s="4"/>
      <c r="AG736" s="4"/>
      <c r="AH736" s="4"/>
      <c r="AI736" s="4"/>
      <c r="AJ736" s="76" t="str">
        <f>IF(E736="○",IF(COUNTA(E$13:E736)=1,"",",")&amp;D736,"")</f>
        <v/>
      </c>
      <c r="AK736" s="4"/>
      <c r="AL736" s="4"/>
      <c r="AM736" s="4"/>
      <c r="AN736" s="4"/>
      <c r="AO736" s="4"/>
      <c r="AP736" s="4"/>
      <c r="AQ736" s="4"/>
      <c r="AR736" s="4"/>
      <c r="AS736" s="76" t="str">
        <f>"COMMENT ON COLUMN "&amp;エンティティ一覧!$O$2&amp;"."&amp;D$8&amp;"."&amp;D736&amp;" IS '"&amp;C736&amp;"';"</f>
        <v>COMMENT ON COLUMN milscm_2023_009.sny_202310_annony_shikkan2.shikkan723_start_date IS 'J450_疾患開始日';</v>
      </c>
    </row>
    <row r="737" spans="1:45" s="25" customFormat="1">
      <c r="A737" s="4" t="s">
        <v>5807</v>
      </c>
      <c r="B737" s="21">
        <f t="shared" si="132"/>
        <v>725</v>
      </c>
      <c r="C737" s="13" t="str">
        <f t="shared" si="131"/>
        <v>J451_疾患開始日</v>
      </c>
      <c r="D737" s="13" t="s">
        <v>6384</v>
      </c>
      <c r="E737" s="8"/>
      <c r="F737" s="7" t="s">
        <v>4348</v>
      </c>
      <c r="G737" s="7" t="s">
        <v>25</v>
      </c>
      <c r="H737" s="58"/>
      <c r="I737" s="23"/>
      <c r="J737" s="24"/>
      <c r="M737" s="4"/>
      <c r="N737" s="76"/>
      <c r="O737" s="76"/>
      <c r="P737" s="76" t="str">
        <f t="shared" si="126"/>
        <v>,shikkan724_start_date</v>
      </c>
      <c r="Q737" s="76" t="str">
        <f t="shared" si="127"/>
        <v>DATE</v>
      </c>
      <c r="R737" s="76" t="str">
        <f t="shared" si="128"/>
        <v/>
      </c>
      <c r="S737" s="76" t="str">
        <f t="shared" si="129"/>
        <v/>
      </c>
      <c r="T737" s="76" t="str">
        <f t="shared" si="130"/>
        <v>-- J451_疾患開始日</v>
      </c>
      <c r="U737" s="4" t="str">
        <f t="shared" si="115"/>
        <v>, CASE WHEN shikkan_disp_name = 'J451' THEN min_shikkan_start_date ::DATE ELSE NULL END AS shikkan724_start_date</v>
      </c>
      <c r="V737" s="25" t="str">
        <f t="shared" si="116"/>
        <v>, max(shikkan724_start_date)</v>
      </c>
      <c r="AA737" s="4"/>
      <c r="AB737" s="4"/>
      <c r="AC737" s="4"/>
      <c r="AD737" s="4"/>
      <c r="AE737" s="4"/>
      <c r="AF737" s="4"/>
      <c r="AG737" s="4"/>
      <c r="AH737" s="4"/>
      <c r="AI737" s="4"/>
      <c r="AJ737" s="76" t="str">
        <f>IF(E737="○",IF(COUNTA(E$13:E737)=1,"",",")&amp;D737,"")</f>
        <v/>
      </c>
      <c r="AK737" s="4"/>
      <c r="AL737" s="4"/>
      <c r="AM737" s="4"/>
      <c r="AN737" s="4"/>
      <c r="AO737" s="4"/>
      <c r="AP737" s="4"/>
      <c r="AQ737" s="4"/>
      <c r="AR737" s="4"/>
      <c r="AS737" s="76" t="str">
        <f>"COMMENT ON COLUMN "&amp;エンティティ一覧!$O$2&amp;"."&amp;D$8&amp;"."&amp;D737&amp;" IS '"&amp;C737&amp;"';"</f>
        <v>COMMENT ON COLUMN milscm_2023_009.sny_202310_annony_shikkan2.shikkan724_start_date IS 'J451_疾患開始日';</v>
      </c>
    </row>
    <row r="738" spans="1:45" s="25" customFormat="1">
      <c r="A738" s="4" t="s">
        <v>5808</v>
      </c>
      <c r="B738" s="21">
        <f t="shared" si="132"/>
        <v>726</v>
      </c>
      <c r="C738" s="13" t="str">
        <f t="shared" si="131"/>
        <v>J458_疾患開始日</v>
      </c>
      <c r="D738" s="13" t="s">
        <v>6385</v>
      </c>
      <c r="E738" s="8"/>
      <c r="F738" s="7" t="s">
        <v>4348</v>
      </c>
      <c r="G738" s="7" t="s">
        <v>25</v>
      </c>
      <c r="H738" s="58"/>
      <c r="I738" s="23"/>
      <c r="J738" s="24"/>
      <c r="M738" s="4"/>
      <c r="N738" s="76"/>
      <c r="O738" s="76"/>
      <c r="P738" s="76" t="str">
        <f t="shared" si="126"/>
        <v>,shikkan725_start_date</v>
      </c>
      <c r="Q738" s="76" t="str">
        <f t="shared" si="127"/>
        <v>DATE</v>
      </c>
      <c r="R738" s="76" t="str">
        <f t="shared" si="128"/>
        <v/>
      </c>
      <c r="S738" s="76" t="str">
        <f t="shared" si="129"/>
        <v/>
      </c>
      <c r="T738" s="76" t="str">
        <f t="shared" si="130"/>
        <v>-- J458_疾患開始日</v>
      </c>
      <c r="U738" s="4" t="str">
        <f t="shared" si="115"/>
        <v>, CASE WHEN shikkan_disp_name = 'J458' THEN min_shikkan_start_date ::DATE ELSE NULL END AS shikkan725_start_date</v>
      </c>
      <c r="V738" s="25" t="str">
        <f t="shared" si="116"/>
        <v>, max(shikkan725_start_date)</v>
      </c>
      <c r="AA738" s="4"/>
      <c r="AB738" s="4"/>
      <c r="AC738" s="4"/>
      <c r="AD738" s="4"/>
      <c r="AE738" s="4"/>
      <c r="AF738" s="4"/>
      <c r="AG738" s="4"/>
      <c r="AH738" s="4"/>
      <c r="AI738" s="4"/>
      <c r="AJ738" s="76" t="str">
        <f>IF(E738="○",IF(COUNTA(E$13:E738)=1,"",",")&amp;D738,"")</f>
        <v/>
      </c>
      <c r="AK738" s="4"/>
      <c r="AL738" s="4"/>
      <c r="AM738" s="4"/>
      <c r="AN738" s="4"/>
      <c r="AO738" s="4"/>
      <c r="AP738" s="4"/>
      <c r="AQ738" s="4"/>
      <c r="AR738" s="4"/>
      <c r="AS738" s="76" t="str">
        <f>"COMMENT ON COLUMN "&amp;エンティティ一覧!$O$2&amp;"."&amp;D$8&amp;"."&amp;D738&amp;" IS '"&amp;C738&amp;"';"</f>
        <v>COMMENT ON COLUMN milscm_2023_009.sny_202310_annony_shikkan2.shikkan725_start_date IS 'J458_疾患開始日';</v>
      </c>
    </row>
    <row r="739" spans="1:45" s="25" customFormat="1">
      <c r="A739" s="4" t="s">
        <v>5809</v>
      </c>
      <c r="B739" s="21">
        <f t="shared" si="132"/>
        <v>727</v>
      </c>
      <c r="C739" s="13" t="str">
        <f t="shared" si="131"/>
        <v>J459_疾患開始日</v>
      </c>
      <c r="D739" s="13" t="s">
        <v>6386</v>
      </c>
      <c r="E739" s="8"/>
      <c r="F739" s="7" t="s">
        <v>4348</v>
      </c>
      <c r="G739" s="7" t="s">
        <v>25</v>
      </c>
      <c r="H739" s="58"/>
      <c r="I739" s="23"/>
      <c r="J739" s="24"/>
      <c r="M739" s="4"/>
      <c r="N739" s="76"/>
      <c r="O739" s="76"/>
      <c r="P739" s="76" t="str">
        <f t="shared" si="126"/>
        <v>,shikkan726_start_date</v>
      </c>
      <c r="Q739" s="76" t="str">
        <f t="shared" si="127"/>
        <v>DATE</v>
      </c>
      <c r="R739" s="76" t="str">
        <f t="shared" si="128"/>
        <v/>
      </c>
      <c r="S739" s="76" t="str">
        <f t="shared" si="129"/>
        <v/>
      </c>
      <c r="T739" s="76" t="str">
        <f t="shared" si="130"/>
        <v>-- J459_疾患開始日</v>
      </c>
      <c r="U739" s="4" t="str">
        <f t="shared" si="115"/>
        <v>, CASE WHEN shikkan_disp_name = 'J459' THEN min_shikkan_start_date ::DATE ELSE NULL END AS shikkan726_start_date</v>
      </c>
      <c r="V739" s="25" t="str">
        <f t="shared" si="116"/>
        <v>, max(shikkan726_start_date)</v>
      </c>
      <c r="AA739" s="4"/>
      <c r="AB739" s="4"/>
      <c r="AC739" s="4"/>
      <c r="AD739" s="4"/>
      <c r="AE739" s="4"/>
      <c r="AF739" s="4"/>
      <c r="AG739" s="4"/>
      <c r="AH739" s="4"/>
      <c r="AI739" s="4"/>
      <c r="AJ739" s="76" t="str">
        <f>IF(E739="○",IF(COUNTA(E$13:E739)=1,"",",")&amp;D739,"")</f>
        <v/>
      </c>
      <c r="AK739" s="4"/>
      <c r="AL739" s="4"/>
      <c r="AM739" s="4"/>
      <c r="AN739" s="4"/>
      <c r="AO739" s="4"/>
      <c r="AP739" s="4"/>
      <c r="AQ739" s="4"/>
      <c r="AR739" s="4"/>
      <c r="AS739" s="76" t="str">
        <f>"COMMENT ON COLUMN "&amp;エンティティ一覧!$O$2&amp;"."&amp;D$8&amp;"."&amp;D739&amp;" IS '"&amp;C739&amp;"';"</f>
        <v>COMMENT ON COLUMN milscm_2023_009.sny_202310_annony_shikkan2.shikkan726_start_date IS 'J459_疾患開始日';</v>
      </c>
    </row>
    <row r="740" spans="1:45" s="25" customFormat="1">
      <c r="A740" s="4" t="s">
        <v>5066</v>
      </c>
      <c r="B740" s="21">
        <f t="shared" si="132"/>
        <v>728</v>
      </c>
      <c r="C740" s="13" t="str">
        <f t="shared" si="131"/>
        <v>J46_疾患開始日</v>
      </c>
      <c r="D740" s="13" t="s">
        <v>6387</v>
      </c>
      <c r="E740" s="8"/>
      <c r="F740" s="7" t="s">
        <v>4348</v>
      </c>
      <c r="G740" s="7" t="s">
        <v>25</v>
      </c>
      <c r="H740" s="58"/>
      <c r="I740" s="23"/>
      <c r="J740" s="24"/>
      <c r="M740" s="4"/>
      <c r="N740" s="76"/>
      <c r="O740" s="76"/>
      <c r="P740" s="76" t="str">
        <f t="shared" si="126"/>
        <v>,shikkan727_start_date</v>
      </c>
      <c r="Q740" s="76" t="str">
        <f t="shared" si="127"/>
        <v>DATE</v>
      </c>
      <c r="R740" s="76" t="str">
        <f t="shared" si="128"/>
        <v/>
      </c>
      <c r="S740" s="76" t="str">
        <f t="shared" si="129"/>
        <v/>
      </c>
      <c r="T740" s="76" t="str">
        <f t="shared" si="130"/>
        <v>-- J46_疾患開始日</v>
      </c>
      <c r="U740" s="4" t="str">
        <f t="shared" si="115"/>
        <v>, CASE WHEN shikkan_disp_name = 'J46' THEN min_shikkan_start_date ::DATE ELSE NULL END AS shikkan727_start_date</v>
      </c>
      <c r="V740" s="25" t="str">
        <f t="shared" si="116"/>
        <v>, max(shikkan727_start_date)</v>
      </c>
      <c r="AA740" s="4"/>
      <c r="AB740" s="4"/>
      <c r="AC740" s="4"/>
      <c r="AD740" s="4"/>
      <c r="AE740" s="4"/>
      <c r="AF740" s="4"/>
      <c r="AG740" s="4"/>
      <c r="AH740" s="4"/>
      <c r="AI740" s="4"/>
      <c r="AJ740" s="76" t="str">
        <f>IF(E740="○",IF(COUNTA(E$13:E740)=1,"",",")&amp;D740,"")</f>
        <v/>
      </c>
      <c r="AK740" s="4"/>
      <c r="AL740" s="4"/>
      <c r="AM740" s="4"/>
      <c r="AN740" s="4"/>
      <c r="AO740" s="4"/>
      <c r="AP740" s="4"/>
      <c r="AQ740" s="4"/>
      <c r="AR740" s="4"/>
      <c r="AS740" s="76" t="str">
        <f>"COMMENT ON COLUMN "&amp;エンティティ一覧!$O$2&amp;"."&amp;D$8&amp;"."&amp;D740&amp;" IS '"&amp;C740&amp;"';"</f>
        <v>COMMENT ON COLUMN milscm_2023_009.sny_202310_annony_shikkan2.shikkan727_start_date IS 'J46_疾患開始日';</v>
      </c>
    </row>
    <row r="741" spans="1:45" s="25" customFormat="1">
      <c r="A741" s="4" t="s">
        <v>5067</v>
      </c>
      <c r="B741" s="21">
        <f t="shared" si="132"/>
        <v>729</v>
      </c>
      <c r="C741" s="13" t="str">
        <f t="shared" si="131"/>
        <v>J47_疾患開始日</v>
      </c>
      <c r="D741" s="13" t="s">
        <v>6388</v>
      </c>
      <c r="E741" s="8"/>
      <c r="F741" s="7" t="s">
        <v>4348</v>
      </c>
      <c r="G741" s="7" t="s">
        <v>25</v>
      </c>
      <c r="H741" s="58"/>
      <c r="I741" s="23"/>
      <c r="J741" s="24"/>
      <c r="M741" s="4"/>
      <c r="N741" s="76"/>
      <c r="O741" s="76"/>
      <c r="P741" s="76" t="str">
        <f t="shared" si="126"/>
        <v>,shikkan728_start_date</v>
      </c>
      <c r="Q741" s="76" t="str">
        <f t="shared" si="127"/>
        <v>DATE</v>
      </c>
      <c r="R741" s="76" t="str">
        <f t="shared" si="128"/>
        <v/>
      </c>
      <c r="S741" s="76" t="str">
        <f t="shared" si="129"/>
        <v/>
      </c>
      <c r="T741" s="76" t="str">
        <f t="shared" si="130"/>
        <v>-- J47_疾患開始日</v>
      </c>
      <c r="U741" s="4" t="str">
        <f t="shared" si="115"/>
        <v>, CASE WHEN shikkan_disp_name = 'J47' THEN min_shikkan_start_date ::DATE ELSE NULL END AS shikkan728_start_date</v>
      </c>
      <c r="V741" s="25" t="str">
        <f t="shared" si="116"/>
        <v>, max(shikkan728_start_date)</v>
      </c>
      <c r="AA741" s="4"/>
      <c r="AB741" s="4"/>
      <c r="AC741" s="4"/>
      <c r="AD741" s="4"/>
      <c r="AE741" s="4"/>
      <c r="AF741" s="4"/>
      <c r="AG741" s="4"/>
      <c r="AH741" s="4"/>
      <c r="AI741" s="4"/>
      <c r="AJ741" s="76" t="str">
        <f>IF(E741="○",IF(COUNTA(E$13:E741)=1,"",",")&amp;D741,"")</f>
        <v/>
      </c>
      <c r="AK741" s="4"/>
      <c r="AL741" s="4"/>
      <c r="AM741" s="4"/>
      <c r="AN741" s="4"/>
      <c r="AO741" s="4"/>
      <c r="AP741" s="4"/>
      <c r="AQ741" s="4"/>
      <c r="AR741" s="4"/>
      <c r="AS741" s="76" t="str">
        <f>"COMMENT ON COLUMN "&amp;エンティティ一覧!$O$2&amp;"."&amp;D$8&amp;"."&amp;D741&amp;" IS '"&amp;C741&amp;"';"</f>
        <v>COMMENT ON COLUMN milscm_2023_009.sny_202310_annony_shikkan2.shikkan728_start_date IS 'J47_疾患開始日';</v>
      </c>
    </row>
    <row r="742" spans="1:45" s="25" customFormat="1">
      <c r="A742" s="4" t="s">
        <v>5068</v>
      </c>
      <c r="B742" s="21">
        <f t="shared" si="132"/>
        <v>730</v>
      </c>
      <c r="C742" s="13" t="str">
        <f t="shared" si="131"/>
        <v>J60_疾患開始日</v>
      </c>
      <c r="D742" s="13" t="s">
        <v>6389</v>
      </c>
      <c r="E742" s="8"/>
      <c r="F742" s="7" t="s">
        <v>4348</v>
      </c>
      <c r="G742" s="7" t="s">
        <v>25</v>
      </c>
      <c r="H742" s="58"/>
      <c r="I742" s="23"/>
      <c r="J742" s="24"/>
      <c r="M742" s="4"/>
      <c r="N742" s="76"/>
      <c r="O742" s="76"/>
      <c r="P742" s="76" t="str">
        <f t="shared" ref="P742:P805" si="133">IF(B742&lt;&gt;1,","&amp;D742,D742)</f>
        <v>,shikkan729_start_date</v>
      </c>
      <c r="Q742" s="76" t="str">
        <f t="shared" ref="Q742:Q805" si="134">UPPER(G742)</f>
        <v>DATE</v>
      </c>
      <c r="R742" s="76" t="str">
        <f t="shared" ref="R742:R805" si="135">IF(H742&lt;&gt;"","default "&amp;IF(G742="text","'"&amp;H742&amp;"'",H742),"")</f>
        <v/>
      </c>
      <c r="S742" s="76" t="str">
        <f t="shared" ref="S742:S805" si="136">IF(I742="○","NOT NULL","")</f>
        <v/>
      </c>
      <c r="T742" s="76" t="str">
        <f t="shared" ref="T742:T805" si="137">"-- "&amp;C742</f>
        <v>-- J60_疾患開始日</v>
      </c>
      <c r="U742" s="4" t="str">
        <f t="shared" si="115"/>
        <v>, CASE WHEN shikkan_disp_name = 'J60' THEN min_shikkan_start_date ::DATE ELSE NULL END AS shikkan729_start_date</v>
      </c>
      <c r="V742" s="25" t="str">
        <f t="shared" si="116"/>
        <v>, max(shikkan729_start_date)</v>
      </c>
      <c r="AA742" s="4"/>
      <c r="AB742" s="4"/>
      <c r="AC742" s="4"/>
      <c r="AD742" s="4"/>
      <c r="AE742" s="4"/>
      <c r="AF742" s="4"/>
      <c r="AG742" s="4"/>
      <c r="AH742" s="4"/>
      <c r="AI742" s="4"/>
      <c r="AJ742" s="76" t="str">
        <f>IF(E742="○",IF(COUNTA(E$13:E742)=1,"",",")&amp;D742,"")</f>
        <v/>
      </c>
      <c r="AK742" s="4"/>
      <c r="AL742" s="4"/>
      <c r="AM742" s="4"/>
      <c r="AN742" s="4"/>
      <c r="AO742" s="4"/>
      <c r="AP742" s="4"/>
      <c r="AQ742" s="4"/>
      <c r="AR742" s="4"/>
      <c r="AS742" s="76" t="str">
        <f>"COMMENT ON COLUMN "&amp;エンティティ一覧!$O$2&amp;"."&amp;D$8&amp;"."&amp;D742&amp;" IS '"&amp;C742&amp;"';"</f>
        <v>COMMENT ON COLUMN milscm_2023_009.sny_202310_annony_shikkan2.shikkan729_start_date IS 'J60_疾患開始日';</v>
      </c>
    </row>
    <row r="743" spans="1:45" s="25" customFormat="1">
      <c r="A743" s="4" t="s">
        <v>5069</v>
      </c>
      <c r="B743" s="21">
        <f t="shared" si="132"/>
        <v>731</v>
      </c>
      <c r="C743" s="13" t="str">
        <f t="shared" si="131"/>
        <v>J61_疾患開始日</v>
      </c>
      <c r="D743" s="13" t="s">
        <v>6390</v>
      </c>
      <c r="E743" s="8"/>
      <c r="F743" s="7" t="s">
        <v>4348</v>
      </c>
      <c r="G743" s="7" t="s">
        <v>25</v>
      </c>
      <c r="H743" s="58"/>
      <c r="I743" s="23"/>
      <c r="J743" s="24"/>
      <c r="M743" s="4"/>
      <c r="N743" s="76"/>
      <c r="O743" s="76"/>
      <c r="P743" s="76" t="str">
        <f t="shared" si="133"/>
        <v>,shikkan730_start_date</v>
      </c>
      <c r="Q743" s="76" t="str">
        <f t="shared" si="134"/>
        <v>DATE</v>
      </c>
      <c r="R743" s="76" t="str">
        <f t="shared" si="135"/>
        <v/>
      </c>
      <c r="S743" s="76" t="str">
        <f t="shared" si="136"/>
        <v/>
      </c>
      <c r="T743" s="76" t="str">
        <f t="shared" si="137"/>
        <v>-- J61_疾患開始日</v>
      </c>
      <c r="U743" s="4" t="str">
        <f t="shared" si="115"/>
        <v>, CASE WHEN shikkan_disp_name = 'J61' THEN min_shikkan_start_date ::DATE ELSE NULL END AS shikkan730_start_date</v>
      </c>
      <c r="V743" s="25" t="str">
        <f t="shared" si="116"/>
        <v>, max(shikkan730_start_date)</v>
      </c>
      <c r="AA743" s="4"/>
      <c r="AB743" s="4"/>
      <c r="AC743" s="4"/>
      <c r="AD743" s="4"/>
      <c r="AE743" s="4"/>
      <c r="AF743" s="4"/>
      <c r="AG743" s="4"/>
      <c r="AH743" s="4"/>
      <c r="AI743" s="4"/>
      <c r="AJ743" s="76" t="str">
        <f>IF(E743="○",IF(COUNTA(E$13:E743)=1,"",",")&amp;D743,"")</f>
        <v/>
      </c>
      <c r="AK743" s="4"/>
      <c r="AL743" s="4"/>
      <c r="AM743" s="4"/>
      <c r="AN743" s="4"/>
      <c r="AO743" s="4"/>
      <c r="AP743" s="4"/>
      <c r="AQ743" s="4"/>
      <c r="AR743" s="4"/>
      <c r="AS743" s="76" t="str">
        <f>"COMMENT ON COLUMN "&amp;エンティティ一覧!$O$2&amp;"."&amp;D$8&amp;"."&amp;D743&amp;" IS '"&amp;C743&amp;"';"</f>
        <v>COMMENT ON COLUMN milscm_2023_009.sny_202310_annony_shikkan2.shikkan730_start_date IS 'J61_疾患開始日';</v>
      </c>
    </row>
    <row r="744" spans="1:45" s="25" customFormat="1">
      <c r="A744" s="4" t="s">
        <v>5810</v>
      </c>
      <c r="B744" s="21">
        <f t="shared" si="132"/>
        <v>732</v>
      </c>
      <c r="C744" s="13" t="str">
        <f t="shared" si="131"/>
        <v>J620_疾患開始日</v>
      </c>
      <c r="D744" s="13" t="s">
        <v>6391</v>
      </c>
      <c r="E744" s="8"/>
      <c r="F744" s="7" t="s">
        <v>4348</v>
      </c>
      <c r="G744" s="7" t="s">
        <v>25</v>
      </c>
      <c r="H744" s="58"/>
      <c r="I744" s="23"/>
      <c r="J744" s="24"/>
      <c r="M744" s="4"/>
      <c r="N744" s="76"/>
      <c r="O744" s="76"/>
      <c r="P744" s="76" t="str">
        <f t="shared" si="133"/>
        <v>,shikkan731_start_date</v>
      </c>
      <c r="Q744" s="76" t="str">
        <f t="shared" si="134"/>
        <v>DATE</v>
      </c>
      <c r="R744" s="76" t="str">
        <f t="shared" si="135"/>
        <v/>
      </c>
      <c r="S744" s="76" t="str">
        <f t="shared" si="136"/>
        <v/>
      </c>
      <c r="T744" s="76" t="str">
        <f t="shared" si="137"/>
        <v>-- J620_疾患開始日</v>
      </c>
      <c r="U744" s="4" t="str">
        <f t="shared" si="115"/>
        <v>, CASE WHEN shikkan_disp_name = 'J620' THEN min_shikkan_start_date ::DATE ELSE NULL END AS shikkan731_start_date</v>
      </c>
      <c r="V744" s="25" t="str">
        <f t="shared" si="116"/>
        <v>, max(shikkan731_start_date)</v>
      </c>
      <c r="AA744" s="4"/>
      <c r="AB744" s="4"/>
      <c r="AC744" s="4"/>
      <c r="AD744" s="4"/>
      <c r="AE744" s="4"/>
      <c r="AF744" s="4"/>
      <c r="AG744" s="4"/>
      <c r="AH744" s="4"/>
      <c r="AI744" s="4"/>
      <c r="AJ744" s="76" t="str">
        <f>IF(E744="○",IF(COUNTA(E$13:E744)=1,"",",")&amp;D744,"")</f>
        <v/>
      </c>
      <c r="AK744" s="4"/>
      <c r="AL744" s="4"/>
      <c r="AM744" s="4"/>
      <c r="AN744" s="4"/>
      <c r="AO744" s="4"/>
      <c r="AP744" s="4"/>
      <c r="AQ744" s="4"/>
      <c r="AR744" s="4"/>
      <c r="AS744" s="76" t="str">
        <f>"COMMENT ON COLUMN "&amp;エンティティ一覧!$O$2&amp;"."&amp;D$8&amp;"."&amp;D744&amp;" IS '"&amp;C744&amp;"';"</f>
        <v>COMMENT ON COLUMN milscm_2023_009.sny_202310_annony_shikkan2.shikkan731_start_date IS 'J620_疾患開始日';</v>
      </c>
    </row>
    <row r="745" spans="1:45" s="25" customFormat="1">
      <c r="A745" s="4" t="s">
        <v>5811</v>
      </c>
      <c r="B745" s="21">
        <f t="shared" si="132"/>
        <v>733</v>
      </c>
      <c r="C745" s="13" t="str">
        <f t="shared" si="131"/>
        <v>J628_疾患開始日</v>
      </c>
      <c r="D745" s="13" t="s">
        <v>6392</v>
      </c>
      <c r="E745" s="8"/>
      <c r="F745" s="7" t="s">
        <v>4348</v>
      </c>
      <c r="G745" s="7" t="s">
        <v>25</v>
      </c>
      <c r="H745" s="58"/>
      <c r="I745" s="23"/>
      <c r="J745" s="24"/>
      <c r="M745" s="4"/>
      <c r="N745" s="76"/>
      <c r="O745" s="76"/>
      <c r="P745" s="76" t="str">
        <f t="shared" si="133"/>
        <v>,shikkan732_start_date</v>
      </c>
      <c r="Q745" s="76" t="str">
        <f t="shared" si="134"/>
        <v>DATE</v>
      </c>
      <c r="R745" s="76" t="str">
        <f t="shared" si="135"/>
        <v/>
      </c>
      <c r="S745" s="76" t="str">
        <f t="shared" si="136"/>
        <v/>
      </c>
      <c r="T745" s="76" t="str">
        <f t="shared" si="137"/>
        <v>-- J628_疾患開始日</v>
      </c>
      <c r="U745" s="4" t="str">
        <f t="shared" si="115"/>
        <v>, CASE WHEN shikkan_disp_name = 'J628' THEN min_shikkan_start_date ::DATE ELSE NULL END AS shikkan732_start_date</v>
      </c>
      <c r="V745" s="25" t="str">
        <f t="shared" si="116"/>
        <v>, max(shikkan732_start_date)</v>
      </c>
      <c r="AA745" s="4"/>
      <c r="AB745" s="4"/>
      <c r="AC745" s="4"/>
      <c r="AD745" s="4"/>
      <c r="AE745" s="4"/>
      <c r="AF745" s="4"/>
      <c r="AG745" s="4"/>
      <c r="AH745" s="4"/>
      <c r="AI745" s="4"/>
      <c r="AJ745" s="76" t="str">
        <f>IF(E745="○",IF(COUNTA(E$13:E745)=1,"",",")&amp;D745,"")</f>
        <v/>
      </c>
      <c r="AK745" s="4"/>
      <c r="AL745" s="4"/>
      <c r="AM745" s="4"/>
      <c r="AN745" s="4"/>
      <c r="AO745" s="4"/>
      <c r="AP745" s="4"/>
      <c r="AQ745" s="4"/>
      <c r="AR745" s="4"/>
      <c r="AS745" s="76" t="str">
        <f>"COMMENT ON COLUMN "&amp;エンティティ一覧!$O$2&amp;"."&amp;D$8&amp;"."&amp;D745&amp;" IS '"&amp;C745&amp;"';"</f>
        <v>COMMENT ON COLUMN milscm_2023_009.sny_202310_annony_shikkan2.shikkan732_start_date IS 'J628_疾患開始日';</v>
      </c>
    </row>
    <row r="746" spans="1:45" s="25" customFormat="1">
      <c r="A746" s="4" t="s">
        <v>5812</v>
      </c>
      <c r="B746" s="21">
        <f t="shared" si="132"/>
        <v>734</v>
      </c>
      <c r="C746" s="13" t="str">
        <f t="shared" si="131"/>
        <v>J630_疾患開始日</v>
      </c>
      <c r="D746" s="13" t="s">
        <v>6393</v>
      </c>
      <c r="E746" s="8"/>
      <c r="F746" s="7" t="s">
        <v>4348</v>
      </c>
      <c r="G746" s="7" t="s">
        <v>25</v>
      </c>
      <c r="H746" s="58"/>
      <c r="I746" s="23"/>
      <c r="J746" s="24"/>
      <c r="M746" s="4"/>
      <c r="N746" s="76"/>
      <c r="O746" s="76"/>
      <c r="P746" s="76" t="str">
        <f t="shared" si="133"/>
        <v>,shikkan733_start_date</v>
      </c>
      <c r="Q746" s="76" t="str">
        <f t="shared" si="134"/>
        <v>DATE</v>
      </c>
      <c r="R746" s="76" t="str">
        <f t="shared" si="135"/>
        <v/>
      </c>
      <c r="S746" s="76" t="str">
        <f t="shared" si="136"/>
        <v/>
      </c>
      <c r="T746" s="76" t="str">
        <f t="shared" si="137"/>
        <v>-- J630_疾患開始日</v>
      </c>
      <c r="U746" s="4" t="str">
        <f t="shared" si="115"/>
        <v>, CASE WHEN shikkan_disp_name = 'J630' THEN min_shikkan_start_date ::DATE ELSE NULL END AS shikkan733_start_date</v>
      </c>
      <c r="V746" s="25" t="str">
        <f t="shared" si="116"/>
        <v>, max(shikkan733_start_date)</v>
      </c>
      <c r="AA746" s="4"/>
      <c r="AB746" s="4"/>
      <c r="AC746" s="4"/>
      <c r="AD746" s="4"/>
      <c r="AE746" s="4"/>
      <c r="AF746" s="4"/>
      <c r="AG746" s="4"/>
      <c r="AH746" s="4"/>
      <c r="AI746" s="4"/>
      <c r="AJ746" s="76" t="str">
        <f>IF(E746="○",IF(COUNTA(E$13:E746)=1,"",",")&amp;D746,"")</f>
        <v/>
      </c>
      <c r="AK746" s="4"/>
      <c r="AL746" s="4"/>
      <c r="AM746" s="4"/>
      <c r="AN746" s="4"/>
      <c r="AO746" s="4"/>
      <c r="AP746" s="4"/>
      <c r="AQ746" s="4"/>
      <c r="AR746" s="4"/>
      <c r="AS746" s="76" t="str">
        <f>"COMMENT ON COLUMN "&amp;エンティティ一覧!$O$2&amp;"."&amp;D$8&amp;"."&amp;D746&amp;" IS '"&amp;C746&amp;"';"</f>
        <v>COMMENT ON COLUMN milscm_2023_009.sny_202310_annony_shikkan2.shikkan733_start_date IS 'J630_疾患開始日';</v>
      </c>
    </row>
    <row r="747" spans="1:45" s="25" customFormat="1">
      <c r="A747" s="4" t="s">
        <v>5813</v>
      </c>
      <c r="B747" s="21">
        <f t="shared" si="132"/>
        <v>735</v>
      </c>
      <c r="C747" s="13" t="str">
        <f t="shared" si="131"/>
        <v>J631_疾患開始日</v>
      </c>
      <c r="D747" s="13" t="s">
        <v>6394</v>
      </c>
      <c r="E747" s="8"/>
      <c r="F747" s="7" t="s">
        <v>4348</v>
      </c>
      <c r="G747" s="7" t="s">
        <v>25</v>
      </c>
      <c r="H747" s="58"/>
      <c r="I747" s="23"/>
      <c r="J747" s="24"/>
      <c r="M747" s="4"/>
      <c r="N747" s="76"/>
      <c r="O747" s="76"/>
      <c r="P747" s="76" t="str">
        <f t="shared" si="133"/>
        <v>,shikkan734_start_date</v>
      </c>
      <c r="Q747" s="76" t="str">
        <f t="shared" si="134"/>
        <v>DATE</v>
      </c>
      <c r="R747" s="76" t="str">
        <f t="shared" si="135"/>
        <v/>
      </c>
      <c r="S747" s="76" t="str">
        <f t="shared" si="136"/>
        <v/>
      </c>
      <c r="T747" s="76" t="str">
        <f t="shared" si="137"/>
        <v>-- J631_疾患開始日</v>
      </c>
      <c r="U747" s="4" t="str">
        <f t="shared" si="115"/>
        <v>, CASE WHEN shikkan_disp_name = 'J631' THEN min_shikkan_start_date ::DATE ELSE NULL END AS shikkan734_start_date</v>
      </c>
      <c r="V747" s="25" t="str">
        <f t="shared" si="116"/>
        <v>, max(shikkan734_start_date)</v>
      </c>
      <c r="AA747" s="4"/>
      <c r="AB747" s="4"/>
      <c r="AC747" s="4"/>
      <c r="AD747" s="4"/>
      <c r="AE747" s="4"/>
      <c r="AF747" s="4"/>
      <c r="AG747" s="4"/>
      <c r="AH747" s="4"/>
      <c r="AI747" s="4"/>
      <c r="AJ747" s="76" t="str">
        <f>IF(E747="○",IF(COUNTA(E$13:E747)=1,"",",")&amp;D747,"")</f>
        <v/>
      </c>
      <c r="AK747" s="4"/>
      <c r="AL747" s="4"/>
      <c r="AM747" s="4"/>
      <c r="AN747" s="4"/>
      <c r="AO747" s="4"/>
      <c r="AP747" s="4"/>
      <c r="AQ747" s="4"/>
      <c r="AR747" s="4"/>
      <c r="AS747" s="76" t="str">
        <f>"COMMENT ON COLUMN "&amp;エンティティ一覧!$O$2&amp;"."&amp;D$8&amp;"."&amp;D747&amp;" IS '"&amp;C747&amp;"';"</f>
        <v>COMMENT ON COLUMN milscm_2023_009.sny_202310_annony_shikkan2.shikkan734_start_date IS 'J631_疾患開始日';</v>
      </c>
    </row>
    <row r="748" spans="1:45" s="25" customFormat="1">
      <c r="A748" s="4" t="s">
        <v>5814</v>
      </c>
      <c r="B748" s="21">
        <f t="shared" si="132"/>
        <v>736</v>
      </c>
      <c r="C748" s="13" t="str">
        <f t="shared" si="131"/>
        <v>J632_疾患開始日</v>
      </c>
      <c r="D748" s="13" t="s">
        <v>6395</v>
      </c>
      <c r="E748" s="8"/>
      <c r="F748" s="7" t="s">
        <v>4348</v>
      </c>
      <c r="G748" s="7" t="s">
        <v>99</v>
      </c>
      <c r="H748" s="58"/>
      <c r="I748" s="23"/>
      <c r="J748" s="24"/>
      <c r="M748" s="4"/>
      <c r="N748" s="76"/>
      <c r="O748" s="76"/>
      <c r="P748" s="76" t="str">
        <f t="shared" si="133"/>
        <v>,shikkan735_start_date</v>
      </c>
      <c r="Q748" s="76" t="str">
        <f t="shared" si="134"/>
        <v>DATE</v>
      </c>
      <c r="R748" s="76" t="str">
        <f t="shared" si="135"/>
        <v/>
      </c>
      <c r="S748" s="76" t="str">
        <f t="shared" si="136"/>
        <v/>
      </c>
      <c r="T748" s="76" t="str">
        <f t="shared" si="137"/>
        <v>-- J632_疾患開始日</v>
      </c>
      <c r="U748" s="4" t="str">
        <f t="shared" si="115"/>
        <v>, CASE WHEN shikkan_disp_name = 'J632' THEN min_shikkan_start_date ::DATE ELSE NULL END AS shikkan735_start_date</v>
      </c>
      <c r="V748" s="25" t="str">
        <f t="shared" si="116"/>
        <v>, max(shikkan735_start_date)</v>
      </c>
      <c r="AA748" s="4"/>
      <c r="AB748" s="4"/>
      <c r="AC748" s="4"/>
      <c r="AD748" s="4"/>
      <c r="AE748" s="4"/>
      <c r="AF748" s="4"/>
      <c r="AG748" s="4"/>
      <c r="AH748" s="4"/>
      <c r="AI748" s="4"/>
      <c r="AJ748" s="76" t="str">
        <f>IF(E748="○",IF(COUNTA(E$13:E748)=1,"",",")&amp;D748,"")</f>
        <v/>
      </c>
      <c r="AK748" s="4"/>
      <c r="AL748" s="4"/>
      <c r="AM748" s="4"/>
      <c r="AN748" s="4"/>
      <c r="AO748" s="4"/>
      <c r="AP748" s="4"/>
      <c r="AQ748" s="4"/>
      <c r="AR748" s="4"/>
      <c r="AS748" s="76" t="str">
        <f>"COMMENT ON COLUMN "&amp;エンティティ一覧!$O$2&amp;"."&amp;D$8&amp;"."&amp;D748&amp;" IS '"&amp;C748&amp;"';"</f>
        <v>COMMENT ON COLUMN milscm_2023_009.sny_202310_annony_shikkan2.shikkan735_start_date IS 'J632_疾患開始日';</v>
      </c>
    </row>
    <row r="749" spans="1:45" s="25" customFormat="1">
      <c r="A749" s="4" t="s">
        <v>5815</v>
      </c>
      <c r="B749" s="21">
        <f t="shared" si="132"/>
        <v>737</v>
      </c>
      <c r="C749" s="13" t="str">
        <f t="shared" si="131"/>
        <v>J633_疾患開始日</v>
      </c>
      <c r="D749" s="13" t="s">
        <v>6396</v>
      </c>
      <c r="E749" s="8"/>
      <c r="F749" s="7" t="s">
        <v>4348</v>
      </c>
      <c r="G749" s="7" t="s">
        <v>25</v>
      </c>
      <c r="H749" s="58"/>
      <c r="I749" s="23"/>
      <c r="J749" s="24"/>
      <c r="M749" s="4"/>
      <c r="N749" s="76"/>
      <c r="O749" s="76"/>
      <c r="P749" s="76" t="str">
        <f t="shared" si="133"/>
        <v>,shikkan736_start_date</v>
      </c>
      <c r="Q749" s="76" t="str">
        <f t="shared" si="134"/>
        <v>DATE</v>
      </c>
      <c r="R749" s="76" t="str">
        <f t="shared" si="135"/>
        <v/>
      </c>
      <c r="S749" s="76" t="str">
        <f t="shared" si="136"/>
        <v/>
      </c>
      <c r="T749" s="76" t="str">
        <f t="shared" si="137"/>
        <v>-- J633_疾患開始日</v>
      </c>
      <c r="U749" s="4" t="str">
        <f t="shared" si="115"/>
        <v>, CASE WHEN shikkan_disp_name = 'J633' THEN min_shikkan_start_date ::DATE ELSE NULL END AS shikkan736_start_date</v>
      </c>
      <c r="V749" s="25" t="str">
        <f t="shared" si="116"/>
        <v>, max(shikkan736_start_date)</v>
      </c>
      <c r="AA749" s="4"/>
      <c r="AB749" s="4"/>
      <c r="AC749" s="4"/>
      <c r="AD749" s="4"/>
      <c r="AE749" s="4"/>
      <c r="AF749" s="4"/>
      <c r="AG749" s="4"/>
      <c r="AH749" s="4"/>
      <c r="AI749" s="4"/>
      <c r="AJ749" s="76" t="str">
        <f>IF(E749="○",IF(COUNTA(E$13:E749)=1,"",",")&amp;D749,"")</f>
        <v/>
      </c>
      <c r="AK749" s="4"/>
      <c r="AL749" s="4"/>
      <c r="AM749" s="4"/>
      <c r="AN749" s="4"/>
      <c r="AO749" s="4"/>
      <c r="AP749" s="4"/>
      <c r="AQ749" s="4"/>
      <c r="AR749" s="4"/>
      <c r="AS749" s="76" t="str">
        <f>"COMMENT ON COLUMN "&amp;エンティティ一覧!$O$2&amp;"."&amp;D$8&amp;"."&amp;D749&amp;" IS '"&amp;C749&amp;"';"</f>
        <v>COMMENT ON COLUMN milscm_2023_009.sny_202310_annony_shikkan2.shikkan736_start_date IS 'J633_疾患開始日';</v>
      </c>
    </row>
    <row r="750" spans="1:45" s="25" customFormat="1">
      <c r="A750" s="4" t="s">
        <v>5816</v>
      </c>
      <c r="B750" s="21">
        <f t="shared" si="132"/>
        <v>738</v>
      </c>
      <c r="C750" s="13" t="str">
        <f t="shared" si="131"/>
        <v>J634_疾患開始日</v>
      </c>
      <c r="D750" s="13" t="s">
        <v>6397</v>
      </c>
      <c r="E750" s="8"/>
      <c r="F750" s="7" t="s">
        <v>4348</v>
      </c>
      <c r="G750" s="7" t="s">
        <v>25</v>
      </c>
      <c r="H750" s="58"/>
      <c r="I750" s="23"/>
      <c r="J750" s="24"/>
      <c r="M750" s="4"/>
      <c r="N750" s="76"/>
      <c r="O750" s="76"/>
      <c r="P750" s="76" t="str">
        <f t="shared" si="133"/>
        <v>,shikkan737_start_date</v>
      </c>
      <c r="Q750" s="76" t="str">
        <f t="shared" si="134"/>
        <v>DATE</v>
      </c>
      <c r="R750" s="76" t="str">
        <f t="shared" si="135"/>
        <v/>
      </c>
      <c r="S750" s="76" t="str">
        <f t="shared" si="136"/>
        <v/>
      </c>
      <c r="T750" s="76" t="str">
        <f t="shared" si="137"/>
        <v>-- J634_疾患開始日</v>
      </c>
      <c r="U750" s="4" t="str">
        <f t="shared" si="115"/>
        <v>, CASE WHEN shikkan_disp_name = 'J634' THEN min_shikkan_start_date ::DATE ELSE NULL END AS shikkan737_start_date</v>
      </c>
      <c r="V750" s="25" t="str">
        <f t="shared" si="116"/>
        <v>, max(shikkan737_start_date)</v>
      </c>
      <c r="AA750" s="4"/>
      <c r="AB750" s="4"/>
      <c r="AC750" s="4"/>
      <c r="AD750" s="4"/>
      <c r="AE750" s="4"/>
      <c r="AF750" s="4"/>
      <c r="AG750" s="4"/>
      <c r="AH750" s="4"/>
      <c r="AI750" s="4"/>
      <c r="AJ750" s="76" t="str">
        <f>IF(E750="○",IF(COUNTA(E$13:E750)=1,"",",")&amp;D750,"")</f>
        <v/>
      </c>
      <c r="AK750" s="4"/>
      <c r="AL750" s="4"/>
      <c r="AM750" s="4"/>
      <c r="AN750" s="4"/>
      <c r="AO750" s="4"/>
      <c r="AP750" s="4"/>
      <c r="AQ750" s="4"/>
      <c r="AR750" s="4"/>
      <c r="AS750" s="76" t="str">
        <f>"COMMENT ON COLUMN "&amp;エンティティ一覧!$O$2&amp;"."&amp;D$8&amp;"."&amp;D750&amp;" IS '"&amp;C750&amp;"';"</f>
        <v>COMMENT ON COLUMN milscm_2023_009.sny_202310_annony_shikkan2.shikkan737_start_date IS 'J634_疾患開始日';</v>
      </c>
    </row>
    <row r="751" spans="1:45" s="25" customFormat="1">
      <c r="A751" s="4" t="s">
        <v>5817</v>
      </c>
      <c r="B751" s="21">
        <f t="shared" si="132"/>
        <v>739</v>
      </c>
      <c r="C751" s="13" t="str">
        <f t="shared" si="131"/>
        <v>J635_疾患開始日</v>
      </c>
      <c r="D751" s="13" t="s">
        <v>6398</v>
      </c>
      <c r="E751" s="8"/>
      <c r="F751" s="7" t="s">
        <v>4348</v>
      </c>
      <c r="G751" s="7" t="s">
        <v>25</v>
      </c>
      <c r="H751" s="58"/>
      <c r="I751" s="23"/>
      <c r="J751" s="24"/>
      <c r="M751" s="4"/>
      <c r="N751" s="76"/>
      <c r="O751" s="76"/>
      <c r="P751" s="76" t="str">
        <f t="shared" si="133"/>
        <v>,shikkan738_start_date</v>
      </c>
      <c r="Q751" s="76" t="str">
        <f t="shared" si="134"/>
        <v>DATE</v>
      </c>
      <c r="R751" s="76" t="str">
        <f t="shared" si="135"/>
        <v/>
      </c>
      <c r="S751" s="76" t="str">
        <f t="shared" si="136"/>
        <v/>
      </c>
      <c r="T751" s="76" t="str">
        <f t="shared" si="137"/>
        <v>-- J635_疾患開始日</v>
      </c>
      <c r="U751" s="4" t="str">
        <f t="shared" si="115"/>
        <v>, CASE WHEN shikkan_disp_name = 'J635' THEN min_shikkan_start_date ::DATE ELSE NULL END AS shikkan738_start_date</v>
      </c>
      <c r="V751" s="25" t="str">
        <f t="shared" si="116"/>
        <v>, max(shikkan738_start_date)</v>
      </c>
      <c r="AA751" s="4"/>
      <c r="AB751" s="4"/>
      <c r="AC751" s="4"/>
      <c r="AD751" s="4"/>
      <c r="AE751" s="4"/>
      <c r="AF751" s="4"/>
      <c r="AG751" s="4"/>
      <c r="AH751" s="4"/>
      <c r="AI751" s="4"/>
      <c r="AJ751" s="76" t="str">
        <f>IF(E751="○",IF(COUNTA(E$13:E751)=1,"",",")&amp;D751,"")</f>
        <v/>
      </c>
      <c r="AK751" s="4"/>
      <c r="AL751" s="4"/>
      <c r="AM751" s="4"/>
      <c r="AN751" s="4"/>
      <c r="AO751" s="4"/>
      <c r="AP751" s="4"/>
      <c r="AQ751" s="4"/>
      <c r="AR751" s="4"/>
      <c r="AS751" s="76" t="str">
        <f>"COMMENT ON COLUMN "&amp;エンティティ一覧!$O$2&amp;"."&amp;D$8&amp;"."&amp;D751&amp;" IS '"&amp;C751&amp;"';"</f>
        <v>COMMENT ON COLUMN milscm_2023_009.sny_202310_annony_shikkan2.shikkan738_start_date IS 'J635_疾患開始日';</v>
      </c>
    </row>
    <row r="752" spans="1:45" s="25" customFormat="1">
      <c r="A752" s="4" t="s">
        <v>5818</v>
      </c>
      <c r="B752" s="21">
        <f t="shared" si="132"/>
        <v>740</v>
      </c>
      <c r="C752" s="13" t="str">
        <f t="shared" si="131"/>
        <v>J638_疾患開始日</v>
      </c>
      <c r="D752" s="13" t="s">
        <v>6399</v>
      </c>
      <c r="E752" s="8"/>
      <c r="F752" s="7" t="s">
        <v>4348</v>
      </c>
      <c r="G752" s="7" t="s">
        <v>25</v>
      </c>
      <c r="H752" s="58"/>
      <c r="I752" s="23"/>
      <c r="J752" s="24"/>
      <c r="M752" s="4"/>
      <c r="N752" s="76"/>
      <c r="O752" s="76"/>
      <c r="P752" s="76" t="str">
        <f t="shared" si="133"/>
        <v>,shikkan739_start_date</v>
      </c>
      <c r="Q752" s="76" t="str">
        <f t="shared" si="134"/>
        <v>DATE</v>
      </c>
      <c r="R752" s="76" t="str">
        <f t="shared" si="135"/>
        <v/>
      </c>
      <c r="S752" s="76" t="str">
        <f t="shared" si="136"/>
        <v/>
      </c>
      <c r="T752" s="76" t="str">
        <f t="shared" si="137"/>
        <v>-- J638_疾患開始日</v>
      </c>
      <c r="U752" s="4" t="str">
        <f t="shared" si="115"/>
        <v>, CASE WHEN shikkan_disp_name = 'J638' THEN min_shikkan_start_date ::DATE ELSE NULL END AS shikkan739_start_date</v>
      </c>
      <c r="V752" s="25" t="str">
        <f t="shared" si="116"/>
        <v>, max(shikkan739_start_date)</v>
      </c>
      <c r="AA752" s="4"/>
      <c r="AB752" s="4"/>
      <c r="AC752" s="4"/>
      <c r="AD752" s="4"/>
      <c r="AE752" s="4"/>
      <c r="AF752" s="4"/>
      <c r="AG752" s="4"/>
      <c r="AH752" s="4"/>
      <c r="AI752" s="4"/>
      <c r="AJ752" s="76" t="str">
        <f>IF(E752="○",IF(COUNTA(E$13:E752)=1,"",",")&amp;D752,"")</f>
        <v/>
      </c>
      <c r="AK752" s="4"/>
      <c r="AL752" s="4"/>
      <c r="AM752" s="4"/>
      <c r="AN752" s="4"/>
      <c r="AO752" s="4"/>
      <c r="AP752" s="4"/>
      <c r="AQ752" s="4"/>
      <c r="AR752" s="4"/>
      <c r="AS752" s="76" t="str">
        <f>"COMMENT ON COLUMN "&amp;エンティティ一覧!$O$2&amp;"."&amp;D$8&amp;"."&amp;D752&amp;" IS '"&amp;C752&amp;"';"</f>
        <v>COMMENT ON COLUMN milscm_2023_009.sny_202310_annony_shikkan2.shikkan739_start_date IS 'J638_疾患開始日';</v>
      </c>
    </row>
    <row r="753" spans="1:45" s="25" customFormat="1">
      <c r="A753" s="4" t="s">
        <v>5070</v>
      </c>
      <c r="B753" s="21">
        <f t="shared" si="132"/>
        <v>741</v>
      </c>
      <c r="C753" s="13" t="str">
        <f t="shared" si="131"/>
        <v>J64_疾患開始日</v>
      </c>
      <c r="D753" s="13" t="s">
        <v>6400</v>
      </c>
      <c r="E753" s="8"/>
      <c r="F753" s="7" t="s">
        <v>4348</v>
      </c>
      <c r="G753" s="7" t="s">
        <v>25</v>
      </c>
      <c r="H753" s="58"/>
      <c r="I753" s="23"/>
      <c r="J753" s="24"/>
      <c r="M753" s="4"/>
      <c r="N753" s="76"/>
      <c r="O753" s="76"/>
      <c r="P753" s="76" t="str">
        <f t="shared" si="133"/>
        <v>,shikkan740_start_date</v>
      </c>
      <c r="Q753" s="76" t="str">
        <f t="shared" si="134"/>
        <v>DATE</v>
      </c>
      <c r="R753" s="76" t="str">
        <f t="shared" si="135"/>
        <v/>
      </c>
      <c r="S753" s="76" t="str">
        <f t="shared" si="136"/>
        <v/>
      </c>
      <c r="T753" s="76" t="str">
        <f t="shared" si="137"/>
        <v>-- J64_疾患開始日</v>
      </c>
      <c r="U753" s="4" t="str">
        <f t="shared" si="115"/>
        <v>, CASE WHEN shikkan_disp_name = 'J64' THEN min_shikkan_start_date ::DATE ELSE NULL END AS shikkan740_start_date</v>
      </c>
      <c r="V753" s="25" t="str">
        <f t="shared" si="116"/>
        <v>, max(shikkan740_start_date)</v>
      </c>
      <c r="AA753" s="4"/>
      <c r="AB753" s="4"/>
      <c r="AC753" s="4"/>
      <c r="AD753" s="4"/>
      <c r="AE753" s="4"/>
      <c r="AF753" s="4"/>
      <c r="AG753" s="4"/>
      <c r="AH753" s="4"/>
      <c r="AI753" s="4"/>
      <c r="AJ753" s="76" t="str">
        <f>IF(E753="○",IF(COUNTA(E$13:E753)=1,"",",")&amp;D753,"")</f>
        <v/>
      </c>
      <c r="AK753" s="4"/>
      <c r="AL753" s="4"/>
      <c r="AM753" s="4"/>
      <c r="AN753" s="4"/>
      <c r="AO753" s="4"/>
      <c r="AP753" s="4"/>
      <c r="AQ753" s="4"/>
      <c r="AR753" s="4"/>
      <c r="AS753" s="76" t="str">
        <f>"COMMENT ON COLUMN "&amp;エンティティ一覧!$O$2&amp;"."&amp;D$8&amp;"."&amp;D753&amp;" IS '"&amp;C753&amp;"';"</f>
        <v>COMMENT ON COLUMN milscm_2023_009.sny_202310_annony_shikkan2.shikkan740_start_date IS 'J64_疾患開始日';</v>
      </c>
    </row>
    <row r="754" spans="1:45" s="25" customFormat="1">
      <c r="A754" s="4" t="s">
        <v>5071</v>
      </c>
      <c r="B754" s="21">
        <f t="shared" si="132"/>
        <v>742</v>
      </c>
      <c r="C754" s="13" t="str">
        <f t="shared" si="131"/>
        <v>J65_疾患開始日</v>
      </c>
      <c r="D754" s="13" t="s">
        <v>6401</v>
      </c>
      <c r="E754" s="8"/>
      <c r="F754" s="7" t="s">
        <v>4348</v>
      </c>
      <c r="G754" s="7" t="s">
        <v>25</v>
      </c>
      <c r="H754" s="58"/>
      <c r="I754" s="23"/>
      <c r="J754" s="24"/>
      <c r="M754" s="4"/>
      <c r="N754" s="76"/>
      <c r="O754" s="76"/>
      <c r="P754" s="76" t="str">
        <f t="shared" si="133"/>
        <v>,shikkan741_start_date</v>
      </c>
      <c r="Q754" s="76" t="str">
        <f t="shared" si="134"/>
        <v>DATE</v>
      </c>
      <c r="R754" s="76" t="str">
        <f t="shared" si="135"/>
        <v/>
      </c>
      <c r="S754" s="76" t="str">
        <f t="shared" si="136"/>
        <v/>
      </c>
      <c r="T754" s="76" t="str">
        <f t="shared" si="137"/>
        <v>-- J65_疾患開始日</v>
      </c>
      <c r="U754" s="4" t="str">
        <f t="shared" si="115"/>
        <v>, CASE WHEN shikkan_disp_name = 'J65' THEN min_shikkan_start_date ::DATE ELSE NULL END AS shikkan741_start_date</v>
      </c>
      <c r="V754" s="25" t="str">
        <f t="shared" si="116"/>
        <v>, max(shikkan741_start_date)</v>
      </c>
      <c r="AA754" s="4"/>
      <c r="AB754" s="4"/>
      <c r="AC754" s="4"/>
      <c r="AD754" s="4"/>
      <c r="AE754" s="4"/>
      <c r="AF754" s="4"/>
      <c r="AG754" s="4"/>
      <c r="AH754" s="4"/>
      <c r="AI754" s="4"/>
      <c r="AJ754" s="76" t="str">
        <f>IF(E754="○",IF(COUNTA(E$13:E754)=1,"",",")&amp;D754,"")</f>
        <v/>
      </c>
      <c r="AK754" s="4"/>
      <c r="AL754" s="4"/>
      <c r="AM754" s="4"/>
      <c r="AN754" s="4"/>
      <c r="AO754" s="4"/>
      <c r="AP754" s="4"/>
      <c r="AQ754" s="4"/>
      <c r="AR754" s="4"/>
      <c r="AS754" s="76" t="str">
        <f>"COMMENT ON COLUMN "&amp;エンティティ一覧!$O$2&amp;"."&amp;D$8&amp;"."&amp;D754&amp;" IS '"&amp;C754&amp;"';"</f>
        <v>COMMENT ON COLUMN milscm_2023_009.sny_202310_annony_shikkan2.shikkan741_start_date IS 'J65_疾患開始日';</v>
      </c>
    </row>
    <row r="755" spans="1:45" s="25" customFormat="1">
      <c r="A755" s="4" t="s">
        <v>5819</v>
      </c>
      <c r="B755" s="21">
        <f t="shared" si="132"/>
        <v>743</v>
      </c>
      <c r="C755" s="13" t="str">
        <f t="shared" si="131"/>
        <v>J660_疾患開始日</v>
      </c>
      <c r="D755" s="13" t="s">
        <v>6402</v>
      </c>
      <c r="E755" s="8"/>
      <c r="F755" s="7" t="s">
        <v>4348</v>
      </c>
      <c r="G755" s="7" t="s">
        <v>25</v>
      </c>
      <c r="H755" s="58"/>
      <c r="I755" s="23"/>
      <c r="J755" s="24"/>
      <c r="M755" s="4"/>
      <c r="N755" s="76"/>
      <c r="O755" s="76"/>
      <c r="P755" s="76" t="str">
        <f t="shared" si="133"/>
        <v>,shikkan742_start_date</v>
      </c>
      <c r="Q755" s="76" t="str">
        <f t="shared" si="134"/>
        <v>DATE</v>
      </c>
      <c r="R755" s="76" t="str">
        <f t="shared" si="135"/>
        <v/>
      </c>
      <c r="S755" s="76" t="str">
        <f t="shared" si="136"/>
        <v/>
      </c>
      <c r="T755" s="76" t="str">
        <f t="shared" si="137"/>
        <v>-- J660_疾患開始日</v>
      </c>
      <c r="U755" s="4" t="str">
        <f t="shared" si="115"/>
        <v>, CASE WHEN shikkan_disp_name = 'J660' THEN min_shikkan_start_date ::DATE ELSE NULL END AS shikkan742_start_date</v>
      </c>
      <c r="V755" s="25" t="str">
        <f t="shared" si="116"/>
        <v>, max(shikkan742_start_date)</v>
      </c>
      <c r="AA755" s="4"/>
      <c r="AB755" s="4"/>
      <c r="AC755" s="4"/>
      <c r="AD755" s="4"/>
      <c r="AE755" s="4"/>
      <c r="AF755" s="4"/>
      <c r="AG755" s="4"/>
      <c r="AH755" s="4"/>
      <c r="AI755" s="4"/>
      <c r="AJ755" s="76" t="str">
        <f>IF(E755="○",IF(COUNTA(E$13:E755)=1,"",",")&amp;D755,"")</f>
        <v/>
      </c>
      <c r="AK755" s="4"/>
      <c r="AL755" s="4"/>
      <c r="AM755" s="4"/>
      <c r="AN755" s="4"/>
      <c r="AO755" s="4"/>
      <c r="AP755" s="4"/>
      <c r="AQ755" s="4"/>
      <c r="AR755" s="4"/>
      <c r="AS755" s="76" t="str">
        <f>"COMMENT ON COLUMN "&amp;エンティティ一覧!$O$2&amp;"."&amp;D$8&amp;"."&amp;D755&amp;" IS '"&amp;C755&amp;"';"</f>
        <v>COMMENT ON COLUMN milscm_2023_009.sny_202310_annony_shikkan2.shikkan742_start_date IS 'J660_疾患開始日';</v>
      </c>
    </row>
    <row r="756" spans="1:45" s="25" customFormat="1">
      <c r="A756" s="4" t="s">
        <v>5820</v>
      </c>
      <c r="B756" s="21">
        <f t="shared" si="132"/>
        <v>744</v>
      </c>
      <c r="C756" s="13" t="str">
        <f t="shared" si="131"/>
        <v>J661_疾患開始日</v>
      </c>
      <c r="D756" s="13" t="s">
        <v>6403</v>
      </c>
      <c r="E756" s="8"/>
      <c r="F756" s="7" t="s">
        <v>4348</v>
      </c>
      <c r="G756" s="7" t="s">
        <v>25</v>
      </c>
      <c r="H756" s="58"/>
      <c r="I756" s="23"/>
      <c r="J756" s="24"/>
      <c r="M756" s="4"/>
      <c r="N756" s="76"/>
      <c r="O756" s="76"/>
      <c r="P756" s="76" t="str">
        <f t="shared" si="133"/>
        <v>,shikkan743_start_date</v>
      </c>
      <c r="Q756" s="76" t="str">
        <f t="shared" si="134"/>
        <v>DATE</v>
      </c>
      <c r="R756" s="76" t="str">
        <f t="shared" si="135"/>
        <v/>
      </c>
      <c r="S756" s="76" t="str">
        <f t="shared" si="136"/>
        <v/>
      </c>
      <c r="T756" s="76" t="str">
        <f t="shared" si="137"/>
        <v>-- J661_疾患開始日</v>
      </c>
      <c r="U756" s="4" t="str">
        <f t="shared" si="115"/>
        <v>, CASE WHEN shikkan_disp_name = 'J661' THEN min_shikkan_start_date ::DATE ELSE NULL END AS shikkan743_start_date</v>
      </c>
      <c r="V756" s="25" t="str">
        <f t="shared" si="116"/>
        <v>, max(shikkan743_start_date)</v>
      </c>
      <c r="AA756" s="4"/>
      <c r="AB756" s="4"/>
      <c r="AC756" s="4"/>
      <c r="AD756" s="4"/>
      <c r="AE756" s="4"/>
      <c r="AF756" s="4"/>
      <c r="AG756" s="4"/>
      <c r="AH756" s="4"/>
      <c r="AI756" s="4"/>
      <c r="AJ756" s="76" t="str">
        <f>IF(E756="○",IF(COUNTA(E$13:E756)=1,"",",")&amp;D756,"")</f>
        <v/>
      </c>
      <c r="AK756" s="4"/>
      <c r="AL756" s="4"/>
      <c r="AM756" s="4"/>
      <c r="AN756" s="4"/>
      <c r="AO756" s="4"/>
      <c r="AP756" s="4"/>
      <c r="AQ756" s="4"/>
      <c r="AR756" s="4"/>
      <c r="AS756" s="76" t="str">
        <f>"COMMENT ON COLUMN "&amp;エンティティ一覧!$O$2&amp;"."&amp;D$8&amp;"."&amp;D756&amp;" IS '"&amp;C756&amp;"';"</f>
        <v>COMMENT ON COLUMN milscm_2023_009.sny_202310_annony_shikkan2.shikkan743_start_date IS 'J661_疾患開始日';</v>
      </c>
    </row>
    <row r="757" spans="1:45" s="25" customFormat="1">
      <c r="A757" s="4" t="s">
        <v>5821</v>
      </c>
      <c r="B757" s="21">
        <f t="shared" si="132"/>
        <v>745</v>
      </c>
      <c r="C757" s="13" t="str">
        <f t="shared" si="131"/>
        <v>J662_疾患開始日</v>
      </c>
      <c r="D757" s="13" t="s">
        <v>6404</v>
      </c>
      <c r="E757" s="8"/>
      <c r="F757" s="7" t="s">
        <v>4348</v>
      </c>
      <c r="G757" s="7" t="s">
        <v>25</v>
      </c>
      <c r="H757" s="58"/>
      <c r="I757" s="23"/>
      <c r="J757" s="24"/>
      <c r="M757" s="4"/>
      <c r="N757" s="76"/>
      <c r="O757" s="76"/>
      <c r="P757" s="76" t="str">
        <f t="shared" si="133"/>
        <v>,shikkan744_start_date</v>
      </c>
      <c r="Q757" s="76" t="str">
        <f t="shared" si="134"/>
        <v>DATE</v>
      </c>
      <c r="R757" s="76" t="str">
        <f t="shared" si="135"/>
        <v/>
      </c>
      <c r="S757" s="76" t="str">
        <f t="shared" si="136"/>
        <v/>
      </c>
      <c r="T757" s="76" t="str">
        <f t="shared" si="137"/>
        <v>-- J662_疾患開始日</v>
      </c>
      <c r="U757" s="4" t="str">
        <f t="shared" si="115"/>
        <v>, CASE WHEN shikkan_disp_name = 'J662' THEN min_shikkan_start_date ::DATE ELSE NULL END AS shikkan744_start_date</v>
      </c>
      <c r="V757" s="25" t="str">
        <f t="shared" si="116"/>
        <v>, max(shikkan744_start_date)</v>
      </c>
      <c r="AA757" s="4"/>
      <c r="AB757" s="4"/>
      <c r="AC757" s="4"/>
      <c r="AD757" s="4"/>
      <c r="AE757" s="4"/>
      <c r="AF757" s="4"/>
      <c r="AG757" s="4"/>
      <c r="AH757" s="4"/>
      <c r="AI757" s="4"/>
      <c r="AJ757" s="76" t="str">
        <f>IF(E757="○",IF(COUNTA(E$13:E757)=1,"",",")&amp;D757,"")</f>
        <v/>
      </c>
      <c r="AK757" s="4"/>
      <c r="AL757" s="4"/>
      <c r="AM757" s="4"/>
      <c r="AN757" s="4"/>
      <c r="AO757" s="4"/>
      <c r="AP757" s="4"/>
      <c r="AQ757" s="4"/>
      <c r="AR757" s="4"/>
      <c r="AS757" s="76" t="str">
        <f>"COMMENT ON COLUMN "&amp;エンティティ一覧!$O$2&amp;"."&amp;D$8&amp;"."&amp;D757&amp;" IS '"&amp;C757&amp;"';"</f>
        <v>COMMENT ON COLUMN milscm_2023_009.sny_202310_annony_shikkan2.shikkan744_start_date IS 'J662_疾患開始日';</v>
      </c>
    </row>
    <row r="758" spans="1:45" s="25" customFormat="1">
      <c r="A758" s="4" t="s">
        <v>5822</v>
      </c>
      <c r="B758" s="21">
        <f t="shared" si="132"/>
        <v>746</v>
      </c>
      <c r="C758" s="13" t="str">
        <f t="shared" si="131"/>
        <v>J668_疾患開始日</v>
      </c>
      <c r="D758" s="13" t="s">
        <v>6405</v>
      </c>
      <c r="E758" s="8"/>
      <c r="F758" s="7" t="s">
        <v>4348</v>
      </c>
      <c r="G758" s="7" t="s">
        <v>25</v>
      </c>
      <c r="H758" s="58"/>
      <c r="I758" s="23"/>
      <c r="J758" s="24"/>
      <c r="M758" s="4"/>
      <c r="N758" s="76"/>
      <c r="O758" s="76"/>
      <c r="P758" s="76" t="str">
        <f t="shared" si="133"/>
        <v>,shikkan745_start_date</v>
      </c>
      <c r="Q758" s="76" t="str">
        <f t="shared" si="134"/>
        <v>DATE</v>
      </c>
      <c r="R758" s="76" t="str">
        <f t="shared" si="135"/>
        <v/>
      </c>
      <c r="S758" s="76" t="str">
        <f t="shared" si="136"/>
        <v/>
      </c>
      <c r="T758" s="76" t="str">
        <f t="shared" si="137"/>
        <v>-- J668_疾患開始日</v>
      </c>
      <c r="U758" s="4" t="str">
        <f t="shared" si="115"/>
        <v>, CASE WHEN shikkan_disp_name = 'J668' THEN min_shikkan_start_date ::DATE ELSE NULL END AS shikkan745_start_date</v>
      </c>
      <c r="V758" s="25" t="str">
        <f t="shared" si="116"/>
        <v>, max(shikkan745_start_date)</v>
      </c>
      <c r="AA758" s="4"/>
      <c r="AB758" s="4"/>
      <c r="AC758" s="4"/>
      <c r="AD758" s="4"/>
      <c r="AE758" s="4"/>
      <c r="AF758" s="4"/>
      <c r="AG758" s="4"/>
      <c r="AH758" s="4"/>
      <c r="AI758" s="4"/>
      <c r="AJ758" s="76" t="str">
        <f>IF(E758="○",IF(COUNTA(E$13:E758)=1,"",",")&amp;D758,"")</f>
        <v/>
      </c>
      <c r="AK758" s="4"/>
      <c r="AL758" s="4"/>
      <c r="AM758" s="4"/>
      <c r="AN758" s="4"/>
      <c r="AO758" s="4"/>
      <c r="AP758" s="4"/>
      <c r="AQ758" s="4"/>
      <c r="AR758" s="4"/>
      <c r="AS758" s="76" t="str">
        <f>"COMMENT ON COLUMN "&amp;エンティティ一覧!$O$2&amp;"."&amp;D$8&amp;"."&amp;D758&amp;" IS '"&amp;C758&amp;"';"</f>
        <v>COMMENT ON COLUMN milscm_2023_009.sny_202310_annony_shikkan2.shikkan745_start_date IS 'J668_疾患開始日';</v>
      </c>
    </row>
    <row r="759" spans="1:45" s="25" customFormat="1">
      <c r="A759" s="4" t="s">
        <v>5823</v>
      </c>
      <c r="B759" s="21">
        <f t="shared" si="132"/>
        <v>747</v>
      </c>
      <c r="C759" s="13" t="str">
        <f t="shared" si="131"/>
        <v>J670_疾患開始日</v>
      </c>
      <c r="D759" s="13" t="s">
        <v>6406</v>
      </c>
      <c r="E759" s="8"/>
      <c r="F759" s="7" t="s">
        <v>4348</v>
      </c>
      <c r="G759" s="7" t="s">
        <v>25</v>
      </c>
      <c r="H759" s="58"/>
      <c r="I759" s="23"/>
      <c r="J759" s="24"/>
      <c r="M759" s="4"/>
      <c r="N759" s="76"/>
      <c r="O759" s="76"/>
      <c r="P759" s="76" t="str">
        <f t="shared" si="133"/>
        <v>,shikkan746_start_date</v>
      </c>
      <c r="Q759" s="76" t="str">
        <f t="shared" si="134"/>
        <v>DATE</v>
      </c>
      <c r="R759" s="76" t="str">
        <f t="shared" si="135"/>
        <v/>
      </c>
      <c r="S759" s="76" t="str">
        <f t="shared" si="136"/>
        <v/>
      </c>
      <c r="T759" s="76" t="str">
        <f t="shared" si="137"/>
        <v>-- J670_疾患開始日</v>
      </c>
      <c r="U759" s="4" t="str">
        <f t="shared" si="115"/>
        <v>, CASE WHEN shikkan_disp_name = 'J670' THEN min_shikkan_start_date ::DATE ELSE NULL END AS shikkan746_start_date</v>
      </c>
      <c r="V759" s="25" t="str">
        <f t="shared" si="116"/>
        <v>, max(shikkan746_start_date)</v>
      </c>
      <c r="AA759" s="4"/>
      <c r="AB759" s="4"/>
      <c r="AC759" s="4"/>
      <c r="AD759" s="4"/>
      <c r="AE759" s="4"/>
      <c r="AF759" s="4"/>
      <c r="AG759" s="4"/>
      <c r="AH759" s="4"/>
      <c r="AI759" s="4"/>
      <c r="AJ759" s="76" t="str">
        <f>IF(E759="○",IF(COUNTA(E$13:E759)=1,"",",")&amp;D759,"")</f>
        <v/>
      </c>
      <c r="AK759" s="4"/>
      <c r="AL759" s="4"/>
      <c r="AM759" s="4"/>
      <c r="AN759" s="4"/>
      <c r="AO759" s="4"/>
      <c r="AP759" s="4"/>
      <c r="AQ759" s="4"/>
      <c r="AR759" s="4"/>
      <c r="AS759" s="76" t="str">
        <f>"COMMENT ON COLUMN "&amp;エンティティ一覧!$O$2&amp;"."&amp;D$8&amp;"."&amp;D759&amp;" IS '"&amp;C759&amp;"';"</f>
        <v>COMMENT ON COLUMN milscm_2023_009.sny_202310_annony_shikkan2.shikkan746_start_date IS 'J670_疾患開始日';</v>
      </c>
    </row>
    <row r="760" spans="1:45" s="25" customFormat="1">
      <c r="A760" s="4" t="s">
        <v>5824</v>
      </c>
      <c r="B760" s="21">
        <f t="shared" si="132"/>
        <v>748</v>
      </c>
      <c r="C760" s="13" t="str">
        <f t="shared" si="131"/>
        <v>J671_疾患開始日</v>
      </c>
      <c r="D760" s="13" t="s">
        <v>6407</v>
      </c>
      <c r="E760" s="8"/>
      <c r="F760" s="7" t="s">
        <v>4348</v>
      </c>
      <c r="G760" s="7" t="s">
        <v>25</v>
      </c>
      <c r="H760" s="58"/>
      <c r="I760" s="23"/>
      <c r="J760" s="24"/>
      <c r="M760" s="4"/>
      <c r="N760" s="76"/>
      <c r="O760" s="76"/>
      <c r="P760" s="76" t="str">
        <f t="shared" si="133"/>
        <v>,shikkan747_start_date</v>
      </c>
      <c r="Q760" s="76" t="str">
        <f t="shared" si="134"/>
        <v>DATE</v>
      </c>
      <c r="R760" s="76" t="str">
        <f t="shared" si="135"/>
        <v/>
      </c>
      <c r="S760" s="76" t="str">
        <f t="shared" si="136"/>
        <v/>
      </c>
      <c r="T760" s="76" t="str">
        <f t="shared" si="137"/>
        <v>-- J671_疾患開始日</v>
      </c>
      <c r="U760" s="4" t="str">
        <f t="shared" si="115"/>
        <v>, CASE WHEN shikkan_disp_name = 'J671' THEN min_shikkan_start_date ::DATE ELSE NULL END AS shikkan747_start_date</v>
      </c>
      <c r="V760" s="25" t="str">
        <f t="shared" si="116"/>
        <v>, max(shikkan747_start_date)</v>
      </c>
      <c r="AA760" s="4"/>
      <c r="AB760" s="4"/>
      <c r="AC760" s="4"/>
      <c r="AD760" s="4"/>
      <c r="AE760" s="4"/>
      <c r="AF760" s="4"/>
      <c r="AG760" s="4"/>
      <c r="AH760" s="4"/>
      <c r="AI760" s="4"/>
      <c r="AJ760" s="76" t="str">
        <f>IF(E760="○",IF(COUNTA(E$13:E760)=1,"",",")&amp;D760,"")</f>
        <v/>
      </c>
      <c r="AK760" s="4"/>
      <c r="AL760" s="4"/>
      <c r="AM760" s="4"/>
      <c r="AN760" s="4"/>
      <c r="AO760" s="4"/>
      <c r="AP760" s="4"/>
      <c r="AQ760" s="4"/>
      <c r="AR760" s="4"/>
      <c r="AS760" s="76" t="str">
        <f>"COMMENT ON COLUMN "&amp;エンティティ一覧!$O$2&amp;"."&amp;D$8&amp;"."&amp;D760&amp;" IS '"&amp;C760&amp;"';"</f>
        <v>COMMENT ON COLUMN milscm_2023_009.sny_202310_annony_shikkan2.shikkan747_start_date IS 'J671_疾患開始日';</v>
      </c>
    </row>
    <row r="761" spans="1:45" s="25" customFormat="1">
      <c r="A761" s="4" t="s">
        <v>5825</v>
      </c>
      <c r="B761" s="21">
        <f t="shared" si="132"/>
        <v>749</v>
      </c>
      <c r="C761" s="13" t="str">
        <f t="shared" si="131"/>
        <v>J672_疾患開始日</v>
      </c>
      <c r="D761" s="13" t="s">
        <v>6408</v>
      </c>
      <c r="E761" s="8"/>
      <c r="F761" s="7" t="s">
        <v>4348</v>
      </c>
      <c r="G761" s="7" t="s">
        <v>25</v>
      </c>
      <c r="H761" s="58"/>
      <c r="I761" s="23"/>
      <c r="J761" s="24"/>
      <c r="M761" s="4"/>
      <c r="N761" s="76"/>
      <c r="O761" s="76"/>
      <c r="P761" s="76" t="str">
        <f t="shared" si="133"/>
        <v>,shikkan748_start_date</v>
      </c>
      <c r="Q761" s="76" t="str">
        <f t="shared" si="134"/>
        <v>DATE</v>
      </c>
      <c r="R761" s="76" t="str">
        <f t="shared" si="135"/>
        <v/>
      </c>
      <c r="S761" s="76" t="str">
        <f t="shared" si="136"/>
        <v/>
      </c>
      <c r="T761" s="76" t="str">
        <f t="shared" si="137"/>
        <v>-- J672_疾患開始日</v>
      </c>
      <c r="U761" s="4" t="str">
        <f t="shared" si="115"/>
        <v>, CASE WHEN shikkan_disp_name = 'J672' THEN min_shikkan_start_date ::DATE ELSE NULL END AS shikkan748_start_date</v>
      </c>
      <c r="V761" s="25" t="str">
        <f t="shared" si="116"/>
        <v>, max(shikkan748_start_date)</v>
      </c>
      <c r="AA761" s="4"/>
      <c r="AB761" s="4"/>
      <c r="AC761" s="4"/>
      <c r="AD761" s="4"/>
      <c r="AE761" s="4"/>
      <c r="AF761" s="4"/>
      <c r="AG761" s="4"/>
      <c r="AH761" s="4"/>
      <c r="AI761" s="4"/>
      <c r="AJ761" s="76" t="str">
        <f>IF(E761="○",IF(COUNTA(E$13:E761)=1,"",",")&amp;D761,"")</f>
        <v/>
      </c>
      <c r="AK761" s="4"/>
      <c r="AL761" s="4"/>
      <c r="AM761" s="4"/>
      <c r="AN761" s="4"/>
      <c r="AO761" s="4"/>
      <c r="AP761" s="4"/>
      <c r="AQ761" s="4"/>
      <c r="AR761" s="4"/>
      <c r="AS761" s="76" t="str">
        <f>"COMMENT ON COLUMN "&amp;エンティティ一覧!$O$2&amp;"."&amp;D$8&amp;"."&amp;D761&amp;" IS '"&amp;C761&amp;"';"</f>
        <v>COMMENT ON COLUMN milscm_2023_009.sny_202310_annony_shikkan2.shikkan748_start_date IS 'J672_疾患開始日';</v>
      </c>
    </row>
    <row r="762" spans="1:45" s="25" customFormat="1">
      <c r="A762" s="4" t="s">
        <v>5826</v>
      </c>
      <c r="B762" s="21">
        <f t="shared" si="132"/>
        <v>750</v>
      </c>
      <c r="C762" s="13" t="str">
        <f t="shared" si="131"/>
        <v>J673_疾患開始日</v>
      </c>
      <c r="D762" s="13" t="s">
        <v>6409</v>
      </c>
      <c r="E762" s="8"/>
      <c r="F762" s="7" t="s">
        <v>4348</v>
      </c>
      <c r="G762" s="7" t="s">
        <v>25</v>
      </c>
      <c r="H762" s="58"/>
      <c r="I762" s="23"/>
      <c r="J762" s="24"/>
      <c r="M762" s="4"/>
      <c r="N762" s="76"/>
      <c r="O762" s="76"/>
      <c r="P762" s="76" t="str">
        <f t="shared" si="133"/>
        <v>,shikkan749_start_date</v>
      </c>
      <c r="Q762" s="76" t="str">
        <f t="shared" si="134"/>
        <v>DATE</v>
      </c>
      <c r="R762" s="76" t="str">
        <f t="shared" si="135"/>
        <v/>
      </c>
      <c r="S762" s="76" t="str">
        <f t="shared" si="136"/>
        <v/>
      </c>
      <c r="T762" s="76" t="str">
        <f t="shared" si="137"/>
        <v>-- J673_疾患開始日</v>
      </c>
      <c r="U762" s="4" t="str">
        <f t="shared" si="115"/>
        <v>, CASE WHEN shikkan_disp_name = 'J673' THEN min_shikkan_start_date ::DATE ELSE NULL END AS shikkan749_start_date</v>
      </c>
      <c r="V762" s="25" t="str">
        <f t="shared" si="116"/>
        <v>, max(shikkan749_start_date)</v>
      </c>
      <c r="AA762" s="4"/>
      <c r="AB762" s="4"/>
      <c r="AC762" s="4"/>
      <c r="AD762" s="4"/>
      <c r="AE762" s="4"/>
      <c r="AF762" s="4"/>
      <c r="AG762" s="4"/>
      <c r="AH762" s="4"/>
      <c r="AI762" s="4"/>
      <c r="AJ762" s="76" t="str">
        <f>IF(E762="○",IF(COUNTA(E$13:E762)=1,"",",")&amp;D762,"")</f>
        <v/>
      </c>
      <c r="AK762" s="4"/>
      <c r="AL762" s="4"/>
      <c r="AM762" s="4"/>
      <c r="AN762" s="4"/>
      <c r="AO762" s="4"/>
      <c r="AP762" s="4"/>
      <c r="AQ762" s="4"/>
      <c r="AR762" s="4"/>
      <c r="AS762" s="76" t="str">
        <f>"COMMENT ON COLUMN "&amp;エンティティ一覧!$O$2&amp;"."&amp;D$8&amp;"."&amp;D762&amp;" IS '"&amp;C762&amp;"';"</f>
        <v>COMMENT ON COLUMN milscm_2023_009.sny_202310_annony_shikkan2.shikkan749_start_date IS 'J673_疾患開始日';</v>
      </c>
    </row>
    <row r="763" spans="1:45" s="25" customFormat="1">
      <c r="A763" s="4" t="s">
        <v>5827</v>
      </c>
      <c r="B763" s="21">
        <f t="shared" si="132"/>
        <v>751</v>
      </c>
      <c r="C763" s="13" t="str">
        <f t="shared" si="131"/>
        <v>J674_疾患開始日</v>
      </c>
      <c r="D763" s="13" t="s">
        <v>6410</v>
      </c>
      <c r="E763" s="8"/>
      <c r="F763" s="7" t="s">
        <v>4348</v>
      </c>
      <c r="G763" s="7" t="s">
        <v>25</v>
      </c>
      <c r="H763" s="58"/>
      <c r="I763" s="23"/>
      <c r="J763" s="24"/>
      <c r="M763" s="4"/>
      <c r="N763" s="76"/>
      <c r="O763" s="76"/>
      <c r="P763" s="76" t="str">
        <f t="shared" si="133"/>
        <v>,shikkan750_start_date</v>
      </c>
      <c r="Q763" s="76" t="str">
        <f t="shared" si="134"/>
        <v>DATE</v>
      </c>
      <c r="R763" s="76" t="str">
        <f t="shared" si="135"/>
        <v/>
      </c>
      <c r="S763" s="76" t="str">
        <f t="shared" si="136"/>
        <v/>
      </c>
      <c r="T763" s="76" t="str">
        <f t="shared" si="137"/>
        <v>-- J674_疾患開始日</v>
      </c>
      <c r="U763" s="4" t="str">
        <f t="shared" si="115"/>
        <v>, CASE WHEN shikkan_disp_name = 'J674' THEN min_shikkan_start_date ::DATE ELSE NULL END AS shikkan750_start_date</v>
      </c>
      <c r="V763" s="25" t="str">
        <f t="shared" si="116"/>
        <v>, max(shikkan750_start_date)</v>
      </c>
      <c r="AA763" s="4"/>
      <c r="AB763" s="4"/>
      <c r="AC763" s="4"/>
      <c r="AD763" s="4"/>
      <c r="AE763" s="4"/>
      <c r="AF763" s="4"/>
      <c r="AG763" s="4"/>
      <c r="AH763" s="4"/>
      <c r="AI763" s="4"/>
      <c r="AJ763" s="76" t="str">
        <f>IF(E763="○",IF(COUNTA(E$13:E763)=1,"",",")&amp;D763,"")</f>
        <v/>
      </c>
      <c r="AK763" s="4"/>
      <c r="AL763" s="4"/>
      <c r="AM763" s="4"/>
      <c r="AN763" s="4"/>
      <c r="AO763" s="4"/>
      <c r="AP763" s="4"/>
      <c r="AQ763" s="4"/>
      <c r="AR763" s="4"/>
      <c r="AS763" s="76" t="str">
        <f>"COMMENT ON COLUMN "&amp;エンティティ一覧!$O$2&amp;"."&amp;D$8&amp;"."&amp;D763&amp;" IS '"&amp;C763&amp;"';"</f>
        <v>COMMENT ON COLUMN milscm_2023_009.sny_202310_annony_shikkan2.shikkan750_start_date IS 'J674_疾患開始日';</v>
      </c>
    </row>
    <row r="764" spans="1:45" s="25" customFormat="1">
      <c r="A764" s="4" t="s">
        <v>5828</v>
      </c>
      <c r="B764" s="21">
        <f t="shared" si="132"/>
        <v>752</v>
      </c>
      <c r="C764" s="13" t="str">
        <f t="shared" si="131"/>
        <v>J675_疾患開始日</v>
      </c>
      <c r="D764" s="13" t="s">
        <v>6411</v>
      </c>
      <c r="E764" s="8"/>
      <c r="F764" s="7" t="s">
        <v>4348</v>
      </c>
      <c r="G764" s="7" t="s">
        <v>99</v>
      </c>
      <c r="H764" s="58"/>
      <c r="I764" s="23"/>
      <c r="J764" s="24"/>
      <c r="M764" s="4"/>
      <c r="N764" s="76"/>
      <c r="O764" s="76"/>
      <c r="P764" s="76" t="str">
        <f t="shared" si="133"/>
        <v>,shikkan751_start_date</v>
      </c>
      <c r="Q764" s="76" t="str">
        <f t="shared" si="134"/>
        <v>DATE</v>
      </c>
      <c r="R764" s="76" t="str">
        <f t="shared" si="135"/>
        <v/>
      </c>
      <c r="S764" s="76" t="str">
        <f t="shared" si="136"/>
        <v/>
      </c>
      <c r="T764" s="76" t="str">
        <f t="shared" si="137"/>
        <v>-- J675_疾患開始日</v>
      </c>
      <c r="U764" s="4" t="str">
        <f t="shared" si="115"/>
        <v>, CASE WHEN shikkan_disp_name = 'J675' THEN min_shikkan_start_date ::DATE ELSE NULL END AS shikkan751_start_date</v>
      </c>
      <c r="V764" s="25" t="str">
        <f t="shared" si="116"/>
        <v>, max(shikkan751_start_date)</v>
      </c>
      <c r="AA764" s="4"/>
      <c r="AB764" s="4"/>
      <c r="AC764" s="4"/>
      <c r="AD764" s="4"/>
      <c r="AE764" s="4"/>
      <c r="AF764" s="4"/>
      <c r="AG764" s="4"/>
      <c r="AH764" s="4"/>
      <c r="AI764" s="4"/>
      <c r="AJ764" s="76" t="str">
        <f>IF(E764="○",IF(COUNTA(E$13:E764)=1,"",",")&amp;D764,"")</f>
        <v/>
      </c>
      <c r="AK764" s="4"/>
      <c r="AL764" s="4"/>
      <c r="AM764" s="4"/>
      <c r="AN764" s="4"/>
      <c r="AO764" s="4"/>
      <c r="AP764" s="4"/>
      <c r="AQ764" s="4"/>
      <c r="AR764" s="4"/>
      <c r="AS764" s="76" t="str">
        <f>"COMMENT ON COLUMN "&amp;エンティティ一覧!$O$2&amp;"."&amp;D$8&amp;"."&amp;D764&amp;" IS '"&amp;C764&amp;"';"</f>
        <v>COMMENT ON COLUMN milscm_2023_009.sny_202310_annony_shikkan2.shikkan751_start_date IS 'J675_疾患開始日';</v>
      </c>
    </row>
    <row r="765" spans="1:45" s="25" customFormat="1">
      <c r="A765" s="4" t="s">
        <v>5829</v>
      </c>
      <c r="B765" s="21">
        <f t="shared" si="132"/>
        <v>753</v>
      </c>
      <c r="C765" s="13" t="str">
        <f t="shared" si="131"/>
        <v>J676_疾患開始日</v>
      </c>
      <c r="D765" s="13" t="s">
        <v>6412</v>
      </c>
      <c r="E765" s="8"/>
      <c r="F765" s="7" t="s">
        <v>4348</v>
      </c>
      <c r="G765" s="7" t="s">
        <v>25</v>
      </c>
      <c r="H765" s="58"/>
      <c r="I765" s="23"/>
      <c r="J765" s="24"/>
      <c r="M765" s="4"/>
      <c r="N765" s="76"/>
      <c r="O765" s="76"/>
      <c r="P765" s="76" t="str">
        <f t="shared" si="133"/>
        <v>,shikkan752_start_date</v>
      </c>
      <c r="Q765" s="76" t="str">
        <f t="shared" si="134"/>
        <v>DATE</v>
      </c>
      <c r="R765" s="76" t="str">
        <f t="shared" si="135"/>
        <v/>
      </c>
      <c r="S765" s="76" t="str">
        <f t="shared" si="136"/>
        <v/>
      </c>
      <c r="T765" s="76" t="str">
        <f t="shared" si="137"/>
        <v>-- J676_疾患開始日</v>
      </c>
      <c r="U765" s="4" t="str">
        <f t="shared" si="115"/>
        <v>, CASE WHEN shikkan_disp_name = 'J676' THEN min_shikkan_start_date ::DATE ELSE NULL END AS shikkan752_start_date</v>
      </c>
      <c r="V765" s="25" t="str">
        <f t="shared" si="116"/>
        <v>, max(shikkan752_start_date)</v>
      </c>
      <c r="AA765" s="4"/>
      <c r="AB765" s="4"/>
      <c r="AC765" s="4"/>
      <c r="AD765" s="4"/>
      <c r="AE765" s="4"/>
      <c r="AF765" s="4"/>
      <c r="AG765" s="4"/>
      <c r="AH765" s="4"/>
      <c r="AI765" s="4"/>
      <c r="AJ765" s="76" t="str">
        <f>IF(E765="○",IF(COUNTA(E$13:E765)=1,"",",")&amp;D765,"")</f>
        <v/>
      </c>
      <c r="AK765" s="4"/>
      <c r="AL765" s="4"/>
      <c r="AM765" s="4"/>
      <c r="AN765" s="4"/>
      <c r="AO765" s="4"/>
      <c r="AP765" s="4"/>
      <c r="AQ765" s="4"/>
      <c r="AR765" s="4"/>
      <c r="AS765" s="76" t="str">
        <f>"COMMENT ON COLUMN "&amp;エンティティ一覧!$O$2&amp;"."&amp;D$8&amp;"."&amp;D765&amp;" IS '"&amp;C765&amp;"';"</f>
        <v>COMMENT ON COLUMN milscm_2023_009.sny_202310_annony_shikkan2.shikkan752_start_date IS 'J676_疾患開始日';</v>
      </c>
    </row>
    <row r="766" spans="1:45" s="25" customFormat="1">
      <c r="A766" s="4" t="s">
        <v>5830</v>
      </c>
      <c r="B766" s="21">
        <f t="shared" si="132"/>
        <v>754</v>
      </c>
      <c r="C766" s="13" t="str">
        <f t="shared" si="131"/>
        <v>J677_疾患開始日</v>
      </c>
      <c r="D766" s="13" t="s">
        <v>6413</v>
      </c>
      <c r="E766" s="8"/>
      <c r="F766" s="7" t="s">
        <v>4348</v>
      </c>
      <c r="G766" s="7" t="s">
        <v>25</v>
      </c>
      <c r="H766" s="58"/>
      <c r="I766" s="23"/>
      <c r="J766" s="24"/>
      <c r="M766" s="4"/>
      <c r="N766" s="76"/>
      <c r="O766" s="76"/>
      <c r="P766" s="76" t="str">
        <f t="shared" si="133"/>
        <v>,shikkan753_start_date</v>
      </c>
      <c r="Q766" s="76" t="str">
        <f t="shared" si="134"/>
        <v>DATE</v>
      </c>
      <c r="R766" s="76" t="str">
        <f t="shared" si="135"/>
        <v/>
      </c>
      <c r="S766" s="76" t="str">
        <f t="shared" si="136"/>
        <v/>
      </c>
      <c r="T766" s="76" t="str">
        <f t="shared" si="137"/>
        <v>-- J677_疾患開始日</v>
      </c>
      <c r="U766" s="4" t="str">
        <f t="shared" si="115"/>
        <v>, CASE WHEN shikkan_disp_name = 'J677' THEN min_shikkan_start_date ::DATE ELSE NULL END AS shikkan753_start_date</v>
      </c>
      <c r="V766" s="25" t="str">
        <f t="shared" si="116"/>
        <v>, max(shikkan753_start_date)</v>
      </c>
      <c r="AA766" s="4"/>
      <c r="AB766" s="4"/>
      <c r="AC766" s="4"/>
      <c r="AD766" s="4"/>
      <c r="AE766" s="4"/>
      <c r="AF766" s="4"/>
      <c r="AG766" s="4"/>
      <c r="AH766" s="4"/>
      <c r="AI766" s="4"/>
      <c r="AJ766" s="76" t="str">
        <f>IF(E766="○",IF(COUNTA(E$13:E766)=1,"",",")&amp;D766,"")</f>
        <v/>
      </c>
      <c r="AK766" s="4"/>
      <c r="AL766" s="4"/>
      <c r="AM766" s="4"/>
      <c r="AN766" s="4"/>
      <c r="AO766" s="4"/>
      <c r="AP766" s="4"/>
      <c r="AQ766" s="4"/>
      <c r="AR766" s="4"/>
      <c r="AS766" s="76" t="str">
        <f>"COMMENT ON COLUMN "&amp;エンティティ一覧!$O$2&amp;"."&amp;D$8&amp;"."&amp;D766&amp;" IS '"&amp;C766&amp;"';"</f>
        <v>COMMENT ON COLUMN milscm_2023_009.sny_202310_annony_shikkan2.shikkan753_start_date IS 'J677_疾患開始日';</v>
      </c>
    </row>
    <row r="767" spans="1:45" s="25" customFormat="1">
      <c r="A767" s="4" t="s">
        <v>5831</v>
      </c>
      <c r="B767" s="21">
        <f t="shared" si="132"/>
        <v>755</v>
      </c>
      <c r="C767" s="13" t="str">
        <f t="shared" si="131"/>
        <v>J678_疾患開始日</v>
      </c>
      <c r="D767" s="13" t="s">
        <v>6414</v>
      </c>
      <c r="E767" s="8"/>
      <c r="F767" s="7" t="s">
        <v>4348</v>
      </c>
      <c r="G767" s="7" t="s">
        <v>25</v>
      </c>
      <c r="H767" s="58"/>
      <c r="I767" s="23"/>
      <c r="J767" s="24"/>
      <c r="M767" s="4"/>
      <c r="N767" s="76"/>
      <c r="O767" s="76"/>
      <c r="P767" s="76" t="str">
        <f t="shared" si="133"/>
        <v>,shikkan754_start_date</v>
      </c>
      <c r="Q767" s="76" t="str">
        <f t="shared" si="134"/>
        <v>DATE</v>
      </c>
      <c r="R767" s="76" t="str">
        <f t="shared" si="135"/>
        <v/>
      </c>
      <c r="S767" s="76" t="str">
        <f t="shared" si="136"/>
        <v/>
      </c>
      <c r="T767" s="76" t="str">
        <f t="shared" si="137"/>
        <v>-- J678_疾患開始日</v>
      </c>
      <c r="U767" s="4" t="str">
        <f t="shared" si="115"/>
        <v>, CASE WHEN shikkan_disp_name = 'J678' THEN min_shikkan_start_date ::DATE ELSE NULL END AS shikkan754_start_date</v>
      </c>
      <c r="V767" s="25" t="str">
        <f t="shared" si="116"/>
        <v>, max(shikkan754_start_date)</v>
      </c>
      <c r="AA767" s="4"/>
      <c r="AB767" s="4"/>
      <c r="AC767" s="4"/>
      <c r="AD767" s="4"/>
      <c r="AE767" s="4"/>
      <c r="AF767" s="4"/>
      <c r="AG767" s="4"/>
      <c r="AH767" s="4"/>
      <c r="AI767" s="4"/>
      <c r="AJ767" s="76" t="str">
        <f>IF(E767="○",IF(COUNTA(E$13:E767)=1,"",",")&amp;D767,"")</f>
        <v/>
      </c>
      <c r="AK767" s="4"/>
      <c r="AL767" s="4"/>
      <c r="AM767" s="4"/>
      <c r="AN767" s="4"/>
      <c r="AO767" s="4"/>
      <c r="AP767" s="4"/>
      <c r="AQ767" s="4"/>
      <c r="AR767" s="4"/>
      <c r="AS767" s="76" t="str">
        <f>"COMMENT ON COLUMN "&amp;エンティティ一覧!$O$2&amp;"."&amp;D$8&amp;"."&amp;D767&amp;" IS '"&amp;C767&amp;"';"</f>
        <v>COMMENT ON COLUMN milscm_2023_009.sny_202310_annony_shikkan2.shikkan754_start_date IS 'J678_疾患開始日';</v>
      </c>
    </row>
    <row r="768" spans="1:45" s="25" customFormat="1">
      <c r="A768" s="4" t="s">
        <v>5832</v>
      </c>
      <c r="B768" s="21">
        <f t="shared" si="132"/>
        <v>756</v>
      </c>
      <c r="C768" s="13" t="str">
        <f t="shared" si="131"/>
        <v>J679_疾患開始日</v>
      </c>
      <c r="D768" s="13" t="s">
        <v>6415</v>
      </c>
      <c r="E768" s="8"/>
      <c r="F768" s="7" t="s">
        <v>4348</v>
      </c>
      <c r="G768" s="7" t="s">
        <v>25</v>
      </c>
      <c r="H768" s="58"/>
      <c r="I768" s="23"/>
      <c r="J768" s="24"/>
      <c r="M768" s="4"/>
      <c r="N768" s="76"/>
      <c r="O768" s="76"/>
      <c r="P768" s="76" t="str">
        <f t="shared" si="133"/>
        <v>,shikkan755_start_date</v>
      </c>
      <c r="Q768" s="76" t="str">
        <f t="shared" si="134"/>
        <v>DATE</v>
      </c>
      <c r="R768" s="76" t="str">
        <f t="shared" si="135"/>
        <v/>
      </c>
      <c r="S768" s="76" t="str">
        <f t="shared" si="136"/>
        <v/>
      </c>
      <c r="T768" s="76" t="str">
        <f t="shared" si="137"/>
        <v>-- J679_疾患開始日</v>
      </c>
      <c r="U768" s="4" t="str">
        <f t="shared" si="115"/>
        <v>, CASE WHEN shikkan_disp_name = 'J679' THEN min_shikkan_start_date ::DATE ELSE NULL END AS shikkan755_start_date</v>
      </c>
      <c r="V768" s="25" t="str">
        <f t="shared" si="116"/>
        <v>, max(shikkan755_start_date)</v>
      </c>
      <c r="AA768" s="4"/>
      <c r="AB768" s="4"/>
      <c r="AC768" s="4"/>
      <c r="AD768" s="4"/>
      <c r="AE768" s="4"/>
      <c r="AF768" s="4"/>
      <c r="AG768" s="4"/>
      <c r="AH768" s="4"/>
      <c r="AI768" s="4"/>
      <c r="AJ768" s="76" t="str">
        <f>IF(E768="○",IF(COUNTA(E$13:E768)=1,"",",")&amp;D768,"")</f>
        <v/>
      </c>
      <c r="AK768" s="4"/>
      <c r="AL768" s="4"/>
      <c r="AM768" s="4"/>
      <c r="AN768" s="4"/>
      <c r="AO768" s="4"/>
      <c r="AP768" s="4"/>
      <c r="AQ768" s="4"/>
      <c r="AR768" s="4"/>
      <c r="AS768" s="76" t="str">
        <f>"COMMENT ON COLUMN "&amp;エンティティ一覧!$O$2&amp;"."&amp;D$8&amp;"."&amp;D768&amp;" IS '"&amp;C768&amp;"';"</f>
        <v>COMMENT ON COLUMN milscm_2023_009.sny_202310_annony_shikkan2.shikkan755_start_date IS 'J679_疾患開始日';</v>
      </c>
    </row>
    <row r="769" spans="1:45" s="25" customFormat="1">
      <c r="A769" s="4" t="s">
        <v>5833</v>
      </c>
      <c r="B769" s="21">
        <f t="shared" si="132"/>
        <v>757</v>
      </c>
      <c r="C769" s="13" t="str">
        <f t="shared" si="131"/>
        <v>J684_疾患開始日</v>
      </c>
      <c r="D769" s="13" t="s">
        <v>6416</v>
      </c>
      <c r="E769" s="8"/>
      <c r="F769" s="7" t="s">
        <v>4348</v>
      </c>
      <c r="G769" s="7" t="s">
        <v>25</v>
      </c>
      <c r="H769" s="58"/>
      <c r="I769" s="23"/>
      <c r="J769" s="24"/>
      <c r="M769" s="4"/>
      <c r="N769" s="76"/>
      <c r="O769" s="76"/>
      <c r="P769" s="76" t="str">
        <f t="shared" si="133"/>
        <v>,shikkan756_start_date</v>
      </c>
      <c r="Q769" s="76" t="str">
        <f t="shared" si="134"/>
        <v>DATE</v>
      </c>
      <c r="R769" s="76" t="str">
        <f t="shared" si="135"/>
        <v/>
      </c>
      <c r="S769" s="76" t="str">
        <f t="shared" si="136"/>
        <v/>
      </c>
      <c r="T769" s="76" t="str">
        <f t="shared" si="137"/>
        <v>-- J684_疾患開始日</v>
      </c>
      <c r="U769" s="4" t="str">
        <f t="shared" si="115"/>
        <v>, CASE WHEN shikkan_disp_name = 'J684' THEN min_shikkan_start_date ::DATE ELSE NULL END AS shikkan756_start_date</v>
      </c>
      <c r="V769" s="25" t="str">
        <f t="shared" si="116"/>
        <v>, max(shikkan756_start_date)</v>
      </c>
      <c r="AA769" s="4"/>
      <c r="AB769" s="4"/>
      <c r="AC769" s="4"/>
      <c r="AD769" s="4"/>
      <c r="AE769" s="4"/>
      <c r="AF769" s="4"/>
      <c r="AG769" s="4"/>
      <c r="AH769" s="4"/>
      <c r="AI769" s="4"/>
      <c r="AJ769" s="76" t="str">
        <f>IF(E769="○",IF(COUNTA(E$13:E769)=1,"",",")&amp;D769,"")</f>
        <v/>
      </c>
      <c r="AK769" s="4"/>
      <c r="AL769" s="4"/>
      <c r="AM769" s="4"/>
      <c r="AN769" s="4"/>
      <c r="AO769" s="4"/>
      <c r="AP769" s="4"/>
      <c r="AQ769" s="4"/>
      <c r="AR769" s="4"/>
      <c r="AS769" s="76" t="str">
        <f>"COMMENT ON COLUMN "&amp;エンティティ一覧!$O$2&amp;"."&amp;D$8&amp;"."&amp;D769&amp;" IS '"&amp;C769&amp;"';"</f>
        <v>COMMENT ON COLUMN milscm_2023_009.sny_202310_annony_shikkan2.shikkan756_start_date IS 'J684_疾患開始日';</v>
      </c>
    </row>
    <row r="770" spans="1:45" s="25" customFormat="1">
      <c r="A770" s="4" t="s">
        <v>5834</v>
      </c>
      <c r="B770" s="21">
        <f t="shared" si="132"/>
        <v>758</v>
      </c>
      <c r="C770" s="13" t="str">
        <f t="shared" si="131"/>
        <v>J701_疾患開始日</v>
      </c>
      <c r="D770" s="13" t="s">
        <v>6417</v>
      </c>
      <c r="E770" s="8"/>
      <c r="F770" s="7" t="s">
        <v>4348</v>
      </c>
      <c r="G770" s="7" t="s">
        <v>25</v>
      </c>
      <c r="H770" s="58"/>
      <c r="I770" s="23"/>
      <c r="J770" s="24"/>
      <c r="M770" s="4"/>
      <c r="N770" s="76"/>
      <c r="O770" s="76"/>
      <c r="P770" s="76" t="str">
        <f t="shared" si="133"/>
        <v>,shikkan757_start_date</v>
      </c>
      <c r="Q770" s="76" t="str">
        <f t="shared" si="134"/>
        <v>DATE</v>
      </c>
      <c r="R770" s="76" t="str">
        <f t="shared" si="135"/>
        <v/>
      </c>
      <c r="S770" s="76" t="str">
        <f t="shared" si="136"/>
        <v/>
      </c>
      <c r="T770" s="76" t="str">
        <f t="shared" si="137"/>
        <v>-- J701_疾患開始日</v>
      </c>
      <c r="U770" s="4" t="str">
        <f t="shared" si="115"/>
        <v>, CASE WHEN shikkan_disp_name = 'J701' THEN min_shikkan_start_date ::DATE ELSE NULL END AS shikkan757_start_date</v>
      </c>
      <c r="V770" s="25" t="str">
        <f t="shared" si="116"/>
        <v>, max(shikkan757_start_date)</v>
      </c>
      <c r="AA770" s="4"/>
      <c r="AB770" s="4"/>
      <c r="AC770" s="4"/>
      <c r="AD770" s="4"/>
      <c r="AE770" s="4"/>
      <c r="AF770" s="4"/>
      <c r="AG770" s="4"/>
      <c r="AH770" s="4"/>
      <c r="AI770" s="4"/>
      <c r="AJ770" s="76" t="str">
        <f>IF(E770="○",IF(COUNTA(E$13:E770)=1,"",",")&amp;D770,"")</f>
        <v/>
      </c>
      <c r="AK770" s="4"/>
      <c r="AL770" s="4"/>
      <c r="AM770" s="4"/>
      <c r="AN770" s="4"/>
      <c r="AO770" s="4"/>
      <c r="AP770" s="4"/>
      <c r="AQ770" s="4"/>
      <c r="AR770" s="4"/>
      <c r="AS770" s="76" t="str">
        <f>"COMMENT ON COLUMN "&amp;エンティティ一覧!$O$2&amp;"."&amp;D$8&amp;"."&amp;D770&amp;" IS '"&amp;C770&amp;"';"</f>
        <v>COMMENT ON COLUMN milscm_2023_009.sny_202310_annony_shikkan2.shikkan757_start_date IS 'J701_疾患開始日';</v>
      </c>
    </row>
    <row r="771" spans="1:45" s="25" customFormat="1">
      <c r="A771" s="4" t="s">
        <v>5835</v>
      </c>
      <c r="B771" s="21">
        <f t="shared" si="132"/>
        <v>759</v>
      </c>
      <c r="C771" s="13" t="str">
        <f t="shared" si="131"/>
        <v>J703_疾患開始日</v>
      </c>
      <c r="D771" s="13" t="s">
        <v>6418</v>
      </c>
      <c r="E771" s="8"/>
      <c r="F771" s="7" t="s">
        <v>4348</v>
      </c>
      <c r="G771" s="7" t="s">
        <v>25</v>
      </c>
      <c r="H771" s="58"/>
      <c r="I771" s="23"/>
      <c r="J771" s="24"/>
      <c r="M771" s="4"/>
      <c r="N771" s="76"/>
      <c r="O771" s="76"/>
      <c r="P771" s="76" t="str">
        <f t="shared" si="133"/>
        <v>,shikkan758_start_date</v>
      </c>
      <c r="Q771" s="76" t="str">
        <f t="shared" si="134"/>
        <v>DATE</v>
      </c>
      <c r="R771" s="76" t="str">
        <f t="shared" si="135"/>
        <v/>
      </c>
      <c r="S771" s="76" t="str">
        <f t="shared" si="136"/>
        <v/>
      </c>
      <c r="T771" s="76" t="str">
        <f t="shared" si="137"/>
        <v>-- J703_疾患開始日</v>
      </c>
      <c r="U771" s="4" t="str">
        <f t="shared" si="115"/>
        <v>, CASE WHEN shikkan_disp_name = 'J703' THEN min_shikkan_start_date ::DATE ELSE NULL END AS shikkan758_start_date</v>
      </c>
      <c r="V771" s="25" t="str">
        <f t="shared" si="116"/>
        <v>, max(shikkan758_start_date)</v>
      </c>
      <c r="AA771" s="4"/>
      <c r="AB771" s="4"/>
      <c r="AC771" s="4"/>
      <c r="AD771" s="4"/>
      <c r="AE771" s="4"/>
      <c r="AF771" s="4"/>
      <c r="AG771" s="4"/>
      <c r="AH771" s="4"/>
      <c r="AI771" s="4"/>
      <c r="AJ771" s="76" t="str">
        <f>IF(E771="○",IF(COUNTA(E$13:E771)=1,"",",")&amp;D771,"")</f>
        <v/>
      </c>
      <c r="AK771" s="4"/>
      <c r="AL771" s="4"/>
      <c r="AM771" s="4"/>
      <c r="AN771" s="4"/>
      <c r="AO771" s="4"/>
      <c r="AP771" s="4"/>
      <c r="AQ771" s="4"/>
      <c r="AR771" s="4"/>
      <c r="AS771" s="76" t="str">
        <f>"COMMENT ON COLUMN "&amp;エンティティ一覧!$O$2&amp;"."&amp;D$8&amp;"."&amp;D771&amp;" IS '"&amp;C771&amp;"';"</f>
        <v>COMMENT ON COLUMN milscm_2023_009.sny_202310_annony_shikkan2.shikkan758_start_date IS 'J703_疾患開始日';</v>
      </c>
    </row>
    <row r="772" spans="1:45" s="25" customFormat="1">
      <c r="A772" s="4" t="s">
        <v>5836</v>
      </c>
      <c r="B772" s="21">
        <f t="shared" si="132"/>
        <v>760</v>
      </c>
      <c r="C772" s="13" t="str">
        <f t="shared" si="131"/>
        <v>K250_疾患開始日</v>
      </c>
      <c r="D772" s="13" t="s">
        <v>6419</v>
      </c>
      <c r="E772" s="8"/>
      <c r="F772" s="7" t="s">
        <v>4348</v>
      </c>
      <c r="G772" s="7" t="s">
        <v>25</v>
      </c>
      <c r="H772" s="58"/>
      <c r="I772" s="23"/>
      <c r="J772" s="24"/>
      <c r="M772" s="4"/>
      <c r="N772" s="76"/>
      <c r="O772" s="76"/>
      <c r="P772" s="76" t="str">
        <f t="shared" si="133"/>
        <v>,shikkan759_start_date</v>
      </c>
      <c r="Q772" s="76" t="str">
        <f t="shared" si="134"/>
        <v>DATE</v>
      </c>
      <c r="R772" s="76" t="str">
        <f t="shared" si="135"/>
        <v/>
      </c>
      <c r="S772" s="76" t="str">
        <f t="shared" si="136"/>
        <v/>
      </c>
      <c r="T772" s="76" t="str">
        <f t="shared" si="137"/>
        <v>-- K250_疾患開始日</v>
      </c>
      <c r="U772" s="4" t="str">
        <f t="shared" si="115"/>
        <v>, CASE WHEN shikkan_disp_name = 'K250' THEN min_shikkan_start_date ::DATE ELSE NULL END AS shikkan759_start_date</v>
      </c>
      <c r="V772" s="25" t="str">
        <f t="shared" si="116"/>
        <v>, max(shikkan759_start_date)</v>
      </c>
      <c r="AA772" s="4"/>
      <c r="AB772" s="4"/>
      <c r="AC772" s="4"/>
      <c r="AD772" s="4"/>
      <c r="AE772" s="4"/>
      <c r="AF772" s="4"/>
      <c r="AG772" s="4"/>
      <c r="AH772" s="4"/>
      <c r="AI772" s="4"/>
      <c r="AJ772" s="76" t="str">
        <f>IF(E772="○",IF(COUNTA(E$13:E772)=1,"",",")&amp;D772,"")</f>
        <v/>
      </c>
      <c r="AK772" s="4"/>
      <c r="AL772" s="4"/>
      <c r="AM772" s="4"/>
      <c r="AN772" s="4"/>
      <c r="AO772" s="4"/>
      <c r="AP772" s="4"/>
      <c r="AQ772" s="4"/>
      <c r="AR772" s="4"/>
      <c r="AS772" s="76" t="str">
        <f>"COMMENT ON COLUMN "&amp;エンティティ一覧!$O$2&amp;"."&amp;D$8&amp;"."&amp;D772&amp;" IS '"&amp;C772&amp;"';"</f>
        <v>COMMENT ON COLUMN milscm_2023_009.sny_202310_annony_shikkan2.shikkan759_start_date IS 'K250_疾患開始日';</v>
      </c>
    </row>
    <row r="773" spans="1:45" s="25" customFormat="1">
      <c r="A773" s="4" t="s">
        <v>5837</v>
      </c>
      <c r="B773" s="21">
        <f t="shared" si="132"/>
        <v>761</v>
      </c>
      <c r="C773" s="13" t="str">
        <f t="shared" si="131"/>
        <v>K251_疾患開始日</v>
      </c>
      <c r="D773" s="13" t="s">
        <v>6420</v>
      </c>
      <c r="E773" s="8"/>
      <c r="F773" s="7" t="s">
        <v>4348</v>
      </c>
      <c r="G773" s="7" t="s">
        <v>25</v>
      </c>
      <c r="H773" s="58"/>
      <c r="I773" s="23"/>
      <c r="J773" s="24"/>
      <c r="M773" s="4"/>
      <c r="N773" s="76"/>
      <c r="O773" s="76"/>
      <c r="P773" s="76" t="str">
        <f t="shared" si="133"/>
        <v>,shikkan760_start_date</v>
      </c>
      <c r="Q773" s="76" t="str">
        <f t="shared" si="134"/>
        <v>DATE</v>
      </c>
      <c r="R773" s="76" t="str">
        <f t="shared" si="135"/>
        <v/>
      </c>
      <c r="S773" s="76" t="str">
        <f t="shared" si="136"/>
        <v/>
      </c>
      <c r="T773" s="76" t="str">
        <f t="shared" si="137"/>
        <v>-- K251_疾患開始日</v>
      </c>
      <c r="U773" s="4" t="str">
        <f t="shared" si="115"/>
        <v>, CASE WHEN shikkan_disp_name = 'K251' THEN min_shikkan_start_date ::DATE ELSE NULL END AS shikkan760_start_date</v>
      </c>
      <c r="V773" s="25" t="str">
        <f t="shared" si="116"/>
        <v>, max(shikkan760_start_date)</v>
      </c>
      <c r="AA773" s="4"/>
      <c r="AB773" s="4"/>
      <c r="AC773" s="4"/>
      <c r="AD773" s="4"/>
      <c r="AE773" s="4"/>
      <c r="AF773" s="4"/>
      <c r="AG773" s="4"/>
      <c r="AH773" s="4"/>
      <c r="AI773" s="4"/>
      <c r="AJ773" s="76" t="str">
        <f>IF(E773="○",IF(COUNTA(E$13:E773)=1,"",",")&amp;D773,"")</f>
        <v/>
      </c>
      <c r="AK773" s="4"/>
      <c r="AL773" s="4"/>
      <c r="AM773" s="4"/>
      <c r="AN773" s="4"/>
      <c r="AO773" s="4"/>
      <c r="AP773" s="4"/>
      <c r="AQ773" s="4"/>
      <c r="AR773" s="4"/>
      <c r="AS773" s="76" t="str">
        <f>"COMMENT ON COLUMN "&amp;エンティティ一覧!$O$2&amp;"."&amp;D$8&amp;"."&amp;D773&amp;" IS '"&amp;C773&amp;"';"</f>
        <v>COMMENT ON COLUMN milscm_2023_009.sny_202310_annony_shikkan2.shikkan760_start_date IS 'K251_疾患開始日';</v>
      </c>
    </row>
    <row r="774" spans="1:45" s="25" customFormat="1">
      <c r="A774" s="4" t="s">
        <v>5838</v>
      </c>
      <c r="B774" s="21">
        <f t="shared" si="132"/>
        <v>762</v>
      </c>
      <c r="C774" s="13" t="str">
        <f t="shared" si="131"/>
        <v>K252_疾患開始日</v>
      </c>
      <c r="D774" s="13" t="s">
        <v>6421</v>
      </c>
      <c r="E774" s="8"/>
      <c r="F774" s="7" t="s">
        <v>4348</v>
      </c>
      <c r="G774" s="7" t="s">
        <v>25</v>
      </c>
      <c r="H774" s="58"/>
      <c r="I774" s="23"/>
      <c r="J774" s="24"/>
      <c r="M774" s="4"/>
      <c r="N774" s="76"/>
      <c r="O774" s="76"/>
      <c r="P774" s="76" t="str">
        <f t="shared" si="133"/>
        <v>,shikkan761_start_date</v>
      </c>
      <c r="Q774" s="76" t="str">
        <f t="shared" si="134"/>
        <v>DATE</v>
      </c>
      <c r="R774" s="76" t="str">
        <f t="shared" si="135"/>
        <v/>
      </c>
      <c r="S774" s="76" t="str">
        <f t="shared" si="136"/>
        <v/>
      </c>
      <c r="T774" s="76" t="str">
        <f t="shared" si="137"/>
        <v>-- K252_疾患開始日</v>
      </c>
      <c r="U774" s="4" t="str">
        <f t="shared" si="115"/>
        <v>, CASE WHEN shikkan_disp_name = 'K252' THEN min_shikkan_start_date ::DATE ELSE NULL END AS shikkan761_start_date</v>
      </c>
      <c r="V774" s="25" t="str">
        <f t="shared" si="116"/>
        <v>, max(shikkan761_start_date)</v>
      </c>
      <c r="AA774" s="4"/>
      <c r="AB774" s="4"/>
      <c r="AC774" s="4"/>
      <c r="AD774" s="4"/>
      <c r="AE774" s="4"/>
      <c r="AF774" s="4"/>
      <c r="AG774" s="4"/>
      <c r="AH774" s="4"/>
      <c r="AI774" s="4"/>
      <c r="AJ774" s="76" t="str">
        <f>IF(E774="○",IF(COUNTA(E$13:E774)=1,"",",")&amp;D774,"")</f>
        <v/>
      </c>
      <c r="AK774" s="4"/>
      <c r="AL774" s="4"/>
      <c r="AM774" s="4"/>
      <c r="AN774" s="4"/>
      <c r="AO774" s="4"/>
      <c r="AP774" s="4"/>
      <c r="AQ774" s="4"/>
      <c r="AR774" s="4"/>
      <c r="AS774" s="76" t="str">
        <f>"COMMENT ON COLUMN "&amp;エンティティ一覧!$O$2&amp;"."&amp;D$8&amp;"."&amp;D774&amp;" IS '"&amp;C774&amp;"';"</f>
        <v>COMMENT ON COLUMN milscm_2023_009.sny_202310_annony_shikkan2.shikkan761_start_date IS 'K252_疾患開始日';</v>
      </c>
    </row>
    <row r="775" spans="1:45" s="25" customFormat="1">
      <c r="A775" s="4" t="s">
        <v>5839</v>
      </c>
      <c r="B775" s="21">
        <f t="shared" si="132"/>
        <v>763</v>
      </c>
      <c r="C775" s="13" t="str">
        <f t="shared" si="131"/>
        <v>K253_疾患開始日</v>
      </c>
      <c r="D775" s="13" t="s">
        <v>6422</v>
      </c>
      <c r="E775" s="8"/>
      <c r="F775" s="7" t="s">
        <v>4348</v>
      </c>
      <c r="G775" s="7" t="s">
        <v>25</v>
      </c>
      <c r="H775" s="58"/>
      <c r="I775" s="23"/>
      <c r="J775" s="24"/>
      <c r="M775" s="4"/>
      <c r="N775" s="76"/>
      <c r="O775" s="76"/>
      <c r="P775" s="76" t="str">
        <f t="shared" si="133"/>
        <v>,shikkan762_start_date</v>
      </c>
      <c r="Q775" s="76" t="str">
        <f t="shared" si="134"/>
        <v>DATE</v>
      </c>
      <c r="R775" s="76" t="str">
        <f t="shared" si="135"/>
        <v/>
      </c>
      <c r="S775" s="76" t="str">
        <f t="shared" si="136"/>
        <v/>
      </c>
      <c r="T775" s="76" t="str">
        <f t="shared" si="137"/>
        <v>-- K253_疾患開始日</v>
      </c>
      <c r="U775" s="4" t="str">
        <f t="shared" si="115"/>
        <v>, CASE WHEN shikkan_disp_name = 'K253' THEN min_shikkan_start_date ::DATE ELSE NULL END AS shikkan762_start_date</v>
      </c>
      <c r="V775" s="25" t="str">
        <f t="shared" si="116"/>
        <v>, max(shikkan762_start_date)</v>
      </c>
      <c r="AA775" s="4"/>
      <c r="AB775" s="4"/>
      <c r="AC775" s="4"/>
      <c r="AD775" s="4"/>
      <c r="AE775" s="4"/>
      <c r="AF775" s="4"/>
      <c r="AG775" s="4"/>
      <c r="AH775" s="4"/>
      <c r="AI775" s="4"/>
      <c r="AJ775" s="76" t="str">
        <f>IF(E775="○",IF(COUNTA(E$13:E775)=1,"",",")&amp;D775,"")</f>
        <v/>
      </c>
      <c r="AK775" s="4"/>
      <c r="AL775" s="4"/>
      <c r="AM775" s="4"/>
      <c r="AN775" s="4"/>
      <c r="AO775" s="4"/>
      <c r="AP775" s="4"/>
      <c r="AQ775" s="4"/>
      <c r="AR775" s="4"/>
      <c r="AS775" s="76" t="str">
        <f>"COMMENT ON COLUMN "&amp;エンティティ一覧!$O$2&amp;"."&amp;D$8&amp;"."&amp;D775&amp;" IS '"&amp;C775&amp;"';"</f>
        <v>COMMENT ON COLUMN milscm_2023_009.sny_202310_annony_shikkan2.shikkan762_start_date IS 'K253_疾患開始日';</v>
      </c>
    </row>
    <row r="776" spans="1:45" s="25" customFormat="1">
      <c r="A776" s="4" t="s">
        <v>5840</v>
      </c>
      <c r="B776" s="21">
        <f t="shared" si="132"/>
        <v>764</v>
      </c>
      <c r="C776" s="13" t="str">
        <f t="shared" si="131"/>
        <v>K254_疾患開始日</v>
      </c>
      <c r="D776" s="13" t="s">
        <v>6423</v>
      </c>
      <c r="E776" s="8"/>
      <c r="F776" s="7" t="s">
        <v>4348</v>
      </c>
      <c r="G776" s="7" t="s">
        <v>25</v>
      </c>
      <c r="H776" s="58"/>
      <c r="I776" s="23"/>
      <c r="J776" s="24"/>
      <c r="M776" s="4"/>
      <c r="N776" s="76"/>
      <c r="O776" s="76"/>
      <c r="P776" s="76" t="str">
        <f t="shared" si="133"/>
        <v>,shikkan763_start_date</v>
      </c>
      <c r="Q776" s="76" t="str">
        <f t="shared" si="134"/>
        <v>DATE</v>
      </c>
      <c r="R776" s="76" t="str">
        <f t="shared" si="135"/>
        <v/>
      </c>
      <c r="S776" s="76" t="str">
        <f t="shared" si="136"/>
        <v/>
      </c>
      <c r="T776" s="76" t="str">
        <f t="shared" si="137"/>
        <v>-- K254_疾患開始日</v>
      </c>
      <c r="U776" s="4" t="str">
        <f t="shared" si="115"/>
        <v>, CASE WHEN shikkan_disp_name = 'K254' THEN min_shikkan_start_date ::DATE ELSE NULL END AS shikkan763_start_date</v>
      </c>
      <c r="V776" s="25" t="str">
        <f t="shared" si="116"/>
        <v>, max(shikkan763_start_date)</v>
      </c>
      <c r="AA776" s="4"/>
      <c r="AB776" s="4"/>
      <c r="AC776" s="4"/>
      <c r="AD776" s="4"/>
      <c r="AE776" s="4"/>
      <c r="AF776" s="4"/>
      <c r="AG776" s="4"/>
      <c r="AH776" s="4"/>
      <c r="AI776" s="4"/>
      <c r="AJ776" s="76" t="str">
        <f>IF(E776="○",IF(COUNTA(E$13:E776)=1,"",",")&amp;D776,"")</f>
        <v/>
      </c>
      <c r="AK776" s="4"/>
      <c r="AL776" s="4"/>
      <c r="AM776" s="4"/>
      <c r="AN776" s="4"/>
      <c r="AO776" s="4"/>
      <c r="AP776" s="4"/>
      <c r="AQ776" s="4"/>
      <c r="AR776" s="4"/>
      <c r="AS776" s="76" t="str">
        <f>"COMMENT ON COLUMN "&amp;エンティティ一覧!$O$2&amp;"."&amp;D$8&amp;"."&amp;D776&amp;" IS '"&amp;C776&amp;"';"</f>
        <v>COMMENT ON COLUMN milscm_2023_009.sny_202310_annony_shikkan2.shikkan763_start_date IS 'K254_疾患開始日';</v>
      </c>
    </row>
    <row r="777" spans="1:45" s="25" customFormat="1">
      <c r="A777" s="4" t="s">
        <v>5841</v>
      </c>
      <c r="B777" s="21">
        <f t="shared" si="132"/>
        <v>765</v>
      </c>
      <c r="C777" s="13" t="str">
        <f t="shared" si="131"/>
        <v>K255_疾患開始日</v>
      </c>
      <c r="D777" s="13" t="s">
        <v>6424</v>
      </c>
      <c r="E777" s="8"/>
      <c r="F777" s="7" t="s">
        <v>4348</v>
      </c>
      <c r="G777" s="7" t="s">
        <v>25</v>
      </c>
      <c r="H777" s="58"/>
      <c r="I777" s="23"/>
      <c r="J777" s="24"/>
      <c r="M777" s="4"/>
      <c r="N777" s="76"/>
      <c r="O777" s="76"/>
      <c r="P777" s="76" t="str">
        <f t="shared" si="133"/>
        <v>,shikkan764_start_date</v>
      </c>
      <c r="Q777" s="76" t="str">
        <f t="shared" si="134"/>
        <v>DATE</v>
      </c>
      <c r="R777" s="76" t="str">
        <f t="shared" si="135"/>
        <v/>
      </c>
      <c r="S777" s="76" t="str">
        <f t="shared" si="136"/>
        <v/>
      </c>
      <c r="T777" s="76" t="str">
        <f t="shared" si="137"/>
        <v>-- K255_疾患開始日</v>
      </c>
      <c r="U777" s="4" t="str">
        <f t="shared" si="115"/>
        <v>, CASE WHEN shikkan_disp_name = 'K255' THEN min_shikkan_start_date ::DATE ELSE NULL END AS shikkan764_start_date</v>
      </c>
      <c r="V777" s="25" t="str">
        <f t="shared" si="116"/>
        <v>, max(shikkan764_start_date)</v>
      </c>
      <c r="AA777" s="4"/>
      <c r="AB777" s="4"/>
      <c r="AC777" s="4"/>
      <c r="AD777" s="4"/>
      <c r="AE777" s="4"/>
      <c r="AF777" s="4"/>
      <c r="AG777" s="4"/>
      <c r="AH777" s="4"/>
      <c r="AI777" s="4"/>
      <c r="AJ777" s="76" t="str">
        <f>IF(E777="○",IF(COUNTA(E$13:E777)=1,"",",")&amp;D777,"")</f>
        <v/>
      </c>
      <c r="AK777" s="4"/>
      <c r="AL777" s="4"/>
      <c r="AM777" s="4"/>
      <c r="AN777" s="4"/>
      <c r="AO777" s="4"/>
      <c r="AP777" s="4"/>
      <c r="AQ777" s="4"/>
      <c r="AR777" s="4"/>
      <c r="AS777" s="76" t="str">
        <f>"COMMENT ON COLUMN "&amp;エンティティ一覧!$O$2&amp;"."&amp;D$8&amp;"."&amp;D777&amp;" IS '"&amp;C777&amp;"';"</f>
        <v>COMMENT ON COLUMN milscm_2023_009.sny_202310_annony_shikkan2.shikkan764_start_date IS 'K255_疾患開始日';</v>
      </c>
    </row>
    <row r="778" spans="1:45" s="25" customFormat="1">
      <c r="A778" s="4" t="s">
        <v>5842</v>
      </c>
      <c r="B778" s="21">
        <f t="shared" si="132"/>
        <v>766</v>
      </c>
      <c r="C778" s="13" t="str">
        <f t="shared" si="131"/>
        <v>K256_疾患開始日</v>
      </c>
      <c r="D778" s="13" t="s">
        <v>6425</v>
      </c>
      <c r="E778" s="8"/>
      <c r="F778" s="7" t="s">
        <v>4348</v>
      </c>
      <c r="G778" s="7" t="s">
        <v>25</v>
      </c>
      <c r="H778" s="58"/>
      <c r="I778" s="23"/>
      <c r="J778" s="24"/>
      <c r="M778" s="4"/>
      <c r="N778" s="76"/>
      <c r="O778" s="76"/>
      <c r="P778" s="76" t="str">
        <f t="shared" si="133"/>
        <v>,shikkan765_start_date</v>
      </c>
      <c r="Q778" s="76" t="str">
        <f t="shared" si="134"/>
        <v>DATE</v>
      </c>
      <c r="R778" s="76" t="str">
        <f t="shared" si="135"/>
        <v/>
      </c>
      <c r="S778" s="76" t="str">
        <f t="shared" si="136"/>
        <v/>
      </c>
      <c r="T778" s="76" t="str">
        <f t="shared" si="137"/>
        <v>-- K256_疾患開始日</v>
      </c>
      <c r="U778" s="4" t="str">
        <f t="shared" si="115"/>
        <v>, CASE WHEN shikkan_disp_name = 'K256' THEN min_shikkan_start_date ::DATE ELSE NULL END AS shikkan765_start_date</v>
      </c>
      <c r="V778" s="25" t="str">
        <f t="shared" si="116"/>
        <v>, max(shikkan765_start_date)</v>
      </c>
      <c r="AA778" s="4"/>
      <c r="AB778" s="4"/>
      <c r="AC778" s="4"/>
      <c r="AD778" s="4"/>
      <c r="AE778" s="4"/>
      <c r="AF778" s="4"/>
      <c r="AG778" s="4"/>
      <c r="AH778" s="4"/>
      <c r="AI778" s="4"/>
      <c r="AJ778" s="76" t="str">
        <f>IF(E778="○",IF(COUNTA(E$13:E778)=1,"",",")&amp;D778,"")</f>
        <v/>
      </c>
      <c r="AK778" s="4"/>
      <c r="AL778" s="4"/>
      <c r="AM778" s="4"/>
      <c r="AN778" s="4"/>
      <c r="AO778" s="4"/>
      <c r="AP778" s="4"/>
      <c r="AQ778" s="4"/>
      <c r="AR778" s="4"/>
      <c r="AS778" s="76" t="str">
        <f>"COMMENT ON COLUMN "&amp;エンティティ一覧!$O$2&amp;"."&amp;D$8&amp;"."&amp;D778&amp;" IS '"&amp;C778&amp;"';"</f>
        <v>COMMENT ON COLUMN milscm_2023_009.sny_202310_annony_shikkan2.shikkan765_start_date IS 'K256_疾患開始日';</v>
      </c>
    </row>
    <row r="779" spans="1:45" s="25" customFormat="1">
      <c r="A779" s="4" t="s">
        <v>5843</v>
      </c>
      <c r="B779" s="21">
        <f t="shared" si="132"/>
        <v>767</v>
      </c>
      <c r="C779" s="13" t="str">
        <f t="shared" si="131"/>
        <v>K257_疾患開始日</v>
      </c>
      <c r="D779" s="13" t="s">
        <v>6426</v>
      </c>
      <c r="E779" s="8"/>
      <c r="F779" s="7" t="s">
        <v>4348</v>
      </c>
      <c r="G779" s="7" t="s">
        <v>25</v>
      </c>
      <c r="H779" s="58"/>
      <c r="I779" s="23"/>
      <c r="J779" s="24"/>
      <c r="M779" s="4"/>
      <c r="N779" s="76"/>
      <c r="O779" s="76"/>
      <c r="P779" s="76" t="str">
        <f t="shared" si="133"/>
        <v>,shikkan766_start_date</v>
      </c>
      <c r="Q779" s="76" t="str">
        <f t="shared" si="134"/>
        <v>DATE</v>
      </c>
      <c r="R779" s="76" t="str">
        <f t="shared" si="135"/>
        <v/>
      </c>
      <c r="S779" s="76" t="str">
        <f t="shared" si="136"/>
        <v/>
      </c>
      <c r="T779" s="76" t="str">
        <f t="shared" si="137"/>
        <v>-- K257_疾患開始日</v>
      </c>
      <c r="U779" s="4" t="str">
        <f t="shared" si="115"/>
        <v>, CASE WHEN shikkan_disp_name = 'K257' THEN min_shikkan_start_date ::DATE ELSE NULL END AS shikkan766_start_date</v>
      </c>
      <c r="V779" s="25" t="str">
        <f t="shared" si="116"/>
        <v>, max(shikkan766_start_date)</v>
      </c>
      <c r="AA779" s="4"/>
      <c r="AB779" s="4"/>
      <c r="AC779" s="4"/>
      <c r="AD779" s="4"/>
      <c r="AE779" s="4"/>
      <c r="AF779" s="4"/>
      <c r="AG779" s="4"/>
      <c r="AH779" s="4"/>
      <c r="AI779" s="4"/>
      <c r="AJ779" s="76" t="str">
        <f>IF(E779="○",IF(COUNTA(E$13:E779)=1,"",",")&amp;D779,"")</f>
        <v/>
      </c>
      <c r="AK779" s="4"/>
      <c r="AL779" s="4"/>
      <c r="AM779" s="4"/>
      <c r="AN779" s="4"/>
      <c r="AO779" s="4"/>
      <c r="AP779" s="4"/>
      <c r="AQ779" s="4"/>
      <c r="AR779" s="4"/>
      <c r="AS779" s="76" t="str">
        <f>"COMMENT ON COLUMN "&amp;エンティティ一覧!$O$2&amp;"."&amp;D$8&amp;"."&amp;D779&amp;" IS '"&amp;C779&amp;"';"</f>
        <v>COMMENT ON COLUMN milscm_2023_009.sny_202310_annony_shikkan2.shikkan766_start_date IS 'K257_疾患開始日';</v>
      </c>
    </row>
    <row r="780" spans="1:45" s="25" customFormat="1">
      <c r="A780" s="4" t="s">
        <v>5844</v>
      </c>
      <c r="B780" s="21">
        <f t="shared" si="132"/>
        <v>768</v>
      </c>
      <c r="C780" s="13" t="str">
        <f t="shared" si="131"/>
        <v>K259_疾患開始日</v>
      </c>
      <c r="D780" s="13" t="s">
        <v>6427</v>
      </c>
      <c r="E780" s="8"/>
      <c r="F780" s="7" t="s">
        <v>4348</v>
      </c>
      <c r="G780" s="7" t="s">
        <v>99</v>
      </c>
      <c r="H780" s="58"/>
      <c r="I780" s="23"/>
      <c r="J780" s="24"/>
      <c r="M780" s="4"/>
      <c r="N780" s="76"/>
      <c r="O780" s="76"/>
      <c r="P780" s="76" t="str">
        <f t="shared" si="133"/>
        <v>,shikkan767_start_date</v>
      </c>
      <c r="Q780" s="76" t="str">
        <f t="shared" si="134"/>
        <v>DATE</v>
      </c>
      <c r="R780" s="76" t="str">
        <f t="shared" si="135"/>
        <v/>
      </c>
      <c r="S780" s="76" t="str">
        <f t="shared" si="136"/>
        <v/>
      </c>
      <c r="T780" s="76" t="str">
        <f t="shared" si="137"/>
        <v>-- K259_疾患開始日</v>
      </c>
      <c r="U780" s="4" t="str">
        <f t="shared" si="115"/>
        <v>, CASE WHEN shikkan_disp_name = 'K259' THEN min_shikkan_start_date ::DATE ELSE NULL END AS shikkan767_start_date</v>
      </c>
      <c r="V780" s="25" t="str">
        <f t="shared" si="116"/>
        <v>, max(shikkan767_start_date)</v>
      </c>
      <c r="AA780" s="4"/>
      <c r="AB780" s="4"/>
      <c r="AC780" s="4"/>
      <c r="AD780" s="4"/>
      <c r="AE780" s="4"/>
      <c r="AF780" s="4"/>
      <c r="AG780" s="4"/>
      <c r="AH780" s="4"/>
      <c r="AI780" s="4"/>
      <c r="AJ780" s="76" t="str">
        <f>IF(E780="○",IF(COUNTA(E$13:E780)=1,"",",")&amp;D780,"")</f>
        <v/>
      </c>
      <c r="AK780" s="4"/>
      <c r="AL780" s="4"/>
      <c r="AM780" s="4"/>
      <c r="AN780" s="4"/>
      <c r="AO780" s="4"/>
      <c r="AP780" s="4"/>
      <c r="AQ780" s="4"/>
      <c r="AR780" s="4"/>
      <c r="AS780" s="76" t="str">
        <f>"COMMENT ON COLUMN "&amp;エンティティ一覧!$O$2&amp;"."&amp;D$8&amp;"."&amp;D780&amp;" IS '"&amp;C780&amp;"';"</f>
        <v>COMMENT ON COLUMN milscm_2023_009.sny_202310_annony_shikkan2.shikkan767_start_date IS 'K259_疾患開始日';</v>
      </c>
    </row>
    <row r="781" spans="1:45" s="25" customFormat="1">
      <c r="A781" s="4" t="s">
        <v>5845</v>
      </c>
      <c r="B781" s="21">
        <f t="shared" si="132"/>
        <v>769</v>
      </c>
      <c r="C781" s="13" t="str">
        <f t="shared" si="131"/>
        <v>K260_疾患開始日</v>
      </c>
      <c r="D781" s="13" t="s">
        <v>6428</v>
      </c>
      <c r="E781" s="8"/>
      <c r="F781" s="7" t="s">
        <v>4348</v>
      </c>
      <c r="G781" s="7" t="s">
        <v>25</v>
      </c>
      <c r="H781" s="58"/>
      <c r="I781" s="23"/>
      <c r="J781" s="24"/>
      <c r="M781" s="4"/>
      <c r="N781" s="76"/>
      <c r="O781" s="76"/>
      <c r="P781" s="76" t="str">
        <f t="shared" si="133"/>
        <v>,shikkan768_start_date</v>
      </c>
      <c r="Q781" s="76" t="str">
        <f t="shared" si="134"/>
        <v>DATE</v>
      </c>
      <c r="R781" s="76" t="str">
        <f t="shared" si="135"/>
        <v/>
      </c>
      <c r="S781" s="76" t="str">
        <f t="shared" si="136"/>
        <v/>
      </c>
      <c r="T781" s="76" t="str">
        <f t="shared" si="137"/>
        <v>-- K260_疾患開始日</v>
      </c>
      <c r="U781" s="4" t="str">
        <f t="shared" si="115"/>
        <v>, CASE WHEN shikkan_disp_name = 'K260' THEN min_shikkan_start_date ::DATE ELSE NULL END AS shikkan768_start_date</v>
      </c>
      <c r="V781" s="25" t="str">
        <f t="shared" si="116"/>
        <v>, max(shikkan768_start_date)</v>
      </c>
      <c r="AA781" s="4"/>
      <c r="AB781" s="4"/>
      <c r="AC781" s="4"/>
      <c r="AD781" s="4"/>
      <c r="AE781" s="4"/>
      <c r="AF781" s="4"/>
      <c r="AG781" s="4"/>
      <c r="AH781" s="4"/>
      <c r="AI781" s="4"/>
      <c r="AJ781" s="76" t="str">
        <f>IF(E781="○",IF(COUNTA(E$13:E781)=1,"",",")&amp;D781,"")</f>
        <v/>
      </c>
      <c r="AK781" s="4"/>
      <c r="AL781" s="4"/>
      <c r="AM781" s="4"/>
      <c r="AN781" s="4"/>
      <c r="AO781" s="4"/>
      <c r="AP781" s="4"/>
      <c r="AQ781" s="4"/>
      <c r="AR781" s="4"/>
      <c r="AS781" s="76" t="str">
        <f>"COMMENT ON COLUMN "&amp;エンティティ一覧!$O$2&amp;"."&amp;D$8&amp;"."&amp;D781&amp;" IS '"&amp;C781&amp;"';"</f>
        <v>COMMENT ON COLUMN milscm_2023_009.sny_202310_annony_shikkan2.shikkan768_start_date IS 'K260_疾患開始日';</v>
      </c>
    </row>
    <row r="782" spans="1:45" s="25" customFormat="1">
      <c r="A782" s="4" t="s">
        <v>5846</v>
      </c>
      <c r="B782" s="21">
        <f t="shared" si="132"/>
        <v>770</v>
      </c>
      <c r="C782" s="13" t="str">
        <f t="shared" si="131"/>
        <v>K261_疾患開始日</v>
      </c>
      <c r="D782" s="13" t="s">
        <v>6429</v>
      </c>
      <c r="E782" s="8"/>
      <c r="F782" s="7" t="s">
        <v>4348</v>
      </c>
      <c r="G782" s="7" t="s">
        <v>25</v>
      </c>
      <c r="H782" s="58"/>
      <c r="I782" s="23"/>
      <c r="J782" s="24"/>
      <c r="M782" s="4"/>
      <c r="N782" s="76"/>
      <c r="O782" s="76"/>
      <c r="P782" s="76" t="str">
        <f t="shared" si="133"/>
        <v>,shikkan769_start_date</v>
      </c>
      <c r="Q782" s="76" t="str">
        <f t="shared" si="134"/>
        <v>DATE</v>
      </c>
      <c r="R782" s="76" t="str">
        <f t="shared" si="135"/>
        <v/>
      </c>
      <c r="S782" s="76" t="str">
        <f t="shared" si="136"/>
        <v/>
      </c>
      <c r="T782" s="76" t="str">
        <f t="shared" si="137"/>
        <v>-- K261_疾患開始日</v>
      </c>
      <c r="U782" s="4" t="str">
        <f t="shared" si="115"/>
        <v>, CASE WHEN shikkan_disp_name = 'K261' THEN min_shikkan_start_date ::DATE ELSE NULL END AS shikkan769_start_date</v>
      </c>
      <c r="V782" s="25" t="str">
        <f t="shared" si="116"/>
        <v>, max(shikkan769_start_date)</v>
      </c>
      <c r="AA782" s="4"/>
      <c r="AB782" s="4"/>
      <c r="AC782" s="4"/>
      <c r="AD782" s="4"/>
      <c r="AE782" s="4"/>
      <c r="AF782" s="4"/>
      <c r="AG782" s="4"/>
      <c r="AH782" s="4"/>
      <c r="AI782" s="4"/>
      <c r="AJ782" s="76" t="str">
        <f>IF(E782="○",IF(COUNTA(E$13:E782)=1,"",",")&amp;D782,"")</f>
        <v/>
      </c>
      <c r="AK782" s="4"/>
      <c r="AL782" s="4"/>
      <c r="AM782" s="4"/>
      <c r="AN782" s="4"/>
      <c r="AO782" s="4"/>
      <c r="AP782" s="4"/>
      <c r="AQ782" s="4"/>
      <c r="AR782" s="4"/>
      <c r="AS782" s="76" t="str">
        <f>"COMMENT ON COLUMN "&amp;エンティティ一覧!$O$2&amp;"."&amp;D$8&amp;"."&amp;D782&amp;" IS '"&amp;C782&amp;"';"</f>
        <v>COMMENT ON COLUMN milscm_2023_009.sny_202310_annony_shikkan2.shikkan769_start_date IS 'K261_疾患開始日';</v>
      </c>
    </row>
    <row r="783" spans="1:45" s="25" customFormat="1">
      <c r="A783" s="4" t="s">
        <v>5847</v>
      </c>
      <c r="B783" s="21">
        <f t="shared" si="132"/>
        <v>771</v>
      </c>
      <c r="C783" s="13" t="str">
        <f t="shared" ref="C783:C846" si="138">A783&amp;"_疾患開始日"</f>
        <v>K262_疾患開始日</v>
      </c>
      <c r="D783" s="13" t="s">
        <v>6430</v>
      </c>
      <c r="E783" s="8"/>
      <c r="F783" s="7" t="s">
        <v>4348</v>
      </c>
      <c r="G783" s="7" t="s">
        <v>25</v>
      </c>
      <c r="H783" s="58"/>
      <c r="I783" s="23"/>
      <c r="J783" s="24"/>
      <c r="M783" s="4"/>
      <c r="N783" s="76"/>
      <c r="O783" s="76"/>
      <c r="P783" s="76" t="str">
        <f t="shared" si="133"/>
        <v>,shikkan770_start_date</v>
      </c>
      <c r="Q783" s="76" t="str">
        <f t="shared" si="134"/>
        <v>DATE</v>
      </c>
      <c r="R783" s="76" t="str">
        <f t="shared" si="135"/>
        <v/>
      </c>
      <c r="S783" s="76" t="str">
        <f t="shared" si="136"/>
        <v/>
      </c>
      <c r="T783" s="76" t="str">
        <f t="shared" si="137"/>
        <v>-- K262_疾患開始日</v>
      </c>
      <c r="U783" s="4" t="str">
        <f t="shared" si="115"/>
        <v>, CASE WHEN shikkan_disp_name = 'K262' THEN min_shikkan_start_date ::DATE ELSE NULL END AS shikkan770_start_date</v>
      </c>
      <c r="V783" s="25" t="str">
        <f t="shared" si="116"/>
        <v>, max(shikkan770_start_date)</v>
      </c>
      <c r="AA783" s="4"/>
      <c r="AB783" s="4"/>
      <c r="AC783" s="4"/>
      <c r="AD783" s="4"/>
      <c r="AE783" s="4"/>
      <c r="AF783" s="4"/>
      <c r="AG783" s="4"/>
      <c r="AH783" s="4"/>
      <c r="AI783" s="4"/>
      <c r="AJ783" s="76" t="str">
        <f>IF(E783="○",IF(COUNTA(E$13:E783)=1,"",",")&amp;D783,"")</f>
        <v/>
      </c>
      <c r="AK783" s="4"/>
      <c r="AL783" s="4"/>
      <c r="AM783" s="4"/>
      <c r="AN783" s="4"/>
      <c r="AO783" s="4"/>
      <c r="AP783" s="4"/>
      <c r="AQ783" s="4"/>
      <c r="AR783" s="4"/>
      <c r="AS783" s="76" t="str">
        <f>"COMMENT ON COLUMN "&amp;エンティティ一覧!$O$2&amp;"."&amp;D$8&amp;"."&amp;D783&amp;" IS '"&amp;C783&amp;"';"</f>
        <v>COMMENT ON COLUMN milscm_2023_009.sny_202310_annony_shikkan2.shikkan770_start_date IS 'K262_疾患開始日';</v>
      </c>
    </row>
    <row r="784" spans="1:45" s="25" customFormat="1">
      <c r="A784" s="4" t="s">
        <v>5848</v>
      </c>
      <c r="B784" s="21">
        <f t="shared" si="132"/>
        <v>772</v>
      </c>
      <c r="C784" s="13" t="str">
        <f t="shared" si="138"/>
        <v>K263_疾患開始日</v>
      </c>
      <c r="D784" s="13" t="s">
        <v>6431</v>
      </c>
      <c r="E784" s="8"/>
      <c r="F784" s="7" t="s">
        <v>4348</v>
      </c>
      <c r="G784" s="7" t="s">
        <v>25</v>
      </c>
      <c r="H784" s="58"/>
      <c r="I784" s="23"/>
      <c r="J784" s="24"/>
      <c r="M784" s="4"/>
      <c r="N784" s="76"/>
      <c r="O784" s="76"/>
      <c r="P784" s="76" t="str">
        <f t="shared" si="133"/>
        <v>,shikkan771_start_date</v>
      </c>
      <c r="Q784" s="76" t="str">
        <f t="shared" si="134"/>
        <v>DATE</v>
      </c>
      <c r="R784" s="76" t="str">
        <f t="shared" si="135"/>
        <v/>
      </c>
      <c r="S784" s="76" t="str">
        <f t="shared" si="136"/>
        <v/>
      </c>
      <c r="T784" s="76" t="str">
        <f t="shared" si="137"/>
        <v>-- K263_疾患開始日</v>
      </c>
      <c r="U784" s="4" t="str">
        <f t="shared" si="115"/>
        <v>, CASE WHEN shikkan_disp_name = 'K263' THEN min_shikkan_start_date ::DATE ELSE NULL END AS shikkan771_start_date</v>
      </c>
      <c r="V784" s="25" t="str">
        <f t="shared" si="116"/>
        <v>, max(shikkan771_start_date)</v>
      </c>
      <c r="AA784" s="4"/>
      <c r="AB784" s="4"/>
      <c r="AC784" s="4"/>
      <c r="AD784" s="4"/>
      <c r="AE784" s="4"/>
      <c r="AF784" s="4"/>
      <c r="AG784" s="4"/>
      <c r="AH784" s="4"/>
      <c r="AI784" s="4"/>
      <c r="AJ784" s="76" t="str">
        <f>IF(E784="○",IF(COUNTA(E$13:E784)=1,"",",")&amp;D784,"")</f>
        <v/>
      </c>
      <c r="AK784" s="4"/>
      <c r="AL784" s="4"/>
      <c r="AM784" s="4"/>
      <c r="AN784" s="4"/>
      <c r="AO784" s="4"/>
      <c r="AP784" s="4"/>
      <c r="AQ784" s="4"/>
      <c r="AR784" s="4"/>
      <c r="AS784" s="76" t="str">
        <f>"COMMENT ON COLUMN "&amp;エンティティ一覧!$O$2&amp;"."&amp;D$8&amp;"."&amp;D784&amp;" IS '"&amp;C784&amp;"';"</f>
        <v>COMMENT ON COLUMN milscm_2023_009.sny_202310_annony_shikkan2.shikkan771_start_date IS 'K263_疾患開始日';</v>
      </c>
    </row>
    <row r="785" spans="1:45" s="25" customFormat="1">
      <c r="A785" s="4" t="s">
        <v>5849</v>
      </c>
      <c r="B785" s="21">
        <f t="shared" ref="B785:B848" si="139">ROW()-12</f>
        <v>773</v>
      </c>
      <c r="C785" s="13" t="str">
        <f t="shared" si="138"/>
        <v>K264_疾患開始日</v>
      </c>
      <c r="D785" s="13" t="s">
        <v>6432</v>
      </c>
      <c r="E785" s="8"/>
      <c r="F785" s="7" t="s">
        <v>4348</v>
      </c>
      <c r="G785" s="7" t="s">
        <v>25</v>
      </c>
      <c r="H785" s="58"/>
      <c r="I785" s="23"/>
      <c r="J785" s="24"/>
      <c r="M785" s="4"/>
      <c r="N785" s="76"/>
      <c r="O785" s="76"/>
      <c r="P785" s="76" t="str">
        <f t="shared" si="133"/>
        <v>,shikkan772_start_date</v>
      </c>
      <c r="Q785" s="76" t="str">
        <f t="shared" si="134"/>
        <v>DATE</v>
      </c>
      <c r="R785" s="76" t="str">
        <f t="shared" si="135"/>
        <v/>
      </c>
      <c r="S785" s="76" t="str">
        <f t="shared" si="136"/>
        <v/>
      </c>
      <c r="T785" s="76" t="str">
        <f t="shared" si="137"/>
        <v>-- K264_疾患開始日</v>
      </c>
      <c r="U785" s="4" t="str">
        <f t="shared" si="115"/>
        <v>, CASE WHEN shikkan_disp_name = 'K264' THEN min_shikkan_start_date ::DATE ELSE NULL END AS shikkan772_start_date</v>
      </c>
      <c r="V785" s="25" t="str">
        <f t="shared" si="116"/>
        <v>, max(shikkan772_start_date)</v>
      </c>
      <c r="AA785" s="4"/>
      <c r="AB785" s="4"/>
      <c r="AC785" s="4"/>
      <c r="AD785" s="4"/>
      <c r="AE785" s="4"/>
      <c r="AF785" s="4"/>
      <c r="AG785" s="4"/>
      <c r="AH785" s="4"/>
      <c r="AI785" s="4"/>
      <c r="AJ785" s="76" t="str">
        <f>IF(E785="○",IF(COUNTA(E$13:E785)=1,"",",")&amp;D785,"")</f>
        <v/>
      </c>
      <c r="AK785" s="4"/>
      <c r="AL785" s="4"/>
      <c r="AM785" s="4"/>
      <c r="AN785" s="4"/>
      <c r="AO785" s="4"/>
      <c r="AP785" s="4"/>
      <c r="AQ785" s="4"/>
      <c r="AR785" s="4"/>
      <c r="AS785" s="76" t="str">
        <f>"COMMENT ON COLUMN "&amp;エンティティ一覧!$O$2&amp;"."&amp;D$8&amp;"."&amp;D785&amp;" IS '"&amp;C785&amp;"';"</f>
        <v>COMMENT ON COLUMN milscm_2023_009.sny_202310_annony_shikkan2.shikkan772_start_date IS 'K264_疾患開始日';</v>
      </c>
    </row>
    <row r="786" spans="1:45" s="25" customFormat="1">
      <c r="A786" s="4" t="s">
        <v>5850</v>
      </c>
      <c r="B786" s="21">
        <f t="shared" si="139"/>
        <v>774</v>
      </c>
      <c r="C786" s="13" t="str">
        <f t="shared" si="138"/>
        <v>K265_疾患開始日</v>
      </c>
      <c r="D786" s="13" t="s">
        <v>6433</v>
      </c>
      <c r="E786" s="8"/>
      <c r="F786" s="7" t="s">
        <v>4348</v>
      </c>
      <c r="G786" s="7" t="s">
        <v>25</v>
      </c>
      <c r="H786" s="58"/>
      <c r="I786" s="23"/>
      <c r="J786" s="24"/>
      <c r="M786" s="4"/>
      <c r="N786" s="76"/>
      <c r="O786" s="76"/>
      <c r="P786" s="76" t="str">
        <f t="shared" si="133"/>
        <v>,shikkan773_start_date</v>
      </c>
      <c r="Q786" s="76" t="str">
        <f t="shared" si="134"/>
        <v>DATE</v>
      </c>
      <c r="R786" s="76" t="str">
        <f t="shared" si="135"/>
        <v/>
      </c>
      <c r="S786" s="76" t="str">
        <f t="shared" si="136"/>
        <v/>
      </c>
      <c r="T786" s="76" t="str">
        <f t="shared" si="137"/>
        <v>-- K265_疾患開始日</v>
      </c>
      <c r="U786" s="4" t="str">
        <f t="shared" si="115"/>
        <v>, CASE WHEN shikkan_disp_name = 'K265' THEN min_shikkan_start_date ::DATE ELSE NULL END AS shikkan773_start_date</v>
      </c>
      <c r="V786" s="25" t="str">
        <f t="shared" si="116"/>
        <v>, max(shikkan773_start_date)</v>
      </c>
      <c r="AA786" s="4"/>
      <c r="AB786" s="4"/>
      <c r="AC786" s="4"/>
      <c r="AD786" s="4"/>
      <c r="AE786" s="4"/>
      <c r="AF786" s="4"/>
      <c r="AG786" s="4"/>
      <c r="AH786" s="4"/>
      <c r="AI786" s="4"/>
      <c r="AJ786" s="76" t="str">
        <f>IF(E786="○",IF(COUNTA(E$13:E786)=1,"",",")&amp;D786,"")</f>
        <v/>
      </c>
      <c r="AK786" s="4"/>
      <c r="AL786" s="4"/>
      <c r="AM786" s="4"/>
      <c r="AN786" s="4"/>
      <c r="AO786" s="4"/>
      <c r="AP786" s="4"/>
      <c r="AQ786" s="4"/>
      <c r="AR786" s="4"/>
      <c r="AS786" s="76" t="str">
        <f>"COMMENT ON COLUMN "&amp;エンティティ一覧!$O$2&amp;"."&amp;D$8&amp;"."&amp;D786&amp;" IS '"&amp;C786&amp;"';"</f>
        <v>COMMENT ON COLUMN milscm_2023_009.sny_202310_annony_shikkan2.shikkan773_start_date IS 'K265_疾患開始日';</v>
      </c>
    </row>
    <row r="787" spans="1:45" s="25" customFormat="1">
      <c r="A787" s="4" t="s">
        <v>5851</v>
      </c>
      <c r="B787" s="21">
        <f t="shared" si="139"/>
        <v>775</v>
      </c>
      <c r="C787" s="13" t="str">
        <f t="shared" si="138"/>
        <v>K266_疾患開始日</v>
      </c>
      <c r="D787" s="13" t="s">
        <v>6434</v>
      </c>
      <c r="E787" s="8"/>
      <c r="F787" s="7" t="s">
        <v>4348</v>
      </c>
      <c r="G787" s="7" t="s">
        <v>25</v>
      </c>
      <c r="H787" s="58"/>
      <c r="I787" s="23"/>
      <c r="J787" s="24"/>
      <c r="M787" s="4"/>
      <c r="N787" s="76"/>
      <c r="O787" s="76"/>
      <c r="P787" s="76" t="str">
        <f t="shared" si="133"/>
        <v>,shikkan774_start_date</v>
      </c>
      <c r="Q787" s="76" t="str">
        <f t="shared" si="134"/>
        <v>DATE</v>
      </c>
      <c r="R787" s="76" t="str">
        <f t="shared" si="135"/>
        <v/>
      </c>
      <c r="S787" s="76" t="str">
        <f t="shared" si="136"/>
        <v/>
      </c>
      <c r="T787" s="76" t="str">
        <f t="shared" si="137"/>
        <v>-- K266_疾患開始日</v>
      </c>
      <c r="U787" s="4" t="str">
        <f t="shared" si="115"/>
        <v>, CASE WHEN shikkan_disp_name = 'K266' THEN min_shikkan_start_date ::DATE ELSE NULL END AS shikkan774_start_date</v>
      </c>
      <c r="V787" s="25" t="str">
        <f t="shared" si="116"/>
        <v>, max(shikkan774_start_date)</v>
      </c>
      <c r="AA787" s="4"/>
      <c r="AB787" s="4"/>
      <c r="AC787" s="4"/>
      <c r="AD787" s="4"/>
      <c r="AE787" s="4"/>
      <c r="AF787" s="4"/>
      <c r="AG787" s="4"/>
      <c r="AH787" s="4"/>
      <c r="AI787" s="4"/>
      <c r="AJ787" s="76" t="str">
        <f>IF(E787="○",IF(COUNTA(E$13:E787)=1,"",",")&amp;D787,"")</f>
        <v/>
      </c>
      <c r="AK787" s="4"/>
      <c r="AL787" s="4"/>
      <c r="AM787" s="4"/>
      <c r="AN787" s="4"/>
      <c r="AO787" s="4"/>
      <c r="AP787" s="4"/>
      <c r="AQ787" s="4"/>
      <c r="AR787" s="4"/>
      <c r="AS787" s="76" t="str">
        <f>"COMMENT ON COLUMN "&amp;エンティティ一覧!$O$2&amp;"."&amp;D$8&amp;"."&amp;D787&amp;" IS '"&amp;C787&amp;"';"</f>
        <v>COMMENT ON COLUMN milscm_2023_009.sny_202310_annony_shikkan2.shikkan774_start_date IS 'K266_疾患開始日';</v>
      </c>
    </row>
    <row r="788" spans="1:45" s="25" customFormat="1">
      <c r="A788" s="4" t="s">
        <v>5852</v>
      </c>
      <c r="B788" s="21">
        <f t="shared" si="139"/>
        <v>776</v>
      </c>
      <c r="C788" s="13" t="str">
        <f t="shared" si="138"/>
        <v>K267_疾患開始日</v>
      </c>
      <c r="D788" s="13" t="s">
        <v>6435</v>
      </c>
      <c r="E788" s="8"/>
      <c r="F788" s="7" t="s">
        <v>4348</v>
      </c>
      <c r="G788" s="7" t="s">
        <v>25</v>
      </c>
      <c r="H788" s="58"/>
      <c r="I788" s="23"/>
      <c r="J788" s="24"/>
      <c r="M788" s="4"/>
      <c r="N788" s="76"/>
      <c r="O788" s="76"/>
      <c r="P788" s="76" t="str">
        <f t="shared" si="133"/>
        <v>,shikkan775_start_date</v>
      </c>
      <c r="Q788" s="76" t="str">
        <f t="shared" si="134"/>
        <v>DATE</v>
      </c>
      <c r="R788" s="76" t="str">
        <f t="shared" si="135"/>
        <v/>
      </c>
      <c r="S788" s="76" t="str">
        <f t="shared" si="136"/>
        <v/>
      </c>
      <c r="T788" s="76" t="str">
        <f t="shared" si="137"/>
        <v>-- K267_疾患開始日</v>
      </c>
      <c r="U788" s="4" t="str">
        <f t="shared" si="115"/>
        <v>, CASE WHEN shikkan_disp_name = 'K267' THEN min_shikkan_start_date ::DATE ELSE NULL END AS shikkan775_start_date</v>
      </c>
      <c r="V788" s="25" t="str">
        <f t="shared" si="116"/>
        <v>, max(shikkan775_start_date)</v>
      </c>
      <c r="AA788" s="4"/>
      <c r="AB788" s="4"/>
      <c r="AC788" s="4"/>
      <c r="AD788" s="4"/>
      <c r="AE788" s="4"/>
      <c r="AF788" s="4"/>
      <c r="AG788" s="4"/>
      <c r="AH788" s="4"/>
      <c r="AI788" s="4"/>
      <c r="AJ788" s="76" t="str">
        <f>IF(E788="○",IF(COUNTA(E$13:E788)=1,"",",")&amp;D788,"")</f>
        <v/>
      </c>
      <c r="AK788" s="4"/>
      <c r="AL788" s="4"/>
      <c r="AM788" s="4"/>
      <c r="AN788" s="4"/>
      <c r="AO788" s="4"/>
      <c r="AP788" s="4"/>
      <c r="AQ788" s="4"/>
      <c r="AR788" s="4"/>
      <c r="AS788" s="76" t="str">
        <f>"COMMENT ON COLUMN "&amp;エンティティ一覧!$O$2&amp;"."&amp;D$8&amp;"."&amp;D788&amp;" IS '"&amp;C788&amp;"';"</f>
        <v>COMMENT ON COLUMN milscm_2023_009.sny_202310_annony_shikkan2.shikkan775_start_date IS 'K267_疾患開始日';</v>
      </c>
    </row>
    <row r="789" spans="1:45" s="25" customFormat="1">
      <c r="A789" s="4" t="s">
        <v>5853</v>
      </c>
      <c r="B789" s="21">
        <f t="shared" si="139"/>
        <v>777</v>
      </c>
      <c r="C789" s="13" t="str">
        <f t="shared" si="138"/>
        <v>K269_疾患開始日</v>
      </c>
      <c r="D789" s="13" t="s">
        <v>6436</v>
      </c>
      <c r="E789" s="8"/>
      <c r="F789" s="7" t="s">
        <v>4348</v>
      </c>
      <c r="G789" s="7" t="s">
        <v>25</v>
      </c>
      <c r="H789" s="58"/>
      <c r="I789" s="23"/>
      <c r="J789" s="24"/>
      <c r="M789" s="4"/>
      <c r="N789" s="76"/>
      <c r="O789" s="76"/>
      <c r="P789" s="76" t="str">
        <f t="shared" si="133"/>
        <v>,shikkan776_start_date</v>
      </c>
      <c r="Q789" s="76" t="str">
        <f t="shared" si="134"/>
        <v>DATE</v>
      </c>
      <c r="R789" s="76" t="str">
        <f t="shared" si="135"/>
        <v/>
      </c>
      <c r="S789" s="76" t="str">
        <f t="shared" si="136"/>
        <v/>
      </c>
      <c r="T789" s="76" t="str">
        <f t="shared" si="137"/>
        <v>-- K269_疾患開始日</v>
      </c>
      <c r="U789" s="4" t="str">
        <f t="shared" si="115"/>
        <v>, CASE WHEN shikkan_disp_name = 'K269' THEN min_shikkan_start_date ::DATE ELSE NULL END AS shikkan776_start_date</v>
      </c>
      <c r="V789" s="25" t="str">
        <f t="shared" si="116"/>
        <v>, max(shikkan776_start_date)</v>
      </c>
      <c r="AA789" s="4"/>
      <c r="AB789" s="4"/>
      <c r="AC789" s="4"/>
      <c r="AD789" s="4"/>
      <c r="AE789" s="4"/>
      <c r="AF789" s="4"/>
      <c r="AG789" s="4"/>
      <c r="AH789" s="4"/>
      <c r="AI789" s="4"/>
      <c r="AJ789" s="76" t="str">
        <f>IF(E789="○",IF(COUNTA(E$13:E789)=1,"",",")&amp;D789,"")</f>
        <v/>
      </c>
      <c r="AK789" s="4"/>
      <c r="AL789" s="4"/>
      <c r="AM789" s="4"/>
      <c r="AN789" s="4"/>
      <c r="AO789" s="4"/>
      <c r="AP789" s="4"/>
      <c r="AQ789" s="4"/>
      <c r="AR789" s="4"/>
      <c r="AS789" s="76" t="str">
        <f>"COMMENT ON COLUMN "&amp;エンティティ一覧!$O$2&amp;"."&amp;D$8&amp;"."&amp;D789&amp;" IS '"&amp;C789&amp;"';"</f>
        <v>COMMENT ON COLUMN milscm_2023_009.sny_202310_annony_shikkan2.shikkan776_start_date IS 'K269_疾患開始日';</v>
      </c>
    </row>
    <row r="790" spans="1:45" s="25" customFormat="1">
      <c r="A790" s="4" t="s">
        <v>5854</v>
      </c>
      <c r="B790" s="21">
        <f t="shared" si="139"/>
        <v>778</v>
      </c>
      <c r="C790" s="13" t="str">
        <f t="shared" si="138"/>
        <v>K270_疾患開始日</v>
      </c>
      <c r="D790" s="13" t="s">
        <v>6437</v>
      </c>
      <c r="E790" s="8"/>
      <c r="F790" s="7" t="s">
        <v>4348</v>
      </c>
      <c r="G790" s="7" t="s">
        <v>25</v>
      </c>
      <c r="H790" s="58"/>
      <c r="I790" s="23"/>
      <c r="J790" s="24"/>
      <c r="M790" s="4"/>
      <c r="N790" s="76"/>
      <c r="O790" s="76"/>
      <c r="P790" s="76" t="str">
        <f t="shared" si="133"/>
        <v>,shikkan777_start_date</v>
      </c>
      <c r="Q790" s="76" t="str">
        <f t="shared" si="134"/>
        <v>DATE</v>
      </c>
      <c r="R790" s="76" t="str">
        <f t="shared" si="135"/>
        <v/>
      </c>
      <c r="S790" s="76" t="str">
        <f t="shared" si="136"/>
        <v/>
      </c>
      <c r="T790" s="76" t="str">
        <f t="shared" si="137"/>
        <v>-- K270_疾患開始日</v>
      </c>
      <c r="U790" s="4" t="str">
        <f t="shared" si="115"/>
        <v>, CASE WHEN shikkan_disp_name = 'K270' THEN min_shikkan_start_date ::DATE ELSE NULL END AS shikkan777_start_date</v>
      </c>
      <c r="V790" s="25" t="str">
        <f t="shared" si="116"/>
        <v>, max(shikkan777_start_date)</v>
      </c>
      <c r="AA790" s="4"/>
      <c r="AB790" s="4"/>
      <c r="AC790" s="4"/>
      <c r="AD790" s="4"/>
      <c r="AE790" s="4"/>
      <c r="AF790" s="4"/>
      <c r="AG790" s="4"/>
      <c r="AH790" s="4"/>
      <c r="AI790" s="4"/>
      <c r="AJ790" s="76" t="str">
        <f>IF(E790="○",IF(COUNTA(E$13:E790)=1,"",",")&amp;D790,"")</f>
        <v/>
      </c>
      <c r="AK790" s="4"/>
      <c r="AL790" s="4"/>
      <c r="AM790" s="4"/>
      <c r="AN790" s="4"/>
      <c r="AO790" s="4"/>
      <c r="AP790" s="4"/>
      <c r="AQ790" s="4"/>
      <c r="AR790" s="4"/>
      <c r="AS790" s="76" t="str">
        <f>"COMMENT ON COLUMN "&amp;エンティティ一覧!$O$2&amp;"."&amp;D$8&amp;"."&amp;D790&amp;" IS '"&amp;C790&amp;"';"</f>
        <v>COMMENT ON COLUMN milscm_2023_009.sny_202310_annony_shikkan2.shikkan777_start_date IS 'K270_疾患開始日';</v>
      </c>
    </row>
    <row r="791" spans="1:45" s="25" customFormat="1">
      <c r="A791" s="4" t="s">
        <v>5855</v>
      </c>
      <c r="B791" s="21">
        <f t="shared" si="139"/>
        <v>779</v>
      </c>
      <c r="C791" s="13" t="str">
        <f t="shared" si="138"/>
        <v>K271_疾患開始日</v>
      </c>
      <c r="D791" s="13" t="s">
        <v>6438</v>
      </c>
      <c r="E791" s="8"/>
      <c r="F791" s="7" t="s">
        <v>4348</v>
      </c>
      <c r="G791" s="7" t="s">
        <v>25</v>
      </c>
      <c r="H791" s="58"/>
      <c r="I791" s="23"/>
      <c r="J791" s="24"/>
      <c r="M791" s="4"/>
      <c r="N791" s="76"/>
      <c r="O791" s="76"/>
      <c r="P791" s="76" t="str">
        <f t="shared" si="133"/>
        <v>,shikkan778_start_date</v>
      </c>
      <c r="Q791" s="76" t="str">
        <f t="shared" si="134"/>
        <v>DATE</v>
      </c>
      <c r="R791" s="76" t="str">
        <f t="shared" si="135"/>
        <v/>
      </c>
      <c r="S791" s="76" t="str">
        <f t="shared" si="136"/>
        <v/>
      </c>
      <c r="T791" s="76" t="str">
        <f t="shared" si="137"/>
        <v>-- K271_疾患開始日</v>
      </c>
      <c r="U791" s="4" t="str">
        <f t="shared" si="115"/>
        <v>, CASE WHEN shikkan_disp_name = 'K271' THEN min_shikkan_start_date ::DATE ELSE NULL END AS shikkan778_start_date</v>
      </c>
      <c r="V791" s="25" t="str">
        <f t="shared" si="116"/>
        <v>, max(shikkan778_start_date)</v>
      </c>
      <c r="AA791" s="4"/>
      <c r="AB791" s="4"/>
      <c r="AC791" s="4"/>
      <c r="AD791" s="4"/>
      <c r="AE791" s="4"/>
      <c r="AF791" s="4"/>
      <c r="AG791" s="4"/>
      <c r="AH791" s="4"/>
      <c r="AI791" s="4"/>
      <c r="AJ791" s="76" t="str">
        <f>IF(E791="○",IF(COUNTA(E$13:E791)=1,"",",")&amp;D791,"")</f>
        <v/>
      </c>
      <c r="AK791" s="4"/>
      <c r="AL791" s="4"/>
      <c r="AM791" s="4"/>
      <c r="AN791" s="4"/>
      <c r="AO791" s="4"/>
      <c r="AP791" s="4"/>
      <c r="AQ791" s="4"/>
      <c r="AR791" s="4"/>
      <c r="AS791" s="76" t="str">
        <f>"COMMENT ON COLUMN "&amp;エンティティ一覧!$O$2&amp;"."&amp;D$8&amp;"."&amp;D791&amp;" IS '"&amp;C791&amp;"';"</f>
        <v>COMMENT ON COLUMN milscm_2023_009.sny_202310_annony_shikkan2.shikkan778_start_date IS 'K271_疾患開始日';</v>
      </c>
    </row>
    <row r="792" spans="1:45" s="25" customFormat="1">
      <c r="A792" s="4" t="s">
        <v>5856</v>
      </c>
      <c r="B792" s="21">
        <f t="shared" si="139"/>
        <v>780</v>
      </c>
      <c r="C792" s="13" t="str">
        <f t="shared" si="138"/>
        <v>K272_疾患開始日</v>
      </c>
      <c r="D792" s="13" t="s">
        <v>6439</v>
      </c>
      <c r="E792" s="8"/>
      <c r="F792" s="7" t="s">
        <v>4348</v>
      </c>
      <c r="G792" s="7" t="s">
        <v>25</v>
      </c>
      <c r="H792" s="58"/>
      <c r="I792" s="23"/>
      <c r="J792" s="24"/>
      <c r="M792" s="4"/>
      <c r="N792" s="76"/>
      <c r="O792" s="76"/>
      <c r="P792" s="76" t="str">
        <f t="shared" si="133"/>
        <v>,shikkan779_start_date</v>
      </c>
      <c r="Q792" s="76" t="str">
        <f t="shared" si="134"/>
        <v>DATE</v>
      </c>
      <c r="R792" s="76" t="str">
        <f t="shared" si="135"/>
        <v/>
      </c>
      <c r="S792" s="76" t="str">
        <f t="shared" si="136"/>
        <v/>
      </c>
      <c r="T792" s="76" t="str">
        <f t="shared" si="137"/>
        <v>-- K272_疾患開始日</v>
      </c>
      <c r="U792" s="4" t="str">
        <f t="shared" si="115"/>
        <v>, CASE WHEN shikkan_disp_name = 'K272' THEN min_shikkan_start_date ::DATE ELSE NULL END AS shikkan779_start_date</v>
      </c>
      <c r="V792" s="25" t="str">
        <f t="shared" si="116"/>
        <v>, max(shikkan779_start_date)</v>
      </c>
      <c r="AA792" s="4"/>
      <c r="AB792" s="4"/>
      <c r="AC792" s="4"/>
      <c r="AD792" s="4"/>
      <c r="AE792" s="4"/>
      <c r="AF792" s="4"/>
      <c r="AG792" s="4"/>
      <c r="AH792" s="4"/>
      <c r="AI792" s="4"/>
      <c r="AJ792" s="76" t="str">
        <f>IF(E792="○",IF(COUNTA(E$13:E792)=1,"",",")&amp;D792,"")</f>
        <v/>
      </c>
      <c r="AK792" s="4"/>
      <c r="AL792" s="4"/>
      <c r="AM792" s="4"/>
      <c r="AN792" s="4"/>
      <c r="AO792" s="4"/>
      <c r="AP792" s="4"/>
      <c r="AQ792" s="4"/>
      <c r="AR792" s="4"/>
      <c r="AS792" s="76" t="str">
        <f>"COMMENT ON COLUMN "&amp;エンティティ一覧!$O$2&amp;"."&amp;D$8&amp;"."&amp;D792&amp;" IS '"&amp;C792&amp;"';"</f>
        <v>COMMENT ON COLUMN milscm_2023_009.sny_202310_annony_shikkan2.shikkan779_start_date IS 'K272_疾患開始日';</v>
      </c>
    </row>
    <row r="793" spans="1:45" s="25" customFormat="1">
      <c r="A793" s="4" t="s">
        <v>5857</v>
      </c>
      <c r="B793" s="21">
        <f t="shared" si="139"/>
        <v>781</v>
      </c>
      <c r="C793" s="13" t="str">
        <f t="shared" si="138"/>
        <v>K273_疾患開始日</v>
      </c>
      <c r="D793" s="13" t="s">
        <v>6440</v>
      </c>
      <c r="E793" s="8"/>
      <c r="F793" s="7" t="s">
        <v>4348</v>
      </c>
      <c r="G793" s="7" t="s">
        <v>25</v>
      </c>
      <c r="H793" s="58"/>
      <c r="I793" s="23"/>
      <c r="J793" s="24"/>
      <c r="M793" s="4"/>
      <c r="N793" s="76"/>
      <c r="O793" s="76"/>
      <c r="P793" s="76" t="str">
        <f t="shared" si="133"/>
        <v>,shikkan780_start_date</v>
      </c>
      <c r="Q793" s="76" t="str">
        <f t="shared" si="134"/>
        <v>DATE</v>
      </c>
      <c r="R793" s="76" t="str">
        <f t="shared" si="135"/>
        <v/>
      </c>
      <c r="S793" s="76" t="str">
        <f t="shared" si="136"/>
        <v/>
      </c>
      <c r="T793" s="76" t="str">
        <f t="shared" si="137"/>
        <v>-- K273_疾患開始日</v>
      </c>
      <c r="U793" s="4" t="str">
        <f t="shared" si="115"/>
        <v>, CASE WHEN shikkan_disp_name = 'K273' THEN min_shikkan_start_date ::DATE ELSE NULL END AS shikkan780_start_date</v>
      </c>
      <c r="V793" s="25" t="str">
        <f t="shared" si="116"/>
        <v>, max(shikkan780_start_date)</v>
      </c>
      <c r="AA793" s="4"/>
      <c r="AB793" s="4"/>
      <c r="AC793" s="4"/>
      <c r="AD793" s="4"/>
      <c r="AE793" s="4"/>
      <c r="AF793" s="4"/>
      <c r="AG793" s="4"/>
      <c r="AH793" s="4"/>
      <c r="AI793" s="4"/>
      <c r="AJ793" s="76" t="str">
        <f>IF(E793="○",IF(COUNTA(E$13:E793)=1,"",",")&amp;D793,"")</f>
        <v/>
      </c>
      <c r="AK793" s="4"/>
      <c r="AL793" s="4"/>
      <c r="AM793" s="4"/>
      <c r="AN793" s="4"/>
      <c r="AO793" s="4"/>
      <c r="AP793" s="4"/>
      <c r="AQ793" s="4"/>
      <c r="AR793" s="4"/>
      <c r="AS793" s="76" t="str">
        <f>"COMMENT ON COLUMN "&amp;エンティティ一覧!$O$2&amp;"."&amp;D$8&amp;"."&amp;D793&amp;" IS '"&amp;C793&amp;"';"</f>
        <v>COMMENT ON COLUMN milscm_2023_009.sny_202310_annony_shikkan2.shikkan780_start_date IS 'K273_疾患開始日';</v>
      </c>
    </row>
    <row r="794" spans="1:45" s="25" customFormat="1">
      <c r="A794" s="4" t="s">
        <v>5858</v>
      </c>
      <c r="B794" s="21">
        <f t="shared" si="139"/>
        <v>782</v>
      </c>
      <c r="C794" s="13" t="str">
        <f t="shared" si="138"/>
        <v>K274_疾患開始日</v>
      </c>
      <c r="D794" s="13" t="s">
        <v>6441</v>
      </c>
      <c r="E794" s="8"/>
      <c r="F794" s="7" t="s">
        <v>4348</v>
      </c>
      <c r="G794" s="7" t="s">
        <v>25</v>
      </c>
      <c r="H794" s="58"/>
      <c r="I794" s="23"/>
      <c r="J794" s="24"/>
      <c r="M794" s="4"/>
      <c r="N794" s="76"/>
      <c r="O794" s="76"/>
      <c r="P794" s="76" t="str">
        <f t="shared" si="133"/>
        <v>,shikkan781_start_date</v>
      </c>
      <c r="Q794" s="76" t="str">
        <f t="shared" si="134"/>
        <v>DATE</v>
      </c>
      <c r="R794" s="76" t="str">
        <f t="shared" si="135"/>
        <v/>
      </c>
      <c r="S794" s="76" t="str">
        <f t="shared" si="136"/>
        <v/>
      </c>
      <c r="T794" s="76" t="str">
        <f t="shared" si="137"/>
        <v>-- K274_疾患開始日</v>
      </c>
      <c r="U794" s="4" t="str">
        <f t="shared" si="115"/>
        <v>, CASE WHEN shikkan_disp_name = 'K274' THEN min_shikkan_start_date ::DATE ELSE NULL END AS shikkan781_start_date</v>
      </c>
      <c r="V794" s="25" t="str">
        <f t="shared" si="116"/>
        <v>, max(shikkan781_start_date)</v>
      </c>
      <c r="AA794" s="4"/>
      <c r="AB794" s="4"/>
      <c r="AC794" s="4"/>
      <c r="AD794" s="4"/>
      <c r="AE794" s="4"/>
      <c r="AF794" s="4"/>
      <c r="AG794" s="4"/>
      <c r="AH794" s="4"/>
      <c r="AI794" s="4"/>
      <c r="AJ794" s="76" t="str">
        <f>IF(E794="○",IF(COUNTA(E$13:E794)=1,"",",")&amp;D794,"")</f>
        <v/>
      </c>
      <c r="AK794" s="4"/>
      <c r="AL794" s="4"/>
      <c r="AM794" s="4"/>
      <c r="AN794" s="4"/>
      <c r="AO794" s="4"/>
      <c r="AP794" s="4"/>
      <c r="AQ794" s="4"/>
      <c r="AR794" s="4"/>
      <c r="AS794" s="76" t="str">
        <f>"COMMENT ON COLUMN "&amp;エンティティ一覧!$O$2&amp;"."&amp;D$8&amp;"."&amp;D794&amp;" IS '"&amp;C794&amp;"';"</f>
        <v>COMMENT ON COLUMN milscm_2023_009.sny_202310_annony_shikkan2.shikkan781_start_date IS 'K274_疾患開始日';</v>
      </c>
    </row>
    <row r="795" spans="1:45" s="25" customFormat="1">
      <c r="A795" s="4" t="s">
        <v>5859</v>
      </c>
      <c r="B795" s="21">
        <f t="shared" si="139"/>
        <v>783</v>
      </c>
      <c r="C795" s="13" t="str">
        <f t="shared" si="138"/>
        <v>K275_疾患開始日</v>
      </c>
      <c r="D795" s="13" t="s">
        <v>6442</v>
      </c>
      <c r="E795" s="8"/>
      <c r="F795" s="7" t="s">
        <v>4348</v>
      </c>
      <c r="G795" s="7" t="s">
        <v>25</v>
      </c>
      <c r="H795" s="58"/>
      <c r="I795" s="23"/>
      <c r="J795" s="24"/>
      <c r="M795" s="4"/>
      <c r="N795" s="76"/>
      <c r="O795" s="76"/>
      <c r="P795" s="76" t="str">
        <f t="shared" si="133"/>
        <v>,shikkan782_start_date</v>
      </c>
      <c r="Q795" s="76" t="str">
        <f t="shared" si="134"/>
        <v>DATE</v>
      </c>
      <c r="R795" s="76" t="str">
        <f t="shared" si="135"/>
        <v/>
      </c>
      <c r="S795" s="76" t="str">
        <f t="shared" si="136"/>
        <v/>
      </c>
      <c r="T795" s="76" t="str">
        <f t="shared" si="137"/>
        <v>-- K275_疾患開始日</v>
      </c>
      <c r="U795" s="4" t="str">
        <f t="shared" si="115"/>
        <v>, CASE WHEN shikkan_disp_name = 'K275' THEN min_shikkan_start_date ::DATE ELSE NULL END AS shikkan782_start_date</v>
      </c>
      <c r="V795" s="25" t="str">
        <f t="shared" si="116"/>
        <v>, max(shikkan782_start_date)</v>
      </c>
      <c r="AA795" s="4"/>
      <c r="AB795" s="4"/>
      <c r="AC795" s="4"/>
      <c r="AD795" s="4"/>
      <c r="AE795" s="4"/>
      <c r="AF795" s="4"/>
      <c r="AG795" s="4"/>
      <c r="AH795" s="4"/>
      <c r="AI795" s="4"/>
      <c r="AJ795" s="76" t="str">
        <f>IF(E795="○",IF(COUNTA(E$13:E795)=1,"",",")&amp;D795,"")</f>
        <v/>
      </c>
      <c r="AK795" s="4"/>
      <c r="AL795" s="4"/>
      <c r="AM795" s="4"/>
      <c r="AN795" s="4"/>
      <c r="AO795" s="4"/>
      <c r="AP795" s="4"/>
      <c r="AQ795" s="4"/>
      <c r="AR795" s="4"/>
      <c r="AS795" s="76" t="str">
        <f>"COMMENT ON COLUMN "&amp;エンティティ一覧!$O$2&amp;"."&amp;D$8&amp;"."&amp;D795&amp;" IS '"&amp;C795&amp;"';"</f>
        <v>COMMENT ON COLUMN milscm_2023_009.sny_202310_annony_shikkan2.shikkan782_start_date IS 'K275_疾患開始日';</v>
      </c>
    </row>
    <row r="796" spans="1:45" s="25" customFormat="1">
      <c r="A796" s="4" t="s">
        <v>5860</v>
      </c>
      <c r="B796" s="21">
        <f t="shared" si="139"/>
        <v>784</v>
      </c>
      <c r="C796" s="13" t="str">
        <f t="shared" si="138"/>
        <v>K276_疾患開始日</v>
      </c>
      <c r="D796" s="13" t="s">
        <v>6443</v>
      </c>
      <c r="E796" s="8"/>
      <c r="F796" s="7" t="s">
        <v>4348</v>
      </c>
      <c r="G796" s="7" t="s">
        <v>99</v>
      </c>
      <c r="H796" s="58"/>
      <c r="I796" s="23"/>
      <c r="J796" s="24"/>
      <c r="M796" s="4"/>
      <c r="N796" s="76"/>
      <c r="O796" s="76"/>
      <c r="P796" s="76" t="str">
        <f t="shared" si="133"/>
        <v>,shikkan783_start_date</v>
      </c>
      <c r="Q796" s="76" t="str">
        <f t="shared" si="134"/>
        <v>DATE</v>
      </c>
      <c r="R796" s="76" t="str">
        <f t="shared" si="135"/>
        <v/>
      </c>
      <c r="S796" s="76" t="str">
        <f t="shared" si="136"/>
        <v/>
      </c>
      <c r="T796" s="76" t="str">
        <f t="shared" si="137"/>
        <v>-- K276_疾患開始日</v>
      </c>
      <c r="U796" s="4" t="str">
        <f t="shared" si="115"/>
        <v>, CASE WHEN shikkan_disp_name = 'K276' THEN min_shikkan_start_date ::DATE ELSE NULL END AS shikkan783_start_date</v>
      </c>
      <c r="V796" s="25" t="str">
        <f t="shared" si="116"/>
        <v>, max(shikkan783_start_date)</v>
      </c>
      <c r="AA796" s="4"/>
      <c r="AB796" s="4"/>
      <c r="AC796" s="4"/>
      <c r="AD796" s="4"/>
      <c r="AE796" s="4"/>
      <c r="AF796" s="4"/>
      <c r="AG796" s="4"/>
      <c r="AH796" s="4"/>
      <c r="AI796" s="4"/>
      <c r="AJ796" s="76" t="str">
        <f>IF(E796="○",IF(COUNTA(E$13:E796)=1,"",",")&amp;D796,"")</f>
        <v/>
      </c>
      <c r="AK796" s="4"/>
      <c r="AL796" s="4"/>
      <c r="AM796" s="4"/>
      <c r="AN796" s="4"/>
      <c r="AO796" s="4"/>
      <c r="AP796" s="4"/>
      <c r="AQ796" s="4"/>
      <c r="AR796" s="4"/>
      <c r="AS796" s="76" t="str">
        <f>"COMMENT ON COLUMN "&amp;エンティティ一覧!$O$2&amp;"."&amp;D$8&amp;"."&amp;D796&amp;" IS '"&amp;C796&amp;"';"</f>
        <v>COMMENT ON COLUMN milscm_2023_009.sny_202310_annony_shikkan2.shikkan783_start_date IS 'K276_疾患開始日';</v>
      </c>
    </row>
    <row r="797" spans="1:45" s="25" customFormat="1">
      <c r="A797" s="4" t="s">
        <v>5861</v>
      </c>
      <c r="B797" s="21">
        <f t="shared" si="139"/>
        <v>785</v>
      </c>
      <c r="C797" s="13" t="str">
        <f t="shared" si="138"/>
        <v>K277_疾患開始日</v>
      </c>
      <c r="D797" s="13" t="s">
        <v>6444</v>
      </c>
      <c r="E797" s="8"/>
      <c r="F797" s="7" t="s">
        <v>4348</v>
      </c>
      <c r="G797" s="7" t="s">
        <v>25</v>
      </c>
      <c r="H797" s="58"/>
      <c r="I797" s="23"/>
      <c r="J797" s="24"/>
      <c r="M797" s="4"/>
      <c r="N797" s="76"/>
      <c r="O797" s="76"/>
      <c r="P797" s="76" t="str">
        <f t="shared" si="133"/>
        <v>,shikkan784_start_date</v>
      </c>
      <c r="Q797" s="76" t="str">
        <f t="shared" si="134"/>
        <v>DATE</v>
      </c>
      <c r="R797" s="76" t="str">
        <f t="shared" si="135"/>
        <v/>
      </c>
      <c r="S797" s="76" t="str">
        <f t="shared" si="136"/>
        <v/>
      </c>
      <c r="T797" s="76" t="str">
        <f t="shared" si="137"/>
        <v>-- K277_疾患開始日</v>
      </c>
      <c r="U797" s="4" t="str">
        <f t="shared" si="115"/>
        <v>, CASE WHEN shikkan_disp_name = 'K277' THEN min_shikkan_start_date ::DATE ELSE NULL END AS shikkan784_start_date</v>
      </c>
      <c r="V797" s="25" t="str">
        <f t="shared" si="116"/>
        <v>, max(shikkan784_start_date)</v>
      </c>
      <c r="AA797" s="4"/>
      <c r="AB797" s="4"/>
      <c r="AC797" s="4"/>
      <c r="AD797" s="4"/>
      <c r="AE797" s="4"/>
      <c r="AF797" s="4"/>
      <c r="AG797" s="4"/>
      <c r="AH797" s="4"/>
      <c r="AI797" s="4"/>
      <c r="AJ797" s="76" t="str">
        <f>IF(E797="○",IF(COUNTA(E$13:E797)=1,"",",")&amp;D797,"")</f>
        <v/>
      </c>
      <c r="AK797" s="4"/>
      <c r="AL797" s="4"/>
      <c r="AM797" s="4"/>
      <c r="AN797" s="4"/>
      <c r="AO797" s="4"/>
      <c r="AP797" s="4"/>
      <c r="AQ797" s="4"/>
      <c r="AR797" s="4"/>
      <c r="AS797" s="76" t="str">
        <f>"COMMENT ON COLUMN "&amp;エンティティ一覧!$O$2&amp;"."&amp;D$8&amp;"."&amp;D797&amp;" IS '"&amp;C797&amp;"';"</f>
        <v>COMMENT ON COLUMN milscm_2023_009.sny_202310_annony_shikkan2.shikkan784_start_date IS 'K277_疾患開始日';</v>
      </c>
    </row>
    <row r="798" spans="1:45" s="25" customFormat="1">
      <c r="A798" s="4" t="s">
        <v>5862</v>
      </c>
      <c r="B798" s="21">
        <f t="shared" si="139"/>
        <v>786</v>
      </c>
      <c r="C798" s="13" t="str">
        <f t="shared" si="138"/>
        <v>K279_疾患開始日</v>
      </c>
      <c r="D798" s="13" t="s">
        <v>6445</v>
      </c>
      <c r="E798" s="8"/>
      <c r="F798" s="7" t="s">
        <v>4348</v>
      </c>
      <c r="G798" s="7" t="s">
        <v>25</v>
      </c>
      <c r="H798" s="58"/>
      <c r="I798" s="23"/>
      <c r="J798" s="24"/>
      <c r="M798" s="4"/>
      <c r="N798" s="76"/>
      <c r="O798" s="76"/>
      <c r="P798" s="76" t="str">
        <f t="shared" si="133"/>
        <v>,shikkan785_start_date</v>
      </c>
      <c r="Q798" s="76" t="str">
        <f t="shared" si="134"/>
        <v>DATE</v>
      </c>
      <c r="R798" s="76" t="str">
        <f t="shared" si="135"/>
        <v/>
      </c>
      <c r="S798" s="76" t="str">
        <f t="shared" si="136"/>
        <v/>
      </c>
      <c r="T798" s="76" t="str">
        <f t="shared" si="137"/>
        <v>-- K279_疾患開始日</v>
      </c>
      <c r="U798" s="4" t="str">
        <f t="shared" si="115"/>
        <v>, CASE WHEN shikkan_disp_name = 'K279' THEN min_shikkan_start_date ::DATE ELSE NULL END AS shikkan785_start_date</v>
      </c>
      <c r="V798" s="25" t="str">
        <f t="shared" si="116"/>
        <v>, max(shikkan785_start_date)</v>
      </c>
      <c r="AA798" s="4"/>
      <c r="AB798" s="4"/>
      <c r="AC798" s="4"/>
      <c r="AD798" s="4"/>
      <c r="AE798" s="4"/>
      <c r="AF798" s="4"/>
      <c r="AG798" s="4"/>
      <c r="AH798" s="4"/>
      <c r="AI798" s="4"/>
      <c r="AJ798" s="76" t="str">
        <f>IF(E798="○",IF(COUNTA(E$13:E798)=1,"",",")&amp;D798,"")</f>
        <v/>
      </c>
      <c r="AK798" s="4"/>
      <c r="AL798" s="4"/>
      <c r="AM798" s="4"/>
      <c r="AN798" s="4"/>
      <c r="AO798" s="4"/>
      <c r="AP798" s="4"/>
      <c r="AQ798" s="4"/>
      <c r="AR798" s="4"/>
      <c r="AS798" s="76" t="str">
        <f>"COMMENT ON COLUMN "&amp;エンティティ一覧!$O$2&amp;"."&amp;D$8&amp;"."&amp;D798&amp;" IS '"&amp;C798&amp;"';"</f>
        <v>COMMENT ON COLUMN milscm_2023_009.sny_202310_annony_shikkan2.shikkan785_start_date IS 'K279_疾患開始日';</v>
      </c>
    </row>
    <row r="799" spans="1:45" s="25" customFormat="1">
      <c r="A799" s="4" t="s">
        <v>5863</v>
      </c>
      <c r="B799" s="21">
        <f t="shared" si="139"/>
        <v>787</v>
      </c>
      <c r="C799" s="13" t="str">
        <f t="shared" si="138"/>
        <v>K280_疾患開始日</v>
      </c>
      <c r="D799" s="13" t="s">
        <v>6446</v>
      </c>
      <c r="E799" s="8"/>
      <c r="F799" s="7" t="s">
        <v>4348</v>
      </c>
      <c r="G799" s="7" t="s">
        <v>25</v>
      </c>
      <c r="H799" s="58"/>
      <c r="I799" s="23"/>
      <c r="J799" s="24"/>
      <c r="M799" s="4"/>
      <c r="N799" s="76"/>
      <c r="O799" s="76"/>
      <c r="P799" s="76" t="str">
        <f t="shared" si="133"/>
        <v>,shikkan786_start_date</v>
      </c>
      <c r="Q799" s="76" t="str">
        <f t="shared" si="134"/>
        <v>DATE</v>
      </c>
      <c r="R799" s="76" t="str">
        <f t="shared" si="135"/>
        <v/>
      </c>
      <c r="S799" s="76" t="str">
        <f t="shared" si="136"/>
        <v/>
      </c>
      <c r="T799" s="76" t="str">
        <f t="shared" si="137"/>
        <v>-- K280_疾患開始日</v>
      </c>
      <c r="U799" s="4" t="str">
        <f t="shared" si="115"/>
        <v>, CASE WHEN shikkan_disp_name = 'K280' THEN min_shikkan_start_date ::DATE ELSE NULL END AS shikkan786_start_date</v>
      </c>
      <c r="V799" s="25" t="str">
        <f t="shared" si="116"/>
        <v>, max(shikkan786_start_date)</v>
      </c>
      <c r="AA799" s="4"/>
      <c r="AB799" s="4"/>
      <c r="AC799" s="4"/>
      <c r="AD799" s="4"/>
      <c r="AE799" s="4"/>
      <c r="AF799" s="4"/>
      <c r="AG799" s="4"/>
      <c r="AH799" s="4"/>
      <c r="AI799" s="4"/>
      <c r="AJ799" s="76" t="str">
        <f>IF(E799="○",IF(COUNTA(E$13:E799)=1,"",",")&amp;D799,"")</f>
        <v/>
      </c>
      <c r="AK799" s="4"/>
      <c r="AL799" s="4"/>
      <c r="AM799" s="4"/>
      <c r="AN799" s="4"/>
      <c r="AO799" s="4"/>
      <c r="AP799" s="4"/>
      <c r="AQ799" s="4"/>
      <c r="AR799" s="4"/>
      <c r="AS799" s="76" t="str">
        <f>"COMMENT ON COLUMN "&amp;エンティティ一覧!$O$2&amp;"."&amp;D$8&amp;"."&amp;D799&amp;" IS '"&amp;C799&amp;"';"</f>
        <v>COMMENT ON COLUMN milscm_2023_009.sny_202310_annony_shikkan2.shikkan786_start_date IS 'K280_疾患開始日';</v>
      </c>
    </row>
    <row r="800" spans="1:45" s="25" customFormat="1">
      <c r="A800" s="4" t="s">
        <v>5864</v>
      </c>
      <c r="B800" s="21">
        <f t="shared" si="139"/>
        <v>788</v>
      </c>
      <c r="C800" s="13" t="str">
        <f t="shared" si="138"/>
        <v>K281_疾患開始日</v>
      </c>
      <c r="D800" s="13" t="s">
        <v>6447</v>
      </c>
      <c r="E800" s="8"/>
      <c r="F800" s="7" t="s">
        <v>4348</v>
      </c>
      <c r="G800" s="7" t="s">
        <v>25</v>
      </c>
      <c r="H800" s="58"/>
      <c r="I800" s="23"/>
      <c r="J800" s="24"/>
      <c r="M800" s="4"/>
      <c r="N800" s="76"/>
      <c r="O800" s="76"/>
      <c r="P800" s="76" t="str">
        <f t="shared" si="133"/>
        <v>,shikkan787_start_date</v>
      </c>
      <c r="Q800" s="76" t="str">
        <f t="shared" si="134"/>
        <v>DATE</v>
      </c>
      <c r="R800" s="76" t="str">
        <f t="shared" si="135"/>
        <v/>
      </c>
      <c r="S800" s="76" t="str">
        <f t="shared" si="136"/>
        <v/>
      </c>
      <c r="T800" s="76" t="str">
        <f t="shared" si="137"/>
        <v>-- K281_疾患開始日</v>
      </c>
      <c r="U800" s="4" t="str">
        <f t="shared" si="115"/>
        <v>, CASE WHEN shikkan_disp_name = 'K281' THEN min_shikkan_start_date ::DATE ELSE NULL END AS shikkan787_start_date</v>
      </c>
      <c r="V800" s="25" t="str">
        <f t="shared" si="116"/>
        <v>, max(shikkan787_start_date)</v>
      </c>
      <c r="AA800" s="4"/>
      <c r="AB800" s="4"/>
      <c r="AC800" s="4"/>
      <c r="AD800" s="4"/>
      <c r="AE800" s="4"/>
      <c r="AF800" s="4"/>
      <c r="AG800" s="4"/>
      <c r="AH800" s="4"/>
      <c r="AI800" s="4"/>
      <c r="AJ800" s="76" t="str">
        <f>IF(E800="○",IF(COUNTA(E$13:E800)=1,"",",")&amp;D800,"")</f>
        <v/>
      </c>
      <c r="AK800" s="4"/>
      <c r="AL800" s="4"/>
      <c r="AM800" s="4"/>
      <c r="AN800" s="4"/>
      <c r="AO800" s="4"/>
      <c r="AP800" s="4"/>
      <c r="AQ800" s="4"/>
      <c r="AR800" s="4"/>
      <c r="AS800" s="76" t="str">
        <f>"COMMENT ON COLUMN "&amp;エンティティ一覧!$O$2&amp;"."&amp;D$8&amp;"."&amp;D800&amp;" IS '"&amp;C800&amp;"';"</f>
        <v>COMMENT ON COLUMN milscm_2023_009.sny_202310_annony_shikkan2.shikkan787_start_date IS 'K281_疾患開始日';</v>
      </c>
    </row>
    <row r="801" spans="1:45" s="25" customFormat="1">
      <c r="A801" s="4" t="s">
        <v>5865</v>
      </c>
      <c r="B801" s="21">
        <f t="shared" si="139"/>
        <v>789</v>
      </c>
      <c r="C801" s="13" t="str">
        <f t="shared" si="138"/>
        <v>K282_疾患開始日</v>
      </c>
      <c r="D801" s="13" t="s">
        <v>6448</v>
      </c>
      <c r="E801" s="8"/>
      <c r="F801" s="7" t="s">
        <v>4348</v>
      </c>
      <c r="G801" s="7" t="s">
        <v>25</v>
      </c>
      <c r="H801" s="58"/>
      <c r="I801" s="23"/>
      <c r="J801" s="24"/>
      <c r="M801" s="4"/>
      <c r="N801" s="76"/>
      <c r="O801" s="76"/>
      <c r="P801" s="76" t="str">
        <f t="shared" si="133"/>
        <v>,shikkan788_start_date</v>
      </c>
      <c r="Q801" s="76" t="str">
        <f t="shared" si="134"/>
        <v>DATE</v>
      </c>
      <c r="R801" s="76" t="str">
        <f t="shared" si="135"/>
        <v/>
      </c>
      <c r="S801" s="76" t="str">
        <f t="shared" si="136"/>
        <v/>
      </c>
      <c r="T801" s="76" t="str">
        <f t="shared" si="137"/>
        <v>-- K282_疾患開始日</v>
      </c>
      <c r="U801" s="4" t="str">
        <f t="shared" si="115"/>
        <v>, CASE WHEN shikkan_disp_name = 'K282' THEN min_shikkan_start_date ::DATE ELSE NULL END AS shikkan788_start_date</v>
      </c>
      <c r="V801" s="25" t="str">
        <f t="shared" si="116"/>
        <v>, max(shikkan788_start_date)</v>
      </c>
      <c r="AA801" s="4"/>
      <c r="AB801" s="4"/>
      <c r="AC801" s="4"/>
      <c r="AD801" s="4"/>
      <c r="AE801" s="4"/>
      <c r="AF801" s="4"/>
      <c r="AG801" s="4"/>
      <c r="AH801" s="4"/>
      <c r="AI801" s="4"/>
      <c r="AJ801" s="76" t="str">
        <f>IF(E801="○",IF(COUNTA(E$13:E801)=1,"",",")&amp;D801,"")</f>
        <v/>
      </c>
      <c r="AK801" s="4"/>
      <c r="AL801" s="4"/>
      <c r="AM801" s="4"/>
      <c r="AN801" s="4"/>
      <c r="AO801" s="4"/>
      <c r="AP801" s="4"/>
      <c r="AQ801" s="4"/>
      <c r="AR801" s="4"/>
      <c r="AS801" s="76" t="str">
        <f>"COMMENT ON COLUMN "&amp;エンティティ一覧!$O$2&amp;"."&amp;D$8&amp;"."&amp;D801&amp;" IS '"&amp;C801&amp;"';"</f>
        <v>COMMENT ON COLUMN milscm_2023_009.sny_202310_annony_shikkan2.shikkan788_start_date IS 'K282_疾患開始日';</v>
      </c>
    </row>
    <row r="802" spans="1:45" s="25" customFormat="1">
      <c r="A802" s="4" t="s">
        <v>5866</v>
      </c>
      <c r="B802" s="21">
        <f t="shared" si="139"/>
        <v>790</v>
      </c>
      <c r="C802" s="13" t="str">
        <f t="shared" si="138"/>
        <v>K283_疾患開始日</v>
      </c>
      <c r="D802" s="13" t="s">
        <v>6449</v>
      </c>
      <c r="E802" s="8"/>
      <c r="F802" s="7" t="s">
        <v>4348</v>
      </c>
      <c r="G802" s="7" t="s">
        <v>25</v>
      </c>
      <c r="H802" s="58"/>
      <c r="I802" s="23"/>
      <c r="J802" s="24"/>
      <c r="M802" s="4"/>
      <c r="N802" s="76"/>
      <c r="O802" s="76"/>
      <c r="P802" s="76" t="str">
        <f t="shared" si="133"/>
        <v>,shikkan789_start_date</v>
      </c>
      <c r="Q802" s="76" t="str">
        <f t="shared" si="134"/>
        <v>DATE</v>
      </c>
      <c r="R802" s="76" t="str">
        <f t="shared" si="135"/>
        <v/>
      </c>
      <c r="S802" s="76" t="str">
        <f t="shared" si="136"/>
        <v/>
      </c>
      <c r="T802" s="76" t="str">
        <f t="shared" si="137"/>
        <v>-- K283_疾患開始日</v>
      </c>
      <c r="U802" s="4" t="str">
        <f t="shared" si="115"/>
        <v>, CASE WHEN shikkan_disp_name = 'K283' THEN min_shikkan_start_date ::DATE ELSE NULL END AS shikkan789_start_date</v>
      </c>
      <c r="V802" s="25" t="str">
        <f t="shared" si="116"/>
        <v>, max(shikkan789_start_date)</v>
      </c>
      <c r="AA802" s="4"/>
      <c r="AB802" s="4"/>
      <c r="AC802" s="4"/>
      <c r="AD802" s="4"/>
      <c r="AE802" s="4"/>
      <c r="AF802" s="4"/>
      <c r="AG802" s="4"/>
      <c r="AH802" s="4"/>
      <c r="AI802" s="4"/>
      <c r="AJ802" s="76" t="str">
        <f>IF(E802="○",IF(COUNTA(E$13:E802)=1,"",",")&amp;D802,"")</f>
        <v/>
      </c>
      <c r="AK802" s="4"/>
      <c r="AL802" s="4"/>
      <c r="AM802" s="4"/>
      <c r="AN802" s="4"/>
      <c r="AO802" s="4"/>
      <c r="AP802" s="4"/>
      <c r="AQ802" s="4"/>
      <c r="AR802" s="4"/>
      <c r="AS802" s="76" t="str">
        <f>"COMMENT ON COLUMN "&amp;エンティティ一覧!$O$2&amp;"."&amp;D$8&amp;"."&amp;D802&amp;" IS '"&amp;C802&amp;"';"</f>
        <v>COMMENT ON COLUMN milscm_2023_009.sny_202310_annony_shikkan2.shikkan789_start_date IS 'K283_疾患開始日';</v>
      </c>
    </row>
    <row r="803" spans="1:45" s="25" customFormat="1">
      <c r="A803" s="4" t="s">
        <v>5867</v>
      </c>
      <c r="B803" s="21">
        <f t="shared" si="139"/>
        <v>791</v>
      </c>
      <c r="C803" s="13" t="str">
        <f t="shared" si="138"/>
        <v>K284_疾患開始日</v>
      </c>
      <c r="D803" s="13" t="s">
        <v>6450</v>
      </c>
      <c r="E803" s="8"/>
      <c r="F803" s="7" t="s">
        <v>4348</v>
      </c>
      <c r="G803" s="7" t="s">
        <v>25</v>
      </c>
      <c r="H803" s="58"/>
      <c r="I803" s="23"/>
      <c r="J803" s="24"/>
      <c r="M803" s="4"/>
      <c r="N803" s="76"/>
      <c r="O803" s="76"/>
      <c r="P803" s="76" t="str">
        <f t="shared" si="133"/>
        <v>,shikkan790_start_date</v>
      </c>
      <c r="Q803" s="76" t="str">
        <f t="shared" si="134"/>
        <v>DATE</v>
      </c>
      <c r="R803" s="76" t="str">
        <f t="shared" si="135"/>
        <v/>
      </c>
      <c r="S803" s="76" t="str">
        <f t="shared" si="136"/>
        <v/>
      </c>
      <c r="T803" s="76" t="str">
        <f t="shared" si="137"/>
        <v>-- K284_疾患開始日</v>
      </c>
      <c r="U803" s="4" t="str">
        <f t="shared" si="115"/>
        <v>, CASE WHEN shikkan_disp_name = 'K284' THEN min_shikkan_start_date ::DATE ELSE NULL END AS shikkan790_start_date</v>
      </c>
      <c r="V803" s="25" t="str">
        <f t="shared" si="116"/>
        <v>, max(shikkan790_start_date)</v>
      </c>
      <c r="AA803" s="4"/>
      <c r="AB803" s="4"/>
      <c r="AC803" s="4"/>
      <c r="AD803" s="4"/>
      <c r="AE803" s="4"/>
      <c r="AF803" s="4"/>
      <c r="AG803" s="4"/>
      <c r="AH803" s="4"/>
      <c r="AI803" s="4"/>
      <c r="AJ803" s="76" t="str">
        <f>IF(E803="○",IF(COUNTA(E$13:E803)=1,"",",")&amp;D803,"")</f>
        <v/>
      </c>
      <c r="AK803" s="4"/>
      <c r="AL803" s="4"/>
      <c r="AM803" s="4"/>
      <c r="AN803" s="4"/>
      <c r="AO803" s="4"/>
      <c r="AP803" s="4"/>
      <c r="AQ803" s="4"/>
      <c r="AR803" s="4"/>
      <c r="AS803" s="76" t="str">
        <f>"COMMENT ON COLUMN "&amp;エンティティ一覧!$O$2&amp;"."&amp;D$8&amp;"."&amp;D803&amp;" IS '"&amp;C803&amp;"';"</f>
        <v>COMMENT ON COLUMN milscm_2023_009.sny_202310_annony_shikkan2.shikkan790_start_date IS 'K284_疾患開始日';</v>
      </c>
    </row>
    <row r="804" spans="1:45" s="25" customFormat="1">
      <c r="A804" s="4" t="s">
        <v>5868</v>
      </c>
      <c r="B804" s="21">
        <f t="shared" si="139"/>
        <v>792</v>
      </c>
      <c r="C804" s="13" t="str">
        <f t="shared" si="138"/>
        <v>K285_疾患開始日</v>
      </c>
      <c r="D804" s="13" t="s">
        <v>6451</v>
      </c>
      <c r="E804" s="8"/>
      <c r="F804" s="7" t="s">
        <v>4348</v>
      </c>
      <c r="G804" s="7" t="s">
        <v>25</v>
      </c>
      <c r="H804" s="58"/>
      <c r="I804" s="23"/>
      <c r="J804" s="24"/>
      <c r="M804" s="4"/>
      <c r="N804" s="76"/>
      <c r="O804" s="76"/>
      <c r="P804" s="76" t="str">
        <f t="shared" si="133"/>
        <v>,shikkan791_start_date</v>
      </c>
      <c r="Q804" s="76" t="str">
        <f t="shared" si="134"/>
        <v>DATE</v>
      </c>
      <c r="R804" s="76" t="str">
        <f t="shared" si="135"/>
        <v/>
      </c>
      <c r="S804" s="76" t="str">
        <f t="shared" si="136"/>
        <v/>
      </c>
      <c r="T804" s="76" t="str">
        <f t="shared" si="137"/>
        <v>-- K285_疾患開始日</v>
      </c>
      <c r="U804" s="4" t="str">
        <f t="shared" si="115"/>
        <v>, CASE WHEN shikkan_disp_name = 'K285' THEN min_shikkan_start_date ::DATE ELSE NULL END AS shikkan791_start_date</v>
      </c>
      <c r="V804" s="25" t="str">
        <f t="shared" si="116"/>
        <v>, max(shikkan791_start_date)</v>
      </c>
      <c r="AA804" s="4"/>
      <c r="AB804" s="4"/>
      <c r="AC804" s="4"/>
      <c r="AD804" s="4"/>
      <c r="AE804" s="4"/>
      <c r="AF804" s="4"/>
      <c r="AG804" s="4"/>
      <c r="AH804" s="4"/>
      <c r="AI804" s="4"/>
      <c r="AJ804" s="76" t="str">
        <f>IF(E804="○",IF(COUNTA(E$13:E804)=1,"",",")&amp;D804,"")</f>
        <v/>
      </c>
      <c r="AK804" s="4"/>
      <c r="AL804" s="4"/>
      <c r="AM804" s="4"/>
      <c r="AN804" s="4"/>
      <c r="AO804" s="4"/>
      <c r="AP804" s="4"/>
      <c r="AQ804" s="4"/>
      <c r="AR804" s="4"/>
      <c r="AS804" s="76" t="str">
        <f>"COMMENT ON COLUMN "&amp;エンティティ一覧!$O$2&amp;"."&amp;D$8&amp;"."&amp;D804&amp;" IS '"&amp;C804&amp;"';"</f>
        <v>COMMENT ON COLUMN milscm_2023_009.sny_202310_annony_shikkan2.shikkan791_start_date IS 'K285_疾患開始日';</v>
      </c>
    </row>
    <row r="805" spans="1:45" s="25" customFormat="1">
      <c r="A805" s="4" t="s">
        <v>5869</v>
      </c>
      <c r="B805" s="21">
        <f t="shared" si="139"/>
        <v>793</v>
      </c>
      <c r="C805" s="13" t="str">
        <f t="shared" si="138"/>
        <v>K286_疾患開始日</v>
      </c>
      <c r="D805" s="13" t="s">
        <v>6452</v>
      </c>
      <c r="E805" s="8"/>
      <c r="F805" s="7" t="s">
        <v>4348</v>
      </c>
      <c r="G805" s="7" t="s">
        <v>25</v>
      </c>
      <c r="H805" s="58"/>
      <c r="I805" s="23"/>
      <c r="J805" s="24"/>
      <c r="M805" s="4"/>
      <c r="N805" s="76"/>
      <c r="O805" s="76"/>
      <c r="P805" s="76" t="str">
        <f t="shared" si="133"/>
        <v>,shikkan792_start_date</v>
      </c>
      <c r="Q805" s="76" t="str">
        <f t="shared" si="134"/>
        <v>DATE</v>
      </c>
      <c r="R805" s="76" t="str">
        <f t="shared" si="135"/>
        <v/>
      </c>
      <c r="S805" s="76" t="str">
        <f t="shared" si="136"/>
        <v/>
      </c>
      <c r="T805" s="76" t="str">
        <f t="shared" si="137"/>
        <v>-- K286_疾患開始日</v>
      </c>
      <c r="U805" s="4" t="str">
        <f t="shared" si="115"/>
        <v>, CASE WHEN shikkan_disp_name = 'K286' THEN min_shikkan_start_date ::DATE ELSE NULL END AS shikkan792_start_date</v>
      </c>
      <c r="V805" s="25" t="str">
        <f t="shared" si="116"/>
        <v>, max(shikkan792_start_date)</v>
      </c>
      <c r="AA805" s="4"/>
      <c r="AB805" s="4"/>
      <c r="AC805" s="4"/>
      <c r="AD805" s="4"/>
      <c r="AE805" s="4"/>
      <c r="AF805" s="4"/>
      <c r="AG805" s="4"/>
      <c r="AH805" s="4"/>
      <c r="AI805" s="4"/>
      <c r="AJ805" s="76" t="str">
        <f>IF(E805="○",IF(COUNTA(E$13:E805)=1,"",",")&amp;D805,"")</f>
        <v/>
      </c>
      <c r="AK805" s="4"/>
      <c r="AL805" s="4"/>
      <c r="AM805" s="4"/>
      <c r="AN805" s="4"/>
      <c r="AO805" s="4"/>
      <c r="AP805" s="4"/>
      <c r="AQ805" s="4"/>
      <c r="AR805" s="4"/>
      <c r="AS805" s="76" t="str">
        <f>"COMMENT ON COLUMN "&amp;エンティティ一覧!$O$2&amp;"."&amp;D$8&amp;"."&amp;D805&amp;" IS '"&amp;C805&amp;"';"</f>
        <v>COMMENT ON COLUMN milscm_2023_009.sny_202310_annony_shikkan2.shikkan792_start_date IS 'K286_疾患開始日';</v>
      </c>
    </row>
    <row r="806" spans="1:45" s="25" customFormat="1">
      <c r="A806" s="4" t="s">
        <v>5870</v>
      </c>
      <c r="B806" s="21">
        <f t="shared" si="139"/>
        <v>794</v>
      </c>
      <c r="C806" s="13" t="str">
        <f t="shared" si="138"/>
        <v>K287_疾患開始日</v>
      </c>
      <c r="D806" s="13" t="s">
        <v>6453</v>
      </c>
      <c r="E806" s="8"/>
      <c r="F806" s="7" t="s">
        <v>4348</v>
      </c>
      <c r="G806" s="7" t="s">
        <v>25</v>
      </c>
      <c r="H806" s="58"/>
      <c r="I806" s="23"/>
      <c r="J806" s="24"/>
      <c r="M806" s="4"/>
      <c r="N806" s="76"/>
      <c r="O806" s="76"/>
      <c r="P806" s="76" t="str">
        <f t="shared" ref="P806:P869" si="140">IF(B806&lt;&gt;1,","&amp;D806,D806)</f>
        <v>,shikkan793_start_date</v>
      </c>
      <c r="Q806" s="76" t="str">
        <f t="shared" ref="Q806:Q869" si="141">UPPER(G806)</f>
        <v>DATE</v>
      </c>
      <c r="R806" s="76" t="str">
        <f t="shared" ref="R806:R869" si="142">IF(H806&lt;&gt;"","default "&amp;IF(G806="text","'"&amp;H806&amp;"'",H806),"")</f>
        <v/>
      </c>
      <c r="S806" s="76" t="str">
        <f t="shared" ref="S806:S869" si="143">IF(I806="○","NOT NULL","")</f>
        <v/>
      </c>
      <c r="T806" s="76" t="str">
        <f t="shared" ref="T806:T869" si="144">"-- "&amp;C806</f>
        <v>-- K287_疾患開始日</v>
      </c>
      <c r="U806" s="4" t="str">
        <f t="shared" si="115"/>
        <v>, CASE WHEN shikkan_disp_name = 'K287' THEN min_shikkan_start_date ::DATE ELSE NULL END AS shikkan793_start_date</v>
      </c>
      <c r="V806" s="25" t="str">
        <f t="shared" si="116"/>
        <v>, max(shikkan793_start_date)</v>
      </c>
      <c r="AA806" s="4"/>
      <c r="AB806" s="4"/>
      <c r="AC806" s="4"/>
      <c r="AD806" s="4"/>
      <c r="AE806" s="4"/>
      <c r="AF806" s="4"/>
      <c r="AG806" s="4"/>
      <c r="AH806" s="4"/>
      <c r="AI806" s="4"/>
      <c r="AJ806" s="76" t="str">
        <f>IF(E806="○",IF(COUNTA(E$13:E806)=1,"",",")&amp;D806,"")</f>
        <v/>
      </c>
      <c r="AK806" s="4"/>
      <c r="AL806" s="4"/>
      <c r="AM806" s="4"/>
      <c r="AN806" s="4"/>
      <c r="AO806" s="4"/>
      <c r="AP806" s="4"/>
      <c r="AQ806" s="4"/>
      <c r="AR806" s="4"/>
      <c r="AS806" s="76" t="str">
        <f>"COMMENT ON COLUMN "&amp;エンティティ一覧!$O$2&amp;"."&amp;D$8&amp;"."&amp;D806&amp;" IS '"&amp;C806&amp;"';"</f>
        <v>COMMENT ON COLUMN milscm_2023_009.sny_202310_annony_shikkan2.shikkan793_start_date IS 'K287_疾患開始日';</v>
      </c>
    </row>
    <row r="807" spans="1:45" s="25" customFormat="1">
      <c r="A807" s="4" t="s">
        <v>5871</v>
      </c>
      <c r="B807" s="21">
        <f t="shared" si="139"/>
        <v>795</v>
      </c>
      <c r="C807" s="13" t="str">
        <f t="shared" si="138"/>
        <v>K289_疾患開始日</v>
      </c>
      <c r="D807" s="13" t="s">
        <v>6454</v>
      </c>
      <c r="E807" s="8"/>
      <c r="F807" s="7" t="s">
        <v>4348</v>
      </c>
      <c r="G807" s="7" t="s">
        <v>25</v>
      </c>
      <c r="H807" s="58"/>
      <c r="I807" s="23"/>
      <c r="J807" s="24"/>
      <c r="M807" s="4"/>
      <c r="N807" s="76"/>
      <c r="O807" s="76"/>
      <c r="P807" s="76" t="str">
        <f t="shared" si="140"/>
        <v>,shikkan794_start_date</v>
      </c>
      <c r="Q807" s="76" t="str">
        <f t="shared" si="141"/>
        <v>DATE</v>
      </c>
      <c r="R807" s="76" t="str">
        <f t="shared" si="142"/>
        <v/>
      </c>
      <c r="S807" s="76" t="str">
        <f t="shared" si="143"/>
        <v/>
      </c>
      <c r="T807" s="76" t="str">
        <f t="shared" si="144"/>
        <v>-- K289_疾患開始日</v>
      </c>
      <c r="U807" s="4" t="str">
        <f t="shared" si="115"/>
        <v>, CASE WHEN shikkan_disp_name = 'K289' THEN min_shikkan_start_date ::DATE ELSE NULL END AS shikkan794_start_date</v>
      </c>
      <c r="V807" s="25" t="str">
        <f t="shared" si="116"/>
        <v>, max(shikkan794_start_date)</v>
      </c>
      <c r="AA807" s="4"/>
      <c r="AB807" s="4"/>
      <c r="AC807" s="4"/>
      <c r="AD807" s="4"/>
      <c r="AE807" s="4"/>
      <c r="AF807" s="4"/>
      <c r="AG807" s="4"/>
      <c r="AH807" s="4"/>
      <c r="AI807" s="4"/>
      <c r="AJ807" s="76" t="str">
        <f>IF(E807="○",IF(COUNTA(E$13:E807)=1,"",",")&amp;D807,"")</f>
        <v/>
      </c>
      <c r="AK807" s="4"/>
      <c r="AL807" s="4"/>
      <c r="AM807" s="4"/>
      <c r="AN807" s="4"/>
      <c r="AO807" s="4"/>
      <c r="AP807" s="4"/>
      <c r="AQ807" s="4"/>
      <c r="AR807" s="4"/>
      <c r="AS807" s="76" t="str">
        <f>"COMMENT ON COLUMN "&amp;エンティティ一覧!$O$2&amp;"."&amp;D$8&amp;"."&amp;D807&amp;" IS '"&amp;C807&amp;"';"</f>
        <v>COMMENT ON COLUMN milscm_2023_009.sny_202310_annony_shikkan2.shikkan794_start_date IS 'K289_疾患開始日';</v>
      </c>
    </row>
    <row r="808" spans="1:45" s="25" customFormat="1">
      <c r="A808" s="4" t="s">
        <v>5872</v>
      </c>
      <c r="B808" s="21">
        <f t="shared" si="139"/>
        <v>796</v>
      </c>
      <c r="C808" s="13" t="str">
        <f t="shared" si="138"/>
        <v>K551_疾患開始日</v>
      </c>
      <c r="D808" s="13" t="s">
        <v>6455</v>
      </c>
      <c r="E808" s="8"/>
      <c r="F808" s="7" t="s">
        <v>4348</v>
      </c>
      <c r="G808" s="7" t="s">
        <v>25</v>
      </c>
      <c r="H808" s="58"/>
      <c r="I808" s="23"/>
      <c r="J808" s="24"/>
      <c r="M808" s="4"/>
      <c r="N808" s="76"/>
      <c r="O808" s="76"/>
      <c r="P808" s="76" t="str">
        <f t="shared" si="140"/>
        <v>,shikkan795_start_date</v>
      </c>
      <c r="Q808" s="76" t="str">
        <f t="shared" si="141"/>
        <v>DATE</v>
      </c>
      <c r="R808" s="76" t="str">
        <f t="shared" si="142"/>
        <v/>
      </c>
      <c r="S808" s="76" t="str">
        <f t="shared" si="143"/>
        <v/>
      </c>
      <c r="T808" s="76" t="str">
        <f t="shared" si="144"/>
        <v>-- K551_疾患開始日</v>
      </c>
      <c r="U808" s="4" t="str">
        <f t="shared" si="115"/>
        <v>, CASE WHEN shikkan_disp_name = 'K551' THEN min_shikkan_start_date ::DATE ELSE NULL END AS shikkan795_start_date</v>
      </c>
      <c r="V808" s="25" t="str">
        <f t="shared" si="116"/>
        <v>, max(shikkan795_start_date)</v>
      </c>
      <c r="AA808" s="4"/>
      <c r="AB808" s="4"/>
      <c r="AC808" s="4"/>
      <c r="AD808" s="4"/>
      <c r="AE808" s="4"/>
      <c r="AF808" s="4"/>
      <c r="AG808" s="4"/>
      <c r="AH808" s="4"/>
      <c r="AI808" s="4"/>
      <c r="AJ808" s="76" t="str">
        <f>IF(E808="○",IF(COUNTA(E$13:E808)=1,"",",")&amp;D808,"")</f>
        <v/>
      </c>
      <c r="AK808" s="4"/>
      <c r="AL808" s="4"/>
      <c r="AM808" s="4"/>
      <c r="AN808" s="4"/>
      <c r="AO808" s="4"/>
      <c r="AP808" s="4"/>
      <c r="AQ808" s="4"/>
      <c r="AR808" s="4"/>
      <c r="AS808" s="76" t="str">
        <f>"COMMENT ON COLUMN "&amp;エンティティ一覧!$O$2&amp;"."&amp;D$8&amp;"."&amp;D808&amp;" IS '"&amp;C808&amp;"';"</f>
        <v>COMMENT ON COLUMN milscm_2023_009.sny_202310_annony_shikkan2.shikkan795_start_date IS 'K551_疾患開始日';</v>
      </c>
    </row>
    <row r="809" spans="1:45" s="25" customFormat="1">
      <c r="A809" s="4" t="s">
        <v>5873</v>
      </c>
      <c r="B809" s="21">
        <f t="shared" si="139"/>
        <v>797</v>
      </c>
      <c r="C809" s="13" t="str">
        <f t="shared" si="138"/>
        <v>K558_疾患開始日</v>
      </c>
      <c r="D809" s="13" t="s">
        <v>6456</v>
      </c>
      <c r="E809" s="8"/>
      <c r="F809" s="7" t="s">
        <v>4348</v>
      </c>
      <c r="G809" s="7" t="s">
        <v>25</v>
      </c>
      <c r="H809" s="58"/>
      <c r="I809" s="23"/>
      <c r="J809" s="24"/>
      <c r="M809" s="4"/>
      <c r="N809" s="76"/>
      <c r="O809" s="76"/>
      <c r="P809" s="76" t="str">
        <f t="shared" si="140"/>
        <v>,shikkan796_start_date</v>
      </c>
      <c r="Q809" s="76" t="str">
        <f t="shared" si="141"/>
        <v>DATE</v>
      </c>
      <c r="R809" s="76" t="str">
        <f t="shared" si="142"/>
        <v/>
      </c>
      <c r="S809" s="76" t="str">
        <f t="shared" si="143"/>
        <v/>
      </c>
      <c r="T809" s="76" t="str">
        <f t="shared" si="144"/>
        <v>-- K558_疾患開始日</v>
      </c>
      <c r="U809" s="4" t="str">
        <f t="shared" si="115"/>
        <v>, CASE WHEN shikkan_disp_name = 'K558' THEN min_shikkan_start_date ::DATE ELSE NULL END AS shikkan796_start_date</v>
      </c>
      <c r="V809" s="25" t="str">
        <f t="shared" si="116"/>
        <v>, max(shikkan796_start_date)</v>
      </c>
      <c r="AA809" s="4"/>
      <c r="AB809" s="4"/>
      <c r="AC809" s="4"/>
      <c r="AD809" s="4"/>
      <c r="AE809" s="4"/>
      <c r="AF809" s="4"/>
      <c r="AG809" s="4"/>
      <c r="AH809" s="4"/>
      <c r="AI809" s="4"/>
      <c r="AJ809" s="76" t="str">
        <f>IF(E809="○",IF(COUNTA(E$13:E809)=1,"",",")&amp;D809,"")</f>
        <v/>
      </c>
      <c r="AK809" s="4"/>
      <c r="AL809" s="4"/>
      <c r="AM809" s="4"/>
      <c r="AN809" s="4"/>
      <c r="AO809" s="4"/>
      <c r="AP809" s="4"/>
      <c r="AQ809" s="4"/>
      <c r="AR809" s="4"/>
      <c r="AS809" s="76" t="str">
        <f>"COMMENT ON COLUMN "&amp;エンティティ一覧!$O$2&amp;"."&amp;D$8&amp;"."&amp;D809&amp;" IS '"&amp;C809&amp;"';"</f>
        <v>COMMENT ON COLUMN milscm_2023_009.sny_202310_annony_shikkan2.shikkan796_start_date IS 'K558_疾患開始日';</v>
      </c>
    </row>
    <row r="810" spans="1:45" s="25" customFormat="1">
      <c r="A810" s="4" t="s">
        <v>5874</v>
      </c>
      <c r="B810" s="21">
        <f t="shared" si="139"/>
        <v>798</v>
      </c>
      <c r="C810" s="13" t="str">
        <f t="shared" si="138"/>
        <v>K559_疾患開始日</v>
      </c>
      <c r="D810" s="13" t="s">
        <v>6457</v>
      </c>
      <c r="E810" s="8"/>
      <c r="F810" s="7" t="s">
        <v>4348</v>
      </c>
      <c r="G810" s="7" t="s">
        <v>25</v>
      </c>
      <c r="H810" s="58"/>
      <c r="I810" s="23"/>
      <c r="J810" s="24"/>
      <c r="M810" s="4"/>
      <c r="N810" s="76"/>
      <c r="O810" s="76"/>
      <c r="P810" s="76" t="str">
        <f t="shared" si="140"/>
        <v>,shikkan797_start_date</v>
      </c>
      <c r="Q810" s="76" t="str">
        <f t="shared" si="141"/>
        <v>DATE</v>
      </c>
      <c r="R810" s="76" t="str">
        <f t="shared" si="142"/>
        <v/>
      </c>
      <c r="S810" s="76" t="str">
        <f t="shared" si="143"/>
        <v/>
      </c>
      <c r="T810" s="76" t="str">
        <f t="shared" si="144"/>
        <v>-- K559_疾患開始日</v>
      </c>
      <c r="U810" s="4" t="str">
        <f t="shared" si="115"/>
        <v>, CASE WHEN shikkan_disp_name = 'K559' THEN min_shikkan_start_date ::DATE ELSE NULL END AS shikkan797_start_date</v>
      </c>
      <c r="V810" s="25" t="str">
        <f t="shared" si="116"/>
        <v>, max(shikkan797_start_date)</v>
      </c>
      <c r="AA810" s="4"/>
      <c r="AB810" s="4"/>
      <c r="AC810" s="4"/>
      <c r="AD810" s="4"/>
      <c r="AE810" s="4"/>
      <c r="AF810" s="4"/>
      <c r="AG810" s="4"/>
      <c r="AH810" s="4"/>
      <c r="AI810" s="4"/>
      <c r="AJ810" s="76" t="str">
        <f>IF(E810="○",IF(COUNTA(E$13:E810)=1,"",",")&amp;D810,"")</f>
        <v/>
      </c>
      <c r="AK810" s="4"/>
      <c r="AL810" s="4"/>
      <c r="AM810" s="4"/>
      <c r="AN810" s="4"/>
      <c r="AO810" s="4"/>
      <c r="AP810" s="4"/>
      <c r="AQ810" s="4"/>
      <c r="AR810" s="4"/>
      <c r="AS810" s="76" t="str">
        <f>"COMMENT ON COLUMN "&amp;エンティティ一覧!$O$2&amp;"."&amp;D$8&amp;"."&amp;D810&amp;" IS '"&amp;C810&amp;"';"</f>
        <v>COMMENT ON COLUMN milscm_2023_009.sny_202310_annony_shikkan2.shikkan797_start_date IS 'K559_疾患開始日';</v>
      </c>
    </row>
    <row r="811" spans="1:45" s="25" customFormat="1">
      <c r="A811" s="4" t="s">
        <v>5072</v>
      </c>
      <c r="B811" s="21">
        <f t="shared" si="139"/>
        <v>799</v>
      </c>
      <c r="C811" s="13" t="str">
        <f t="shared" si="138"/>
        <v>K700_疾患開始日</v>
      </c>
      <c r="D811" s="13" t="s">
        <v>6458</v>
      </c>
      <c r="E811" s="8"/>
      <c r="F811" s="7" t="s">
        <v>4348</v>
      </c>
      <c r="G811" s="7" t="s">
        <v>25</v>
      </c>
      <c r="H811" s="58"/>
      <c r="I811" s="23"/>
      <c r="J811" s="24"/>
      <c r="M811" s="4"/>
      <c r="N811" s="76"/>
      <c r="O811" s="76"/>
      <c r="P811" s="76" t="str">
        <f t="shared" si="140"/>
        <v>,shikkan798_start_date</v>
      </c>
      <c r="Q811" s="76" t="str">
        <f t="shared" si="141"/>
        <v>DATE</v>
      </c>
      <c r="R811" s="76" t="str">
        <f t="shared" si="142"/>
        <v/>
      </c>
      <c r="S811" s="76" t="str">
        <f t="shared" si="143"/>
        <v/>
      </c>
      <c r="T811" s="76" t="str">
        <f t="shared" si="144"/>
        <v>-- K700_疾患開始日</v>
      </c>
      <c r="U811" s="4" t="str">
        <f t="shared" si="115"/>
        <v>, CASE WHEN shikkan_disp_name = 'K700' THEN min_shikkan_start_date ::DATE ELSE NULL END AS shikkan798_start_date</v>
      </c>
      <c r="V811" s="25" t="str">
        <f t="shared" si="116"/>
        <v>, max(shikkan798_start_date)</v>
      </c>
      <c r="AA811" s="4"/>
      <c r="AB811" s="4"/>
      <c r="AC811" s="4"/>
      <c r="AD811" s="4"/>
      <c r="AE811" s="4"/>
      <c r="AF811" s="4"/>
      <c r="AG811" s="4"/>
      <c r="AH811" s="4"/>
      <c r="AI811" s="4"/>
      <c r="AJ811" s="76" t="str">
        <f>IF(E811="○",IF(COUNTA(E$13:E811)=1,"",",")&amp;D811,"")</f>
        <v/>
      </c>
      <c r="AK811" s="4"/>
      <c r="AL811" s="4"/>
      <c r="AM811" s="4"/>
      <c r="AN811" s="4"/>
      <c r="AO811" s="4"/>
      <c r="AP811" s="4"/>
      <c r="AQ811" s="4"/>
      <c r="AR811" s="4"/>
      <c r="AS811" s="76" t="str">
        <f>"COMMENT ON COLUMN "&amp;エンティティ一覧!$O$2&amp;"."&amp;D$8&amp;"."&amp;D811&amp;" IS '"&amp;C811&amp;"';"</f>
        <v>COMMENT ON COLUMN milscm_2023_009.sny_202310_annony_shikkan2.shikkan798_start_date IS 'K700_疾患開始日';</v>
      </c>
    </row>
    <row r="812" spans="1:45" s="25" customFormat="1">
      <c r="A812" s="4" t="s">
        <v>5073</v>
      </c>
      <c r="B812" s="21">
        <f t="shared" si="139"/>
        <v>800</v>
      </c>
      <c r="C812" s="13" t="str">
        <f t="shared" si="138"/>
        <v>K701_疾患開始日</v>
      </c>
      <c r="D812" s="13" t="s">
        <v>6459</v>
      </c>
      <c r="E812" s="8"/>
      <c r="F812" s="7" t="s">
        <v>4348</v>
      </c>
      <c r="G812" s="7" t="s">
        <v>99</v>
      </c>
      <c r="H812" s="58"/>
      <c r="I812" s="23"/>
      <c r="J812" s="24"/>
      <c r="M812" s="4"/>
      <c r="N812" s="76"/>
      <c r="O812" s="76"/>
      <c r="P812" s="76" t="str">
        <f t="shared" si="140"/>
        <v>,shikkan799_start_date</v>
      </c>
      <c r="Q812" s="76" t="str">
        <f t="shared" si="141"/>
        <v>DATE</v>
      </c>
      <c r="R812" s="76" t="str">
        <f t="shared" si="142"/>
        <v/>
      </c>
      <c r="S812" s="76" t="str">
        <f t="shared" si="143"/>
        <v/>
      </c>
      <c r="T812" s="76" t="str">
        <f t="shared" si="144"/>
        <v>-- K701_疾患開始日</v>
      </c>
      <c r="U812" s="4" t="str">
        <f t="shared" si="115"/>
        <v>, CASE WHEN shikkan_disp_name = 'K701' THEN min_shikkan_start_date ::DATE ELSE NULL END AS shikkan799_start_date</v>
      </c>
      <c r="V812" s="25" t="str">
        <f t="shared" si="116"/>
        <v>, max(shikkan799_start_date)</v>
      </c>
      <c r="AA812" s="4"/>
      <c r="AB812" s="4"/>
      <c r="AC812" s="4"/>
      <c r="AD812" s="4"/>
      <c r="AE812" s="4"/>
      <c r="AF812" s="4"/>
      <c r="AG812" s="4"/>
      <c r="AH812" s="4"/>
      <c r="AI812" s="4"/>
      <c r="AJ812" s="76" t="str">
        <f>IF(E812="○",IF(COUNTA(E$13:E812)=1,"",",")&amp;D812,"")</f>
        <v/>
      </c>
      <c r="AK812" s="4"/>
      <c r="AL812" s="4"/>
      <c r="AM812" s="4"/>
      <c r="AN812" s="4"/>
      <c r="AO812" s="4"/>
      <c r="AP812" s="4"/>
      <c r="AQ812" s="4"/>
      <c r="AR812" s="4"/>
      <c r="AS812" s="76" t="str">
        <f>"COMMENT ON COLUMN "&amp;エンティティ一覧!$O$2&amp;"."&amp;D$8&amp;"."&amp;D812&amp;" IS '"&amp;C812&amp;"';"</f>
        <v>COMMENT ON COLUMN milscm_2023_009.sny_202310_annony_shikkan2.shikkan799_start_date IS 'K701_疾患開始日';</v>
      </c>
    </row>
    <row r="813" spans="1:45" s="25" customFormat="1">
      <c r="A813" s="4" t="s">
        <v>5074</v>
      </c>
      <c r="B813" s="21">
        <f t="shared" si="139"/>
        <v>801</v>
      </c>
      <c r="C813" s="13" t="str">
        <f t="shared" si="138"/>
        <v>K702_疾患開始日</v>
      </c>
      <c r="D813" s="13" t="s">
        <v>6460</v>
      </c>
      <c r="E813" s="8"/>
      <c r="F813" s="7" t="s">
        <v>4348</v>
      </c>
      <c r="G813" s="7" t="s">
        <v>25</v>
      </c>
      <c r="H813" s="58"/>
      <c r="I813" s="23"/>
      <c r="J813" s="24"/>
      <c r="M813" s="4"/>
      <c r="N813" s="76"/>
      <c r="O813" s="76"/>
      <c r="P813" s="76" t="str">
        <f t="shared" si="140"/>
        <v>,shikkan800_start_date</v>
      </c>
      <c r="Q813" s="76" t="str">
        <f t="shared" si="141"/>
        <v>DATE</v>
      </c>
      <c r="R813" s="76" t="str">
        <f t="shared" si="142"/>
        <v/>
      </c>
      <c r="S813" s="76" t="str">
        <f t="shared" si="143"/>
        <v/>
      </c>
      <c r="T813" s="76" t="str">
        <f t="shared" si="144"/>
        <v>-- K702_疾患開始日</v>
      </c>
      <c r="U813" s="4" t="str">
        <f t="shared" si="115"/>
        <v>, CASE WHEN shikkan_disp_name = 'K702' THEN min_shikkan_start_date ::DATE ELSE NULL END AS shikkan800_start_date</v>
      </c>
      <c r="V813" s="25" t="str">
        <f t="shared" si="116"/>
        <v>, max(shikkan800_start_date)</v>
      </c>
      <c r="AA813" s="4"/>
      <c r="AB813" s="4"/>
      <c r="AC813" s="4"/>
      <c r="AD813" s="4"/>
      <c r="AE813" s="4"/>
      <c r="AF813" s="4"/>
      <c r="AG813" s="4"/>
      <c r="AH813" s="4"/>
      <c r="AI813" s="4"/>
      <c r="AJ813" s="76" t="str">
        <f>IF(E813="○",IF(COUNTA(E$13:E813)=1,"",",")&amp;D813,"")</f>
        <v/>
      </c>
      <c r="AK813" s="4"/>
      <c r="AL813" s="4"/>
      <c r="AM813" s="4"/>
      <c r="AN813" s="4"/>
      <c r="AO813" s="4"/>
      <c r="AP813" s="4"/>
      <c r="AQ813" s="4"/>
      <c r="AR813" s="4"/>
      <c r="AS813" s="76" t="str">
        <f>"COMMENT ON COLUMN "&amp;エンティティ一覧!$O$2&amp;"."&amp;D$8&amp;"."&amp;D813&amp;" IS '"&amp;C813&amp;"';"</f>
        <v>COMMENT ON COLUMN milscm_2023_009.sny_202310_annony_shikkan2.shikkan800_start_date IS 'K702_疾患開始日';</v>
      </c>
    </row>
    <row r="814" spans="1:45" s="25" customFormat="1">
      <c r="A814" s="4" t="s">
        <v>5075</v>
      </c>
      <c r="B814" s="21">
        <f t="shared" si="139"/>
        <v>802</v>
      </c>
      <c r="C814" s="13" t="str">
        <f t="shared" si="138"/>
        <v>K703_疾患開始日</v>
      </c>
      <c r="D814" s="13" t="s">
        <v>6461</v>
      </c>
      <c r="E814" s="8"/>
      <c r="F814" s="7" t="s">
        <v>4348</v>
      </c>
      <c r="G814" s="7" t="s">
        <v>25</v>
      </c>
      <c r="H814" s="58"/>
      <c r="I814" s="23"/>
      <c r="J814" s="24"/>
      <c r="M814" s="4"/>
      <c r="N814" s="76"/>
      <c r="O814" s="76"/>
      <c r="P814" s="76" t="str">
        <f t="shared" si="140"/>
        <v>,shikkan801_start_date</v>
      </c>
      <c r="Q814" s="76" t="str">
        <f t="shared" si="141"/>
        <v>DATE</v>
      </c>
      <c r="R814" s="76" t="str">
        <f t="shared" si="142"/>
        <v/>
      </c>
      <c r="S814" s="76" t="str">
        <f t="shared" si="143"/>
        <v/>
      </c>
      <c r="T814" s="76" t="str">
        <f t="shared" si="144"/>
        <v>-- K703_疾患開始日</v>
      </c>
      <c r="U814" s="4" t="str">
        <f t="shared" si="115"/>
        <v>, CASE WHEN shikkan_disp_name = 'K703' THEN min_shikkan_start_date ::DATE ELSE NULL END AS shikkan801_start_date</v>
      </c>
      <c r="V814" s="25" t="str">
        <f t="shared" si="116"/>
        <v>, max(shikkan801_start_date)</v>
      </c>
      <c r="AA814" s="4"/>
      <c r="AB814" s="4"/>
      <c r="AC814" s="4"/>
      <c r="AD814" s="4"/>
      <c r="AE814" s="4"/>
      <c r="AF814" s="4"/>
      <c r="AG814" s="4"/>
      <c r="AH814" s="4"/>
      <c r="AI814" s="4"/>
      <c r="AJ814" s="76" t="str">
        <f>IF(E814="○",IF(COUNTA(E$13:E814)=1,"",",")&amp;D814,"")</f>
        <v/>
      </c>
      <c r="AK814" s="4"/>
      <c r="AL814" s="4"/>
      <c r="AM814" s="4"/>
      <c r="AN814" s="4"/>
      <c r="AO814" s="4"/>
      <c r="AP814" s="4"/>
      <c r="AQ814" s="4"/>
      <c r="AR814" s="4"/>
      <c r="AS814" s="76" t="str">
        <f>"COMMENT ON COLUMN "&amp;エンティティ一覧!$O$2&amp;"."&amp;D$8&amp;"."&amp;D814&amp;" IS '"&amp;C814&amp;"';"</f>
        <v>COMMENT ON COLUMN milscm_2023_009.sny_202310_annony_shikkan2.shikkan801_start_date IS 'K703_疾患開始日';</v>
      </c>
    </row>
    <row r="815" spans="1:45" s="25" customFormat="1">
      <c r="A815" s="4" t="s">
        <v>5875</v>
      </c>
      <c r="B815" s="21">
        <f t="shared" si="139"/>
        <v>803</v>
      </c>
      <c r="C815" s="13" t="str">
        <f t="shared" si="138"/>
        <v>K704_疾患開始日</v>
      </c>
      <c r="D815" s="13" t="s">
        <v>6462</v>
      </c>
      <c r="E815" s="8"/>
      <c r="F815" s="7" t="s">
        <v>4348</v>
      </c>
      <c r="G815" s="7" t="s">
        <v>25</v>
      </c>
      <c r="H815" s="58"/>
      <c r="I815" s="23"/>
      <c r="J815" s="24"/>
      <c r="M815" s="4"/>
      <c r="N815" s="76"/>
      <c r="O815" s="76"/>
      <c r="P815" s="76" t="str">
        <f t="shared" si="140"/>
        <v>,shikkan802_start_date</v>
      </c>
      <c r="Q815" s="76" t="str">
        <f t="shared" si="141"/>
        <v>DATE</v>
      </c>
      <c r="R815" s="76" t="str">
        <f t="shared" si="142"/>
        <v/>
      </c>
      <c r="S815" s="76" t="str">
        <f t="shared" si="143"/>
        <v/>
      </c>
      <c r="T815" s="76" t="str">
        <f t="shared" si="144"/>
        <v>-- K704_疾患開始日</v>
      </c>
      <c r="U815" s="4" t="str">
        <f t="shared" si="115"/>
        <v>, CASE WHEN shikkan_disp_name = 'K704' THEN min_shikkan_start_date ::DATE ELSE NULL END AS shikkan802_start_date</v>
      </c>
      <c r="V815" s="25" t="str">
        <f t="shared" si="116"/>
        <v>, max(shikkan802_start_date)</v>
      </c>
      <c r="AA815" s="4"/>
      <c r="AB815" s="4"/>
      <c r="AC815" s="4"/>
      <c r="AD815" s="4"/>
      <c r="AE815" s="4"/>
      <c r="AF815" s="4"/>
      <c r="AG815" s="4"/>
      <c r="AH815" s="4"/>
      <c r="AI815" s="4"/>
      <c r="AJ815" s="76" t="str">
        <f>IF(E815="○",IF(COUNTA(E$13:E815)=1,"",",")&amp;D815,"")</f>
        <v/>
      </c>
      <c r="AK815" s="4"/>
      <c r="AL815" s="4"/>
      <c r="AM815" s="4"/>
      <c r="AN815" s="4"/>
      <c r="AO815" s="4"/>
      <c r="AP815" s="4"/>
      <c r="AQ815" s="4"/>
      <c r="AR815" s="4"/>
      <c r="AS815" s="76" t="str">
        <f>"COMMENT ON COLUMN "&amp;エンティティ一覧!$O$2&amp;"."&amp;D$8&amp;"."&amp;D815&amp;" IS '"&amp;C815&amp;"';"</f>
        <v>COMMENT ON COLUMN milscm_2023_009.sny_202310_annony_shikkan2.shikkan802_start_date IS 'K704_疾患開始日';</v>
      </c>
    </row>
    <row r="816" spans="1:45" s="25" customFormat="1">
      <c r="A816" s="4" t="s">
        <v>5076</v>
      </c>
      <c r="B816" s="21">
        <f t="shared" si="139"/>
        <v>804</v>
      </c>
      <c r="C816" s="13" t="str">
        <f t="shared" si="138"/>
        <v>K709_疾患開始日</v>
      </c>
      <c r="D816" s="13" t="s">
        <v>6463</v>
      </c>
      <c r="E816" s="8"/>
      <c r="F816" s="7" t="s">
        <v>4348</v>
      </c>
      <c r="G816" s="7" t="s">
        <v>25</v>
      </c>
      <c r="H816" s="58"/>
      <c r="I816" s="23"/>
      <c r="J816" s="24"/>
      <c r="M816" s="4"/>
      <c r="N816" s="76"/>
      <c r="O816" s="76"/>
      <c r="P816" s="76" t="str">
        <f t="shared" si="140"/>
        <v>,shikkan803_start_date</v>
      </c>
      <c r="Q816" s="76" t="str">
        <f t="shared" si="141"/>
        <v>DATE</v>
      </c>
      <c r="R816" s="76" t="str">
        <f t="shared" si="142"/>
        <v/>
      </c>
      <c r="S816" s="76" t="str">
        <f t="shared" si="143"/>
        <v/>
      </c>
      <c r="T816" s="76" t="str">
        <f t="shared" si="144"/>
        <v>-- K709_疾患開始日</v>
      </c>
      <c r="U816" s="4" t="str">
        <f t="shared" si="115"/>
        <v>, CASE WHEN shikkan_disp_name = 'K709' THEN min_shikkan_start_date ::DATE ELSE NULL END AS shikkan803_start_date</v>
      </c>
      <c r="V816" s="25" t="str">
        <f t="shared" si="116"/>
        <v>, max(shikkan803_start_date)</v>
      </c>
      <c r="AA816" s="4"/>
      <c r="AB816" s="4"/>
      <c r="AC816" s="4"/>
      <c r="AD816" s="4"/>
      <c r="AE816" s="4"/>
      <c r="AF816" s="4"/>
      <c r="AG816" s="4"/>
      <c r="AH816" s="4"/>
      <c r="AI816" s="4"/>
      <c r="AJ816" s="76" t="str">
        <f>IF(E816="○",IF(COUNTA(E$13:E816)=1,"",",")&amp;D816,"")</f>
        <v/>
      </c>
      <c r="AK816" s="4"/>
      <c r="AL816" s="4"/>
      <c r="AM816" s="4"/>
      <c r="AN816" s="4"/>
      <c r="AO816" s="4"/>
      <c r="AP816" s="4"/>
      <c r="AQ816" s="4"/>
      <c r="AR816" s="4"/>
      <c r="AS816" s="76" t="str">
        <f>"COMMENT ON COLUMN "&amp;エンティティ一覧!$O$2&amp;"."&amp;D$8&amp;"."&amp;D816&amp;" IS '"&amp;C816&amp;"';"</f>
        <v>COMMENT ON COLUMN milscm_2023_009.sny_202310_annony_shikkan2.shikkan803_start_date IS 'K709_疾患開始日';</v>
      </c>
    </row>
    <row r="817" spans="1:45" s="25" customFormat="1">
      <c r="A817" s="4" t="s">
        <v>5876</v>
      </c>
      <c r="B817" s="21">
        <f t="shared" si="139"/>
        <v>805</v>
      </c>
      <c r="C817" s="13" t="str">
        <f t="shared" si="138"/>
        <v>K711_疾患開始日</v>
      </c>
      <c r="D817" s="13" t="s">
        <v>6464</v>
      </c>
      <c r="E817" s="8"/>
      <c r="F817" s="7" t="s">
        <v>4348</v>
      </c>
      <c r="G817" s="7" t="s">
        <v>25</v>
      </c>
      <c r="H817" s="58"/>
      <c r="I817" s="23"/>
      <c r="J817" s="24"/>
      <c r="M817" s="4"/>
      <c r="N817" s="76"/>
      <c r="O817" s="76"/>
      <c r="P817" s="76" t="str">
        <f t="shared" si="140"/>
        <v>,shikkan804_start_date</v>
      </c>
      <c r="Q817" s="76" t="str">
        <f t="shared" si="141"/>
        <v>DATE</v>
      </c>
      <c r="R817" s="76" t="str">
        <f t="shared" si="142"/>
        <v/>
      </c>
      <c r="S817" s="76" t="str">
        <f t="shared" si="143"/>
        <v/>
      </c>
      <c r="T817" s="76" t="str">
        <f t="shared" si="144"/>
        <v>-- K711_疾患開始日</v>
      </c>
      <c r="U817" s="4" t="str">
        <f t="shared" si="115"/>
        <v>, CASE WHEN shikkan_disp_name = 'K711' THEN min_shikkan_start_date ::DATE ELSE NULL END AS shikkan804_start_date</v>
      </c>
      <c r="V817" s="25" t="str">
        <f t="shared" si="116"/>
        <v>, max(shikkan804_start_date)</v>
      </c>
      <c r="AA817" s="4"/>
      <c r="AB817" s="4"/>
      <c r="AC817" s="4"/>
      <c r="AD817" s="4"/>
      <c r="AE817" s="4"/>
      <c r="AF817" s="4"/>
      <c r="AG817" s="4"/>
      <c r="AH817" s="4"/>
      <c r="AI817" s="4"/>
      <c r="AJ817" s="76" t="str">
        <f>IF(E817="○",IF(COUNTA(E$13:E817)=1,"",",")&amp;D817,"")</f>
        <v/>
      </c>
      <c r="AK817" s="4"/>
      <c r="AL817" s="4"/>
      <c r="AM817" s="4"/>
      <c r="AN817" s="4"/>
      <c r="AO817" s="4"/>
      <c r="AP817" s="4"/>
      <c r="AQ817" s="4"/>
      <c r="AR817" s="4"/>
      <c r="AS817" s="76" t="str">
        <f>"COMMENT ON COLUMN "&amp;エンティティ一覧!$O$2&amp;"."&amp;D$8&amp;"."&amp;D817&amp;" IS '"&amp;C817&amp;"';"</f>
        <v>COMMENT ON COLUMN milscm_2023_009.sny_202310_annony_shikkan2.shikkan804_start_date IS 'K711_疾患開始日';</v>
      </c>
    </row>
    <row r="818" spans="1:45" s="25" customFormat="1">
      <c r="A818" s="4" t="s">
        <v>5077</v>
      </c>
      <c r="B818" s="21">
        <f t="shared" si="139"/>
        <v>806</v>
      </c>
      <c r="C818" s="13" t="str">
        <f t="shared" si="138"/>
        <v>K713_疾患開始日</v>
      </c>
      <c r="D818" s="13" t="s">
        <v>6465</v>
      </c>
      <c r="E818" s="8"/>
      <c r="F818" s="7" t="s">
        <v>4348</v>
      </c>
      <c r="G818" s="7" t="s">
        <v>25</v>
      </c>
      <c r="H818" s="58"/>
      <c r="I818" s="23"/>
      <c r="J818" s="24"/>
      <c r="M818" s="4"/>
      <c r="N818" s="76"/>
      <c r="O818" s="76"/>
      <c r="P818" s="76" t="str">
        <f t="shared" si="140"/>
        <v>,shikkan805_start_date</v>
      </c>
      <c r="Q818" s="76" t="str">
        <f t="shared" si="141"/>
        <v>DATE</v>
      </c>
      <c r="R818" s="76" t="str">
        <f t="shared" si="142"/>
        <v/>
      </c>
      <c r="S818" s="76" t="str">
        <f t="shared" si="143"/>
        <v/>
      </c>
      <c r="T818" s="76" t="str">
        <f t="shared" si="144"/>
        <v>-- K713_疾患開始日</v>
      </c>
      <c r="U818" s="4" t="str">
        <f t="shared" si="115"/>
        <v>, CASE WHEN shikkan_disp_name = 'K713' THEN min_shikkan_start_date ::DATE ELSE NULL END AS shikkan805_start_date</v>
      </c>
      <c r="V818" s="25" t="str">
        <f t="shared" si="116"/>
        <v>, max(shikkan805_start_date)</v>
      </c>
      <c r="AA818" s="4"/>
      <c r="AB818" s="4"/>
      <c r="AC818" s="4"/>
      <c r="AD818" s="4"/>
      <c r="AE818" s="4"/>
      <c r="AF818" s="4"/>
      <c r="AG818" s="4"/>
      <c r="AH818" s="4"/>
      <c r="AI818" s="4"/>
      <c r="AJ818" s="76" t="str">
        <f>IF(E818="○",IF(COUNTA(E$13:E818)=1,"",",")&amp;D818,"")</f>
        <v/>
      </c>
      <c r="AK818" s="4"/>
      <c r="AL818" s="4"/>
      <c r="AM818" s="4"/>
      <c r="AN818" s="4"/>
      <c r="AO818" s="4"/>
      <c r="AP818" s="4"/>
      <c r="AQ818" s="4"/>
      <c r="AR818" s="4"/>
      <c r="AS818" s="76" t="str">
        <f>"COMMENT ON COLUMN "&amp;エンティティ一覧!$O$2&amp;"."&amp;D$8&amp;"."&amp;D818&amp;" IS '"&amp;C818&amp;"';"</f>
        <v>COMMENT ON COLUMN milscm_2023_009.sny_202310_annony_shikkan2.shikkan805_start_date IS 'K713_疾患開始日';</v>
      </c>
    </row>
    <row r="819" spans="1:45" s="25" customFormat="1">
      <c r="A819" s="4" t="s">
        <v>5078</v>
      </c>
      <c r="B819" s="21">
        <f t="shared" si="139"/>
        <v>807</v>
      </c>
      <c r="C819" s="13" t="str">
        <f t="shared" si="138"/>
        <v>K714_疾患開始日</v>
      </c>
      <c r="D819" s="13" t="s">
        <v>6466</v>
      </c>
      <c r="E819" s="8"/>
      <c r="F819" s="7" t="s">
        <v>4348</v>
      </c>
      <c r="G819" s="7" t="s">
        <v>25</v>
      </c>
      <c r="H819" s="58"/>
      <c r="I819" s="23"/>
      <c r="J819" s="24"/>
      <c r="M819" s="4"/>
      <c r="N819" s="76"/>
      <c r="O819" s="76"/>
      <c r="P819" s="76" t="str">
        <f t="shared" si="140"/>
        <v>,shikkan806_start_date</v>
      </c>
      <c r="Q819" s="76" t="str">
        <f t="shared" si="141"/>
        <v>DATE</v>
      </c>
      <c r="R819" s="76" t="str">
        <f t="shared" si="142"/>
        <v/>
      </c>
      <c r="S819" s="76" t="str">
        <f t="shared" si="143"/>
        <v/>
      </c>
      <c r="T819" s="76" t="str">
        <f t="shared" si="144"/>
        <v>-- K714_疾患開始日</v>
      </c>
      <c r="U819" s="4" t="str">
        <f t="shared" si="115"/>
        <v>, CASE WHEN shikkan_disp_name = 'K714' THEN min_shikkan_start_date ::DATE ELSE NULL END AS shikkan806_start_date</v>
      </c>
      <c r="V819" s="25" t="str">
        <f t="shared" si="116"/>
        <v>, max(shikkan806_start_date)</v>
      </c>
      <c r="AA819" s="4"/>
      <c r="AB819" s="4"/>
      <c r="AC819" s="4"/>
      <c r="AD819" s="4"/>
      <c r="AE819" s="4"/>
      <c r="AF819" s="4"/>
      <c r="AG819" s="4"/>
      <c r="AH819" s="4"/>
      <c r="AI819" s="4"/>
      <c r="AJ819" s="76" t="str">
        <f>IF(E819="○",IF(COUNTA(E$13:E819)=1,"",",")&amp;D819,"")</f>
        <v/>
      </c>
      <c r="AK819" s="4"/>
      <c r="AL819" s="4"/>
      <c r="AM819" s="4"/>
      <c r="AN819" s="4"/>
      <c r="AO819" s="4"/>
      <c r="AP819" s="4"/>
      <c r="AQ819" s="4"/>
      <c r="AR819" s="4"/>
      <c r="AS819" s="76" t="str">
        <f>"COMMENT ON COLUMN "&amp;エンティティ一覧!$O$2&amp;"."&amp;D$8&amp;"."&amp;D819&amp;" IS '"&amp;C819&amp;"';"</f>
        <v>COMMENT ON COLUMN milscm_2023_009.sny_202310_annony_shikkan2.shikkan806_start_date IS 'K714_疾患開始日';</v>
      </c>
    </row>
    <row r="820" spans="1:45" s="25" customFormat="1">
      <c r="A820" s="4" t="s">
        <v>5079</v>
      </c>
      <c r="B820" s="21">
        <f t="shared" si="139"/>
        <v>808</v>
      </c>
      <c r="C820" s="13" t="str">
        <f t="shared" si="138"/>
        <v>K715_疾患開始日</v>
      </c>
      <c r="D820" s="13" t="s">
        <v>6467</v>
      </c>
      <c r="E820" s="8"/>
      <c r="F820" s="7" t="s">
        <v>4348</v>
      </c>
      <c r="G820" s="7" t="s">
        <v>25</v>
      </c>
      <c r="H820" s="58"/>
      <c r="I820" s="23"/>
      <c r="J820" s="24"/>
      <c r="M820" s="4"/>
      <c r="N820" s="76"/>
      <c r="O820" s="76"/>
      <c r="P820" s="76" t="str">
        <f t="shared" si="140"/>
        <v>,shikkan807_start_date</v>
      </c>
      <c r="Q820" s="76" t="str">
        <f t="shared" si="141"/>
        <v>DATE</v>
      </c>
      <c r="R820" s="76" t="str">
        <f t="shared" si="142"/>
        <v/>
      </c>
      <c r="S820" s="76" t="str">
        <f t="shared" si="143"/>
        <v/>
      </c>
      <c r="T820" s="76" t="str">
        <f t="shared" si="144"/>
        <v>-- K715_疾患開始日</v>
      </c>
      <c r="U820" s="4" t="str">
        <f t="shared" si="115"/>
        <v>, CASE WHEN shikkan_disp_name = 'K715' THEN min_shikkan_start_date ::DATE ELSE NULL END AS shikkan807_start_date</v>
      </c>
      <c r="V820" s="25" t="str">
        <f t="shared" si="116"/>
        <v>, max(shikkan807_start_date)</v>
      </c>
      <c r="AA820" s="4"/>
      <c r="AB820" s="4"/>
      <c r="AC820" s="4"/>
      <c r="AD820" s="4"/>
      <c r="AE820" s="4"/>
      <c r="AF820" s="4"/>
      <c r="AG820" s="4"/>
      <c r="AH820" s="4"/>
      <c r="AI820" s="4"/>
      <c r="AJ820" s="76" t="str">
        <f>IF(E820="○",IF(COUNTA(E$13:E820)=1,"",",")&amp;D820,"")</f>
        <v/>
      </c>
      <c r="AK820" s="4"/>
      <c r="AL820" s="4"/>
      <c r="AM820" s="4"/>
      <c r="AN820" s="4"/>
      <c r="AO820" s="4"/>
      <c r="AP820" s="4"/>
      <c r="AQ820" s="4"/>
      <c r="AR820" s="4"/>
      <c r="AS820" s="76" t="str">
        <f>"COMMENT ON COLUMN "&amp;エンティティ一覧!$O$2&amp;"."&amp;D$8&amp;"."&amp;D820&amp;" IS '"&amp;C820&amp;"';"</f>
        <v>COMMENT ON COLUMN milscm_2023_009.sny_202310_annony_shikkan2.shikkan807_start_date IS 'K715_疾患開始日';</v>
      </c>
    </row>
    <row r="821" spans="1:45" s="25" customFormat="1">
      <c r="A821" s="4" t="s">
        <v>5080</v>
      </c>
      <c r="B821" s="21">
        <f t="shared" si="139"/>
        <v>809</v>
      </c>
      <c r="C821" s="13" t="str">
        <f t="shared" si="138"/>
        <v>K717_疾患開始日</v>
      </c>
      <c r="D821" s="13" t="s">
        <v>6468</v>
      </c>
      <c r="E821" s="8"/>
      <c r="F821" s="7" t="s">
        <v>4348</v>
      </c>
      <c r="G821" s="7" t="s">
        <v>25</v>
      </c>
      <c r="H821" s="58"/>
      <c r="I821" s="23"/>
      <c r="J821" s="24"/>
      <c r="M821" s="4"/>
      <c r="N821" s="76"/>
      <c r="O821" s="76"/>
      <c r="P821" s="76" t="str">
        <f t="shared" si="140"/>
        <v>,shikkan808_start_date</v>
      </c>
      <c r="Q821" s="76" t="str">
        <f t="shared" si="141"/>
        <v>DATE</v>
      </c>
      <c r="R821" s="76" t="str">
        <f t="shared" si="142"/>
        <v/>
      </c>
      <c r="S821" s="76" t="str">
        <f t="shared" si="143"/>
        <v/>
      </c>
      <c r="T821" s="76" t="str">
        <f t="shared" si="144"/>
        <v>-- K717_疾患開始日</v>
      </c>
      <c r="U821" s="4" t="str">
        <f t="shared" si="115"/>
        <v>, CASE WHEN shikkan_disp_name = 'K717' THEN min_shikkan_start_date ::DATE ELSE NULL END AS shikkan808_start_date</v>
      </c>
      <c r="V821" s="25" t="str">
        <f t="shared" si="116"/>
        <v>, max(shikkan808_start_date)</v>
      </c>
      <c r="AA821" s="4"/>
      <c r="AB821" s="4"/>
      <c r="AC821" s="4"/>
      <c r="AD821" s="4"/>
      <c r="AE821" s="4"/>
      <c r="AF821" s="4"/>
      <c r="AG821" s="4"/>
      <c r="AH821" s="4"/>
      <c r="AI821" s="4"/>
      <c r="AJ821" s="76" t="str">
        <f>IF(E821="○",IF(COUNTA(E$13:E821)=1,"",",")&amp;D821,"")</f>
        <v/>
      </c>
      <c r="AK821" s="4"/>
      <c r="AL821" s="4"/>
      <c r="AM821" s="4"/>
      <c r="AN821" s="4"/>
      <c r="AO821" s="4"/>
      <c r="AP821" s="4"/>
      <c r="AQ821" s="4"/>
      <c r="AR821" s="4"/>
      <c r="AS821" s="76" t="str">
        <f>"COMMENT ON COLUMN "&amp;エンティティ一覧!$O$2&amp;"."&amp;D$8&amp;"."&amp;D821&amp;" IS '"&amp;C821&amp;"';"</f>
        <v>COMMENT ON COLUMN milscm_2023_009.sny_202310_annony_shikkan2.shikkan808_start_date IS 'K717_疾患開始日';</v>
      </c>
    </row>
    <row r="822" spans="1:45" s="25" customFormat="1">
      <c r="A822" s="4" t="s">
        <v>5877</v>
      </c>
      <c r="B822" s="21">
        <f t="shared" si="139"/>
        <v>810</v>
      </c>
      <c r="C822" s="13" t="str">
        <f t="shared" si="138"/>
        <v>K721_疾患開始日</v>
      </c>
      <c r="D822" s="13" t="s">
        <v>6469</v>
      </c>
      <c r="E822" s="8"/>
      <c r="F822" s="7" t="s">
        <v>4348</v>
      </c>
      <c r="G822" s="7" t="s">
        <v>25</v>
      </c>
      <c r="H822" s="58"/>
      <c r="I822" s="23"/>
      <c r="J822" s="24"/>
      <c r="M822" s="4"/>
      <c r="N822" s="76"/>
      <c r="O822" s="76"/>
      <c r="P822" s="76" t="str">
        <f t="shared" si="140"/>
        <v>,shikkan809_start_date</v>
      </c>
      <c r="Q822" s="76" t="str">
        <f t="shared" si="141"/>
        <v>DATE</v>
      </c>
      <c r="R822" s="76" t="str">
        <f t="shared" si="142"/>
        <v/>
      </c>
      <c r="S822" s="76" t="str">
        <f t="shared" si="143"/>
        <v/>
      </c>
      <c r="T822" s="76" t="str">
        <f t="shared" si="144"/>
        <v>-- K721_疾患開始日</v>
      </c>
      <c r="U822" s="4" t="str">
        <f t="shared" si="115"/>
        <v>, CASE WHEN shikkan_disp_name = 'K721' THEN min_shikkan_start_date ::DATE ELSE NULL END AS shikkan809_start_date</v>
      </c>
      <c r="V822" s="25" t="str">
        <f t="shared" si="116"/>
        <v>, max(shikkan809_start_date)</v>
      </c>
      <c r="AA822" s="4"/>
      <c r="AB822" s="4"/>
      <c r="AC822" s="4"/>
      <c r="AD822" s="4"/>
      <c r="AE822" s="4"/>
      <c r="AF822" s="4"/>
      <c r="AG822" s="4"/>
      <c r="AH822" s="4"/>
      <c r="AI822" s="4"/>
      <c r="AJ822" s="76" t="str">
        <f>IF(E822="○",IF(COUNTA(E$13:E822)=1,"",",")&amp;D822,"")</f>
        <v/>
      </c>
      <c r="AK822" s="4"/>
      <c r="AL822" s="4"/>
      <c r="AM822" s="4"/>
      <c r="AN822" s="4"/>
      <c r="AO822" s="4"/>
      <c r="AP822" s="4"/>
      <c r="AQ822" s="4"/>
      <c r="AR822" s="4"/>
      <c r="AS822" s="76" t="str">
        <f>"COMMENT ON COLUMN "&amp;エンティティ一覧!$O$2&amp;"."&amp;D$8&amp;"."&amp;D822&amp;" IS '"&amp;C822&amp;"';"</f>
        <v>COMMENT ON COLUMN milscm_2023_009.sny_202310_annony_shikkan2.shikkan809_start_date IS 'K721_疾患開始日';</v>
      </c>
    </row>
    <row r="823" spans="1:45" s="25" customFormat="1">
      <c r="A823" s="4" t="s">
        <v>5878</v>
      </c>
      <c r="B823" s="21">
        <f t="shared" si="139"/>
        <v>811</v>
      </c>
      <c r="C823" s="13" t="str">
        <f t="shared" si="138"/>
        <v>K729_疾患開始日</v>
      </c>
      <c r="D823" s="13" t="s">
        <v>6470</v>
      </c>
      <c r="E823" s="8"/>
      <c r="F823" s="7" t="s">
        <v>4348</v>
      </c>
      <c r="G823" s="7" t="s">
        <v>25</v>
      </c>
      <c r="H823" s="58"/>
      <c r="I823" s="23"/>
      <c r="J823" s="24"/>
      <c r="M823" s="4"/>
      <c r="N823" s="76"/>
      <c r="O823" s="76"/>
      <c r="P823" s="76" t="str">
        <f t="shared" si="140"/>
        <v>,shikkan810_start_date</v>
      </c>
      <c r="Q823" s="76" t="str">
        <f t="shared" si="141"/>
        <v>DATE</v>
      </c>
      <c r="R823" s="76" t="str">
        <f t="shared" si="142"/>
        <v/>
      </c>
      <c r="S823" s="76" t="str">
        <f t="shared" si="143"/>
        <v/>
      </c>
      <c r="T823" s="76" t="str">
        <f t="shared" si="144"/>
        <v>-- K729_疾患開始日</v>
      </c>
      <c r="U823" s="4" t="str">
        <f t="shared" si="115"/>
        <v>, CASE WHEN shikkan_disp_name = 'K729' THEN min_shikkan_start_date ::DATE ELSE NULL END AS shikkan810_start_date</v>
      </c>
      <c r="V823" s="25" t="str">
        <f t="shared" si="116"/>
        <v>, max(shikkan810_start_date)</v>
      </c>
      <c r="AA823" s="4"/>
      <c r="AB823" s="4"/>
      <c r="AC823" s="4"/>
      <c r="AD823" s="4"/>
      <c r="AE823" s="4"/>
      <c r="AF823" s="4"/>
      <c r="AG823" s="4"/>
      <c r="AH823" s="4"/>
      <c r="AI823" s="4"/>
      <c r="AJ823" s="76" t="str">
        <f>IF(E823="○",IF(COUNTA(E$13:E823)=1,"",",")&amp;D823,"")</f>
        <v/>
      </c>
      <c r="AK823" s="4"/>
      <c r="AL823" s="4"/>
      <c r="AM823" s="4"/>
      <c r="AN823" s="4"/>
      <c r="AO823" s="4"/>
      <c r="AP823" s="4"/>
      <c r="AQ823" s="4"/>
      <c r="AR823" s="4"/>
      <c r="AS823" s="76" t="str">
        <f>"COMMENT ON COLUMN "&amp;エンティティ一覧!$O$2&amp;"."&amp;D$8&amp;"."&amp;D823&amp;" IS '"&amp;C823&amp;"';"</f>
        <v>COMMENT ON COLUMN milscm_2023_009.sny_202310_annony_shikkan2.shikkan810_start_date IS 'K729_疾患開始日';</v>
      </c>
    </row>
    <row r="824" spans="1:45" s="25" customFormat="1">
      <c r="A824" s="4" t="s">
        <v>5879</v>
      </c>
      <c r="B824" s="21">
        <f t="shared" si="139"/>
        <v>812</v>
      </c>
      <c r="C824" s="13" t="str">
        <f t="shared" si="138"/>
        <v>K730_疾患開始日</v>
      </c>
      <c r="D824" s="13" t="s">
        <v>6471</v>
      </c>
      <c r="E824" s="8"/>
      <c r="F824" s="7" t="s">
        <v>4348</v>
      </c>
      <c r="G824" s="7" t="s">
        <v>25</v>
      </c>
      <c r="H824" s="58"/>
      <c r="I824" s="23"/>
      <c r="J824" s="24"/>
      <c r="M824" s="4"/>
      <c r="N824" s="76"/>
      <c r="O824" s="76"/>
      <c r="P824" s="76" t="str">
        <f t="shared" si="140"/>
        <v>,shikkan811_start_date</v>
      </c>
      <c r="Q824" s="76" t="str">
        <f t="shared" si="141"/>
        <v>DATE</v>
      </c>
      <c r="R824" s="76" t="str">
        <f t="shared" si="142"/>
        <v/>
      </c>
      <c r="S824" s="76" t="str">
        <f t="shared" si="143"/>
        <v/>
      </c>
      <c r="T824" s="76" t="str">
        <f t="shared" si="144"/>
        <v>-- K730_疾患開始日</v>
      </c>
      <c r="U824" s="4" t="str">
        <f t="shared" si="115"/>
        <v>, CASE WHEN shikkan_disp_name = 'K730' THEN min_shikkan_start_date ::DATE ELSE NULL END AS shikkan811_start_date</v>
      </c>
      <c r="V824" s="25" t="str">
        <f t="shared" si="116"/>
        <v>, max(shikkan811_start_date)</v>
      </c>
      <c r="AA824" s="4"/>
      <c r="AB824" s="4"/>
      <c r="AC824" s="4"/>
      <c r="AD824" s="4"/>
      <c r="AE824" s="4"/>
      <c r="AF824" s="4"/>
      <c r="AG824" s="4"/>
      <c r="AH824" s="4"/>
      <c r="AI824" s="4"/>
      <c r="AJ824" s="76" t="str">
        <f>IF(E824="○",IF(COUNTA(E$13:E824)=1,"",",")&amp;D824,"")</f>
        <v/>
      </c>
      <c r="AK824" s="4"/>
      <c r="AL824" s="4"/>
      <c r="AM824" s="4"/>
      <c r="AN824" s="4"/>
      <c r="AO824" s="4"/>
      <c r="AP824" s="4"/>
      <c r="AQ824" s="4"/>
      <c r="AR824" s="4"/>
      <c r="AS824" s="76" t="str">
        <f>"COMMENT ON COLUMN "&amp;エンティティ一覧!$O$2&amp;"."&amp;D$8&amp;"."&amp;D824&amp;" IS '"&amp;C824&amp;"';"</f>
        <v>COMMENT ON COLUMN milscm_2023_009.sny_202310_annony_shikkan2.shikkan811_start_date IS 'K730_疾患開始日';</v>
      </c>
    </row>
    <row r="825" spans="1:45" s="25" customFormat="1">
      <c r="A825" s="4" t="s">
        <v>5880</v>
      </c>
      <c r="B825" s="21">
        <f t="shared" si="139"/>
        <v>813</v>
      </c>
      <c r="C825" s="13" t="str">
        <f t="shared" si="138"/>
        <v>K731_疾患開始日</v>
      </c>
      <c r="D825" s="13" t="s">
        <v>6472</v>
      </c>
      <c r="E825" s="8"/>
      <c r="F825" s="7" t="s">
        <v>4348</v>
      </c>
      <c r="G825" s="7" t="s">
        <v>25</v>
      </c>
      <c r="H825" s="58"/>
      <c r="I825" s="23"/>
      <c r="J825" s="24"/>
      <c r="M825" s="4"/>
      <c r="N825" s="76"/>
      <c r="O825" s="76"/>
      <c r="P825" s="76" t="str">
        <f t="shared" si="140"/>
        <v>,shikkan812_start_date</v>
      </c>
      <c r="Q825" s="76" t="str">
        <f t="shared" si="141"/>
        <v>DATE</v>
      </c>
      <c r="R825" s="76" t="str">
        <f t="shared" si="142"/>
        <v/>
      </c>
      <c r="S825" s="76" t="str">
        <f t="shared" si="143"/>
        <v/>
      </c>
      <c r="T825" s="76" t="str">
        <f t="shared" si="144"/>
        <v>-- K731_疾患開始日</v>
      </c>
      <c r="U825" s="4" t="str">
        <f t="shared" si="115"/>
        <v>, CASE WHEN shikkan_disp_name = 'K731' THEN min_shikkan_start_date ::DATE ELSE NULL END AS shikkan812_start_date</v>
      </c>
      <c r="V825" s="25" t="str">
        <f t="shared" si="116"/>
        <v>, max(shikkan812_start_date)</v>
      </c>
      <c r="AA825" s="4"/>
      <c r="AB825" s="4"/>
      <c r="AC825" s="4"/>
      <c r="AD825" s="4"/>
      <c r="AE825" s="4"/>
      <c r="AF825" s="4"/>
      <c r="AG825" s="4"/>
      <c r="AH825" s="4"/>
      <c r="AI825" s="4"/>
      <c r="AJ825" s="76" t="str">
        <f>IF(E825="○",IF(COUNTA(E$13:E825)=1,"",",")&amp;D825,"")</f>
        <v/>
      </c>
      <c r="AK825" s="4"/>
      <c r="AL825" s="4"/>
      <c r="AM825" s="4"/>
      <c r="AN825" s="4"/>
      <c r="AO825" s="4"/>
      <c r="AP825" s="4"/>
      <c r="AQ825" s="4"/>
      <c r="AR825" s="4"/>
      <c r="AS825" s="76" t="str">
        <f>"COMMENT ON COLUMN "&amp;エンティティ一覧!$O$2&amp;"."&amp;D$8&amp;"."&amp;D825&amp;" IS '"&amp;C825&amp;"';"</f>
        <v>COMMENT ON COLUMN milscm_2023_009.sny_202310_annony_shikkan2.shikkan812_start_date IS 'K731_疾患開始日';</v>
      </c>
    </row>
    <row r="826" spans="1:45" s="25" customFormat="1">
      <c r="A826" s="4" t="s">
        <v>5881</v>
      </c>
      <c r="B826" s="21">
        <f t="shared" si="139"/>
        <v>814</v>
      </c>
      <c r="C826" s="13" t="str">
        <f t="shared" si="138"/>
        <v>K732_疾患開始日</v>
      </c>
      <c r="D826" s="13" t="s">
        <v>6473</v>
      </c>
      <c r="E826" s="8"/>
      <c r="F826" s="7" t="s">
        <v>4348</v>
      </c>
      <c r="G826" s="7" t="s">
        <v>25</v>
      </c>
      <c r="H826" s="58"/>
      <c r="I826" s="23"/>
      <c r="J826" s="24"/>
      <c r="M826" s="4"/>
      <c r="N826" s="76"/>
      <c r="O826" s="76"/>
      <c r="P826" s="76" t="str">
        <f t="shared" si="140"/>
        <v>,shikkan813_start_date</v>
      </c>
      <c r="Q826" s="76" t="str">
        <f t="shared" si="141"/>
        <v>DATE</v>
      </c>
      <c r="R826" s="76" t="str">
        <f t="shared" si="142"/>
        <v/>
      </c>
      <c r="S826" s="76" t="str">
        <f t="shared" si="143"/>
        <v/>
      </c>
      <c r="T826" s="76" t="str">
        <f t="shared" si="144"/>
        <v>-- K732_疾患開始日</v>
      </c>
      <c r="U826" s="4" t="str">
        <f t="shared" si="115"/>
        <v>, CASE WHEN shikkan_disp_name = 'K732' THEN min_shikkan_start_date ::DATE ELSE NULL END AS shikkan813_start_date</v>
      </c>
      <c r="V826" s="25" t="str">
        <f t="shared" si="116"/>
        <v>, max(shikkan813_start_date)</v>
      </c>
      <c r="AA826" s="4"/>
      <c r="AB826" s="4"/>
      <c r="AC826" s="4"/>
      <c r="AD826" s="4"/>
      <c r="AE826" s="4"/>
      <c r="AF826" s="4"/>
      <c r="AG826" s="4"/>
      <c r="AH826" s="4"/>
      <c r="AI826" s="4"/>
      <c r="AJ826" s="76" t="str">
        <f>IF(E826="○",IF(COUNTA(E$13:E826)=1,"",",")&amp;D826,"")</f>
        <v/>
      </c>
      <c r="AK826" s="4"/>
      <c r="AL826" s="4"/>
      <c r="AM826" s="4"/>
      <c r="AN826" s="4"/>
      <c r="AO826" s="4"/>
      <c r="AP826" s="4"/>
      <c r="AQ826" s="4"/>
      <c r="AR826" s="4"/>
      <c r="AS826" s="76" t="str">
        <f>"COMMENT ON COLUMN "&amp;エンティティ一覧!$O$2&amp;"."&amp;D$8&amp;"."&amp;D826&amp;" IS '"&amp;C826&amp;"';"</f>
        <v>COMMENT ON COLUMN milscm_2023_009.sny_202310_annony_shikkan2.shikkan813_start_date IS 'K732_疾患開始日';</v>
      </c>
    </row>
    <row r="827" spans="1:45" s="25" customFormat="1">
      <c r="A827" s="4" t="s">
        <v>5882</v>
      </c>
      <c r="B827" s="21">
        <f t="shared" si="139"/>
        <v>815</v>
      </c>
      <c r="C827" s="13" t="str">
        <f t="shared" si="138"/>
        <v>K738_疾患開始日</v>
      </c>
      <c r="D827" s="13" t="s">
        <v>6474</v>
      </c>
      <c r="E827" s="8"/>
      <c r="F827" s="7" t="s">
        <v>4348</v>
      </c>
      <c r="G827" s="7" t="s">
        <v>25</v>
      </c>
      <c r="H827" s="58"/>
      <c r="I827" s="23"/>
      <c r="J827" s="24"/>
      <c r="M827" s="4"/>
      <c r="N827" s="76"/>
      <c r="O827" s="76"/>
      <c r="P827" s="76" t="str">
        <f t="shared" si="140"/>
        <v>,shikkan814_start_date</v>
      </c>
      <c r="Q827" s="76" t="str">
        <f t="shared" si="141"/>
        <v>DATE</v>
      </c>
      <c r="R827" s="76" t="str">
        <f t="shared" si="142"/>
        <v/>
      </c>
      <c r="S827" s="76" t="str">
        <f t="shared" si="143"/>
        <v/>
      </c>
      <c r="T827" s="76" t="str">
        <f t="shared" si="144"/>
        <v>-- K738_疾患開始日</v>
      </c>
      <c r="U827" s="4" t="str">
        <f t="shared" si="115"/>
        <v>, CASE WHEN shikkan_disp_name = 'K738' THEN min_shikkan_start_date ::DATE ELSE NULL END AS shikkan814_start_date</v>
      </c>
      <c r="V827" s="25" t="str">
        <f t="shared" si="116"/>
        <v>, max(shikkan814_start_date)</v>
      </c>
      <c r="AA827" s="4"/>
      <c r="AB827" s="4"/>
      <c r="AC827" s="4"/>
      <c r="AD827" s="4"/>
      <c r="AE827" s="4"/>
      <c r="AF827" s="4"/>
      <c r="AG827" s="4"/>
      <c r="AH827" s="4"/>
      <c r="AI827" s="4"/>
      <c r="AJ827" s="76" t="str">
        <f>IF(E827="○",IF(COUNTA(E$13:E827)=1,"",",")&amp;D827,"")</f>
        <v/>
      </c>
      <c r="AK827" s="4"/>
      <c r="AL827" s="4"/>
      <c r="AM827" s="4"/>
      <c r="AN827" s="4"/>
      <c r="AO827" s="4"/>
      <c r="AP827" s="4"/>
      <c r="AQ827" s="4"/>
      <c r="AR827" s="4"/>
      <c r="AS827" s="76" t="str">
        <f>"COMMENT ON COLUMN "&amp;エンティティ一覧!$O$2&amp;"."&amp;D$8&amp;"."&amp;D827&amp;" IS '"&amp;C827&amp;"';"</f>
        <v>COMMENT ON COLUMN milscm_2023_009.sny_202310_annony_shikkan2.shikkan814_start_date IS 'K738_疾患開始日';</v>
      </c>
    </row>
    <row r="828" spans="1:45" s="25" customFormat="1">
      <c r="A828" s="4" t="s">
        <v>5883</v>
      </c>
      <c r="B828" s="21">
        <f t="shared" si="139"/>
        <v>816</v>
      </c>
      <c r="C828" s="13" t="str">
        <f t="shared" si="138"/>
        <v>K739_疾患開始日</v>
      </c>
      <c r="D828" s="13" t="s">
        <v>6475</v>
      </c>
      <c r="E828" s="8"/>
      <c r="F828" s="7" t="s">
        <v>4348</v>
      </c>
      <c r="G828" s="7" t="s">
        <v>99</v>
      </c>
      <c r="H828" s="58"/>
      <c r="I828" s="23"/>
      <c r="J828" s="24"/>
      <c r="M828" s="4"/>
      <c r="N828" s="76"/>
      <c r="O828" s="76"/>
      <c r="P828" s="76" t="str">
        <f t="shared" si="140"/>
        <v>,shikkan815_start_date</v>
      </c>
      <c r="Q828" s="76" t="str">
        <f t="shared" si="141"/>
        <v>DATE</v>
      </c>
      <c r="R828" s="76" t="str">
        <f t="shared" si="142"/>
        <v/>
      </c>
      <c r="S828" s="76" t="str">
        <f t="shared" si="143"/>
        <v/>
      </c>
      <c r="T828" s="76" t="str">
        <f t="shared" si="144"/>
        <v>-- K739_疾患開始日</v>
      </c>
      <c r="U828" s="4" t="str">
        <f t="shared" si="115"/>
        <v>, CASE WHEN shikkan_disp_name = 'K739' THEN min_shikkan_start_date ::DATE ELSE NULL END AS shikkan815_start_date</v>
      </c>
      <c r="V828" s="25" t="str">
        <f t="shared" si="116"/>
        <v>, max(shikkan815_start_date)</v>
      </c>
      <c r="AA828" s="4"/>
      <c r="AB828" s="4"/>
      <c r="AC828" s="4"/>
      <c r="AD828" s="4"/>
      <c r="AE828" s="4"/>
      <c r="AF828" s="4"/>
      <c r="AG828" s="4"/>
      <c r="AH828" s="4"/>
      <c r="AI828" s="4"/>
      <c r="AJ828" s="76" t="str">
        <f>IF(E828="○",IF(COUNTA(E$13:E828)=1,"",",")&amp;D828,"")</f>
        <v/>
      </c>
      <c r="AK828" s="4"/>
      <c r="AL828" s="4"/>
      <c r="AM828" s="4"/>
      <c r="AN828" s="4"/>
      <c r="AO828" s="4"/>
      <c r="AP828" s="4"/>
      <c r="AQ828" s="4"/>
      <c r="AR828" s="4"/>
      <c r="AS828" s="76" t="str">
        <f>"COMMENT ON COLUMN "&amp;エンティティ一覧!$O$2&amp;"."&amp;D$8&amp;"."&amp;D828&amp;" IS '"&amp;C828&amp;"';"</f>
        <v>COMMENT ON COLUMN milscm_2023_009.sny_202310_annony_shikkan2.shikkan815_start_date IS 'K739_疾患開始日';</v>
      </c>
    </row>
    <row r="829" spans="1:45" s="25" customFormat="1">
      <c r="A829" s="4" t="s">
        <v>5884</v>
      </c>
      <c r="B829" s="21">
        <f t="shared" si="139"/>
        <v>817</v>
      </c>
      <c r="C829" s="13" t="str">
        <f t="shared" si="138"/>
        <v>K740_疾患開始日</v>
      </c>
      <c r="D829" s="13" t="s">
        <v>6476</v>
      </c>
      <c r="E829" s="8"/>
      <c r="F829" s="7" t="s">
        <v>4348</v>
      </c>
      <c r="G829" s="7" t="s">
        <v>25</v>
      </c>
      <c r="H829" s="58"/>
      <c r="I829" s="23"/>
      <c r="J829" s="24"/>
      <c r="M829" s="4"/>
      <c r="N829" s="76"/>
      <c r="O829" s="76"/>
      <c r="P829" s="76" t="str">
        <f t="shared" si="140"/>
        <v>,shikkan816_start_date</v>
      </c>
      <c r="Q829" s="76" t="str">
        <f t="shared" si="141"/>
        <v>DATE</v>
      </c>
      <c r="R829" s="76" t="str">
        <f t="shared" si="142"/>
        <v/>
      </c>
      <c r="S829" s="76" t="str">
        <f t="shared" si="143"/>
        <v/>
      </c>
      <c r="T829" s="76" t="str">
        <f t="shared" si="144"/>
        <v>-- K740_疾患開始日</v>
      </c>
      <c r="U829" s="4" t="str">
        <f t="shared" si="115"/>
        <v>, CASE WHEN shikkan_disp_name = 'K740' THEN min_shikkan_start_date ::DATE ELSE NULL END AS shikkan816_start_date</v>
      </c>
      <c r="V829" s="25" t="str">
        <f t="shared" si="116"/>
        <v>, max(shikkan816_start_date)</v>
      </c>
      <c r="AA829" s="4"/>
      <c r="AB829" s="4"/>
      <c r="AC829" s="4"/>
      <c r="AD829" s="4"/>
      <c r="AE829" s="4"/>
      <c r="AF829" s="4"/>
      <c r="AG829" s="4"/>
      <c r="AH829" s="4"/>
      <c r="AI829" s="4"/>
      <c r="AJ829" s="76" t="str">
        <f>IF(E829="○",IF(COUNTA(E$13:E829)=1,"",",")&amp;D829,"")</f>
        <v/>
      </c>
      <c r="AK829" s="4"/>
      <c r="AL829" s="4"/>
      <c r="AM829" s="4"/>
      <c r="AN829" s="4"/>
      <c r="AO829" s="4"/>
      <c r="AP829" s="4"/>
      <c r="AQ829" s="4"/>
      <c r="AR829" s="4"/>
      <c r="AS829" s="76" t="str">
        <f>"COMMENT ON COLUMN "&amp;エンティティ一覧!$O$2&amp;"."&amp;D$8&amp;"."&amp;D829&amp;" IS '"&amp;C829&amp;"';"</f>
        <v>COMMENT ON COLUMN milscm_2023_009.sny_202310_annony_shikkan2.shikkan816_start_date IS 'K740_疾患開始日';</v>
      </c>
    </row>
    <row r="830" spans="1:45" s="25" customFormat="1">
      <c r="A830" s="4" t="s">
        <v>5885</v>
      </c>
      <c r="B830" s="21">
        <f t="shared" si="139"/>
        <v>818</v>
      </c>
      <c r="C830" s="13" t="str">
        <f t="shared" si="138"/>
        <v>K741_疾患開始日</v>
      </c>
      <c r="D830" s="13" t="s">
        <v>6477</v>
      </c>
      <c r="E830" s="8"/>
      <c r="F830" s="7" t="s">
        <v>4348</v>
      </c>
      <c r="G830" s="7" t="s">
        <v>25</v>
      </c>
      <c r="H830" s="58"/>
      <c r="I830" s="23"/>
      <c r="J830" s="24"/>
      <c r="M830" s="4"/>
      <c r="N830" s="76"/>
      <c r="O830" s="76"/>
      <c r="P830" s="76" t="str">
        <f t="shared" si="140"/>
        <v>,shikkan817_start_date</v>
      </c>
      <c r="Q830" s="76" t="str">
        <f t="shared" si="141"/>
        <v>DATE</v>
      </c>
      <c r="R830" s="76" t="str">
        <f t="shared" si="142"/>
        <v/>
      </c>
      <c r="S830" s="76" t="str">
        <f t="shared" si="143"/>
        <v/>
      </c>
      <c r="T830" s="76" t="str">
        <f t="shared" si="144"/>
        <v>-- K741_疾患開始日</v>
      </c>
      <c r="U830" s="4" t="str">
        <f t="shared" si="115"/>
        <v>, CASE WHEN shikkan_disp_name = 'K741' THEN min_shikkan_start_date ::DATE ELSE NULL END AS shikkan817_start_date</v>
      </c>
      <c r="V830" s="25" t="str">
        <f t="shared" si="116"/>
        <v>, max(shikkan817_start_date)</v>
      </c>
      <c r="AA830" s="4"/>
      <c r="AB830" s="4"/>
      <c r="AC830" s="4"/>
      <c r="AD830" s="4"/>
      <c r="AE830" s="4"/>
      <c r="AF830" s="4"/>
      <c r="AG830" s="4"/>
      <c r="AH830" s="4"/>
      <c r="AI830" s="4"/>
      <c r="AJ830" s="76" t="str">
        <f>IF(E830="○",IF(COUNTA(E$13:E830)=1,"",",")&amp;D830,"")</f>
        <v/>
      </c>
      <c r="AK830" s="4"/>
      <c r="AL830" s="4"/>
      <c r="AM830" s="4"/>
      <c r="AN830" s="4"/>
      <c r="AO830" s="4"/>
      <c r="AP830" s="4"/>
      <c r="AQ830" s="4"/>
      <c r="AR830" s="4"/>
      <c r="AS830" s="76" t="str">
        <f>"COMMENT ON COLUMN "&amp;エンティティ一覧!$O$2&amp;"."&amp;D$8&amp;"."&amp;D830&amp;" IS '"&amp;C830&amp;"';"</f>
        <v>COMMENT ON COLUMN milscm_2023_009.sny_202310_annony_shikkan2.shikkan817_start_date IS 'K741_疾患開始日';</v>
      </c>
    </row>
    <row r="831" spans="1:45" s="25" customFormat="1">
      <c r="A831" s="4" t="s">
        <v>5886</v>
      </c>
      <c r="B831" s="21">
        <f t="shared" si="139"/>
        <v>819</v>
      </c>
      <c r="C831" s="13" t="str">
        <f t="shared" si="138"/>
        <v>K742_疾患開始日</v>
      </c>
      <c r="D831" s="13" t="s">
        <v>6478</v>
      </c>
      <c r="E831" s="8"/>
      <c r="F831" s="7" t="s">
        <v>4348</v>
      </c>
      <c r="G831" s="7" t="s">
        <v>25</v>
      </c>
      <c r="H831" s="58"/>
      <c r="I831" s="23"/>
      <c r="J831" s="24"/>
      <c r="M831" s="4"/>
      <c r="N831" s="76"/>
      <c r="O831" s="76"/>
      <c r="P831" s="76" t="str">
        <f t="shared" si="140"/>
        <v>,shikkan818_start_date</v>
      </c>
      <c r="Q831" s="76" t="str">
        <f t="shared" si="141"/>
        <v>DATE</v>
      </c>
      <c r="R831" s="76" t="str">
        <f t="shared" si="142"/>
        <v/>
      </c>
      <c r="S831" s="76" t="str">
        <f t="shared" si="143"/>
        <v/>
      </c>
      <c r="T831" s="76" t="str">
        <f t="shared" si="144"/>
        <v>-- K742_疾患開始日</v>
      </c>
      <c r="U831" s="4" t="str">
        <f t="shared" si="115"/>
        <v>, CASE WHEN shikkan_disp_name = 'K742' THEN min_shikkan_start_date ::DATE ELSE NULL END AS shikkan818_start_date</v>
      </c>
      <c r="V831" s="25" t="str">
        <f t="shared" si="116"/>
        <v>, max(shikkan818_start_date)</v>
      </c>
      <c r="AA831" s="4"/>
      <c r="AB831" s="4"/>
      <c r="AC831" s="4"/>
      <c r="AD831" s="4"/>
      <c r="AE831" s="4"/>
      <c r="AF831" s="4"/>
      <c r="AG831" s="4"/>
      <c r="AH831" s="4"/>
      <c r="AI831" s="4"/>
      <c r="AJ831" s="76" t="str">
        <f>IF(E831="○",IF(COUNTA(E$13:E831)=1,"",",")&amp;D831,"")</f>
        <v/>
      </c>
      <c r="AK831" s="4"/>
      <c r="AL831" s="4"/>
      <c r="AM831" s="4"/>
      <c r="AN831" s="4"/>
      <c r="AO831" s="4"/>
      <c r="AP831" s="4"/>
      <c r="AQ831" s="4"/>
      <c r="AR831" s="4"/>
      <c r="AS831" s="76" t="str">
        <f>"COMMENT ON COLUMN "&amp;エンティティ一覧!$O$2&amp;"."&amp;D$8&amp;"."&amp;D831&amp;" IS '"&amp;C831&amp;"';"</f>
        <v>COMMENT ON COLUMN milscm_2023_009.sny_202310_annony_shikkan2.shikkan818_start_date IS 'K742_疾患開始日';</v>
      </c>
    </row>
    <row r="832" spans="1:45" s="25" customFormat="1">
      <c r="A832" s="4" t="s">
        <v>5887</v>
      </c>
      <c r="B832" s="21">
        <f t="shared" si="139"/>
        <v>820</v>
      </c>
      <c r="C832" s="13" t="str">
        <f t="shared" si="138"/>
        <v>K743_疾患開始日</v>
      </c>
      <c r="D832" s="13" t="s">
        <v>6479</v>
      </c>
      <c r="E832" s="8"/>
      <c r="F832" s="7" t="s">
        <v>4348</v>
      </c>
      <c r="G832" s="7" t="s">
        <v>25</v>
      </c>
      <c r="H832" s="58"/>
      <c r="I832" s="23"/>
      <c r="J832" s="24"/>
      <c r="M832" s="4"/>
      <c r="N832" s="76"/>
      <c r="O832" s="76"/>
      <c r="P832" s="76" t="str">
        <f t="shared" si="140"/>
        <v>,shikkan819_start_date</v>
      </c>
      <c r="Q832" s="76" t="str">
        <f t="shared" si="141"/>
        <v>DATE</v>
      </c>
      <c r="R832" s="76" t="str">
        <f t="shared" si="142"/>
        <v/>
      </c>
      <c r="S832" s="76" t="str">
        <f t="shared" si="143"/>
        <v/>
      </c>
      <c r="T832" s="76" t="str">
        <f t="shared" si="144"/>
        <v>-- K743_疾患開始日</v>
      </c>
      <c r="U832" s="4" t="str">
        <f t="shared" si="115"/>
        <v>, CASE WHEN shikkan_disp_name = 'K743' THEN min_shikkan_start_date ::DATE ELSE NULL END AS shikkan819_start_date</v>
      </c>
      <c r="V832" s="25" t="str">
        <f t="shared" si="116"/>
        <v>, max(shikkan819_start_date)</v>
      </c>
      <c r="AA832" s="4"/>
      <c r="AB832" s="4"/>
      <c r="AC832" s="4"/>
      <c r="AD832" s="4"/>
      <c r="AE832" s="4"/>
      <c r="AF832" s="4"/>
      <c r="AG832" s="4"/>
      <c r="AH832" s="4"/>
      <c r="AI832" s="4"/>
      <c r="AJ832" s="76" t="str">
        <f>IF(E832="○",IF(COUNTA(E$13:E832)=1,"",",")&amp;D832,"")</f>
        <v/>
      </c>
      <c r="AK832" s="4"/>
      <c r="AL832" s="4"/>
      <c r="AM832" s="4"/>
      <c r="AN832" s="4"/>
      <c r="AO832" s="4"/>
      <c r="AP832" s="4"/>
      <c r="AQ832" s="4"/>
      <c r="AR832" s="4"/>
      <c r="AS832" s="76" t="str">
        <f>"COMMENT ON COLUMN "&amp;エンティティ一覧!$O$2&amp;"."&amp;D$8&amp;"."&amp;D832&amp;" IS '"&amp;C832&amp;"';"</f>
        <v>COMMENT ON COLUMN milscm_2023_009.sny_202310_annony_shikkan2.shikkan819_start_date IS 'K743_疾患開始日';</v>
      </c>
    </row>
    <row r="833" spans="1:45" s="25" customFormat="1">
      <c r="A833" s="4" t="s">
        <v>5888</v>
      </c>
      <c r="B833" s="21">
        <f t="shared" si="139"/>
        <v>821</v>
      </c>
      <c r="C833" s="13" t="str">
        <f t="shared" si="138"/>
        <v>K744_疾患開始日</v>
      </c>
      <c r="D833" s="13" t="s">
        <v>6480</v>
      </c>
      <c r="E833" s="8"/>
      <c r="F833" s="7" t="s">
        <v>4348</v>
      </c>
      <c r="G833" s="7" t="s">
        <v>25</v>
      </c>
      <c r="H833" s="58"/>
      <c r="I833" s="23"/>
      <c r="J833" s="24"/>
      <c r="M833" s="4"/>
      <c r="N833" s="76"/>
      <c r="O833" s="76"/>
      <c r="P833" s="76" t="str">
        <f t="shared" si="140"/>
        <v>,shikkan820_start_date</v>
      </c>
      <c r="Q833" s="76" t="str">
        <f t="shared" si="141"/>
        <v>DATE</v>
      </c>
      <c r="R833" s="76" t="str">
        <f t="shared" si="142"/>
        <v/>
      </c>
      <c r="S833" s="76" t="str">
        <f t="shared" si="143"/>
        <v/>
      </c>
      <c r="T833" s="76" t="str">
        <f t="shared" si="144"/>
        <v>-- K744_疾患開始日</v>
      </c>
      <c r="U833" s="4" t="str">
        <f t="shared" si="115"/>
        <v>, CASE WHEN shikkan_disp_name = 'K744' THEN min_shikkan_start_date ::DATE ELSE NULL END AS shikkan820_start_date</v>
      </c>
      <c r="V833" s="25" t="str">
        <f t="shared" si="116"/>
        <v>, max(shikkan820_start_date)</v>
      </c>
      <c r="AA833" s="4"/>
      <c r="AB833" s="4"/>
      <c r="AC833" s="4"/>
      <c r="AD833" s="4"/>
      <c r="AE833" s="4"/>
      <c r="AF833" s="4"/>
      <c r="AG833" s="4"/>
      <c r="AH833" s="4"/>
      <c r="AI833" s="4"/>
      <c r="AJ833" s="76" t="str">
        <f>IF(E833="○",IF(COUNTA(E$13:E833)=1,"",",")&amp;D833,"")</f>
        <v/>
      </c>
      <c r="AK833" s="4"/>
      <c r="AL833" s="4"/>
      <c r="AM833" s="4"/>
      <c r="AN833" s="4"/>
      <c r="AO833" s="4"/>
      <c r="AP833" s="4"/>
      <c r="AQ833" s="4"/>
      <c r="AR833" s="4"/>
      <c r="AS833" s="76" t="str">
        <f>"COMMENT ON COLUMN "&amp;エンティティ一覧!$O$2&amp;"."&amp;D$8&amp;"."&amp;D833&amp;" IS '"&amp;C833&amp;"';"</f>
        <v>COMMENT ON COLUMN milscm_2023_009.sny_202310_annony_shikkan2.shikkan820_start_date IS 'K744_疾患開始日';</v>
      </c>
    </row>
    <row r="834" spans="1:45" s="25" customFormat="1">
      <c r="A834" s="4" t="s">
        <v>5889</v>
      </c>
      <c r="B834" s="21">
        <f t="shared" si="139"/>
        <v>822</v>
      </c>
      <c r="C834" s="13" t="str">
        <f t="shared" si="138"/>
        <v>K745_疾患開始日</v>
      </c>
      <c r="D834" s="13" t="s">
        <v>6481</v>
      </c>
      <c r="E834" s="8"/>
      <c r="F834" s="7" t="s">
        <v>4348</v>
      </c>
      <c r="G834" s="7" t="s">
        <v>25</v>
      </c>
      <c r="H834" s="58"/>
      <c r="I834" s="23"/>
      <c r="J834" s="24"/>
      <c r="M834" s="4"/>
      <c r="N834" s="76"/>
      <c r="O834" s="76"/>
      <c r="P834" s="76" t="str">
        <f t="shared" si="140"/>
        <v>,shikkan821_start_date</v>
      </c>
      <c r="Q834" s="76" t="str">
        <f t="shared" si="141"/>
        <v>DATE</v>
      </c>
      <c r="R834" s="76" t="str">
        <f t="shared" si="142"/>
        <v/>
      </c>
      <c r="S834" s="76" t="str">
        <f t="shared" si="143"/>
        <v/>
      </c>
      <c r="T834" s="76" t="str">
        <f t="shared" si="144"/>
        <v>-- K745_疾患開始日</v>
      </c>
      <c r="U834" s="4" t="str">
        <f t="shared" si="115"/>
        <v>, CASE WHEN shikkan_disp_name = 'K745' THEN min_shikkan_start_date ::DATE ELSE NULL END AS shikkan821_start_date</v>
      </c>
      <c r="V834" s="25" t="str">
        <f t="shared" si="116"/>
        <v>, max(shikkan821_start_date)</v>
      </c>
      <c r="AA834" s="4"/>
      <c r="AB834" s="4"/>
      <c r="AC834" s="4"/>
      <c r="AD834" s="4"/>
      <c r="AE834" s="4"/>
      <c r="AF834" s="4"/>
      <c r="AG834" s="4"/>
      <c r="AH834" s="4"/>
      <c r="AI834" s="4"/>
      <c r="AJ834" s="76" t="str">
        <f>IF(E834="○",IF(COUNTA(E$13:E834)=1,"",",")&amp;D834,"")</f>
        <v/>
      </c>
      <c r="AK834" s="4"/>
      <c r="AL834" s="4"/>
      <c r="AM834" s="4"/>
      <c r="AN834" s="4"/>
      <c r="AO834" s="4"/>
      <c r="AP834" s="4"/>
      <c r="AQ834" s="4"/>
      <c r="AR834" s="4"/>
      <c r="AS834" s="76" t="str">
        <f>"COMMENT ON COLUMN "&amp;エンティティ一覧!$O$2&amp;"."&amp;D$8&amp;"."&amp;D834&amp;" IS '"&amp;C834&amp;"';"</f>
        <v>COMMENT ON COLUMN milscm_2023_009.sny_202310_annony_shikkan2.shikkan821_start_date IS 'K745_疾患開始日';</v>
      </c>
    </row>
    <row r="835" spans="1:45" s="25" customFormat="1">
      <c r="A835" s="4" t="s">
        <v>5890</v>
      </c>
      <c r="B835" s="21">
        <f t="shared" si="139"/>
        <v>823</v>
      </c>
      <c r="C835" s="13" t="str">
        <f t="shared" si="138"/>
        <v>K746_疾患開始日</v>
      </c>
      <c r="D835" s="13" t="s">
        <v>6482</v>
      </c>
      <c r="E835" s="8"/>
      <c r="F835" s="7" t="s">
        <v>4348</v>
      </c>
      <c r="G835" s="7" t="s">
        <v>25</v>
      </c>
      <c r="H835" s="58"/>
      <c r="I835" s="23"/>
      <c r="J835" s="24"/>
      <c r="M835" s="4"/>
      <c r="N835" s="76"/>
      <c r="O835" s="76"/>
      <c r="P835" s="76" t="str">
        <f t="shared" si="140"/>
        <v>,shikkan822_start_date</v>
      </c>
      <c r="Q835" s="76" t="str">
        <f t="shared" si="141"/>
        <v>DATE</v>
      </c>
      <c r="R835" s="76" t="str">
        <f t="shared" si="142"/>
        <v/>
      </c>
      <c r="S835" s="76" t="str">
        <f t="shared" si="143"/>
        <v/>
      </c>
      <c r="T835" s="76" t="str">
        <f t="shared" si="144"/>
        <v>-- K746_疾患開始日</v>
      </c>
      <c r="U835" s="4" t="str">
        <f t="shared" si="115"/>
        <v>, CASE WHEN shikkan_disp_name = 'K746' THEN min_shikkan_start_date ::DATE ELSE NULL END AS shikkan822_start_date</v>
      </c>
      <c r="V835" s="25" t="str">
        <f t="shared" si="116"/>
        <v>, max(shikkan822_start_date)</v>
      </c>
      <c r="AA835" s="4"/>
      <c r="AB835" s="4"/>
      <c r="AC835" s="4"/>
      <c r="AD835" s="4"/>
      <c r="AE835" s="4"/>
      <c r="AF835" s="4"/>
      <c r="AG835" s="4"/>
      <c r="AH835" s="4"/>
      <c r="AI835" s="4"/>
      <c r="AJ835" s="76" t="str">
        <f>IF(E835="○",IF(COUNTA(E$13:E835)=1,"",",")&amp;D835,"")</f>
        <v/>
      </c>
      <c r="AK835" s="4"/>
      <c r="AL835" s="4"/>
      <c r="AM835" s="4"/>
      <c r="AN835" s="4"/>
      <c r="AO835" s="4"/>
      <c r="AP835" s="4"/>
      <c r="AQ835" s="4"/>
      <c r="AR835" s="4"/>
      <c r="AS835" s="76" t="str">
        <f>"COMMENT ON COLUMN "&amp;エンティティ一覧!$O$2&amp;"."&amp;D$8&amp;"."&amp;D835&amp;" IS '"&amp;C835&amp;"';"</f>
        <v>COMMENT ON COLUMN milscm_2023_009.sny_202310_annony_shikkan2.shikkan822_start_date IS 'K746_疾患開始日';</v>
      </c>
    </row>
    <row r="836" spans="1:45" s="25" customFormat="1">
      <c r="A836" s="4" t="s">
        <v>5081</v>
      </c>
      <c r="B836" s="21">
        <f t="shared" si="139"/>
        <v>824</v>
      </c>
      <c r="C836" s="13" t="str">
        <f t="shared" si="138"/>
        <v>K760_疾患開始日</v>
      </c>
      <c r="D836" s="13" t="s">
        <v>6483</v>
      </c>
      <c r="E836" s="8"/>
      <c r="F836" s="7" t="s">
        <v>4348</v>
      </c>
      <c r="G836" s="7" t="s">
        <v>25</v>
      </c>
      <c r="H836" s="58"/>
      <c r="I836" s="23"/>
      <c r="J836" s="24"/>
      <c r="M836" s="4"/>
      <c r="N836" s="76"/>
      <c r="O836" s="76"/>
      <c r="P836" s="76" t="str">
        <f t="shared" si="140"/>
        <v>,shikkan823_start_date</v>
      </c>
      <c r="Q836" s="76" t="str">
        <f t="shared" si="141"/>
        <v>DATE</v>
      </c>
      <c r="R836" s="76" t="str">
        <f t="shared" si="142"/>
        <v/>
      </c>
      <c r="S836" s="76" t="str">
        <f t="shared" si="143"/>
        <v/>
      </c>
      <c r="T836" s="76" t="str">
        <f t="shared" si="144"/>
        <v>-- K760_疾患開始日</v>
      </c>
      <c r="U836" s="4" t="str">
        <f t="shared" si="115"/>
        <v>, CASE WHEN shikkan_disp_name = 'K760' THEN min_shikkan_start_date ::DATE ELSE NULL END AS shikkan823_start_date</v>
      </c>
      <c r="V836" s="25" t="str">
        <f t="shared" si="116"/>
        <v>, max(shikkan823_start_date)</v>
      </c>
      <c r="AA836" s="4"/>
      <c r="AB836" s="4"/>
      <c r="AC836" s="4"/>
      <c r="AD836" s="4"/>
      <c r="AE836" s="4"/>
      <c r="AF836" s="4"/>
      <c r="AG836" s="4"/>
      <c r="AH836" s="4"/>
      <c r="AI836" s="4"/>
      <c r="AJ836" s="76" t="str">
        <f>IF(E836="○",IF(COUNTA(E$13:E836)=1,"",",")&amp;D836,"")</f>
        <v/>
      </c>
      <c r="AK836" s="4"/>
      <c r="AL836" s="4"/>
      <c r="AM836" s="4"/>
      <c r="AN836" s="4"/>
      <c r="AO836" s="4"/>
      <c r="AP836" s="4"/>
      <c r="AQ836" s="4"/>
      <c r="AR836" s="4"/>
      <c r="AS836" s="76" t="str">
        <f>"COMMENT ON COLUMN "&amp;エンティティ一覧!$O$2&amp;"."&amp;D$8&amp;"."&amp;D836&amp;" IS '"&amp;C836&amp;"';"</f>
        <v>COMMENT ON COLUMN milscm_2023_009.sny_202310_annony_shikkan2.shikkan823_start_date IS 'K760_疾患開始日';</v>
      </c>
    </row>
    <row r="837" spans="1:45" s="25" customFormat="1">
      <c r="A837" s="4" t="s">
        <v>5082</v>
      </c>
      <c r="B837" s="21">
        <f t="shared" si="139"/>
        <v>825</v>
      </c>
      <c r="C837" s="13" t="str">
        <f t="shared" si="138"/>
        <v>K762_疾患開始日</v>
      </c>
      <c r="D837" s="13" t="s">
        <v>6484</v>
      </c>
      <c r="E837" s="8"/>
      <c r="F837" s="7" t="s">
        <v>4348</v>
      </c>
      <c r="G837" s="7" t="s">
        <v>25</v>
      </c>
      <c r="H837" s="58"/>
      <c r="I837" s="23"/>
      <c r="J837" s="24"/>
      <c r="M837" s="4"/>
      <c r="N837" s="76"/>
      <c r="O837" s="76"/>
      <c r="P837" s="76" t="str">
        <f t="shared" si="140"/>
        <v>,shikkan824_start_date</v>
      </c>
      <c r="Q837" s="76" t="str">
        <f t="shared" si="141"/>
        <v>DATE</v>
      </c>
      <c r="R837" s="76" t="str">
        <f t="shared" si="142"/>
        <v/>
      </c>
      <c r="S837" s="76" t="str">
        <f t="shared" si="143"/>
        <v/>
      </c>
      <c r="T837" s="76" t="str">
        <f t="shared" si="144"/>
        <v>-- K762_疾患開始日</v>
      </c>
      <c r="U837" s="4" t="str">
        <f t="shared" si="115"/>
        <v>, CASE WHEN shikkan_disp_name = 'K762' THEN min_shikkan_start_date ::DATE ELSE NULL END AS shikkan824_start_date</v>
      </c>
      <c r="V837" s="25" t="str">
        <f t="shared" si="116"/>
        <v>, max(shikkan824_start_date)</v>
      </c>
      <c r="AA837" s="4"/>
      <c r="AB837" s="4"/>
      <c r="AC837" s="4"/>
      <c r="AD837" s="4"/>
      <c r="AE837" s="4"/>
      <c r="AF837" s="4"/>
      <c r="AG837" s="4"/>
      <c r="AH837" s="4"/>
      <c r="AI837" s="4"/>
      <c r="AJ837" s="76" t="str">
        <f>IF(E837="○",IF(COUNTA(E$13:E837)=1,"",",")&amp;D837,"")</f>
        <v/>
      </c>
      <c r="AK837" s="4"/>
      <c r="AL837" s="4"/>
      <c r="AM837" s="4"/>
      <c r="AN837" s="4"/>
      <c r="AO837" s="4"/>
      <c r="AP837" s="4"/>
      <c r="AQ837" s="4"/>
      <c r="AR837" s="4"/>
      <c r="AS837" s="76" t="str">
        <f>"COMMENT ON COLUMN "&amp;エンティティ一覧!$O$2&amp;"."&amp;D$8&amp;"."&amp;D837&amp;" IS '"&amp;C837&amp;"';"</f>
        <v>COMMENT ON COLUMN milscm_2023_009.sny_202310_annony_shikkan2.shikkan824_start_date IS 'K762_疾患開始日';</v>
      </c>
    </row>
    <row r="838" spans="1:45" s="25" customFormat="1">
      <c r="A838" s="4" t="s">
        <v>5083</v>
      </c>
      <c r="B838" s="21">
        <f t="shared" si="139"/>
        <v>826</v>
      </c>
      <c r="C838" s="13" t="str">
        <f t="shared" si="138"/>
        <v>K763_疾患開始日</v>
      </c>
      <c r="D838" s="13" t="s">
        <v>6485</v>
      </c>
      <c r="E838" s="8"/>
      <c r="F838" s="7" t="s">
        <v>4348</v>
      </c>
      <c r="G838" s="7" t="s">
        <v>25</v>
      </c>
      <c r="H838" s="58"/>
      <c r="I838" s="23"/>
      <c r="J838" s="24"/>
      <c r="M838" s="4"/>
      <c r="N838" s="76"/>
      <c r="O838" s="76"/>
      <c r="P838" s="76" t="str">
        <f t="shared" si="140"/>
        <v>,shikkan825_start_date</v>
      </c>
      <c r="Q838" s="76" t="str">
        <f t="shared" si="141"/>
        <v>DATE</v>
      </c>
      <c r="R838" s="76" t="str">
        <f t="shared" si="142"/>
        <v/>
      </c>
      <c r="S838" s="76" t="str">
        <f t="shared" si="143"/>
        <v/>
      </c>
      <c r="T838" s="76" t="str">
        <f t="shared" si="144"/>
        <v>-- K763_疾患開始日</v>
      </c>
      <c r="U838" s="4" t="str">
        <f t="shared" si="115"/>
        <v>, CASE WHEN shikkan_disp_name = 'K763' THEN min_shikkan_start_date ::DATE ELSE NULL END AS shikkan825_start_date</v>
      </c>
      <c r="V838" s="25" t="str">
        <f t="shared" si="116"/>
        <v>, max(shikkan825_start_date)</v>
      </c>
      <c r="AA838" s="4"/>
      <c r="AB838" s="4"/>
      <c r="AC838" s="4"/>
      <c r="AD838" s="4"/>
      <c r="AE838" s="4"/>
      <c r="AF838" s="4"/>
      <c r="AG838" s="4"/>
      <c r="AH838" s="4"/>
      <c r="AI838" s="4"/>
      <c r="AJ838" s="76" t="str">
        <f>IF(E838="○",IF(COUNTA(E$13:E838)=1,"",",")&amp;D838,"")</f>
        <v/>
      </c>
      <c r="AK838" s="4"/>
      <c r="AL838" s="4"/>
      <c r="AM838" s="4"/>
      <c r="AN838" s="4"/>
      <c r="AO838" s="4"/>
      <c r="AP838" s="4"/>
      <c r="AQ838" s="4"/>
      <c r="AR838" s="4"/>
      <c r="AS838" s="76" t="str">
        <f>"COMMENT ON COLUMN "&amp;エンティティ一覧!$O$2&amp;"."&amp;D$8&amp;"."&amp;D838&amp;" IS '"&amp;C838&amp;"';"</f>
        <v>COMMENT ON COLUMN milscm_2023_009.sny_202310_annony_shikkan2.shikkan825_start_date IS 'K763_疾患開始日';</v>
      </c>
    </row>
    <row r="839" spans="1:45" s="25" customFormat="1">
      <c r="A839" s="4" t="s">
        <v>5084</v>
      </c>
      <c r="B839" s="21">
        <f t="shared" si="139"/>
        <v>827</v>
      </c>
      <c r="C839" s="13" t="str">
        <f t="shared" si="138"/>
        <v>K764_疾患開始日</v>
      </c>
      <c r="D839" s="13" t="s">
        <v>6486</v>
      </c>
      <c r="E839" s="8"/>
      <c r="F839" s="7" t="s">
        <v>4348</v>
      </c>
      <c r="G839" s="7" t="s">
        <v>25</v>
      </c>
      <c r="H839" s="58"/>
      <c r="I839" s="23"/>
      <c r="J839" s="24"/>
      <c r="M839" s="4"/>
      <c r="N839" s="76"/>
      <c r="O839" s="76"/>
      <c r="P839" s="76" t="str">
        <f t="shared" si="140"/>
        <v>,shikkan826_start_date</v>
      </c>
      <c r="Q839" s="76" t="str">
        <f t="shared" si="141"/>
        <v>DATE</v>
      </c>
      <c r="R839" s="76" t="str">
        <f t="shared" si="142"/>
        <v/>
      </c>
      <c r="S839" s="76" t="str">
        <f t="shared" si="143"/>
        <v/>
      </c>
      <c r="T839" s="76" t="str">
        <f t="shared" si="144"/>
        <v>-- K764_疾患開始日</v>
      </c>
      <c r="U839" s="4" t="str">
        <f t="shared" si="115"/>
        <v>, CASE WHEN shikkan_disp_name = 'K764' THEN min_shikkan_start_date ::DATE ELSE NULL END AS shikkan826_start_date</v>
      </c>
      <c r="V839" s="25" t="str">
        <f t="shared" si="116"/>
        <v>, max(shikkan826_start_date)</v>
      </c>
      <c r="AA839" s="4"/>
      <c r="AB839" s="4"/>
      <c r="AC839" s="4"/>
      <c r="AD839" s="4"/>
      <c r="AE839" s="4"/>
      <c r="AF839" s="4"/>
      <c r="AG839" s="4"/>
      <c r="AH839" s="4"/>
      <c r="AI839" s="4"/>
      <c r="AJ839" s="76" t="str">
        <f>IF(E839="○",IF(COUNTA(E$13:E839)=1,"",",")&amp;D839,"")</f>
        <v/>
      </c>
      <c r="AK839" s="4"/>
      <c r="AL839" s="4"/>
      <c r="AM839" s="4"/>
      <c r="AN839" s="4"/>
      <c r="AO839" s="4"/>
      <c r="AP839" s="4"/>
      <c r="AQ839" s="4"/>
      <c r="AR839" s="4"/>
      <c r="AS839" s="76" t="str">
        <f>"COMMENT ON COLUMN "&amp;エンティティ一覧!$O$2&amp;"."&amp;D$8&amp;"."&amp;D839&amp;" IS '"&amp;C839&amp;"';"</f>
        <v>COMMENT ON COLUMN milscm_2023_009.sny_202310_annony_shikkan2.shikkan826_start_date IS 'K764_疾患開始日';</v>
      </c>
    </row>
    <row r="840" spans="1:45" s="25" customFormat="1">
      <c r="A840" s="4" t="s">
        <v>5891</v>
      </c>
      <c r="B840" s="21">
        <f t="shared" si="139"/>
        <v>828</v>
      </c>
      <c r="C840" s="13" t="str">
        <f t="shared" si="138"/>
        <v>K765_疾患開始日</v>
      </c>
      <c r="D840" s="13" t="s">
        <v>6487</v>
      </c>
      <c r="E840" s="8"/>
      <c r="F840" s="7" t="s">
        <v>4348</v>
      </c>
      <c r="G840" s="7" t="s">
        <v>25</v>
      </c>
      <c r="H840" s="58"/>
      <c r="I840" s="23"/>
      <c r="J840" s="24"/>
      <c r="M840" s="4"/>
      <c r="N840" s="76"/>
      <c r="O840" s="76"/>
      <c r="P840" s="76" t="str">
        <f t="shared" si="140"/>
        <v>,shikkan827_start_date</v>
      </c>
      <c r="Q840" s="76" t="str">
        <f t="shared" si="141"/>
        <v>DATE</v>
      </c>
      <c r="R840" s="76" t="str">
        <f t="shared" si="142"/>
        <v/>
      </c>
      <c r="S840" s="76" t="str">
        <f t="shared" si="143"/>
        <v/>
      </c>
      <c r="T840" s="76" t="str">
        <f t="shared" si="144"/>
        <v>-- K765_疾患開始日</v>
      </c>
      <c r="U840" s="4" t="str">
        <f t="shared" si="115"/>
        <v>, CASE WHEN shikkan_disp_name = 'K765' THEN min_shikkan_start_date ::DATE ELSE NULL END AS shikkan827_start_date</v>
      </c>
      <c r="V840" s="25" t="str">
        <f t="shared" si="116"/>
        <v>, max(shikkan827_start_date)</v>
      </c>
      <c r="AA840" s="4"/>
      <c r="AB840" s="4"/>
      <c r="AC840" s="4"/>
      <c r="AD840" s="4"/>
      <c r="AE840" s="4"/>
      <c r="AF840" s="4"/>
      <c r="AG840" s="4"/>
      <c r="AH840" s="4"/>
      <c r="AI840" s="4"/>
      <c r="AJ840" s="76" t="str">
        <f>IF(E840="○",IF(COUNTA(E$13:E840)=1,"",",")&amp;D840,"")</f>
        <v/>
      </c>
      <c r="AK840" s="4"/>
      <c r="AL840" s="4"/>
      <c r="AM840" s="4"/>
      <c r="AN840" s="4"/>
      <c r="AO840" s="4"/>
      <c r="AP840" s="4"/>
      <c r="AQ840" s="4"/>
      <c r="AR840" s="4"/>
      <c r="AS840" s="76" t="str">
        <f>"COMMENT ON COLUMN "&amp;エンティティ一覧!$O$2&amp;"."&amp;D$8&amp;"."&amp;D840&amp;" IS '"&amp;C840&amp;"';"</f>
        <v>COMMENT ON COLUMN milscm_2023_009.sny_202310_annony_shikkan2.shikkan827_start_date IS 'K765_疾患開始日';</v>
      </c>
    </row>
    <row r="841" spans="1:45" s="25" customFormat="1">
      <c r="A841" s="4" t="s">
        <v>5892</v>
      </c>
      <c r="B841" s="21">
        <f t="shared" si="139"/>
        <v>829</v>
      </c>
      <c r="C841" s="13" t="str">
        <f t="shared" si="138"/>
        <v>K766_疾患開始日</v>
      </c>
      <c r="D841" s="13" t="s">
        <v>6488</v>
      </c>
      <c r="E841" s="8"/>
      <c r="F841" s="7" t="s">
        <v>4348</v>
      </c>
      <c r="G841" s="7" t="s">
        <v>25</v>
      </c>
      <c r="H841" s="58"/>
      <c r="I841" s="23"/>
      <c r="J841" s="24"/>
      <c r="M841" s="4"/>
      <c r="N841" s="76"/>
      <c r="O841" s="76"/>
      <c r="P841" s="76" t="str">
        <f t="shared" si="140"/>
        <v>,shikkan828_start_date</v>
      </c>
      <c r="Q841" s="76" t="str">
        <f t="shared" si="141"/>
        <v>DATE</v>
      </c>
      <c r="R841" s="76" t="str">
        <f t="shared" si="142"/>
        <v/>
      </c>
      <c r="S841" s="76" t="str">
        <f t="shared" si="143"/>
        <v/>
      </c>
      <c r="T841" s="76" t="str">
        <f t="shared" si="144"/>
        <v>-- K766_疾患開始日</v>
      </c>
      <c r="U841" s="4" t="str">
        <f t="shared" si="115"/>
        <v>, CASE WHEN shikkan_disp_name = 'K766' THEN min_shikkan_start_date ::DATE ELSE NULL END AS shikkan828_start_date</v>
      </c>
      <c r="V841" s="25" t="str">
        <f t="shared" si="116"/>
        <v>, max(shikkan828_start_date)</v>
      </c>
      <c r="AA841" s="4"/>
      <c r="AB841" s="4"/>
      <c r="AC841" s="4"/>
      <c r="AD841" s="4"/>
      <c r="AE841" s="4"/>
      <c r="AF841" s="4"/>
      <c r="AG841" s="4"/>
      <c r="AH841" s="4"/>
      <c r="AI841" s="4"/>
      <c r="AJ841" s="76" t="str">
        <f>IF(E841="○",IF(COUNTA(E$13:E841)=1,"",",")&amp;D841,"")</f>
        <v/>
      </c>
      <c r="AK841" s="4"/>
      <c r="AL841" s="4"/>
      <c r="AM841" s="4"/>
      <c r="AN841" s="4"/>
      <c r="AO841" s="4"/>
      <c r="AP841" s="4"/>
      <c r="AQ841" s="4"/>
      <c r="AR841" s="4"/>
      <c r="AS841" s="76" t="str">
        <f>"COMMENT ON COLUMN "&amp;エンティティ一覧!$O$2&amp;"."&amp;D$8&amp;"."&amp;D841&amp;" IS '"&amp;C841&amp;"';"</f>
        <v>COMMENT ON COLUMN milscm_2023_009.sny_202310_annony_shikkan2.shikkan828_start_date IS 'K766_疾患開始日';</v>
      </c>
    </row>
    <row r="842" spans="1:45" s="25" customFormat="1">
      <c r="A842" s="4" t="s">
        <v>5893</v>
      </c>
      <c r="B842" s="21">
        <f t="shared" si="139"/>
        <v>830</v>
      </c>
      <c r="C842" s="13" t="str">
        <f t="shared" si="138"/>
        <v>K767_疾患開始日</v>
      </c>
      <c r="D842" s="13" t="s">
        <v>6489</v>
      </c>
      <c r="E842" s="8"/>
      <c r="F842" s="7" t="s">
        <v>4348</v>
      </c>
      <c r="G842" s="7" t="s">
        <v>25</v>
      </c>
      <c r="H842" s="58"/>
      <c r="I842" s="23"/>
      <c r="J842" s="24"/>
      <c r="M842" s="4"/>
      <c r="N842" s="76"/>
      <c r="O842" s="76"/>
      <c r="P842" s="76" t="str">
        <f t="shared" si="140"/>
        <v>,shikkan829_start_date</v>
      </c>
      <c r="Q842" s="76" t="str">
        <f t="shared" si="141"/>
        <v>DATE</v>
      </c>
      <c r="R842" s="76" t="str">
        <f t="shared" si="142"/>
        <v/>
      </c>
      <c r="S842" s="76" t="str">
        <f t="shared" si="143"/>
        <v/>
      </c>
      <c r="T842" s="76" t="str">
        <f t="shared" si="144"/>
        <v>-- K767_疾患開始日</v>
      </c>
      <c r="U842" s="4" t="str">
        <f t="shared" si="115"/>
        <v>, CASE WHEN shikkan_disp_name = 'K767' THEN min_shikkan_start_date ::DATE ELSE NULL END AS shikkan829_start_date</v>
      </c>
      <c r="V842" s="25" t="str">
        <f t="shared" si="116"/>
        <v>, max(shikkan829_start_date)</v>
      </c>
      <c r="AA842" s="4"/>
      <c r="AB842" s="4"/>
      <c r="AC842" s="4"/>
      <c r="AD842" s="4"/>
      <c r="AE842" s="4"/>
      <c r="AF842" s="4"/>
      <c r="AG842" s="4"/>
      <c r="AH842" s="4"/>
      <c r="AI842" s="4"/>
      <c r="AJ842" s="76" t="str">
        <f>IF(E842="○",IF(COUNTA(E$13:E842)=1,"",",")&amp;D842,"")</f>
        <v/>
      </c>
      <c r="AK842" s="4"/>
      <c r="AL842" s="4"/>
      <c r="AM842" s="4"/>
      <c r="AN842" s="4"/>
      <c r="AO842" s="4"/>
      <c r="AP842" s="4"/>
      <c r="AQ842" s="4"/>
      <c r="AR842" s="4"/>
      <c r="AS842" s="76" t="str">
        <f>"COMMENT ON COLUMN "&amp;エンティティ一覧!$O$2&amp;"."&amp;D$8&amp;"."&amp;D842&amp;" IS '"&amp;C842&amp;"';"</f>
        <v>COMMENT ON COLUMN milscm_2023_009.sny_202310_annony_shikkan2.shikkan829_start_date IS 'K767_疾患開始日';</v>
      </c>
    </row>
    <row r="843" spans="1:45" s="25" customFormat="1">
      <c r="A843" s="4" t="s">
        <v>5085</v>
      </c>
      <c r="B843" s="21">
        <f t="shared" si="139"/>
        <v>831</v>
      </c>
      <c r="C843" s="13" t="str">
        <f t="shared" si="138"/>
        <v>K768_疾患開始日</v>
      </c>
      <c r="D843" s="13" t="s">
        <v>6490</v>
      </c>
      <c r="E843" s="8"/>
      <c r="F843" s="7" t="s">
        <v>4348</v>
      </c>
      <c r="G843" s="7" t="s">
        <v>25</v>
      </c>
      <c r="H843" s="58"/>
      <c r="I843" s="23"/>
      <c r="J843" s="24"/>
      <c r="M843" s="4"/>
      <c r="N843" s="76"/>
      <c r="O843" s="76"/>
      <c r="P843" s="76" t="str">
        <f t="shared" si="140"/>
        <v>,shikkan830_start_date</v>
      </c>
      <c r="Q843" s="76" t="str">
        <f t="shared" si="141"/>
        <v>DATE</v>
      </c>
      <c r="R843" s="76" t="str">
        <f t="shared" si="142"/>
        <v/>
      </c>
      <c r="S843" s="76" t="str">
        <f t="shared" si="143"/>
        <v/>
      </c>
      <c r="T843" s="76" t="str">
        <f t="shared" si="144"/>
        <v>-- K768_疾患開始日</v>
      </c>
      <c r="U843" s="4" t="str">
        <f t="shared" si="115"/>
        <v>, CASE WHEN shikkan_disp_name = 'K768' THEN min_shikkan_start_date ::DATE ELSE NULL END AS shikkan830_start_date</v>
      </c>
      <c r="V843" s="25" t="str">
        <f t="shared" si="116"/>
        <v>, max(shikkan830_start_date)</v>
      </c>
      <c r="AA843" s="4"/>
      <c r="AB843" s="4"/>
      <c r="AC843" s="4"/>
      <c r="AD843" s="4"/>
      <c r="AE843" s="4"/>
      <c r="AF843" s="4"/>
      <c r="AG843" s="4"/>
      <c r="AH843" s="4"/>
      <c r="AI843" s="4"/>
      <c r="AJ843" s="76" t="str">
        <f>IF(E843="○",IF(COUNTA(E$13:E843)=1,"",",")&amp;D843,"")</f>
        <v/>
      </c>
      <c r="AK843" s="4"/>
      <c r="AL843" s="4"/>
      <c r="AM843" s="4"/>
      <c r="AN843" s="4"/>
      <c r="AO843" s="4"/>
      <c r="AP843" s="4"/>
      <c r="AQ843" s="4"/>
      <c r="AR843" s="4"/>
      <c r="AS843" s="76" t="str">
        <f>"COMMENT ON COLUMN "&amp;エンティティ一覧!$O$2&amp;"."&amp;D$8&amp;"."&amp;D843&amp;" IS '"&amp;C843&amp;"';"</f>
        <v>COMMENT ON COLUMN milscm_2023_009.sny_202310_annony_shikkan2.shikkan830_start_date IS 'K768_疾患開始日';</v>
      </c>
    </row>
    <row r="844" spans="1:45" s="25" customFormat="1">
      <c r="A844" s="4" t="s">
        <v>5086</v>
      </c>
      <c r="B844" s="21">
        <f t="shared" si="139"/>
        <v>832</v>
      </c>
      <c r="C844" s="13" t="str">
        <f t="shared" si="138"/>
        <v>K769_疾患開始日</v>
      </c>
      <c r="D844" s="13" t="s">
        <v>6491</v>
      </c>
      <c r="E844" s="8"/>
      <c r="F844" s="7" t="s">
        <v>4348</v>
      </c>
      <c r="G844" s="7" t="s">
        <v>25</v>
      </c>
      <c r="H844" s="58"/>
      <c r="I844" s="23"/>
      <c r="J844" s="24"/>
      <c r="M844" s="4"/>
      <c r="N844" s="76"/>
      <c r="O844" s="76"/>
      <c r="P844" s="76" t="str">
        <f t="shared" si="140"/>
        <v>,shikkan831_start_date</v>
      </c>
      <c r="Q844" s="76" t="str">
        <f t="shared" si="141"/>
        <v>DATE</v>
      </c>
      <c r="R844" s="76" t="str">
        <f t="shared" si="142"/>
        <v/>
      </c>
      <c r="S844" s="76" t="str">
        <f t="shared" si="143"/>
        <v/>
      </c>
      <c r="T844" s="76" t="str">
        <f t="shared" si="144"/>
        <v>-- K769_疾患開始日</v>
      </c>
      <c r="U844" s="4" t="str">
        <f t="shared" ref="U844:U880" si="145">", CASE WHEN shikkan_disp_name = '"&amp;A844&amp;"' THEN min_shikkan_start_date ::DATE ELSE NULL END AS "&amp;D844</f>
        <v>, CASE WHEN shikkan_disp_name = 'K769' THEN min_shikkan_start_date ::DATE ELSE NULL END AS shikkan831_start_date</v>
      </c>
      <c r="V844" s="25" t="str">
        <f t="shared" ref="V844:V880" si="146">", max("&amp;D844&amp;")"</f>
        <v>, max(shikkan831_start_date)</v>
      </c>
      <c r="AA844" s="4"/>
      <c r="AB844" s="4"/>
      <c r="AC844" s="4"/>
      <c r="AD844" s="4"/>
      <c r="AE844" s="4"/>
      <c r="AF844" s="4"/>
      <c r="AG844" s="4"/>
      <c r="AH844" s="4"/>
      <c r="AI844" s="4"/>
      <c r="AJ844" s="76" t="str">
        <f>IF(E844="○",IF(COUNTA(E$13:E844)=1,"",",")&amp;D844,"")</f>
        <v/>
      </c>
      <c r="AK844" s="4"/>
      <c r="AL844" s="4"/>
      <c r="AM844" s="4"/>
      <c r="AN844" s="4"/>
      <c r="AO844" s="4"/>
      <c r="AP844" s="4"/>
      <c r="AQ844" s="4"/>
      <c r="AR844" s="4"/>
      <c r="AS844" s="76" t="str">
        <f>"COMMENT ON COLUMN "&amp;エンティティ一覧!$O$2&amp;"."&amp;D$8&amp;"."&amp;D844&amp;" IS '"&amp;C844&amp;"';"</f>
        <v>COMMENT ON COLUMN milscm_2023_009.sny_202310_annony_shikkan2.shikkan831_start_date IS 'K769_疾患開始日';</v>
      </c>
    </row>
    <row r="845" spans="1:45" s="25" customFormat="1">
      <c r="A845" s="4" t="s">
        <v>5894</v>
      </c>
      <c r="B845" s="21">
        <f t="shared" si="139"/>
        <v>833</v>
      </c>
      <c r="C845" s="13" t="str">
        <f t="shared" si="138"/>
        <v>M050_疾患開始日</v>
      </c>
      <c r="D845" s="13" t="s">
        <v>6492</v>
      </c>
      <c r="E845" s="8"/>
      <c r="F845" s="7" t="s">
        <v>4348</v>
      </c>
      <c r="G845" s="7" t="s">
        <v>25</v>
      </c>
      <c r="H845" s="58"/>
      <c r="I845" s="23"/>
      <c r="J845" s="24"/>
      <c r="M845" s="4"/>
      <c r="N845" s="76"/>
      <c r="O845" s="76"/>
      <c r="P845" s="76" t="str">
        <f t="shared" si="140"/>
        <v>,shikkan832_start_date</v>
      </c>
      <c r="Q845" s="76" t="str">
        <f t="shared" si="141"/>
        <v>DATE</v>
      </c>
      <c r="R845" s="76" t="str">
        <f t="shared" si="142"/>
        <v/>
      </c>
      <c r="S845" s="76" t="str">
        <f t="shared" si="143"/>
        <v/>
      </c>
      <c r="T845" s="76" t="str">
        <f t="shared" si="144"/>
        <v>-- M050_疾患開始日</v>
      </c>
      <c r="U845" s="4" t="str">
        <f t="shared" si="145"/>
        <v>, CASE WHEN shikkan_disp_name = 'M050' THEN min_shikkan_start_date ::DATE ELSE NULL END AS shikkan832_start_date</v>
      </c>
      <c r="V845" s="25" t="str">
        <f t="shared" si="146"/>
        <v>, max(shikkan832_start_date)</v>
      </c>
      <c r="AA845" s="4"/>
      <c r="AB845" s="4"/>
      <c r="AC845" s="4"/>
      <c r="AD845" s="4"/>
      <c r="AE845" s="4"/>
      <c r="AF845" s="4"/>
      <c r="AG845" s="4"/>
      <c r="AH845" s="4"/>
      <c r="AI845" s="4"/>
      <c r="AJ845" s="76" t="str">
        <f>IF(E845="○",IF(COUNTA(E$13:E845)=1,"",",")&amp;D845,"")</f>
        <v/>
      </c>
      <c r="AK845" s="4"/>
      <c r="AL845" s="4"/>
      <c r="AM845" s="4"/>
      <c r="AN845" s="4"/>
      <c r="AO845" s="4"/>
      <c r="AP845" s="4"/>
      <c r="AQ845" s="4"/>
      <c r="AR845" s="4"/>
      <c r="AS845" s="76" t="str">
        <f>"COMMENT ON COLUMN "&amp;エンティティ一覧!$O$2&amp;"."&amp;D$8&amp;"."&amp;D845&amp;" IS '"&amp;C845&amp;"';"</f>
        <v>COMMENT ON COLUMN milscm_2023_009.sny_202310_annony_shikkan2.shikkan832_start_date IS 'M050_疾患開始日';</v>
      </c>
    </row>
    <row r="846" spans="1:45" s="25" customFormat="1">
      <c r="A846" s="4" t="s">
        <v>5895</v>
      </c>
      <c r="B846" s="21">
        <f t="shared" si="139"/>
        <v>834</v>
      </c>
      <c r="C846" s="13" t="str">
        <f t="shared" si="138"/>
        <v>M051_疾患開始日</v>
      </c>
      <c r="D846" s="13" t="s">
        <v>6493</v>
      </c>
      <c r="E846" s="8"/>
      <c r="F846" s="7" t="s">
        <v>4348</v>
      </c>
      <c r="G846" s="7" t="s">
        <v>25</v>
      </c>
      <c r="H846" s="58"/>
      <c r="I846" s="23"/>
      <c r="J846" s="24"/>
      <c r="M846" s="4"/>
      <c r="N846" s="76"/>
      <c r="O846" s="76"/>
      <c r="P846" s="76" t="str">
        <f t="shared" si="140"/>
        <v>,shikkan833_start_date</v>
      </c>
      <c r="Q846" s="76" t="str">
        <f t="shared" si="141"/>
        <v>DATE</v>
      </c>
      <c r="R846" s="76" t="str">
        <f t="shared" si="142"/>
        <v/>
      </c>
      <c r="S846" s="76" t="str">
        <f t="shared" si="143"/>
        <v/>
      </c>
      <c r="T846" s="76" t="str">
        <f t="shared" si="144"/>
        <v>-- M051_疾患開始日</v>
      </c>
      <c r="U846" s="4" t="str">
        <f t="shared" si="145"/>
        <v>, CASE WHEN shikkan_disp_name = 'M051' THEN min_shikkan_start_date ::DATE ELSE NULL END AS shikkan833_start_date</v>
      </c>
      <c r="V846" s="25" t="str">
        <f t="shared" si="146"/>
        <v>, max(shikkan833_start_date)</v>
      </c>
      <c r="AA846" s="4"/>
      <c r="AB846" s="4"/>
      <c r="AC846" s="4"/>
      <c r="AD846" s="4"/>
      <c r="AE846" s="4"/>
      <c r="AF846" s="4"/>
      <c r="AG846" s="4"/>
      <c r="AH846" s="4"/>
      <c r="AI846" s="4"/>
      <c r="AJ846" s="76" t="str">
        <f>IF(E846="○",IF(COUNTA(E$13:E846)=1,"",",")&amp;D846,"")</f>
        <v/>
      </c>
      <c r="AK846" s="4"/>
      <c r="AL846" s="4"/>
      <c r="AM846" s="4"/>
      <c r="AN846" s="4"/>
      <c r="AO846" s="4"/>
      <c r="AP846" s="4"/>
      <c r="AQ846" s="4"/>
      <c r="AR846" s="4"/>
      <c r="AS846" s="76" t="str">
        <f>"COMMENT ON COLUMN "&amp;エンティティ一覧!$O$2&amp;"."&amp;D$8&amp;"."&amp;D846&amp;" IS '"&amp;C846&amp;"';"</f>
        <v>COMMENT ON COLUMN milscm_2023_009.sny_202310_annony_shikkan2.shikkan833_start_date IS 'M051_疾患開始日';</v>
      </c>
    </row>
    <row r="847" spans="1:45" s="25" customFormat="1">
      <c r="A847" s="4" t="s">
        <v>5896</v>
      </c>
      <c r="B847" s="21">
        <f t="shared" si="139"/>
        <v>835</v>
      </c>
      <c r="C847" s="13" t="str">
        <f t="shared" ref="C847:C903" si="147">A847&amp;"_疾患開始日"</f>
        <v>M052_疾患開始日</v>
      </c>
      <c r="D847" s="13" t="s">
        <v>6494</v>
      </c>
      <c r="E847" s="8"/>
      <c r="F847" s="7" t="s">
        <v>4348</v>
      </c>
      <c r="G847" s="7" t="s">
        <v>25</v>
      </c>
      <c r="H847" s="58"/>
      <c r="I847" s="23"/>
      <c r="J847" s="24"/>
      <c r="M847" s="4"/>
      <c r="N847" s="76"/>
      <c r="O847" s="76"/>
      <c r="P847" s="76" t="str">
        <f t="shared" si="140"/>
        <v>,shikkan834_start_date</v>
      </c>
      <c r="Q847" s="76" t="str">
        <f t="shared" si="141"/>
        <v>DATE</v>
      </c>
      <c r="R847" s="76" t="str">
        <f t="shared" si="142"/>
        <v/>
      </c>
      <c r="S847" s="76" t="str">
        <f t="shared" si="143"/>
        <v/>
      </c>
      <c r="T847" s="76" t="str">
        <f t="shared" si="144"/>
        <v>-- M052_疾患開始日</v>
      </c>
      <c r="U847" s="4" t="str">
        <f t="shared" si="145"/>
        <v>, CASE WHEN shikkan_disp_name = 'M052' THEN min_shikkan_start_date ::DATE ELSE NULL END AS shikkan834_start_date</v>
      </c>
      <c r="V847" s="25" t="str">
        <f t="shared" si="146"/>
        <v>, max(shikkan834_start_date)</v>
      </c>
      <c r="AA847" s="4"/>
      <c r="AB847" s="4"/>
      <c r="AC847" s="4"/>
      <c r="AD847" s="4"/>
      <c r="AE847" s="4"/>
      <c r="AF847" s="4"/>
      <c r="AG847" s="4"/>
      <c r="AH847" s="4"/>
      <c r="AI847" s="4"/>
      <c r="AJ847" s="76" t="str">
        <f>IF(E847="○",IF(COUNTA(E$13:E847)=1,"",",")&amp;D847,"")</f>
        <v/>
      </c>
      <c r="AK847" s="4"/>
      <c r="AL847" s="4"/>
      <c r="AM847" s="4"/>
      <c r="AN847" s="4"/>
      <c r="AO847" s="4"/>
      <c r="AP847" s="4"/>
      <c r="AQ847" s="4"/>
      <c r="AR847" s="4"/>
      <c r="AS847" s="76" t="str">
        <f>"COMMENT ON COLUMN "&amp;エンティティ一覧!$O$2&amp;"."&amp;D$8&amp;"."&amp;D847&amp;" IS '"&amp;C847&amp;"';"</f>
        <v>COMMENT ON COLUMN milscm_2023_009.sny_202310_annony_shikkan2.shikkan834_start_date IS 'M052_疾患開始日';</v>
      </c>
    </row>
    <row r="848" spans="1:45" s="25" customFormat="1">
      <c r="A848" s="4" t="s">
        <v>5897</v>
      </c>
      <c r="B848" s="21">
        <f t="shared" si="139"/>
        <v>836</v>
      </c>
      <c r="C848" s="13" t="str">
        <f t="shared" si="147"/>
        <v>M053_疾患開始日</v>
      </c>
      <c r="D848" s="13" t="s">
        <v>6495</v>
      </c>
      <c r="E848" s="8"/>
      <c r="F848" s="7" t="s">
        <v>4348</v>
      </c>
      <c r="G848" s="7" t="s">
        <v>25</v>
      </c>
      <c r="H848" s="58"/>
      <c r="I848" s="23"/>
      <c r="J848" s="24"/>
      <c r="M848" s="4"/>
      <c r="N848" s="76"/>
      <c r="O848" s="76"/>
      <c r="P848" s="76" t="str">
        <f t="shared" si="140"/>
        <v>,shikkan835_start_date</v>
      </c>
      <c r="Q848" s="76" t="str">
        <f t="shared" si="141"/>
        <v>DATE</v>
      </c>
      <c r="R848" s="76" t="str">
        <f t="shared" si="142"/>
        <v/>
      </c>
      <c r="S848" s="76" t="str">
        <f t="shared" si="143"/>
        <v/>
      </c>
      <c r="T848" s="76" t="str">
        <f t="shared" si="144"/>
        <v>-- M053_疾患開始日</v>
      </c>
      <c r="U848" s="4" t="str">
        <f t="shared" si="145"/>
        <v>, CASE WHEN shikkan_disp_name = 'M053' THEN min_shikkan_start_date ::DATE ELSE NULL END AS shikkan835_start_date</v>
      </c>
      <c r="V848" s="25" t="str">
        <f t="shared" si="146"/>
        <v>, max(shikkan835_start_date)</v>
      </c>
      <c r="AA848" s="4"/>
      <c r="AB848" s="4"/>
      <c r="AC848" s="4"/>
      <c r="AD848" s="4"/>
      <c r="AE848" s="4"/>
      <c r="AF848" s="4"/>
      <c r="AG848" s="4"/>
      <c r="AH848" s="4"/>
      <c r="AI848" s="4"/>
      <c r="AJ848" s="76" t="str">
        <f>IF(E848="○",IF(COUNTA(E$13:E848)=1,"",",")&amp;D848,"")</f>
        <v/>
      </c>
      <c r="AK848" s="4"/>
      <c r="AL848" s="4"/>
      <c r="AM848" s="4"/>
      <c r="AN848" s="4"/>
      <c r="AO848" s="4"/>
      <c r="AP848" s="4"/>
      <c r="AQ848" s="4"/>
      <c r="AR848" s="4"/>
      <c r="AS848" s="76" t="str">
        <f>"COMMENT ON COLUMN "&amp;エンティティ一覧!$O$2&amp;"."&amp;D$8&amp;"."&amp;D848&amp;" IS '"&amp;C848&amp;"';"</f>
        <v>COMMENT ON COLUMN milscm_2023_009.sny_202310_annony_shikkan2.shikkan835_start_date IS 'M053_疾患開始日';</v>
      </c>
    </row>
    <row r="849" spans="1:45" s="25" customFormat="1">
      <c r="A849" s="4" t="s">
        <v>5898</v>
      </c>
      <c r="B849" s="21">
        <f t="shared" ref="B849:B902" si="148">ROW()-12</f>
        <v>837</v>
      </c>
      <c r="C849" s="13" t="str">
        <f t="shared" si="147"/>
        <v>M058_疾患開始日</v>
      </c>
      <c r="D849" s="13" t="s">
        <v>6496</v>
      </c>
      <c r="E849" s="8"/>
      <c r="F849" s="7" t="s">
        <v>4348</v>
      </c>
      <c r="G849" s="7" t="s">
        <v>25</v>
      </c>
      <c r="H849" s="58"/>
      <c r="I849" s="23"/>
      <c r="J849" s="24"/>
      <c r="M849" s="4"/>
      <c r="N849" s="76"/>
      <c r="O849" s="76"/>
      <c r="P849" s="76" t="str">
        <f t="shared" si="140"/>
        <v>,shikkan836_start_date</v>
      </c>
      <c r="Q849" s="76" t="str">
        <f t="shared" si="141"/>
        <v>DATE</v>
      </c>
      <c r="R849" s="76" t="str">
        <f t="shared" si="142"/>
        <v/>
      </c>
      <c r="S849" s="76" t="str">
        <f t="shared" si="143"/>
        <v/>
      </c>
      <c r="T849" s="76" t="str">
        <f t="shared" si="144"/>
        <v>-- M058_疾患開始日</v>
      </c>
      <c r="U849" s="4" t="str">
        <f t="shared" si="145"/>
        <v>, CASE WHEN shikkan_disp_name = 'M058' THEN min_shikkan_start_date ::DATE ELSE NULL END AS shikkan836_start_date</v>
      </c>
      <c r="V849" s="25" t="str">
        <f t="shared" si="146"/>
        <v>, max(shikkan836_start_date)</v>
      </c>
      <c r="AA849" s="4"/>
      <c r="AB849" s="4"/>
      <c r="AC849" s="4"/>
      <c r="AD849" s="4"/>
      <c r="AE849" s="4"/>
      <c r="AF849" s="4"/>
      <c r="AG849" s="4"/>
      <c r="AH849" s="4"/>
      <c r="AI849" s="4"/>
      <c r="AJ849" s="76" t="str">
        <f>IF(E849="○",IF(COUNTA(E$13:E849)=1,"",",")&amp;D849,"")</f>
        <v/>
      </c>
      <c r="AK849" s="4"/>
      <c r="AL849" s="4"/>
      <c r="AM849" s="4"/>
      <c r="AN849" s="4"/>
      <c r="AO849" s="4"/>
      <c r="AP849" s="4"/>
      <c r="AQ849" s="4"/>
      <c r="AR849" s="4"/>
      <c r="AS849" s="76" t="str">
        <f>"COMMENT ON COLUMN "&amp;エンティティ一覧!$O$2&amp;"."&amp;D$8&amp;"."&amp;D849&amp;" IS '"&amp;C849&amp;"';"</f>
        <v>COMMENT ON COLUMN milscm_2023_009.sny_202310_annony_shikkan2.shikkan836_start_date IS 'M058_疾患開始日';</v>
      </c>
    </row>
    <row r="850" spans="1:45" s="25" customFormat="1">
      <c r="A850" s="4" t="s">
        <v>5899</v>
      </c>
      <c r="B850" s="21">
        <f t="shared" si="148"/>
        <v>838</v>
      </c>
      <c r="C850" s="13" t="str">
        <f t="shared" si="147"/>
        <v>M059_疾患開始日</v>
      </c>
      <c r="D850" s="13" t="s">
        <v>6497</v>
      </c>
      <c r="E850" s="8"/>
      <c r="F850" s="7" t="s">
        <v>4348</v>
      </c>
      <c r="G850" s="7" t="s">
        <v>25</v>
      </c>
      <c r="H850" s="58"/>
      <c r="I850" s="23"/>
      <c r="J850" s="24"/>
      <c r="M850" s="4"/>
      <c r="N850" s="76"/>
      <c r="O850" s="76"/>
      <c r="P850" s="76" t="str">
        <f t="shared" si="140"/>
        <v>,shikkan837_start_date</v>
      </c>
      <c r="Q850" s="76" t="str">
        <f t="shared" si="141"/>
        <v>DATE</v>
      </c>
      <c r="R850" s="76" t="str">
        <f t="shared" si="142"/>
        <v/>
      </c>
      <c r="S850" s="76" t="str">
        <f t="shared" si="143"/>
        <v/>
      </c>
      <c r="T850" s="76" t="str">
        <f t="shared" si="144"/>
        <v>-- M059_疾患開始日</v>
      </c>
      <c r="U850" s="4" t="str">
        <f t="shared" si="145"/>
        <v>, CASE WHEN shikkan_disp_name = 'M059' THEN min_shikkan_start_date ::DATE ELSE NULL END AS shikkan837_start_date</v>
      </c>
      <c r="V850" s="25" t="str">
        <f t="shared" si="146"/>
        <v>, max(shikkan837_start_date)</v>
      </c>
      <c r="AA850" s="4"/>
      <c r="AB850" s="4"/>
      <c r="AC850" s="4"/>
      <c r="AD850" s="4"/>
      <c r="AE850" s="4"/>
      <c r="AF850" s="4"/>
      <c r="AG850" s="4"/>
      <c r="AH850" s="4"/>
      <c r="AI850" s="4"/>
      <c r="AJ850" s="76" t="str">
        <f>IF(E850="○",IF(COUNTA(E$13:E850)=1,"",",")&amp;D850,"")</f>
        <v/>
      </c>
      <c r="AK850" s="4"/>
      <c r="AL850" s="4"/>
      <c r="AM850" s="4"/>
      <c r="AN850" s="4"/>
      <c r="AO850" s="4"/>
      <c r="AP850" s="4"/>
      <c r="AQ850" s="4"/>
      <c r="AR850" s="4"/>
      <c r="AS850" s="76" t="str">
        <f>"COMMENT ON COLUMN "&amp;エンティティ一覧!$O$2&amp;"."&amp;D$8&amp;"."&amp;D850&amp;" IS '"&amp;C850&amp;"';"</f>
        <v>COMMENT ON COLUMN milscm_2023_009.sny_202310_annony_shikkan2.shikkan837_start_date IS 'M059_疾患開始日';</v>
      </c>
    </row>
    <row r="851" spans="1:45" s="25" customFormat="1">
      <c r="A851" s="4" t="s">
        <v>5900</v>
      </c>
      <c r="B851" s="21">
        <f t="shared" si="148"/>
        <v>839</v>
      </c>
      <c r="C851" s="13" t="str">
        <f t="shared" si="147"/>
        <v>M060_疾患開始日</v>
      </c>
      <c r="D851" s="13" t="s">
        <v>6498</v>
      </c>
      <c r="E851" s="8"/>
      <c r="F851" s="7" t="s">
        <v>4348</v>
      </c>
      <c r="G851" s="7" t="s">
        <v>25</v>
      </c>
      <c r="H851" s="58"/>
      <c r="I851" s="23"/>
      <c r="J851" s="24"/>
      <c r="M851" s="4"/>
      <c r="N851" s="76"/>
      <c r="O851" s="76"/>
      <c r="P851" s="76" t="str">
        <f t="shared" si="140"/>
        <v>,shikkan838_start_date</v>
      </c>
      <c r="Q851" s="76" t="str">
        <f t="shared" si="141"/>
        <v>DATE</v>
      </c>
      <c r="R851" s="76" t="str">
        <f t="shared" si="142"/>
        <v/>
      </c>
      <c r="S851" s="76" t="str">
        <f t="shared" si="143"/>
        <v/>
      </c>
      <c r="T851" s="76" t="str">
        <f t="shared" si="144"/>
        <v>-- M060_疾患開始日</v>
      </c>
      <c r="U851" s="4" t="str">
        <f t="shared" si="145"/>
        <v>, CASE WHEN shikkan_disp_name = 'M060' THEN min_shikkan_start_date ::DATE ELSE NULL END AS shikkan838_start_date</v>
      </c>
      <c r="V851" s="25" t="str">
        <f t="shared" si="146"/>
        <v>, max(shikkan838_start_date)</v>
      </c>
      <c r="AA851" s="4"/>
      <c r="AB851" s="4"/>
      <c r="AC851" s="4"/>
      <c r="AD851" s="4"/>
      <c r="AE851" s="4"/>
      <c r="AF851" s="4"/>
      <c r="AG851" s="4"/>
      <c r="AH851" s="4"/>
      <c r="AI851" s="4"/>
      <c r="AJ851" s="76" t="str">
        <f>IF(E851="○",IF(COUNTA(E$13:E851)=1,"",",")&amp;D851,"")</f>
        <v/>
      </c>
      <c r="AK851" s="4"/>
      <c r="AL851" s="4"/>
      <c r="AM851" s="4"/>
      <c r="AN851" s="4"/>
      <c r="AO851" s="4"/>
      <c r="AP851" s="4"/>
      <c r="AQ851" s="4"/>
      <c r="AR851" s="4"/>
      <c r="AS851" s="76" t="str">
        <f>"COMMENT ON COLUMN "&amp;エンティティ一覧!$O$2&amp;"."&amp;D$8&amp;"."&amp;D851&amp;" IS '"&amp;C851&amp;"';"</f>
        <v>COMMENT ON COLUMN milscm_2023_009.sny_202310_annony_shikkan2.shikkan838_start_date IS 'M060_疾患開始日';</v>
      </c>
    </row>
    <row r="852" spans="1:45" s="25" customFormat="1">
      <c r="A852" s="4" t="s">
        <v>5901</v>
      </c>
      <c r="B852" s="21">
        <f t="shared" si="148"/>
        <v>840</v>
      </c>
      <c r="C852" s="13" t="str">
        <f t="shared" si="147"/>
        <v>M061_疾患開始日</v>
      </c>
      <c r="D852" s="13" t="s">
        <v>6499</v>
      </c>
      <c r="E852" s="8"/>
      <c r="F852" s="7" t="s">
        <v>4348</v>
      </c>
      <c r="G852" s="7" t="s">
        <v>25</v>
      </c>
      <c r="H852" s="58"/>
      <c r="I852" s="23"/>
      <c r="J852" s="24"/>
      <c r="M852" s="4"/>
      <c r="N852" s="76"/>
      <c r="O852" s="76"/>
      <c r="P852" s="76" t="str">
        <f t="shared" si="140"/>
        <v>,shikkan839_start_date</v>
      </c>
      <c r="Q852" s="76" t="str">
        <f t="shared" si="141"/>
        <v>DATE</v>
      </c>
      <c r="R852" s="76" t="str">
        <f t="shared" si="142"/>
        <v/>
      </c>
      <c r="S852" s="76" t="str">
        <f t="shared" si="143"/>
        <v/>
      </c>
      <c r="T852" s="76" t="str">
        <f t="shared" si="144"/>
        <v>-- M061_疾患開始日</v>
      </c>
      <c r="U852" s="4" t="str">
        <f t="shared" si="145"/>
        <v>, CASE WHEN shikkan_disp_name = 'M061' THEN min_shikkan_start_date ::DATE ELSE NULL END AS shikkan839_start_date</v>
      </c>
      <c r="V852" s="25" t="str">
        <f t="shared" si="146"/>
        <v>, max(shikkan839_start_date)</v>
      </c>
      <c r="AA852" s="4"/>
      <c r="AB852" s="4"/>
      <c r="AC852" s="4"/>
      <c r="AD852" s="4"/>
      <c r="AE852" s="4"/>
      <c r="AF852" s="4"/>
      <c r="AG852" s="4"/>
      <c r="AH852" s="4"/>
      <c r="AI852" s="4"/>
      <c r="AJ852" s="76" t="str">
        <f>IF(E852="○",IF(COUNTA(E$13:E852)=1,"",",")&amp;D852,"")</f>
        <v/>
      </c>
      <c r="AK852" s="4"/>
      <c r="AL852" s="4"/>
      <c r="AM852" s="4"/>
      <c r="AN852" s="4"/>
      <c r="AO852" s="4"/>
      <c r="AP852" s="4"/>
      <c r="AQ852" s="4"/>
      <c r="AR852" s="4"/>
      <c r="AS852" s="76" t="str">
        <f>"COMMENT ON COLUMN "&amp;エンティティ一覧!$O$2&amp;"."&amp;D$8&amp;"."&amp;D852&amp;" IS '"&amp;C852&amp;"';"</f>
        <v>COMMENT ON COLUMN milscm_2023_009.sny_202310_annony_shikkan2.shikkan839_start_date IS 'M061_疾患開始日';</v>
      </c>
    </row>
    <row r="853" spans="1:45" s="25" customFormat="1">
      <c r="A853" s="4" t="s">
        <v>5902</v>
      </c>
      <c r="B853" s="21">
        <f t="shared" si="148"/>
        <v>841</v>
      </c>
      <c r="C853" s="13" t="str">
        <f t="shared" si="147"/>
        <v>M062_疾患開始日</v>
      </c>
      <c r="D853" s="13" t="s">
        <v>6500</v>
      </c>
      <c r="E853" s="8"/>
      <c r="F853" s="7" t="s">
        <v>4348</v>
      </c>
      <c r="G853" s="7" t="s">
        <v>25</v>
      </c>
      <c r="H853" s="58"/>
      <c r="I853" s="23"/>
      <c r="J853" s="24"/>
      <c r="M853" s="4"/>
      <c r="N853" s="76"/>
      <c r="O853" s="76"/>
      <c r="P853" s="76" t="str">
        <f t="shared" si="140"/>
        <v>,shikkan840_start_date</v>
      </c>
      <c r="Q853" s="76" t="str">
        <f t="shared" si="141"/>
        <v>DATE</v>
      </c>
      <c r="R853" s="76" t="str">
        <f t="shared" si="142"/>
        <v/>
      </c>
      <c r="S853" s="76" t="str">
        <f t="shared" si="143"/>
        <v/>
      </c>
      <c r="T853" s="76" t="str">
        <f t="shared" si="144"/>
        <v>-- M062_疾患開始日</v>
      </c>
      <c r="U853" s="4" t="str">
        <f t="shared" si="145"/>
        <v>, CASE WHEN shikkan_disp_name = 'M062' THEN min_shikkan_start_date ::DATE ELSE NULL END AS shikkan840_start_date</v>
      </c>
      <c r="V853" s="25" t="str">
        <f t="shared" si="146"/>
        <v>, max(shikkan840_start_date)</v>
      </c>
      <c r="AA853" s="4"/>
      <c r="AB853" s="4"/>
      <c r="AC853" s="4"/>
      <c r="AD853" s="4"/>
      <c r="AE853" s="4"/>
      <c r="AF853" s="4"/>
      <c r="AG853" s="4"/>
      <c r="AH853" s="4"/>
      <c r="AI853" s="4"/>
      <c r="AJ853" s="76" t="str">
        <f>IF(E853="○",IF(COUNTA(E$13:E853)=1,"",",")&amp;D853,"")</f>
        <v/>
      </c>
      <c r="AK853" s="4"/>
      <c r="AL853" s="4"/>
      <c r="AM853" s="4"/>
      <c r="AN853" s="4"/>
      <c r="AO853" s="4"/>
      <c r="AP853" s="4"/>
      <c r="AQ853" s="4"/>
      <c r="AR853" s="4"/>
      <c r="AS853" s="76" t="str">
        <f>"COMMENT ON COLUMN "&amp;エンティティ一覧!$O$2&amp;"."&amp;D$8&amp;"."&amp;D853&amp;" IS '"&amp;C853&amp;"';"</f>
        <v>COMMENT ON COLUMN milscm_2023_009.sny_202310_annony_shikkan2.shikkan840_start_date IS 'M062_疾患開始日';</v>
      </c>
    </row>
    <row r="854" spans="1:45" s="25" customFormat="1">
      <c r="A854" s="4" t="s">
        <v>5903</v>
      </c>
      <c r="B854" s="21">
        <f t="shared" si="148"/>
        <v>842</v>
      </c>
      <c r="C854" s="13" t="str">
        <f t="shared" si="147"/>
        <v>M063_疾患開始日</v>
      </c>
      <c r="D854" s="13" t="s">
        <v>6501</v>
      </c>
      <c r="E854" s="8"/>
      <c r="F854" s="7" t="s">
        <v>4348</v>
      </c>
      <c r="G854" s="7" t="s">
        <v>25</v>
      </c>
      <c r="H854" s="58"/>
      <c r="I854" s="23"/>
      <c r="J854" s="24"/>
      <c r="M854" s="4"/>
      <c r="N854" s="76"/>
      <c r="O854" s="76"/>
      <c r="P854" s="76" t="str">
        <f t="shared" si="140"/>
        <v>,shikkan841_start_date</v>
      </c>
      <c r="Q854" s="76" t="str">
        <f t="shared" si="141"/>
        <v>DATE</v>
      </c>
      <c r="R854" s="76" t="str">
        <f t="shared" si="142"/>
        <v/>
      </c>
      <c r="S854" s="76" t="str">
        <f t="shared" si="143"/>
        <v/>
      </c>
      <c r="T854" s="76" t="str">
        <f t="shared" si="144"/>
        <v>-- M063_疾患開始日</v>
      </c>
      <c r="U854" s="4" t="str">
        <f t="shared" si="145"/>
        <v>, CASE WHEN shikkan_disp_name = 'M063' THEN min_shikkan_start_date ::DATE ELSE NULL END AS shikkan841_start_date</v>
      </c>
      <c r="V854" s="25" t="str">
        <f t="shared" si="146"/>
        <v>, max(shikkan841_start_date)</v>
      </c>
      <c r="AA854" s="4"/>
      <c r="AB854" s="4"/>
      <c r="AC854" s="4"/>
      <c r="AD854" s="4"/>
      <c r="AE854" s="4"/>
      <c r="AF854" s="4"/>
      <c r="AG854" s="4"/>
      <c r="AH854" s="4"/>
      <c r="AI854" s="4"/>
      <c r="AJ854" s="76" t="str">
        <f>IF(E854="○",IF(COUNTA(E$13:E854)=1,"",",")&amp;D854,"")</f>
        <v/>
      </c>
      <c r="AK854" s="4"/>
      <c r="AL854" s="4"/>
      <c r="AM854" s="4"/>
      <c r="AN854" s="4"/>
      <c r="AO854" s="4"/>
      <c r="AP854" s="4"/>
      <c r="AQ854" s="4"/>
      <c r="AR854" s="4"/>
      <c r="AS854" s="76" t="str">
        <f>"COMMENT ON COLUMN "&amp;エンティティ一覧!$O$2&amp;"."&amp;D$8&amp;"."&amp;D854&amp;" IS '"&amp;C854&amp;"';"</f>
        <v>COMMENT ON COLUMN milscm_2023_009.sny_202310_annony_shikkan2.shikkan841_start_date IS 'M063_疾患開始日';</v>
      </c>
    </row>
    <row r="855" spans="1:45" s="25" customFormat="1">
      <c r="A855" s="4" t="s">
        <v>5904</v>
      </c>
      <c r="B855" s="21">
        <f t="shared" si="148"/>
        <v>843</v>
      </c>
      <c r="C855" s="13" t="str">
        <f t="shared" si="147"/>
        <v>M064_疾患開始日</v>
      </c>
      <c r="D855" s="13" t="s">
        <v>6502</v>
      </c>
      <c r="E855" s="8"/>
      <c r="F855" s="7" t="s">
        <v>4348</v>
      </c>
      <c r="G855" s="7" t="s">
        <v>25</v>
      </c>
      <c r="H855" s="58"/>
      <c r="I855" s="23"/>
      <c r="J855" s="24"/>
      <c r="M855" s="4"/>
      <c r="N855" s="76"/>
      <c r="O855" s="76"/>
      <c r="P855" s="76" t="str">
        <f t="shared" si="140"/>
        <v>,shikkan842_start_date</v>
      </c>
      <c r="Q855" s="76" t="str">
        <f t="shared" si="141"/>
        <v>DATE</v>
      </c>
      <c r="R855" s="76" t="str">
        <f t="shared" si="142"/>
        <v/>
      </c>
      <c r="S855" s="76" t="str">
        <f t="shared" si="143"/>
        <v/>
      </c>
      <c r="T855" s="76" t="str">
        <f t="shared" si="144"/>
        <v>-- M064_疾患開始日</v>
      </c>
      <c r="U855" s="4" t="str">
        <f t="shared" si="145"/>
        <v>, CASE WHEN shikkan_disp_name = 'M064' THEN min_shikkan_start_date ::DATE ELSE NULL END AS shikkan842_start_date</v>
      </c>
      <c r="V855" s="25" t="str">
        <f t="shared" si="146"/>
        <v>, max(shikkan842_start_date)</v>
      </c>
      <c r="AA855" s="4"/>
      <c r="AB855" s="4"/>
      <c r="AC855" s="4"/>
      <c r="AD855" s="4"/>
      <c r="AE855" s="4"/>
      <c r="AF855" s="4"/>
      <c r="AG855" s="4"/>
      <c r="AH855" s="4"/>
      <c r="AI855" s="4"/>
      <c r="AJ855" s="76" t="str">
        <f>IF(E855="○",IF(COUNTA(E$13:E855)=1,"",",")&amp;D855,"")</f>
        <v/>
      </c>
      <c r="AK855" s="4"/>
      <c r="AL855" s="4"/>
      <c r="AM855" s="4"/>
      <c r="AN855" s="4"/>
      <c r="AO855" s="4"/>
      <c r="AP855" s="4"/>
      <c r="AQ855" s="4"/>
      <c r="AR855" s="4"/>
      <c r="AS855" s="76" t="str">
        <f>"COMMENT ON COLUMN "&amp;エンティティ一覧!$O$2&amp;"."&amp;D$8&amp;"."&amp;D855&amp;" IS '"&amp;C855&amp;"';"</f>
        <v>COMMENT ON COLUMN milscm_2023_009.sny_202310_annony_shikkan2.shikkan842_start_date IS 'M064_疾患開始日';</v>
      </c>
    </row>
    <row r="856" spans="1:45" s="25" customFormat="1">
      <c r="A856" s="4" t="s">
        <v>5905</v>
      </c>
      <c r="B856" s="21">
        <f t="shared" si="148"/>
        <v>844</v>
      </c>
      <c r="C856" s="13" t="str">
        <f t="shared" si="147"/>
        <v>M068_疾患開始日</v>
      </c>
      <c r="D856" s="13" t="s">
        <v>6503</v>
      </c>
      <c r="E856" s="8"/>
      <c r="F856" s="7" t="s">
        <v>4348</v>
      </c>
      <c r="G856" s="7" t="s">
        <v>25</v>
      </c>
      <c r="H856" s="58"/>
      <c r="I856" s="23"/>
      <c r="J856" s="24"/>
      <c r="M856" s="4"/>
      <c r="N856" s="76"/>
      <c r="O856" s="76"/>
      <c r="P856" s="76" t="str">
        <f t="shared" si="140"/>
        <v>,shikkan843_start_date</v>
      </c>
      <c r="Q856" s="76" t="str">
        <f t="shared" si="141"/>
        <v>DATE</v>
      </c>
      <c r="R856" s="76" t="str">
        <f t="shared" si="142"/>
        <v/>
      </c>
      <c r="S856" s="76" t="str">
        <f t="shared" si="143"/>
        <v/>
      </c>
      <c r="T856" s="76" t="str">
        <f t="shared" si="144"/>
        <v>-- M068_疾患開始日</v>
      </c>
      <c r="U856" s="4" t="str">
        <f t="shared" si="145"/>
        <v>, CASE WHEN shikkan_disp_name = 'M068' THEN min_shikkan_start_date ::DATE ELSE NULL END AS shikkan843_start_date</v>
      </c>
      <c r="V856" s="25" t="str">
        <f t="shared" si="146"/>
        <v>, max(shikkan843_start_date)</v>
      </c>
      <c r="AA856" s="4"/>
      <c r="AB856" s="4"/>
      <c r="AC856" s="4"/>
      <c r="AD856" s="4"/>
      <c r="AE856" s="4"/>
      <c r="AF856" s="4"/>
      <c r="AG856" s="4"/>
      <c r="AH856" s="4"/>
      <c r="AI856" s="4"/>
      <c r="AJ856" s="76" t="str">
        <f>IF(E856="○",IF(COUNTA(E$13:E856)=1,"",",")&amp;D856,"")</f>
        <v/>
      </c>
      <c r="AK856" s="4"/>
      <c r="AL856" s="4"/>
      <c r="AM856" s="4"/>
      <c r="AN856" s="4"/>
      <c r="AO856" s="4"/>
      <c r="AP856" s="4"/>
      <c r="AQ856" s="4"/>
      <c r="AR856" s="4"/>
      <c r="AS856" s="76" t="str">
        <f>"COMMENT ON COLUMN "&amp;エンティティ一覧!$O$2&amp;"."&amp;D$8&amp;"."&amp;D856&amp;" IS '"&amp;C856&amp;"';"</f>
        <v>COMMENT ON COLUMN milscm_2023_009.sny_202310_annony_shikkan2.shikkan843_start_date IS 'M068_疾患開始日';</v>
      </c>
    </row>
    <row r="857" spans="1:45" s="25" customFormat="1">
      <c r="A857" s="4" t="s">
        <v>5906</v>
      </c>
      <c r="B857" s="21">
        <f t="shared" si="148"/>
        <v>845</v>
      </c>
      <c r="C857" s="13" t="str">
        <f t="shared" si="147"/>
        <v>M069_疾患開始日</v>
      </c>
      <c r="D857" s="13" t="s">
        <v>6504</v>
      </c>
      <c r="E857" s="8"/>
      <c r="F857" s="7" t="s">
        <v>4348</v>
      </c>
      <c r="G857" s="7" t="s">
        <v>25</v>
      </c>
      <c r="H857" s="58"/>
      <c r="I857" s="23"/>
      <c r="J857" s="24"/>
      <c r="M857" s="4"/>
      <c r="N857" s="76"/>
      <c r="O857" s="76"/>
      <c r="P857" s="76" t="str">
        <f t="shared" si="140"/>
        <v>,shikkan844_start_date</v>
      </c>
      <c r="Q857" s="76" t="str">
        <f t="shared" si="141"/>
        <v>DATE</v>
      </c>
      <c r="R857" s="76" t="str">
        <f t="shared" si="142"/>
        <v/>
      </c>
      <c r="S857" s="76" t="str">
        <f t="shared" si="143"/>
        <v/>
      </c>
      <c r="T857" s="76" t="str">
        <f t="shared" si="144"/>
        <v>-- M069_疾患開始日</v>
      </c>
      <c r="U857" s="4" t="str">
        <f t="shared" si="145"/>
        <v>, CASE WHEN shikkan_disp_name = 'M069' THEN min_shikkan_start_date ::DATE ELSE NULL END AS shikkan844_start_date</v>
      </c>
      <c r="V857" s="25" t="str">
        <f t="shared" si="146"/>
        <v>, max(shikkan844_start_date)</v>
      </c>
      <c r="AA857" s="4"/>
      <c r="AB857" s="4"/>
      <c r="AC857" s="4"/>
      <c r="AD857" s="4"/>
      <c r="AE857" s="4"/>
      <c r="AF857" s="4"/>
      <c r="AG857" s="4"/>
      <c r="AH857" s="4"/>
      <c r="AI857" s="4"/>
      <c r="AJ857" s="76" t="str">
        <f>IF(E857="○",IF(COUNTA(E$13:E857)=1,"",",")&amp;D857,"")</f>
        <v/>
      </c>
      <c r="AK857" s="4"/>
      <c r="AL857" s="4"/>
      <c r="AM857" s="4"/>
      <c r="AN857" s="4"/>
      <c r="AO857" s="4"/>
      <c r="AP857" s="4"/>
      <c r="AQ857" s="4"/>
      <c r="AR857" s="4"/>
      <c r="AS857" s="76" t="str">
        <f>"COMMENT ON COLUMN "&amp;エンティティ一覧!$O$2&amp;"."&amp;D$8&amp;"."&amp;D857&amp;" IS '"&amp;C857&amp;"';"</f>
        <v>COMMENT ON COLUMN milscm_2023_009.sny_202310_annony_shikkan2.shikkan844_start_date IS 'M069_疾患開始日';</v>
      </c>
    </row>
    <row r="858" spans="1:45" s="25" customFormat="1">
      <c r="A858" s="4" t="s">
        <v>5907</v>
      </c>
      <c r="B858" s="21">
        <f t="shared" si="148"/>
        <v>846</v>
      </c>
      <c r="C858" s="13" t="str">
        <f t="shared" si="147"/>
        <v>M315_疾患開始日</v>
      </c>
      <c r="D858" s="13" t="s">
        <v>6505</v>
      </c>
      <c r="E858" s="8"/>
      <c r="F858" s="7" t="s">
        <v>4348</v>
      </c>
      <c r="G858" s="7" t="s">
        <v>25</v>
      </c>
      <c r="H858" s="58"/>
      <c r="I858" s="23"/>
      <c r="J858" s="24"/>
      <c r="M858" s="4"/>
      <c r="N858" s="76"/>
      <c r="O858" s="76"/>
      <c r="P858" s="76" t="str">
        <f t="shared" si="140"/>
        <v>,shikkan845_start_date</v>
      </c>
      <c r="Q858" s="76" t="str">
        <f t="shared" si="141"/>
        <v>DATE</v>
      </c>
      <c r="R858" s="76" t="str">
        <f t="shared" si="142"/>
        <v/>
      </c>
      <c r="S858" s="76" t="str">
        <f t="shared" si="143"/>
        <v/>
      </c>
      <c r="T858" s="76" t="str">
        <f t="shared" si="144"/>
        <v>-- M315_疾患開始日</v>
      </c>
      <c r="U858" s="4" t="str">
        <f t="shared" si="145"/>
        <v>, CASE WHEN shikkan_disp_name = 'M315' THEN min_shikkan_start_date ::DATE ELSE NULL END AS shikkan845_start_date</v>
      </c>
      <c r="V858" s="25" t="str">
        <f t="shared" si="146"/>
        <v>, max(shikkan845_start_date)</v>
      </c>
      <c r="AA858" s="4"/>
      <c r="AB858" s="4"/>
      <c r="AC858" s="4"/>
      <c r="AD858" s="4"/>
      <c r="AE858" s="4"/>
      <c r="AF858" s="4"/>
      <c r="AG858" s="4"/>
      <c r="AH858" s="4"/>
      <c r="AI858" s="4"/>
      <c r="AJ858" s="76" t="str">
        <f>IF(E858="○",IF(COUNTA(E$13:E858)=1,"",",")&amp;D858,"")</f>
        <v/>
      </c>
      <c r="AK858" s="4"/>
      <c r="AL858" s="4"/>
      <c r="AM858" s="4"/>
      <c r="AN858" s="4"/>
      <c r="AO858" s="4"/>
      <c r="AP858" s="4"/>
      <c r="AQ858" s="4"/>
      <c r="AR858" s="4"/>
      <c r="AS858" s="76" t="str">
        <f>"COMMENT ON COLUMN "&amp;エンティティ一覧!$O$2&amp;"."&amp;D$8&amp;"."&amp;D858&amp;" IS '"&amp;C858&amp;"';"</f>
        <v>COMMENT ON COLUMN milscm_2023_009.sny_202310_annony_shikkan2.shikkan845_start_date IS 'M315_疾患開始日';</v>
      </c>
    </row>
    <row r="859" spans="1:45" s="25" customFormat="1">
      <c r="A859" s="4" t="s">
        <v>5908</v>
      </c>
      <c r="B859" s="21">
        <f t="shared" si="148"/>
        <v>847</v>
      </c>
      <c r="C859" s="13" t="str">
        <f t="shared" si="147"/>
        <v>M320_疾患開始日</v>
      </c>
      <c r="D859" s="13" t="s">
        <v>6506</v>
      </c>
      <c r="E859" s="8"/>
      <c r="F859" s="7" t="s">
        <v>4348</v>
      </c>
      <c r="G859" s="7" t="s">
        <v>25</v>
      </c>
      <c r="H859" s="58"/>
      <c r="I859" s="23"/>
      <c r="J859" s="24"/>
      <c r="M859" s="4"/>
      <c r="N859" s="76"/>
      <c r="O859" s="76"/>
      <c r="P859" s="76" t="str">
        <f t="shared" si="140"/>
        <v>,shikkan846_start_date</v>
      </c>
      <c r="Q859" s="76" t="str">
        <f t="shared" si="141"/>
        <v>DATE</v>
      </c>
      <c r="R859" s="76" t="str">
        <f t="shared" si="142"/>
        <v/>
      </c>
      <c r="S859" s="76" t="str">
        <f t="shared" si="143"/>
        <v/>
      </c>
      <c r="T859" s="76" t="str">
        <f t="shared" si="144"/>
        <v>-- M320_疾患開始日</v>
      </c>
      <c r="U859" s="4" t="str">
        <f t="shared" si="145"/>
        <v>, CASE WHEN shikkan_disp_name = 'M320' THEN min_shikkan_start_date ::DATE ELSE NULL END AS shikkan846_start_date</v>
      </c>
      <c r="V859" s="25" t="str">
        <f t="shared" si="146"/>
        <v>, max(shikkan846_start_date)</v>
      </c>
      <c r="AA859" s="4"/>
      <c r="AB859" s="4"/>
      <c r="AC859" s="4"/>
      <c r="AD859" s="4"/>
      <c r="AE859" s="4"/>
      <c r="AF859" s="4"/>
      <c r="AG859" s="4"/>
      <c r="AH859" s="4"/>
      <c r="AI859" s="4"/>
      <c r="AJ859" s="76" t="str">
        <f>IF(E859="○",IF(COUNTA(E$13:E859)=1,"",",")&amp;D859,"")</f>
        <v/>
      </c>
      <c r="AK859" s="4"/>
      <c r="AL859" s="4"/>
      <c r="AM859" s="4"/>
      <c r="AN859" s="4"/>
      <c r="AO859" s="4"/>
      <c r="AP859" s="4"/>
      <c r="AQ859" s="4"/>
      <c r="AR859" s="4"/>
      <c r="AS859" s="76" t="str">
        <f>"COMMENT ON COLUMN "&amp;エンティティ一覧!$O$2&amp;"."&amp;D$8&amp;"."&amp;D859&amp;" IS '"&amp;C859&amp;"';"</f>
        <v>COMMENT ON COLUMN milscm_2023_009.sny_202310_annony_shikkan2.shikkan846_start_date IS 'M320_疾患開始日';</v>
      </c>
    </row>
    <row r="860" spans="1:45" s="25" customFormat="1">
      <c r="A860" s="4" t="s">
        <v>5909</v>
      </c>
      <c r="B860" s="21">
        <f t="shared" si="148"/>
        <v>848</v>
      </c>
      <c r="C860" s="13" t="str">
        <f t="shared" si="147"/>
        <v>M321_疾患開始日</v>
      </c>
      <c r="D860" s="13" t="s">
        <v>6507</v>
      </c>
      <c r="E860" s="8"/>
      <c r="F860" s="7" t="s">
        <v>4348</v>
      </c>
      <c r="G860" s="7" t="s">
        <v>25</v>
      </c>
      <c r="H860" s="58"/>
      <c r="I860" s="23"/>
      <c r="J860" s="24"/>
      <c r="M860" s="4"/>
      <c r="N860" s="76"/>
      <c r="O860" s="76"/>
      <c r="P860" s="76" t="str">
        <f t="shared" si="140"/>
        <v>,shikkan847_start_date</v>
      </c>
      <c r="Q860" s="76" t="str">
        <f t="shared" si="141"/>
        <v>DATE</v>
      </c>
      <c r="R860" s="76" t="str">
        <f t="shared" si="142"/>
        <v/>
      </c>
      <c r="S860" s="76" t="str">
        <f t="shared" si="143"/>
        <v/>
      </c>
      <c r="T860" s="76" t="str">
        <f t="shared" si="144"/>
        <v>-- M321_疾患開始日</v>
      </c>
      <c r="U860" s="4" t="str">
        <f t="shared" si="145"/>
        <v>, CASE WHEN shikkan_disp_name = 'M321' THEN min_shikkan_start_date ::DATE ELSE NULL END AS shikkan847_start_date</v>
      </c>
      <c r="V860" s="25" t="str">
        <f t="shared" si="146"/>
        <v>, max(shikkan847_start_date)</v>
      </c>
      <c r="AA860" s="4"/>
      <c r="AB860" s="4"/>
      <c r="AC860" s="4"/>
      <c r="AD860" s="4"/>
      <c r="AE860" s="4"/>
      <c r="AF860" s="4"/>
      <c r="AG860" s="4"/>
      <c r="AH860" s="4"/>
      <c r="AI860" s="4"/>
      <c r="AJ860" s="76" t="str">
        <f>IF(E860="○",IF(COUNTA(E$13:E860)=1,"",",")&amp;D860,"")</f>
        <v/>
      </c>
      <c r="AK860" s="4"/>
      <c r="AL860" s="4"/>
      <c r="AM860" s="4"/>
      <c r="AN860" s="4"/>
      <c r="AO860" s="4"/>
      <c r="AP860" s="4"/>
      <c r="AQ860" s="4"/>
      <c r="AR860" s="4"/>
      <c r="AS860" s="76" t="str">
        <f>"COMMENT ON COLUMN "&amp;エンティティ一覧!$O$2&amp;"."&amp;D$8&amp;"."&amp;D860&amp;" IS '"&amp;C860&amp;"';"</f>
        <v>COMMENT ON COLUMN milscm_2023_009.sny_202310_annony_shikkan2.shikkan847_start_date IS 'M321_疾患開始日';</v>
      </c>
    </row>
    <row r="861" spans="1:45" s="25" customFormat="1">
      <c r="A861" s="4" t="s">
        <v>5910</v>
      </c>
      <c r="B861" s="21">
        <f t="shared" si="148"/>
        <v>849</v>
      </c>
      <c r="C861" s="13" t="str">
        <f t="shared" si="147"/>
        <v>M328_疾患開始日</v>
      </c>
      <c r="D861" s="13" t="s">
        <v>6508</v>
      </c>
      <c r="E861" s="8"/>
      <c r="F861" s="7" t="s">
        <v>4348</v>
      </c>
      <c r="G861" s="7" t="s">
        <v>25</v>
      </c>
      <c r="H861" s="58"/>
      <c r="I861" s="23"/>
      <c r="J861" s="24"/>
      <c r="M861" s="4"/>
      <c r="N861" s="76"/>
      <c r="O861" s="76"/>
      <c r="P861" s="76" t="str">
        <f t="shared" si="140"/>
        <v>,shikkan848_start_date</v>
      </c>
      <c r="Q861" s="76" t="str">
        <f t="shared" si="141"/>
        <v>DATE</v>
      </c>
      <c r="R861" s="76" t="str">
        <f t="shared" si="142"/>
        <v/>
      </c>
      <c r="S861" s="76" t="str">
        <f t="shared" si="143"/>
        <v/>
      </c>
      <c r="T861" s="76" t="str">
        <f t="shared" si="144"/>
        <v>-- M328_疾患開始日</v>
      </c>
      <c r="U861" s="4" t="str">
        <f t="shared" si="145"/>
        <v>, CASE WHEN shikkan_disp_name = 'M328' THEN min_shikkan_start_date ::DATE ELSE NULL END AS shikkan848_start_date</v>
      </c>
      <c r="V861" s="25" t="str">
        <f t="shared" si="146"/>
        <v>, max(shikkan848_start_date)</v>
      </c>
      <c r="AA861" s="4"/>
      <c r="AB861" s="4"/>
      <c r="AC861" s="4"/>
      <c r="AD861" s="4"/>
      <c r="AE861" s="4"/>
      <c r="AF861" s="4"/>
      <c r="AG861" s="4"/>
      <c r="AH861" s="4"/>
      <c r="AI861" s="4"/>
      <c r="AJ861" s="76" t="str">
        <f>IF(E861="○",IF(COUNTA(E$13:E861)=1,"",",")&amp;D861,"")</f>
        <v/>
      </c>
      <c r="AK861" s="4"/>
      <c r="AL861" s="4"/>
      <c r="AM861" s="4"/>
      <c r="AN861" s="4"/>
      <c r="AO861" s="4"/>
      <c r="AP861" s="4"/>
      <c r="AQ861" s="4"/>
      <c r="AR861" s="4"/>
      <c r="AS861" s="76" t="str">
        <f>"COMMENT ON COLUMN "&amp;エンティティ一覧!$O$2&amp;"."&amp;D$8&amp;"."&amp;D861&amp;" IS '"&amp;C861&amp;"';"</f>
        <v>COMMENT ON COLUMN milscm_2023_009.sny_202310_annony_shikkan2.shikkan848_start_date IS 'M328_疾患開始日';</v>
      </c>
    </row>
    <row r="862" spans="1:45" s="25" customFormat="1">
      <c r="A862" s="4" t="s">
        <v>5911</v>
      </c>
      <c r="B862" s="21">
        <f t="shared" si="148"/>
        <v>850</v>
      </c>
      <c r="C862" s="13" t="str">
        <f t="shared" si="147"/>
        <v>M329_疾患開始日</v>
      </c>
      <c r="D862" s="13" t="s">
        <v>6509</v>
      </c>
      <c r="E862" s="8"/>
      <c r="F862" s="7" t="s">
        <v>4348</v>
      </c>
      <c r="G862" s="7" t="s">
        <v>25</v>
      </c>
      <c r="H862" s="58"/>
      <c r="I862" s="23"/>
      <c r="J862" s="24"/>
      <c r="M862" s="4"/>
      <c r="N862" s="76"/>
      <c r="O862" s="76"/>
      <c r="P862" s="76" t="str">
        <f t="shared" si="140"/>
        <v>,shikkan849_start_date</v>
      </c>
      <c r="Q862" s="76" t="str">
        <f t="shared" si="141"/>
        <v>DATE</v>
      </c>
      <c r="R862" s="76" t="str">
        <f t="shared" si="142"/>
        <v/>
      </c>
      <c r="S862" s="76" t="str">
        <f t="shared" si="143"/>
        <v/>
      </c>
      <c r="T862" s="76" t="str">
        <f t="shared" si="144"/>
        <v>-- M329_疾患開始日</v>
      </c>
      <c r="U862" s="4" t="str">
        <f t="shared" si="145"/>
        <v>, CASE WHEN shikkan_disp_name = 'M329' THEN min_shikkan_start_date ::DATE ELSE NULL END AS shikkan849_start_date</v>
      </c>
      <c r="V862" s="25" t="str">
        <f t="shared" si="146"/>
        <v>, max(shikkan849_start_date)</v>
      </c>
      <c r="AA862" s="4"/>
      <c r="AB862" s="4"/>
      <c r="AC862" s="4"/>
      <c r="AD862" s="4"/>
      <c r="AE862" s="4"/>
      <c r="AF862" s="4"/>
      <c r="AG862" s="4"/>
      <c r="AH862" s="4"/>
      <c r="AI862" s="4"/>
      <c r="AJ862" s="76" t="str">
        <f>IF(E862="○",IF(COUNTA(E$13:E862)=1,"",",")&amp;D862,"")</f>
        <v/>
      </c>
      <c r="AK862" s="4"/>
      <c r="AL862" s="4"/>
      <c r="AM862" s="4"/>
      <c r="AN862" s="4"/>
      <c r="AO862" s="4"/>
      <c r="AP862" s="4"/>
      <c r="AQ862" s="4"/>
      <c r="AR862" s="4"/>
      <c r="AS862" s="76" t="str">
        <f>"COMMENT ON COLUMN "&amp;エンティティ一覧!$O$2&amp;"."&amp;D$8&amp;"."&amp;D862&amp;" IS '"&amp;C862&amp;"';"</f>
        <v>COMMENT ON COLUMN milscm_2023_009.sny_202310_annony_shikkan2.shikkan849_start_date IS 'M329_疾患開始日';</v>
      </c>
    </row>
    <row r="863" spans="1:45" s="25" customFormat="1">
      <c r="A863" s="4" t="s">
        <v>5912</v>
      </c>
      <c r="B863" s="21">
        <f t="shared" si="148"/>
        <v>851</v>
      </c>
      <c r="C863" s="13" t="str">
        <f t="shared" si="147"/>
        <v>M330_疾患開始日</v>
      </c>
      <c r="D863" s="13" t="s">
        <v>6510</v>
      </c>
      <c r="E863" s="8"/>
      <c r="F863" s="7" t="s">
        <v>4348</v>
      </c>
      <c r="G863" s="7" t="s">
        <v>25</v>
      </c>
      <c r="H863" s="58"/>
      <c r="I863" s="23"/>
      <c r="J863" s="24"/>
      <c r="M863" s="4"/>
      <c r="N863" s="76"/>
      <c r="O863" s="76"/>
      <c r="P863" s="76" t="str">
        <f t="shared" si="140"/>
        <v>,shikkan850_start_date</v>
      </c>
      <c r="Q863" s="76" t="str">
        <f t="shared" si="141"/>
        <v>DATE</v>
      </c>
      <c r="R863" s="76" t="str">
        <f t="shared" si="142"/>
        <v/>
      </c>
      <c r="S863" s="76" t="str">
        <f t="shared" si="143"/>
        <v/>
      </c>
      <c r="T863" s="76" t="str">
        <f t="shared" si="144"/>
        <v>-- M330_疾患開始日</v>
      </c>
      <c r="U863" s="4" t="str">
        <f t="shared" si="145"/>
        <v>, CASE WHEN shikkan_disp_name = 'M330' THEN min_shikkan_start_date ::DATE ELSE NULL END AS shikkan850_start_date</v>
      </c>
      <c r="V863" s="25" t="str">
        <f t="shared" si="146"/>
        <v>, max(shikkan850_start_date)</v>
      </c>
      <c r="AA863" s="4"/>
      <c r="AB863" s="4"/>
      <c r="AC863" s="4"/>
      <c r="AD863" s="4"/>
      <c r="AE863" s="4"/>
      <c r="AF863" s="4"/>
      <c r="AG863" s="4"/>
      <c r="AH863" s="4"/>
      <c r="AI863" s="4"/>
      <c r="AJ863" s="76" t="str">
        <f>IF(E863="○",IF(COUNTA(E$13:E863)=1,"",",")&amp;D863,"")</f>
        <v/>
      </c>
      <c r="AK863" s="4"/>
      <c r="AL863" s="4"/>
      <c r="AM863" s="4"/>
      <c r="AN863" s="4"/>
      <c r="AO863" s="4"/>
      <c r="AP863" s="4"/>
      <c r="AQ863" s="4"/>
      <c r="AR863" s="4"/>
      <c r="AS863" s="76" t="str">
        <f>"COMMENT ON COLUMN "&amp;エンティティ一覧!$O$2&amp;"."&amp;D$8&amp;"."&amp;D863&amp;" IS '"&amp;C863&amp;"';"</f>
        <v>COMMENT ON COLUMN milscm_2023_009.sny_202310_annony_shikkan2.shikkan850_start_date IS 'M330_疾患開始日';</v>
      </c>
    </row>
    <row r="864" spans="1:45" s="25" customFormat="1">
      <c r="A864" s="4" t="s">
        <v>5913</v>
      </c>
      <c r="B864" s="21">
        <f t="shared" si="148"/>
        <v>852</v>
      </c>
      <c r="C864" s="13" t="str">
        <f t="shared" si="147"/>
        <v>M331_疾患開始日</v>
      </c>
      <c r="D864" s="13" t="s">
        <v>6511</v>
      </c>
      <c r="E864" s="8"/>
      <c r="F864" s="7" t="s">
        <v>4348</v>
      </c>
      <c r="G864" s="7" t="s">
        <v>25</v>
      </c>
      <c r="H864" s="58"/>
      <c r="I864" s="23"/>
      <c r="J864" s="24"/>
      <c r="M864" s="4"/>
      <c r="N864" s="76"/>
      <c r="O864" s="76"/>
      <c r="P864" s="76" t="str">
        <f t="shared" si="140"/>
        <v>,shikkan851_start_date</v>
      </c>
      <c r="Q864" s="76" t="str">
        <f t="shared" si="141"/>
        <v>DATE</v>
      </c>
      <c r="R864" s="76" t="str">
        <f t="shared" si="142"/>
        <v/>
      </c>
      <c r="S864" s="76" t="str">
        <f t="shared" si="143"/>
        <v/>
      </c>
      <c r="T864" s="76" t="str">
        <f t="shared" si="144"/>
        <v>-- M331_疾患開始日</v>
      </c>
      <c r="U864" s="4" t="str">
        <f t="shared" si="145"/>
        <v>, CASE WHEN shikkan_disp_name = 'M331' THEN min_shikkan_start_date ::DATE ELSE NULL END AS shikkan851_start_date</v>
      </c>
      <c r="V864" s="25" t="str">
        <f t="shared" si="146"/>
        <v>, max(shikkan851_start_date)</v>
      </c>
      <c r="AA864" s="4"/>
      <c r="AB864" s="4"/>
      <c r="AC864" s="4"/>
      <c r="AD864" s="4"/>
      <c r="AE864" s="4"/>
      <c r="AF864" s="4"/>
      <c r="AG864" s="4"/>
      <c r="AH864" s="4"/>
      <c r="AI864" s="4"/>
      <c r="AJ864" s="76" t="str">
        <f>IF(E864="○",IF(COUNTA(E$13:E864)=1,"",",")&amp;D864,"")</f>
        <v/>
      </c>
      <c r="AK864" s="4"/>
      <c r="AL864" s="4"/>
      <c r="AM864" s="4"/>
      <c r="AN864" s="4"/>
      <c r="AO864" s="4"/>
      <c r="AP864" s="4"/>
      <c r="AQ864" s="4"/>
      <c r="AR864" s="4"/>
      <c r="AS864" s="76" t="str">
        <f>"COMMENT ON COLUMN "&amp;エンティティ一覧!$O$2&amp;"."&amp;D$8&amp;"."&amp;D864&amp;" IS '"&amp;C864&amp;"';"</f>
        <v>COMMENT ON COLUMN milscm_2023_009.sny_202310_annony_shikkan2.shikkan851_start_date IS 'M331_疾患開始日';</v>
      </c>
    </row>
    <row r="865" spans="1:45" s="25" customFormat="1">
      <c r="A865" s="4" t="s">
        <v>5914</v>
      </c>
      <c r="B865" s="21">
        <f t="shared" si="148"/>
        <v>853</v>
      </c>
      <c r="C865" s="13" t="str">
        <f t="shared" si="147"/>
        <v>M332_疾患開始日</v>
      </c>
      <c r="D865" s="13" t="s">
        <v>6512</v>
      </c>
      <c r="E865" s="8"/>
      <c r="F865" s="7" t="s">
        <v>4348</v>
      </c>
      <c r="G865" s="7" t="s">
        <v>25</v>
      </c>
      <c r="H865" s="58"/>
      <c r="I865" s="23"/>
      <c r="J865" s="24"/>
      <c r="M865" s="4"/>
      <c r="N865" s="76"/>
      <c r="O865" s="76"/>
      <c r="P865" s="76" t="str">
        <f t="shared" si="140"/>
        <v>,shikkan852_start_date</v>
      </c>
      <c r="Q865" s="76" t="str">
        <f t="shared" si="141"/>
        <v>DATE</v>
      </c>
      <c r="R865" s="76" t="str">
        <f t="shared" si="142"/>
        <v/>
      </c>
      <c r="S865" s="76" t="str">
        <f t="shared" si="143"/>
        <v/>
      </c>
      <c r="T865" s="76" t="str">
        <f t="shared" si="144"/>
        <v>-- M332_疾患開始日</v>
      </c>
      <c r="U865" s="4" t="str">
        <f t="shared" si="145"/>
        <v>, CASE WHEN shikkan_disp_name = 'M332' THEN min_shikkan_start_date ::DATE ELSE NULL END AS shikkan852_start_date</v>
      </c>
      <c r="V865" s="25" t="str">
        <f t="shared" si="146"/>
        <v>, max(shikkan852_start_date)</v>
      </c>
      <c r="AA865" s="4"/>
      <c r="AB865" s="4"/>
      <c r="AC865" s="4"/>
      <c r="AD865" s="4"/>
      <c r="AE865" s="4"/>
      <c r="AF865" s="4"/>
      <c r="AG865" s="4"/>
      <c r="AH865" s="4"/>
      <c r="AI865" s="4"/>
      <c r="AJ865" s="76" t="str">
        <f>IF(E865="○",IF(COUNTA(E$13:E865)=1,"",",")&amp;D865,"")</f>
        <v/>
      </c>
      <c r="AK865" s="4"/>
      <c r="AL865" s="4"/>
      <c r="AM865" s="4"/>
      <c r="AN865" s="4"/>
      <c r="AO865" s="4"/>
      <c r="AP865" s="4"/>
      <c r="AQ865" s="4"/>
      <c r="AR865" s="4"/>
      <c r="AS865" s="76" t="str">
        <f>"COMMENT ON COLUMN "&amp;エンティティ一覧!$O$2&amp;"."&amp;D$8&amp;"."&amp;D865&amp;" IS '"&amp;C865&amp;"';"</f>
        <v>COMMENT ON COLUMN milscm_2023_009.sny_202310_annony_shikkan2.shikkan852_start_date IS 'M332_疾患開始日';</v>
      </c>
    </row>
    <row r="866" spans="1:45" s="25" customFormat="1">
      <c r="A866" s="4" t="s">
        <v>5915</v>
      </c>
      <c r="B866" s="21">
        <f t="shared" si="148"/>
        <v>854</v>
      </c>
      <c r="C866" s="13" t="str">
        <f t="shared" si="147"/>
        <v>M339_疾患開始日</v>
      </c>
      <c r="D866" s="13" t="s">
        <v>6513</v>
      </c>
      <c r="E866" s="8"/>
      <c r="F866" s="7" t="s">
        <v>4348</v>
      </c>
      <c r="G866" s="7" t="s">
        <v>25</v>
      </c>
      <c r="H866" s="58"/>
      <c r="I866" s="23"/>
      <c r="J866" s="24"/>
      <c r="M866" s="4"/>
      <c r="N866" s="76"/>
      <c r="O866" s="76"/>
      <c r="P866" s="76" t="str">
        <f t="shared" si="140"/>
        <v>,shikkan853_start_date</v>
      </c>
      <c r="Q866" s="76" t="str">
        <f t="shared" si="141"/>
        <v>DATE</v>
      </c>
      <c r="R866" s="76" t="str">
        <f t="shared" si="142"/>
        <v/>
      </c>
      <c r="S866" s="76" t="str">
        <f t="shared" si="143"/>
        <v/>
      </c>
      <c r="T866" s="76" t="str">
        <f t="shared" si="144"/>
        <v>-- M339_疾患開始日</v>
      </c>
      <c r="U866" s="4" t="str">
        <f t="shared" si="145"/>
        <v>, CASE WHEN shikkan_disp_name = 'M339' THEN min_shikkan_start_date ::DATE ELSE NULL END AS shikkan853_start_date</v>
      </c>
      <c r="V866" s="25" t="str">
        <f t="shared" si="146"/>
        <v>, max(shikkan853_start_date)</v>
      </c>
      <c r="AA866" s="4"/>
      <c r="AB866" s="4"/>
      <c r="AC866" s="4"/>
      <c r="AD866" s="4"/>
      <c r="AE866" s="4"/>
      <c r="AF866" s="4"/>
      <c r="AG866" s="4"/>
      <c r="AH866" s="4"/>
      <c r="AI866" s="4"/>
      <c r="AJ866" s="76" t="str">
        <f>IF(E866="○",IF(COUNTA(E$13:E866)=1,"",",")&amp;D866,"")</f>
        <v/>
      </c>
      <c r="AK866" s="4"/>
      <c r="AL866" s="4"/>
      <c r="AM866" s="4"/>
      <c r="AN866" s="4"/>
      <c r="AO866" s="4"/>
      <c r="AP866" s="4"/>
      <c r="AQ866" s="4"/>
      <c r="AR866" s="4"/>
      <c r="AS866" s="76" t="str">
        <f>"COMMENT ON COLUMN "&amp;エンティティ一覧!$O$2&amp;"."&amp;D$8&amp;"."&amp;D866&amp;" IS '"&amp;C866&amp;"';"</f>
        <v>COMMENT ON COLUMN milscm_2023_009.sny_202310_annony_shikkan2.shikkan853_start_date IS 'M339_疾患開始日';</v>
      </c>
    </row>
    <row r="867" spans="1:45" s="25" customFormat="1">
      <c r="A867" s="4" t="s">
        <v>5916</v>
      </c>
      <c r="B867" s="21">
        <f t="shared" si="148"/>
        <v>855</v>
      </c>
      <c r="C867" s="13" t="str">
        <f t="shared" si="147"/>
        <v>M340_疾患開始日</v>
      </c>
      <c r="D867" s="13" t="s">
        <v>6514</v>
      </c>
      <c r="E867" s="8"/>
      <c r="F867" s="7" t="s">
        <v>4348</v>
      </c>
      <c r="G867" s="7" t="s">
        <v>25</v>
      </c>
      <c r="H867" s="58"/>
      <c r="I867" s="23"/>
      <c r="J867" s="24"/>
      <c r="M867" s="4"/>
      <c r="N867" s="76"/>
      <c r="O867" s="76"/>
      <c r="P867" s="76" t="str">
        <f t="shared" si="140"/>
        <v>,shikkan854_start_date</v>
      </c>
      <c r="Q867" s="76" t="str">
        <f t="shared" si="141"/>
        <v>DATE</v>
      </c>
      <c r="R867" s="76" t="str">
        <f t="shared" si="142"/>
        <v/>
      </c>
      <c r="S867" s="76" t="str">
        <f t="shared" si="143"/>
        <v/>
      </c>
      <c r="T867" s="76" t="str">
        <f t="shared" si="144"/>
        <v>-- M340_疾患開始日</v>
      </c>
      <c r="U867" s="4" t="str">
        <f t="shared" si="145"/>
        <v>, CASE WHEN shikkan_disp_name = 'M340' THEN min_shikkan_start_date ::DATE ELSE NULL END AS shikkan854_start_date</v>
      </c>
      <c r="V867" s="25" t="str">
        <f t="shared" si="146"/>
        <v>, max(shikkan854_start_date)</v>
      </c>
      <c r="AA867" s="4"/>
      <c r="AB867" s="4"/>
      <c r="AC867" s="4"/>
      <c r="AD867" s="4"/>
      <c r="AE867" s="4"/>
      <c r="AF867" s="4"/>
      <c r="AG867" s="4"/>
      <c r="AH867" s="4"/>
      <c r="AI867" s="4"/>
      <c r="AJ867" s="76" t="str">
        <f>IF(E867="○",IF(COUNTA(E$13:E867)=1,"",",")&amp;D867,"")</f>
        <v/>
      </c>
      <c r="AK867" s="4"/>
      <c r="AL867" s="4"/>
      <c r="AM867" s="4"/>
      <c r="AN867" s="4"/>
      <c r="AO867" s="4"/>
      <c r="AP867" s="4"/>
      <c r="AQ867" s="4"/>
      <c r="AR867" s="4"/>
      <c r="AS867" s="76" t="str">
        <f>"COMMENT ON COLUMN "&amp;エンティティ一覧!$O$2&amp;"."&amp;D$8&amp;"."&amp;D867&amp;" IS '"&amp;C867&amp;"';"</f>
        <v>COMMENT ON COLUMN milscm_2023_009.sny_202310_annony_shikkan2.shikkan854_start_date IS 'M340_疾患開始日';</v>
      </c>
    </row>
    <row r="868" spans="1:45" s="25" customFormat="1">
      <c r="A868" s="4" t="s">
        <v>5917</v>
      </c>
      <c r="B868" s="21">
        <f t="shared" si="148"/>
        <v>856</v>
      </c>
      <c r="C868" s="13" t="str">
        <f t="shared" si="147"/>
        <v>M341_疾患開始日</v>
      </c>
      <c r="D868" s="13" t="s">
        <v>6515</v>
      </c>
      <c r="E868" s="8"/>
      <c r="F868" s="7" t="s">
        <v>4348</v>
      </c>
      <c r="G868" s="7" t="s">
        <v>25</v>
      </c>
      <c r="H868" s="58"/>
      <c r="I868" s="23"/>
      <c r="J868" s="24"/>
      <c r="M868" s="4"/>
      <c r="N868" s="76"/>
      <c r="O868" s="76"/>
      <c r="P868" s="76" t="str">
        <f t="shared" si="140"/>
        <v>,shikkan855_start_date</v>
      </c>
      <c r="Q868" s="76" t="str">
        <f t="shared" si="141"/>
        <v>DATE</v>
      </c>
      <c r="R868" s="76" t="str">
        <f t="shared" si="142"/>
        <v/>
      </c>
      <c r="S868" s="76" t="str">
        <f t="shared" si="143"/>
        <v/>
      </c>
      <c r="T868" s="76" t="str">
        <f t="shared" si="144"/>
        <v>-- M341_疾患開始日</v>
      </c>
      <c r="U868" s="4" t="str">
        <f t="shared" si="145"/>
        <v>, CASE WHEN shikkan_disp_name = 'M341' THEN min_shikkan_start_date ::DATE ELSE NULL END AS shikkan855_start_date</v>
      </c>
      <c r="V868" s="25" t="str">
        <f t="shared" si="146"/>
        <v>, max(shikkan855_start_date)</v>
      </c>
      <c r="AA868" s="4"/>
      <c r="AB868" s="4"/>
      <c r="AC868" s="4"/>
      <c r="AD868" s="4"/>
      <c r="AE868" s="4"/>
      <c r="AF868" s="4"/>
      <c r="AG868" s="4"/>
      <c r="AH868" s="4"/>
      <c r="AI868" s="4"/>
      <c r="AJ868" s="76" t="str">
        <f>IF(E868="○",IF(COUNTA(E$13:E868)=1,"",",")&amp;D868,"")</f>
        <v/>
      </c>
      <c r="AK868" s="4"/>
      <c r="AL868" s="4"/>
      <c r="AM868" s="4"/>
      <c r="AN868" s="4"/>
      <c r="AO868" s="4"/>
      <c r="AP868" s="4"/>
      <c r="AQ868" s="4"/>
      <c r="AR868" s="4"/>
      <c r="AS868" s="76" t="str">
        <f>"COMMENT ON COLUMN "&amp;エンティティ一覧!$O$2&amp;"."&amp;D$8&amp;"."&amp;D868&amp;" IS '"&amp;C868&amp;"';"</f>
        <v>COMMENT ON COLUMN milscm_2023_009.sny_202310_annony_shikkan2.shikkan855_start_date IS 'M341_疾患開始日';</v>
      </c>
    </row>
    <row r="869" spans="1:45" s="25" customFormat="1">
      <c r="A869" s="4" t="s">
        <v>5918</v>
      </c>
      <c r="B869" s="21">
        <f t="shared" si="148"/>
        <v>857</v>
      </c>
      <c r="C869" s="13" t="str">
        <f t="shared" si="147"/>
        <v>M342_疾患開始日</v>
      </c>
      <c r="D869" s="13" t="s">
        <v>6516</v>
      </c>
      <c r="E869" s="8"/>
      <c r="F869" s="7" t="s">
        <v>4348</v>
      </c>
      <c r="G869" s="7" t="s">
        <v>25</v>
      </c>
      <c r="H869" s="58"/>
      <c r="I869" s="23"/>
      <c r="J869" s="24"/>
      <c r="M869" s="4"/>
      <c r="N869" s="76"/>
      <c r="O869" s="76"/>
      <c r="P869" s="76" t="str">
        <f t="shared" si="140"/>
        <v>,shikkan856_start_date</v>
      </c>
      <c r="Q869" s="76" t="str">
        <f t="shared" si="141"/>
        <v>DATE</v>
      </c>
      <c r="R869" s="76" t="str">
        <f t="shared" si="142"/>
        <v/>
      </c>
      <c r="S869" s="76" t="str">
        <f t="shared" si="143"/>
        <v/>
      </c>
      <c r="T869" s="76" t="str">
        <f t="shared" si="144"/>
        <v>-- M342_疾患開始日</v>
      </c>
      <c r="U869" s="4" t="str">
        <f t="shared" si="145"/>
        <v>, CASE WHEN shikkan_disp_name = 'M342' THEN min_shikkan_start_date ::DATE ELSE NULL END AS shikkan856_start_date</v>
      </c>
      <c r="V869" s="25" t="str">
        <f t="shared" si="146"/>
        <v>, max(shikkan856_start_date)</v>
      </c>
      <c r="AA869" s="4"/>
      <c r="AB869" s="4"/>
      <c r="AC869" s="4"/>
      <c r="AD869" s="4"/>
      <c r="AE869" s="4"/>
      <c r="AF869" s="4"/>
      <c r="AG869" s="4"/>
      <c r="AH869" s="4"/>
      <c r="AI869" s="4"/>
      <c r="AJ869" s="76" t="str">
        <f>IF(E869="○",IF(COUNTA(E$13:E869)=1,"",",")&amp;D869,"")</f>
        <v/>
      </c>
      <c r="AK869" s="4"/>
      <c r="AL869" s="4"/>
      <c r="AM869" s="4"/>
      <c r="AN869" s="4"/>
      <c r="AO869" s="4"/>
      <c r="AP869" s="4"/>
      <c r="AQ869" s="4"/>
      <c r="AR869" s="4"/>
      <c r="AS869" s="76" t="str">
        <f>"COMMENT ON COLUMN "&amp;エンティティ一覧!$O$2&amp;"."&amp;D$8&amp;"."&amp;D869&amp;" IS '"&amp;C869&amp;"';"</f>
        <v>COMMENT ON COLUMN milscm_2023_009.sny_202310_annony_shikkan2.shikkan856_start_date IS 'M342_疾患開始日';</v>
      </c>
    </row>
    <row r="870" spans="1:45" s="25" customFormat="1">
      <c r="A870" s="4" t="s">
        <v>5919</v>
      </c>
      <c r="B870" s="21">
        <f t="shared" si="148"/>
        <v>858</v>
      </c>
      <c r="C870" s="13" t="str">
        <f t="shared" si="147"/>
        <v>M348_疾患開始日</v>
      </c>
      <c r="D870" s="13" t="s">
        <v>6517</v>
      </c>
      <c r="E870" s="8"/>
      <c r="F870" s="7" t="s">
        <v>4348</v>
      </c>
      <c r="G870" s="7" t="s">
        <v>25</v>
      </c>
      <c r="H870" s="58"/>
      <c r="I870" s="23"/>
      <c r="J870" s="24"/>
      <c r="M870" s="4"/>
      <c r="N870" s="76"/>
      <c r="O870" s="76"/>
      <c r="P870" s="76" t="str">
        <f t="shared" ref="P870:P902" si="149">IF(B870&lt;&gt;1,","&amp;D870,D870)</f>
        <v>,shikkan857_start_date</v>
      </c>
      <c r="Q870" s="76" t="str">
        <f t="shared" ref="Q870:Q902" si="150">UPPER(G870)</f>
        <v>DATE</v>
      </c>
      <c r="R870" s="76" t="str">
        <f t="shared" ref="R870:R902" si="151">IF(H870&lt;&gt;"","default "&amp;IF(G870="text","'"&amp;H870&amp;"'",H870),"")</f>
        <v/>
      </c>
      <c r="S870" s="76" t="str">
        <f t="shared" ref="S870:S902" si="152">IF(I870="○","NOT NULL","")</f>
        <v/>
      </c>
      <c r="T870" s="76" t="str">
        <f t="shared" ref="T870:T902" si="153">"-- "&amp;C870</f>
        <v>-- M348_疾患開始日</v>
      </c>
      <c r="U870" s="4" t="str">
        <f t="shared" si="145"/>
        <v>, CASE WHEN shikkan_disp_name = 'M348' THEN min_shikkan_start_date ::DATE ELSE NULL END AS shikkan857_start_date</v>
      </c>
      <c r="V870" s="25" t="str">
        <f t="shared" si="146"/>
        <v>, max(shikkan857_start_date)</v>
      </c>
      <c r="AA870" s="4"/>
      <c r="AB870" s="4"/>
      <c r="AC870" s="4"/>
      <c r="AD870" s="4"/>
      <c r="AE870" s="4"/>
      <c r="AF870" s="4"/>
      <c r="AG870" s="4"/>
      <c r="AH870" s="4"/>
      <c r="AI870" s="4"/>
      <c r="AJ870" s="76" t="str">
        <f>IF(E870="○",IF(COUNTA(E$13:E870)=1,"",",")&amp;D870,"")</f>
        <v/>
      </c>
      <c r="AK870" s="4"/>
      <c r="AL870" s="4"/>
      <c r="AM870" s="4"/>
      <c r="AN870" s="4"/>
      <c r="AO870" s="4"/>
      <c r="AP870" s="4"/>
      <c r="AQ870" s="4"/>
      <c r="AR870" s="4"/>
      <c r="AS870" s="76" t="str">
        <f>"COMMENT ON COLUMN "&amp;エンティティ一覧!$O$2&amp;"."&amp;D$8&amp;"."&amp;D870&amp;" IS '"&amp;C870&amp;"';"</f>
        <v>COMMENT ON COLUMN milscm_2023_009.sny_202310_annony_shikkan2.shikkan857_start_date IS 'M348_疾患開始日';</v>
      </c>
    </row>
    <row r="871" spans="1:45" s="25" customFormat="1">
      <c r="A871" s="4" t="s">
        <v>5920</v>
      </c>
      <c r="B871" s="21">
        <f t="shared" si="148"/>
        <v>859</v>
      </c>
      <c r="C871" s="13" t="str">
        <f t="shared" si="147"/>
        <v>M349_疾患開始日</v>
      </c>
      <c r="D871" s="13" t="s">
        <v>6518</v>
      </c>
      <c r="E871" s="8"/>
      <c r="F871" s="7" t="s">
        <v>4348</v>
      </c>
      <c r="G871" s="7" t="s">
        <v>25</v>
      </c>
      <c r="H871" s="58"/>
      <c r="I871" s="23"/>
      <c r="J871" s="24"/>
      <c r="M871" s="4"/>
      <c r="N871" s="76"/>
      <c r="O871" s="76"/>
      <c r="P871" s="76" t="str">
        <f t="shared" si="149"/>
        <v>,shikkan858_start_date</v>
      </c>
      <c r="Q871" s="76" t="str">
        <f t="shared" si="150"/>
        <v>DATE</v>
      </c>
      <c r="R871" s="76" t="str">
        <f t="shared" si="151"/>
        <v/>
      </c>
      <c r="S871" s="76" t="str">
        <f t="shared" si="152"/>
        <v/>
      </c>
      <c r="T871" s="76" t="str">
        <f t="shared" si="153"/>
        <v>-- M349_疾患開始日</v>
      </c>
      <c r="U871" s="4" t="str">
        <f t="shared" si="145"/>
        <v>, CASE WHEN shikkan_disp_name = 'M349' THEN min_shikkan_start_date ::DATE ELSE NULL END AS shikkan858_start_date</v>
      </c>
      <c r="V871" s="25" t="str">
        <f t="shared" si="146"/>
        <v>, max(shikkan858_start_date)</v>
      </c>
      <c r="AA871" s="4"/>
      <c r="AB871" s="4"/>
      <c r="AC871" s="4"/>
      <c r="AD871" s="4"/>
      <c r="AE871" s="4"/>
      <c r="AF871" s="4"/>
      <c r="AG871" s="4"/>
      <c r="AH871" s="4"/>
      <c r="AI871" s="4"/>
      <c r="AJ871" s="76" t="str">
        <f>IF(E871="○",IF(COUNTA(E$13:E871)=1,"",",")&amp;D871,"")</f>
        <v/>
      </c>
      <c r="AK871" s="4"/>
      <c r="AL871" s="4"/>
      <c r="AM871" s="4"/>
      <c r="AN871" s="4"/>
      <c r="AO871" s="4"/>
      <c r="AP871" s="4"/>
      <c r="AQ871" s="4"/>
      <c r="AR871" s="4"/>
      <c r="AS871" s="76" t="str">
        <f>"COMMENT ON COLUMN "&amp;エンティティ一覧!$O$2&amp;"."&amp;D$8&amp;"."&amp;D871&amp;" IS '"&amp;C871&amp;"';"</f>
        <v>COMMENT ON COLUMN milscm_2023_009.sny_202310_annony_shikkan2.shikkan858_start_date IS 'M349_疾患開始日';</v>
      </c>
    </row>
    <row r="872" spans="1:45" s="25" customFormat="1">
      <c r="A872" s="4" t="s">
        <v>5921</v>
      </c>
      <c r="B872" s="21">
        <f t="shared" si="148"/>
        <v>860</v>
      </c>
      <c r="C872" s="13" t="str">
        <f t="shared" si="147"/>
        <v>M351_疾患開始日</v>
      </c>
      <c r="D872" s="13" t="s">
        <v>6519</v>
      </c>
      <c r="E872" s="8"/>
      <c r="F872" s="7" t="s">
        <v>4348</v>
      </c>
      <c r="G872" s="7" t="s">
        <v>25</v>
      </c>
      <c r="H872" s="58"/>
      <c r="I872" s="23"/>
      <c r="J872" s="24"/>
      <c r="M872" s="4"/>
      <c r="N872" s="76"/>
      <c r="O872" s="76"/>
      <c r="P872" s="76" t="str">
        <f t="shared" si="149"/>
        <v>,shikkan859_start_date</v>
      </c>
      <c r="Q872" s="76" t="str">
        <f t="shared" si="150"/>
        <v>DATE</v>
      </c>
      <c r="R872" s="76" t="str">
        <f t="shared" si="151"/>
        <v/>
      </c>
      <c r="S872" s="76" t="str">
        <f t="shared" si="152"/>
        <v/>
      </c>
      <c r="T872" s="76" t="str">
        <f t="shared" si="153"/>
        <v>-- M351_疾患開始日</v>
      </c>
      <c r="U872" s="4" t="str">
        <f t="shared" si="145"/>
        <v>, CASE WHEN shikkan_disp_name = 'M351' THEN min_shikkan_start_date ::DATE ELSE NULL END AS shikkan859_start_date</v>
      </c>
      <c r="V872" s="25" t="str">
        <f t="shared" si="146"/>
        <v>, max(shikkan859_start_date)</v>
      </c>
      <c r="AA872" s="4"/>
      <c r="AB872" s="4"/>
      <c r="AC872" s="4"/>
      <c r="AD872" s="4"/>
      <c r="AE872" s="4"/>
      <c r="AF872" s="4"/>
      <c r="AG872" s="4"/>
      <c r="AH872" s="4"/>
      <c r="AI872" s="4"/>
      <c r="AJ872" s="76" t="str">
        <f>IF(E872="○",IF(COUNTA(E$13:E872)=1,"",",")&amp;D872,"")</f>
        <v/>
      </c>
      <c r="AK872" s="4"/>
      <c r="AL872" s="4"/>
      <c r="AM872" s="4"/>
      <c r="AN872" s="4"/>
      <c r="AO872" s="4"/>
      <c r="AP872" s="4"/>
      <c r="AQ872" s="4"/>
      <c r="AR872" s="4"/>
      <c r="AS872" s="76" t="str">
        <f>"COMMENT ON COLUMN "&amp;エンティティ一覧!$O$2&amp;"."&amp;D$8&amp;"."&amp;D872&amp;" IS '"&amp;C872&amp;"';"</f>
        <v>COMMENT ON COLUMN milscm_2023_009.sny_202310_annony_shikkan2.shikkan859_start_date IS 'M351_疾患開始日';</v>
      </c>
    </row>
    <row r="873" spans="1:45" s="25" customFormat="1">
      <c r="A873" s="4" t="s">
        <v>5922</v>
      </c>
      <c r="B873" s="21">
        <f t="shared" si="148"/>
        <v>861</v>
      </c>
      <c r="C873" s="13" t="str">
        <f t="shared" si="147"/>
        <v>M353_疾患開始日</v>
      </c>
      <c r="D873" s="13" t="s">
        <v>6520</v>
      </c>
      <c r="E873" s="8"/>
      <c r="F873" s="7" t="s">
        <v>4348</v>
      </c>
      <c r="G873" s="7" t="s">
        <v>25</v>
      </c>
      <c r="H873" s="58"/>
      <c r="I873" s="23"/>
      <c r="J873" s="24"/>
      <c r="M873" s="4"/>
      <c r="N873" s="76"/>
      <c r="O873" s="76"/>
      <c r="P873" s="76" t="str">
        <f t="shared" si="149"/>
        <v>,shikkan860_start_date</v>
      </c>
      <c r="Q873" s="76" t="str">
        <f t="shared" si="150"/>
        <v>DATE</v>
      </c>
      <c r="R873" s="76" t="str">
        <f t="shared" si="151"/>
        <v/>
      </c>
      <c r="S873" s="76" t="str">
        <f t="shared" si="152"/>
        <v/>
      </c>
      <c r="T873" s="76" t="str">
        <f t="shared" si="153"/>
        <v>-- M353_疾患開始日</v>
      </c>
      <c r="U873" s="4" t="str">
        <f t="shared" si="145"/>
        <v>, CASE WHEN shikkan_disp_name = 'M353' THEN min_shikkan_start_date ::DATE ELSE NULL END AS shikkan860_start_date</v>
      </c>
      <c r="V873" s="25" t="str">
        <f t="shared" si="146"/>
        <v>, max(shikkan860_start_date)</v>
      </c>
      <c r="AA873" s="4"/>
      <c r="AB873" s="4"/>
      <c r="AC873" s="4"/>
      <c r="AD873" s="4"/>
      <c r="AE873" s="4"/>
      <c r="AF873" s="4"/>
      <c r="AG873" s="4"/>
      <c r="AH873" s="4"/>
      <c r="AI873" s="4"/>
      <c r="AJ873" s="76" t="str">
        <f>IF(E873="○",IF(COUNTA(E$13:E873)=1,"",",")&amp;D873,"")</f>
        <v/>
      </c>
      <c r="AK873" s="4"/>
      <c r="AL873" s="4"/>
      <c r="AM873" s="4"/>
      <c r="AN873" s="4"/>
      <c r="AO873" s="4"/>
      <c r="AP873" s="4"/>
      <c r="AQ873" s="4"/>
      <c r="AR873" s="4"/>
      <c r="AS873" s="76" t="str">
        <f>"COMMENT ON COLUMN "&amp;エンティティ一覧!$O$2&amp;"."&amp;D$8&amp;"."&amp;D873&amp;" IS '"&amp;C873&amp;"';"</f>
        <v>COMMENT ON COLUMN milscm_2023_009.sny_202310_annony_shikkan2.shikkan860_start_date IS 'M353_疾患開始日';</v>
      </c>
    </row>
    <row r="874" spans="1:45" s="25" customFormat="1">
      <c r="A874" s="4" t="s">
        <v>5923</v>
      </c>
      <c r="B874" s="21">
        <f t="shared" si="148"/>
        <v>862</v>
      </c>
      <c r="C874" s="13" t="str">
        <f t="shared" si="147"/>
        <v>M360_疾患開始日</v>
      </c>
      <c r="D874" s="13" t="s">
        <v>6521</v>
      </c>
      <c r="E874" s="8"/>
      <c r="F874" s="7" t="s">
        <v>4348</v>
      </c>
      <c r="G874" s="7" t="s">
        <v>25</v>
      </c>
      <c r="H874" s="58"/>
      <c r="I874" s="23"/>
      <c r="J874" s="24"/>
      <c r="M874" s="4"/>
      <c r="N874" s="76"/>
      <c r="O874" s="76"/>
      <c r="P874" s="76" t="str">
        <f t="shared" si="149"/>
        <v>,shikkan861_start_date</v>
      </c>
      <c r="Q874" s="76" t="str">
        <f t="shared" si="150"/>
        <v>DATE</v>
      </c>
      <c r="R874" s="76" t="str">
        <f t="shared" si="151"/>
        <v/>
      </c>
      <c r="S874" s="76" t="str">
        <f t="shared" si="152"/>
        <v/>
      </c>
      <c r="T874" s="76" t="str">
        <f t="shared" si="153"/>
        <v>-- M360_疾患開始日</v>
      </c>
      <c r="U874" s="4" t="str">
        <f t="shared" si="145"/>
        <v>, CASE WHEN shikkan_disp_name = 'M360' THEN min_shikkan_start_date ::DATE ELSE NULL END AS shikkan861_start_date</v>
      </c>
      <c r="V874" s="25" t="str">
        <f t="shared" si="146"/>
        <v>, max(shikkan861_start_date)</v>
      </c>
      <c r="AA874" s="4"/>
      <c r="AB874" s="4"/>
      <c r="AC874" s="4"/>
      <c r="AD874" s="4"/>
      <c r="AE874" s="4"/>
      <c r="AF874" s="4"/>
      <c r="AG874" s="4"/>
      <c r="AH874" s="4"/>
      <c r="AI874" s="4"/>
      <c r="AJ874" s="76" t="str">
        <f>IF(E874="○",IF(COUNTA(E$13:E874)=1,"",",")&amp;D874,"")</f>
        <v/>
      </c>
      <c r="AK874" s="4"/>
      <c r="AL874" s="4"/>
      <c r="AM874" s="4"/>
      <c r="AN874" s="4"/>
      <c r="AO874" s="4"/>
      <c r="AP874" s="4"/>
      <c r="AQ874" s="4"/>
      <c r="AR874" s="4"/>
      <c r="AS874" s="76" t="str">
        <f>"COMMENT ON COLUMN "&amp;エンティティ一覧!$O$2&amp;"."&amp;D$8&amp;"."&amp;D874&amp;" IS '"&amp;C874&amp;"';"</f>
        <v>COMMENT ON COLUMN milscm_2023_009.sny_202310_annony_shikkan2.shikkan861_start_date IS 'M360_疾患開始日';</v>
      </c>
    </row>
    <row r="875" spans="1:45" s="25" customFormat="1">
      <c r="A875" s="4" t="s">
        <v>5924</v>
      </c>
      <c r="B875" s="21">
        <f t="shared" si="148"/>
        <v>863</v>
      </c>
      <c r="C875" s="13" t="str">
        <f t="shared" si="147"/>
        <v>N032_疾患開始日</v>
      </c>
      <c r="D875" s="13" t="s">
        <v>6522</v>
      </c>
      <c r="E875" s="8"/>
      <c r="F875" s="7" t="s">
        <v>4348</v>
      </c>
      <c r="G875" s="7" t="s">
        <v>25</v>
      </c>
      <c r="H875" s="58"/>
      <c r="I875" s="23"/>
      <c r="J875" s="24"/>
      <c r="M875" s="4"/>
      <c r="N875" s="76"/>
      <c r="O875" s="76"/>
      <c r="P875" s="76" t="str">
        <f t="shared" si="149"/>
        <v>,shikkan862_start_date</v>
      </c>
      <c r="Q875" s="76" t="str">
        <f t="shared" si="150"/>
        <v>DATE</v>
      </c>
      <c r="R875" s="76" t="str">
        <f t="shared" si="151"/>
        <v/>
      </c>
      <c r="S875" s="76" t="str">
        <f t="shared" si="152"/>
        <v/>
      </c>
      <c r="T875" s="76" t="str">
        <f t="shared" si="153"/>
        <v>-- N032_疾患開始日</v>
      </c>
      <c r="U875" s="4" t="str">
        <f t="shared" si="145"/>
        <v>, CASE WHEN shikkan_disp_name = 'N032' THEN min_shikkan_start_date ::DATE ELSE NULL END AS shikkan862_start_date</v>
      </c>
      <c r="V875" s="25" t="str">
        <f t="shared" si="146"/>
        <v>, max(shikkan862_start_date)</v>
      </c>
      <c r="AA875" s="4"/>
      <c r="AB875" s="4"/>
      <c r="AC875" s="4"/>
      <c r="AD875" s="4"/>
      <c r="AE875" s="4"/>
      <c r="AF875" s="4"/>
      <c r="AG875" s="4"/>
      <c r="AH875" s="4"/>
      <c r="AI875" s="4"/>
      <c r="AJ875" s="76" t="str">
        <f>IF(E875="○",IF(COUNTA(E$13:E875)=1,"",",")&amp;D875,"")</f>
        <v/>
      </c>
      <c r="AK875" s="4"/>
      <c r="AL875" s="4"/>
      <c r="AM875" s="4"/>
      <c r="AN875" s="4"/>
      <c r="AO875" s="4"/>
      <c r="AP875" s="4"/>
      <c r="AQ875" s="4"/>
      <c r="AR875" s="4"/>
      <c r="AS875" s="76" t="str">
        <f>"COMMENT ON COLUMN "&amp;エンティティ一覧!$O$2&amp;"."&amp;D$8&amp;"."&amp;D875&amp;" IS '"&amp;C875&amp;"';"</f>
        <v>COMMENT ON COLUMN milscm_2023_009.sny_202310_annony_shikkan2.shikkan862_start_date IS 'N032_疾患開始日';</v>
      </c>
    </row>
    <row r="876" spans="1:45" s="25" customFormat="1">
      <c r="A876" s="4" t="s">
        <v>5925</v>
      </c>
      <c r="B876" s="21">
        <f t="shared" si="148"/>
        <v>864</v>
      </c>
      <c r="C876" s="13" t="str">
        <f t="shared" si="147"/>
        <v>N033_疾患開始日</v>
      </c>
      <c r="D876" s="13" t="s">
        <v>6523</v>
      </c>
      <c r="E876" s="8"/>
      <c r="F876" s="7" t="s">
        <v>4348</v>
      </c>
      <c r="G876" s="7" t="s">
        <v>25</v>
      </c>
      <c r="H876" s="58"/>
      <c r="I876" s="23"/>
      <c r="J876" s="24"/>
      <c r="M876" s="4"/>
      <c r="N876" s="76"/>
      <c r="O876" s="76"/>
      <c r="P876" s="76" t="str">
        <f t="shared" si="149"/>
        <v>,shikkan863_start_date</v>
      </c>
      <c r="Q876" s="76" t="str">
        <f t="shared" si="150"/>
        <v>DATE</v>
      </c>
      <c r="R876" s="76" t="str">
        <f t="shared" si="151"/>
        <v/>
      </c>
      <c r="S876" s="76" t="str">
        <f t="shared" si="152"/>
        <v/>
      </c>
      <c r="T876" s="76" t="str">
        <f t="shared" si="153"/>
        <v>-- N033_疾患開始日</v>
      </c>
      <c r="U876" s="4" t="str">
        <f t="shared" si="145"/>
        <v>, CASE WHEN shikkan_disp_name = 'N033' THEN min_shikkan_start_date ::DATE ELSE NULL END AS shikkan863_start_date</v>
      </c>
      <c r="V876" s="25" t="str">
        <f t="shared" si="146"/>
        <v>, max(shikkan863_start_date)</v>
      </c>
      <c r="AA876" s="4"/>
      <c r="AB876" s="4"/>
      <c r="AC876" s="4"/>
      <c r="AD876" s="4"/>
      <c r="AE876" s="4"/>
      <c r="AF876" s="4"/>
      <c r="AG876" s="4"/>
      <c r="AH876" s="4"/>
      <c r="AI876" s="4"/>
      <c r="AJ876" s="76" t="str">
        <f>IF(E876="○",IF(COUNTA(E$13:E876)=1,"",",")&amp;D876,"")</f>
        <v/>
      </c>
      <c r="AK876" s="4"/>
      <c r="AL876" s="4"/>
      <c r="AM876" s="4"/>
      <c r="AN876" s="4"/>
      <c r="AO876" s="4"/>
      <c r="AP876" s="4"/>
      <c r="AQ876" s="4"/>
      <c r="AR876" s="4"/>
      <c r="AS876" s="76" t="str">
        <f>"COMMENT ON COLUMN "&amp;エンティティ一覧!$O$2&amp;"."&amp;D$8&amp;"."&amp;D876&amp;" IS '"&amp;C876&amp;"';"</f>
        <v>COMMENT ON COLUMN milscm_2023_009.sny_202310_annony_shikkan2.shikkan863_start_date IS 'N033_疾患開始日';</v>
      </c>
    </row>
    <row r="877" spans="1:45" s="25" customFormat="1">
      <c r="A877" s="4" t="s">
        <v>5926</v>
      </c>
      <c r="B877" s="21">
        <f t="shared" si="148"/>
        <v>865</v>
      </c>
      <c r="C877" s="13" t="str">
        <f t="shared" si="147"/>
        <v>N034_疾患開始日</v>
      </c>
      <c r="D877" s="13" t="s">
        <v>6524</v>
      </c>
      <c r="E877" s="8"/>
      <c r="F877" s="7" t="s">
        <v>4348</v>
      </c>
      <c r="G877" s="7" t="s">
        <v>25</v>
      </c>
      <c r="H877" s="58"/>
      <c r="I877" s="23"/>
      <c r="J877" s="24"/>
      <c r="M877" s="4"/>
      <c r="N877" s="76"/>
      <c r="O877" s="76"/>
      <c r="P877" s="76" t="str">
        <f t="shared" si="149"/>
        <v>,shikkan864_start_date</v>
      </c>
      <c r="Q877" s="76" t="str">
        <f t="shared" si="150"/>
        <v>DATE</v>
      </c>
      <c r="R877" s="76" t="str">
        <f t="shared" si="151"/>
        <v/>
      </c>
      <c r="S877" s="76" t="str">
        <f t="shared" si="152"/>
        <v/>
      </c>
      <c r="T877" s="76" t="str">
        <f t="shared" si="153"/>
        <v>-- N034_疾患開始日</v>
      </c>
      <c r="U877" s="4" t="str">
        <f t="shared" si="145"/>
        <v>, CASE WHEN shikkan_disp_name = 'N034' THEN min_shikkan_start_date ::DATE ELSE NULL END AS shikkan864_start_date</v>
      </c>
      <c r="V877" s="25" t="str">
        <f t="shared" si="146"/>
        <v>, max(shikkan864_start_date)</v>
      </c>
      <c r="AA877" s="4"/>
      <c r="AB877" s="4"/>
      <c r="AC877" s="4"/>
      <c r="AD877" s="4"/>
      <c r="AE877" s="4"/>
      <c r="AF877" s="4"/>
      <c r="AG877" s="4"/>
      <c r="AH877" s="4"/>
      <c r="AI877" s="4"/>
      <c r="AJ877" s="76" t="str">
        <f>IF(E877="○",IF(COUNTA(E$13:E877)=1,"",",")&amp;D877,"")</f>
        <v/>
      </c>
      <c r="AK877" s="4"/>
      <c r="AL877" s="4"/>
      <c r="AM877" s="4"/>
      <c r="AN877" s="4"/>
      <c r="AO877" s="4"/>
      <c r="AP877" s="4"/>
      <c r="AQ877" s="4"/>
      <c r="AR877" s="4"/>
      <c r="AS877" s="76" t="str">
        <f>"COMMENT ON COLUMN "&amp;エンティティ一覧!$O$2&amp;"."&amp;D$8&amp;"."&amp;D877&amp;" IS '"&amp;C877&amp;"';"</f>
        <v>COMMENT ON COLUMN milscm_2023_009.sny_202310_annony_shikkan2.shikkan864_start_date IS 'N034_疾患開始日';</v>
      </c>
    </row>
    <row r="878" spans="1:45" s="25" customFormat="1">
      <c r="A878" s="4" t="s">
        <v>5927</v>
      </c>
      <c r="B878" s="21">
        <f t="shared" si="148"/>
        <v>866</v>
      </c>
      <c r="C878" s="13" t="str">
        <f t="shared" si="147"/>
        <v>N035_疾患開始日</v>
      </c>
      <c r="D878" s="13" t="s">
        <v>6525</v>
      </c>
      <c r="E878" s="8"/>
      <c r="F878" s="7" t="s">
        <v>4348</v>
      </c>
      <c r="G878" s="7" t="s">
        <v>25</v>
      </c>
      <c r="H878" s="58"/>
      <c r="I878" s="23"/>
      <c r="J878" s="24"/>
      <c r="M878" s="4"/>
      <c r="N878" s="76"/>
      <c r="O878" s="76"/>
      <c r="P878" s="76" t="str">
        <f t="shared" si="149"/>
        <v>,shikkan865_start_date</v>
      </c>
      <c r="Q878" s="76" t="str">
        <f t="shared" si="150"/>
        <v>DATE</v>
      </c>
      <c r="R878" s="76" t="str">
        <f t="shared" si="151"/>
        <v/>
      </c>
      <c r="S878" s="76" t="str">
        <f t="shared" si="152"/>
        <v/>
      </c>
      <c r="T878" s="76" t="str">
        <f t="shared" si="153"/>
        <v>-- N035_疾患開始日</v>
      </c>
      <c r="U878" s="4" t="str">
        <f t="shared" si="145"/>
        <v>, CASE WHEN shikkan_disp_name = 'N035' THEN min_shikkan_start_date ::DATE ELSE NULL END AS shikkan865_start_date</v>
      </c>
      <c r="V878" s="25" t="str">
        <f t="shared" si="146"/>
        <v>, max(shikkan865_start_date)</v>
      </c>
      <c r="AA878" s="4"/>
      <c r="AB878" s="4"/>
      <c r="AC878" s="4"/>
      <c r="AD878" s="4"/>
      <c r="AE878" s="4"/>
      <c r="AF878" s="4"/>
      <c r="AG878" s="4"/>
      <c r="AH878" s="4"/>
      <c r="AI878" s="4"/>
      <c r="AJ878" s="76" t="str">
        <f>IF(E878="○",IF(COUNTA(E$13:E878)=1,"",",")&amp;D878,"")</f>
        <v/>
      </c>
      <c r="AK878" s="4"/>
      <c r="AL878" s="4"/>
      <c r="AM878" s="4"/>
      <c r="AN878" s="4"/>
      <c r="AO878" s="4"/>
      <c r="AP878" s="4"/>
      <c r="AQ878" s="4"/>
      <c r="AR878" s="4"/>
      <c r="AS878" s="76" t="str">
        <f>"COMMENT ON COLUMN "&amp;エンティティ一覧!$O$2&amp;"."&amp;D$8&amp;"."&amp;D878&amp;" IS '"&amp;C878&amp;"';"</f>
        <v>COMMENT ON COLUMN milscm_2023_009.sny_202310_annony_shikkan2.shikkan865_start_date IS 'N035_疾患開始日';</v>
      </c>
    </row>
    <row r="879" spans="1:45" s="25" customFormat="1">
      <c r="A879" s="4" t="s">
        <v>5928</v>
      </c>
      <c r="B879" s="21">
        <f t="shared" si="148"/>
        <v>867</v>
      </c>
      <c r="C879" s="13" t="str">
        <f t="shared" si="147"/>
        <v>N036_疾患開始日</v>
      </c>
      <c r="D879" s="13" t="s">
        <v>6526</v>
      </c>
      <c r="E879" s="8"/>
      <c r="F879" s="7" t="s">
        <v>4348</v>
      </c>
      <c r="G879" s="7" t="s">
        <v>25</v>
      </c>
      <c r="H879" s="58"/>
      <c r="I879" s="23"/>
      <c r="J879" s="24"/>
      <c r="M879" s="4"/>
      <c r="N879" s="76"/>
      <c r="O879" s="76"/>
      <c r="P879" s="76" t="str">
        <f t="shared" si="149"/>
        <v>,shikkan866_start_date</v>
      </c>
      <c r="Q879" s="76" t="str">
        <f t="shared" si="150"/>
        <v>DATE</v>
      </c>
      <c r="R879" s="76" t="str">
        <f t="shared" si="151"/>
        <v/>
      </c>
      <c r="S879" s="76" t="str">
        <f t="shared" si="152"/>
        <v/>
      </c>
      <c r="T879" s="76" t="str">
        <f t="shared" si="153"/>
        <v>-- N036_疾患開始日</v>
      </c>
      <c r="U879" s="4" t="str">
        <f t="shared" si="145"/>
        <v>, CASE WHEN shikkan_disp_name = 'N036' THEN min_shikkan_start_date ::DATE ELSE NULL END AS shikkan866_start_date</v>
      </c>
      <c r="V879" s="25" t="str">
        <f t="shared" si="146"/>
        <v>, max(shikkan866_start_date)</v>
      </c>
      <c r="AA879" s="4"/>
      <c r="AB879" s="4"/>
      <c r="AC879" s="4"/>
      <c r="AD879" s="4"/>
      <c r="AE879" s="4"/>
      <c r="AF879" s="4"/>
      <c r="AG879" s="4"/>
      <c r="AH879" s="4"/>
      <c r="AI879" s="4"/>
      <c r="AJ879" s="76" t="str">
        <f>IF(E879="○",IF(COUNTA(E$13:E879)=1,"",",")&amp;D879,"")</f>
        <v/>
      </c>
      <c r="AK879" s="4"/>
      <c r="AL879" s="4"/>
      <c r="AM879" s="4"/>
      <c r="AN879" s="4"/>
      <c r="AO879" s="4"/>
      <c r="AP879" s="4"/>
      <c r="AQ879" s="4"/>
      <c r="AR879" s="4"/>
      <c r="AS879" s="76" t="str">
        <f>"COMMENT ON COLUMN "&amp;エンティティ一覧!$O$2&amp;"."&amp;D$8&amp;"."&amp;D879&amp;" IS '"&amp;C879&amp;"';"</f>
        <v>COMMENT ON COLUMN milscm_2023_009.sny_202310_annony_shikkan2.shikkan866_start_date IS 'N036_疾患開始日';</v>
      </c>
    </row>
    <row r="880" spans="1:45" s="25" customFormat="1">
      <c r="A880" s="4" t="s">
        <v>5929</v>
      </c>
      <c r="B880" s="21">
        <f t="shared" si="148"/>
        <v>868</v>
      </c>
      <c r="C880" s="13" t="str">
        <f t="shared" si="147"/>
        <v>N037_疾患開始日</v>
      </c>
      <c r="D880" s="13" t="s">
        <v>6527</v>
      </c>
      <c r="E880" s="8"/>
      <c r="F880" s="7" t="s">
        <v>4348</v>
      </c>
      <c r="G880" s="7" t="s">
        <v>25</v>
      </c>
      <c r="H880" s="58"/>
      <c r="I880" s="23"/>
      <c r="J880" s="24"/>
      <c r="M880" s="4"/>
      <c r="N880" s="76"/>
      <c r="O880" s="76"/>
      <c r="P880" s="76" t="str">
        <f t="shared" si="149"/>
        <v>,shikkan867_start_date</v>
      </c>
      <c r="Q880" s="76" t="str">
        <f t="shared" si="150"/>
        <v>DATE</v>
      </c>
      <c r="R880" s="76" t="str">
        <f t="shared" si="151"/>
        <v/>
      </c>
      <c r="S880" s="76" t="str">
        <f t="shared" si="152"/>
        <v/>
      </c>
      <c r="T880" s="76" t="str">
        <f t="shared" si="153"/>
        <v>-- N037_疾患開始日</v>
      </c>
      <c r="U880" s="4" t="str">
        <f t="shared" si="145"/>
        <v>, CASE WHEN shikkan_disp_name = 'N037' THEN min_shikkan_start_date ::DATE ELSE NULL END AS shikkan867_start_date</v>
      </c>
      <c r="V880" s="25" t="str">
        <f t="shared" si="146"/>
        <v>, max(shikkan867_start_date)</v>
      </c>
      <c r="AA880" s="4"/>
      <c r="AB880" s="4"/>
      <c r="AC880" s="4"/>
      <c r="AD880" s="4"/>
      <c r="AE880" s="4"/>
      <c r="AF880" s="4"/>
      <c r="AG880" s="4"/>
      <c r="AH880" s="4"/>
      <c r="AI880" s="4"/>
      <c r="AJ880" s="76" t="str">
        <f>IF(E880="○",IF(COUNTA(E$13:E880)=1,"",",")&amp;D880,"")</f>
        <v/>
      </c>
      <c r="AK880" s="4"/>
      <c r="AL880" s="4"/>
      <c r="AM880" s="4"/>
      <c r="AN880" s="4"/>
      <c r="AO880" s="4"/>
      <c r="AP880" s="4"/>
      <c r="AQ880" s="4"/>
      <c r="AR880" s="4"/>
      <c r="AS880" s="76" t="str">
        <f>"COMMENT ON COLUMN "&amp;エンティティ一覧!$O$2&amp;"."&amp;D$8&amp;"."&amp;D880&amp;" IS '"&amp;C880&amp;"';"</f>
        <v>COMMENT ON COLUMN milscm_2023_009.sny_202310_annony_shikkan2.shikkan867_start_date IS 'N037_疾患開始日';</v>
      </c>
    </row>
    <row r="881" spans="1:45" s="25" customFormat="1">
      <c r="A881" s="4" t="s">
        <v>5930</v>
      </c>
      <c r="B881" s="21">
        <f t="shared" si="148"/>
        <v>869</v>
      </c>
      <c r="C881" s="13" t="str">
        <f t="shared" si="147"/>
        <v>N052_疾患開始日</v>
      </c>
      <c r="D881" s="13" t="s">
        <v>6528</v>
      </c>
      <c r="E881" s="8"/>
      <c r="F881" s="7" t="s">
        <v>4348</v>
      </c>
      <c r="G881" s="7" t="s">
        <v>25</v>
      </c>
      <c r="H881" s="58"/>
      <c r="I881" s="23"/>
      <c r="J881" s="24"/>
      <c r="M881" s="4"/>
      <c r="N881" s="76"/>
      <c r="O881" s="76"/>
      <c r="P881" s="76" t="str">
        <f t="shared" si="149"/>
        <v>,shikkan868_start_date</v>
      </c>
      <c r="Q881" s="76" t="str">
        <f t="shared" si="150"/>
        <v>DATE</v>
      </c>
      <c r="R881" s="76" t="str">
        <f t="shared" si="151"/>
        <v/>
      </c>
      <c r="S881" s="76" t="str">
        <f t="shared" si="152"/>
        <v/>
      </c>
      <c r="T881" s="76" t="str">
        <f t="shared" si="153"/>
        <v>-- N052_疾患開始日</v>
      </c>
      <c r="U881" s="4" t="str">
        <f t="shared" ref="U881:U902" si="154">", CASE WHEN shikkan_disp_name = '"&amp;A881&amp;"' THEN min_shikkan_start_date ::DATE ELSE NULL END AS "&amp;D881</f>
        <v>, CASE WHEN shikkan_disp_name = 'N052' THEN min_shikkan_start_date ::DATE ELSE NULL END AS shikkan868_start_date</v>
      </c>
      <c r="V881" s="25" t="str">
        <f t="shared" ref="V881:V902" si="155">", max("&amp;D881&amp;")"</f>
        <v>, max(shikkan868_start_date)</v>
      </c>
      <c r="AA881" s="4"/>
      <c r="AB881" s="4"/>
      <c r="AC881" s="4"/>
      <c r="AD881" s="4"/>
      <c r="AE881" s="4"/>
      <c r="AF881" s="4"/>
      <c r="AG881" s="4"/>
      <c r="AH881" s="4"/>
      <c r="AI881" s="4"/>
      <c r="AJ881" s="76" t="str">
        <f>IF(E881="○",IF(COUNTA(E$13:E881)=1,"",",")&amp;D881,"")</f>
        <v/>
      </c>
      <c r="AK881" s="4"/>
      <c r="AL881" s="4"/>
      <c r="AM881" s="4"/>
      <c r="AN881" s="4"/>
      <c r="AO881" s="4"/>
      <c r="AP881" s="4"/>
      <c r="AQ881" s="4"/>
      <c r="AR881" s="4"/>
      <c r="AS881" s="76" t="str">
        <f>"COMMENT ON COLUMN "&amp;エンティティ一覧!$O$2&amp;"."&amp;D$8&amp;"."&amp;D881&amp;" IS '"&amp;C881&amp;"';"</f>
        <v>COMMENT ON COLUMN milscm_2023_009.sny_202310_annony_shikkan2.shikkan868_start_date IS 'N052_疾患開始日';</v>
      </c>
    </row>
    <row r="882" spans="1:45" s="25" customFormat="1">
      <c r="A882" s="4" t="s">
        <v>5931</v>
      </c>
      <c r="B882" s="21">
        <f t="shared" si="148"/>
        <v>870</v>
      </c>
      <c r="C882" s="13" t="str">
        <f t="shared" si="147"/>
        <v>N053_疾患開始日</v>
      </c>
      <c r="D882" s="13" t="s">
        <v>6529</v>
      </c>
      <c r="E882" s="8"/>
      <c r="F882" s="7" t="s">
        <v>4348</v>
      </c>
      <c r="G882" s="7" t="s">
        <v>25</v>
      </c>
      <c r="H882" s="58"/>
      <c r="I882" s="23"/>
      <c r="J882" s="24"/>
      <c r="M882" s="4"/>
      <c r="N882" s="76"/>
      <c r="O882" s="76"/>
      <c r="P882" s="76" t="str">
        <f t="shared" si="149"/>
        <v>,shikkan869_start_date</v>
      </c>
      <c r="Q882" s="76" t="str">
        <f t="shared" si="150"/>
        <v>DATE</v>
      </c>
      <c r="R882" s="76" t="str">
        <f t="shared" si="151"/>
        <v/>
      </c>
      <c r="S882" s="76" t="str">
        <f t="shared" si="152"/>
        <v/>
      </c>
      <c r="T882" s="76" t="str">
        <f t="shared" si="153"/>
        <v>-- N053_疾患開始日</v>
      </c>
      <c r="U882" s="4" t="str">
        <f t="shared" si="154"/>
        <v>, CASE WHEN shikkan_disp_name = 'N053' THEN min_shikkan_start_date ::DATE ELSE NULL END AS shikkan869_start_date</v>
      </c>
      <c r="V882" s="25" t="str">
        <f t="shared" si="155"/>
        <v>, max(shikkan869_start_date)</v>
      </c>
      <c r="AA882" s="4"/>
      <c r="AB882" s="4"/>
      <c r="AC882" s="4"/>
      <c r="AD882" s="4"/>
      <c r="AE882" s="4"/>
      <c r="AF882" s="4"/>
      <c r="AG882" s="4"/>
      <c r="AH882" s="4"/>
      <c r="AI882" s="4"/>
      <c r="AJ882" s="76" t="str">
        <f>IF(E882="○",IF(COUNTA(E$13:E882)=1,"",",")&amp;D882,"")</f>
        <v/>
      </c>
      <c r="AK882" s="4"/>
      <c r="AL882" s="4"/>
      <c r="AM882" s="4"/>
      <c r="AN882" s="4"/>
      <c r="AO882" s="4"/>
      <c r="AP882" s="4"/>
      <c r="AQ882" s="4"/>
      <c r="AR882" s="4"/>
      <c r="AS882" s="76" t="str">
        <f>"COMMENT ON COLUMN "&amp;エンティティ一覧!$O$2&amp;"."&amp;D$8&amp;"."&amp;D882&amp;" IS '"&amp;C882&amp;"';"</f>
        <v>COMMENT ON COLUMN milscm_2023_009.sny_202310_annony_shikkan2.shikkan869_start_date IS 'N053_疾患開始日';</v>
      </c>
    </row>
    <row r="883" spans="1:45" s="25" customFormat="1">
      <c r="A883" s="4" t="s">
        <v>5932</v>
      </c>
      <c r="B883" s="21">
        <f t="shared" si="148"/>
        <v>871</v>
      </c>
      <c r="C883" s="13" t="str">
        <f t="shared" si="147"/>
        <v>N054_疾患開始日</v>
      </c>
      <c r="D883" s="13" t="s">
        <v>6530</v>
      </c>
      <c r="E883" s="8"/>
      <c r="F883" s="7" t="s">
        <v>4348</v>
      </c>
      <c r="G883" s="7" t="s">
        <v>25</v>
      </c>
      <c r="H883" s="58"/>
      <c r="I883" s="23"/>
      <c r="J883" s="24"/>
      <c r="M883" s="4"/>
      <c r="N883" s="76"/>
      <c r="O883" s="76"/>
      <c r="P883" s="76" t="str">
        <f t="shared" si="149"/>
        <v>,shikkan870_start_date</v>
      </c>
      <c r="Q883" s="76" t="str">
        <f t="shared" si="150"/>
        <v>DATE</v>
      </c>
      <c r="R883" s="76" t="str">
        <f t="shared" si="151"/>
        <v/>
      </c>
      <c r="S883" s="76" t="str">
        <f t="shared" si="152"/>
        <v/>
      </c>
      <c r="T883" s="76" t="str">
        <f t="shared" si="153"/>
        <v>-- N054_疾患開始日</v>
      </c>
      <c r="U883" s="4" t="str">
        <f t="shared" si="154"/>
        <v>, CASE WHEN shikkan_disp_name = 'N054' THEN min_shikkan_start_date ::DATE ELSE NULL END AS shikkan870_start_date</v>
      </c>
      <c r="V883" s="25" t="str">
        <f t="shared" si="155"/>
        <v>, max(shikkan870_start_date)</v>
      </c>
      <c r="AA883" s="4"/>
      <c r="AB883" s="4"/>
      <c r="AC883" s="4"/>
      <c r="AD883" s="4"/>
      <c r="AE883" s="4"/>
      <c r="AF883" s="4"/>
      <c r="AG883" s="4"/>
      <c r="AH883" s="4"/>
      <c r="AI883" s="4"/>
      <c r="AJ883" s="76" t="str">
        <f>IF(E883="○",IF(COUNTA(E$13:E883)=1,"",",")&amp;D883,"")</f>
        <v/>
      </c>
      <c r="AK883" s="4"/>
      <c r="AL883" s="4"/>
      <c r="AM883" s="4"/>
      <c r="AN883" s="4"/>
      <c r="AO883" s="4"/>
      <c r="AP883" s="4"/>
      <c r="AQ883" s="4"/>
      <c r="AR883" s="4"/>
      <c r="AS883" s="76" t="str">
        <f>"COMMENT ON COLUMN "&amp;エンティティ一覧!$O$2&amp;"."&amp;D$8&amp;"."&amp;D883&amp;" IS '"&amp;C883&amp;"';"</f>
        <v>COMMENT ON COLUMN milscm_2023_009.sny_202310_annony_shikkan2.shikkan870_start_date IS 'N054_疾患開始日';</v>
      </c>
    </row>
    <row r="884" spans="1:45" s="25" customFormat="1">
      <c r="A884" s="4" t="s">
        <v>5933</v>
      </c>
      <c r="B884" s="21">
        <f t="shared" si="148"/>
        <v>872</v>
      </c>
      <c r="C884" s="13" t="str">
        <f t="shared" si="147"/>
        <v>N055_疾患開始日</v>
      </c>
      <c r="D884" s="13" t="s">
        <v>6531</v>
      </c>
      <c r="E884" s="8"/>
      <c r="F884" s="7" t="s">
        <v>4348</v>
      </c>
      <c r="G884" s="7" t="s">
        <v>25</v>
      </c>
      <c r="H884" s="58"/>
      <c r="I884" s="23"/>
      <c r="J884" s="24"/>
      <c r="M884" s="4"/>
      <c r="N884" s="76"/>
      <c r="O884" s="76"/>
      <c r="P884" s="76" t="str">
        <f t="shared" si="149"/>
        <v>,shikkan871_start_date</v>
      </c>
      <c r="Q884" s="76" t="str">
        <f t="shared" si="150"/>
        <v>DATE</v>
      </c>
      <c r="R884" s="76" t="str">
        <f t="shared" si="151"/>
        <v/>
      </c>
      <c r="S884" s="76" t="str">
        <f t="shared" si="152"/>
        <v/>
      </c>
      <c r="T884" s="76" t="str">
        <f t="shared" si="153"/>
        <v>-- N055_疾患開始日</v>
      </c>
      <c r="U884" s="4" t="str">
        <f t="shared" si="154"/>
        <v>, CASE WHEN shikkan_disp_name = 'N055' THEN min_shikkan_start_date ::DATE ELSE NULL END AS shikkan871_start_date</v>
      </c>
      <c r="V884" s="25" t="str">
        <f t="shared" si="155"/>
        <v>, max(shikkan871_start_date)</v>
      </c>
      <c r="AA884" s="4"/>
      <c r="AB884" s="4"/>
      <c r="AC884" s="4"/>
      <c r="AD884" s="4"/>
      <c r="AE884" s="4"/>
      <c r="AF884" s="4"/>
      <c r="AG884" s="4"/>
      <c r="AH884" s="4"/>
      <c r="AI884" s="4"/>
      <c r="AJ884" s="76" t="str">
        <f>IF(E884="○",IF(COUNTA(E$13:E884)=1,"",",")&amp;D884,"")</f>
        <v/>
      </c>
      <c r="AK884" s="4"/>
      <c r="AL884" s="4"/>
      <c r="AM884" s="4"/>
      <c r="AN884" s="4"/>
      <c r="AO884" s="4"/>
      <c r="AP884" s="4"/>
      <c r="AQ884" s="4"/>
      <c r="AR884" s="4"/>
      <c r="AS884" s="76" t="str">
        <f>"COMMENT ON COLUMN "&amp;エンティティ一覧!$O$2&amp;"."&amp;D$8&amp;"."&amp;D884&amp;" IS '"&amp;C884&amp;"';"</f>
        <v>COMMENT ON COLUMN milscm_2023_009.sny_202310_annony_shikkan2.shikkan871_start_date IS 'N055_疾患開始日';</v>
      </c>
    </row>
    <row r="885" spans="1:45" s="25" customFormat="1">
      <c r="A885" s="4" t="s">
        <v>5934</v>
      </c>
      <c r="B885" s="21">
        <f t="shared" si="148"/>
        <v>873</v>
      </c>
      <c r="C885" s="13" t="str">
        <f t="shared" si="147"/>
        <v>N056_疾患開始日</v>
      </c>
      <c r="D885" s="13" t="s">
        <v>6532</v>
      </c>
      <c r="E885" s="8"/>
      <c r="F885" s="7" t="s">
        <v>4348</v>
      </c>
      <c r="G885" s="7" t="s">
        <v>25</v>
      </c>
      <c r="H885" s="58"/>
      <c r="I885" s="23"/>
      <c r="J885" s="24"/>
      <c r="M885" s="4"/>
      <c r="N885" s="76"/>
      <c r="O885" s="76"/>
      <c r="P885" s="76" t="str">
        <f t="shared" si="149"/>
        <v>,shikkan872_start_date</v>
      </c>
      <c r="Q885" s="76" t="str">
        <f t="shared" si="150"/>
        <v>DATE</v>
      </c>
      <c r="R885" s="76" t="str">
        <f t="shared" si="151"/>
        <v/>
      </c>
      <c r="S885" s="76" t="str">
        <f t="shared" si="152"/>
        <v/>
      </c>
      <c r="T885" s="76" t="str">
        <f t="shared" si="153"/>
        <v>-- N056_疾患開始日</v>
      </c>
      <c r="U885" s="4" t="str">
        <f t="shared" si="154"/>
        <v>, CASE WHEN shikkan_disp_name = 'N056' THEN min_shikkan_start_date ::DATE ELSE NULL END AS shikkan872_start_date</v>
      </c>
      <c r="V885" s="25" t="str">
        <f t="shared" si="155"/>
        <v>, max(shikkan872_start_date)</v>
      </c>
      <c r="AA885" s="4"/>
      <c r="AB885" s="4"/>
      <c r="AC885" s="4"/>
      <c r="AD885" s="4"/>
      <c r="AE885" s="4"/>
      <c r="AF885" s="4"/>
      <c r="AG885" s="4"/>
      <c r="AH885" s="4"/>
      <c r="AI885" s="4"/>
      <c r="AJ885" s="76" t="str">
        <f>IF(E885="○",IF(COUNTA(E$13:E885)=1,"",",")&amp;D885,"")</f>
        <v/>
      </c>
      <c r="AK885" s="4"/>
      <c r="AL885" s="4"/>
      <c r="AM885" s="4"/>
      <c r="AN885" s="4"/>
      <c r="AO885" s="4"/>
      <c r="AP885" s="4"/>
      <c r="AQ885" s="4"/>
      <c r="AR885" s="4"/>
      <c r="AS885" s="76" t="str">
        <f>"COMMENT ON COLUMN "&amp;エンティティ一覧!$O$2&amp;"."&amp;D$8&amp;"."&amp;D885&amp;" IS '"&amp;C885&amp;"';"</f>
        <v>COMMENT ON COLUMN milscm_2023_009.sny_202310_annony_shikkan2.shikkan872_start_date IS 'N056_疾患開始日';</v>
      </c>
    </row>
    <row r="886" spans="1:45" s="25" customFormat="1">
      <c r="A886" s="4" t="s">
        <v>5935</v>
      </c>
      <c r="B886" s="21">
        <f t="shared" si="148"/>
        <v>874</v>
      </c>
      <c r="C886" s="13" t="str">
        <f t="shared" si="147"/>
        <v>N057_疾患開始日</v>
      </c>
      <c r="D886" s="13" t="s">
        <v>6533</v>
      </c>
      <c r="E886" s="8"/>
      <c r="F886" s="7" t="s">
        <v>4348</v>
      </c>
      <c r="G886" s="7" t="s">
        <v>25</v>
      </c>
      <c r="H886" s="58"/>
      <c r="I886" s="23"/>
      <c r="J886" s="24"/>
      <c r="M886" s="4"/>
      <c r="N886" s="76"/>
      <c r="O886" s="76"/>
      <c r="P886" s="76" t="str">
        <f t="shared" si="149"/>
        <v>,shikkan873_start_date</v>
      </c>
      <c r="Q886" s="76" t="str">
        <f t="shared" si="150"/>
        <v>DATE</v>
      </c>
      <c r="R886" s="76" t="str">
        <f t="shared" si="151"/>
        <v/>
      </c>
      <c r="S886" s="76" t="str">
        <f t="shared" si="152"/>
        <v/>
      </c>
      <c r="T886" s="76" t="str">
        <f t="shared" si="153"/>
        <v>-- N057_疾患開始日</v>
      </c>
      <c r="U886" s="4" t="str">
        <f t="shared" si="154"/>
        <v>, CASE WHEN shikkan_disp_name = 'N057' THEN min_shikkan_start_date ::DATE ELSE NULL END AS shikkan873_start_date</v>
      </c>
      <c r="V886" s="25" t="str">
        <f t="shared" si="155"/>
        <v>, max(shikkan873_start_date)</v>
      </c>
      <c r="AA886" s="4"/>
      <c r="AB886" s="4"/>
      <c r="AC886" s="4"/>
      <c r="AD886" s="4"/>
      <c r="AE886" s="4"/>
      <c r="AF886" s="4"/>
      <c r="AG886" s="4"/>
      <c r="AH886" s="4"/>
      <c r="AI886" s="4"/>
      <c r="AJ886" s="76" t="str">
        <f>IF(E886="○",IF(COUNTA(E$13:E886)=1,"",",")&amp;D886,"")</f>
        <v/>
      </c>
      <c r="AK886" s="4"/>
      <c r="AL886" s="4"/>
      <c r="AM886" s="4"/>
      <c r="AN886" s="4"/>
      <c r="AO886" s="4"/>
      <c r="AP886" s="4"/>
      <c r="AQ886" s="4"/>
      <c r="AR886" s="4"/>
      <c r="AS886" s="76" t="str">
        <f>"COMMENT ON COLUMN "&amp;エンティティ一覧!$O$2&amp;"."&amp;D$8&amp;"."&amp;D886&amp;" IS '"&amp;C886&amp;"';"</f>
        <v>COMMENT ON COLUMN milscm_2023_009.sny_202310_annony_shikkan2.shikkan873_start_date IS 'N057_疾患開始日';</v>
      </c>
    </row>
    <row r="887" spans="1:45" s="25" customFormat="1">
      <c r="A887" s="4" t="s">
        <v>5936</v>
      </c>
      <c r="B887" s="21">
        <f t="shared" si="148"/>
        <v>875</v>
      </c>
      <c r="C887" s="13" t="str">
        <f t="shared" si="147"/>
        <v>N181_疾患開始日</v>
      </c>
      <c r="D887" s="13" t="s">
        <v>6534</v>
      </c>
      <c r="E887" s="8"/>
      <c r="F887" s="7" t="s">
        <v>4348</v>
      </c>
      <c r="G887" s="7" t="s">
        <v>25</v>
      </c>
      <c r="H887" s="58"/>
      <c r="I887" s="23"/>
      <c r="J887" s="24"/>
      <c r="M887" s="4"/>
      <c r="N887" s="76"/>
      <c r="O887" s="76"/>
      <c r="P887" s="76" t="str">
        <f t="shared" si="149"/>
        <v>,shikkan874_start_date</v>
      </c>
      <c r="Q887" s="76" t="str">
        <f t="shared" si="150"/>
        <v>DATE</v>
      </c>
      <c r="R887" s="76" t="str">
        <f t="shared" si="151"/>
        <v/>
      </c>
      <c r="S887" s="76" t="str">
        <f t="shared" si="152"/>
        <v/>
      </c>
      <c r="T887" s="76" t="str">
        <f t="shared" si="153"/>
        <v>-- N181_疾患開始日</v>
      </c>
      <c r="U887" s="4" t="str">
        <f t="shared" si="154"/>
        <v>, CASE WHEN shikkan_disp_name = 'N181' THEN min_shikkan_start_date ::DATE ELSE NULL END AS shikkan874_start_date</v>
      </c>
      <c r="V887" s="25" t="str">
        <f t="shared" si="155"/>
        <v>, max(shikkan874_start_date)</v>
      </c>
      <c r="AA887" s="4"/>
      <c r="AB887" s="4"/>
      <c r="AC887" s="4"/>
      <c r="AD887" s="4"/>
      <c r="AE887" s="4"/>
      <c r="AF887" s="4"/>
      <c r="AG887" s="4"/>
      <c r="AH887" s="4"/>
      <c r="AI887" s="4"/>
      <c r="AJ887" s="76" t="str">
        <f>IF(E887="○",IF(COUNTA(E$13:E887)=1,"",",")&amp;D887,"")</f>
        <v/>
      </c>
      <c r="AK887" s="4"/>
      <c r="AL887" s="4"/>
      <c r="AM887" s="4"/>
      <c r="AN887" s="4"/>
      <c r="AO887" s="4"/>
      <c r="AP887" s="4"/>
      <c r="AQ887" s="4"/>
      <c r="AR887" s="4"/>
      <c r="AS887" s="76" t="str">
        <f>"COMMENT ON COLUMN "&amp;エンティティ一覧!$O$2&amp;"."&amp;D$8&amp;"."&amp;D887&amp;" IS '"&amp;C887&amp;"';"</f>
        <v>COMMENT ON COLUMN milscm_2023_009.sny_202310_annony_shikkan2.shikkan874_start_date IS 'N181_疾患開始日';</v>
      </c>
    </row>
    <row r="888" spans="1:45" s="25" customFormat="1">
      <c r="A888" s="4" t="s">
        <v>5937</v>
      </c>
      <c r="B888" s="21">
        <f t="shared" si="148"/>
        <v>876</v>
      </c>
      <c r="C888" s="13" t="str">
        <f t="shared" si="147"/>
        <v>N182_疾患開始日</v>
      </c>
      <c r="D888" s="13" t="s">
        <v>6535</v>
      </c>
      <c r="E888" s="8"/>
      <c r="F888" s="7" t="s">
        <v>4348</v>
      </c>
      <c r="G888" s="7" t="s">
        <v>25</v>
      </c>
      <c r="H888" s="58"/>
      <c r="I888" s="23"/>
      <c r="J888" s="24"/>
      <c r="M888" s="4"/>
      <c r="N888" s="76"/>
      <c r="O888" s="76"/>
      <c r="P888" s="76" t="str">
        <f t="shared" si="149"/>
        <v>,shikkan875_start_date</v>
      </c>
      <c r="Q888" s="76" t="str">
        <f t="shared" si="150"/>
        <v>DATE</v>
      </c>
      <c r="R888" s="76" t="str">
        <f t="shared" si="151"/>
        <v/>
      </c>
      <c r="S888" s="76" t="str">
        <f t="shared" si="152"/>
        <v/>
      </c>
      <c r="T888" s="76" t="str">
        <f t="shared" si="153"/>
        <v>-- N182_疾患開始日</v>
      </c>
      <c r="U888" s="4" t="str">
        <f t="shared" si="154"/>
        <v>, CASE WHEN shikkan_disp_name = 'N182' THEN min_shikkan_start_date ::DATE ELSE NULL END AS shikkan875_start_date</v>
      </c>
      <c r="V888" s="25" t="str">
        <f t="shared" si="155"/>
        <v>, max(shikkan875_start_date)</v>
      </c>
      <c r="AA888" s="4"/>
      <c r="AB888" s="4"/>
      <c r="AC888" s="4"/>
      <c r="AD888" s="4"/>
      <c r="AE888" s="4"/>
      <c r="AF888" s="4"/>
      <c r="AG888" s="4"/>
      <c r="AH888" s="4"/>
      <c r="AI888" s="4"/>
      <c r="AJ888" s="76" t="str">
        <f>IF(E888="○",IF(COUNTA(E$13:E888)=1,"",",")&amp;D888,"")</f>
        <v/>
      </c>
      <c r="AK888" s="4"/>
      <c r="AL888" s="4"/>
      <c r="AM888" s="4"/>
      <c r="AN888" s="4"/>
      <c r="AO888" s="4"/>
      <c r="AP888" s="4"/>
      <c r="AQ888" s="4"/>
      <c r="AR888" s="4"/>
      <c r="AS888" s="76" t="str">
        <f>"COMMENT ON COLUMN "&amp;エンティティ一覧!$O$2&amp;"."&amp;D$8&amp;"."&amp;D888&amp;" IS '"&amp;C888&amp;"';"</f>
        <v>COMMENT ON COLUMN milscm_2023_009.sny_202310_annony_shikkan2.shikkan875_start_date IS 'N182_疾患開始日';</v>
      </c>
    </row>
    <row r="889" spans="1:45" s="25" customFormat="1">
      <c r="A889" s="4" t="s">
        <v>5938</v>
      </c>
      <c r="B889" s="21">
        <f t="shared" si="148"/>
        <v>877</v>
      </c>
      <c r="C889" s="13" t="str">
        <f t="shared" si="147"/>
        <v>N183_疾患開始日</v>
      </c>
      <c r="D889" s="13" t="s">
        <v>6536</v>
      </c>
      <c r="E889" s="8"/>
      <c r="F889" s="7" t="s">
        <v>4348</v>
      </c>
      <c r="G889" s="7" t="s">
        <v>25</v>
      </c>
      <c r="H889" s="58"/>
      <c r="I889" s="23"/>
      <c r="J889" s="24"/>
      <c r="M889" s="4"/>
      <c r="N889" s="76"/>
      <c r="O889" s="76"/>
      <c r="P889" s="76" t="str">
        <f t="shared" si="149"/>
        <v>,shikkan876_start_date</v>
      </c>
      <c r="Q889" s="76" t="str">
        <f t="shared" si="150"/>
        <v>DATE</v>
      </c>
      <c r="R889" s="76" t="str">
        <f t="shared" si="151"/>
        <v/>
      </c>
      <c r="S889" s="76" t="str">
        <f t="shared" si="152"/>
        <v/>
      </c>
      <c r="T889" s="76" t="str">
        <f t="shared" si="153"/>
        <v>-- N183_疾患開始日</v>
      </c>
      <c r="U889" s="4" t="str">
        <f t="shared" si="154"/>
        <v>, CASE WHEN shikkan_disp_name = 'N183' THEN min_shikkan_start_date ::DATE ELSE NULL END AS shikkan876_start_date</v>
      </c>
      <c r="V889" s="25" t="str">
        <f t="shared" si="155"/>
        <v>, max(shikkan876_start_date)</v>
      </c>
      <c r="AA889" s="4"/>
      <c r="AB889" s="4"/>
      <c r="AC889" s="4"/>
      <c r="AD889" s="4"/>
      <c r="AE889" s="4"/>
      <c r="AF889" s="4"/>
      <c r="AG889" s="4"/>
      <c r="AH889" s="4"/>
      <c r="AI889" s="4"/>
      <c r="AJ889" s="76" t="str">
        <f>IF(E889="○",IF(COUNTA(E$13:E889)=1,"",",")&amp;D889,"")</f>
        <v/>
      </c>
      <c r="AK889" s="4"/>
      <c r="AL889" s="4"/>
      <c r="AM889" s="4"/>
      <c r="AN889" s="4"/>
      <c r="AO889" s="4"/>
      <c r="AP889" s="4"/>
      <c r="AQ889" s="4"/>
      <c r="AR889" s="4"/>
      <c r="AS889" s="76" t="str">
        <f>"COMMENT ON COLUMN "&amp;エンティティ一覧!$O$2&amp;"."&amp;D$8&amp;"."&amp;D889&amp;" IS '"&amp;C889&amp;"';"</f>
        <v>COMMENT ON COLUMN milscm_2023_009.sny_202310_annony_shikkan2.shikkan876_start_date IS 'N183_疾患開始日';</v>
      </c>
    </row>
    <row r="890" spans="1:45" s="25" customFormat="1">
      <c r="A890" s="4" t="s">
        <v>5939</v>
      </c>
      <c r="B890" s="21">
        <f t="shared" si="148"/>
        <v>878</v>
      </c>
      <c r="C890" s="13" t="str">
        <f t="shared" si="147"/>
        <v>N184_疾患開始日</v>
      </c>
      <c r="D890" s="13" t="s">
        <v>6537</v>
      </c>
      <c r="E890" s="8"/>
      <c r="F890" s="7" t="s">
        <v>4348</v>
      </c>
      <c r="G890" s="7" t="s">
        <v>25</v>
      </c>
      <c r="H890" s="58"/>
      <c r="I890" s="23"/>
      <c r="J890" s="24"/>
      <c r="M890" s="4"/>
      <c r="N890" s="76"/>
      <c r="O890" s="76"/>
      <c r="P890" s="76" t="str">
        <f t="shared" si="149"/>
        <v>,shikkan877_start_date</v>
      </c>
      <c r="Q890" s="76" t="str">
        <f t="shared" si="150"/>
        <v>DATE</v>
      </c>
      <c r="R890" s="76" t="str">
        <f t="shared" si="151"/>
        <v/>
      </c>
      <c r="S890" s="76" t="str">
        <f t="shared" si="152"/>
        <v/>
      </c>
      <c r="T890" s="76" t="str">
        <f t="shared" si="153"/>
        <v>-- N184_疾患開始日</v>
      </c>
      <c r="U890" s="4" t="str">
        <f t="shared" si="154"/>
        <v>, CASE WHEN shikkan_disp_name = 'N184' THEN min_shikkan_start_date ::DATE ELSE NULL END AS shikkan877_start_date</v>
      </c>
      <c r="V890" s="25" t="str">
        <f t="shared" si="155"/>
        <v>, max(shikkan877_start_date)</v>
      </c>
      <c r="AA890" s="4"/>
      <c r="AB890" s="4"/>
      <c r="AC890" s="4"/>
      <c r="AD890" s="4"/>
      <c r="AE890" s="4"/>
      <c r="AF890" s="4"/>
      <c r="AG890" s="4"/>
      <c r="AH890" s="4"/>
      <c r="AI890" s="4"/>
      <c r="AJ890" s="76" t="str">
        <f>IF(E890="○",IF(COUNTA(E$13:E890)=1,"",",")&amp;D890,"")</f>
        <v/>
      </c>
      <c r="AK890" s="4"/>
      <c r="AL890" s="4"/>
      <c r="AM890" s="4"/>
      <c r="AN890" s="4"/>
      <c r="AO890" s="4"/>
      <c r="AP890" s="4"/>
      <c r="AQ890" s="4"/>
      <c r="AR890" s="4"/>
      <c r="AS890" s="76" t="str">
        <f>"COMMENT ON COLUMN "&amp;エンティティ一覧!$O$2&amp;"."&amp;D$8&amp;"."&amp;D890&amp;" IS '"&amp;C890&amp;"';"</f>
        <v>COMMENT ON COLUMN milscm_2023_009.sny_202310_annony_shikkan2.shikkan877_start_date IS 'N184_疾患開始日';</v>
      </c>
    </row>
    <row r="891" spans="1:45" s="25" customFormat="1">
      <c r="A891" s="4" t="s">
        <v>5940</v>
      </c>
      <c r="B891" s="21">
        <f t="shared" si="148"/>
        <v>879</v>
      </c>
      <c r="C891" s="13" t="str">
        <f t="shared" si="147"/>
        <v>N185_疾患開始日</v>
      </c>
      <c r="D891" s="13" t="s">
        <v>6538</v>
      </c>
      <c r="E891" s="8"/>
      <c r="F891" s="7" t="s">
        <v>4348</v>
      </c>
      <c r="G891" s="7" t="s">
        <v>25</v>
      </c>
      <c r="H891" s="58"/>
      <c r="I891" s="23"/>
      <c r="J891" s="24"/>
      <c r="M891" s="4"/>
      <c r="N891" s="76"/>
      <c r="O891" s="76"/>
      <c r="P891" s="76" t="str">
        <f t="shared" si="149"/>
        <v>,shikkan878_start_date</v>
      </c>
      <c r="Q891" s="76" t="str">
        <f t="shared" si="150"/>
        <v>DATE</v>
      </c>
      <c r="R891" s="76" t="str">
        <f t="shared" si="151"/>
        <v/>
      </c>
      <c r="S891" s="76" t="str">
        <f t="shared" si="152"/>
        <v/>
      </c>
      <c r="T891" s="76" t="str">
        <f t="shared" si="153"/>
        <v>-- N185_疾患開始日</v>
      </c>
      <c r="U891" s="4" t="str">
        <f t="shared" si="154"/>
        <v>, CASE WHEN shikkan_disp_name = 'N185' THEN min_shikkan_start_date ::DATE ELSE NULL END AS shikkan878_start_date</v>
      </c>
      <c r="V891" s="25" t="str">
        <f t="shared" si="155"/>
        <v>, max(shikkan878_start_date)</v>
      </c>
      <c r="AA891" s="4"/>
      <c r="AB891" s="4"/>
      <c r="AC891" s="4"/>
      <c r="AD891" s="4"/>
      <c r="AE891" s="4"/>
      <c r="AF891" s="4"/>
      <c r="AG891" s="4"/>
      <c r="AH891" s="4"/>
      <c r="AI891" s="4"/>
      <c r="AJ891" s="76" t="str">
        <f>IF(E891="○",IF(COUNTA(E$13:E891)=1,"",",")&amp;D891,"")</f>
        <v/>
      </c>
      <c r="AK891" s="4"/>
      <c r="AL891" s="4"/>
      <c r="AM891" s="4"/>
      <c r="AN891" s="4"/>
      <c r="AO891" s="4"/>
      <c r="AP891" s="4"/>
      <c r="AQ891" s="4"/>
      <c r="AR891" s="4"/>
      <c r="AS891" s="76" t="str">
        <f>"COMMENT ON COLUMN "&amp;エンティティ一覧!$O$2&amp;"."&amp;D$8&amp;"."&amp;D891&amp;" IS '"&amp;C891&amp;"';"</f>
        <v>COMMENT ON COLUMN milscm_2023_009.sny_202310_annony_shikkan2.shikkan878_start_date IS 'N185_疾患開始日';</v>
      </c>
    </row>
    <row r="892" spans="1:45" s="25" customFormat="1">
      <c r="A892" s="4" t="s">
        <v>5941</v>
      </c>
      <c r="B892" s="21">
        <f t="shared" si="148"/>
        <v>880</v>
      </c>
      <c r="C892" s="13" t="str">
        <f t="shared" si="147"/>
        <v>N189_疾患開始日</v>
      </c>
      <c r="D892" s="13" t="s">
        <v>6539</v>
      </c>
      <c r="E892" s="8"/>
      <c r="F892" s="7" t="s">
        <v>4348</v>
      </c>
      <c r="G892" s="7" t="s">
        <v>25</v>
      </c>
      <c r="H892" s="58"/>
      <c r="I892" s="23"/>
      <c r="J892" s="24"/>
      <c r="M892" s="4"/>
      <c r="N892" s="76"/>
      <c r="O892" s="76"/>
      <c r="P892" s="76" t="str">
        <f t="shared" si="149"/>
        <v>,shikkan879_start_date</v>
      </c>
      <c r="Q892" s="76" t="str">
        <f t="shared" si="150"/>
        <v>DATE</v>
      </c>
      <c r="R892" s="76" t="str">
        <f t="shared" si="151"/>
        <v/>
      </c>
      <c r="S892" s="76" t="str">
        <f t="shared" si="152"/>
        <v/>
      </c>
      <c r="T892" s="76" t="str">
        <f t="shared" si="153"/>
        <v>-- N189_疾患開始日</v>
      </c>
      <c r="U892" s="4" t="str">
        <f t="shared" si="154"/>
        <v>, CASE WHEN shikkan_disp_name = 'N189' THEN min_shikkan_start_date ::DATE ELSE NULL END AS shikkan879_start_date</v>
      </c>
      <c r="V892" s="25" t="str">
        <f t="shared" si="155"/>
        <v>, max(shikkan879_start_date)</v>
      </c>
      <c r="AA892" s="4"/>
      <c r="AB892" s="4"/>
      <c r="AC892" s="4"/>
      <c r="AD892" s="4"/>
      <c r="AE892" s="4"/>
      <c r="AF892" s="4"/>
      <c r="AG892" s="4"/>
      <c r="AH892" s="4"/>
      <c r="AI892" s="4"/>
      <c r="AJ892" s="76" t="str">
        <f>IF(E892="○",IF(COUNTA(E$13:E892)=1,"",",")&amp;D892,"")</f>
        <v/>
      </c>
      <c r="AK892" s="4"/>
      <c r="AL892" s="4"/>
      <c r="AM892" s="4"/>
      <c r="AN892" s="4"/>
      <c r="AO892" s="4"/>
      <c r="AP892" s="4"/>
      <c r="AQ892" s="4"/>
      <c r="AR892" s="4"/>
      <c r="AS892" s="76" t="str">
        <f>"COMMENT ON COLUMN "&amp;エンティティ一覧!$O$2&amp;"."&amp;D$8&amp;"."&amp;D892&amp;" IS '"&amp;C892&amp;"';"</f>
        <v>COMMENT ON COLUMN milscm_2023_009.sny_202310_annony_shikkan2.shikkan879_start_date IS 'N189_疾患開始日';</v>
      </c>
    </row>
    <row r="893" spans="1:45" s="25" customFormat="1">
      <c r="A893" s="4" t="s">
        <v>5138</v>
      </c>
      <c r="B893" s="21">
        <f t="shared" si="148"/>
        <v>881</v>
      </c>
      <c r="C893" s="13" t="str">
        <f t="shared" si="147"/>
        <v>N19_疾患開始日</v>
      </c>
      <c r="D893" s="13" t="s">
        <v>6540</v>
      </c>
      <c r="E893" s="8"/>
      <c r="F893" s="7" t="s">
        <v>4348</v>
      </c>
      <c r="G893" s="7" t="s">
        <v>25</v>
      </c>
      <c r="H893" s="58"/>
      <c r="I893" s="23"/>
      <c r="J893" s="24"/>
      <c r="M893" s="4"/>
      <c r="N893" s="76"/>
      <c r="O893" s="76"/>
      <c r="P893" s="76" t="str">
        <f t="shared" si="149"/>
        <v>,shikkan880_start_date</v>
      </c>
      <c r="Q893" s="76" t="str">
        <f t="shared" si="150"/>
        <v>DATE</v>
      </c>
      <c r="R893" s="76" t="str">
        <f t="shared" si="151"/>
        <v/>
      </c>
      <c r="S893" s="76" t="str">
        <f t="shared" si="152"/>
        <v/>
      </c>
      <c r="T893" s="76" t="str">
        <f t="shared" si="153"/>
        <v>-- N19_疾患開始日</v>
      </c>
      <c r="U893" s="4" t="str">
        <f t="shared" si="154"/>
        <v>, CASE WHEN shikkan_disp_name = 'N19' THEN min_shikkan_start_date ::DATE ELSE NULL END AS shikkan880_start_date</v>
      </c>
      <c r="V893" s="25" t="str">
        <f t="shared" si="155"/>
        <v>, max(shikkan880_start_date)</v>
      </c>
      <c r="AA893" s="4"/>
      <c r="AB893" s="4"/>
      <c r="AC893" s="4"/>
      <c r="AD893" s="4"/>
      <c r="AE893" s="4"/>
      <c r="AF893" s="4"/>
      <c r="AG893" s="4"/>
      <c r="AH893" s="4"/>
      <c r="AI893" s="4"/>
      <c r="AJ893" s="76" t="str">
        <f>IF(E893="○",IF(COUNTA(E$13:E893)=1,"",",")&amp;D893,"")</f>
        <v/>
      </c>
      <c r="AK893" s="4"/>
      <c r="AL893" s="4"/>
      <c r="AM893" s="4"/>
      <c r="AN893" s="4"/>
      <c r="AO893" s="4"/>
      <c r="AP893" s="4"/>
      <c r="AQ893" s="4"/>
      <c r="AR893" s="4"/>
      <c r="AS893" s="76" t="str">
        <f>"COMMENT ON COLUMN "&amp;エンティティ一覧!$O$2&amp;"."&amp;D$8&amp;"."&amp;D893&amp;" IS '"&amp;C893&amp;"';"</f>
        <v>COMMENT ON COLUMN milscm_2023_009.sny_202310_annony_shikkan2.shikkan880_start_date IS 'N19_疾患開始日';</v>
      </c>
    </row>
    <row r="894" spans="1:45" s="25" customFormat="1">
      <c r="A894" s="4" t="s">
        <v>5942</v>
      </c>
      <c r="B894" s="21">
        <f t="shared" si="148"/>
        <v>882</v>
      </c>
      <c r="C894" s="13" t="str">
        <f t="shared" si="147"/>
        <v>N250_疾患開始日</v>
      </c>
      <c r="D894" s="13" t="s">
        <v>6541</v>
      </c>
      <c r="E894" s="8"/>
      <c r="F894" s="7" t="s">
        <v>4348</v>
      </c>
      <c r="G894" s="7" t="s">
        <v>25</v>
      </c>
      <c r="H894" s="58"/>
      <c r="I894" s="23"/>
      <c r="J894" s="24"/>
      <c r="M894" s="4"/>
      <c r="N894" s="76"/>
      <c r="O894" s="76"/>
      <c r="P894" s="76" t="str">
        <f t="shared" si="149"/>
        <v>,shikkan881_start_date</v>
      </c>
      <c r="Q894" s="76" t="str">
        <f t="shared" si="150"/>
        <v>DATE</v>
      </c>
      <c r="R894" s="76" t="str">
        <f t="shared" si="151"/>
        <v/>
      </c>
      <c r="S894" s="76" t="str">
        <f t="shared" si="152"/>
        <v/>
      </c>
      <c r="T894" s="76" t="str">
        <f t="shared" si="153"/>
        <v>-- N250_疾患開始日</v>
      </c>
      <c r="U894" s="4" t="str">
        <f t="shared" si="154"/>
        <v>, CASE WHEN shikkan_disp_name = 'N250' THEN min_shikkan_start_date ::DATE ELSE NULL END AS shikkan881_start_date</v>
      </c>
      <c r="V894" s="25" t="str">
        <f t="shared" si="155"/>
        <v>, max(shikkan881_start_date)</v>
      </c>
      <c r="AA894" s="4"/>
      <c r="AB894" s="4"/>
      <c r="AC894" s="4"/>
      <c r="AD894" s="4"/>
      <c r="AE894" s="4"/>
      <c r="AF894" s="4"/>
      <c r="AG894" s="4"/>
      <c r="AH894" s="4"/>
      <c r="AI894" s="4"/>
      <c r="AJ894" s="76" t="str">
        <f>IF(E894="○",IF(COUNTA(E$13:E894)=1,"",",")&amp;D894,"")</f>
        <v/>
      </c>
      <c r="AK894" s="4"/>
      <c r="AL894" s="4"/>
      <c r="AM894" s="4"/>
      <c r="AN894" s="4"/>
      <c r="AO894" s="4"/>
      <c r="AP894" s="4"/>
      <c r="AQ894" s="4"/>
      <c r="AR894" s="4"/>
      <c r="AS894" s="76" t="str">
        <f>"COMMENT ON COLUMN "&amp;エンティティ一覧!$O$2&amp;"."&amp;D$8&amp;"."&amp;D894&amp;" IS '"&amp;C894&amp;"';"</f>
        <v>COMMENT ON COLUMN milscm_2023_009.sny_202310_annony_shikkan2.shikkan881_start_date IS 'N250_疾患開始日';</v>
      </c>
    </row>
    <row r="895" spans="1:45" s="25" customFormat="1">
      <c r="A895" s="4" t="s">
        <v>5943</v>
      </c>
      <c r="B895" s="21">
        <f t="shared" si="148"/>
        <v>883</v>
      </c>
      <c r="C895" s="13" t="str">
        <f t="shared" si="147"/>
        <v>P290_疾患開始日</v>
      </c>
      <c r="D895" s="13" t="s">
        <v>6542</v>
      </c>
      <c r="E895" s="8"/>
      <c r="F895" s="7" t="s">
        <v>4348</v>
      </c>
      <c r="G895" s="7" t="s">
        <v>25</v>
      </c>
      <c r="H895" s="58"/>
      <c r="I895" s="23"/>
      <c r="J895" s="24"/>
      <c r="M895" s="4"/>
      <c r="N895" s="76"/>
      <c r="O895" s="76"/>
      <c r="P895" s="76" t="str">
        <f t="shared" si="149"/>
        <v>,shikkan882_start_date</v>
      </c>
      <c r="Q895" s="76" t="str">
        <f t="shared" si="150"/>
        <v>DATE</v>
      </c>
      <c r="R895" s="76" t="str">
        <f t="shared" si="151"/>
        <v/>
      </c>
      <c r="S895" s="76" t="str">
        <f t="shared" si="152"/>
        <v/>
      </c>
      <c r="T895" s="76" t="str">
        <f t="shared" si="153"/>
        <v>-- P290_疾患開始日</v>
      </c>
      <c r="U895" s="4" t="str">
        <f t="shared" si="154"/>
        <v>, CASE WHEN shikkan_disp_name = 'P290' THEN min_shikkan_start_date ::DATE ELSE NULL END AS shikkan882_start_date</v>
      </c>
      <c r="V895" s="25" t="str">
        <f t="shared" si="155"/>
        <v>, max(shikkan882_start_date)</v>
      </c>
      <c r="AA895" s="4"/>
      <c r="AB895" s="4"/>
      <c r="AC895" s="4"/>
      <c r="AD895" s="4"/>
      <c r="AE895" s="4"/>
      <c r="AF895" s="4"/>
      <c r="AG895" s="4"/>
      <c r="AH895" s="4"/>
      <c r="AI895" s="4"/>
      <c r="AJ895" s="76" t="str">
        <f>IF(E895="○",IF(COUNTA(E$13:E895)=1,"",",")&amp;D895,"")</f>
        <v/>
      </c>
      <c r="AK895" s="4"/>
      <c r="AL895" s="4"/>
      <c r="AM895" s="4"/>
      <c r="AN895" s="4"/>
      <c r="AO895" s="4"/>
      <c r="AP895" s="4"/>
      <c r="AQ895" s="4"/>
      <c r="AR895" s="4"/>
      <c r="AS895" s="76" t="str">
        <f>"COMMENT ON COLUMN "&amp;エンティティ一覧!$O$2&amp;"."&amp;D$8&amp;"."&amp;D895&amp;" IS '"&amp;C895&amp;"';"</f>
        <v>COMMENT ON COLUMN milscm_2023_009.sny_202310_annony_shikkan2.shikkan882_start_date IS 'P290_疾患開始日';</v>
      </c>
    </row>
    <row r="896" spans="1:45" s="25" customFormat="1">
      <c r="A896" s="4" t="s">
        <v>5944</v>
      </c>
      <c r="B896" s="21">
        <f t="shared" si="148"/>
        <v>884</v>
      </c>
      <c r="C896" s="13" t="str">
        <f t="shared" si="147"/>
        <v>Z490_疾患開始日</v>
      </c>
      <c r="D896" s="13" t="s">
        <v>6543</v>
      </c>
      <c r="E896" s="8"/>
      <c r="F896" s="7" t="s">
        <v>4348</v>
      </c>
      <c r="G896" s="7" t="s">
        <v>25</v>
      </c>
      <c r="H896" s="58"/>
      <c r="I896" s="23"/>
      <c r="J896" s="24"/>
      <c r="M896" s="4"/>
      <c r="N896" s="76"/>
      <c r="O896" s="76"/>
      <c r="P896" s="76" t="str">
        <f t="shared" si="149"/>
        <v>,shikkan883_start_date</v>
      </c>
      <c r="Q896" s="76" t="str">
        <f t="shared" si="150"/>
        <v>DATE</v>
      </c>
      <c r="R896" s="76" t="str">
        <f t="shared" si="151"/>
        <v/>
      </c>
      <c r="S896" s="76" t="str">
        <f t="shared" si="152"/>
        <v/>
      </c>
      <c r="T896" s="76" t="str">
        <f t="shared" si="153"/>
        <v>-- Z490_疾患開始日</v>
      </c>
      <c r="U896" s="4" t="str">
        <f t="shared" si="154"/>
        <v>, CASE WHEN shikkan_disp_name = 'Z490' THEN min_shikkan_start_date ::DATE ELSE NULL END AS shikkan883_start_date</v>
      </c>
      <c r="V896" s="25" t="str">
        <f t="shared" si="155"/>
        <v>, max(shikkan883_start_date)</v>
      </c>
      <c r="AA896" s="4"/>
      <c r="AB896" s="4"/>
      <c r="AC896" s="4"/>
      <c r="AD896" s="4"/>
      <c r="AE896" s="4"/>
      <c r="AF896" s="4"/>
      <c r="AG896" s="4"/>
      <c r="AH896" s="4"/>
      <c r="AI896" s="4"/>
      <c r="AJ896" s="76" t="str">
        <f>IF(E896="○",IF(COUNTA(E$13:E896)=1,"",",")&amp;D896,"")</f>
        <v/>
      </c>
      <c r="AK896" s="4"/>
      <c r="AL896" s="4"/>
      <c r="AM896" s="4"/>
      <c r="AN896" s="4"/>
      <c r="AO896" s="4"/>
      <c r="AP896" s="4"/>
      <c r="AQ896" s="4"/>
      <c r="AR896" s="4"/>
      <c r="AS896" s="76" t="str">
        <f>"COMMENT ON COLUMN "&amp;エンティティ一覧!$O$2&amp;"."&amp;D$8&amp;"."&amp;D896&amp;" IS '"&amp;C896&amp;"';"</f>
        <v>COMMENT ON COLUMN milscm_2023_009.sny_202310_annony_shikkan2.shikkan883_start_date IS 'Z490_疾患開始日';</v>
      </c>
    </row>
    <row r="897" spans="1:52" s="25" customFormat="1">
      <c r="A897" s="4" t="s">
        <v>5945</v>
      </c>
      <c r="B897" s="21">
        <f t="shared" si="148"/>
        <v>885</v>
      </c>
      <c r="C897" s="13" t="str">
        <f t="shared" si="147"/>
        <v>Z491_疾患開始日</v>
      </c>
      <c r="D897" s="13" t="s">
        <v>6544</v>
      </c>
      <c r="E897" s="8"/>
      <c r="F897" s="7" t="s">
        <v>4348</v>
      </c>
      <c r="G897" s="7" t="s">
        <v>25</v>
      </c>
      <c r="H897" s="58"/>
      <c r="I897" s="23"/>
      <c r="J897" s="24"/>
      <c r="M897" s="4"/>
      <c r="N897" s="76"/>
      <c r="O897" s="76"/>
      <c r="P897" s="76" t="str">
        <f t="shared" si="149"/>
        <v>,shikkan884_start_date</v>
      </c>
      <c r="Q897" s="76" t="str">
        <f t="shared" si="150"/>
        <v>DATE</v>
      </c>
      <c r="R897" s="76" t="str">
        <f t="shared" si="151"/>
        <v/>
      </c>
      <c r="S897" s="76" t="str">
        <f t="shared" si="152"/>
        <v/>
      </c>
      <c r="T897" s="76" t="str">
        <f t="shared" si="153"/>
        <v>-- Z491_疾患開始日</v>
      </c>
      <c r="U897" s="4" t="str">
        <f t="shared" si="154"/>
        <v>, CASE WHEN shikkan_disp_name = 'Z491' THEN min_shikkan_start_date ::DATE ELSE NULL END AS shikkan884_start_date</v>
      </c>
      <c r="V897" s="25" t="str">
        <f t="shared" si="155"/>
        <v>, max(shikkan884_start_date)</v>
      </c>
      <c r="AA897" s="4"/>
      <c r="AB897" s="4"/>
      <c r="AC897" s="4"/>
      <c r="AD897" s="4"/>
      <c r="AE897" s="4"/>
      <c r="AF897" s="4"/>
      <c r="AG897" s="4"/>
      <c r="AH897" s="4"/>
      <c r="AI897" s="4"/>
      <c r="AJ897" s="76" t="str">
        <f>IF(E897="○",IF(COUNTA(E$13:E897)=1,"",",")&amp;D897,"")</f>
        <v/>
      </c>
      <c r="AK897" s="4"/>
      <c r="AL897" s="4"/>
      <c r="AM897" s="4"/>
      <c r="AN897" s="4"/>
      <c r="AO897" s="4"/>
      <c r="AP897" s="4"/>
      <c r="AQ897" s="4"/>
      <c r="AR897" s="4"/>
      <c r="AS897" s="76" t="str">
        <f>"COMMENT ON COLUMN "&amp;エンティティ一覧!$O$2&amp;"."&amp;D$8&amp;"."&amp;D897&amp;" IS '"&amp;C897&amp;"';"</f>
        <v>COMMENT ON COLUMN milscm_2023_009.sny_202310_annony_shikkan2.shikkan884_start_date IS 'Z491_疾患開始日';</v>
      </c>
    </row>
    <row r="898" spans="1:52" s="25" customFormat="1">
      <c r="A898" s="4" t="s">
        <v>5946</v>
      </c>
      <c r="B898" s="21">
        <f t="shared" si="148"/>
        <v>886</v>
      </c>
      <c r="C898" s="13" t="str">
        <f t="shared" si="147"/>
        <v>Z492_疾患開始日</v>
      </c>
      <c r="D898" s="13" t="s">
        <v>6545</v>
      </c>
      <c r="E898" s="8"/>
      <c r="F898" s="7" t="s">
        <v>4348</v>
      </c>
      <c r="G898" s="7" t="s">
        <v>25</v>
      </c>
      <c r="H898" s="58"/>
      <c r="I898" s="23"/>
      <c r="J898" s="24"/>
      <c r="M898" s="4"/>
      <c r="N898" s="76"/>
      <c r="O898" s="76"/>
      <c r="P898" s="76" t="str">
        <f t="shared" si="149"/>
        <v>,shikkan885_start_date</v>
      </c>
      <c r="Q898" s="76" t="str">
        <f t="shared" si="150"/>
        <v>DATE</v>
      </c>
      <c r="R898" s="76" t="str">
        <f t="shared" si="151"/>
        <v/>
      </c>
      <c r="S898" s="76" t="str">
        <f t="shared" si="152"/>
        <v/>
      </c>
      <c r="T898" s="76" t="str">
        <f t="shared" si="153"/>
        <v>-- Z492_疾患開始日</v>
      </c>
      <c r="U898" s="4" t="str">
        <f t="shared" si="154"/>
        <v>, CASE WHEN shikkan_disp_name = 'Z492' THEN min_shikkan_start_date ::DATE ELSE NULL END AS shikkan885_start_date</v>
      </c>
      <c r="V898" s="25" t="str">
        <f t="shared" si="155"/>
        <v>, max(shikkan885_start_date)</v>
      </c>
      <c r="AA898" s="4"/>
      <c r="AB898" s="4"/>
      <c r="AC898" s="4"/>
      <c r="AD898" s="4"/>
      <c r="AE898" s="4"/>
      <c r="AF898" s="4"/>
      <c r="AG898" s="4"/>
      <c r="AH898" s="4"/>
      <c r="AI898" s="4"/>
      <c r="AJ898" s="76" t="str">
        <f>IF(E898="○",IF(COUNTA(E$13:E898)=1,"",",")&amp;D898,"")</f>
        <v/>
      </c>
      <c r="AK898" s="4"/>
      <c r="AL898" s="4"/>
      <c r="AM898" s="4"/>
      <c r="AN898" s="4"/>
      <c r="AO898" s="4"/>
      <c r="AP898" s="4"/>
      <c r="AQ898" s="4"/>
      <c r="AR898" s="4"/>
      <c r="AS898" s="76" t="str">
        <f>"COMMENT ON COLUMN "&amp;エンティティ一覧!$O$2&amp;"."&amp;D$8&amp;"."&amp;D898&amp;" IS '"&amp;C898&amp;"';"</f>
        <v>COMMENT ON COLUMN milscm_2023_009.sny_202310_annony_shikkan2.shikkan885_start_date IS 'Z492_疾患開始日';</v>
      </c>
    </row>
    <row r="899" spans="1:52" s="25" customFormat="1">
      <c r="A899" s="4" t="s">
        <v>5139</v>
      </c>
      <c r="B899" s="21">
        <f t="shared" si="148"/>
        <v>887</v>
      </c>
      <c r="C899" s="13" t="str">
        <f t="shared" si="147"/>
        <v>Z940_疾患開始日</v>
      </c>
      <c r="D899" s="13" t="s">
        <v>6546</v>
      </c>
      <c r="E899" s="8"/>
      <c r="F899" s="7" t="s">
        <v>4348</v>
      </c>
      <c r="G899" s="7" t="s">
        <v>25</v>
      </c>
      <c r="H899" s="58"/>
      <c r="I899" s="23"/>
      <c r="J899" s="24"/>
      <c r="M899" s="4"/>
      <c r="N899" s="76"/>
      <c r="O899" s="76"/>
      <c r="P899" s="76" t="str">
        <f t="shared" si="149"/>
        <v>,shikkan886_start_date</v>
      </c>
      <c r="Q899" s="76" t="str">
        <f t="shared" si="150"/>
        <v>DATE</v>
      </c>
      <c r="R899" s="76" t="str">
        <f t="shared" si="151"/>
        <v/>
      </c>
      <c r="S899" s="76" t="str">
        <f t="shared" si="152"/>
        <v/>
      </c>
      <c r="T899" s="76" t="str">
        <f t="shared" si="153"/>
        <v>-- Z940_疾患開始日</v>
      </c>
      <c r="U899" s="4" t="str">
        <f t="shared" si="154"/>
        <v>, CASE WHEN shikkan_disp_name = 'Z940' THEN min_shikkan_start_date ::DATE ELSE NULL END AS shikkan886_start_date</v>
      </c>
      <c r="V899" s="25" t="str">
        <f t="shared" si="155"/>
        <v>, max(shikkan886_start_date)</v>
      </c>
      <c r="AA899" s="4"/>
      <c r="AB899" s="4"/>
      <c r="AC899" s="4"/>
      <c r="AD899" s="4"/>
      <c r="AE899" s="4"/>
      <c r="AF899" s="4"/>
      <c r="AG899" s="4"/>
      <c r="AH899" s="4"/>
      <c r="AI899" s="4"/>
      <c r="AJ899" s="76" t="str">
        <f>IF(E899="○",IF(COUNTA(E$13:E899)=1,"",",")&amp;D899,"")</f>
        <v/>
      </c>
      <c r="AK899" s="4"/>
      <c r="AL899" s="4"/>
      <c r="AM899" s="4"/>
      <c r="AN899" s="4"/>
      <c r="AO899" s="4"/>
      <c r="AP899" s="4"/>
      <c r="AQ899" s="4"/>
      <c r="AR899" s="4"/>
      <c r="AS899" s="76" t="str">
        <f>"COMMENT ON COLUMN "&amp;エンティティ一覧!$O$2&amp;"."&amp;D$8&amp;"."&amp;D899&amp;" IS '"&amp;C899&amp;"';"</f>
        <v>COMMENT ON COLUMN milscm_2023_009.sny_202310_annony_shikkan2.shikkan886_start_date IS 'Z940_疾患開始日';</v>
      </c>
    </row>
    <row r="900" spans="1:52" s="25" customFormat="1">
      <c r="A900" s="4" t="s">
        <v>5087</v>
      </c>
      <c r="B900" s="21">
        <f t="shared" si="148"/>
        <v>888</v>
      </c>
      <c r="C900" s="13" t="str">
        <f t="shared" si="147"/>
        <v>Z944_疾患開始日</v>
      </c>
      <c r="D900" s="13" t="s">
        <v>6547</v>
      </c>
      <c r="E900" s="8"/>
      <c r="F900" s="7" t="s">
        <v>4348</v>
      </c>
      <c r="G900" s="7" t="s">
        <v>25</v>
      </c>
      <c r="H900" s="58"/>
      <c r="I900" s="23"/>
      <c r="J900" s="24"/>
      <c r="M900" s="4"/>
      <c r="N900" s="76"/>
      <c r="O900" s="76"/>
      <c r="P900" s="76" t="str">
        <f t="shared" si="149"/>
        <v>,shikkan887_start_date</v>
      </c>
      <c r="Q900" s="76" t="str">
        <f t="shared" si="150"/>
        <v>DATE</v>
      </c>
      <c r="R900" s="76" t="str">
        <f t="shared" si="151"/>
        <v/>
      </c>
      <c r="S900" s="76" t="str">
        <f t="shared" si="152"/>
        <v/>
      </c>
      <c r="T900" s="76" t="str">
        <f t="shared" si="153"/>
        <v>-- Z944_疾患開始日</v>
      </c>
      <c r="U900" s="4" t="str">
        <f t="shared" si="154"/>
        <v>, CASE WHEN shikkan_disp_name = 'Z944' THEN min_shikkan_start_date ::DATE ELSE NULL END AS shikkan887_start_date</v>
      </c>
      <c r="V900" s="25" t="str">
        <f t="shared" si="155"/>
        <v>, max(shikkan887_start_date)</v>
      </c>
      <c r="AA900" s="4"/>
      <c r="AB900" s="4"/>
      <c r="AC900" s="4"/>
      <c r="AD900" s="4"/>
      <c r="AE900" s="4"/>
      <c r="AF900" s="4"/>
      <c r="AG900" s="4"/>
      <c r="AH900" s="4"/>
      <c r="AI900" s="4"/>
      <c r="AJ900" s="76" t="str">
        <f>IF(E900="○",IF(COUNTA(E$13:E900)=1,"",",")&amp;D900,"")</f>
        <v/>
      </c>
      <c r="AK900" s="4"/>
      <c r="AL900" s="4"/>
      <c r="AM900" s="4"/>
      <c r="AN900" s="4"/>
      <c r="AO900" s="4"/>
      <c r="AP900" s="4"/>
      <c r="AQ900" s="4"/>
      <c r="AR900" s="4"/>
      <c r="AS900" s="76" t="str">
        <f>"COMMENT ON COLUMN "&amp;エンティティ一覧!$O$2&amp;"."&amp;D$8&amp;"."&amp;D900&amp;" IS '"&amp;C900&amp;"';"</f>
        <v>COMMENT ON COLUMN milscm_2023_009.sny_202310_annony_shikkan2.shikkan887_start_date IS 'Z944_疾患開始日';</v>
      </c>
    </row>
    <row r="901" spans="1:52" s="25" customFormat="1">
      <c r="A901" s="4" t="s">
        <v>5947</v>
      </c>
      <c r="B901" s="21">
        <f t="shared" si="148"/>
        <v>889</v>
      </c>
      <c r="C901" s="13" t="str">
        <f t="shared" si="147"/>
        <v>Z958_疾患開始日</v>
      </c>
      <c r="D901" s="13" t="s">
        <v>6548</v>
      </c>
      <c r="E901" s="8"/>
      <c r="F901" s="7" t="s">
        <v>4348</v>
      </c>
      <c r="G901" s="7" t="s">
        <v>25</v>
      </c>
      <c r="H901" s="58"/>
      <c r="I901" s="23"/>
      <c r="J901" s="24"/>
      <c r="M901" s="4"/>
      <c r="N901" s="76"/>
      <c r="O901" s="76"/>
      <c r="P901" s="76" t="str">
        <f t="shared" si="149"/>
        <v>,shikkan888_start_date</v>
      </c>
      <c r="Q901" s="76" t="str">
        <f t="shared" si="150"/>
        <v>DATE</v>
      </c>
      <c r="R901" s="76" t="str">
        <f t="shared" si="151"/>
        <v/>
      </c>
      <c r="S901" s="76" t="str">
        <f t="shared" si="152"/>
        <v/>
      </c>
      <c r="T901" s="76" t="str">
        <f t="shared" si="153"/>
        <v>-- Z958_疾患開始日</v>
      </c>
      <c r="U901" s="4" t="str">
        <f t="shared" si="154"/>
        <v>, CASE WHEN shikkan_disp_name = 'Z958' THEN min_shikkan_start_date ::DATE ELSE NULL END AS shikkan888_start_date</v>
      </c>
      <c r="V901" s="25" t="str">
        <f t="shared" si="155"/>
        <v>, max(shikkan888_start_date)</v>
      </c>
      <c r="AA901" s="4"/>
      <c r="AB901" s="4"/>
      <c r="AC901" s="4"/>
      <c r="AD901" s="4"/>
      <c r="AE901" s="4"/>
      <c r="AF901" s="4"/>
      <c r="AG901" s="4"/>
      <c r="AH901" s="4"/>
      <c r="AI901" s="4"/>
      <c r="AJ901" s="76" t="str">
        <f>IF(E901="○",IF(COUNTA(E$13:E901)=1,"",",")&amp;D901,"")</f>
        <v/>
      </c>
      <c r="AK901" s="4"/>
      <c r="AL901" s="4"/>
      <c r="AM901" s="4"/>
      <c r="AN901" s="4"/>
      <c r="AO901" s="4"/>
      <c r="AP901" s="4"/>
      <c r="AQ901" s="4"/>
      <c r="AR901" s="4"/>
      <c r="AS901" s="76" t="str">
        <f>"COMMENT ON COLUMN "&amp;エンティティ一覧!$O$2&amp;"."&amp;D$8&amp;"."&amp;D901&amp;" IS '"&amp;C901&amp;"';"</f>
        <v>COMMENT ON COLUMN milscm_2023_009.sny_202310_annony_shikkan2.shikkan888_start_date IS 'Z958_疾患開始日';</v>
      </c>
    </row>
    <row r="902" spans="1:52" s="25" customFormat="1">
      <c r="A902" s="4" t="s">
        <v>5948</v>
      </c>
      <c r="B902" s="21">
        <f t="shared" si="148"/>
        <v>890</v>
      </c>
      <c r="C902" s="13" t="str">
        <f t="shared" si="147"/>
        <v>Z959_疾患開始日</v>
      </c>
      <c r="D902" s="13" t="s">
        <v>6549</v>
      </c>
      <c r="E902" s="8"/>
      <c r="F902" s="7" t="s">
        <v>4348</v>
      </c>
      <c r="G902" s="7" t="s">
        <v>25</v>
      </c>
      <c r="H902" s="58"/>
      <c r="I902" s="23"/>
      <c r="J902" s="24"/>
      <c r="M902" s="4"/>
      <c r="N902" s="76"/>
      <c r="O902" s="76"/>
      <c r="P902" s="76" t="str">
        <f t="shared" si="149"/>
        <v>,shikkan889_start_date</v>
      </c>
      <c r="Q902" s="76" t="str">
        <f t="shared" si="150"/>
        <v>DATE</v>
      </c>
      <c r="R902" s="76" t="str">
        <f t="shared" si="151"/>
        <v/>
      </c>
      <c r="S902" s="76" t="str">
        <f t="shared" si="152"/>
        <v/>
      </c>
      <c r="T902" s="76" t="str">
        <f t="shared" si="153"/>
        <v>-- Z959_疾患開始日</v>
      </c>
      <c r="U902" s="4" t="str">
        <f t="shared" si="154"/>
        <v>, CASE WHEN shikkan_disp_name = 'Z959' THEN min_shikkan_start_date ::DATE ELSE NULL END AS shikkan889_start_date</v>
      </c>
      <c r="V902" s="25" t="str">
        <f t="shared" si="155"/>
        <v>, max(shikkan889_start_date)</v>
      </c>
      <c r="AA902" s="4"/>
      <c r="AB902" s="4"/>
      <c r="AC902" s="4"/>
      <c r="AD902" s="4"/>
      <c r="AE902" s="4"/>
      <c r="AF902" s="4"/>
      <c r="AG902" s="4"/>
      <c r="AH902" s="4"/>
      <c r="AI902" s="4"/>
      <c r="AJ902" s="76" t="str">
        <f>IF(E902="○",IF(COUNTA(E$13:E902)=1,"",",")&amp;D902,"")</f>
        <v/>
      </c>
      <c r="AK902" s="4"/>
      <c r="AL902" s="4"/>
      <c r="AM902" s="4"/>
      <c r="AN902" s="4"/>
      <c r="AO902" s="4"/>
      <c r="AP902" s="4"/>
      <c r="AQ902" s="4"/>
      <c r="AR902" s="4"/>
      <c r="AS902" s="76" t="str">
        <f>"COMMENT ON COLUMN "&amp;エンティティ一覧!$O$2&amp;"."&amp;D$8&amp;"."&amp;D902&amp;" IS '"&amp;C902&amp;"';"</f>
        <v>COMMENT ON COLUMN milscm_2023_009.sny_202310_annony_shikkan2.shikkan889_start_date IS 'Z959_疾患開始日';</v>
      </c>
    </row>
    <row r="903" spans="1:52" s="25" customFormat="1" ht="19.5" thickBot="1">
      <c r="A903" s="4" t="s">
        <v>5949</v>
      </c>
      <c r="B903" s="27">
        <f>ROW()-12</f>
        <v>891</v>
      </c>
      <c r="C903" s="57" t="str">
        <f t="shared" si="147"/>
        <v>Z992_疾患開始日</v>
      </c>
      <c r="D903" s="57" t="s">
        <v>6550</v>
      </c>
      <c r="E903" s="56"/>
      <c r="F903" s="56" t="s">
        <v>4348</v>
      </c>
      <c r="G903" s="56" t="s">
        <v>25</v>
      </c>
      <c r="H903" s="59"/>
      <c r="I903" s="60"/>
      <c r="J903" s="64"/>
      <c r="N903" s="76"/>
      <c r="O903" s="76"/>
      <c r="P903" s="76" t="str">
        <f t="shared" si="3"/>
        <v>,shikkan890_start_date</v>
      </c>
      <c r="Q903" s="76" t="str">
        <f t="shared" si="0"/>
        <v>DATE</v>
      </c>
      <c r="R903" s="76" t="str">
        <f t="shared" si="1"/>
        <v/>
      </c>
      <c r="S903" s="76" t="str">
        <f t="shared" si="4"/>
        <v/>
      </c>
      <c r="T903" s="76" t="str">
        <f t="shared" si="5"/>
        <v>-- Z992_疾患開始日</v>
      </c>
      <c r="U903" s="4" t="str">
        <f t="shared" si="68"/>
        <v>, CASE WHEN shikkan_disp_name = 'Z992' THEN min_shikkan_start_date ::DATE ELSE NULL END AS shikkan890_start_date</v>
      </c>
      <c r="V903" s="25" t="str">
        <f t="shared" si="69"/>
        <v>, max(shikkan890_start_date)</v>
      </c>
      <c r="AA903" s="4"/>
      <c r="AB903" s="4"/>
      <c r="AC903" s="4"/>
      <c r="AD903" s="4"/>
      <c r="AE903" s="4"/>
      <c r="AF903" s="4"/>
      <c r="AG903" s="4"/>
      <c r="AH903" s="4"/>
      <c r="AI903" s="4"/>
      <c r="AJ903" s="76" t="str">
        <f>IF(E903="○",IF(COUNTA(E$13:E903)=1,"",",")&amp;D903,"")</f>
        <v/>
      </c>
      <c r="AK903" s="4"/>
      <c r="AL903" s="4"/>
      <c r="AM903" s="4"/>
      <c r="AN903" s="4"/>
      <c r="AO903" s="4"/>
      <c r="AP903" s="4"/>
      <c r="AQ903" s="4"/>
      <c r="AR903" s="4"/>
      <c r="AS903" s="76" t="str">
        <f>"COMMENT ON COLUMN "&amp;エンティティ一覧!$O$2&amp;"."&amp;D$8&amp;"."&amp;D903&amp;" IS '"&amp;C903&amp;"';"</f>
        <v>COMMENT ON COLUMN milscm_2023_009.sny_202310_annony_shikkan2.shikkan890_start_date IS 'Z992_疾患開始日';</v>
      </c>
    </row>
    <row r="904" spans="1:52">
      <c r="L904" s="25"/>
      <c r="M904" s="25"/>
      <c r="N904" s="76" t="s">
        <v>142</v>
      </c>
      <c r="O904" s="76"/>
      <c r="P904" s="76"/>
      <c r="Q904" s="76"/>
      <c r="R904" s="76"/>
      <c r="S904" s="76"/>
      <c r="T904" s="76"/>
      <c r="V904" s="25"/>
      <c r="W904" s="25"/>
      <c r="X904" s="25"/>
      <c r="Y904" s="25"/>
      <c r="Z904" s="25"/>
      <c r="AJ904" s="76" t="s">
        <v>142</v>
      </c>
      <c r="AT904" s="25"/>
      <c r="AU904" s="25"/>
      <c r="AV904" s="25"/>
      <c r="AW904" s="25"/>
      <c r="AX904" s="25"/>
      <c r="AY904" s="25"/>
      <c r="AZ904" s="25"/>
    </row>
    <row r="905" spans="1:52">
      <c r="L905" s="25"/>
      <c r="M905" s="25"/>
      <c r="V905" s="25"/>
      <c r="W905" s="25"/>
      <c r="X905" s="25"/>
      <c r="Y905" s="25"/>
      <c r="Z905" s="25"/>
      <c r="AT905" s="25"/>
      <c r="AU905" s="25"/>
      <c r="AV905" s="25"/>
      <c r="AW905" s="25"/>
      <c r="AX905" s="25"/>
      <c r="AY905" s="25"/>
      <c r="AZ905" s="25"/>
    </row>
    <row r="906" spans="1:52">
      <c r="L906" s="25"/>
      <c r="M906" s="25"/>
      <c r="V906" s="25"/>
      <c r="W906" s="25"/>
      <c r="X906" s="25"/>
      <c r="Y906" s="25"/>
      <c r="Z906" s="25"/>
      <c r="AT906" s="25"/>
      <c r="AU906" s="25"/>
      <c r="AV906" s="25"/>
      <c r="AW906" s="25"/>
      <c r="AX906" s="25"/>
      <c r="AY906" s="25"/>
      <c r="AZ906" s="25"/>
    </row>
    <row r="907" spans="1:52">
      <c r="L907" s="25"/>
      <c r="M907" s="25"/>
      <c r="V907" s="25"/>
      <c r="W907" s="25"/>
      <c r="X907" s="25"/>
      <c r="Y907" s="25"/>
      <c r="Z907" s="25"/>
      <c r="AT907" s="25"/>
      <c r="AU907" s="25"/>
      <c r="AV907" s="25"/>
      <c r="AW907" s="25"/>
      <c r="AX907" s="25"/>
      <c r="AY907" s="25"/>
      <c r="AZ907" s="25"/>
    </row>
    <row r="908" spans="1:52">
      <c r="L908" s="25"/>
      <c r="M908" s="25"/>
      <c r="V908" s="25"/>
      <c r="W908" s="25"/>
      <c r="X908" s="25"/>
      <c r="Y908" s="25"/>
      <c r="Z908" s="25"/>
      <c r="AT908" s="25"/>
      <c r="AU908" s="25"/>
      <c r="AV908" s="25"/>
      <c r="AW908" s="25"/>
      <c r="AX908" s="25"/>
      <c r="AY908" s="25"/>
      <c r="AZ908" s="25"/>
    </row>
    <row r="909" spans="1:52">
      <c r="L909" s="25"/>
      <c r="M909" s="25"/>
      <c r="V909" s="25"/>
      <c r="W909" s="25"/>
      <c r="X909" s="25"/>
      <c r="Y909" s="25"/>
      <c r="Z909" s="25"/>
      <c r="AT909" s="25"/>
      <c r="AU909" s="25"/>
      <c r="AV909" s="25"/>
      <c r="AW909" s="25"/>
      <c r="AX909" s="25"/>
      <c r="AY909" s="25"/>
      <c r="AZ909" s="25"/>
    </row>
    <row r="910" spans="1:52">
      <c r="L910" s="25"/>
      <c r="M910" s="25"/>
      <c r="AT910" s="25"/>
      <c r="AU910" s="25"/>
      <c r="AV910" s="25"/>
      <c r="AW910" s="25"/>
      <c r="AX910" s="25"/>
      <c r="AY910" s="25"/>
      <c r="AZ910" s="25"/>
    </row>
    <row r="911" spans="1:52">
      <c r="L911" s="25"/>
      <c r="M911" s="25"/>
      <c r="AT911" s="25"/>
      <c r="AU911" s="25"/>
      <c r="AV911" s="25"/>
      <c r="AW911" s="25"/>
      <c r="AX911" s="25"/>
      <c r="AY911" s="25"/>
      <c r="AZ911" s="25"/>
    </row>
    <row r="912" spans="1:52">
      <c r="L912" s="25"/>
      <c r="M912" s="25"/>
      <c r="AT912" s="25"/>
      <c r="AU912" s="25"/>
      <c r="AV912" s="25"/>
      <c r="AW912" s="25"/>
      <c r="AX912" s="25"/>
      <c r="AY912" s="25"/>
      <c r="AZ912" s="25"/>
    </row>
    <row r="913" spans="12:52">
      <c r="L913" s="25"/>
      <c r="M913" s="25"/>
      <c r="AT913" s="25"/>
      <c r="AU913" s="25"/>
      <c r="AV913" s="25"/>
      <c r="AW913" s="25"/>
      <c r="AX913" s="25"/>
      <c r="AY913" s="25"/>
      <c r="AZ913" s="25"/>
    </row>
    <row r="914" spans="12:52">
      <c r="L914" s="25"/>
      <c r="M914" s="25"/>
      <c r="AT914" s="25"/>
      <c r="AU914" s="25"/>
      <c r="AV914" s="25"/>
      <c r="AW914" s="25"/>
      <c r="AX914" s="25"/>
      <c r="AY914" s="25"/>
      <c r="AZ914" s="25"/>
    </row>
    <row r="915" spans="12:52">
      <c r="L915" s="25"/>
      <c r="M915" s="25"/>
      <c r="AT915" s="25"/>
      <c r="AU915" s="25"/>
      <c r="AV915" s="25"/>
      <c r="AW915" s="25"/>
      <c r="AX915" s="25"/>
      <c r="AY915" s="25"/>
      <c r="AZ915" s="25"/>
    </row>
    <row r="916" spans="12:52">
      <c r="L916" s="25"/>
      <c r="M916" s="25"/>
      <c r="AT916" s="25"/>
      <c r="AU916" s="25"/>
      <c r="AV916" s="25"/>
      <c r="AW916" s="25"/>
      <c r="AX916" s="25"/>
      <c r="AY916" s="25"/>
      <c r="AZ916" s="25"/>
    </row>
    <row r="917" spans="12:52">
      <c r="L917" s="25"/>
      <c r="M917" s="25"/>
      <c r="AT917" s="25"/>
      <c r="AU917" s="25"/>
      <c r="AV917" s="25"/>
      <c r="AW917" s="25"/>
      <c r="AX917" s="25"/>
      <c r="AY917" s="25"/>
      <c r="AZ917" s="25"/>
    </row>
    <row r="918" spans="12:52">
      <c r="L918" s="25"/>
      <c r="M918" s="25"/>
      <c r="AT918" s="25"/>
      <c r="AU918" s="25"/>
      <c r="AV918" s="25"/>
      <c r="AW918" s="25"/>
      <c r="AX918" s="25"/>
      <c r="AY918" s="25"/>
      <c r="AZ918" s="25"/>
    </row>
    <row r="919" spans="12:52">
      <c r="L919" s="25"/>
      <c r="M919" s="25"/>
      <c r="AV919" s="25"/>
      <c r="AW919" s="25"/>
      <c r="AX919" s="25"/>
      <c r="AY919" s="25"/>
      <c r="AZ919" s="25"/>
    </row>
    <row r="920" spans="12:52">
      <c r="M920" s="25"/>
    </row>
    <row r="921" spans="12:52">
      <c r="M921" s="25"/>
    </row>
    <row r="922" spans="12:52">
      <c r="M922" s="25"/>
    </row>
    <row r="923" spans="12:52">
      <c r="M923" s="25"/>
    </row>
    <row r="924" spans="12:52">
      <c r="M924" s="25"/>
    </row>
    <row r="925" spans="12:52">
      <c r="M9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ENT_61_11</v>
      </c>
      <c r="E6" s="273"/>
      <c r="F6" s="273"/>
      <c r="G6" s="273"/>
      <c r="H6" s="273"/>
      <c r="I6" s="273"/>
      <c r="J6" s="274"/>
    </row>
    <row r="7" spans="1:45">
      <c r="B7" s="262" t="s">
        <v>115</v>
      </c>
      <c r="C7" s="263"/>
      <c r="D7" s="264" t="s">
        <v>5159</v>
      </c>
      <c r="E7" s="265"/>
      <c r="F7" s="265"/>
      <c r="G7" s="265"/>
      <c r="H7" s="265"/>
      <c r="I7" s="265"/>
      <c r="J7" s="266"/>
    </row>
    <row r="8" spans="1:45">
      <c r="B8" s="262" t="s">
        <v>116</v>
      </c>
      <c r="C8" s="263"/>
      <c r="D8" s="264" t="str">
        <f>エンティティ一覧!AE2&amp;"_"&amp;D5&amp;"_bef2"</f>
        <v>sny_202310_annony_bef2</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milscm_2023_009.sny_202310_annony_bef2;</v>
      </c>
      <c r="O10" s="76"/>
      <c r="P10" s="76"/>
      <c r="Q10" s="76"/>
      <c r="R10" s="76"/>
      <c r="S10" s="76"/>
      <c r="T10" s="76"/>
      <c r="AJ10" s="76" t="str">
        <f>"ALTER TABLE ONLY "&amp;エンティティ一覧!$O$2&amp;"."&amp;D$8</f>
        <v>ALTER TABLE ONLY milscm_2023_009.sny_202310_annony_bef2</v>
      </c>
      <c r="AS10" s="76" t="str">
        <f>"ALTER TABLE "&amp;エンティティ一覧!$O$2&amp;"."&amp;D$8&amp;" OWNER TO pgmisgrp1;"</f>
        <v>ALTER TABLE milscm_2023_009.sny_202310_annony_bef2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milscm_2023_009.sny_202310_annony_bef2</v>
      </c>
      <c r="O11" s="76"/>
      <c r="P11" s="76"/>
      <c r="Q11" s="76"/>
      <c r="R11" s="76"/>
      <c r="S11" s="76"/>
      <c r="T11" s="76"/>
      <c r="AJ11" s="76" t="str">
        <f>"ADD CONSTRAINT "&amp;D$8&amp;"_pkey PRIMARY KEY"</f>
        <v>ADD CONSTRAINT sny_202310_annony_bef2_pkey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milscm_2023_009.sny_202310_annony_bef2 IS '匿名化_匿名加工前データ2';</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920" si="0">UPPER(G13)</f>
        <v>TEXT</v>
      </c>
      <c r="R13" s="76" t="str">
        <f t="shared" ref="R13:R920"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milscm_2023_009.sny_202310_annony_bef2.mask_id IS 'マスクID';</v>
      </c>
    </row>
    <row r="14" spans="1:45" s="25" customFormat="1">
      <c r="A14" s="4"/>
      <c r="B14" s="21">
        <f t="shared" ref="B14:B17" si="2">ROW()-12</f>
        <v>2</v>
      </c>
      <c r="C14" s="13" t="s">
        <v>4177</v>
      </c>
      <c r="D14" s="13" t="s">
        <v>945</v>
      </c>
      <c r="E14" s="7"/>
      <c r="F14" s="7" t="s">
        <v>1780</v>
      </c>
      <c r="G14" s="7" t="str">
        <f t="shared" ref="G14:G15" si="3">IF(F14="フラグ","boolean",IF(F14="文字列","text",IF(F14="整数","integer",IF(F14="実数","numeric",""))))</f>
        <v>text</v>
      </c>
      <c r="H14" s="58"/>
      <c r="I14" s="23" t="s">
        <v>127</v>
      </c>
      <c r="J14" s="24" t="s">
        <v>4635</v>
      </c>
      <c r="M14" s="4"/>
      <c r="N14" s="76"/>
      <c r="O14" s="76"/>
      <c r="P14" s="76" t="str">
        <f t="shared" ref="P14:P920" si="4">IF(B14&lt;&gt;1,","&amp;D14,D14)</f>
        <v>,sex_kubun</v>
      </c>
      <c r="Q14" s="76" t="str">
        <f t="shared" si="0"/>
        <v>TEXT</v>
      </c>
      <c r="R14" s="76" t="str">
        <f t="shared" si="1"/>
        <v/>
      </c>
      <c r="S14" s="76" t="str">
        <f t="shared" ref="S14:S920" si="5">IF(I14="○","NOT NULL","")</f>
        <v>NOT NULL</v>
      </c>
      <c r="T14" s="76" t="str">
        <f t="shared" ref="T14:T920" si="6">"-- "&amp;C14</f>
        <v>-- 男女区分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milscm_2023_009.sny_202310_annony_bef2.sex_kubun IS '男女区分';</v>
      </c>
    </row>
    <row r="15" spans="1:45" s="25" customFormat="1" ht="75">
      <c r="A15" s="4"/>
      <c r="B15" s="21">
        <f t="shared" si="2"/>
        <v>3</v>
      </c>
      <c r="C15" s="13" t="s">
        <v>4316</v>
      </c>
      <c r="D15" s="13" t="s">
        <v>4315</v>
      </c>
      <c r="E15" s="7"/>
      <c r="F15" s="7" t="s">
        <v>1780</v>
      </c>
      <c r="G15" s="7" t="str">
        <f t="shared" si="3"/>
        <v>text</v>
      </c>
      <c r="H15" s="58"/>
      <c r="I15" s="23" t="s">
        <v>127</v>
      </c>
      <c r="J15" s="24" t="s">
        <v>4636</v>
      </c>
      <c r="M15" s="4"/>
      <c r="N15" s="76"/>
      <c r="O15" s="76"/>
      <c r="P15" s="76" t="str">
        <f t="shared" si="4"/>
        <v>,age</v>
      </c>
      <c r="Q15" s="76" t="str">
        <f t="shared" si="0"/>
        <v>TEXT</v>
      </c>
      <c r="R15" s="76" t="str">
        <f t="shared" si="1"/>
        <v/>
      </c>
      <c r="S15" s="76" t="str">
        <f t="shared" si="5"/>
        <v>NOT NULL</v>
      </c>
      <c r="T15" s="76" t="str">
        <f t="shared" si="6"/>
        <v>-- 年齢</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milscm_2023_009.sny_202310_annony_bef2.age IS '年齢';</v>
      </c>
    </row>
    <row r="16" spans="1:45" s="25" customFormat="1">
      <c r="A16" s="4"/>
      <c r="B16" s="21">
        <f t="shared" si="2"/>
        <v>4</v>
      </c>
      <c r="C16" s="13" t="s">
        <v>4588</v>
      </c>
      <c r="D16" s="13" t="s">
        <v>4297</v>
      </c>
      <c r="E16" s="7"/>
      <c r="F16" s="7" t="s">
        <v>4216</v>
      </c>
      <c r="G16" s="7" t="s">
        <v>4443</v>
      </c>
      <c r="H16" s="58"/>
      <c r="I16" s="23" t="s">
        <v>127</v>
      </c>
      <c r="J16" s="24"/>
      <c r="M16" s="4"/>
      <c r="N16" s="76"/>
      <c r="O16" s="76"/>
      <c r="P16" s="76" t="str">
        <f t="shared" si="4"/>
        <v>,kansatsu_start_date</v>
      </c>
      <c r="Q16" s="76" t="str">
        <f t="shared" si="0"/>
        <v>DATE</v>
      </c>
      <c r="R16" s="76" t="str">
        <f t="shared" si="1"/>
        <v/>
      </c>
      <c r="S16" s="76" t="str">
        <f t="shared" si="5"/>
        <v>NOT NULL</v>
      </c>
      <c r="T16" s="76" t="str">
        <f t="shared" si="6"/>
        <v>-- 観察開始日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milscm_2023_009.sny_202310_annony_bef2.kansatsu_start_date IS '観察開始日';</v>
      </c>
    </row>
    <row r="17" spans="1:45" s="25" customFormat="1">
      <c r="A17" s="4"/>
      <c r="B17" s="21">
        <f t="shared" si="2"/>
        <v>5</v>
      </c>
      <c r="C17" s="13" t="s">
        <v>4589</v>
      </c>
      <c r="D17" s="13" t="s">
        <v>4298</v>
      </c>
      <c r="E17" s="7"/>
      <c r="F17" s="7" t="s">
        <v>4216</v>
      </c>
      <c r="G17" s="7" t="s">
        <v>25</v>
      </c>
      <c r="H17" s="58"/>
      <c r="I17" s="23" t="s">
        <v>127</v>
      </c>
      <c r="J17" s="24"/>
      <c r="M17" s="4"/>
      <c r="N17" s="76"/>
      <c r="O17" s="76"/>
      <c r="P17" s="76" t="str">
        <f t="shared" si="4"/>
        <v>,kansatsu_end_date</v>
      </c>
      <c r="Q17" s="76" t="str">
        <f t="shared" si="0"/>
        <v>DATE</v>
      </c>
      <c r="R17" s="76" t="str">
        <f t="shared" si="1"/>
        <v/>
      </c>
      <c r="S17" s="76" t="str">
        <f t="shared" si="5"/>
        <v>NOT NULL</v>
      </c>
      <c r="T17" s="76" t="str">
        <f t="shared" si="6"/>
        <v>-- 観察終了日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milscm_2023_009.sny_202310_annony_bef2.kansatsu_end_date IS '観察終了日';</v>
      </c>
    </row>
    <row r="18" spans="1:45" s="25" customFormat="1" ht="31.5">
      <c r="A18" s="4"/>
      <c r="B18" s="21">
        <f>ROW()-12</f>
        <v>6</v>
      </c>
      <c r="C18" s="13" t="s">
        <v>4590</v>
      </c>
      <c r="D18" s="13" t="s">
        <v>4320</v>
      </c>
      <c r="E18" s="7"/>
      <c r="F18" s="7" t="s">
        <v>4216</v>
      </c>
      <c r="G18" s="7" t="s">
        <v>25</v>
      </c>
      <c r="H18" s="58"/>
      <c r="I18" s="23" t="s">
        <v>127</v>
      </c>
      <c r="J18" s="24"/>
      <c r="N18" s="76"/>
      <c r="O18" s="76"/>
      <c r="P18" s="76" t="str">
        <f t="shared" si="4"/>
        <v>,main_diagnosis_start_date</v>
      </c>
      <c r="Q18" s="76" t="str">
        <f t="shared" si="0"/>
        <v>DATE</v>
      </c>
      <c r="R18" s="76" t="str">
        <f t="shared" si="1"/>
        <v/>
      </c>
      <c r="S18" s="76" t="str">
        <f t="shared" si="5"/>
        <v>NOT NULL</v>
      </c>
      <c r="T18" s="76" t="str">
        <f t="shared" si="6"/>
        <v>-- 主傷病開始日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milscm_2023_009.sny_202310_annony_bef2.main_diagnosis_start_date IS '主傷病開始日';</v>
      </c>
    </row>
    <row r="19" spans="1:45" s="25" customFormat="1">
      <c r="A19" s="4" t="s">
        <v>5161</v>
      </c>
      <c r="B19" s="21">
        <f t="shared" ref="B19:B83" si="7">ROW()-12</f>
        <v>7</v>
      </c>
      <c r="C19" s="13" t="s">
        <v>6551</v>
      </c>
      <c r="D19" s="13" t="s">
        <v>4769</v>
      </c>
      <c r="E19" s="8"/>
      <c r="F19" s="7" t="s">
        <v>4348</v>
      </c>
      <c r="G19" s="7" t="s">
        <v>99</v>
      </c>
      <c r="H19" s="58"/>
      <c r="I19" s="23"/>
      <c r="J19" s="24"/>
      <c r="M19" s="4"/>
      <c r="N19" s="76"/>
      <c r="O19" s="76"/>
      <c r="P19" s="76" t="str">
        <f t="shared" si="4"/>
        <v>,shikkan1_start_date</v>
      </c>
      <c r="Q19" s="76" t="str">
        <f t="shared" si="0"/>
        <v>DATE</v>
      </c>
      <c r="R19" s="76" t="str">
        <f t="shared" si="1"/>
        <v/>
      </c>
      <c r="S19" s="76" t="str">
        <f t="shared" si="5"/>
        <v/>
      </c>
      <c r="T19" s="76" t="str">
        <f t="shared" si="6"/>
        <v>-- B180_疾患開始日</v>
      </c>
      <c r="U19" s="4" t="str">
        <f>", CASE WHEN shikkan_disp_name = '"&amp;A19&amp;"' THEN min_shikkan_start_date ::DATE ELSE NULL END AS "&amp;D19</f>
        <v>, CASE WHEN shikkan_disp_name = 'B180' THEN min_shikkan_start_date ::DATE ELSE NULL END AS shikkan1_start_date</v>
      </c>
      <c r="V19" s="25" t="str">
        <f>", max("&amp;D19&amp;")"</f>
        <v>, max(shikkan1_start_date)</v>
      </c>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milscm_2023_009.sny_202310_annony_bef2.shikkan1_start_date IS 'B180_疾患開始日';</v>
      </c>
    </row>
    <row r="20" spans="1:45" s="25" customFormat="1">
      <c r="A20" s="4" t="s">
        <v>5162</v>
      </c>
      <c r="B20" s="21">
        <f t="shared" si="7"/>
        <v>8</v>
      </c>
      <c r="C20" s="13" t="s">
        <v>6552</v>
      </c>
      <c r="D20" s="13" t="s">
        <v>4770</v>
      </c>
      <c r="E20" s="8"/>
      <c r="F20" s="7" t="s">
        <v>4348</v>
      </c>
      <c r="G20" s="7" t="s">
        <v>25</v>
      </c>
      <c r="H20" s="58"/>
      <c r="I20" s="23"/>
      <c r="J20" s="24"/>
      <c r="M20" s="4"/>
      <c r="N20" s="76"/>
      <c r="O20" s="76"/>
      <c r="P20" s="76" t="str">
        <f t="shared" si="4"/>
        <v>,shikkan2_start_date</v>
      </c>
      <c r="Q20" s="76" t="str">
        <f t="shared" si="0"/>
        <v>DATE</v>
      </c>
      <c r="R20" s="76" t="str">
        <f t="shared" si="1"/>
        <v/>
      </c>
      <c r="S20" s="76" t="str">
        <f t="shared" si="5"/>
        <v/>
      </c>
      <c r="T20" s="76" t="str">
        <f t="shared" si="6"/>
        <v>-- B181_疾患開始日</v>
      </c>
      <c r="U20" s="4" t="str">
        <f t="shared" ref="U20:U83" si="8">", CASE WHEN shikkan_disp_name = '"&amp;A20&amp;"' THEN min_shikkan_start_date ::DATE ELSE NULL END AS "&amp;D20</f>
        <v>, CASE WHEN shikkan_disp_name = 'B181' THEN min_shikkan_start_date ::DATE ELSE NULL END AS shikkan2_start_date</v>
      </c>
      <c r="V20" s="25" t="str">
        <f t="shared" ref="V20:V83" si="9">", max("&amp;D20&amp;")"</f>
        <v>, max(shikkan2_start_date)</v>
      </c>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milscm_2023_009.sny_202310_annony_bef2.shikkan2_start_date IS 'B181_疾患開始日';</v>
      </c>
    </row>
    <row r="21" spans="1:45" s="25" customFormat="1">
      <c r="A21" s="4" t="s">
        <v>5163</v>
      </c>
      <c r="B21" s="21">
        <f t="shared" si="7"/>
        <v>9</v>
      </c>
      <c r="C21" s="13" t="s">
        <v>6553</v>
      </c>
      <c r="D21" s="13" t="s">
        <v>4771</v>
      </c>
      <c r="E21" s="8"/>
      <c r="F21" s="7" t="s">
        <v>4348</v>
      </c>
      <c r="G21" s="7" t="s">
        <v>25</v>
      </c>
      <c r="H21" s="58"/>
      <c r="I21" s="23"/>
      <c r="J21" s="24"/>
      <c r="M21" s="4"/>
      <c r="N21" s="76"/>
      <c r="O21" s="76"/>
      <c r="P21" s="76" t="str">
        <f t="shared" si="4"/>
        <v>,shikkan3_start_date</v>
      </c>
      <c r="Q21" s="76" t="str">
        <f t="shared" si="0"/>
        <v>DATE</v>
      </c>
      <c r="R21" s="76" t="str">
        <f t="shared" si="1"/>
        <v/>
      </c>
      <c r="S21" s="76" t="str">
        <f t="shared" si="5"/>
        <v/>
      </c>
      <c r="T21" s="76" t="str">
        <f t="shared" si="6"/>
        <v>-- B182_疾患開始日</v>
      </c>
      <c r="U21" s="4" t="str">
        <f t="shared" si="8"/>
        <v>, CASE WHEN shikkan_disp_name = 'B182' THEN min_shikkan_start_date ::DATE ELSE NULL END AS shikkan3_start_date</v>
      </c>
      <c r="V21" s="25" t="str">
        <f t="shared" si="9"/>
        <v>, max(shikkan3_start_date)</v>
      </c>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milscm_2023_009.sny_202310_annony_bef2.shikkan3_start_date IS 'B182_疾患開始日';</v>
      </c>
    </row>
    <row r="22" spans="1:45" s="25" customFormat="1">
      <c r="A22" s="4" t="s">
        <v>5164</v>
      </c>
      <c r="B22" s="21">
        <f t="shared" si="7"/>
        <v>10</v>
      </c>
      <c r="C22" s="13" t="s">
        <v>6554</v>
      </c>
      <c r="D22" s="13" t="s">
        <v>4772</v>
      </c>
      <c r="E22" s="8"/>
      <c r="F22" s="7" t="s">
        <v>4348</v>
      </c>
      <c r="G22" s="7" t="s">
        <v>25</v>
      </c>
      <c r="H22" s="58"/>
      <c r="I22" s="23"/>
      <c r="J22" s="24"/>
      <c r="M22" s="4"/>
      <c r="N22" s="76"/>
      <c r="O22" s="76"/>
      <c r="P22" s="76" t="str">
        <f t="shared" si="4"/>
        <v>,shikkan4_start_date</v>
      </c>
      <c r="Q22" s="76" t="str">
        <f t="shared" si="0"/>
        <v>DATE</v>
      </c>
      <c r="R22" s="76" t="str">
        <f t="shared" si="1"/>
        <v/>
      </c>
      <c r="S22" s="76" t="str">
        <f t="shared" si="5"/>
        <v/>
      </c>
      <c r="T22" s="76" t="str">
        <f t="shared" si="6"/>
        <v>-- B188_疾患開始日</v>
      </c>
      <c r="U22" s="4" t="str">
        <f t="shared" si="8"/>
        <v>, CASE WHEN shikkan_disp_name = 'B188' THEN min_shikkan_start_date ::DATE ELSE NULL END AS shikkan4_start_date</v>
      </c>
      <c r="V22" s="25" t="str">
        <f t="shared" si="9"/>
        <v>, max(shikkan4_start_date)</v>
      </c>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milscm_2023_009.sny_202310_annony_bef2.shikkan4_start_date IS 'B188_疾患開始日';</v>
      </c>
    </row>
    <row r="23" spans="1:45" s="25" customFormat="1">
      <c r="A23" s="4" t="s">
        <v>5165</v>
      </c>
      <c r="B23" s="21">
        <f t="shared" si="7"/>
        <v>11</v>
      </c>
      <c r="C23" s="13" t="s">
        <v>6555</v>
      </c>
      <c r="D23" s="13" t="s">
        <v>4773</v>
      </c>
      <c r="E23" s="8"/>
      <c r="F23" s="7" t="s">
        <v>4348</v>
      </c>
      <c r="G23" s="7" t="s">
        <v>25</v>
      </c>
      <c r="H23" s="58"/>
      <c r="I23" s="23"/>
      <c r="J23" s="24"/>
      <c r="M23" s="4"/>
      <c r="N23" s="76"/>
      <c r="O23" s="76"/>
      <c r="P23" s="76" t="str">
        <f t="shared" si="4"/>
        <v>,shikkan5_start_date</v>
      </c>
      <c r="Q23" s="76" t="str">
        <f t="shared" si="0"/>
        <v>DATE</v>
      </c>
      <c r="R23" s="76" t="str">
        <f t="shared" si="1"/>
        <v/>
      </c>
      <c r="S23" s="76" t="str">
        <f t="shared" si="5"/>
        <v/>
      </c>
      <c r="T23" s="76" t="str">
        <f t="shared" si="6"/>
        <v>-- B189_疾患開始日</v>
      </c>
      <c r="U23" s="4" t="str">
        <f t="shared" si="8"/>
        <v>, CASE WHEN shikkan_disp_name = 'B189' THEN min_shikkan_start_date ::DATE ELSE NULL END AS shikkan5_start_date</v>
      </c>
      <c r="V23" s="25" t="str">
        <f t="shared" si="9"/>
        <v>, max(shikkan5_start_date)</v>
      </c>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milscm_2023_009.sny_202310_annony_bef2.shikkan5_start_date IS 'B189_疾患開始日';</v>
      </c>
    </row>
    <row r="24" spans="1:45" s="25" customFormat="1">
      <c r="A24" s="4" t="s">
        <v>5166</v>
      </c>
      <c r="B24" s="21">
        <f t="shared" si="7"/>
        <v>12</v>
      </c>
      <c r="C24" s="13" t="s">
        <v>6556</v>
      </c>
      <c r="D24" s="13" t="s">
        <v>4774</v>
      </c>
      <c r="E24" s="8"/>
      <c r="F24" s="7" t="s">
        <v>4348</v>
      </c>
      <c r="G24" s="7" t="s">
        <v>25</v>
      </c>
      <c r="H24" s="58"/>
      <c r="I24" s="23"/>
      <c r="J24" s="24"/>
      <c r="M24" s="4"/>
      <c r="N24" s="76"/>
      <c r="O24" s="76"/>
      <c r="P24" s="76" t="str">
        <f t="shared" si="4"/>
        <v>,shikkan6_start_date</v>
      </c>
      <c r="Q24" s="76" t="str">
        <f t="shared" si="0"/>
        <v>DATE</v>
      </c>
      <c r="R24" s="76" t="str">
        <f t="shared" si="1"/>
        <v/>
      </c>
      <c r="S24" s="76" t="str">
        <f t="shared" si="5"/>
        <v/>
      </c>
      <c r="T24" s="76" t="str">
        <f t="shared" si="6"/>
        <v>-- B200_疾患開始日</v>
      </c>
      <c r="U24" s="4" t="str">
        <f t="shared" si="8"/>
        <v>, CASE WHEN shikkan_disp_name = 'B200' THEN min_shikkan_start_date ::DATE ELSE NULL END AS shikkan6_start_date</v>
      </c>
      <c r="V24" s="25" t="str">
        <f t="shared" si="9"/>
        <v>, max(shikkan6_start_date)</v>
      </c>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milscm_2023_009.sny_202310_annony_bef2.shikkan6_start_date IS 'B200_疾患開始日';</v>
      </c>
    </row>
    <row r="25" spans="1:45" s="25" customFormat="1">
      <c r="A25" s="4" t="s">
        <v>5167</v>
      </c>
      <c r="B25" s="21">
        <f t="shared" si="7"/>
        <v>13</v>
      </c>
      <c r="C25" s="13" t="s">
        <v>6557</v>
      </c>
      <c r="D25" s="13" t="s">
        <v>4775</v>
      </c>
      <c r="E25" s="8"/>
      <c r="F25" s="7" t="s">
        <v>4348</v>
      </c>
      <c r="G25" s="7" t="s">
        <v>25</v>
      </c>
      <c r="H25" s="58"/>
      <c r="I25" s="23"/>
      <c r="J25" s="24"/>
      <c r="M25" s="4"/>
      <c r="N25" s="76"/>
      <c r="O25" s="76"/>
      <c r="P25" s="76" t="str">
        <f t="shared" si="4"/>
        <v>,shikkan7_start_date</v>
      </c>
      <c r="Q25" s="76" t="str">
        <f t="shared" si="0"/>
        <v>DATE</v>
      </c>
      <c r="R25" s="76" t="str">
        <f t="shared" si="1"/>
        <v/>
      </c>
      <c r="S25" s="76" t="str">
        <f t="shared" si="5"/>
        <v/>
      </c>
      <c r="T25" s="76" t="str">
        <f t="shared" si="6"/>
        <v>-- B201_疾患開始日</v>
      </c>
      <c r="U25" s="4" t="str">
        <f t="shared" si="8"/>
        <v>, CASE WHEN shikkan_disp_name = 'B201' THEN min_shikkan_start_date ::DATE ELSE NULL END AS shikkan7_start_date</v>
      </c>
      <c r="V25" s="25" t="str">
        <f t="shared" si="9"/>
        <v>, max(shikkan7_start_date)</v>
      </c>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milscm_2023_009.sny_202310_annony_bef2.shikkan7_start_date IS 'B201_疾患開始日';</v>
      </c>
    </row>
    <row r="26" spans="1:45" s="25" customFormat="1">
      <c r="A26" s="4" t="s">
        <v>5168</v>
      </c>
      <c r="B26" s="21">
        <f t="shared" si="7"/>
        <v>14</v>
      </c>
      <c r="C26" s="13" t="s">
        <v>6558</v>
      </c>
      <c r="D26" s="13" t="s">
        <v>4776</v>
      </c>
      <c r="E26" s="8"/>
      <c r="F26" s="7" t="s">
        <v>4348</v>
      </c>
      <c r="G26" s="7" t="s">
        <v>25</v>
      </c>
      <c r="H26" s="58"/>
      <c r="I26" s="23"/>
      <c r="J26" s="24"/>
      <c r="M26" s="4"/>
      <c r="N26" s="76"/>
      <c r="O26" s="76"/>
      <c r="P26" s="76" t="str">
        <f t="shared" si="4"/>
        <v>,shikkan8_start_date</v>
      </c>
      <c r="Q26" s="76" t="str">
        <f t="shared" si="0"/>
        <v>DATE</v>
      </c>
      <c r="R26" s="76" t="str">
        <f t="shared" si="1"/>
        <v/>
      </c>
      <c r="S26" s="76" t="str">
        <f t="shared" si="5"/>
        <v/>
      </c>
      <c r="T26" s="76" t="str">
        <f t="shared" si="6"/>
        <v>-- B202_疾患開始日</v>
      </c>
      <c r="U26" s="4" t="str">
        <f t="shared" si="8"/>
        <v>, CASE WHEN shikkan_disp_name = 'B202' THEN min_shikkan_start_date ::DATE ELSE NULL END AS shikkan8_start_date</v>
      </c>
      <c r="V26" s="25" t="str">
        <f t="shared" si="9"/>
        <v>, max(shikkan8_start_date)</v>
      </c>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milscm_2023_009.sny_202310_annony_bef2.shikkan8_start_date IS 'B202_疾患開始日';</v>
      </c>
    </row>
    <row r="27" spans="1:45" s="25" customFormat="1">
      <c r="A27" s="4" t="s">
        <v>5169</v>
      </c>
      <c r="B27" s="21">
        <f t="shared" si="7"/>
        <v>15</v>
      </c>
      <c r="C27" s="13" t="s">
        <v>6559</v>
      </c>
      <c r="D27" s="13" t="s">
        <v>4777</v>
      </c>
      <c r="E27" s="8"/>
      <c r="F27" s="7" t="s">
        <v>4348</v>
      </c>
      <c r="G27" s="7" t="s">
        <v>25</v>
      </c>
      <c r="H27" s="58"/>
      <c r="I27" s="23"/>
      <c r="J27" s="24"/>
      <c r="M27" s="4"/>
      <c r="N27" s="76"/>
      <c r="O27" s="76"/>
      <c r="P27" s="76" t="str">
        <f t="shared" si="4"/>
        <v>,shikkan9_start_date</v>
      </c>
      <c r="Q27" s="76" t="str">
        <f t="shared" si="0"/>
        <v>DATE</v>
      </c>
      <c r="R27" s="76" t="str">
        <f t="shared" si="1"/>
        <v/>
      </c>
      <c r="S27" s="76" t="str">
        <f t="shared" si="5"/>
        <v/>
      </c>
      <c r="T27" s="76" t="str">
        <f t="shared" si="6"/>
        <v>-- B203_疾患開始日</v>
      </c>
      <c r="U27" s="4" t="str">
        <f t="shared" si="8"/>
        <v>, CASE WHEN shikkan_disp_name = 'B203' THEN min_shikkan_start_date ::DATE ELSE NULL END AS shikkan9_start_date</v>
      </c>
      <c r="V27" s="25" t="str">
        <f t="shared" si="9"/>
        <v>, max(shikkan9_start_date)</v>
      </c>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milscm_2023_009.sny_202310_annony_bef2.shikkan9_start_date IS 'B203_疾患開始日';</v>
      </c>
    </row>
    <row r="28" spans="1:45" s="25" customFormat="1">
      <c r="A28" s="4" t="s">
        <v>5170</v>
      </c>
      <c r="B28" s="21">
        <f t="shared" si="7"/>
        <v>16</v>
      </c>
      <c r="C28" s="13" t="s">
        <v>6560</v>
      </c>
      <c r="D28" s="13" t="s">
        <v>4778</v>
      </c>
      <c r="E28" s="8"/>
      <c r="F28" s="7" t="s">
        <v>4348</v>
      </c>
      <c r="G28" s="7" t="s">
        <v>25</v>
      </c>
      <c r="H28" s="58"/>
      <c r="I28" s="23"/>
      <c r="J28" s="24"/>
      <c r="M28" s="4"/>
      <c r="N28" s="76"/>
      <c r="O28" s="76"/>
      <c r="P28" s="76" t="str">
        <f t="shared" si="4"/>
        <v>,shikkan10_start_date</v>
      </c>
      <c r="Q28" s="76" t="str">
        <f t="shared" si="0"/>
        <v>DATE</v>
      </c>
      <c r="R28" s="76" t="str">
        <f t="shared" si="1"/>
        <v/>
      </c>
      <c r="S28" s="76" t="str">
        <f t="shared" si="5"/>
        <v/>
      </c>
      <c r="T28" s="76" t="str">
        <f t="shared" si="6"/>
        <v>-- B204_疾患開始日</v>
      </c>
      <c r="U28" s="4" t="str">
        <f t="shared" si="8"/>
        <v>, CASE WHEN shikkan_disp_name = 'B204' THEN min_shikkan_start_date ::DATE ELSE NULL END AS shikkan10_start_date</v>
      </c>
      <c r="V28" s="25" t="str">
        <f t="shared" si="9"/>
        <v>, max(shikkan10_start_date)</v>
      </c>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milscm_2023_009.sny_202310_annony_bef2.shikkan10_start_date IS 'B204_疾患開始日';</v>
      </c>
    </row>
    <row r="29" spans="1:45" s="25" customFormat="1">
      <c r="A29" s="4" t="s">
        <v>5171</v>
      </c>
      <c r="B29" s="21">
        <f t="shared" si="7"/>
        <v>17</v>
      </c>
      <c r="C29" s="13" t="s">
        <v>6561</v>
      </c>
      <c r="D29" s="13" t="s">
        <v>4779</v>
      </c>
      <c r="E29" s="8"/>
      <c r="F29" s="7" t="s">
        <v>4348</v>
      </c>
      <c r="G29" s="7" t="s">
        <v>25</v>
      </c>
      <c r="H29" s="58"/>
      <c r="I29" s="23"/>
      <c r="J29" s="24"/>
      <c r="M29" s="4"/>
      <c r="N29" s="76"/>
      <c r="O29" s="76"/>
      <c r="P29" s="76" t="str">
        <f t="shared" si="4"/>
        <v>,shikkan11_start_date</v>
      </c>
      <c r="Q29" s="76" t="str">
        <f t="shared" si="0"/>
        <v>DATE</v>
      </c>
      <c r="R29" s="76" t="str">
        <f t="shared" si="1"/>
        <v/>
      </c>
      <c r="S29" s="76" t="str">
        <f t="shared" si="5"/>
        <v/>
      </c>
      <c r="T29" s="76" t="str">
        <f t="shared" si="6"/>
        <v>-- B205_疾患開始日</v>
      </c>
      <c r="U29" s="4" t="str">
        <f t="shared" si="8"/>
        <v>, CASE WHEN shikkan_disp_name = 'B205' THEN min_shikkan_start_date ::DATE ELSE NULL END AS shikkan11_start_date</v>
      </c>
      <c r="V29" s="25" t="str">
        <f t="shared" si="9"/>
        <v>, max(shikkan11_start_date)</v>
      </c>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milscm_2023_009.sny_202310_annony_bef2.shikkan11_start_date IS 'B205_疾患開始日';</v>
      </c>
    </row>
    <row r="30" spans="1:45" s="25" customFormat="1">
      <c r="A30" s="4" t="s">
        <v>5172</v>
      </c>
      <c r="B30" s="21">
        <f t="shared" si="7"/>
        <v>18</v>
      </c>
      <c r="C30" s="13" t="s">
        <v>6562</v>
      </c>
      <c r="D30" s="13" t="s">
        <v>4780</v>
      </c>
      <c r="E30" s="8"/>
      <c r="F30" s="7" t="s">
        <v>4348</v>
      </c>
      <c r="G30" s="7" t="s">
        <v>25</v>
      </c>
      <c r="H30" s="58"/>
      <c r="I30" s="23"/>
      <c r="J30" s="24"/>
      <c r="M30" s="4"/>
      <c r="N30" s="76"/>
      <c r="O30" s="76"/>
      <c r="P30" s="76" t="str">
        <f t="shared" si="4"/>
        <v>,shikkan12_start_date</v>
      </c>
      <c r="Q30" s="76" t="str">
        <f t="shared" si="0"/>
        <v>DATE</v>
      </c>
      <c r="R30" s="76" t="str">
        <f t="shared" si="1"/>
        <v/>
      </c>
      <c r="S30" s="76" t="str">
        <f t="shared" si="5"/>
        <v/>
      </c>
      <c r="T30" s="76" t="str">
        <f t="shared" si="6"/>
        <v>-- B206_疾患開始日</v>
      </c>
      <c r="U30" s="4" t="str">
        <f t="shared" si="8"/>
        <v>, CASE WHEN shikkan_disp_name = 'B206' THEN min_shikkan_start_date ::DATE ELSE NULL END AS shikkan12_start_date</v>
      </c>
      <c r="V30" s="25" t="str">
        <f t="shared" si="9"/>
        <v>, max(shikkan12_start_date)</v>
      </c>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milscm_2023_009.sny_202310_annony_bef2.shikkan12_start_date IS 'B206_疾患開始日';</v>
      </c>
    </row>
    <row r="31" spans="1:45" s="25" customFormat="1">
      <c r="A31" s="4" t="s">
        <v>5173</v>
      </c>
      <c r="B31" s="21">
        <f t="shared" si="7"/>
        <v>19</v>
      </c>
      <c r="C31" s="13" t="s">
        <v>6563</v>
      </c>
      <c r="D31" s="13" t="s">
        <v>4781</v>
      </c>
      <c r="E31" s="8"/>
      <c r="F31" s="7" t="s">
        <v>4348</v>
      </c>
      <c r="G31" s="7" t="s">
        <v>25</v>
      </c>
      <c r="H31" s="58"/>
      <c r="I31" s="23"/>
      <c r="J31" s="24"/>
      <c r="M31" s="4"/>
      <c r="N31" s="76"/>
      <c r="O31" s="76"/>
      <c r="P31" s="76" t="str">
        <f t="shared" si="4"/>
        <v>,shikkan13_start_date</v>
      </c>
      <c r="Q31" s="76" t="str">
        <f t="shared" si="0"/>
        <v>DATE</v>
      </c>
      <c r="R31" s="76" t="str">
        <f t="shared" si="1"/>
        <v/>
      </c>
      <c r="S31" s="76" t="str">
        <f t="shared" si="5"/>
        <v/>
      </c>
      <c r="T31" s="76" t="str">
        <f t="shared" si="6"/>
        <v>-- B207_疾患開始日</v>
      </c>
      <c r="U31" s="4" t="str">
        <f t="shared" si="8"/>
        <v>, CASE WHEN shikkan_disp_name = 'B207' THEN min_shikkan_start_date ::DATE ELSE NULL END AS shikkan13_start_date</v>
      </c>
      <c r="V31" s="25" t="str">
        <f t="shared" si="9"/>
        <v>, max(shikkan13_start_date)</v>
      </c>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milscm_2023_009.sny_202310_annony_bef2.shikkan13_start_date IS 'B207_疾患開始日';</v>
      </c>
    </row>
    <row r="32" spans="1:45" s="25" customFormat="1">
      <c r="A32" s="4" t="s">
        <v>5174</v>
      </c>
      <c r="B32" s="21">
        <f t="shared" si="7"/>
        <v>20</v>
      </c>
      <c r="C32" s="13" t="s">
        <v>6564</v>
      </c>
      <c r="D32" s="13" t="s">
        <v>4782</v>
      </c>
      <c r="E32" s="8"/>
      <c r="F32" s="7" t="s">
        <v>4348</v>
      </c>
      <c r="G32" s="7" t="s">
        <v>25</v>
      </c>
      <c r="H32" s="58"/>
      <c r="I32" s="23"/>
      <c r="J32" s="24"/>
      <c r="M32" s="4"/>
      <c r="N32" s="76"/>
      <c r="O32" s="76"/>
      <c r="P32" s="76" t="str">
        <f t="shared" si="4"/>
        <v>,shikkan14_start_date</v>
      </c>
      <c r="Q32" s="76" t="str">
        <f t="shared" si="0"/>
        <v>DATE</v>
      </c>
      <c r="R32" s="76" t="str">
        <f t="shared" si="1"/>
        <v/>
      </c>
      <c r="S32" s="76" t="str">
        <f t="shared" si="5"/>
        <v/>
      </c>
      <c r="T32" s="76" t="str">
        <f t="shared" si="6"/>
        <v>-- B208_疾患開始日</v>
      </c>
      <c r="U32" s="4" t="str">
        <f t="shared" si="8"/>
        <v>, CASE WHEN shikkan_disp_name = 'B208' THEN min_shikkan_start_date ::DATE ELSE NULL END AS shikkan14_start_date</v>
      </c>
      <c r="V32" s="25" t="str">
        <f t="shared" si="9"/>
        <v>, max(shikkan14_start_date)</v>
      </c>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milscm_2023_009.sny_202310_annony_bef2.shikkan14_start_date IS 'B208_疾患開始日';</v>
      </c>
    </row>
    <row r="33" spans="1:45" s="25" customFormat="1">
      <c r="A33" s="4" t="s">
        <v>5175</v>
      </c>
      <c r="B33" s="21">
        <f t="shared" si="7"/>
        <v>21</v>
      </c>
      <c r="C33" s="13" t="s">
        <v>6565</v>
      </c>
      <c r="D33" s="13" t="s">
        <v>4783</v>
      </c>
      <c r="E33" s="8"/>
      <c r="F33" s="7" t="s">
        <v>4348</v>
      </c>
      <c r="G33" s="7" t="s">
        <v>25</v>
      </c>
      <c r="H33" s="58"/>
      <c r="I33" s="23"/>
      <c r="J33" s="24"/>
      <c r="M33" s="4"/>
      <c r="N33" s="76"/>
      <c r="O33" s="76"/>
      <c r="P33" s="76" t="str">
        <f t="shared" si="4"/>
        <v>,shikkan15_start_date</v>
      </c>
      <c r="Q33" s="76" t="str">
        <f t="shared" si="0"/>
        <v>DATE</v>
      </c>
      <c r="R33" s="76" t="str">
        <f t="shared" si="1"/>
        <v/>
      </c>
      <c r="S33" s="76" t="str">
        <f t="shared" si="5"/>
        <v/>
      </c>
      <c r="T33" s="76" t="str">
        <f t="shared" si="6"/>
        <v>-- B209_疾患開始日</v>
      </c>
      <c r="U33" s="4" t="str">
        <f t="shared" si="8"/>
        <v>, CASE WHEN shikkan_disp_name = 'B209' THEN min_shikkan_start_date ::DATE ELSE NULL END AS shikkan15_start_date</v>
      </c>
      <c r="V33" s="25" t="str">
        <f t="shared" si="9"/>
        <v>, max(shikkan15_start_date)</v>
      </c>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milscm_2023_009.sny_202310_annony_bef2.shikkan15_start_date IS 'B209_疾患開始日';</v>
      </c>
    </row>
    <row r="34" spans="1:45" s="25" customFormat="1">
      <c r="A34" s="4" t="s">
        <v>5176</v>
      </c>
      <c r="B34" s="21">
        <f t="shared" si="7"/>
        <v>22</v>
      </c>
      <c r="C34" s="13" t="s">
        <v>6566</v>
      </c>
      <c r="D34" s="13" t="s">
        <v>4784</v>
      </c>
      <c r="E34" s="8"/>
      <c r="F34" s="7" t="s">
        <v>4348</v>
      </c>
      <c r="G34" s="7" t="s">
        <v>25</v>
      </c>
      <c r="H34" s="58"/>
      <c r="I34" s="23"/>
      <c r="J34" s="24"/>
      <c r="M34" s="4"/>
      <c r="N34" s="76"/>
      <c r="O34" s="76"/>
      <c r="P34" s="76" t="str">
        <f t="shared" si="4"/>
        <v>,shikkan16_start_date</v>
      </c>
      <c r="Q34" s="76" t="str">
        <f t="shared" si="0"/>
        <v>DATE</v>
      </c>
      <c r="R34" s="76" t="str">
        <f t="shared" si="1"/>
        <v/>
      </c>
      <c r="S34" s="76" t="str">
        <f t="shared" si="5"/>
        <v/>
      </c>
      <c r="T34" s="76" t="str">
        <f t="shared" si="6"/>
        <v>-- B210_疾患開始日</v>
      </c>
      <c r="U34" s="4" t="str">
        <f t="shared" si="8"/>
        <v>, CASE WHEN shikkan_disp_name = 'B210' THEN min_shikkan_start_date ::DATE ELSE NULL END AS shikkan16_start_date</v>
      </c>
      <c r="V34" s="25" t="str">
        <f t="shared" si="9"/>
        <v>, max(shikkan16_start_date)</v>
      </c>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milscm_2023_009.sny_202310_annony_bef2.shikkan16_start_date IS 'B210_疾患開始日';</v>
      </c>
    </row>
    <row r="35" spans="1:45" s="25" customFormat="1">
      <c r="A35" s="4" t="s">
        <v>5177</v>
      </c>
      <c r="B35" s="21">
        <f t="shared" si="7"/>
        <v>23</v>
      </c>
      <c r="C35" s="13" t="s">
        <v>6567</v>
      </c>
      <c r="D35" s="13" t="s">
        <v>4785</v>
      </c>
      <c r="E35" s="8"/>
      <c r="F35" s="7" t="s">
        <v>4348</v>
      </c>
      <c r="G35" s="7" t="s">
        <v>99</v>
      </c>
      <c r="H35" s="58"/>
      <c r="I35" s="23"/>
      <c r="J35" s="24"/>
      <c r="M35" s="4"/>
      <c r="N35" s="76"/>
      <c r="O35" s="76"/>
      <c r="P35" s="76" t="str">
        <f t="shared" si="4"/>
        <v>,shikkan17_start_date</v>
      </c>
      <c r="Q35" s="76" t="str">
        <f t="shared" si="0"/>
        <v>DATE</v>
      </c>
      <c r="R35" s="76" t="str">
        <f t="shared" si="1"/>
        <v/>
      </c>
      <c r="S35" s="76" t="str">
        <f t="shared" si="5"/>
        <v/>
      </c>
      <c r="T35" s="76" t="str">
        <f t="shared" si="6"/>
        <v>-- B211_疾患開始日</v>
      </c>
      <c r="U35" s="4" t="str">
        <f t="shared" si="8"/>
        <v>, CASE WHEN shikkan_disp_name = 'B211' THEN min_shikkan_start_date ::DATE ELSE NULL END AS shikkan17_start_date</v>
      </c>
      <c r="V35" s="25" t="str">
        <f t="shared" si="9"/>
        <v>, max(shikkan17_start_date)</v>
      </c>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milscm_2023_009.sny_202310_annony_bef2.shikkan17_start_date IS 'B211_疾患開始日';</v>
      </c>
    </row>
    <row r="36" spans="1:45" s="25" customFormat="1">
      <c r="A36" s="4" t="s">
        <v>5178</v>
      </c>
      <c r="B36" s="21">
        <f t="shared" si="7"/>
        <v>24</v>
      </c>
      <c r="C36" s="13" t="s">
        <v>6568</v>
      </c>
      <c r="D36" s="13" t="s">
        <v>4786</v>
      </c>
      <c r="E36" s="8"/>
      <c r="F36" s="7" t="s">
        <v>4348</v>
      </c>
      <c r="G36" s="7" t="s">
        <v>25</v>
      </c>
      <c r="H36" s="58"/>
      <c r="I36" s="23"/>
      <c r="J36" s="24"/>
      <c r="M36" s="4"/>
      <c r="N36" s="76"/>
      <c r="O36" s="76"/>
      <c r="P36" s="76" t="str">
        <f t="shared" ref="P36:P99" si="10">IF(B36&lt;&gt;1,","&amp;D36,D36)</f>
        <v>,shikkan18_start_date</v>
      </c>
      <c r="Q36" s="76" t="str">
        <f t="shared" ref="Q36:Q99" si="11">UPPER(G36)</f>
        <v>DATE</v>
      </c>
      <c r="R36" s="76" t="str">
        <f t="shared" ref="R36:R99" si="12">IF(H36&lt;&gt;"","default "&amp;IF(G36="text","'"&amp;H36&amp;"'",H36),"")</f>
        <v/>
      </c>
      <c r="S36" s="76" t="str">
        <f t="shared" ref="S36:S99" si="13">IF(I36="○","NOT NULL","")</f>
        <v/>
      </c>
      <c r="T36" s="76" t="str">
        <f t="shared" ref="T36:T99" si="14">"-- "&amp;C36</f>
        <v>-- B212_疾患開始日</v>
      </c>
      <c r="U36" s="4" t="str">
        <f t="shared" si="8"/>
        <v>, CASE WHEN shikkan_disp_name = 'B212' THEN min_shikkan_start_date ::DATE ELSE NULL END AS shikkan18_start_date</v>
      </c>
      <c r="V36" s="25" t="str">
        <f t="shared" si="9"/>
        <v>, max(shikkan18_start_date)</v>
      </c>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milscm_2023_009.sny_202310_annony_bef2.shikkan18_start_date IS 'B212_疾患開始日';</v>
      </c>
    </row>
    <row r="37" spans="1:45" s="25" customFormat="1">
      <c r="A37" s="4" t="s">
        <v>5179</v>
      </c>
      <c r="B37" s="21">
        <f t="shared" si="7"/>
        <v>25</v>
      </c>
      <c r="C37" s="13" t="s">
        <v>6569</v>
      </c>
      <c r="D37" s="13" t="s">
        <v>4787</v>
      </c>
      <c r="E37" s="8"/>
      <c r="F37" s="7" t="s">
        <v>4348</v>
      </c>
      <c r="G37" s="7" t="s">
        <v>25</v>
      </c>
      <c r="H37" s="58"/>
      <c r="I37" s="23"/>
      <c r="J37" s="24"/>
      <c r="M37" s="4"/>
      <c r="N37" s="76"/>
      <c r="O37" s="76"/>
      <c r="P37" s="76" t="str">
        <f t="shared" si="10"/>
        <v>,shikkan19_start_date</v>
      </c>
      <c r="Q37" s="76" t="str">
        <f t="shared" si="11"/>
        <v>DATE</v>
      </c>
      <c r="R37" s="76" t="str">
        <f t="shared" si="12"/>
        <v/>
      </c>
      <c r="S37" s="76" t="str">
        <f t="shared" si="13"/>
        <v/>
      </c>
      <c r="T37" s="76" t="str">
        <f t="shared" si="14"/>
        <v>-- B213_疾患開始日</v>
      </c>
      <c r="U37" s="4" t="str">
        <f t="shared" si="8"/>
        <v>, CASE WHEN shikkan_disp_name = 'B213' THEN min_shikkan_start_date ::DATE ELSE NULL END AS shikkan19_start_date</v>
      </c>
      <c r="V37" s="25" t="str">
        <f t="shared" si="9"/>
        <v>, max(shikkan19_start_date)</v>
      </c>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milscm_2023_009.sny_202310_annony_bef2.shikkan19_start_date IS 'B213_疾患開始日';</v>
      </c>
    </row>
    <row r="38" spans="1:45" s="25" customFormat="1">
      <c r="A38" s="4" t="s">
        <v>5180</v>
      </c>
      <c r="B38" s="21">
        <f t="shared" si="7"/>
        <v>26</v>
      </c>
      <c r="C38" s="13" t="s">
        <v>6570</v>
      </c>
      <c r="D38" s="13" t="s">
        <v>4788</v>
      </c>
      <c r="E38" s="8"/>
      <c r="F38" s="7" t="s">
        <v>4348</v>
      </c>
      <c r="G38" s="7" t="s">
        <v>25</v>
      </c>
      <c r="H38" s="58"/>
      <c r="I38" s="23"/>
      <c r="J38" s="24"/>
      <c r="M38" s="4"/>
      <c r="N38" s="76"/>
      <c r="O38" s="76"/>
      <c r="P38" s="76" t="str">
        <f t="shared" si="10"/>
        <v>,shikkan20_start_date</v>
      </c>
      <c r="Q38" s="76" t="str">
        <f t="shared" si="11"/>
        <v>DATE</v>
      </c>
      <c r="R38" s="76" t="str">
        <f t="shared" si="12"/>
        <v/>
      </c>
      <c r="S38" s="76" t="str">
        <f t="shared" si="13"/>
        <v/>
      </c>
      <c r="T38" s="76" t="str">
        <f t="shared" si="14"/>
        <v>-- B217_疾患開始日</v>
      </c>
      <c r="U38" s="4" t="str">
        <f t="shared" si="8"/>
        <v>, CASE WHEN shikkan_disp_name = 'B217' THEN min_shikkan_start_date ::DATE ELSE NULL END AS shikkan20_start_date</v>
      </c>
      <c r="V38" s="25" t="str">
        <f t="shared" si="9"/>
        <v>, max(shikkan20_start_date)</v>
      </c>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milscm_2023_009.sny_202310_annony_bef2.shikkan20_start_date IS 'B217_疾患開始日';</v>
      </c>
    </row>
    <row r="39" spans="1:45" s="25" customFormat="1">
      <c r="A39" s="4" t="s">
        <v>5181</v>
      </c>
      <c r="B39" s="21">
        <f t="shared" si="7"/>
        <v>27</v>
      </c>
      <c r="C39" s="13" t="s">
        <v>6571</v>
      </c>
      <c r="D39" s="13" t="s">
        <v>4789</v>
      </c>
      <c r="E39" s="8"/>
      <c r="F39" s="7" t="s">
        <v>4348</v>
      </c>
      <c r="G39" s="7" t="s">
        <v>25</v>
      </c>
      <c r="H39" s="58"/>
      <c r="I39" s="23"/>
      <c r="J39" s="24"/>
      <c r="M39" s="4"/>
      <c r="N39" s="76"/>
      <c r="O39" s="76"/>
      <c r="P39" s="76" t="str">
        <f t="shared" si="10"/>
        <v>,shikkan21_start_date</v>
      </c>
      <c r="Q39" s="76" t="str">
        <f t="shared" si="11"/>
        <v>DATE</v>
      </c>
      <c r="R39" s="76" t="str">
        <f t="shared" si="12"/>
        <v/>
      </c>
      <c r="S39" s="76" t="str">
        <f t="shared" si="13"/>
        <v/>
      </c>
      <c r="T39" s="76" t="str">
        <f t="shared" si="14"/>
        <v>-- B218_疾患開始日</v>
      </c>
      <c r="U39" s="4" t="str">
        <f t="shared" si="8"/>
        <v>, CASE WHEN shikkan_disp_name = 'B218' THEN min_shikkan_start_date ::DATE ELSE NULL END AS shikkan21_start_date</v>
      </c>
      <c r="V39" s="25" t="str">
        <f t="shared" si="9"/>
        <v>, max(shikkan21_start_date)</v>
      </c>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milscm_2023_009.sny_202310_annony_bef2.shikkan21_start_date IS 'B218_疾患開始日';</v>
      </c>
    </row>
    <row r="40" spans="1:45" s="25" customFormat="1">
      <c r="A40" s="4" t="s">
        <v>5182</v>
      </c>
      <c r="B40" s="21">
        <f t="shared" si="7"/>
        <v>28</v>
      </c>
      <c r="C40" s="13" t="s">
        <v>6572</v>
      </c>
      <c r="D40" s="13" t="s">
        <v>4790</v>
      </c>
      <c r="E40" s="8"/>
      <c r="F40" s="7" t="s">
        <v>4348</v>
      </c>
      <c r="G40" s="7" t="s">
        <v>25</v>
      </c>
      <c r="H40" s="58"/>
      <c r="I40" s="23"/>
      <c r="J40" s="24"/>
      <c r="M40" s="4"/>
      <c r="N40" s="76"/>
      <c r="O40" s="76"/>
      <c r="P40" s="76" t="str">
        <f t="shared" si="10"/>
        <v>,shikkan22_start_date</v>
      </c>
      <c r="Q40" s="76" t="str">
        <f t="shared" si="11"/>
        <v>DATE</v>
      </c>
      <c r="R40" s="76" t="str">
        <f t="shared" si="12"/>
        <v/>
      </c>
      <c r="S40" s="76" t="str">
        <f t="shared" si="13"/>
        <v/>
      </c>
      <c r="T40" s="76" t="str">
        <f t="shared" si="14"/>
        <v>-- B219_疾患開始日</v>
      </c>
      <c r="U40" s="4" t="str">
        <f t="shared" si="8"/>
        <v>, CASE WHEN shikkan_disp_name = 'B219' THEN min_shikkan_start_date ::DATE ELSE NULL END AS shikkan22_start_date</v>
      </c>
      <c r="V40" s="25" t="str">
        <f t="shared" si="9"/>
        <v>, max(shikkan22_start_date)</v>
      </c>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milscm_2023_009.sny_202310_annony_bef2.shikkan22_start_date IS 'B219_疾患開始日';</v>
      </c>
    </row>
    <row r="41" spans="1:45" s="25" customFormat="1">
      <c r="A41" s="4" t="s">
        <v>5183</v>
      </c>
      <c r="B41" s="21">
        <f t="shared" si="7"/>
        <v>29</v>
      </c>
      <c r="C41" s="13" t="s">
        <v>6573</v>
      </c>
      <c r="D41" s="13" t="s">
        <v>4791</v>
      </c>
      <c r="E41" s="8"/>
      <c r="F41" s="7" t="s">
        <v>4348</v>
      </c>
      <c r="G41" s="7" t="s">
        <v>25</v>
      </c>
      <c r="H41" s="58"/>
      <c r="I41" s="23"/>
      <c r="J41" s="24"/>
      <c r="M41" s="4"/>
      <c r="N41" s="76"/>
      <c r="O41" s="76"/>
      <c r="P41" s="76" t="str">
        <f t="shared" si="10"/>
        <v>,shikkan23_start_date</v>
      </c>
      <c r="Q41" s="76" t="str">
        <f t="shared" si="11"/>
        <v>DATE</v>
      </c>
      <c r="R41" s="76" t="str">
        <f t="shared" si="12"/>
        <v/>
      </c>
      <c r="S41" s="76" t="str">
        <f t="shared" si="13"/>
        <v/>
      </c>
      <c r="T41" s="76" t="str">
        <f t="shared" si="14"/>
        <v>-- B220_疾患開始日</v>
      </c>
      <c r="U41" s="4" t="str">
        <f t="shared" si="8"/>
        <v>, CASE WHEN shikkan_disp_name = 'B220' THEN min_shikkan_start_date ::DATE ELSE NULL END AS shikkan23_start_date</v>
      </c>
      <c r="V41" s="25" t="str">
        <f t="shared" si="9"/>
        <v>, max(shikkan23_start_date)</v>
      </c>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milscm_2023_009.sny_202310_annony_bef2.shikkan23_start_date IS 'B220_疾患開始日';</v>
      </c>
    </row>
    <row r="42" spans="1:45" s="25" customFormat="1">
      <c r="A42" s="4" t="s">
        <v>5184</v>
      </c>
      <c r="B42" s="21">
        <f t="shared" si="7"/>
        <v>30</v>
      </c>
      <c r="C42" s="13" t="s">
        <v>6574</v>
      </c>
      <c r="D42" s="13" t="s">
        <v>4792</v>
      </c>
      <c r="E42" s="8"/>
      <c r="F42" s="7" t="s">
        <v>4348</v>
      </c>
      <c r="G42" s="7" t="s">
        <v>25</v>
      </c>
      <c r="H42" s="58"/>
      <c r="I42" s="23"/>
      <c r="J42" s="24"/>
      <c r="M42" s="4"/>
      <c r="N42" s="76"/>
      <c r="O42" s="76"/>
      <c r="P42" s="76" t="str">
        <f t="shared" si="10"/>
        <v>,shikkan24_start_date</v>
      </c>
      <c r="Q42" s="76" t="str">
        <f t="shared" si="11"/>
        <v>DATE</v>
      </c>
      <c r="R42" s="76" t="str">
        <f t="shared" si="12"/>
        <v/>
      </c>
      <c r="S42" s="76" t="str">
        <f t="shared" si="13"/>
        <v/>
      </c>
      <c r="T42" s="76" t="str">
        <f t="shared" si="14"/>
        <v>-- B221_疾患開始日</v>
      </c>
      <c r="U42" s="4" t="str">
        <f t="shared" si="8"/>
        <v>, CASE WHEN shikkan_disp_name = 'B221' THEN min_shikkan_start_date ::DATE ELSE NULL END AS shikkan24_start_date</v>
      </c>
      <c r="V42" s="25" t="str">
        <f t="shared" si="9"/>
        <v>, max(shikkan24_start_date)</v>
      </c>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milscm_2023_009.sny_202310_annony_bef2.shikkan24_start_date IS 'B221_疾患開始日';</v>
      </c>
    </row>
    <row r="43" spans="1:45" s="25" customFormat="1">
      <c r="A43" s="4" t="s">
        <v>5185</v>
      </c>
      <c r="B43" s="21">
        <f t="shared" si="7"/>
        <v>31</v>
      </c>
      <c r="C43" s="13" t="s">
        <v>6575</v>
      </c>
      <c r="D43" s="13" t="s">
        <v>4793</v>
      </c>
      <c r="E43" s="8"/>
      <c r="F43" s="7" t="s">
        <v>4348</v>
      </c>
      <c r="G43" s="7" t="s">
        <v>25</v>
      </c>
      <c r="H43" s="58"/>
      <c r="I43" s="23"/>
      <c r="J43" s="24"/>
      <c r="M43" s="4"/>
      <c r="N43" s="76"/>
      <c r="O43" s="76"/>
      <c r="P43" s="76" t="str">
        <f t="shared" si="10"/>
        <v>,shikkan25_start_date</v>
      </c>
      <c r="Q43" s="76" t="str">
        <f t="shared" si="11"/>
        <v>DATE</v>
      </c>
      <c r="R43" s="76" t="str">
        <f t="shared" si="12"/>
        <v/>
      </c>
      <c r="S43" s="76" t="str">
        <f t="shared" si="13"/>
        <v/>
      </c>
      <c r="T43" s="76" t="str">
        <f t="shared" si="14"/>
        <v>-- B222_疾患開始日</v>
      </c>
      <c r="U43" s="4" t="str">
        <f t="shared" si="8"/>
        <v>, CASE WHEN shikkan_disp_name = 'B222' THEN min_shikkan_start_date ::DATE ELSE NULL END AS shikkan25_start_date</v>
      </c>
      <c r="V43" s="25" t="str">
        <f t="shared" si="9"/>
        <v>, max(shikkan25_start_date)</v>
      </c>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milscm_2023_009.sny_202310_annony_bef2.shikkan25_start_date IS 'B222_疾患開始日';</v>
      </c>
    </row>
    <row r="44" spans="1:45" s="25" customFormat="1">
      <c r="A44" s="4" t="s">
        <v>5186</v>
      </c>
      <c r="B44" s="21">
        <f t="shared" si="7"/>
        <v>32</v>
      </c>
      <c r="C44" s="13" t="s">
        <v>6576</v>
      </c>
      <c r="D44" s="13" t="s">
        <v>4794</v>
      </c>
      <c r="E44" s="8"/>
      <c r="F44" s="7" t="s">
        <v>4348</v>
      </c>
      <c r="G44" s="7" t="s">
        <v>25</v>
      </c>
      <c r="H44" s="58"/>
      <c r="I44" s="23"/>
      <c r="J44" s="24"/>
      <c r="M44" s="4"/>
      <c r="N44" s="76"/>
      <c r="O44" s="76"/>
      <c r="P44" s="76" t="str">
        <f t="shared" si="10"/>
        <v>,shikkan26_start_date</v>
      </c>
      <c r="Q44" s="76" t="str">
        <f t="shared" si="11"/>
        <v>DATE</v>
      </c>
      <c r="R44" s="76" t="str">
        <f t="shared" si="12"/>
        <v/>
      </c>
      <c r="S44" s="76" t="str">
        <f t="shared" si="13"/>
        <v/>
      </c>
      <c r="T44" s="76" t="str">
        <f t="shared" si="14"/>
        <v>-- B227_疾患開始日</v>
      </c>
      <c r="U44" s="4" t="str">
        <f t="shared" si="8"/>
        <v>, CASE WHEN shikkan_disp_name = 'B227' THEN min_shikkan_start_date ::DATE ELSE NULL END AS shikkan26_start_date</v>
      </c>
      <c r="V44" s="25" t="str">
        <f t="shared" si="9"/>
        <v>, max(shikkan26_start_date)</v>
      </c>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milscm_2023_009.sny_202310_annony_bef2.shikkan26_start_date IS 'B227_疾患開始日';</v>
      </c>
    </row>
    <row r="45" spans="1:45" s="25" customFormat="1">
      <c r="A45" s="4" t="s">
        <v>5158</v>
      </c>
      <c r="B45" s="21">
        <f t="shared" si="7"/>
        <v>33</v>
      </c>
      <c r="C45" s="13" t="s">
        <v>4768</v>
      </c>
      <c r="D45" s="13" t="s">
        <v>4795</v>
      </c>
      <c r="E45" s="8"/>
      <c r="F45" s="7" t="s">
        <v>4348</v>
      </c>
      <c r="G45" s="7" t="s">
        <v>25</v>
      </c>
      <c r="H45" s="58"/>
      <c r="I45" s="23"/>
      <c r="J45" s="24"/>
      <c r="M45" s="4"/>
      <c r="N45" s="76"/>
      <c r="O45" s="76"/>
      <c r="P45" s="76" t="str">
        <f t="shared" si="10"/>
        <v>,shikkan27_start_date</v>
      </c>
      <c r="Q45" s="76" t="str">
        <f t="shared" si="11"/>
        <v>DATE</v>
      </c>
      <c r="R45" s="76" t="str">
        <f t="shared" si="12"/>
        <v/>
      </c>
      <c r="S45" s="76" t="str">
        <f t="shared" si="13"/>
        <v/>
      </c>
      <c r="T45" s="76" t="str">
        <f t="shared" si="14"/>
        <v>-- B24_疾患開始日</v>
      </c>
      <c r="U45" s="4" t="str">
        <f t="shared" si="8"/>
        <v>, CASE WHEN shikkan_disp_name = 'B24' THEN min_shikkan_start_date ::DATE ELSE NULL END AS shikkan27_start_date</v>
      </c>
      <c r="V45" s="25" t="str">
        <f t="shared" si="9"/>
        <v>, max(shikkan27_start_date)</v>
      </c>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milscm_2023_009.sny_202310_annony_bef2.shikkan27_start_date IS 'B24_疾患開始日';</v>
      </c>
    </row>
    <row r="46" spans="1:45" s="25" customFormat="1">
      <c r="A46" s="4" t="s">
        <v>5187</v>
      </c>
      <c r="B46" s="21">
        <f t="shared" si="7"/>
        <v>34</v>
      </c>
      <c r="C46" s="13" t="s">
        <v>6577</v>
      </c>
      <c r="D46" s="13" t="s">
        <v>4796</v>
      </c>
      <c r="E46" s="8"/>
      <c r="F46" s="7" t="s">
        <v>4348</v>
      </c>
      <c r="G46" s="7" t="s">
        <v>25</v>
      </c>
      <c r="H46" s="58"/>
      <c r="I46" s="23"/>
      <c r="J46" s="24"/>
      <c r="M46" s="4"/>
      <c r="N46" s="76"/>
      <c r="O46" s="76"/>
      <c r="P46" s="76" t="str">
        <f t="shared" si="10"/>
        <v>,shikkan28_start_date</v>
      </c>
      <c r="Q46" s="76" t="str">
        <f t="shared" si="11"/>
        <v>DATE</v>
      </c>
      <c r="R46" s="76" t="str">
        <f t="shared" si="12"/>
        <v/>
      </c>
      <c r="S46" s="76" t="str">
        <f t="shared" si="13"/>
        <v/>
      </c>
      <c r="T46" s="76" t="str">
        <f t="shared" si="14"/>
        <v>-- C000_疾患開始日</v>
      </c>
      <c r="U46" s="4" t="str">
        <f t="shared" si="8"/>
        <v>, CASE WHEN shikkan_disp_name = 'C000' THEN min_shikkan_start_date ::DATE ELSE NULL END AS shikkan28_start_date</v>
      </c>
      <c r="V46" s="25" t="str">
        <f t="shared" si="9"/>
        <v>, max(shikkan28_start_date)</v>
      </c>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milscm_2023_009.sny_202310_annony_bef2.shikkan28_start_date IS 'C000_疾患開始日';</v>
      </c>
    </row>
    <row r="47" spans="1:45" s="25" customFormat="1">
      <c r="A47" s="4" t="s">
        <v>5188</v>
      </c>
      <c r="B47" s="21">
        <f t="shared" si="7"/>
        <v>35</v>
      </c>
      <c r="C47" s="13" t="s">
        <v>6578</v>
      </c>
      <c r="D47" s="13" t="s">
        <v>4797</v>
      </c>
      <c r="E47" s="8"/>
      <c r="F47" s="7" t="s">
        <v>4348</v>
      </c>
      <c r="G47" s="7" t="s">
        <v>25</v>
      </c>
      <c r="H47" s="58"/>
      <c r="I47" s="23"/>
      <c r="J47" s="24"/>
      <c r="M47" s="4"/>
      <c r="N47" s="76"/>
      <c r="O47" s="76"/>
      <c r="P47" s="76" t="str">
        <f t="shared" si="10"/>
        <v>,shikkan29_start_date</v>
      </c>
      <c r="Q47" s="76" t="str">
        <f t="shared" si="11"/>
        <v>DATE</v>
      </c>
      <c r="R47" s="76" t="str">
        <f t="shared" si="12"/>
        <v/>
      </c>
      <c r="S47" s="76" t="str">
        <f t="shared" si="13"/>
        <v/>
      </c>
      <c r="T47" s="76" t="str">
        <f t="shared" si="14"/>
        <v>-- C001_疾患開始日</v>
      </c>
      <c r="U47" s="4" t="str">
        <f t="shared" si="8"/>
        <v>, CASE WHEN shikkan_disp_name = 'C001' THEN min_shikkan_start_date ::DATE ELSE NULL END AS shikkan29_start_date</v>
      </c>
      <c r="V47" s="25" t="str">
        <f t="shared" si="9"/>
        <v>, max(shikkan29_start_date)</v>
      </c>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milscm_2023_009.sny_202310_annony_bef2.shikkan29_start_date IS 'C001_疾患開始日';</v>
      </c>
    </row>
    <row r="48" spans="1:45" s="25" customFormat="1">
      <c r="A48" s="4" t="s">
        <v>5189</v>
      </c>
      <c r="B48" s="21">
        <f t="shared" si="7"/>
        <v>36</v>
      </c>
      <c r="C48" s="13" t="s">
        <v>6579</v>
      </c>
      <c r="D48" s="13" t="s">
        <v>4798</v>
      </c>
      <c r="E48" s="8"/>
      <c r="F48" s="7" t="s">
        <v>4348</v>
      </c>
      <c r="G48" s="7" t="s">
        <v>25</v>
      </c>
      <c r="H48" s="58"/>
      <c r="I48" s="23"/>
      <c r="J48" s="24"/>
      <c r="M48" s="4"/>
      <c r="N48" s="76"/>
      <c r="O48" s="76"/>
      <c r="P48" s="76" t="str">
        <f t="shared" si="10"/>
        <v>,shikkan30_start_date</v>
      </c>
      <c r="Q48" s="76" t="str">
        <f t="shared" si="11"/>
        <v>DATE</v>
      </c>
      <c r="R48" s="76" t="str">
        <f t="shared" si="12"/>
        <v/>
      </c>
      <c r="S48" s="76" t="str">
        <f t="shared" si="13"/>
        <v/>
      </c>
      <c r="T48" s="76" t="str">
        <f t="shared" si="14"/>
        <v>-- C002_疾患開始日</v>
      </c>
      <c r="U48" s="4" t="str">
        <f t="shared" si="8"/>
        <v>, CASE WHEN shikkan_disp_name = 'C002' THEN min_shikkan_start_date ::DATE ELSE NULL END AS shikkan30_start_date</v>
      </c>
      <c r="V48" s="25" t="str">
        <f t="shared" si="9"/>
        <v>, max(shikkan30_start_date)</v>
      </c>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milscm_2023_009.sny_202310_annony_bef2.shikkan30_start_date IS 'C002_疾患開始日';</v>
      </c>
    </row>
    <row r="49" spans="1:45" s="25" customFormat="1">
      <c r="A49" s="4" t="s">
        <v>5190</v>
      </c>
      <c r="B49" s="21">
        <f t="shared" si="7"/>
        <v>37</v>
      </c>
      <c r="C49" s="13" t="s">
        <v>6580</v>
      </c>
      <c r="D49" s="13" t="s">
        <v>4799</v>
      </c>
      <c r="E49" s="8"/>
      <c r="F49" s="7" t="s">
        <v>4348</v>
      </c>
      <c r="G49" s="7" t="s">
        <v>25</v>
      </c>
      <c r="H49" s="58"/>
      <c r="I49" s="23"/>
      <c r="J49" s="24"/>
      <c r="M49" s="4"/>
      <c r="N49" s="76"/>
      <c r="O49" s="76"/>
      <c r="P49" s="76" t="str">
        <f t="shared" si="10"/>
        <v>,shikkan31_start_date</v>
      </c>
      <c r="Q49" s="76" t="str">
        <f t="shared" si="11"/>
        <v>DATE</v>
      </c>
      <c r="R49" s="76" t="str">
        <f t="shared" si="12"/>
        <v/>
      </c>
      <c r="S49" s="76" t="str">
        <f t="shared" si="13"/>
        <v/>
      </c>
      <c r="T49" s="76" t="str">
        <f t="shared" si="14"/>
        <v>-- C003_疾患開始日</v>
      </c>
      <c r="U49" s="4" t="str">
        <f t="shared" si="8"/>
        <v>, CASE WHEN shikkan_disp_name = 'C003' THEN min_shikkan_start_date ::DATE ELSE NULL END AS shikkan31_start_date</v>
      </c>
      <c r="V49" s="25" t="str">
        <f t="shared" si="9"/>
        <v>, max(shikkan31_start_date)</v>
      </c>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milscm_2023_009.sny_202310_annony_bef2.shikkan31_start_date IS 'C003_疾患開始日';</v>
      </c>
    </row>
    <row r="50" spans="1:45" s="25" customFormat="1">
      <c r="A50" s="4" t="s">
        <v>5191</v>
      </c>
      <c r="B50" s="21">
        <f t="shared" si="7"/>
        <v>38</v>
      </c>
      <c r="C50" s="13" t="s">
        <v>6581</v>
      </c>
      <c r="D50" s="13" t="s">
        <v>4800</v>
      </c>
      <c r="E50" s="8"/>
      <c r="F50" s="7" t="s">
        <v>4348</v>
      </c>
      <c r="G50" s="7" t="s">
        <v>25</v>
      </c>
      <c r="H50" s="58"/>
      <c r="I50" s="23"/>
      <c r="J50" s="24"/>
      <c r="M50" s="4"/>
      <c r="N50" s="76"/>
      <c r="O50" s="76"/>
      <c r="P50" s="76" t="str">
        <f t="shared" si="10"/>
        <v>,shikkan32_start_date</v>
      </c>
      <c r="Q50" s="76" t="str">
        <f t="shared" si="11"/>
        <v>DATE</v>
      </c>
      <c r="R50" s="76" t="str">
        <f t="shared" si="12"/>
        <v/>
      </c>
      <c r="S50" s="76" t="str">
        <f t="shared" si="13"/>
        <v/>
      </c>
      <c r="T50" s="76" t="str">
        <f t="shared" si="14"/>
        <v>-- C004_疾患開始日</v>
      </c>
      <c r="U50" s="4" t="str">
        <f t="shared" si="8"/>
        <v>, CASE WHEN shikkan_disp_name = 'C004' THEN min_shikkan_start_date ::DATE ELSE NULL END AS shikkan32_start_date</v>
      </c>
      <c r="V50" s="25" t="str">
        <f t="shared" si="9"/>
        <v>, max(shikkan32_start_date)</v>
      </c>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milscm_2023_009.sny_202310_annony_bef2.shikkan32_start_date IS 'C004_疾患開始日';</v>
      </c>
    </row>
    <row r="51" spans="1:45" s="25" customFormat="1">
      <c r="A51" s="4" t="s">
        <v>5192</v>
      </c>
      <c r="B51" s="21">
        <f t="shared" si="7"/>
        <v>39</v>
      </c>
      <c r="C51" s="13" t="s">
        <v>6582</v>
      </c>
      <c r="D51" s="13" t="s">
        <v>4801</v>
      </c>
      <c r="E51" s="8"/>
      <c r="F51" s="7" t="s">
        <v>4348</v>
      </c>
      <c r="G51" s="7" t="s">
        <v>99</v>
      </c>
      <c r="H51" s="58"/>
      <c r="I51" s="23"/>
      <c r="J51" s="24"/>
      <c r="M51" s="4"/>
      <c r="N51" s="76"/>
      <c r="O51" s="76"/>
      <c r="P51" s="76" t="str">
        <f t="shared" si="10"/>
        <v>,shikkan33_start_date</v>
      </c>
      <c r="Q51" s="76" t="str">
        <f t="shared" si="11"/>
        <v>DATE</v>
      </c>
      <c r="R51" s="76" t="str">
        <f t="shared" si="12"/>
        <v/>
      </c>
      <c r="S51" s="76" t="str">
        <f t="shared" si="13"/>
        <v/>
      </c>
      <c r="T51" s="76" t="str">
        <f t="shared" si="14"/>
        <v>-- C005_疾患開始日</v>
      </c>
      <c r="U51" s="4" t="str">
        <f t="shared" si="8"/>
        <v>, CASE WHEN shikkan_disp_name = 'C005' THEN min_shikkan_start_date ::DATE ELSE NULL END AS shikkan33_start_date</v>
      </c>
      <c r="V51" s="25" t="str">
        <f t="shared" si="9"/>
        <v>, max(shikkan33_start_date)</v>
      </c>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milscm_2023_009.sny_202310_annony_bef2.shikkan33_start_date IS 'C005_疾患開始日';</v>
      </c>
    </row>
    <row r="52" spans="1:45" s="25" customFormat="1">
      <c r="A52" s="4" t="s">
        <v>5193</v>
      </c>
      <c r="B52" s="21">
        <f t="shared" si="7"/>
        <v>40</v>
      </c>
      <c r="C52" s="13" t="s">
        <v>6583</v>
      </c>
      <c r="D52" s="13" t="s">
        <v>4802</v>
      </c>
      <c r="E52" s="8"/>
      <c r="F52" s="7" t="s">
        <v>4348</v>
      </c>
      <c r="G52" s="7" t="s">
        <v>25</v>
      </c>
      <c r="H52" s="58"/>
      <c r="I52" s="23"/>
      <c r="J52" s="24"/>
      <c r="M52" s="4"/>
      <c r="N52" s="76"/>
      <c r="O52" s="76"/>
      <c r="P52" s="76" t="str">
        <f t="shared" si="10"/>
        <v>,shikkan34_start_date</v>
      </c>
      <c r="Q52" s="76" t="str">
        <f t="shared" si="11"/>
        <v>DATE</v>
      </c>
      <c r="R52" s="76" t="str">
        <f t="shared" si="12"/>
        <v/>
      </c>
      <c r="S52" s="76" t="str">
        <f t="shared" si="13"/>
        <v/>
      </c>
      <c r="T52" s="76" t="str">
        <f t="shared" si="14"/>
        <v>-- C006_疾患開始日</v>
      </c>
      <c r="U52" s="4" t="str">
        <f t="shared" si="8"/>
        <v>, CASE WHEN shikkan_disp_name = 'C006' THEN min_shikkan_start_date ::DATE ELSE NULL END AS shikkan34_start_date</v>
      </c>
      <c r="V52" s="25" t="str">
        <f t="shared" si="9"/>
        <v>, max(shikkan34_start_date)</v>
      </c>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milscm_2023_009.sny_202310_annony_bef2.shikkan34_start_date IS 'C006_疾患開始日';</v>
      </c>
    </row>
    <row r="53" spans="1:45" s="25" customFormat="1">
      <c r="A53" s="4" t="s">
        <v>5194</v>
      </c>
      <c r="B53" s="21">
        <f t="shared" si="7"/>
        <v>41</v>
      </c>
      <c r="C53" s="13" t="s">
        <v>6584</v>
      </c>
      <c r="D53" s="13" t="s">
        <v>4803</v>
      </c>
      <c r="E53" s="8"/>
      <c r="F53" s="7" t="s">
        <v>4348</v>
      </c>
      <c r="G53" s="7" t="s">
        <v>25</v>
      </c>
      <c r="H53" s="58"/>
      <c r="I53" s="23"/>
      <c r="J53" s="24"/>
      <c r="M53" s="4"/>
      <c r="N53" s="76"/>
      <c r="O53" s="76"/>
      <c r="P53" s="76" t="str">
        <f t="shared" si="10"/>
        <v>,shikkan35_start_date</v>
      </c>
      <c r="Q53" s="76" t="str">
        <f t="shared" si="11"/>
        <v>DATE</v>
      </c>
      <c r="R53" s="76" t="str">
        <f t="shared" si="12"/>
        <v/>
      </c>
      <c r="S53" s="76" t="str">
        <f t="shared" si="13"/>
        <v/>
      </c>
      <c r="T53" s="76" t="str">
        <f t="shared" si="14"/>
        <v>-- C008_疾患開始日</v>
      </c>
      <c r="U53" s="4" t="str">
        <f t="shared" si="8"/>
        <v>, CASE WHEN shikkan_disp_name = 'C008' THEN min_shikkan_start_date ::DATE ELSE NULL END AS shikkan35_start_date</v>
      </c>
      <c r="V53" s="25" t="str">
        <f t="shared" si="9"/>
        <v>, max(shikkan35_start_date)</v>
      </c>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milscm_2023_009.sny_202310_annony_bef2.shikkan35_start_date IS 'C008_疾患開始日';</v>
      </c>
    </row>
    <row r="54" spans="1:45" s="25" customFormat="1">
      <c r="A54" s="4" t="s">
        <v>5195</v>
      </c>
      <c r="B54" s="21">
        <f t="shared" si="7"/>
        <v>42</v>
      </c>
      <c r="C54" s="13" t="s">
        <v>6585</v>
      </c>
      <c r="D54" s="13" t="s">
        <v>4804</v>
      </c>
      <c r="E54" s="8"/>
      <c r="F54" s="7" t="s">
        <v>4348</v>
      </c>
      <c r="G54" s="7" t="s">
        <v>25</v>
      </c>
      <c r="H54" s="58"/>
      <c r="I54" s="23"/>
      <c r="J54" s="24"/>
      <c r="M54" s="4"/>
      <c r="N54" s="76"/>
      <c r="O54" s="76"/>
      <c r="P54" s="76" t="str">
        <f t="shared" si="10"/>
        <v>,shikkan36_start_date</v>
      </c>
      <c r="Q54" s="76" t="str">
        <f t="shared" si="11"/>
        <v>DATE</v>
      </c>
      <c r="R54" s="76" t="str">
        <f t="shared" si="12"/>
        <v/>
      </c>
      <c r="S54" s="76" t="str">
        <f t="shared" si="13"/>
        <v/>
      </c>
      <c r="T54" s="76" t="str">
        <f t="shared" si="14"/>
        <v>-- C009_疾患開始日</v>
      </c>
      <c r="U54" s="4" t="str">
        <f t="shared" si="8"/>
        <v>, CASE WHEN shikkan_disp_name = 'C009' THEN min_shikkan_start_date ::DATE ELSE NULL END AS shikkan36_start_date</v>
      </c>
      <c r="V54" s="25" t="str">
        <f t="shared" si="9"/>
        <v>, max(shikkan36_start_date)</v>
      </c>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milscm_2023_009.sny_202310_annony_bef2.shikkan36_start_date IS 'C009_疾患開始日';</v>
      </c>
    </row>
    <row r="55" spans="1:45" s="25" customFormat="1">
      <c r="A55" s="4" t="s">
        <v>5140</v>
      </c>
      <c r="B55" s="21">
        <f t="shared" si="7"/>
        <v>43</v>
      </c>
      <c r="C55" s="13" t="s">
        <v>4750</v>
      </c>
      <c r="D55" s="13" t="s">
        <v>4805</v>
      </c>
      <c r="E55" s="8"/>
      <c r="F55" s="7" t="s">
        <v>4348</v>
      </c>
      <c r="G55" s="7" t="s">
        <v>25</v>
      </c>
      <c r="H55" s="58"/>
      <c r="I55" s="23"/>
      <c r="J55" s="24"/>
      <c r="M55" s="4"/>
      <c r="N55" s="76"/>
      <c r="O55" s="76"/>
      <c r="P55" s="76" t="str">
        <f t="shared" si="10"/>
        <v>,shikkan37_start_date</v>
      </c>
      <c r="Q55" s="76" t="str">
        <f t="shared" si="11"/>
        <v>DATE</v>
      </c>
      <c r="R55" s="76" t="str">
        <f t="shared" si="12"/>
        <v/>
      </c>
      <c r="S55" s="76" t="str">
        <f t="shared" si="13"/>
        <v/>
      </c>
      <c r="T55" s="76" t="str">
        <f t="shared" si="14"/>
        <v>-- C01_疾患開始日</v>
      </c>
      <c r="U55" s="4" t="str">
        <f t="shared" si="8"/>
        <v>, CASE WHEN shikkan_disp_name = 'C01' THEN min_shikkan_start_date ::DATE ELSE NULL END AS shikkan37_start_date</v>
      </c>
      <c r="V55" s="25" t="str">
        <f t="shared" si="9"/>
        <v>, max(shikkan37_start_date)</v>
      </c>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milscm_2023_009.sny_202310_annony_bef2.shikkan37_start_date IS 'C01_疾患開始日';</v>
      </c>
    </row>
    <row r="56" spans="1:45" s="25" customFormat="1">
      <c r="A56" s="4" t="s">
        <v>5196</v>
      </c>
      <c r="B56" s="21">
        <f t="shared" si="7"/>
        <v>44</v>
      </c>
      <c r="C56" s="13" t="s">
        <v>6586</v>
      </c>
      <c r="D56" s="13" t="s">
        <v>4806</v>
      </c>
      <c r="E56" s="8"/>
      <c r="F56" s="7" t="s">
        <v>4348</v>
      </c>
      <c r="G56" s="7" t="s">
        <v>25</v>
      </c>
      <c r="H56" s="58"/>
      <c r="I56" s="23"/>
      <c r="J56" s="24"/>
      <c r="M56" s="4"/>
      <c r="N56" s="76"/>
      <c r="O56" s="76"/>
      <c r="P56" s="76" t="str">
        <f t="shared" si="10"/>
        <v>,shikkan38_start_date</v>
      </c>
      <c r="Q56" s="76" t="str">
        <f t="shared" si="11"/>
        <v>DATE</v>
      </c>
      <c r="R56" s="76" t="str">
        <f t="shared" si="12"/>
        <v/>
      </c>
      <c r="S56" s="76" t="str">
        <f t="shared" si="13"/>
        <v/>
      </c>
      <c r="T56" s="76" t="str">
        <f t="shared" si="14"/>
        <v>-- C020_疾患開始日</v>
      </c>
      <c r="U56" s="4" t="str">
        <f t="shared" si="8"/>
        <v>, CASE WHEN shikkan_disp_name = 'C020' THEN min_shikkan_start_date ::DATE ELSE NULL END AS shikkan38_start_date</v>
      </c>
      <c r="V56" s="25" t="str">
        <f t="shared" si="9"/>
        <v>, max(shikkan38_start_date)</v>
      </c>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milscm_2023_009.sny_202310_annony_bef2.shikkan38_start_date IS 'C020_疾患開始日';</v>
      </c>
    </row>
    <row r="57" spans="1:45" s="25" customFormat="1">
      <c r="A57" s="4" t="s">
        <v>5197</v>
      </c>
      <c r="B57" s="21">
        <f t="shared" si="7"/>
        <v>45</v>
      </c>
      <c r="C57" s="13" t="s">
        <v>6587</v>
      </c>
      <c r="D57" s="13" t="s">
        <v>4807</v>
      </c>
      <c r="E57" s="8"/>
      <c r="F57" s="7" t="s">
        <v>4348</v>
      </c>
      <c r="G57" s="7" t="s">
        <v>25</v>
      </c>
      <c r="H57" s="58"/>
      <c r="I57" s="23"/>
      <c r="J57" s="24"/>
      <c r="M57" s="4"/>
      <c r="N57" s="76"/>
      <c r="O57" s="76"/>
      <c r="P57" s="76" t="str">
        <f t="shared" si="10"/>
        <v>,shikkan39_start_date</v>
      </c>
      <c r="Q57" s="76" t="str">
        <f t="shared" si="11"/>
        <v>DATE</v>
      </c>
      <c r="R57" s="76" t="str">
        <f t="shared" si="12"/>
        <v/>
      </c>
      <c r="S57" s="76" t="str">
        <f t="shared" si="13"/>
        <v/>
      </c>
      <c r="T57" s="76" t="str">
        <f t="shared" si="14"/>
        <v>-- C021_疾患開始日</v>
      </c>
      <c r="U57" s="4" t="str">
        <f t="shared" si="8"/>
        <v>, CASE WHEN shikkan_disp_name = 'C021' THEN min_shikkan_start_date ::DATE ELSE NULL END AS shikkan39_start_date</v>
      </c>
      <c r="V57" s="25" t="str">
        <f t="shared" si="9"/>
        <v>, max(shikkan39_start_date)</v>
      </c>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milscm_2023_009.sny_202310_annony_bef2.shikkan39_start_date IS 'C021_疾患開始日';</v>
      </c>
    </row>
    <row r="58" spans="1:45" s="25" customFormat="1">
      <c r="A58" s="4" t="s">
        <v>5198</v>
      </c>
      <c r="B58" s="21">
        <f t="shared" si="7"/>
        <v>46</v>
      </c>
      <c r="C58" s="13" t="s">
        <v>6588</v>
      </c>
      <c r="D58" s="13" t="s">
        <v>4808</v>
      </c>
      <c r="E58" s="8"/>
      <c r="F58" s="7" t="s">
        <v>4348</v>
      </c>
      <c r="G58" s="7" t="s">
        <v>25</v>
      </c>
      <c r="H58" s="58"/>
      <c r="I58" s="23"/>
      <c r="J58" s="24"/>
      <c r="M58" s="4"/>
      <c r="N58" s="76"/>
      <c r="O58" s="76"/>
      <c r="P58" s="76" t="str">
        <f t="shared" si="10"/>
        <v>,shikkan40_start_date</v>
      </c>
      <c r="Q58" s="76" t="str">
        <f t="shared" si="11"/>
        <v>DATE</v>
      </c>
      <c r="R58" s="76" t="str">
        <f t="shared" si="12"/>
        <v/>
      </c>
      <c r="S58" s="76" t="str">
        <f t="shared" si="13"/>
        <v/>
      </c>
      <c r="T58" s="76" t="str">
        <f t="shared" si="14"/>
        <v>-- C022_疾患開始日</v>
      </c>
      <c r="U58" s="4" t="str">
        <f t="shared" si="8"/>
        <v>, CASE WHEN shikkan_disp_name = 'C022' THEN min_shikkan_start_date ::DATE ELSE NULL END AS shikkan40_start_date</v>
      </c>
      <c r="V58" s="25" t="str">
        <f t="shared" si="9"/>
        <v>, max(shikkan40_start_date)</v>
      </c>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milscm_2023_009.sny_202310_annony_bef2.shikkan40_start_date IS 'C022_疾患開始日';</v>
      </c>
    </row>
    <row r="59" spans="1:45" s="25" customFormat="1">
      <c r="A59" s="4" t="s">
        <v>5199</v>
      </c>
      <c r="B59" s="21">
        <f t="shared" si="7"/>
        <v>47</v>
      </c>
      <c r="C59" s="13" t="s">
        <v>6589</v>
      </c>
      <c r="D59" s="13" t="s">
        <v>4809</v>
      </c>
      <c r="E59" s="8"/>
      <c r="F59" s="7" t="s">
        <v>4348</v>
      </c>
      <c r="G59" s="7" t="s">
        <v>25</v>
      </c>
      <c r="H59" s="58"/>
      <c r="I59" s="23"/>
      <c r="J59" s="24"/>
      <c r="M59" s="4"/>
      <c r="N59" s="76"/>
      <c r="O59" s="76"/>
      <c r="P59" s="76" t="str">
        <f t="shared" si="10"/>
        <v>,shikkan41_start_date</v>
      </c>
      <c r="Q59" s="76" t="str">
        <f t="shared" si="11"/>
        <v>DATE</v>
      </c>
      <c r="R59" s="76" t="str">
        <f t="shared" si="12"/>
        <v/>
      </c>
      <c r="S59" s="76" t="str">
        <f t="shared" si="13"/>
        <v/>
      </c>
      <c r="T59" s="76" t="str">
        <f t="shared" si="14"/>
        <v>-- C023_疾患開始日</v>
      </c>
      <c r="U59" s="4" t="str">
        <f t="shared" si="8"/>
        <v>, CASE WHEN shikkan_disp_name = 'C023' THEN min_shikkan_start_date ::DATE ELSE NULL END AS shikkan41_start_date</v>
      </c>
      <c r="V59" s="25" t="str">
        <f t="shared" si="9"/>
        <v>, max(shikkan41_start_date)</v>
      </c>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milscm_2023_009.sny_202310_annony_bef2.shikkan41_start_date IS 'C023_疾患開始日';</v>
      </c>
    </row>
    <row r="60" spans="1:45" s="25" customFormat="1">
      <c r="A60" s="4" t="s">
        <v>5200</v>
      </c>
      <c r="B60" s="21">
        <f t="shared" si="7"/>
        <v>48</v>
      </c>
      <c r="C60" s="13" t="s">
        <v>6590</v>
      </c>
      <c r="D60" s="13" t="s">
        <v>4810</v>
      </c>
      <c r="E60" s="8"/>
      <c r="F60" s="7" t="s">
        <v>4348</v>
      </c>
      <c r="G60" s="7" t="s">
        <v>25</v>
      </c>
      <c r="H60" s="58"/>
      <c r="I60" s="23"/>
      <c r="J60" s="24"/>
      <c r="M60" s="4"/>
      <c r="N60" s="76"/>
      <c r="O60" s="76"/>
      <c r="P60" s="76" t="str">
        <f t="shared" si="10"/>
        <v>,shikkan42_start_date</v>
      </c>
      <c r="Q60" s="76" t="str">
        <f t="shared" si="11"/>
        <v>DATE</v>
      </c>
      <c r="R60" s="76" t="str">
        <f t="shared" si="12"/>
        <v/>
      </c>
      <c r="S60" s="76" t="str">
        <f t="shared" si="13"/>
        <v/>
      </c>
      <c r="T60" s="76" t="str">
        <f t="shared" si="14"/>
        <v>-- C024_疾患開始日</v>
      </c>
      <c r="U60" s="4" t="str">
        <f t="shared" si="8"/>
        <v>, CASE WHEN shikkan_disp_name = 'C024' THEN min_shikkan_start_date ::DATE ELSE NULL END AS shikkan42_start_date</v>
      </c>
      <c r="V60" s="25" t="str">
        <f t="shared" si="9"/>
        <v>, max(shikkan42_start_date)</v>
      </c>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milscm_2023_009.sny_202310_annony_bef2.shikkan42_start_date IS 'C024_疾患開始日';</v>
      </c>
    </row>
    <row r="61" spans="1:45" s="25" customFormat="1">
      <c r="A61" s="4" t="s">
        <v>5201</v>
      </c>
      <c r="B61" s="21">
        <f t="shared" si="7"/>
        <v>49</v>
      </c>
      <c r="C61" s="13" t="s">
        <v>6591</v>
      </c>
      <c r="D61" s="13" t="s">
        <v>4811</v>
      </c>
      <c r="E61" s="8"/>
      <c r="F61" s="7" t="s">
        <v>4348</v>
      </c>
      <c r="G61" s="7" t="s">
        <v>25</v>
      </c>
      <c r="H61" s="58"/>
      <c r="I61" s="23"/>
      <c r="J61" s="24"/>
      <c r="M61" s="4"/>
      <c r="N61" s="76"/>
      <c r="O61" s="76"/>
      <c r="P61" s="76" t="str">
        <f t="shared" si="10"/>
        <v>,shikkan43_start_date</v>
      </c>
      <c r="Q61" s="76" t="str">
        <f t="shared" si="11"/>
        <v>DATE</v>
      </c>
      <c r="R61" s="76" t="str">
        <f t="shared" si="12"/>
        <v/>
      </c>
      <c r="S61" s="76" t="str">
        <f t="shared" si="13"/>
        <v/>
      </c>
      <c r="T61" s="76" t="str">
        <f t="shared" si="14"/>
        <v>-- C028_疾患開始日</v>
      </c>
      <c r="U61" s="4" t="str">
        <f t="shared" si="8"/>
        <v>, CASE WHEN shikkan_disp_name = 'C028' THEN min_shikkan_start_date ::DATE ELSE NULL END AS shikkan43_start_date</v>
      </c>
      <c r="V61" s="25" t="str">
        <f t="shared" si="9"/>
        <v>, max(shikkan43_start_date)</v>
      </c>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milscm_2023_009.sny_202310_annony_bef2.shikkan43_start_date IS 'C028_疾患開始日';</v>
      </c>
    </row>
    <row r="62" spans="1:45" s="25" customFormat="1">
      <c r="A62" s="4" t="s">
        <v>5202</v>
      </c>
      <c r="B62" s="21">
        <f t="shared" si="7"/>
        <v>50</v>
      </c>
      <c r="C62" s="13" t="s">
        <v>6592</v>
      </c>
      <c r="D62" s="13" t="s">
        <v>4812</v>
      </c>
      <c r="E62" s="8"/>
      <c r="F62" s="7" t="s">
        <v>4348</v>
      </c>
      <c r="G62" s="7" t="s">
        <v>25</v>
      </c>
      <c r="H62" s="58"/>
      <c r="I62" s="23"/>
      <c r="J62" s="24"/>
      <c r="M62" s="4"/>
      <c r="N62" s="76"/>
      <c r="O62" s="76"/>
      <c r="P62" s="76" t="str">
        <f t="shared" si="10"/>
        <v>,shikkan44_start_date</v>
      </c>
      <c r="Q62" s="76" t="str">
        <f t="shared" si="11"/>
        <v>DATE</v>
      </c>
      <c r="R62" s="76" t="str">
        <f t="shared" si="12"/>
        <v/>
      </c>
      <c r="S62" s="76" t="str">
        <f t="shared" si="13"/>
        <v/>
      </c>
      <c r="T62" s="76" t="str">
        <f t="shared" si="14"/>
        <v>-- C029_疾患開始日</v>
      </c>
      <c r="U62" s="4" t="str">
        <f t="shared" si="8"/>
        <v>, CASE WHEN shikkan_disp_name = 'C029' THEN min_shikkan_start_date ::DATE ELSE NULL END AS shikkan44_start_date</v>
      </c>
      <c r="V62" s="25" t="str">
        <f t="shared" si="9"/>
        <v>, max(shikkan44_start_date)</v>
      </c>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milscm_2023_009.sny_202310_annony_bef2.shikkan44_start_date IS 'C029_疾患開始日';</v>
      </c>
    </row>
    <row r="63" spans="1:45" s="25" customFormat="1">
      <c r="A63" s="4" t="s">
        <v>5203</v>
      </c>
      <c r="B63" s="21">
        <f t="shared" si="7"/>
        <v>51</v>
      </c>
      <c r="C63" s="13" t="s">
        <v>6593</v>
      </c>
      <c r="D63" s="13" t="s">
        <v>4813</v>
      </c>
      <c r="E63" s="8"/>
      <c r="F63" s="7" t="s">
        <v>4348</v>
      </c>
      <c r="G63" s="7" t="s">
        <v>25</v>
      </c>
      <c r="H63" s="58"/>
      <c r="I63" s="23"/>
      <c r="J63" s="24"/>
      <c r="M63" s="4"/>
      <c r="N63" s="76"/>
      <c r="O63" s="76"/>
      <c r="P63" s="76" t="str">
        <f t="shared" si="10"/>
        <v>,shikkan45_start_date</v>
      </c>
      <c r="Q63" s="76" t="str">
        <f t="shared" si="11"/>
        <v>DATE</v>
      </c>
      <c r="R63" s="76" t="str">
        <f t="shared" si="12"/>
        <v/>
      </c>
      <c r="S63" s="76" t="str">
        <f t="shared" si="13"/>
        <v/>
      </c>
      <c r="T63" s="76" t="str">
        <f t="shared" si="14"/>
        <v>-- C030_疾患開始日</v>
      </c>
      <c r="U63" s="4" t="str">
        <f t="shared" si="8"/>
        <v>, CASE WHEN shikkan_disp_name = 'C030' THEN min_shikkan_start_date ::DATE ELSE NULL END AS shikkan45_start_date</v>
      </c>
      <c r="V63" s="25" t="str">
        <f t="shared" si="9"/>
        <v>, max(shikkan45_start_date)</v>
      </c>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milscm_2023_009.sny_202310_annony_bef2.shikkan45_start_date IS 'C030_疾患開始日';</v>
      </c>
    </row>
    <row r="64" spans="1:45" s="25" customFormat="1">
      <c r="A64" s="4" t="s">
        <v>5204</v>
      </c>
      <c r="B64" s="21">
        <f t="shared" si="7"/>
        <v>52</v>
      </c>
      <c r="C64" s="13" t="s">
        <v>6594</v>
      </c>
      <c r="D64" s="13" t="s">
        <v>4814</v>
      </c>
      <c r="E64" s="8"/>
      <c r="F64" s="7" t="s">
        <v>4348</v>
      </c>
      <c r="G64" s="7" t="s">
        <v>25</v>
      </c>
      <c r="H64" s="58"/>
      <c r="I64" s="23"/>
      <c r="J64" s="24"/>
      <c r="M64" s="4"/>
      <c r="N64" s="76"/>
      <c r="O64" s="76"/>
      <c r="P64" s="76" t="str">
        <f t="shared" si="10"/>
        <v>,shikkan46_start_date</v>
      </c>
      <c r="Q64" s="76" t="str">
        <f t="shared" si="11"/>
        <v>DATE</v>
      </c>
      <c r="R64" s="76" t="str">
        <f t="shared" si="12"/>
        <v/>
      </c>
      <c r="S64" s="76" t="str">
        <f t="shared" si="13"/>
        <v/>
      </c>
      <c r="T64" s="76" t="str">
        <f t="shared" si="14"/>
        <v>-- C031_疾患開始日</v>
      </c>
      <c r="U64" s="4" t="str">
        <f t="shared" si="8"/>
        <v>, CASE WHEN shikkan_disp_name = 'C031' THEN min_shikkan_start_date ::DATE ELSE NULL END AS shikkan46_start_date</v>
      </c>
      <c r="V64" s="25" t="str">
        <f t="shared" si="9"/>
        <v>, max(shikkan46_start_date)</v>
      </c>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milscm_2023_009.sny_202310_annony_bef2.shikkan46_start_date IS 'C031_疾患開始日';</v>
      </c>
    </row>
    <row r="65" spans="1:45" s="25" customFormat="1">
      <c r="A65" s="4" t="s">
        <v>5205</v>
      </c>
      <c r="B65" s="21">
        <f t="shared" si="7"/>
        <v>53</v>
      </c>
      <c r="C65" s="13" t="s">
        <v>6595</v>
      </c>
      <c r="D65" s="13" t="s">
        <v>4815</v>
      </c>
      <c r="E65" s="8"/>
      <c r="F65" s="7" t="s">
        <v>4348</v>
      </c>
      <c r="G65" s="7" t="s">
        <v>25</v>
      </c>
      <c r="H65" s="58"/>
      <c r="I65" s="23"/>
      <c r="J65" s="24"/>
      <c r="M65" s="4"/>
      <c r="N65" s="76"/>
      <c r="O65" s="76"/>
      <c r="P65" s="76" t="str">
        <f t="shared" si="10"/>
        <v>,shikkan47_start_date</v>
      </c>
      <c r="Q65" s="76" t="str">
        <f t="shared" si="11"/>
        <v>DATE</v>
      </c>
      <c r="R65" s="76" t="str">
        <f t="shared" si="12"/>
        <v/>
      </c>
      <c r="S65" s="76" t="str">
        <f t="shared" si="13"/>
        <v/>
      </c>
      <c r="T65" s="76" t="str">
        <f t="shared" si="14"/>
        <v>-- C039_疾患開始日</v>
      </c>
      <c r="U65" s="4" t="str">
        <f t="shared" si="8"/>
        <v>, CASE WHEN shikkan_disp_name = 'C039' THEN min_shikkan_start_date ::DATE ELSE NULL END AS shikkan47_start_date</v>
      </c>
      <c r="V65" s="25" t="str">
        <f t="shared" si="9"/>
        <v>, max(shikkan47_start_date)</v>
      </c>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milscm_2023_009.sny_202310_annony_bef2.shikkan47_start_date IS 'C039_疾患開始日';</v>
      </c>
    </row>
    <row r="66" spans="1:45" s="25" customFormat="1">
      <c r="A66" s="4" t="s">
        <v>5206</v>
      </c>
      <c r="B66" s="21">
        <f t="shared" si="7"/>
        <v>54</v>
      </c>
      <c r="C66" s="13" t="s">
        <v>6596</v>
      </c>
      <c r="D66" s="13" t="s">
        <v>4816</v>
      </c>
      <c r="E66" s="8"/>
      <c r="F66" s="7" t="s">
        <v>4348</v>
      </c>
      <c r="G66" s="7" t="s">
        <v>25</v>
      </c>
      <c r="H66" s="58"/>
      <c r="I66" s="23"/>
      <c r="J66" s="24"/>
      <c r="M66" s="4"/>
      <c r="N66" s="76"/>
      <c r="O66" s="76"/>
      <c r="P66" s="76" t="str">
        <f t="shared" si="10"/>
        <v>,shikkan48_start_date</v>
      </c>
      <c r="Q66" s="76" t="str">
        <f t="shared" si="11"/>
        <v>DATE</v>
      </c>
      <c r="R66" s="76" t="str">
        <f t="shared" si="12"/>
        <v/>
      </c>
      <c r="S66" s="76" t="str">
        <f t="shared" si="13"/>
        <v/>
      </c>
      <c r="T66" s="76" t="str">
        <f t="shared" si="14"/>
        <v>-- C040_疾患開始日</v>
      </c>
      <c r="U66" s="4" t="str">
        <f t="shared" si="8"/>
        <v>, CASE WHEN shikkan_disp_name = 'C040' THEN min_shikkan_start_date ::DATE ELSE NULL END AS shikkan48_start_date</v>
      </c>
      <c r="V66" s="25" t="str">
        <f t="shared" si="9"/>
        <v>, max(shikkan48_start_date)</v>
      </c>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milscm_2023_009.sny_202310_annony_bef2.shikkan48_start_date IS 'C040_疾患開始日';</v>
      </c>
    </row>
    <row r="67" spans="1:45" s="25" customFormat="1">
      <c r="A67" s="4" t="s">
        <v>5207</v>
      </c>
      <c r="B67" s="21">
        <f t="shared" si="7"/>
        <v>55</v>
      </c>
      <c r="C67" s="13" t="s">
        <v>6597</v>
      </c>
      <c r="D67" s="13" t="s">
        <v>4817</v>
      </c>
      <c r="E67" s="8"/>
      <c r="F67" s="7" t="s">
        <v>4348</v>
      </c>
      <c r="G67" s="7" t="s">
        <v>99</v>
      </c>
      <c r="H67" s="58"/>
      <c r="I67" s="23"/>
      <c r="J67" s="24"/>
      <c r="M67" s="4"/>
      <c r="N67" s="76"/>
      <c r="O67" s="76"/>
      <c r="P67" s="76" t="str">
        <f t="shared" si="10"/>
        <v>,shikkan49_start_date</v>
      </c>
      <c r="Q67" s="76" t="str">
        <f t="shared" si="11"/>
        <v>DATE</v>
      </c>
      <c r="R67" s="76" t="str">
        <f t="shared" si="12"/>
        <v/>
      </c>
      <c r="S67" s="76" t="str">
        <f t="shared" si="13"/>
        <v/>
      </c>
      <c r="T67" s="76" t="str">
        <f t="shared" si="14"/>
        <v>-- C041_疾患開始日</v>
      </c>
      <c r="U67" s="4" t="str">
        <f t="shared" si="8"/>
        <v>, CASE WHEN shikkan_disp_name = 'C041' THEN min_shikkan_start_date ::DATE ELSE NULL END AS shikkan49_start_date</v>
      </c>
      <c r="V67" s="25" t="str">
        <f t="shared" si="9"/>
        <v>, max(shikkan49_start_date)</v>
      </c>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milscm_2023_009.sny_202310_annony_bef2.shikkan49_start_date IS 'C041_疾患開始日';</v>
      </c>
    </row>
    <row r="68" spans="1:45" s="25" customFormat="1">
      <c r="A68" s="4" t="s">
        <v>5208</v>
      </c>
      <c r="B68" s="21">
        <f t="shared" si="7"/>
        <v>56</v>
      </c>
      <c r="C68" s="13" t="s">
        <v>6598</v>
      </c>
      <c r="D68" s="13" t="s">
        <v>4818</v>
      </c>
      <c r="E68" s="8"/>
      <c r="F68" s="7" t="s">
        <v>4348</v>
      </c>
      <c r="G68" s="7" t="s">
        <v>25</v>
      </c>
      <c r="H68" s="58"/>
      <c r="I68" s="23"/>
      <c r="J68" s="24"/>
      <c r="M68" s="4"/>
      <c r="N68" s="76"/>
      <c r="O68" s="76"/>
      <c r="P68" s="76" t="str">
        <f t="shared" si="10"/>
        <v>,shikkan50_start_date</v>
      </c>
      <c r="Q68" s="76" t="str">
        <f t="shared" si="11"/>
        <v>DATE</v>
      </c>
      <c r="R68" s="76" t="str">
        <f t="shared" si="12"/>
        <v/>
      </c>
      <c r="S68" s="76" t="str">
        <f t="shared" si="13"/>
        <v/>
      </c>
      <c r="T68" s="76" t="str">
        <f t="shared" si="14"/>
        <v>-- C048_疾患開始日</v>
      </c>
      <c r="U68" s="4" t="str">
        <f t="shared" si="8"/>
        <v>, CASE WHEN shikkan_disp_name = 'C048' THEN min_shikkan_start_date ::DATE ELSE NULL END AS shikkan50_start_date</v>
      </c>
      <c r="V68" s="25" t="str">
        <f t="shared" si="9"/>
        <v>, max(shikkan50_start_date)</v>
      </c>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milscm_2023_009.sny_202310_annony_bef2.shikkan50_start_date IS 'C048_疾患開始日';</v>
      </c>
    </row>
    <row r="69" spans="1:45" s="25" customFormat="1">
      <c r="A69" s="4" t="s">
        <v>5209</v>
      </c>
      <c r="B69" s="21">
        <f t="shared" si="7"/>
        <v>57</v>
      </c>
      <c r="C69" s="13" t="s">
        <v>6599</v>
      </c>
      <c r="D69" s="13" t="s">
        <v>4819</v>
      </c>
      <c r="E69" s="8"/>
      <c r="F69" s="7" t="s">
        <v>4348</v>
      </c>
      <c r="G69" s="7" t="s">
        <v>25</v>
      </c>
      <c r="H69" s="58"/>
      <c r="I69" s="23"/>
      <c r="J69" s="24"/>
      <c r="M69" s="4"/>
      <c r="N69" s="76"/>
      <c r="O69" s="76"/>
      <c r="P69" s="76" t="str">
        <f t="shared" si="10"/>
        <v>,shikkan51_start_date</v>
      </c>
      <c r="Q69" s="76" t="str">
        <f t="shared" si="11"/>
        <v>DATE</v>
      </c>
      <c r="R69" s="76" t="str">
        <f t="shared" si="12"/>
        <v/>
      </c>
      <c r="S69" s="76" t="str">
        <f t="shared" si="13"/>
        <v/>
      </c>
      <c r="T69" s="76" t="str">
        <f t="shared" si="14"/>
        <v>-- C049_疾患開始日</v>
      </c>
      <c r="U69" s="4" t="str">
        <f t="shared" si="8"/>
        <v>, CASE WHEN shikkan_disp_name = 'C049' THEN min_shikkan_start_date ::DATE ELSE NULL END AS shikkan51_start_date</v>
      </c>
      <c r="V69" s="25" t="str">
        <f t="shared" si="9"/>
        <v>, max(shikkan51_start_date)</v>
      </c>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milscm_2023_009.sny_202310_annony_bef2.shikkan51_start_date IS 'C049_疾患開始日';</v>
      </c>
    </row>
    <row r="70" spans="1:45" s="25" customFormat="1">
      <c r="A70" s="4" t="s">
        <v>5210</v>
      </c>
      <c r="B70" s="21">
        <f t="shared" si="7"/>
        <v>58</v>
      </c>
      <c r="C70" s="13" t="s">
        <v>6600</v>
      </c>
      <c r="D70" s="13" t="s">
        <v>4820</v>
      </c>
      <c r="E70" s="8"/>
      <c r="F70" s="7" t="s">
        <v>4348</v>
      </c>
      <c r="G70" s="7" t="s">
        <v>25</v>
      </c>
      <c r="H70" s="58"/>
      <c r="I70" s="23"/>
      <c r="J70" s="24"/>
      <c r="M70" s="4"/>
      <c r="N70" s="76"/>
      <c r="O70" s="76"/>
      <c r="P70" s="76" t="str">
        <f t="shared" si="10"/>
        <v>,shikkan52_start_date</v>
      </c>
      <c r="Q70" s="76" t="str">
        <f t="shared" si="11"/>
        <v>DATE</v>
      </c>
      <c r="R70" s="76" t="str">
        <f t="shared" si="12"/>
        <v/>
      </c>
      <c r="S70" s="76" t="str">
        <f t="shared" si="13"/>
        <v/>
      </c>
      <c r="T70" s="76" t="str">
        <f t="shared" si="14"/>
        <v>-- C050_疾患開始日</v>
      </c>
      <c r="U70" s="4" t="str">
        <f t="shared" si="8"/>
        <v>, CASE WHEN shikkan_disp_name = 'C050' THEN min_shikkan_start_date ::DATE ELSE NULL END AS shikkan52_start_date</v>
      </c>
      <c r="V70" s="25" t="str">
        <f t="shared" si="9"/>
        <v>, max(shikkan52_start_date)</v>
      </c>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milscm_2023_009.sny_202310_annony_bef2.shikkan52_start_date IS 'C050_疾患開始日';</v>
      </c>
    </row>
    <row r="71" spans="1:45" s="25" customFormat="1">
      <c r="A71" s="4" t="s">
        <v>5211</v>
      </c>
      <c r="B71" s="21">
        <f t="shared" si="7"/>
        <v>59</v>
      </c>
      <c r="C71" s="13" t="s">
        <v>6601</v>
      </c>
      <c r="D71" s="13" t="s">
        <v>4821</v>
      </c>
      <c r="E71" s="8"/>
      <c r="F71" s="7" t="s">
        <v>4348</v>
      </c>
      <c r="G71" s="7" t="s">
        <v>25</v>
      </c>
      <c r="H71" s="58"/>
      <c r="I71" s="23"/>
      <c r="J71" s="24"/>
      <c r="M71" s="4"/>
      <c r="N71" s="76"/>
      <c r="O71" s="76"/>
      <c r="P71" s="76" t="str">
        <f t="shared" si="10"/>
        <v>,shikkan53_start_date</v>
      </c>
      <c r="Q71" s="76" t="str">
        <f t="shared" si="11"/>
        <v>DATE</v>
      </c>
      <c r="R71" s="76" t="str">
        <f t="shared" si="12"/>
        <v/>
      </c>
      <c r="S71" s="76" t="str">
        <f t="shared" si="13"/>
        <v/>
      </c>
      <c r="T71" s="76" t="str">
        <f t="shared" si="14"/>
        <v>-- C051_疾患開始日</v>
      </c>
      <c r="U71" s="4" t="str">
        <f t="shared" si="8"/>
        <v>, CASE WHEN shikkan_disp_name = 'C051' THEN min_shikkan_start_date ::DATE ELSE NULL END AS shikkan53_start_date</v>
      </c>
      <c r="V71" s="25" t="str">
        <f t="shared" si="9"/>
        <v>, max(shikkan53_start_date)</v>
      </c>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milscm_2023_009.sny_202310_annony_bef2.shikkan53_start_date IS 'C051_疾患開始日';</v>
      </c>
    </row>
    <row r="72" spans="1:45" s="25" customFormat="1">
      <c r="A72" s="4" t="s">
        <v>5212</v>
      </c>
      <c r="B72" s="21">
        <f t="shared" si="7"/>
        <v>60</v>
      </c>
      <c r="C72" s="13" t="s">
        <v>6602</v>
      </c>
      <c r="D72" s="13" t="s">
        <v>4822</v>
      </c>
      <c r="E72" s="8"/>
      <c r="F72" s="7" t="s">
        <v>4348</v>
      </c>
      <c r="G72" s="7" t="s">
        <v>25</v>
      </c>
      <c r="H72" s="58"/>
      <c r="I72" s="23"/>
      <c r="J72" s="24"/>
      <c r="M72" s="4"/>
      <c r="N72" s="76"/>
      <c r="O72" s="76"/>
      <c r="P72" s="76" t="str">
        <f t="shared" si="10"/>
        <v>,shikkan54_start_date</v>
      </c>
      <c r="Q72" s="76" t="str">
        <f t="shared" si="11"/>
        <v>DATE</v>
      </c>
      <c r="R72" s="76" t="str">
        <f t="shared" si="12"/>
        <v/>
      </c>
      <c r="S72" s="76" t="str">
        <f t="shared" si="13"/>
        <v/>
      </c>
      <c r="T72" s="76" t="str">
        <f t="shared" si="14"/>
        <v>-- C052_疾患開始日</v>
      </c>
      <c r="U72" s="4" t="str">
        <f t="shared" si="8"/>
        <v>, CASE WHEN shikkan_disp_name = 'C052' THEN min_shikkan_start_date ::DATE ELSE NULL END AS shikkan54_start_date</v>
      </c>
      <c r="V72" s="25" t="str">
        <f t="shared" si="9"/>
        <v>, max(shikkan54_start_date)</v>
      </c>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milscm_2023_009.sny_202310_annony_bef2.shikkan54_start_date IS 'C052_疾患開始日';</v>
      </c>
    </row>
    <row r="73" spans="1:45" s="25" customFormat="1">
      <c r="A73" s="4" t="s">
        <v>5213</v>
      </c>
      <c r="B73" s="21">
        <f t="shared" si="7"/>
        <v>61</v>
      </c>
      <c r="C73" s="13" t="s">
        <v>6603</v>
      </c>
      <c r="D73" s="13" t="s">
        <v>4823</v>
      </c>
      <c r="E73" s="8"/>
      <c r="F73" s="7" t="s">
        <v>4348</v>
      </c>
      <c r="G73" s="7" t="s">
        <v>25</v>
      </c>
      <c r="H73" s="58"/>
      <c r="I73" s="23"/>
      <c r="J73" s="24"/>
      <c r="M73" s="4"/>
      <c r="N73" s="76"/>
      <c r="O73" s="76"/>
      <c r="P73" s="76" t="str">
        <f t="shared" si="10"/>
        <v>,shikkan55_start_date</v>
      </c>
      <c r="Q73" s="76" t="str">
        <f t="shared" si="11"/>
        <v>DATE</v>
      </c>
      <c r="R73" s="76" t="str">
        <f t="shared" si="12"/>
        <v/>
      </c>
      <c r="S73" s="76" t="str">
        <f t="shared" si="13"/>
        <v/>
      </c>
      <c r="T73" s="76" t="str">
        <f t="shared" si="14"/>
        <v>-- C058_疾患開始日</v>
      </c>
      <c r="U73" s="4" t="str">
        <f t="shared" si="8"/>
        <v>, CASE WHEN shikkan_disp_name = 'C058' THEN min_shikkan_start_date ::DATE ELSE NULL END AS shikkan55_start_date</v>
      </c>
      <c r="V73" s="25" t="str">
        <f t="shared" si="9"/>
        <v>, max(shikkan55_start_date)</v>
      </c>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milscm_2023_009.sny_202310_annony_bef2.shikkan55_start_date IS 'C058_疾患開始日';</v>
      </c>
    </row>
    <row r="74" spans="1:45" s="25" customFormat="1">
      <c r="A74" s="4" t="s">
        <v>5214</v>
      </c>
      <c r="B74" s="21">
        <f t="shared" si="7"/>
        <v>62</v>
      </c>
      <c r="C74" s="13" t="s">
        <v>6604</v>
      </c>
      <c r="D74" s="13" t="s">
        <v>4824</v>
      </c>
      <c r="E74" s="8"/>
      <c r="F74" s="7" t="s">
        <v>4348</v>
      </c>
      <c r="G74" s="7" t="s">
        <v>25</v>
      </c>
      <c r="H74" s="58"/>
      <c r="I74" s="23"/>
      <c r="J74" s="24"/>
      <c r="M74" s="4"/>
      <c r="N74" s="76"/>
      <c r="O74" s="76"/>
      <c r="P74" s="76" t="str">
        <f t="shared" si="10"/>
        <v>,shikkan56_start_date</v>
      </c>
      <c r="Q74" s="76" t="str">
        <f t="shared" si="11"/>
        <v>DATE</v>
      </c>
      <c r="R74" s="76" t="str">
        <f t="shared" si="12"/>
        <v/>
      </c>
      <c r="S74" s="76" t="str">
        <f t="shared" si="13"/>
        <v/>
      </c>
      <c r="T74" s="76" t="str">
        <f t="shared" si="14"/>
        <v>-- C059_疾患開始日</v>
      </c>
      <c r="U74" s="4" t="str">
        <f t="shared" si="8"/>
        <v>, CASE WHEN shikkan_disp_name = 'C059' THEN min_shikkan_start_date ::DATE ELSE NULL END AS shikkan56_start_date</v>
      </c>
      <c r="V74" s="25" t="str">
        <f t="shared" si="9"/>
        <v>, max(shikkan56_start_date)</v>
      </c>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milscm_2023_009.sny_202310_annony_bef2.shikkan56_start_date IS 'C059_疾患開始日';</v>
      </c>
    </row>
    <row r="75" spans="1:45" s="25" customFormat="1">
      <c r="A75" s="4" t="s">
        <v>5215</v>
      </c>
      <c r="B75" s="21">
        <f t="shared" si="7"/>
        <v>63</v>
      </c>
      <c r="C75" s="13" t="s">
        <v>6605</v>
      </c>
      <c r="D75" s="13" t="s">
        <v>4825</v>
      </c>
      <c r="E75" s="8"/>
      <c r="F75" s="7" t="s">
        <v>4348</v>
      </c>
      <c r="G75" s="7" t="s">
        <v>25</v>
      </c>
      <c r="H75" s="58"/>
      <c r="I75" s="23"/>
      <c r="J75" s="24"/>
      <c r="M75" s="4"/>
      <c r="N75" s="76"/>
      <c r="O75" s="76"/>
      <c r="P75" s="76" t="str">
        <f t="shared" si="10"/>
        <v>,shikkan57_start_date</v>
      </c>
      <c r="Q75" s="76" t="str">
        <f t="shared" si="11"/>
        <v>DATE</v>
      </c>
      <c r="R75" s="76" t="str">
        <f t="shared" si="12"/>
        <v/>
      </c>
      <c r="S75" s="76" t="str">
        <f t="shared" si="13"/>
        <v/>
      </c>
      <c r="T75" s="76" t="str">
        <f t="shared" si="14"/>
        <v>-- C060_疾患開始日</v>
      </c>
      <c r="U75" s="4" t="str">
        <f t="shared" si="8"/>
        <v>, CASE WHEN shikkan_disp_name = 'C060' THEN min_shikkan_start_date ::DATE ELSE NULL END AS shikkan57_start_date</v>
      </c>
      <c r="V75" s="25" t="str">
        <f t="shared" si="9"/>
        <v>, max(shikkan57_start_date)</v>
      </c>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milscm_2023_009.sny_202310_annony_bef2.shikkan57_start_date IS 'C060_疾患開始日';</v>
      </c>
    </row>
    <row r="76" spans="1:45" s="25" customFormat="1">
      <c r="A76" s="4" t="s">
        <v>5216</v>
      </c>
      <c r="B76" s="21">
        <f t="shared" si="7"/>
        <v>64</v>
      </c>
      <c r="C76" s="13" t="s">
        <v>6606</v>
      </c>
      <c r="D76" s="13" t="s">
        <v>4826</v>
      </c>
      <c r="E76" s="8"/>
      <c r="F76" s="7" t="s">
        <v>4348</v>
      </c>
      <c r="G76" s="7" t="s">
        <v>25</v>
      </c>
      <c r="H76" s="58"/>
      <c r="I76" s="23"/>
      <c r="J76" s="24"/>
      <c r="M76" s="4"/>
      <c r="N76" s="76"/>
      <c r="O76" s="76"/>
      <c r="P76" s="76" t="str">
        <f t="shared" si="10"/>
        <v>,shikkan58_start_date</v>
      </c>
      <c r="Q76" s="76" t="str">
        <f t="shared" si="11"/>
        <v>DATE</v>
      </c>
      <c r="R76" s="76" t="str">
        <f t="shared" si="12"/>
        <v/>
      </c>
      <c r="S76" s="76" t="str">
        <f t="shared" si="13"/>
        <v/>
      </c>
      <c r="T76" s="76" t="str">
        <f t="shared" si="14"/>
        <v>-- C061_疾患開始日</v>
      </c>
      <c r="U76" s="4" t="str">
        <f t="shared" si="8"/>
        <v>, CASE WHEN shikkan_disp_name = 'C061' THEN min_shikkan_start_date ::DATE ELSE NULL END AS shikkan58_start_date</v>
      </c>
      <c r="V76" s="25" t="str">
        <f t="shared" si="9"/>
        <v>, max(shikkan58_start_date)</v>
      </c>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milscm_2023_009.sny_202310_annony_bef2.shikkan58_start_date IS 'C061_疾患開始日';</v>
      </c>
    </row>
    <row r="77" spans="1:45" s="25" customFormat="1">
      <c r="A77" s="4" t="s">
        <v>5217</v>
      </c>
      <c r="B77" s="21">
        <f t="shared" si="7"/>
        <v>65</v>
      </c>
      <c r="C77" s="13" t="s">
        <v>6607</v>
      </c>
      <c r="D77" s="13" t="s">
        <v>4827</v>
      </c>
      <c r="E77" s="8"/>
      <c r="F77" s="7" t="s">
        <v>4348</v>
      </c>
      <c r="G77" s="7" t="s">
        <v>25</v>
      </c>
      <c r="H77" s="58"/>
      <c r="I77" s="23"/>
      <c r="J77" s="24"/>
      <c r="M77" s="4"/>
      <c r="N77" s="76"/>
      <c r="O77" s="76"/>
      <c r="P77" s="76" t="str">
        <f t="shared" si="10"/>
        <v>,shikkan59_start_date</v>
      </c>
      <c r="Q77" s="76" t="str">
        <f t="shared" si="11"/>
        <v>DATE</v>
      </c>
      <c r="R77" s="76" t="str">
        <f t="shared" si="12"/>
        <v/>
      </c>
      <c r="S77" s="76" t="str">
        <f t="shared" si="13"/>
        <v/>
      </c>
      <c r="T77" s="76" t="str">
        <f t="shared" si="14"/>
        <v>-- C062_疾患開始日</v>
      </c>
      <c r="U77" s="4" t="str">
        <f t="shared" si="8"/>
        <v>, CASE WHEN shikkan_disp_name = 'C062' THEN min_shikkan_start_date ::DATE ELSE NULL END AS shikkan59_start_date</v>
      </c>
      <c r="V77" s="25" t="str">
        <f t="shared" si="9"/>
        <v>, max(shikkan59_start_date)</v>
      </c>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milscm_2023_009.sny_202310_annony_bef2.shikkan59_start_date IS 'C062_疾患開始日';</v>
      </c>
    </row>
    <row r="78" spans="1:45" s="25" customFormat="1">
      <c r="A78" s="4" t="s">
        <v>5218</v>
      </c>
      <c r="B78" s="21">
        <f t="shared" si="7"/>
        <v>66</v>
      </c>
      <c r="C78" s="13" t="s">
        <v>6608</v>
      </c>
      <c r="D78" s="13" t="s">
        <v>4828</v>
      </c>
      <c r="E78" s="8"/>
      <c r="F78" s="7" t="s">
        <v>4348</v>
      </c>
      <c r="G78" s="7" t="s">
        <v>25</v>
      </c>
      <c r="H78" s="58"/>
      <c r="I78" s="23"/>
      <c r="J78" s="24"/>
      <c r="M78" s="4"/>
      <c r="N78" s="76"/>
      <c r="O78" s="76"/>
      <c r="P78" s="76" t="str">
        <f t="shared" si="10"/>
        <v>,shikkan60_start_date</v>
      </c>
      <c r="Q78" s="76" t="str">
        <f t="shared" si="11"/>
        <v>DATE</v>
      </c>
      <c r="R78" s="76" t="str">
        <f t="shared" si="12"/>
        <v/>
      </c>
      <c r="S78" s="76" t="str">
        <f t="shared" si="13"/>
        <v/>
      </c>
      <c r="T78" s="76" t="str">
        <f t="shared" si="14"/>
        <v>-- C068_疾患開始日</v>
      </c>
      <c r="U78" s="4" t="str">
        <f t="shared" si="8"/>
        <v>, CASE WHEN shikkan_disp_name = 'C068' THEN min_shikkan_start_date ::DATE ELSE NULL END AS shikkan60_start_date</v>
      </c>
      <c r="V78" s="25" t="str">
        <f t="shared" si="9"/>
        <v>, max(shikkan60_start_date)</v>
      </c>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milscm_2023_009.sny_202310_annony_bef2.shikkan60_start_date IS 'C068_疾患開始日';</v>
      </c>
    </row>
    <row r="79" spans="1:45" s="25" customFormat="1">
      <c r="A79" s="4" t="s">
        <v>5219</v>
      </c>
      <c r="B79" s="21">
        <f t="shared" si="7"/>
        <v>67</v>
      </c>
      <c r="C79" s="13" t="s">
        <v>6609</v>
      </c>
      <c r="D79" s="13" t="s">
        <v>4829</v>
      </c>
      <c r="E79" s="8"/>
      <c r="F79" s="7" t="s">
        <v>4348</v>
      </c>
      <c r="G79" s="7" t="s">
        <v>25</v>
      </c>
      <c r="H79" s="58"/>
      <c r="I79" s="23"/>
      <c r="J79" s="24"/>
      <c r="M79" s="4"/>
      <c r="N79" s="76"/>
      <c r="O79" s="76"/>
      <c r="P79" s="76" t="str">
        <f t="shared" si="10"/>
        <v>,shikkan61_start_date</v>
      </c>
      <c r="Q79" s="76" t="str">
        <f t="shared" si="11"/>
        <v>DATE</v>
      </c>
      <c r="R79" s="76" t="str">
        <f t="shared" si="12"/>
        <v/>
      </c>
      <c r="S79" s="76" t="str">
        <f t="shared" si="13"/>
        <v/>
      </c>
      <c r="T79" s="76" t="str">
        <f t="shared" si="14"/>
        <v>-- C069_疾患開始日</v>
      </c>
      <c r="U79" s="4" t="str">
        <f t="shared" si="8"/>
        <v>, CASE WHEN shikkan_disp_name = 'C069' THEN min_shikkan_start_date ::DATE ELSE NULL END AS shikkan61_start_date</v>
      </c>
      <c r="V79" s="25" t="str">
        <f t="shared" si="9"/>
        <v>, max(shikkan61_start_date)</v>
      </c>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milscm_2023_009.sny_202310_annony_bef2.shikkan61_start_date IS 'C069_疾患開始日';</v>
      </c>
    </row>
    <row r="80" spans="1:45" s="25" customFormat="1">
      <c r="A80" s="4" t="s">
        <v>5141</v>
      </c>
      <c r="B80" s="21">
        <f t="shared" si="7"/>
        <v>68</v>
      </c>
      <c r="C80" s="13" t="s">
        <v>4751</v>
      </c>
      <c r="D80" s="13" t="s">
        <v>4830</v>
      </c>
      <c r="E80" s="8"/>
      <c r="F80" s="7" t="s">
        <v>4348</v>
      </c>
      <c r="G80" s="7" t="s">
        <v>25</v>
      </c>
      <c r="H80" s="58"/>
      <c r="I80" s="23"/>
      <c r="J80" s="24"/>
      <c r="M80" s="4"/>
      <c r="N80" s="76"/>
      <c r="O80" s="76"/>
      <c r="P80" s="76" t="str">
        <f t="shared" si="10"/>
        <v>,shikkan62_start_date</v>
      </c>
      <c r="Q80" s="76" t="str">
        <f t="shared" si="11"/>
        <v>DATE</v>
      </c>
      <c r="R80" s="76" t="str">
        <f t="shared" si="12"/>
        <v/>
      </c>
      <c r="S80" s="76" t="str">
        <f t="shared" si="13"/>
        <v/>
      </c>
      <c r="T80" s="76" t="str">
        <f t="shared" si="14"/>
        <v>-- C07_疾患開始日</v>
      </c>
      <c r="U80" s="4" t="str">
        <f t="shared" si="8"/>
        <v>, CASE WHEN shikkan_disp_name = 'C07' THEN min_shikkan_start_date ::DATE ELSE NULL END AS shikkan62_start_date</v>
      </c>
      <c r="V80" s="25" t="str">
        <f t="shared" si="9"/>
        <v>, max(shikkan62_start_date)</v>
      </c>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milscm_2023_009.sny_202310_annony_bef2.shikkan62_start_date IS 'C07_疾患開始日';</v>
      </c>
    </row>
    <row r="81" spans="1:45" s="25" customFormat="1">
      <c r="A81" s="4" t="s">
        <v>5220</v>
      </c>
      <c r="B81" s="21">
        <f t="shared" si="7"/>
        <v>69</v>
      </c>
      <c r="C81" s="13" t="s">
        <v>6610</v>
      </c>
      <c r="D81" s="13" t="s">
        <v>4831</v>
      </c>
      <c r="E81" s="8"/>
      <c r="F81" s="7" t="s">
        <v>4348</v>
      </c>
      <c r="G81" s="7" t="s">
        <v>25</v>
      </c>
      <c r="H81" s="58"/>
      <c r="I81" s="23"/>
      <c r="J81" s="24"/>
      <c r="M81" s="4"/>
      <c r="N81" s="76"/>
      <c r="O81" s="76"/>
      <c r="P81" s="76" t="str">
        <f t="shared" si="10"/>
        <v>,shikkan63_start_date</v>
      </c>
      <c r="Q81" s="76" t="str">
        <f t="shared" si="11"/>
        <v>DATE</v>
      </c>
      <c r="R81" s="76" t="str">
        <f t="shared" si="12"/>
        <v/>
      </c>
      <c r="S81" s="76" t="str">
        <f t="shared" si="13"/>
        <v/>
      </c>
      <c r="T81" s="76" t="str">
        <f t="shared" si="14"/>
        <v>-- C080_疾患開始日</v>
      </c>
      <c r="U81" s="4" t="str">
        <f t="shared" si="8"/>
        <v>, CASE WHEN shikkan_disp_name = 'C080' THEN min_shikkan_start_date ::DATE ELSE NULL END AS shikkan63_start_date</v>
      </c>
      <c r="V81" s="25" t="str">
        <f t="shared" si="9"/>
        <v>, max(shikkan63_start_date)</v>
      </c>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milscm_2023_009.sny_202310_annony_bef2.shikkan63_start_date IS 'C080_疾患開始日';</v>
      </c>
    </row>
    <row r="82" spans="1:45" s="25" customFormat="1">
      <c r="A82" s="4" t="s">
        <v>5221</v>
      </c>
      <c r="B82" s="21">
        <f t="shared" si="7"/>
        <v>70</v>
      </c>
      <c r="C82" s="13" t="s">
        <v>6611</v>
      </c>
      <c r="D82" s="13" t="s">
        <v>4832</v>
      </c>
      <c r="E82" s="8"/>
      <c r="F82" s="7" t="s">
        <v>4348</v>
      </c>
      <c r="G82" s="7" t="s">
        <v>25</v>
      </c>
      <c r="H82" s="58"/>
      <c r="I82" s="23"/>
      <c r="J82" s="24"/>
      <c r="M82" s="4"/>
      <c r="N82" s="76"/>
      <c r="O82" s="76"/>
      <c r="P82" s="76" t="str">
        <f t="shared" si="10"/>
        <v>,shikkan64_start_date</v>
      </c>
      <c r="Q82" s="76" t="str">
        <f t="shared" si="11"/>
        <v>DATE</v>
      </c>
      <c r="R82" s="76" t="str">
        <f t="shared" si="12"/>
        <v/>
      </c>
      <c r="S82" s="76" t="str">
        <f t="shared" si="13"/>
        <v/>
      </c>
      <c r="T82" s="76" t="str">
        <f t="shared" si="14"/>
        <v>-- C081_疾患開始日</v>
      </c>
      <c r="U82" s="4" t="str">
        <f t="shared" si="8"/>
        <v>, CASE WHEN shikkan_disp_name = 'C081' THEN min_shikkan_start_date ::DATE ELSE NULL END AS shikkan64_start_date</v>
      </c>
      <c r="V82" s="25" t="str">
        <f t="shared" si="9"/>
        <v>, max(shikkan64_start_date)</v>
      </c>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milscm_2023_009.sny_202310_annony_bef2.shikkan64_start_date IS 'C081_疾患開始日';</v>
      </c>
    </row>
    <row r="83" spans="1:45" s="25" customFormat="1">
      <c r="A83" s="4" t="s">
        <v>5222</v>
      </c>
      <c r="B83" s="21">
        <f t="shared" si="7"/>
        <v>71</v>
      </c>
      <c r="C83" s="13" t="s">
        <v>6612</v>
      </c>
      <c r="D83" s="13" t="s">
        <v>4833</v>
      </c>
      <c r="E83" s="8"/>
      <c r="F83" s="7" t="s">
        <v>4348</v>
      </c>
      <c r="G83" s="7" t="s">
        <v>99</v>
      </c>
      <c r="H83" s="58"/>
      <c r="I83" s="23"/>
      <c r="J83" s="24"/>
      <c r="M83" s="4"/>
      <c r="N83" s="76"/>
      <c r="O83" s="76"/>
      <c r="P83" s="76" t="str">
        <f t="shared" si="10"/>
        <v>,shikkan65_start_date</v>
      </c>
      <c r="Q83" s="76" t="str">
        <f t="shared" si="11"/>
        <v>DATE</v>
      </c>
      <c r="R83" s="76" t="str">
        <f t="shared" si="12"/>
        <v/>
      </c>
      <c r="S83" s="76" t="str">
        <f t="shared" si="13"/>
        <v/>
      </c>
      <c r="T83" s="76" t="str">
        <f t="shared" si="14"/>
        <v>-- C088_疾患開始日</v>
      </c>
      <c r="U83" s="4" t="str">
        <f t="shared" si="8"/>
        <v>, CASE WHEN shikkan_disp_name = 'C088' THEN min_shikkan_start_date ::DATE ELSE NULL END AS shikkan65_start_date</v>
      </c>
      <c r="V83" s="25" t="str">
        <f t="shared" si="9"/>
        <v>, max(shikkan65_start_date)</v>
      </c>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milscm_2023_009.sny_202310_annony_bef2.shikkan65_start_date IS 'C088_疾患開始日';</v>
      </c>
    </row>
    <row r="84" spans="1:45" s="25" customFormat="1">
      <c r="A84" s="4" t="s">
        <v>5223</v>
      </c>
      <c r="B84" s="21">
        <f t="shared" ref="B84:B147" si="15">ROW()-12</f>
        <v>72</v>
      </c>
      <c r="C84" s="13" t="s">
        <v>6613</v>
      </c>
      <c r="D84" s="13" t="s">
        <v>4834</v>
      </c>
      <c r="E84" s="8"/>
      <c r="F84" s="7" t="s">
        <v>4348</v>
      </c>
      <c r="G84" s="7" t="s">
        <v>25</v>
      </c>
      <c r="H84" s="58"/>
      <c r="I84" s="23"/>
      <c r="J84" s="24"/>
      <c r="M84" s="4"/>
      <c r="N84" s="76"/>
      <c r="O84" s="76"/>
      <c r="P84" s="76" t="str">
        <f t="shared" si="10"/>
        <v>,shikkan66_start_date</v>
      </c>
      <c r="Q84" s="76" t="str">
        <f t="shared" si="11"/>
        <v>DATE</v>
      </c>
      <c r="R84" s="76" t="str">
        <f t="shared" si="12"/>
        <v/>
      </c>
      <c r="S84" s="76" t="str">
        <f t="shared" si="13"/>
        <v/>
      </c>
      <c r="T84" s="76" t="str">
        <f t="shared" si="14"/>
        <v>-- C089_疾患開始日</v>
      </c>
      <c r="U84" s="4" t="str">
        <f t="shared" ref="U84:U147" si="16">", CASE WHEN shikkan_disp_name = '"&amp;A84&amp;"' THEN min_shikkan_start_date ::DATE ELSE NULL END AS "&amp;D84</f>
        <v>, CASE WHEN shikkan_disp_name = 'C089' THEN min_shikkan_start_date ::DATE ELSE NULL END AS shikkan66_start_date</v>
      </c>
      <c r="V84" s="25" t="str">
        <f t="shared" ref="V84:V147" si="17">", max("&amp;D84&amp;")"</f>
        <v>, max(shikkan66_start_date)</v>
      </c>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milscm_2023_009.sny_202310_annony_bef2.shikkan66_start_date IS 'C089_疾患開始日';</v>
      </c>
    </row>
    <row r="85" spans="1:45" s="25" customFormat="1">
      <c r="A85" s="4" t="s">
        <v>5224</v>
      </c>
      <c r="B85" s="21">
        <f t="shared" si="15"/>
        <v>73</v>
      </c>
      <c r="C85" s="13" t="s">
        <v>6614</v>
      </c>
      <c r="D85" s="13" t="s">
        <v>4835</v>
      </c>
      <c r="E85" s="8"/>
      <c r="F85" s="7" t="s">
        <v>4348</v>
      </c>
      <c r="G85" s="7" t="s">
        <v>25</v>
      </c>
      <c r="H85" s="58"/>
      <c r="I85" s="23"/>
      <c r="J85" s="24"/>
      <c r="M85" s="4"/>
      <c r="N85" s="76"/>
      <c r="O85" s="76"/>
      <c r="P85" s="76" t="str">
        <f t="shared" si="10"/>
        <v>,shikkan67_start_date</v>
      </c>
      <c r="Q85" s="76" t="str">
        <f t="shared" si="11"/>
        <v>DATE</v>
      </c>
      <c r="R85" s="76" t="str">
        <f t="shared" si="12"/>
        <v/>
      </c>
      <c r="S85" s="76" t="str">
        <f t="shared" si="13"/>
        <v/>
      </c>
      <c r="T85" s="76" t="str">
        <f t="shared" si="14"/>
        <v>-- C090_疾患開始日</v>
      </c>
      <c r="U85" s="4" t="str">
        <f t="shared" si="16"/>
        <v>, CASE WHEN shikkan_disp_name = 'C090' THEN min_shikkan_start_date ::DATE ELSE NULL END AS shikkan67_start_date</v>
      </c>
      <c r="V85" s="25" t="str">
        <f t="shared" si="17"/>
        <v>, max(shikkan67_start_date)</v>
      </c>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milscm_2023_009.sny_202310_annony_bef2.shikkan67_start_date IS 'C090_疾患開始日';</v>
      </c>
    </row>
    <row r="86" spans="1:45" s="25" customFormat="1">
      <c r="A86" s="4" t="s">
        <v>5225</v>
      </c>
      <c r="B86" s="21">
        <f t="shared" si="15"/>
        <v>74</v>
      </c>
      <c r="C86" s="13" t="s">
        <v>6615</v>
      </c>
      <c r="D86" s="13" t="s">
        <v>4836</v>
      </c>
      <c r="E86" s="8"/>
      <c r="F86" s="7" t="s">
        <v>4348</v>
      </c>
      <c r="G86" s="7" t="s">
        <v>25</v>
      </c>
      <c r="H86" s="58"/>
      <c r="I86" s="23"/>
      <c r="J86" s="24"/>
      <c r="M86" s="4"/>
      <c r="N86" s="76"/>
      <c r="O86" s="76"/>
      <c r="P86" s="76" t="str">
        <f t="shared" si="10"/>
        <v>,shikkan68_start_date</v>
      </c>
      <c r="Q86" s="76" t="str">
        <f t="shared" si="11"/>
        <v>DATE</v>
      </c>
      <c r="R86" s="76" t="str">
        <f t="shared" si="12"/>
        <v/>
      </c>
      <c r="S86" s="76" t="str">
        <f t="shared" si="13"/>
        <v/>
      </c>
      <c r="T86" s="76" t="str">
        <f t="shared" si="14"/>
        <v>-- C091_疾患開始日</v>
      </c>
      <c r="U86" s="4" t="str">
        <f t="shared" si="16"/>
        <v>, CASE WHEN shikkan_disp_name = 'C091' THEN min_shikkan_start_date ::DATE ELSE NULL END AS shikkan68_start_date</v>
      </c>
      <c r="V86" s="25" t="str">
        <f t="shared" si="17"/>
        <v>, max(shikkan68_start_date)</v>
      </c>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milscm_2023_009.sny_202310_annony_bef2.shikkan68_start_date IS 'C091_疾患開始日';</v>
      </c>
    </row>
    <row r="87" spans="1:45" s="25" customFormat="1">
      <c r="A87" s="4" t="s">
        <v>5226</v>
      </c>
      <c r="B87" s="21">
        <f t="shared" si="15"/>
        <v>75</v>
      </c>
      <c r="C87" s="13" t="s">
        <v>6616</v>
      </c>
      <c r="D87" s="13" t="s">
        <v>4837</v>
      </c>
      <c r="E87" s="8"/>
      <c r="F87" s="7" t="s">
        <v>4348</v>
      </c>
      <c r="G87" s="7" t="s">
        <v>25</v>
      </c>
      <c r="H87" s="58"/>
      <c r="I87" s="23"/>
      <c r="J87" s="24"/>
      <c r="M87" s="4"/>
      <c r="N87" s="76"/>
      <c r="O87" s="76"/>
      <c r="P87" s="76" t="str">
        <f t="shared" si="10"/>
        <v>,shikkan69_start_date</v>
      </c>
      <c r="Q87" s="76" t="str">
        <f t="shared" si="11"/>
        <v>DATE</v>
      </c>
      <c r="R87" s="76" t="str">
        <f t="shared" si="12"/>
        <v/>
      </c>
      <c r="S87" s="76" t="str">
        <f t="shared" si="13"/>
        <v/>
      </c>
      <c r="T87" s="76" t="str">
        <f t="shared" si="14"/>
        <v>-- C098_疾患開始日</v>
      </c>
      <c r="U87" s="4" t="str">
        <f t="shared" si="16"/>
        <v>, CASE WHEN shikkan_disp_name = 'C098' THEN min_shikkan_start_date ::DATE ELSE NULL END AS shikkan69_start_date</v>
      </c>
      <c r="V87" s="25" t="str">
        <f t="shared" si="17"/>
        <v>, max(shikkan69_start_date)</v>
      </c>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milscm_2023_009.sny_202310_annony_bef2.shikkan69_start_date IS 'C098_疾患開始日';</v>
      </c>
    </row>
    <row r="88" spans="1:45" s="25" customFormat="1">
      <c r="A88" s="4" t="s">
        <v>5227</v>
      </c>
      <c r="B88" s="21">
        <f t="shared" si="15"/>
        <v>76</v>
      </c>
      <c r="C88" s="13" t="s">
        <v>6617</v>
      </c>
      <c r="D88" s="13" t="s">
        <v>4838</v>
      </c>
      <c r="E88" s="8"/>
      <c r="F88" s="7" t="s">
        <v>4348</v>
      </c>
      <c r="G88" s="7" t="s">
        <v>25</v>
      </c>
      <c r="H88" s="58"/>
      <c r="I88" s="23"/>
      <c r="J88" s="24"/>
      <c r="M88" s="4"/>
      <c r="N88" s="76"/>
      <c r="O88" s="76"/>
      <c r="P88" s="76" t="str">
        <f t="shared" si="10"/>
        <v>,shikkan70_start_date</v>
      </c>
      <c r="Q88" s="76" t="str">
        <f t="shared" si="11"/>
        <v>DATE</v>
      </c>
      <c r="R88" s="76" t="str">
        <f t="shared" si="12"/>
        <v/>
      </c>
      <c r="S88" s="76" t="str">
        <f t="shared" si="13"/>
        <v/>
      </c>
      <c r="T88" s="76" t="str">
        <f t="shared" si="14"/>
        <v>-- C099_疾患開始日</v>
      </c>
      <c r="U88" s="4" t="str">
        <f t="shared" si="16"/>
        <v>, CASE WHEN shikkan_disp_name = 'C099' THEN min_shikkan_start_date ::DATE ELSE NULL END AS shikkan70_start_date</v>
      </c>
      <c r="V88" s="25" t="str">
        <f t="shared" si="17"/>
        <v>, max(shikkan70_start_date)</v>
      </c>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milscm_2023_009.sny_202310_annony_bef2.shikkan70_start_date IS 'C099_疾患開始日';</v>
      </c>
    </row>
    <row r="89" spans="1:45" s="25" customFormat="1">
      <c r="A89" s="4" t="s">
        <v>5228</v>
      </c>
      <c r="B89" s="21">
        <f t="shared" si="15"/>
        <v>77</v>
      </c>
      <c r="C89" s="13" t="s">
        <v>6618</v>
      </c>
      <c r="D89" s="13" t="s">
        <v>4839</v>
      </c>
      <c r="E89" s="8"/>
      <c r="F89" s="7" t="s">
        <v>4348</v>
      </c>
      <c r="G89" s="7" t="s">
        <v>25</v>
      </c>
      <c r="H89" s="58"/>
      <c r="I89" s="23"/>
      <c r="J89" s="24"/>
      <c r="M89" s="4"/>
      <c r="N89" s="76"/>
      <c r="O89" s="76"/>
      <c r="P89" s="76" t="str">
        <f t="shared" si="10"/>
        <v>,shikkan71_start_date</v>
      </c>
      <c r="Q89" s="76" t="str">
        <f t="shared" si="11"/>
        <v>DATE</v>
      </c>
      <c r="R89" s="76" t="str">
        <f t="shared" si="12"/>
        <v/>
      </c>
      <c r="S89" s="76" t="str">
        <f t="shared" si="13"/>
        <v/>
      </c>
      <c r="T89" s="76" t="str">
        <f t="shared" si="14"/>
        <v>-- C100_疾患開始日</v>
      </c>
      <c r="U89" s="4" t="str">
        <f t="shared" si="16"/>
        <v>, CASE WHEN shikkan_disp_name = 'C100' THEN min_shikkan_start_date ::DATE ELSE NULL END AS shikkan71_start_date</v>
      </c>
      <c r="V89" s="25" t="str">
        <f t="shared" si="17"/>
        <v>, max(shikkan71_start_date)</v>
      </c>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milscm_2023_009.sny_202310_annony_bef2.shikkan71_start_date IS 'C100_疾患開始日';</v>
      </c>
    </row>
    <row r="90" spans="1:45" s="25" customFormat="1">
      <c r="A90" s="4" t="s">
        <v>5229</v>
      </c>
      <c r="B90" s="21">
        <f t="shared" si="15"/>
        <v>78</v>
      </c>
      <c r="C90" s="13" t="s">
        <v>6619</v>
      </c>
      <c r="D90" s="13" t="s">
        <v>4840</v>
      </c>
      <c r="E90" s="8"/>
      <c r="F90" s="7" t="s">
        <v>4348</v>
      </c>
      <c r="G90" s="7" t="s">
        <v>25</v>
      </c>
      <c r="H90" s="58"/>
      <c r="I90" s="23"/>
      <c r="J90" s="24"/>
      <c r="M90" s="4"/>
      <c r="N90" s="76"/>
      <c r="O90" s="76"/>
      <c r="P90" s="76" t="str">
        <f t="shared" si="10"/>
        <v>,shikkan72_start_date</v>
      </c>
      <c r="Q90" s="76" t="str">
        <f t="shared" si="11"/>
        <v>DATE</v>
      </c>
      <c r="R90" s="76" t="str">
        <f t="shared" si="12"/>
        <v/>
      </c>
      <c r="S90" s="76" t="str">
        <f t="shared" si="13"/>
        <v/>
      </c>
      <c r="T90" s="76" t="str">
        <f t="shared" si="14"/>
        <v>-- C101_疾患開始日</v>
      </c>
      <c r="U90" s="4" t="str">
        <f t="shared" si="16"/>
        <v>, CASE WHEN shikkan_disp_name = 'C101' THEN min_shikkan_start_date ::DATE ELSE NULL END AS shikkan72_start_date</v>
      </c>
      <c r="V90" s="25" t="str">
        <f t="shared" si="17"/>
        <v>, max(shikkan72_start_date)</v>
      </c>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milscm_2023_009.sny_202310_annony_bef2.shikkan72_start_date IS 'C101_疾患開始日';</v>
      </c>
    </row>
    <row r="91" spans="1:45" s="25" customFormat="1">
      <c r="A91" s="4" t="s">
        <v>5230</v>
      </c>
      <c r="B91" s="21">
        <f t="shared" si="15"/>
        <v>79</v>
      </c>
      <c r="C91" s="13" t="s">
        <v>6620</v>
      </c>
      <c r="D91" s="13" t="s">
        <v>4841</v>
      </c>
      <c r="E91" s="8"/>
      <c r="F91" s="7" t="s">
        <v>4348</v>
      </c>
      <c r="G91" s="7" t="s">
        <v>25</v>
      </c>
      <c r="H91" s="58"/>
      <c r="I91" s="23"/>
      <c r="J91" s="24"/>
      <c r="M91" s="4"/>
      <c r="N91" s="76"/>
      <c r="O91" s="76"/>
      <c r="P91" s="76" t="str">
        <f t="shared" si="10"/>
        <v>,shikkan73_start_date</v>
      </c>
      <c r="Q91" s="76" t="str">
        <f t="shared" si="11"/>
        <v>DATE</v>
      </c>
      <c r="R91" s="76" t="str">
        <f t="shared" si="12"/>
        <v/>
      </c>
      <c r="S91" s="76" t="str">
        <f t="shared" si="13"/>
        <v/>
      </c>
      <c r="T91" s="76" t="str">
        <f t="shared" si="14"/>
        <v>-- C102_疾患開始日</v>
      </c>
      <c r="U91" s="4" t="str">
        <f t="shared" si="16"/>
        <v>, CASE WHEN shikkan_disp_name = 'C102' THEN min_shikkan_start_date ::DATE ELSE NULL END AS shikkan73_start_date</v>
      </c>
      <c r="V91" s="25" t="str">
        <f t="shared" si="17"/>
        <v>, max(shikkan73_start_date)</v>
      </c>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milscm_2023_009.sny_202310_annony_bef2.shikkan73_start_date IS 'C102_疾患開始日';</v>
      </c>
    </row>
    <row r="92" spans="1:45" s="25" customFormat="1">
      <c r="A92" s="4" t="s">
        <v>5231</v>
      </c>
      <c r="B92" s="21">
        <f t="shared" si="15"/>
        <v>80</v>
      </c>
      <c r="C92" s="13" t="s">
        <v>6621</v>
      </c>
      <c r="D92" s="13" t="s">
        <v>4842</v>
      </c>
      <c r="E92" s="8"/>
      <c r="F92" s="7" t="s">
        <v>4348</v>
      </c>
      <c r="G92" s="7" t="s">
        <v>25</v>
      </c>
      <c r="H92" s="58"/>
      <c r="I92" s="23"/>
      <c r="J92" s="24"/>
      <c r="M92" s="4"/>
      <c r="N92" s="76"/>
      <c r="O92" s="76"/>
      <c r="P92" s="76" t="str">
        <f t="shared" si="10"/>
        <v>,shikkan74_start_date</v>
      </c>
      <c r="Q92" s="76" t="str">
        <f t="shared" si="11"/>
        <v>DATE</v>
      </c>
      <c r="R92" s="76" t="str">
        <f t="shared" si="12"/>
        <v/>
      </c>
      <c r="S92" s="76" t="str">
        <f t="shared" si="13"/>
        <v/>
      </c>
      <c r="T92" s="76" t="str">
        <f t="shared" si="14"/>
        <v>-- C103_疾患開始日</v>
      </c>
      <c r="U92" s="4" t="str">
        <f t="shared" si="16"/>
        <v>, CASE WHEN shikkan_disp_name = 'C103' THEN min_shikkan_start_date ::DATE ELSE NULL END AS shikkan74_start_date</v>
      </c>
      <c r="V92" s="25" t="str">
        <f t="shared" si="17"/>
        <v>, max(shikkan74_start_date)</v>
      </c>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milscm_2023_009.sny_202310_annony_bef2.shikkan74_start_date IS 'C103_疾患開始日';</v>
      </c>
    </row>
    <row r="93" spans="1:45" s="25" customFormat="1">
      <c r="A93" s="4" t="s">
        <v>5232</v>
      </c>
      <c r="B93" s="21">
        <f t="shared" si="15"/>
        <v>81</v>
      </c>
      <c r="C93" s="13" t="s">
        <v>6622</v>
      </c>
      <c r="D93" s="13" t="s">
        <v>4843</v>
      </c>
      <c r="E93" s="8"/>
      <c r="F93" s="7" t="s">
        <v>4348</v>
      </c>
      <c r="G93" s="7" t="s">
        <v>25</v>
      </c>
      <c r="H93" s="58"/>
      <c r="I93" s="23"/>
      <c r="J93" s="24"/>
      <c r="M93" s="4"/>
      <c r="N93" s="76"/>
      <c r="O93" s="76"/>
      <c r="P93" s="76" t="str">
        <f t="shared" si="10"/>
        <v>,shikkan75_start_date</v>
      </c>
      <c r="Q93" s="76" t="str">
        <f t="shared" si="11"/>
        <v>DATE</v>
      </c>
      <c r="R93" s="76" t="str">
        <f t="shared" si="12"/>
        <v/>
      </c>
      <c r="S93" s="76" t="str">
        <f t="shared" si="13"/>
        <v/>
      </c>
      <c r="T93" s="76" t="str">
        <f t="shared" si="14"/>
        <v>-- C104_疾患開始日</v>
      </c>
      <c r="U93" s="4" t="str">
        <f t="shared" si="16"/>
        <v>, CASE WHEN shikkan_disp_name = 'C104' THEN min_shikkan_start_date ::DATE ELSE NULL END AS shikkan75_start_date</v>
      </c>
      <c r="V93" s="25" t="str">
        <f t="shared" si="17"/>
        <v>, max(shikkan75_start_date)</v>
      </c>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milscm_2023_009.sny_202310_annony_bef2.shikkan75_start_date IS 'C104_疾患開始日';</v>
      </c>
    </row>
    <row r="94" spans="1:45" s="25" customFormat="1">
      <c r="A94" s="4" t="s">
        <v>5233</v>
      </c>
      <c r="B94" s="21">
        <f t="shared" si="15"/>
        <v>82</v>
      </c>
      <c r="C94" s="13" t="s">
        <v>6623</v>
      </c>
      <c r="D94" s="13" t="s">
        <v>4844</v>
      </c>
      <c r="E94" s="8"/>
      <c r="F94" s="7" t="s">
        <v>4348</v>
      </c>
      <c r="G94" s="7" t="s">
        <v>25</v>
      </c>
      <c r="H94" s="58"/>
      <c r="I94" s="23"/>
      <c r="J94" s="24"/>
      <c r="M94" s="4"/>
      <c r="N94" s="76"/>
      <c r="O94" s="76"/>
      <c r="P94" s="76" t="str">
        <f t="shared" si="10"/>
        <v>,shikkan76_start_date</v>
      </c>
      <c r="Q94" s="76" t="str">
        <f t="shared" si="11"/>
        <v>DATE</v>
      </c>
      <c r="R94" s="76" t="str">
        <f t="shared" si="12"/>
        <v/>
      </c>
      <c r="S94" s="76" t="str">
        <f t="shared" si="13"/>
        <v/>
      </c>
      <c r="T94" s="76" t="str">
        <f t="shared" si="14"/>
        <v>-- C108_疾患開始日</v>
      </c>
      <c r="U94" s="4" t="str">
        <f t="shared" si="16"/>
        <v>, CASE WHEN shikkan_disp_name = 'C108' THEN min_shikkan_start_date ::DATE ELSE NULL END AS shikkan76_start_date</v>
      </c>
      <c r="V94" s="25" t="str">
        <f t="shared" si="17"/>
        <v>, max(shikkan76_start_date)</v>
      </c>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milscm_2023_009.sny_202310_annony_bef2.shikkan76_start_date IS 'C108_疾患開始日';</v>
      </c>
    </row>
    <row r="95" spans="1:45" s="25" customFormat="1">
      <c r="A95" s="4" t="s">
        <v>5234</v>
      </c>
      <c r="B95" s="21">
        <f t="shared" si="15"/>
        <v>83</v>
      </c>
      <c r="C95" s="13" t="s">
        <v>6624</v>
      </c>
      <c r="D95" s="13" t="s">
        <v>4845</v>
      </c>
      <c r="E95" s="8"/>
      <c r="F95" s="7" t="s">
        <v>4348</v>
      </c>
      <c r="G95" s="7" t="s">
        <v>25</v>
      </c>
      <c r="H95" s="58"/>
      <c r="I95" s="23"/>
      <c r="J95" s="24"/>
      <c r="M95" s="4"/>
      <c r="N95" s="76"/>
      <c r="O95" s="76"/>
      <c r="P95" s="76" t="str">
        <f t="shared" si="10"/>
        <v>,shikkan77_start_date</v>
      </c>
      <c r="Q95" s="76" t="str">
        <f t="shared" si="11"/>
        <v>DATE</v>
      </c>
      <c r="R95" s="76" t="str">
        <f t="shared" si="12"/>
        <v/>
      </c>
      <c r="S95" s="76" t="str">
        <f t="shared" si="13"/>
        <v/>
      </c>
      <c r="T95" s="76" t="str">
        <f t="shared" si="14"/>
        <v>-- C109_疾患開始日</v>
      </c>
      <c r="U95" s="4" t="str">
        <f t="shared" si="16"/>
        <v>, CASE WHEN shikkan_disp_name = 'C109' THEN min_shikkan_start_date ::DATE ELSE NULL END AS shikkan77_start_date</v>
      </c>
      <c r="V95" s="25" t="str">
        <f t="shared" si="17"/>
        <v>, max(shikkan77_start_date)</v>
      </c>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milscm_2023_009.sny_202310_annony_bef2.shikkan77_start_date IS 'C109_疾患開始日';</v>
      </c>
    </row>
    <row r="96" spans="1:45" s="25" customFormat="1">
      <c r="A96" s="4" t="s">
        <v>5235</v>
      </c>
      <c r="B96" s="21">
        <f t="shared" si="15"/>
        <v>84</v>
      </c>
      <c r="C96" s="13" t="s">
        <v>6625</v>
      </c>
      <c r="D96" s="13" t="s">
        <v>4846</v>
      </c>
      <c r="E96" s="8"/>
      <c r="F96" s="7" t="s">
        <v>4348</v>
      </c>
      <c r="G96" s="7" t="s">
        <v>25</v>
      </c>
      <c r="H96" s="58"/>
      <c r="I96" s="23"/>
      <c r="J96" s="24"/>
      <c r="M96" s="4"/>
      <c r="N96" s="76"/>
      <c r="O96" s="76"/>
      <c r="P96" s="76" t="str">
        <f t="shared" si="10"/>
        <v>,shikkan78_start_date</v>
      </c>
      <c r="Q96" s="76" t="str">
        <f t="shared" si="11"/>
        <v>DATE</v>
      </c>
      <c r="R96" s="76" t="str">
        <f t="shared" si="12"/>
        <v/>
      </c>
      <c r="S96" s="76" t="str">
        <f t="shared" si="13"/>
        <v/>
      </c>
      <c r="T96" s="76" t="str">
        <f t="shared" si="14"/>
        <v>-- C110_疾患開始日</v>
      </c>
      <c r="U96" s="4" t="str">
        <f t="shared" si="16"/>
        <v>, CASE WHEN shikkan_disp_name = 'C110' THEN min_shikkan_start_date ::DATE ELSE NULL END AS shikkan78_start_date</v>
      </c>
      <c r="V96" s="25" t="str">
        <f t="shared" si="17"/>
        <v>, max(shikkan78_start_date)</v>
      </c>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milscm_2023_009.sny_202310_annony_bef2.shikkan78_start_date IS 'C110_疾患開始日';</v>
      </c>
    </row>
    <row r="97" spans="1:45" s="25" customFormat="1">
      <c r="A97" s="4" t="s">
        <v>5236</v>
      </c>
      <c r="B97" s="21">
        <f t="shared" si="15"/>
        <v>85</v>
      </c>
      <c r="C97" s="13" t="s">
        <v>6626</v>
      </c>
      <c r="D97" s="13" t="s">
        <v>4847</v>
      </c>
      <c r="E97" s="8"/>
      <c r="F97" s="7" t="s">
        <v>4348</v>
      </c>
      <c r="G97" s="7" t="s">
        <v>25</v>
      </c>
      <c r="H97" s="58"/>
      <c r="I97" s="23"/>
      <c r="J97" s="24"/>
      <c r="M97" s="4"/>
      <c r="N97" s="76"/>
      <c r="O97" s="76"/>
      <c r="P97" s="76" t="str">
        <f t="shared" si="10"/>
        <v>,shikkan79_start_date</v>
      </c>
      <c r="Q97" s="76" t="str">
        <f t="shared" si="11"/>
        <v>DATE</v>
      </c>
      <c r="R97" s="76" t="str">
        <f t="shared" si="12"/>
        <v/>
      </c>
      <c r="S97" s="76" t="str">
        <f t="shared" si="13"/>
        <v/>
      </c>
      <c r="T97" s="76" t="str">
        <f t="shared" si="14"/>
        <v>-- C111_疾患開始日</v>
      </c>
      <c r="U97" s="4" t="str">
        <f t="shared" si="16"/>
        <v>, CASE WHEN shikkan_disp_name = 'C111' THEN min_shikkan_start_date ::DATE ELSE NULL END AS shikkan79_start_date</v>
      </c>
      <c r="V97" s="25" t="str">
        <f t="shared" si="17"/>
        <v>, max(shikkan79_start_date)</v>
      </c>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milscm_2023_009.sny_202310_annony_bef2.shikkan79_start_date IS 'C111_疾患開始日';</v>
      </c>
    </row>
    <row r="98" spans="1:45" s="25" customFormat="1">
      <c r="A98" s="4" t="s">
        <v>5237</v>
      </c>
      <c r="B98" s="21">
        <f t="shared" si="15"/>
        <v>86</v>
      </c>
      <c r="C98" s="13" t="s">
        <v>6627</v>
      </c>
      <c r="D98" s="13" t="s">
        <v>4848</v>
      </c>
      <c r="E98" s="8"/>
      <c r="F98" s="7" t="s">
        <v>4348</v>
      </c>
      <c r="G98" s="7" t="s">
        <v>25</v>
      </c>
      <c r="H98" s="58"/>
      <c r="I98" s="23"/>
      <c r="J98" s="24"/>
      <c r="M98" s="4"/>
      <c r="N98" s="76"/>
      <c r="O98" s="76"/>
      <c r="P98" s="76" t="str">
        <f t="shared" si="10"/>
        <v>,shikkan80_start_date</v>
      </c>
      <c r="Q98" s="76" t="str">
        <f t="shared" si="11"/>
        <v>DATE</v>
      </c>
      <c r="R98" s="76" t="str">
        <f t="shared" si="12"/>
        <v/>
      </c>
      <c r="S98" s="76" t="str">
        <f t="shared" si="13"/>
        <v/>
      </c>
      <c r="T98" s="76" t="str">
        <f t="shared" si="14"/>
        <v>-- C112_疾患開始日</v>
      </c>
      <c r="U98" s="4" t="str">
        <f t="shared" si="16"/>
        <v>, CASE WHEN shikkan_disp_name = 'C112' THEN min_shikkan_start_date ::DATE ELSE NULL END AS shikkan80_start_date</v>
      </c>
      <c r="V98" s="25" t="str">
        <f t="shared" si="17"/>
        <v>, max(shikkan80_start_date)</v>
      </c>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milscm_2023_009.sny_202310_annony_bef2.shikkan80_start_date IS 'C112_疾患開始日';</v>
      </c>
    </row>
    <row r="99" spans="1:45" s="25" customFormat="1">
      <c r="A99" s="4" t="s">
        <v>5238</v>
      </c>
      <c r="B99" s="21">
        <f t="shared" si="15"/>
        <v>87</v>
      </c>
      <c r="C99" s="13" t="s">
        <v>6628</v>
      </c>
      <c r="D99" s="13" t="s">
        <v>4849</v>
      </c>
      <c r="E99" s="8"/>
      <c r="F99" s="7" t="s">
        <v>4348</v>
      </c>
      <c r="G99" s="7" t="s">
        <v>99</v>
      </c>
      <c r="H99" s="58"/>
      <c r="I99" s="23"/>
      <c r="J99" s="24"/>
      <c r="M99" s="4"/>
      <c r="N99" s="76"/>
      <c r="O99" s="76"/>
      <c r="P99" s="76" t="str">
        <f t="shared" si="10"/>
        <v>,shikkan81_start_date</v>
      </c>
      <c r="Q99" s="76" t="str">
        <f t="shared" si="11"/>
        <v>DATE</v>
      </c>
      <c r="R99" s="76" t="str">
        <f t="shared" si="12"/>
        <v/>
      </c>
      <c r="S99" s="76" t="str">
        <f t="shared" si="13"/>
        <v/>
      </c>
      <c r="T99" s="76" t="str">
        <f t="shared" si="14"/>
        <v>-- C113_疾患開始日</v>
      </c>
      <c r="U99" s="4" t="str">
        <f t="shared" si="16"/>
        <v>, CASE WHEN shikkan_disp_name = 'C113' THEN min_shikkan_start_date ::DATE ELSE NULL END AS shikkan81_start_date</v>
      </c>
      <c r="V99" s="25" t="str">
        <f t="shared" si="17"/>
        <v>, max(shikkan81_start_date)</v>
      </c>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milscm_2023_009.sny_202310_annony_bef2.shikkan81_start_date IS 'C113_疾患開始日';</v>
      </c>
    </row>
    <row r="100" spans="1:45" s="25" customFormat="1">
      <c r="A100" s="4" t="s">
        <v>5239</v>
      </c>
      <c r="B100" s="21">
        <f t="shared" si="15"/>
        <v>88</v>
      </c>
      <c r="C100" s="13" t="s">
        <v>6629</v>
      </c>
      <c r="D100" s="13" t="s">
        <v>4850</v>
      </c>
      <c r="E100" s="8"/>
      <c r="F100" s="7" t="s">
        <v>4348</v>
      </c>
      <c r="G100" s="7" t="s">
        <v>25</v>
      </c>
      <c r="H100" s="58"/>
      <c r="I100" s="23"/>
      <c r="J100" s="24"/>
      <c r="M100" s="4"/>
      <c r="N100" s="76"/>
      <c r="O100" s="76"/>
      <c r="P100" s="76" t="str">
        <f t="shared" ref="P100:P163" si="18">IF(B100&lt;&gt;1,","&amp;D100,D100)</f>
        <v>,shikkan82_start_date</v>
      </c>
      <c r="Q100" s="76" t="str">
        <f t="shared" ref="Q100:Q163" si="19">UPPER(G100)</f>
        <v>DATE</v>
      </c>
      <c r="R100" s="76" t="str">
        <f t="shared" ref="R100:R163" si="20">IF(H100&lt;&gt;"","default "&amp;IF(G100="text","'"&amp;H100&amp;"'",H100),"")</f>
        <v/>
      </c>
      <c r="S100" s="76" t="str">
        <f t="shared" ref="S100:S163" si="21">IF(I100="○","NOT NULL","")</f>
        <v/>
      </c>
      <c r="T100" s="76" t="str">
        <f t="shared" ref="T100:T163" si="22">"-- "&amp;C100</f>
        <v>-- C118_疾患開始日</v>
      </c>
      <c r="U100" s="4" t="str">
        <f t="shared" si="16"/>
        <v>, CASE WHEN shikkan_disp_name = 'C118' THEN min_shikkan_start_date ::DATE ELSE NULL END AS shikkan82_start_date</v>
      </c>
      <c r="V100" s="25" t="str">
        <f t="shared" si="17"/>
        <v>, max(shikkan82_start_date)</v>
      </c>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milscm_2023_009.sny_202310_annony_bef2.shikkan82_start_date IS 'C118_疾患開始日';</v>
      </c>
    </row>
    <row r="101" spans="1:45" s="25" customFormat="1">
      <c r="A101" s="4" t="s">
        <v>5240</v>
      </c>
      <c r="B101" s="21">
        <f t="shared" si="15"/>
        <v>89</v>
      </c>
      <c r="C101" s="13" t="s">
        <v>6630</v>
      </c>
      <c r="D101" s="13" t="s">
        <v>4851</v>
      </c>
      <c r="E101" s="8"/>
      <c r="F101" s="7" t="s">
        <v>4348</v>
      </c>
      <c r="G101" s="7" t="s">
        <v>25</v>
      </c>
      <c r="H101" s="58"/>
      <c r="I101" s="23"/>
      <c r="J101" s="24"/>
      <c r="M101" s="4"/>
      <c r="N101" s="76"/>
      <c r="O101" s="76"/>
      <c r="P101" s="76" t="str">
        <f t="shared" si="18"/>
        <v>,shikkan83_start_date</v>
      </c>
      <c r="Q101" s="76" t="str">
        <f t="shared" si="19"/>
        <v>DATE</v>
      </c>
      <c r="R101" s="76" t="str">
        <f t="shared" si="20"/>
        <v/>
      </c>
      <c r="S101" s="76" t="str">
        <f t="shared" si="21"/>
        <v/>
      </c>
      <c r="T101" s="76" t="str">
        <f t="shared" si="22"/>
        <v>-- C119_疾患開始日</v>
      </c>
      <c r="U101" s="4" t="str">
        <f t="shared" si="16"/>
        <v>, CASE WHEN shikkan_disp_name = 'C119' THEN min_shikkan_start_date ::DATE ELSE NULL END AS shikkan83_start_date</v>
      </c>
      <c r="V101" s="25" t="str">
        <f t="shared" si="17"/>
        <v>, max(shikkan83_start_date)</v>
      </c>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milscm_2023_009.sny_202310_annony_bef2.shikkan83_start_date IS 'C119_疾患開始日';</v>
      </c>
    </row>
    <row r="102" spans="1:45" s="25" customFormat="1">
      <c r="A102" s="4" t="s">
        <v>5142</v>
      </c>
      <c r="B102" s="21">
        <f t="shared" si="15"/>
        <v>90</v>
      </c>
      <c r="C102" s="13" t="s">
        <v>4752</v>
      </c>
      <c r="D102" s="13" t="s">
        <v>4852</v>
      </c>
      <c r="E102" s="8"/>
      <c r="F102" s="7" t="s">
        <v>4348</v>
      </c>
      <c r="G102" s="7" t="s">
        <v>25</v>
      </c>
      <c r="H102" s="58"/>
      <c r="I102" s="23"/>
      <c r="J102" s="24"/>
      <c r="M102" s="4"/>
      <c r="N102" s="76"/>
      <c r="O102" s="76"/>
      <c r="P102" s="76" t="str">
        <f t="shared" si="18"/>
        <v>,shikkan84_start_date</v>
      </c>
      <c r="Q102" s="76" t="str">
        <f t="shared" si="19"/>
        <v>DATE</v>
      </c>
      <c r="R102" s="76" t="str">
        <f t="shared" si="20"/>
        <v/>
      </c>
      <c r="S102" s="76" t="str">
        <f t="shared" si="21"/>
        <v/>
      </c>
      <c r="T102" s="76" t="str">
        <f t="shared" si="22"/>
        <v>-- C12_疾患開始日</v>
      </c>
      <c r="U102" s="4" t="str">
        <f t="shared" si="16"/>
        <v>, CASE WHEN shikkan_disp_name = 'C12' THEN min_shikkan_start_date ::DATE ELSE NULL END AS shikkan84_start_date</v>
      </c>
      <c r="V102" s="25" t="str">
        <f t="shared" si="17"/>
        <v>, max(shikkan84_start_date)</v>
      </c>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milscm_2023_009.sny_202310_annony_bef2.shikkan84_start_date IS 'C12_疾患開始日';</v>
      </c>
    </row>
    <row r="103" spans="1:45" s="25" customFormat="1">
      <c r="A103" s="4" t="s">
        <v>5241</v>
      </c>
      <c r="B103" s="21">
        <f t="shared" si="15"/>
        <v>91</v>
      </c>
      <c r="C103" s="13" t="s">
        <v>6631</v>
      </c>
      <c r="D103" s="13" t="s">
        <v>4853</v>
      </c>
      <c r="E103" s="8"/>
      <c r="F103" s="7" t="s">
        <v>4348</v>
      </c>
      <c r="G103" s="7" t="s">
        <v>25</v>
      </c>
      <c r="H103" s="58"/>
      <c r="I103" s="23"/>
      <c r="J103" s="24"/>
      <c r="M103" s="4"/>
      <c r="N103" s="76"/>
      <c r="O103" s="76"/>
      <c r="P103" s="76" t="str">
        <f t="shared" si="18"/>
        <v>,shikkan85_start_date</v>
      </c>
      <c r="Q103" s="76" t="str">
        <f t="shared" si="19"/>
        <v>DATE</v>
      </c>
      <c r="R103" s="76" t="str">
        <f t="shared" si="20"/>
        <v/>
      </c>
      <c r="S103" s="76" t="str">
        <f t="shared" si="21"/>
        <v/>
      </c>
      <c r="T103" s="76" t="str">
        <f t="shared" si="22"/>
        <v>-- C130_疾患開始日</v>
      </c>
      <c r="U103" s="4" t="str">
        <f t="shared" si="16"/>
        <v>, CASE WHEN shikkan_disp_name = 'C130' THEN min_shikkan_start_date ::DATE ELSE NULL END AS shikkan85_start_date</v>
      </c>
      <c r="V103" s="25" t="str">
        <f t="shared" si="17"/>
        <v>, max(shikkan85_start_date)</v>
      </c>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milscm_2023_009.sny_202310_annony_bef2.shikkan85_start_date IS 'C130_疾患開始日';</v>
      </c>
    </row>
    <row r="104" spans="1:45" s="25" customFormat="1">
      <c r="A104" s="4" t="s">
        <v>5242</v>
      </c>
      <c r="B104" s="21">
        <f t="shared" si="15"/>
        <v>92</v>
      </c>
      <c r="C104" s="13" t="s">
        <v>6632</v>
      </c>
      <c r="D104" s="13" t="s">
        <v>4854</v>
      </c>
      <c r="E104" s="8"/>
      <c r="F104" s="7" t="s">
        <v>4348</v>
      </c>
      <c r="G104" s="7" t="s">
        <v>25</v>
      </c>
      <c r="H104" s="58"/>
      <c r="I104" s="23"/>
      <c r="J104" s="24"/>
      <c r="M104" s="4"/>
      <c r="N104" s="76"/>
      <c r="O104" s="76"/>
      <c r="P104" s="76" t="str">
        <f t="shared" si="18"/>
        <v>,shikkan86_start_date</v>
      </c>
      <c r="Q104" s="76" t="str">
        <f t="shared" si="19"/>
        <v>DATE</v>
      </c>
      <c r="R104" s="76" t="str">
        <f t="shared" si="20"/>
        <v/>
      </c>
      <c r="S104" s="76" t="str">
        <f t="shared" si="21"/>
        <v/>
      </c>
      <c r="T104" s="76" t="str">
        <f t="shared" si="22"/>
        <v>-- C131_疾患開始日</v>
      </c>
      <c r="U104" s="4" t="str">
        <f t="shared" si="16"/>
        <v>, CASE WHEN shikkan_disp_name = 'C131' THEN min_shikkan_start_date ::DATE ELSE NULL END AS shikkan86_start_date</v>
      </c>
      <c r="V104" s="25" t="str">
        <f t="shared" si="17"/>
        <v>, max(shikkan86_start_date)</v>
      </c>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milscm_2023_009.sny_202310_annony_bef2.shikkan86_start_date IS 'C131_疾患開始日';</v>
      </c>
    </row>
    <row r="105" spans="1:45" s="25" customFormat="1">
      <c r="A105" s="4" t="s">
        <v>5243</v>
      </c>
      <c r="B105" s="21">
        <f t="shared" si="15"/>
        <v>93</v>
      </c>
      <c r="C105" s="13" t="s">
        <v>6633</v>
      </c>
      <c r="D105" s="13" t="s">
        <v>4855</v>
      </c>
      <c r="E105" s="8"/>
      <c r="F105" s="7" t="s">
        <v>4348</v>
      </c>
      <c r="G105" s="7" t="s">
        <v>25</v>
      </c>
      <c r="H105" s="58"/>
      <c r="I105" s="23"/>
      <c r="J105" s="24"/>
      <c r="M105" s="4"/>
      <c r="N105" s="76"/>
      <c r="O105" s="76"/>
      <c r="P105" s="76" t="str">
        <f t="shared" si="18"/>
        <v>,shikkan87_start_date</v>
      </c>
      <c r="Q105" s="76" t="str">
        <f t="shared" si="19"/>
        <v>DATE</v>
      </c>
      <c r="R105" s="76" t="str">
        <f t="shared" si="20"/>
        <v/>
      </c>
      <c r="S105" s="76" t="str">
        <f t="shared" si="21"/>
        <v/>
      </c>
      <c r="T105" s="76" t="str">
        <f t="shared" si="22"/>
        <v>-- C132_疾患開始日</v>
      </c>
      <c r="U105" s="4" t="str">
        <f t="shared" si="16"/>
        <v>, CASE WHEN shikkan_disp_name = 'C132' THEN min_shikkan_start_date ::DATE ELSE NULL END AS shikkan87_start_date</v>
      </c>
      <c r="V105" s="25" t="str">
        <f t="shared" si="17"/>
        <v>, max(shikkan87_start_date)</v>
      </c>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milscm_2023_009.sny_202310_annony_bef2.shikkan87_start_date IS 'C132_疾患開始日';</v>
      </c>
    </row>
    <row r="106" spans="1:45" s="25" customFormat="1">
      <c r="A106" s="4" t="s">
        <v>5244</v>
      </c>
      <c r="B106" s="21">
        <f t="shared" si="15"/>
        <v>94</v>
      </c>
      <c r="C106" s="13" t="s">
        <v>6634</v>
      </c>
      <c r="D106" s="13" t="s">
        <v>4856</v>
      </c>
      <c r="E106" s="8"/>
      <c r="F106" s="7" t="s">
        <v>4348</v>
      </c>
      <c r="G106" s="7" t="s">
        <v>25</v>
      </c>
      <c r="H106" s="58"/>
      <c r="I106" s="23"/>
      <c r="J106" s="24"/>
      <c r="M106" s="4"/>
      <c r="N106" s="76"/>
      <c r="O106" s="76"/>
      <c r="P106" s="76" t="str">
        <f t="shared" si="18"/>
        <v>,shikkan88_start_date</v>
      </c>
      <c r="Q106" s="76" t="str">
        <f t="shared" si="19"/>
        <v>DATE</v>
      </c>
      <c r="R106" s="76" t="str">
        <f t="shared" si="20"/>
        <v/>
      </c>
      <c r="S106" s="76" t="str">
        <f t="shared" si="21"/>
        <v/>
      </c>
      <c r="T106" s="76" t="str">
        <f t="shared" si="22"/>
        <v>-- C138_疾患開始日</v>
      </c>
      <c r="U106" s="4" t="str">
        <f t="shared" si="16"/>
        <v>, CASE WHEN shikkan_disp_name = 'C138' THEN min_shikkan_start_date ::DATE ELSE NULL END AS shikkan88_start_date</v>
      </c>
      <c r="V106" s="25" t="str">
        <f t="shared" si="17"/>
        <v>, max(shikkan88_start_date)</v>
      </c>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milscm_2023_009.sny_202310_annony_bef2.shikkan88_start_date IS 'C138_疾患開始日';</v>
      </c>
    </row>
    <row r="107" spans="1:45" s="25" customFormat="1">
      <c r="A107" s="4" t="s">
        <v>5245</v>
      </c>
      <c r="B107" s="21">
        <f t="shared" si="15"/>
        <v>95</v>
      </c>
      <c r="C107" s="13" t="s">
        <v>6635</v>
      </c>
      <c r="D107" s="13" t="s">
        <v>4857</v>
      </c>
      <c r="E107" s="8"/>
      <c r="F107" s="7" t="s">
        <v>4348</v>
      </c>
      <c r="G107" s="7" t="s">
        <v>25</v>
      </c>
      <c r="H107" s="58"/>
      <c r="I107" s="23"/>
      <c r="J107" s="24"/>
      <c r="M107" s="4"/>
      <c r="N107" s="76"/>
      <c r="O107" s="76"/>
      <c r="P107" s="76" t="str">
        <f t="shared" si="18"/>
        <v>,shikkan89_start_date</v>
      </c>
      <c r="Q107" s="76" t="str">
        <f t="shared" si="19"/>
        <v>DATE</v>
      </c>
      <c r="R107" s="76" t="str">
        <f t="shared" si="20"/>
        <v/>
      </c>
      <c r="S107" s="76" t="str">
        <f t="shared" si="21"/>
        <v/>
      </c>
      <c r="T107" s="76" t="str">
        <f t="shared" si="22"/>
        <v>-- C139_疾患開始日</v>
      </c>
      <c r="U107" s="4" t="str">
        <f t="shared" si="16"/>
        <v>, CASE WHEN shikkan_disp_name = 'C139' THEN min_shikkan_start_date ::DATE ELSE NULL END AS shikkan89_start_date</v>
      </c>
      <c r="V107" s="25" t="str">
        <f t="shared" si="17"/>
        <v>, max(shikkan89_start_date)</v>
      </c>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milscm_2023_009.sny_202310_annony_bef2.shikkan89_start_date IS 'C139_疾患開始日';</v>
      </c>
    </row>
    <row r="108" spans="1:45" s="25" customFormat="1">
      <c r="A108" s="4" t="s">
        <v>5246</v>
      </c>
      <c r="B108" s="21">
        <f t="shared" si="15"/>
        <v>96</v>
      </c>
      <c r="C108" s="13" t="s">
        <v>6636</v>
      </c>
      <c r="D108" s="13" t="s">
        <v>4858</v>
      </c>
      <c r="E108" s="8"/>
      <c r="F108" s="7" t="s">
        <v>4348</v>
      </c>
      <c r="G108" s="7" t="s">
        <v>25</v>
      </c>
      <c r="H108" s="58"/>
      <c r="I108" s="23"/>
      <c r="J108" s="24"/>
      <c r="M108" s="4"/>
      <c r="N108" s="76"/>
      <c r="O108" s="76"/>
      <c r="P108" s="76" t="str">
        <f t="shared" si="18"/>
        <v>,shikkan90_start_date</v>
      </c>
      <c r="Q108" s="76" t="str">
        <f t="shared" si="19"/>
        <v>DATE</v>
      </c>
      <c r="R108" s="76" t="str">
        <f t="shared" si="20"/>
        <v/>
      </c>
      <c r="S108" s="76" t="str">
        <f t="shared" si="21"/>
        <v/>
      </c>
      <c r="T108" s="76" t="str">
        <f t="shared" si="22"/>
        <v>-- C140_疾患開始日</v>
      </c>
      <c r="U108" s="4" t="str">
        <f t="shared" si="16"/>
        <v>, CASE WHEN shikkan_disp_name = 'C140' THEN min_shikkan_start_date ::DATE ELSE NULL END AS shikkan90_start_date</v>
      </c>
      <c r="V108" s="25" t="str">
        <f t="shared" si="17"/>
        <v>, max(shikkan90_start_date)</v>
      </c>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milscm_2023_009.sny_202310_annony_bef2.shikkan90_start_date IS 'C140_疾患開始日';</v>
      </c>
    </row>
    <row r="109" spans="1:45" s="25" customFormat="1">
      <c r="A109" s="4" t="s">
        <v>5247</v>
      </c>
      <c r="B109" s="21">
        <f t="shared" si="15"/>
        <v>97</v>
      </c>
      <c r="C109" s="13" t="s">
        <v>6637</v>
      </c>
      <c r="D109" s="13" t="s">
        <v>4859</v>
      </c>
      <c r="E109" s="8"/>
      <c r="F109" s="7" t="s">
        <v>4348</v>
      </c>
      <c r="G109" s="7" t="s">
        <v>25</v>
      </c>
      <c r="H109" s="58"/>
      <c r="I109" s="23"/>
      <c r="J109" s="24"/>
      <c r="M109" s="4"/>
      <c r="N109" s="76"/>
      <c r="O109" s="76"/>
      <c r="P109" s="76" t="str">
        <f t="shared" si="18"/>
        <v>,shikkan91_start_date</v>
      </c>
      <c r="Q109" s="76" t="str">
        <f t="shared" si="19"/>
        <v>DATE</v>
      </c>
      <c r="R109" s="76" t="str">
        <f t="shared" si="20"/>
        <v/>
      </c>
      <c r="S109" s="76" t="str">
        <f t="shared" si="21"/>
        <v/>
      </c>
      <c r="T109" s="76" t="str">
        <f t="shared" si="22"/>
        <v>-- C142_疾患開始日</v>
      </c>
      <c r="U109" s="4" t="str">
        <f t="shared" si="16"/>
        <v>, CASE WHEN shikkan_disp_name = 'C142' THEN min_shikkan_start_date ::DATE ELSE NULL END AS shikkan91_start_date</v>
      </c>
      <c r="V109" s="25" t="str">
        <f t="shared" si="17"/>
        <v>, max(shikkan91_start_date)</v>
      </c>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milscm_2023_009.sny_202310_annony_bef2.shikkan91_start_date IS 'C142_疾患開始日';</v>
      </c>
    </row>
    <row r="110" spans="1:45" s="25" customFormat="1">
      <c r="A110" s="4" t="s">
        <v>5248</v>
      </c>
      <c r="B110" s="21">
        <f t="shared" si="15"/>
        <v>98</v>
      </c>
      <c r="C110" s="13" t="s">
        <v>6638</v>
      </c>
      <c r="D110" s="13" t="s">
        <v>4860</v>
      </c>
      <c r="E110" s="8"/>
      <c r="F110" s="7" t="s">
        <v>4348</v>
      </c>
      <c r="G110" s="7" t="s">
        <v>25</v>
      </c>
      <c r="H110" s="58"/>
      <c r="I110" s="23"/>
      <c r="J110" s="24"/>
      <c r="M110" s="4"/>
      <c r="N110" s="76"/>
      <c r="O110" s="76"/>
      <c r="P110" s="76" t="str">
        <f t="shared" si="18"/>
        <v>,shikkan92_start_date</v>
      </c>
      <c r="Q110" s="76" t="str">
        <f t="shared" si="19"/>
        <v>DATE</v>
      </c>
      <c r="R110" s="76" t="str">
        <f t="shared" si="20"/>
        <v/>
      </c>
      <c r="S110" s="76" t="str">
        <f t="shared" si="21"/>
        <v/>
      </c>
      <c r="T110" s="76" t="str">
        <f t="shared" si="22"/>
        <v>-- C148_疾患開始日</v>
      </c>
      <c r="U110" s="4" t="str">
        <f t="shared" si="16"/>
        <v>, CASE WHEN shikkan_disp_name = 'C148' THEN min_shikkan_start_date ::DATE ELSE NULL END AS shikkan92_start_date</v>
      </c>
      <c r="V110" s="25" t="str">
        <f t="shared" si="17"/>
        <v>, max(shikkan92_start_date)</v>
      </c>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milscm_2023_009.sny_202310_annony_bef2.shikkan92_start_date IS 'C148_疾患開始日';</v>
      </c>
    </row>
    <row r="111" spans="1:45" s="25" customFormat="1">
      <c r="A111" s="4" t="s">
        <v>5249</v>
      </c>
      <c r="B111" s="21">
        <f t="shared" si="15"/>
        <v>99</v>
      </c>
      <c r="C111" s="13" t="s">
        <v>6639</v>
      </c>
      <c r="D111" s="13" t="s">
        <v>4861</v>
      </c>
      <c r="E111" s="8"/>
      <c r="F111" s="7" t="s">
        <v>4348</v>
      </c>
      <c r="G111" s="7" t="s">
        <v>25</v>
      </c>
      <c r="H111" s="58"/>
      <c r="I111" s="23"/>
      <c r="J111" s="24"/>
      <c r="M111" s="4"/>
      <c r="N111" s="76"/>
      <c r="O111" s="76"/>
      <c r="P111" s="76" t="str">
        <f t="shared" si="18"/>
        <v>,shikkan93_start_date</v>
      </c>
      <c r="Q111" s="76" t="str">
        <f t="shared" si="19"/>
        <v>DATE</v>
      </c>
      <c r="R111" s="76" t="str">
        <f t="shared" si="20"/>
        <v/>
      </c>
      <c r="S111" s="76" t="str">
        <f t="shared" si="21"/>
        <v/>
      </c>
      <c r="T111" s="76" t="str">
        <f t="shared" si="22"/>
        <v>-- C150_疾患開始日</v>
      </c>
      <c r="U111" s="4" t="str">
        <f t="shared" si="16"/>
        <v>, CASE WHEN shikkan_disp_name = 'C150' THEN min_shikkan_start_date ::DATE ELSE NULL END AS shikkan93_start_date</v>
      </c>
      <c r="V111" s="25" t="str">
        <f t="shared" si="17"/>
        <v>, max(shikkan93_start_date)</v>
      </c>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milscm_2023_009.sny_202310_annony_bef2.shikkan93_start_date IS 'C150_疾患開始日';</v>
      </c>
    </row>
    <row r="112" spans="1:45" s="25" customFormat="1">
      <c r="A112" s="4" t="s">
        <v>5250</v>
      </c>
      <c r="B112" s="21">
        <f t="shared" si="15"/>
        <v>100</v>
      </c>
      <c r="C112" s="13" t="s">
        <v>6640</v>
      </c>
      <c r="D112" s="13" t="s">
        <v>4862</v>
      </c>
      <c r="E112" s="8"/>
      <c r="F112" s="7" t="s">
        <v>4348</v>
      </c>
      <c r="G112" s="7" t="s">
        <v>25</v>
      </c>
      <c r="H112" s="58"/>
      <c r="I112" s="23"/>
      <c r="J112" s="24"/>
      <c r="M112" s="4"/>
      <c r="N112" s="76"/>
      <c r="O112" s="76"/>
      <c r="P112" s="76" t="str">
        <f t="shared" si="18"/>
        <v>,shikkan94_start_date</v>
      </c>
      <c r="Q112" s="76" t="str">
        <f t="shared" si="19"/>
        <v>DATE</v>
      </c>
      <c r="R112" s="76" t="str">
        <f t="shared" si="20"/>
        <v/>
      </c>
      <c r="S112" s="76" t="str">
        <f t="shared" si="21"/>
        <v/>
      </c>
      <c r="T112" s="76" t="str">
        <f t="shared" si="22"/>
        <v>-- C151_疾患開始日</v>
      </c>
      <c r="U112" s="4" t="str">
        <f t="shared" si="16"/>
        <v>, CASE WHEN shikkan_disp_name = 'C151' THEN min_shikkan_start_date ::DATE ELSE NULL END AS shikkan94_start_date</v>
      </c>
      <c r="V112" s="25" t="str">
        <f t="shared" si="17"/>
        <v>, max(shikkan94_start_date)</v>
      </c>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milscm_2023_009.sny_202310_annony_bef2.shikkan94_start_date IS 'C151_疾患開始日';</v>
      </c>
    </row>
    <row r="113" spans="1:45" s="25" customFormat="1">
      <c r="A113" s="4" t="s">
        <v>5251</v>
      </c>
      <c r="B113" s="21">
        <f t="shared" si="15"/>
        <v>101</v>
      </c>
      <c r="C113" s="13" t="s">
        <v>6641</v>
      </c>
      <c r="D113" s="13" t="s">
        <v>4863</v>
      </c>
      <c r="E113" s="8"/>
      <c r="F113" s="7" t="s">
        <v>4348</v>
      </c>
      <c r="G113" s="7" t="s">
        <v>25</v>
      </c>
      <c r="H113" s="58"/>
      <c r="I113" s="23"/>
      <c r="J113" s="24"/>
      <c r="M113" s="4"/>
      <c r="N113" s="76"/>
      <c r="O113" s="76"/>
      <c r="P113" s="76" t="str">
        <f t="shared" si="18"/>
        <v>,shikkan95_start_date</v>
      </c>
      <c r="Q113" s="76" t="str">
        <f t="shared" si="19"/>
        <v>DATE</v>
      </c>
      <c r="R113" s="76" t="str">
        <f t="shared" si="20"/>
        <v/>
      </c>
      <c r="S113" s="76" t="str">
        <f t="shared" si="21"/>
        <v/>
      </c>
      <c r="T113" s="76" t="str">
        <f t="shared" si="22"/>
        <v>-- C152_疾患開始日</v>
      </c>
      <c r="U113" s="4" t="str">
        <f t="shared" si="16"/>
        <v>, CASE WHEN shikkan_disp_name = 'C152' THEN min_shikkan_start_date ::DATE ELSE NULL END AS shikkan95_start_date</v>
      </c>
      <c r="V113" s="25" t="str">
        <f t="shared" si="17"/>
        <v>, max(shikkan95_start_date)</v>
      </c>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milscm_2023_009.sny_202310_annony_bef2.shikkan95_start_date IS 'C152_疾患開始日';</v>
      </c>
    </row>
    <row r="114" spans="1:45" s="25" customFormat="1">
      <c r="A114" s="4" t="s">
        <v>5252</v>
      </c>
      <c r="B114" s="21">
        <f t="shared" si="15"/>
        <v>102</v>
      </c>
      <c r="C114" s="13" t="s">
        <v>6642</v>
      </c>
      <c r="D114" s="13" t="s">
        <v>4864</v>
      </c>
      <c r="E114" s="8"/>
      <c r="F114" s="7" t="s">
        <v>4348</v>
      </c>
      <c r="G114" s="7" t="s">
        <v>25</v>
      </c>
      <c r="H114" s="58"/>
      <c r="I114" s="23"/>
      <c r="J114" s="24"/>
      <c r="M114" s="4"/>
      <c r="N114" s="76"/>
      <c r="O114" s="76"/>
      <c r="P114" s="76" t="str">
        <f t="shared" si="18"/>
        <v>,shikkan96_start_date</v>
      </c>
      <c r="Q114" s="76" t="str">
        <f t="shared" si="19"/>
        <v>DATE</v>
      </c>
      <c r="R114" s="76" t="str">
        <f t="shared" si="20"/>
        <v/>
      </c>
      <c r="S114" s="76" t="str">
        <f t="shared" si="21"/>
        <v/>
      </c>
      <c r="T114" s="76" t="str">
        <f t="shared" si="22"/>
        <v>-- C153_疾患開始日</v>
      </c>
      <c r="U114" s="4" t="str">
        <f t="shared" si="16"/>
        <v>, CASE WHEN shikkan_disp_name = 'C153' THEN min_shikkan_start_date ::DATE ELSE NULL END AS shikkan96_start_date</v>
      </c>
      <c r="V114" s="25" t="str">
        <f t="shared" si="17"/>
        <v>, max(shikkan96_start_date)</v>
      </c>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milscm_2023_009.sny_202310_annony_bef2.shikkan96_start_date IS 'C153_疾患開始日';</v>
      </c>
    </row>
    <row r="115" spans="1:45" s="25" customFormat="1">
      <c r="A115" s="4" t="s">
        <v>5253</v>
      </c>
      <c r="B115" s="21">
        <f t="shared" si="15"/>
        <v>103</v>
      </c>
      <c r="C115" s="13" t="s">
        <v>6643</v>
      </c>
      <c r="D115" s="13" t="s">
        <v>4865</v>
      </c>
      <c r="E115" s="8"/>
      <c r="F115" s="7" t="s">
        <v>4348</v>
      </c>
      <c r="G115" s="7" t="s">
        <v>99</v>
      </c>
      <c r="H115" s="58"/>
      <c r="I115" s="23"/>
      <c r="J115" s="24"/>
      <c r="M115" s="4"/>
      <c r="N115" s="76"/>
      <c r="O115" s="76"/>
      <c r="P115" s="76" t="str">
        <f t="shared" si="18"/>
        <v>,shikkan97_start_date</v>
      </c>
      <c r="Q115" s="76" t="str">
        <f t="shared" si="19"/>
        <v>DATE</v>
      </c>
      <c r="R115" s="76" t="str">
        <f t="shared" si="20"/>
        <v/>
      </c>
      <c r="S115" s="76" t="str">
        <f t="shared" si="21"/>
        <v/>
      </c>
      <c r="T115" s="76" t="str">
        <f t="shared" si="22"/>
        <v>-- C154_疾患開始日</v>
      </c>
      <c r="U115" s="4" t="str">
        <f t="shared" si="16"/>
        <v>, CASE WHEN shikkan_disp_name = 'C154' THEN min_shikkan_start_date ::DATE ELSE NULL END AS shikkan97_start_date</v>
      </c>
      <c r="V115" s="25" t="str">
        <f t="shared" si="17"/>
        <v>, max(shikkan97_start_date)</v>
      </c>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milscm_2023_009.sny_202310_annony_bef2.shikkan97_start_date IS 'C154_疾患開始日';</v>
      </c>
    </row>
    <row r="116" spans="1:45" s="25" customFormat="1">
      <c r="A116" s="4" t="s">
        <v>5254</v>
      </c>
      <c r="B116" s="21">
        <f t="shared" si="15"/>
        <v>104</v>
      </c>
      <c r="C116" s="13" t="s">
        <v>6644</v>
      </c>
      <c r="D116" s="13" t="s">
        <v>4866</v>
      </c>
      <c r="E116" s="8"/>
      <c r="F116" s="7" t="s">
        <v>4348</v>
      </c>
      <c r="G116" s="7" t="s">
        <v>25</v>
      </c>
      <c r="H116" s="58"/>
      <c r="I116" s="23"/>
      <c r="J116" s="24"/>
      <c r="M116" s="4"/>
      <c r="N116" s="76"/>
      <c r="O116" s="76"/>
      <c r="P116" s="76" t="str">
        <f t="shared" si="18"/>
        <v>,shikkan98_start_date</v>
      </c>
      <c r="Q116" s="76" t="str">
        <f t="shared" si="19"/>
        <v>DATE</v>
      </c>
      <c r="R116" s="76" t="str">
        <f t="shared" si="20"/>
        <v/>
      </c>
      <c r="S116" s="76" t="str">
        <f t="shared" si="21"/>
        <v/>
      </c>
      <c r="T116" s="76" t="str">
        <f t="shared" si="22"/>
        <v>-- C155_疾患開始日</v>
      </c>
      <c r="U116" s="4" t="str">
        <f t="shared" si="16"/>
        <v>, CASE WHEN shikkan_disp_name = 'C155' THEN min_shikkan_start_date ::DATE ELSE NULL END AS shikkan98_start_date</v>
      </c>
      <c r="V116" s="25" t="str">
        <f t="shared" si="17"/>
        <v>, max(shikkan98_start_date)</v>
      </c>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milscm_2023_009.sny_202310_annony_bef2.shikkan98_start_date IS 'C155_疾患開始日';</v>
      </c>
    </row>
    <row r="117" spans="1:45" s="25" customFormat="1">
      <c r="A117" s="4" t="s">
        <v>5255</v>
      </c>
      <c r="B117" s="21">
        <f t="shared" si="15"/>
        <v>105</v>
      </c>
      <c r="C117" s="13" t="s">
        <v>6645</v>
      </c>
      <c r="D117" s="13" t="s">
        <v>4867</v>
      </c>
      <c r="E117" s="8"/>
      <c r="F117" s="7" t="s">
        <v>4348</v>
      </c>
      <c r="G117" s="7" t="s">
        <v>25</v>
      </c>
      <c r="H117" s="58"/>
      <c r="I117" s="23"/>
      <c r="J117" s="24"/>
      <c r="M117" s="4"/>
      <c r="N117" s="76"/>
      <c r="O117" s="76"/>
      <c r="P117" s="76" t="str">
        <f t="shared" si="18"/>
        <v>,shikkan99_start_date</v>
      </c>
      <c r="Q117" s="76" t="str">
        <f t="shared" si="19"/>
        <v>DATE</v>
      </c>
      <c r="R117" s="76" t="str">
        <f t="shared" si="20"/>
        <v/>
      </c>
      <c r="S117" s="76" t="str">
        <f t="shared" si="21"/>
        <v/>
      </c>
      <c r="T117" s="76" t="str">
        <f t="shared" si="22"/>
        <v>-- C158_疾患開始日</v>
      </c>
      <c r="U117" s="4" t="str">
        <f t="shared" si="16"/>
        <v>, CASE WHEN shikkan_disp_name = 'C158' THEN min_shikkan_start_date ::DATE ELSE NULL END AS shikkan99_start_date</v>
      </c>
      <c r="V117" s="25" t="str">
        <f t="shared" si="17"/>
        <v>, max(shikkan99_start_date)</v>
      </c>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milscm_2023_009.sny_202310_annony_bef2.shikkan99_start_date IS 'C158_疾患開始日';</v>
      </c>
    </row>
    <row r="118" spans="1:45" s="25" customFormat="1">
      <c r="A118" s="4" t="s">
        <v>5256</v>
      </c>
      <c r="B118" s="21">
        <f t="shared" si="15"/>
        <v>106</v>
      </c>
      <c r="C118" s="13" t="s">
        <v>6646</v>
      </c>
      <c r="D118" s="13" t="s">
        <v>4868</v>
      </c>
      <c r="E118" s="8"/>
      <c r="F118" s="7" t="s">
        <v>4348</v>
      </c>
      <c r="G118" s="7" t="s">
        <v>25</v>
      </c>
      <c r="H118" s="58"/>
      <c r="I118" s="23"/>
      <c r="J118" s="24"/>
      <c r="M118" s="4"/>
      <c r="N118" s="76"/>
      <c r="O118" s="76"/>
      <c r="P118" s="76" t="str">
        <f t="shared" si="18"/>
        <v>,shikkan100_start_date</v>
      </c>
      <c r="Q118" s="76" t="str">
        <f t="shared" si="19"/>
        <v>DATE</v>
      </c>
      <c r="R118" s="76" t="str">
        <f t="shared" si="20"/>
        <v/>
      </c>
      <c r="S118" s="76" t="str">
        <f t="shared" si="21"/>
        <v/>
      </c>
      <c r="T118" s="76" t="str">
        <f t="shared" si="22"/>
        <v>-- C159_疾患開始日</v>
      </c>
      <c r="U118" s="4" t="str">
        <f t="shared" si="16"/>
        <v>, CASE WHEN shikkan_disp_name = 'C159' THEN min_shikkan_start_date ::DATE ELSE NULL END AS shikkan100_start_date</v>
      </c>
      <c r="V118" s="25" t="str">
        <f t="shared" si="17"/>
        <v>, max(shikkan100_start_date)</v>
      </c>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milscm_2023_009.sny_202310_annony_bef2.shikkan100_start_date IS 'C159_疾患開始日';</v>
      </c>
    </row>
    <row r="119" spans="1:45" s="25" customFormat="1">
      <c r="A119" s="4" t="s">
        <v>5257</v>
      </c>
      <c r="B119" s="21">
        <f t="shared" si="15"/>
        <v>107</v>
      </c>
      <c r="C119" s="13" t="s">
        <v>6647</v>
      </c>
      <c r="D119" s="13" t="s">
        <v>4869</v>
      </c>
      <c r="E119" s="8"/>
      <c r="F119" s="7" t="s">
        <v>4348</v>
      </c>
      <c r="G119" s="7" t="s">
        <v>25</v>
      </c>
      <c r="H119" s="58"/>
      <c r="I119" s="23"/>
      <c r="J119" s="24"/>
      <c r="M119" s="4"/>
      <c r="N119" s="76"/>
      <c r="O119" s="76"/>
      <c r="P119" s="76" t="str">
        <f t="shared" si="18"/>
        <v>,shikkan101_start_date</v>
      </c>
      <c r="Q119" s="76" t="str">
        <f t="shared" si="19"/>
        <v>DATE</v>
      </c>
      <c r="R119" s="76" t="str">
        <f t="shared" si="20"/>
        <v/>
      </c>
      <c r="S119" s="76" t="str">
        <f t="shared" si="21"/>
        <v/>
      </c>
      <c r="T119" s="76" t="str">
        <f t="shared" si="22"/>
        <v>-- C160_疾患開始日</v>
      </c>
      <c r="U119" s="4" t="str">
        <f t="shared" si="16"/>
        <v>, CASE WHEN shikkan_disp_name = 'C160' THEN min_shikkan_start_date ::DATE ELSE NULL END AS shikkan101_start_date</v>
      </c>
      <c r="V119" s="25" t="str">
        <f t="shared" si="17"/>
        <v>, max(shikkan101_start_date)</v>
      </c>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milscm_2023_009.sny_202310_annony_bef2.shikkan101_start_date IS 'C160_疾患開始日';</v>
      </c>
    </row>
    <row r="120" spans="1:45" s="25" customFormat="1">
      <c r="A120" s="4" t="s">
        <v>5258</v>
      </c>
      <c r="B120" s="21">
        <f t="shared" si="15"/>
        <v>108</v>
      </c>
      <c r="C120" s="13" t="s">
        <v>6648</v>
      </c>
      <c r="D120" s="13" t="s">
        <v>4870</v>
      </c>
      <c r="E120" s="8"/>
      <c r="F120" s="7" t="s">
        <v>4348</v>
      </c>
      <c r="G120" s="7" t="s">
        <v>25</v>
      </c>
      <c r="H120" s="58"/>
      <c r="I120" s="23"/>
      <c r="J120" s="24"/>
      <c r="M120" s="4"/>
      <c r="N120" s="76"/>
      <c r="O120" s="76"/>
      <c r="P120" s="76" t="str">
        <f t="shared" si="18"/>
        <v>,shikkan102_start_date</v>
      </c>
      <c r="Q120" s="76" t="str">
        <f t="shared" si="19"/>
        <v>DATE</v>
      </c>
      <c r="R120" s="76" t="str">
        <f t="shared" si="20"/>
        <v/>
      </c>
      <c r="S120" s="76" t="str">
        <f t="shared" si="21"/>
        <v/>
      </c>
      <c r="T120" s="76" t="str">
        <f t="shared" si="22"/>
        <v>-- C161_疾患開始日</v>
      </c>
      <c r="U120" s="4" t="str">
        <f t="shared" si="16"/>
        <v>, CASE WHEN shikkan_disp_name = 'C161' THEN min_shikkan_start_date ::DATE ELSE NULL END AS shikkan102_start_date</v>
      </c>
      <c r="V120" s="25" t="str">
        <f t="shared" si="17"/>
        <v>, max(shikkan102_start_date)</v>
      </c>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milscm_2023_009.sny_202310_annony_bef2.shikkan102_start_date IS 'C161_疾患開始日';</v>
      </c>
    </row>
    <row r="121" spans="1:45" s="25" customFormat="1">
      <c r="A121" s="4" t="s">
        <v>5259</v>
      </c>
      <c r="B121" s="21">
        <f t="shared" si="15"/>
        <v>109</v>
      </c>
      <c r="C121" s="13" t="s">
        <v>6649</v>
      </c>
      <c r="D121" s="13" t="s">
        <v>4871</v>
      </c>
      <c r="E121" s="8"/>
      <c r="F121" s="7" t="s">
        <v>4348</v>
      </c>
      <c r="G121" s="7" t="s">
        <v>25</v>
      </c>
      <c r="H121" s="58"/>
      <c r="I121" s="23"/>
      <c r="J121" s="24"/>
      <c r="M121" s="4"/>
      <c r="N121" s="76"/>
      <c r="O121" s="76"/>
      <c r="P121" s="76" t="str">
        <f t="shared" si="18"/>
        <v>,shikkan103_start_date</v>
      </c>
      <c r="Q121" s="76" t="str">
        <f t="shared" si="19"/>
        <v>DATE</v>
      </c>
      <c r="R121" s="76" t="str">
        <f t="shared" si="20"/>
        <v/>
      </c>
      <c r="S121" s="76" t="str">
        <f t="shared" si="21"/>
        <v/>
      </c>
      <c r="T121" s="76" t="str">
        <f t="shared" si="22"/>
        <v>-- C162_疾患開始日</v>
      </c>
      <c r="U121" s="4" t="str">
        <f t="shared" si="16"/>
        <v>, CASE WHEN shikkan_disp_name = 'C162' THEN min_shikkan_start_date ::DATE ELSE NULL END AS shikkan103_start_date</v>
      </c>
      <c r="V121" s="25" t="str">
        <f t="shared" si="17"/>
        <v>, max(shikkan103_start_date)</v>
      </c>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milscm_2023_009.sny_202310_annony_bef2.shikkan103_start_date IS 'C162_疾患開始日';</v>
      </c>
    </row>
    <row r="122" spans="1:45" s="25" customFormat="1">
      <c r="A122" s="4" t="s">
        <v>5260</v>
      </c>
      <c r="B122" s="21">
        <f t="shared" si="15"/>
        <v>110</v>
      </c>
      <c r="C122" s="13" t="s">
        <v>6650</v>
      </c>
      <c r="D122" s="13" t="s">
        <v>4872</v>
      </c>
      <c r="E122" s="8"/>
      <c r="F122" s="7" t="s">
        <v>4348</v>
      </c>
      <c r="G122" s="7" t="s">
        <v>25</v>
      </c>
      <c r="H122" s="58"/>
      <c r="I122" s="23"/>
      <c r="J122" s="24"/>
      <c r="M122" s="4"/>
      <c r="N122" s="76"/>
      <c r="O122" s="76"/>
      <c r="P122" s="76" t="str">
        <f t="shared" si="18"/>
        <v>,shikkan104_start_date</v>
      </c>
      <c r="Q122" s="76" t="str">
        <f t="shared" si="19"/>
        <v>DATE</v>
      </c>
      <c r="R122" s="76" t="str">
        <f t="shared" si="20"/>
        <v/>
      </c>
      <c r="S122" s="76" t="str">
        <f t="shared" si="21"/>
        <v/>
      </c>
      <c r="T122" s="76" t="str">
        <f t="shared" si="22"/>
        <v>-- C163_疾患開始日</v>
      </c>
      <c r="U122" s="4" t="str">
        <f t="shared" si="16"/>
        <v>, CASE WHEN shikkan_disp_name = 'C163' THEN min_shikkan_start_date ::DATE ELSE NULL END AS shikkan104_start_date</v>
      </c>
      <c r="V122" s="25" t="str">
        <f t="shared" si="17"/>
        <v>, max(shikkan104_start_date)</v>
      </c>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milscm_2023_009.sny_202310_annony_bef2.shikkan104_start_date IS 'C163_疾患開始日';</v>
      </c>
    </row>
    <row r="123" spans="1:45" s="25" customFormat="1">
      <c r="A123" s="4" t="s">
        <v>5261</v>
      </c>
      <c r="B123" s="21">
        <f t="shared" si="15"/>
        <v>111</v>
      </c>
      <c r="C123" s="13" t="s">
        <v>6651</v>
      </c>
      <c r="D123" s="13" t="s">
        <v>4873</v>
      </c>
      <c r="E123" s="8"/>
      <c r="F123" s="7" t="s">
        <v>4348</v>
      </c>
      <c r="G123" s="7" t="s">
        <v>25</v>
      </c>
      <c r="H123" s="58"/>
      <c r="I123" s="23"/>
      <c r="J123" s="24"/>
      <c r="M123" s="4"/>
      <c r="N123" s="76"/>
      <c r="O123" s="76"/>
      <c r="P123" s="76" t="str">
        <f t="shared" si="18"/>
        <v>,shikkan105_start_date</v>
      </c>
      <c r="Q123" s="76" t="str">
        <f t="shared" si="19"/>
        <v>DATE</v>
      </c>
      <c r="R123" s="76" t="str">
        <f t="shared" si="20"/>
        <v/>
      </c>
      <c r="S123" s="76" t="str">
        <f t="shared" si="21"/>
        <v/>
      </c>
      <c r="T123" s="76" t="str">
        <f t="shared" si="22"/>
        <v>-- C164_疾患開始日</v>
      </c>
      <c r="U123" s="4" t="str">
        <f t="shared" si="16"/>
        <v>, CASE WHEN shikkan_disp_name = 'C164' THEN min_shikkan_start_date ::DATE ELSE NULL END AS shikkan105_start_date</v>
      </c>
      <c r="V123" s="25" t="str">
        <f t="shared" si="17"/>
        <v>, max(shikkan105_start_date)</v>
      </c>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milscm_2023_009.sny_202310_annony_bef2.shikkan105_start_date IS 'C164_疾患開始日';</v>
      </c>
    </row>
    <row r="124" spans="1:45" s="25" customFormat="1">
      <c r="A124" s="4" t="s">
        <v>5262</v>
      </c>
      <c r="B124" s="21">
        <f t="shared" si="15"/>
        <v>112</v>
      </c>
      <c r="C124" s="13" t="s">
        <v>6652</v>
      </c>
      <c r="D124" s="13" t="s">
        <v>4874</v>
      </c>
      <c r="E124" s="8"/>
      <c r="F124" s="7" t="s">
        <v>4348</v>
      </c>
      <c r="G124" s="7" t="s">
        <v>25</v>
      </c>
      <c r="H124" s="58"/>
      <c r="I124" s="23"/>
      <c r="J124" s="24"/>
      <c r="M124" s="4"/>
      <c r="N124" s="76"/>
      <c r="O124" s="76"/>
      <c r="P124" s="76" t="str">
        <f t="shared" si="18"/>
        <v>,shikkan106_start_date</v>
      </c>
      <c r="Q124" s="76" t="str">
        <f t="shared" si="19"/>
        <v>DATE</v>
      </c>
      <c r="R124" s="76" t="str">
        <f t="shared" si="20"/>
        <v/>
      </c>
      <c r="S124" s="76" t="str">
        <f t="shared" si="21"/>
        <v/>
      </c>
      <c r="T124" s="76" t="str">
        <f t="shared" si="22"/>
        <v>-- C165_疾患開始日</v>
      </c>
      <c r="U124" s="4" t="str">
        <f t="shared" si="16"/>
        <v>, CASE WHEN shikkan_disp_name = 'C165' THEN min_shikkan_start_date ::DATE ELSE NULL END AS shikkan106_start_date</v>
      </c>
      <c r="V124" s="25" t="str">
        <f t="shared" si="17"/>
        <v>, max(shikkan106_start_date)</v>
      </c>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milscm_2023_009.sny_202310_annony_bef2.shikkan106_start_date IS 'C165_疾患開始日';</v>
      </c>
    </row>
    <row r="125" spans="1:45" s="25" customFormat="1">
      <c r="A125" s="4" t="s">
        <v>5263</v>
      </c>
      <c r="B125" s="21">
        <f t="shared" si="15"/>
        <v>113</v>
      </c>
      <c r="C125" s="13" t="s">
        <v>6653</v>
      </c>
      <c r="D125" s="13" t="s">
        <v>4875</v>
      </c>
      <c r="E125" s="8"/>
      <c r="F125" s="7" t="s">
        <v>4348</v>
      </c>
      <c r="G125" s="7" t="s">
        <v>25</v>
      </c>
      <c r="H125" s="58"/>
      <c r="I125" s="23"/>
      <c r="J125" s="24"/>
      <c r="M125" s="4"/>
      <c r="N125" s="76"/>
      <c r="O125" s="76"/>
      <c r="P125" s="76" t="str">
        <f t="shared" si="18"/>
        <v>,shikkan107_start_date</v>
      </c>
      <c r="Q125" s="76" t="str">
        <f t="shared" si="19"/>
        <v>DATE</v>
      </c>
      <c r="R125" s="76" t="str">
        <f t="shared" si="20"/>
        <v/>
      </c>
      <c r="S125" s="76" t="str">
        <f t="shared" si="21"/>
        <v/>
      </c>
      <c r="T125" s="76" t="str">
        <f t="shared" si="22"/>
        <v>-- C166_疾患開始日</v>
      </c>
      <c r="U125" s="4" t="str">
        <f t="shared" si="16"/>
        <v>, CASE WHEN shikkan_disp_name = 'C166' THEN min_shikkan_start_date ::DATE ELSE NULL END AS shikkan107_start_date</v>
      </c>
      <c r="V125" s="25" t="str">
        <f t="shared" si="17"/>
        <v>, max(shikkan107_start_date)</v>
      </c>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milscm_2023_009.sny_202310_annony_bef2.shikkan107_start_date IS 'C166_疾患開始日';</v>
      </c>
    </row>
    <row r="126" spans="1:45" s="25" customFormat="1">
      <c r="A126" s="4" t="s">
        <v>5264</v>
      </c>
      <c r="B126" s="21">
        <f t="shared" si="15"/>
        <v>114</v>
      </c>
      <c r="C126" s="13" t="s">
        <v>6654</v>
      </c>
      <c r="D126" s="13" t="s">
        <v>4876</v>
      </c>
      <c r="E126" s="8"/>
      <c r="F126" s="7" t="s">
        <v>4348</v>
      </c>
      <c r="G126" s="7" t="s">
        <v>25</v>
      </c>
      <c r="H126" s="58"/>
      <c r="I126" s="23"/>
      <c r="J126" s="24"/>
      <c r="M126" s="4"/>
      <c r="N126" s="76"/>
      <c r="O126" s="76"/>
      <c r="P126" s="76" t="str">
        <f t="shared" si="18"/>
        <v>,shikkan108_start_date</v>
      </c>
      <c r="Q126" s="76" t="str">
        <f t="shared" si="19"/>
        <v>DATE</v>
      </c>
      <c r="R126" s="76" t="str">
        <f t="shared" si="20"/>
        <v/>
      </c>
      <c r="S126" s="76" t="str">
        <f t="shared" si="21"/>
        <v/>
      </c>
      <c r="T126" s="76" t="str">
        <f t="shared" si="22"/>
        <v>-- C168_疾患開始日</v>
      </c>
      <c r="U126" s="4" t="str">
        <f t="shared" si="16"/>
        <v>, CASE WHEN shikkan_disp_name = 'C168' THEN min_shikkan_start_date ::DATE ELSE NULL END AS shikkan108_start_date</v>
      </c>
      <c r="V126" s="25" t="str">
        <f t="shared" si="17"/>
        <v>, max(shikkan108_start_date)</v>
      </c>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milscm_2023_009.sny_202310_annony_bef2.shikkan108_start_date IS 'C168_疾患開始日';</v>
      </c>
    </row>
    <row r="127" spans="1:45" s="25" customFormat="1">
      <c r="A127" s="4" t="s">
        <v>5265</v>
      </c>
      <c r="B127" s="21">
        <f t="shared" si="15"/>
        <v>115</v>
      </c>
      <c r="C127" s="13" t="s">
        <v>6655</v>
      </c>
      <c r="D127" s="13" t="s">
        <v>4877</v>
      </c>
      <c r="E127" s="8"/>
      <c r="F127" s="7" t="s">
        <v>4348</v>
      </c>
      <c r="G127" s="7" t="s">
        <v>25</v>
      </c>
      <c r="H127" s="58"/>
      <c r="I127" s="23"/>
      <c r="J127" s="24"/>
      <c r="M127" s="4"/>
      <c r="N127" s="76"/>
      <c r="O127" s="76"/>
      <c r="P127" s="76" t="str">
        <f t="shared" si="18"/>
        <v>,shikkan109_start_date</v>
      </c>
      <c r="Q127" s="76" t="str">
        <f t="shared" si="19"/>
        <v>DATE</v>
      </c>
      <c r="R127" s="76" t="str">
        <f t="shared" si="20"/>
        <v/>
      </c>
      <c r="S127" s="76" t="str">
        <f t="shared" si="21"/>
        <v/>
      </c>
      <c r="T127" s="76" t="str">
        <f t="shared" si="22"/>
        <v>-- C169_疾患開始日</v>
      </c>
      <c r="U127" s="4" t="str">
        <f t="shared" si="16"/>
        <v>, CASE WHEN shikkan_disp_name = 'C169' THEN min_shikkan_start_date ::DATE ELSE NULL END AS shikkan109_start_date</v>
      </c>
      <c r="V127" s="25" t="str">
        <f t="shared" si="17"/>
        <v>, max(shikkan109_start_date)</v>
      </c>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milscm_2023_009.sny_202310_annony_bef2.shikkan109_start_date IS 'C169_疾患開始日';</v>
      </c>
    </row>
    <row r="128" spans="1:45" s="25" customFormat="1">
      <c r="A128" s="4" t="s">
        <v>5266</v>
      </c>
      <c r="B128" s="21">
        <f t="shared" si="15"/>
        <v>116</v>
      </c>
      <c r="C128" s="13" t="s">
        <v>6656</v>
      </c>
      <c r="D128" s="13" t="s">
        <v>4878</v>
      </c>
      <c r="E128" s="8"/>
      <c r="F128" s="7" t="s">
        <v>4348</v>
      </c>
      <c r="G128" s="7" t="s">
        <v>25</v>
      </c>
      <c r="H128" s="58"/>
      <c r="I128" s="23"/>
      <c r="J128" s="24"/>
      <c r="M128" s="4"/>
      <c r="N128" s="76"/>
      <c r="O128" s="76"/>
      <c r="P128" s="76" t="str">
        <f t="shared" si="18"/>
        <v>,shikkan110_start_date</v>
      </c>
      <c r="Q128" s="76" t="str">
        <f t="shared" si="19"/>
        <v>DATE</v>
      </c>
      <c r="R128" s="76" t="str">
        <f t="shared" si="20"/>
        <v/>
      </c>
      <c r="S128" s="76" t="str">
        <f t="shared" si="21"/>
        <v/>
      </c>
      <c r="T128" s="76" t="str">
        <f t="shared" si="22"/>
        <v>-- C170_疾患開始日</v>
      </c>
      <c r="U128" s="4" t="str">
        <f t="shared" si="16"/>
        <v>, CASE WHEN shikkan_disp_name = 'C170' THEN min_shikkan_start_date ::DATE ELSE NULL END AS shikkan110_start_date</v>
      </c>
      <c r="V128" s="25" t="str">
        <f t="shared" si="17"/>
        <v>, max(shikkan110_start_date)</v>
      </c>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milscm_2023_009.sny_202310_annony_bef2.shikkan110_start_date IS 'C170_疾患開始日';</v>
      </c>
    </row>
    <row r="129" spans="1:45" s="25" customFormat="1">
      <c r="A129" s="4" t="s">
        <v>5267</v>
      </c>
      <c r="B129" s="21">
        <f t="shared" si="15"/>
        <v>117</v>
      </c>
      <c r="C129" s="13" t="s">
        <v>6657</v>
      </c>
      <c r="D129" s="13" t="s">
        <v>4879</v>
      </c>
      <c r="E129" s="8"/>
      <c r="F129" s="7" t="s">
        <v>4348</v>
      </c>
      <c r="G129" s="7" t="s">
        <v>25</v>
      </c>
      <c r="H129" s="58"/>
      <c r="I129" s="23"/>
      <c r="J129" s="24"/>
      <c r="M129" s="4"/>
      <c r="N129" s="76"/>
      <c r="O129" s="76"/>
      <c r="P129" s="76" t="str">
        <f t="shared" si="18"/>
        <v>,shikkan111_start_date</v>
      </c>
      <c r="Q129" s="76" t="str">
        <f t="shared" si="19"/>
        <v>DATE</v>
      </c>
      <c r="R129" s="76" t="str">
        <f t="shared" si="20"/>
        <v/>
      </c>
      <c r="S129" s="76" t="str">
        <f t="shared" si="21"/>
        <v/>
      </c>
      <c r="T129" s="76" t="str">
        <f t="shared" si="22"/>
        <v>-- C171_疾患開始日</v>
      </c>
      <c r="U129" s="4" t="str">
        <f t="shared" si="16"/>
        <v>, CASE WHEN shikkan_disp_name = 'C171' THEN min_shikkan_start_date ::DATE ELSE NULL END AS shikkan111_start_date</v>
      </c>
      <c r="V129" s="25" t="str">
        <f t="shared" si="17"/>
        <v>, max(shikkan111_start_date)</v>
      </c>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milscm_2023_009.sny_202310_annony_bef2.shikkan111_start_date IS 'C171_疾患開始日';</v>
      </c>
    </row>
    <row r="130" spans="1:45" s="25" customFormat="1">
      <c r="A130" s="4" t="s">
        <v>5268</v>
      </c>
      <c r="B130" s="21">
        <f t="shared" si="15"/>
        <v>118</v>
      </c>
      <c r="C130" s="13" t="s">
        <v>6658</v>
      </c>
      <c r="D130" s="13" t="s">
        <v>4880</v>
      </c>
      <c r="E130" s="8"/>
      <c r="F130" s="7" t="s">
        <v>4348</v>
      </c>
      <c r="G130" s="7" t="s">
        <v>25</v>
      </c>
      <c r="H130" s="58"/>
      <c r="I130" s="23"/>
      <c r="J130" s="24"/>
      <c r="M130" s="4"/>
      <c r="N130" s="76"/>
      <c r="O130" s="76"/>
      <c r="P130" s="76" t="str">
        <f t="shared" si="18"/>
        <v>,shikkan112_start_date</v>
      </c>
      <c r="Q130" s="76" t="str">
        <f t="shared" si="19"/>
        <v>DATE</v>
      </c>
      <c r="R130" s="76" t="str">
        <f t="shared" si="20"/>
        <v/>
      </c>
      <c r="S130" s="76" t="str">
        <f t="shared" si="21"/>
        <v/>
      </c>
      <c r="T130" s="76" t="str">
        <f t="shared" si="22"/>
        <v>-- C172_疾患開始日</v>
      </c>
      <c r="U130" s="4" t="str">
        <f t="shared" si="16"/>
        <v>, CASE WHEN shikkan_disp_name = 'C172' THEN min_shikkan_start_date ::DATE ELSE NULL END AS shikkan112_start_date</v>
      </c>
      <c r="V130" s="25" t="str">
        <f t="shared" si="17"/>
        <v>, max(shikkan112_start_date)</v>
      </c>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milscm_2023_009.sny_202310_annony_bef2.shikkan112_start_date IS 'C172_疾患開始日';</v>
      </c>
    </row>
    <row r="131" spans="1:45" s="25" customFormat="1">
      <c r="A131" s="4" t="s">
        <v>5269</v>
      </c>
      <c r="B131" s="21">
        <f t="shared" si="15"/>
        <v>119</v>
      </c>
      <c r="C131" s="13" t="s">
        <v>6659</v>
      </c>
      <c r="D131" s="13" t="s">
        <v>4881</v>
      </c>
      <c r="E131" s="8"/>
      <c r="F131" s="7" t="s">
        <v>4348</v>
      </c>
      <c r="G131" s="7" t="s">
        <v>99</v>
      </c>
      <c r="H131" s="58"/>
      <c r="I131" s="23"/>
      <c r="J131" s="24"/>
      <c r="M131" s="4"/>
      <c r="N131" s="76"/>
      <c r="O131" s="76"/>
      <c r="P131" s="76" t="str">
        <f t="shared" si="18"/>
        <v>,shikkan113_start_date</v>
      </c>
      <c r="Q131" s="76" t="str">
        <f t="shared" si="19"/>
        <v>DATE</v>
      </c>
      <c r="R131" s="76" t="str">
        <f t="shared" si="20"/>
        <v/>
      </c>
      <c r="S131" s="76" t="str">
        <f t="shared" si="21"/>
        <v/>
      </c>
      <c r="T131" s="76" t="str">
        <f t="shared" si="22"/>
        <v>-- C173_疾患開始日</v>
      </c>
      <c r="U131" s="4" t="str">
        <f t="shared" si="16"/>
        <v>, CASE WHEN shikkan_disp_name = 'C173' THEN min_shikkan_start_date ::DATE ELSE NULL END AS shikkan113_start_date</v>
      </c>
      <c r="V131" s="25" t="str">
        <f t="shared" si="17"/>
        <v>, max(shikkan113_start_date)</v>
      </c>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milscm_2023_009.sny_202310_annony_bef2.shikkan113_start_date IS 'C173_疾患開始日';</v>
      </c>
    </row>
    <row r="132" spans="1:45" s="25" customFormat="1">
      <c r="A132" s="4" t="s">
        <v>5270</v>
      </c>
      <c r="B132" s="21">
        <f t="shared" si="15"/>
        <v>120</v>
      </c>
      <c r="C132" s="13" t="s">
        <v>6660</v>
      </c>
      <c r="D132" s="13" t="s">
        <v>4882</v>
      </c>
      <c r="E132" s="8"/>
      <c r="F132" s="7" t="s">
        <v>4348</v>
      </c>
      <c r="G132" s="7" t="s">
        <v>25</v>
      </c>
      <c r="H132" s="58"/>
      <c r="I132" s="23"/>
      <c r="J132" s="24"/>
      <c r="M132" s="4"/>
      <c r="N132" s="76"/>
      <c r="O132" s="76"/>
      <c r="P132" s="76" t="str">
        <f t="shared" si="18"/>
        <v>,shikkan114_start_date</v>
      </c>
      <c r="Q132" s="76" t="str">
        <f t="shared" si="19"/>
        <v>DATE</v>
      </c>
      <c r="R132" s="76" t="str">
        <f t="shared" si="20"/>
        <v/>
      </c>
      <c r="S132" s="76" t="str">
        <f t="shared" si="21"/>
        <v/>
      </c>
      <c r="T132" s="76" t="str">
        <f t="shared" si="22"/>
        <v>-- C178_疾患開始日</v>
      </c>
      <c r="U132" s="4" t="str">
        <f t="shared" si="16"/>
        <v>, CASE WHEN shikkan_disp_name = 'C178' THEN min_shikkan_start_date ::DATE ELSE NULL END AS shikkan114_start_date</v>
      </c>
      <c r="V132" s="25" t="str">
        <f t="shared" si="17"/>
        <v>, max(shikkan114_start_date)</v>
      </c>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milscm_2023_009.sny_202310_annony_bef2.shikkan114_start_date IS 'C178_疾患開始日';</v>
      </c>
    </row>
    <row r="133" spans="1:45" s="25" customFormat="1">
      <c r="A133" s="4" t="s">
        <v>5271</v>
      </c>
      <c r="B133" s="21">
        <f t="shared" si="15"/>
        <v>121</v>
      </c>
      <c r="C133" s="13" t="s">
        <v>6661</v>
      </c>
      <c r="D133" s="13" t="s">
        <v>4883</v>
      </c>
      <c r="E133" s="8"/>
      <c r="F133" s="7" t="s">
        <v>4348</v>
      </c>
      <c r="G133" s="7" t="s">
        <v>25</v>
      </c>
      <c r="H133" s="58"/>
      <c r="I133" s="23"/>
      <c r="J133" s="24"/>
      <c r="M133" s="4"/>
      <c r="N133" s="76"/>
      <c r="O133" s="76"/>
      <c r="P133" s="76" t="str">
        <f t="shared" si="18"/>
        <v>,shikkan115_start_date</v>
      </c>
      <c r="Q133" s="76" t="str">
        <f t="shared" si="19"/>
        <v>DATE</v>
      </c>
      <c r="R133" s="76" t="str">
        <f t="shared" si="20"/>
        <v/>
      </c>
      <c r="S133" s="76" t="str">
        <f t="shared" si="21"/>
        <v/>
      </c>
      <c r="T133" s="76" t="str">
        <f t="shared" si="22"/>
        <v>-- C179_疾患開始日</v>
      </c>
      <c r="U133" s="4" t="str">
        <f t="shared" si="16"/>
        <v>, CASE WHEN shikkan_disp_name = 'C179' THEN min_shikkan_start_date ::DATE ELSE NULL END AS shikkan115_start_date</v>
      </c>
      <c r="V133" s="25" t="str">
        <f t="shared" si="17"/>
        <v>, max(shikkan115_start_date)</v>
      </c>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milscm_2023_009.sny_202310_annony_bef2.shikkan115_start_date IS 'C179_疾患開始日';</v>
      </c>
    </row>
    <row r="134" spans="1:45" s="25" customFormat="1">
      <c r="A134" s="4" t="s">
        <v>5272</v>
      </c>
      <c r="B134" s="21">
        <f t="shared" si="15"/>
        <v>122</v>
      </c>
      <c r="C134" s="13" t="s">
        <v>6662</v>
      </c>
      <c r="D134" s="13" t="s">
        <v>4884</v>
      </c>
      <c r="E134" s="8"/>
      <c r="F134" s="7" t="s">
        <v>4348</v>
      </c>
      <c r="G134" s="7" t="s">
        <v>25</v>
      </c>
      <c r="H134" s="58"/>
      <c r="I134" s="23"/>
      <c r="J134" s="24"/>
      <c r="M134" s="4"/>
      <c r="N134" s="76"/>
      <c r="O134" s="76"/>
      <c r="P134" s="76" t="str">
        <f t="shared" si="18"/>
        <v>,shikkan116_start_date</v>
      </c>
      <c r="Q134" s="76" t="str">
        <f t="shared" si="19"/>
        <v>DATE</v>
      </c>
      <c r="R134" s="76" t="str">
        <f t="shared" si="20"/>
        <v/>
      </c>
      <c r="S134" s="76" t="str">
        <f t="shared" si="21"/>
        <v/>
      </c>
      <c r="T134" s="76" t="str">
        <f t="shared" si="22"/>
        <v>-- C180_疾患開始日</v>
      </c>
      <c r="U134" s="4" t="str">
        <f t="shared" si="16"/>
        <v>, CASE WHEN shikkan_disp_name = 'C180' THEN min_shikkan_start_date ::DATE ELSE NULL END AS shikkan116_start_date</v>
      </c>
      <c r="V134" s="25" t="str">
        <f t="shared" si="17"/>
        <v>, max(shikkan116_start_date)</v>
      </c>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milscm_2023_009.sny_202310_annony_bef2.shikkan116_start_date IS 'C180_疾患開始日';</v>
      </c>
    </row>
    <row r="135" spans="1:45" s="25" customFormat="1">
      <c r="A135" s="4" t="s">
        <v>5273</v>
      </c>
      <c r="B135" s="21">
        <f t="shared" si="15"/>
        <v>123</v>
      </c>
      <c r="C135" s="13" t="s">
        <v>6663</v>
      </c>
      <c r="D135" s="13" t="s">
        <v>4885</v>
      </c>
      <c r="E135" s="8"/>
      <c r="F135" s="7" t="s">
        <v>4348</v>
      </c>
      <c r="G135" s="7" t="s">
        <v>25</v>
      </c>
      <c r="H135" s="58"/>
      <c r="I135" s="23"/>
      <c r="J135" s="24"/>
      <c r="M135" s="4"/>
      <c r="N135" s="76"/>
      <c r="O135" s="76"/>
      <c r="P135" s="76" t="str">
        <f t="shared" si="18"/>
        <v>,shikkan117_start_date</v>
      </c>
      <c r="Q135" s="76" t="str">
        <f t="shared" si="19"/>
        <v>DATE</v>
      </c>
      <c r="R135" s="76" t="str">
        <f t="shared" si="20"/>
        <v/>
      </c>
      <c r="S135" s="76" t="str">
        <f t="shared" si="21"/>
        <v/>
      </c>
      <c r="T135" s="76" t="str">
        <f t="shared" si="22"/>
        <v>-- C181_疾患開始日</v>
      </c>
      <c r="U135" s="4" t="str">
        <f t="shared" si="16"/>
        <v>, CASE WHEN shikkan_disp_name = 'C181' THEN min_shikkan_start_date ::DATE ELSE NULL END AS shikkan117_start_date</v>
      </c>
      <c r="V135" s="25" t="str">
        <f t="shared" si="17"/>
        <v>, max(shikkan117_start_date)</v>
      </c>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milscm_2023_009.sny_202310_annony_bef2.shikkan117_start_date IS 'C181_疾患開始日';</v>
      </c>
    </row>
    <row r="136" spans="1:45" s="25" customFormat="1">
      <c r="A136" s="4" t="s">
        <v>5274</v>
      </c>
      <c r="B136" s="21">
        <f t="shared" si="15"/>
        <v>124</v>
      </c>
      <c r="C136" s="13" t="s">
        <v>6664</v>
      </c>
      <c r="D136" s="13" t="s">
        <v>4886</v>
      </c>
      <c r="E136" s="8"/>
      <c r="F136" s="7" t="s">
        <v>4348</v>
      </c>
      <c r="G136" s="7" t="s">
        <v>25</v>
      </c>
      <c r="H136" s="58"/>
      <c r="I136" s="23"/>
      <c r="J136" s="24"/>
      <c r="M136" s="4"/>
      <c r="N136" s="76"/>
      <c r="O136" s="76"/>
      <c r="P136" s="76" t="str">
        <f t="shared" si="18"/>
        <v>,shikkan118_start_date</v>
      </c>
      <c r="Q136" s="76" t="str">
        <f t="shared" si="19"/>
        <v>DATE</v>
      </c>
      <c r="R136" s="76" t="str">
        <f t="shared" si="20"/>
        <v/>
      </c>
      <c r="S136" s="76" t="str">
        <f t="shared" si="21"/>
        <v/>
      </c>
      <c r="T136" s="76" t="str">
        <f t="shared" si="22"/>
        <v>-- C182_疾患開始日</v>
      </c>
      <c r="U136" s="4" t="str">
        <f t="shared" si="16"/>
        <v>, CASE WHEN shikkan_disp_name = 'C182' THEN min_shikkan_start_date ::DATE ELSE NULL END AS shikkan118_start_date</v>
      </c>
      <c r="V136" s="25" t="str">
        <f t="shared" si="17"/>
        <v>, max(shikkan118_start_date)</v>
      </c>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milscm_2023_009.sny_202310_annony_bef2.shikkan118_start_date IS 'C182_疾患開始日';</v>
      </c>
    </row>
    <row r="137" spans="1:45" s="25" customFormat="1">
      <c r="A137" s="4" t="s">
        <v>5275</v>
      </c>
      <c r="B137" s="21">
        <f t="shared" si="15"/>
        <v>125</v>
      </c>
      <c r="C137" s="13" t="s">
        <v>6665</v>
      </c>
      <c r="D137" s="13" t="s">
        <v>4887</v>
      </c>
      <c r="E137" s="8"/>
      <c r="F137" s="7" t="s">
        <v>4348</v>
      </c>
      <c r="G137" s="7" t="s">
        <v>25</v>
      </c>
      <c r="H137" s="58"/>
      <c r="I137" s="23"/>
      <c r="J137" s="24"/>
      <c r="M137" s="4"/>
      <c r="N137" s="76"/>
      <c r="O137" s="76"/>
      <c r="P137" s="76" t="str">
        <f t="shared" si="18"/>
        <v>,shikkan119_start_date</v>
      </c>
      <c r="Q137" s="76" t="str">
        <f t="shared" si="19"/>
        <v>DATE</v>
      </c>
      <c r="R137" s="76" t="str">
        <f t="shared" si="20"/>
        <v/>
      </c>
      <c r="S137" s="76" t="str">
        <f t="shared" si="21"/>
        <v/>
      </c>
      <c r="T137" s="76" t="str">
        <f t="shared" si="22"/>
        <v>-- C183_疾患開始日</v>
      </c>
      <c r="U137" s="4" t="str">
        <f t="shared" si="16"/>
        <v>, CASE WHEN shikkan_disp_name = 'C183' THEN min_shikkan_start_date ::DATE ELSE NULL END AS shikkan119_start_date</v>
      </c>
      <c r="V137" s="25" t="str">
        <f t="shared" si="17"/>
        <v>, max(shikkan119_start_date)</v>
      </c>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milscm_2023_009.sny_202310_annony_bef2.shikkan119_start_date IS 'C183_疾患開始日';</v>
      </c>
    </row>
    <row r="138" spans="1:45" s="25" customFormat="1">
      <c r="A138" s="4" t="s">
        <v>5276</v>
      </c>
      <c r="B138" s="21">
        <f t="shared" si="15"/>
        <v>126</v>
      </c>
      <c r="C138" s="13" t="s">
        <v>6666</v>
      </c>
      <c r="D138" s="13" t="s">
        <v>4888</v>
      </c>
      <c r="E138" s="8"/>
      <c r="F138" s="7" t="s">
        <v>4348</v>
      </c>
      <c r="G138" s="7" t="s">
        <v>25</v>
      </c>
      <c r="H138" s="58"/>
      <c r="I138" s="23"/>
      <c r="J138" s="24"/>
      <c r="M138" s="4"/>
      <c r="N138" s="76"/>
      <c r="O138" s="76"/>
      <c r="P138" s="76" t="str">
        <f t="shared" si="18"/>
        <v>,shikkan120_start_date</v>
      </c>
      <c r="Q138" s="76" t="str">
        <f t="shared" si="19"/>
        <v>DATE</v>
      </c>
      <c r="R138" s="76" t="str">
        <f t="shared" si="20"/>
        <v/>
      </c>
      <c r="S138" s="76" t="str">
        <f t="shared" si="21"/>
        <v/>
      </c>
      <c r="T138" s="76" t="str">
        <f t="shared" si="22"/>
        <v>-- C184_疾患開始日</v>
      </c>
      <c r="U138" s="4" t="str">
        <f t="shared" si="16"/>
        <v>, CASE WHEN shikkan_disp_name = 'C184' THEN min_shikkan_start_date ::DATE ELSE NULL END AS shikkan120_start_date</v>
      </c>
      <c r="V138" s="25" t="str">
        <f t="shared" si="17"/>
        <v>, max(shikkan120_start_date)</v>
      </c>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milscm_2023_009.sny_202310_annony_bef2.shikkan120_start_date IS 'C184_疾患開始日';</v>
      </c>
    </row>
    <row r="139" spans="1:45" s="25" customFormat="1">
      <c r="A139" s="4" t="s">
        <v>5277</v>
      </c>
      <c r="B139" s="21">
        <f t="shared" si="15"/>
        <v>127</v>
      </c>
      <c r="C139" s="13" t="s">
        <v>6667</v>
      </c>
      <c r="D139" s="13" t="s">
        <v>4889</v>
      </c>
      <c r="E139" s="8"/>
      <c r="F139" s="7" t="s">
        <v>4348</v>
      </c>
      <c r="G139" s="7" t="s">
        <v>25</v>
      </c>
      <c r="H139" s="58"/>
      <c r="I139" s="23"/>
      <c r="J139" s="24"/>
      <c r="M139" s="4"/>
      <c r="N139" s="76"/>
      <c r="O139" s="76"/>
      <c r="P139" s="76" t="str">
        <f t="shared" si="18"/>
        <v>,shikkan121_start_date</v>
      </c>
      <c r="Q139" s="76" t="str">
        <f t="shared" si="19"/>
        <v>DATE</v>
      </c>
      <c r="R139" s="76" t="str">
        <f t="shared" si="20"/>
        <v/>
      </c>
      <c r="S139" s="76" t="str">
        <f t="shared" si="21"/>
        <v/>
      </c>
      <c r="T139" s="76" t="str">
        <f t="shared" si="22"/>
        <v>-- C185_疾患開始日</v>
      </c>
      <c r="U139" s="4" t="str">
        <f t="shared" si="16"/>
        <v>, CASE WHEN shikkan_disp_name = 'C185' THEN min_shikkan_start_date ::DATE ELSE NULL END AS shikkan121_start_date</v>
      </c>
      <c r="V139" s="25" t="str">
        <f t="shared" si="17"/>
        <v>, max(shikkan121_start_date)</v>
      </c>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milscm_2023_009.sny_202310_annony_bef2.shikkan121_start_date IS 'C185_疾患開始日';</v>
      </c>
    </row>
    <row r="140" spans="1:45" s="25" customFormat="1">
      <c r="A140" s="4" t="s">
        <v>5278</v>
      </c>
      <c r="B140" s="21">
        <f t="shared" si="15"/>
        <v>128</v>
      </c>
      <c r="C140" s="13" t="s">
        <v>6668</v>
      </c>
      <c r="D140" s="13" t="s">
        <v>4890</v>
      </c>
      <c r="E140" s="8"/>
      <c r="F140" s="7" t="s">
        <v>4348</v>
      </c>
      <c r="G140" s="7" t="s">
        <v>25</v>
      </c>
      <c r="H140" s="58"/>
      <c r="I140" s="23"/>
      <c r="J140" s="24"/>
      <c r="M140" s="4"/>
      <c r="N140" s="76"/>
      <c r="O140" s="76"/>
      <c r="P140" s="76" t="str">
        <f t="shared" si="18"/>
        <v>,shikkan122_start_date</v>
      </c>
      <c r="Q140" s="76" t="str">
        <f t="shared" si="19"/>
        <v>DATE</v>
      </c>
      <c r="R140" s="76" t="str">
        <f t="shared" si="20"/>
        <v/>
      </c>
      <c r="S140" s="76" t="str">
        <f t="shared" si="21"/>
        <v/>
      </c>
      <c r="T140" s="76" t="str">
        <f t="shared" si="22"/>
        <v>-- C186_疾患開始日</v>
      </c>
      <c r="U140" s="4" t="str">
        <f t="shared" si="16"/>
        <v>, CASE WHEN shikkan_disp_name = 'C186' THEN min_shikkan_start_date ::DATE ELSE NULL END AS shikkan122_start_date</v>
      </c>
      <c r="V140" s="25" t="str">
        <f t="shared" si="17"/>
        <v>, max(shikkan122_start_date)</v>
      </c>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milscm_2023_009.sny_202310_annony_bef2.shikkan122_start_date IS 'C186_疾患開始日';</v>
      </c>
    </row>
    <row r="141" spans="1:45" s="25" customFormat="1">
      <c r="A141" s="4" t="s">
        <v>5279</v>
      </c>
      <c r="B141" s="21">
        <f t="shared" si="15"/>
        <v>129</v>
      </c>
      <c r="C141" s="13" t="s">
        <v>6669</v>
      </c>
      <c r="D141" s="13" t="s">
        <v>4891</v>
      </c>
      <c r="E141" s="8"/>
      <c r="F141" s="7" t="s">
        <v>4348</v>
      </c>
      <c r="G141" s="7" t="s">
        <v>25</v>
      </c>
      <c r="H141" s="58"/>
      <c r="I141" s="23"/>
      <c r="J141" s="24"/>
      <c r="M141" s="4"/>
      <c r="N141" s="76"/>
      <c r="O141" s="76"/>
      <c r="P141" s="76" t="str">
        <f t="shared" si="18"/>
        <v>,shikkan123_start_date</v>
      </c>
      <c r="Q141" s="76" t="str">
        <f t="shared" si="19"/>
        <v>DATE</v>
      </c>
      <c r="R141" s="76" t="str">
        <f t="shared" si="20"/>
        <v/>
      </c>
      <c r="S141" s="76" t="str">
        <f t="shared" si="21"/>
        <v/>
      </c>
      <c r="T141" s="76" t="str">
        <f t="shared" si="22"/>
        <v>-- C187_疾患開始日</v>
      </c>
      <c r="U141" s="4" t="str">
        <f t="shared" si="16"/>
        <v>, CASE WHEN shikkan_disp_name = 'C187' THEN min_shikkan_start_date ::DATE ELSE NULL END AS shikkan123_start_date</v>
      </c>
      <c r="V141" s="25" t="str">
        <f t="shared" si="17"/>
        <v>, max(shikkan123_start_date)</v>
      </c>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milscm_2023_009.sny_202310_annony_bef2.shikkan123_start_date IS 'C187_疾患開始日';</v>
      </c>
    </row>
    <row r="142" spans="1:45" s="25" customFormat="1">
      <c r="A142" s="4" t="s">
        <v>5280</v>
      </c>
      <c r="B142" s="21">
        <f t="shared" si="15"/>
        <v>130</v>
      </c>
      <c r="C142" s="13" t="s">
        <v>6670</v>
      </c>
      <c r="D142" s="13" t="s">
        <v>4892</v>
      </c>
      <c r="E142" s="8"/>
      <c r="F142" s="7" t="s">
        <v>4348</v>
      </c>
      <c r="G142" s="7" t="s">
        <v>25</v>
      </c>
      <c r="H142" s="58"/>
      <c r="I142" s="23"/>
      <c r="J142" s="24"/>
      <c r="M142" s="4"/>
      <c r="N142" s="76"/>
      <c r="O142" s="76"/>
      <c r="P142" s="76" t="str">
        <f t="shared" si="18"/>
        <v>,shikkan124_start_date</v>
      </c>
      <c r="Q142" s="76" t="str">
        <f t="shared" si="19"/>
        <v>DATE</v>
      </c>
      <c r="R142" s="76" t="str">
        <f t="shared" si="20"/>
        <v/>
      </c>
      <c r="S142" s="76" t="str">
        <f t="shared" si="21"/>
        <v/>
      </c>
      <c r="T142" s="76" t="str">
        <f t="shared" si="22"/>
        <v>-- C188_疾患開始日</v>
      </c>
      <c r="U142" s="4" t="str">
        <f t="shared" si="16"/>
        <v>, CASE WHEN shikkan_disp_name = 'C188' THEN min_shikkan_start_date ::DATE ELSE NULL END AS shikkan124_start_date</v>
      </c>
      <c r="V142" s="25" t="str">
        <f t="shared" si="17"/>
        <v>, max(shikkan124_start_date)</v>
      </c>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milscm_2023_009.sny_202310_annony_bef2.shikkan124_start_date IS 'C188_疾患開始日';</v>
      </c>
    </row>
    <row r="143" spans="1:45" s="25" customFormat="1">
      <c r="A143" s="4" t="s">
        <v>5281</v>
      </c>
      <c r="B143" s="21">
        <f t="shared" si="15"/>
        <v>131</v>
      </c>
      <c r="C143" s="13" t="s">
        <v>6671</v>
      </c>
      <c r="D143" s="13" t="s">
        <v>4893</v>
      </c>
      <c r="E143" s="8"/>
      <c r="F143" s="7" t="s">
        <v>4348</v>
      </c>
      <c r="G143" s="7" t="s">
        <v>25</v>
      </c>
      <c r="H143" s="58"/>
      <c r="I143" s="23"/>
      <c r="J143" s="24"/>
      <c r="M143" s="4"/>
      <c r="N143" s="76"/>
      <c r="O143" s="76"/>
      <c r="P143" s="76" t="str">
        <f t="shared" si="18"/>
        <v>,shikkan125_start_date</v>
      </c>
      <c r="Q143" s="76" t="str">
        <f t="shared" si="19"/>
        <v>DATE</v>
      </c>
      <c r="R143" s="76" t="str">
        <f t="shared" si="20"/>
        <v/>
      </c>
      <c r="S143" s="76" t="str">
        <f t="shared" si="21"/>
        <v/>
      </c>
      <c r="T143" s="76" t="str">
        <f t="shared" si="22"/>
        <v>-- C189_疾患開始日</v>
      </c>
      <c r="U143" s="4" t="str">
        <f t="shared" si="16"/>
        <v>, CASE WHEN shikkan_disp_name = 'C189' THEN min_shikkan_start_date ::DATE ELSE NULL END AS shikkan125_start_date</v>
      </c>
      <c r="V143" s="25" t="str">
        <f t="shared" si="17"/>
        <v>, max(shikkan125_start_date)</v>
      </c>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milscm_2023_009.sny_202310_annony_bef2.shikkan125_start_date IS 'C189_疾患開始日';</v>
      </c>
    </row>
    <row r="144" spans="1:45" s="25" customFormat="1">
      <c r="A144" s="4" t="s">
        <v>5143</v>
      </c>
      <c r="B144" s="21">
        <f t="shared" si="15"/>
        <v>132</v>
      </c>
      <c r="C144" s="13" t="s">
        <v>4753</v>
      </c>
      <c r="D144" s="13" t="s">
        <v>4894</v>
      </c>
      <c r="E144" s="8"/>
      <c r="F144" s="7" t="s">
        <v>4348</v>
      </c>
      <c r="G144" s="7" t="s">
        <v>25</v>
      </c>
      <c r="H144" s="58"/>
      <c r="I144" s="23"/>
      <c r="J144" s="24"/>
      <c r="M144" s="4"/>
      <c r="N144" s="76"/>
      <c r="O144" s="76"/>
      <c r="P144" s="76" t="str">
        <f t="shared" si="18"/>
        <v>,shikkan126_start_date</v>
      </c>
      <c r="Q144" s="76" t="str">
        <f t="shared" si="19"/>
        <v>DATE</v>
      </c>
      <c r="R144" s="76" t="str">
        <f t="shared" si="20"/>
        <v/>
      </c>
      <c r="S144" s="76" t="str">
        <f t="shared" si="21"/>
        <v/>
      </c>
      <c r="T144" s="76" t="str">
        <f t="shared" si="22"/>
        <v>-- C19_疾患開始日</v>
      </c>
      <c r="U144" s="4" t="str">
        <f t="shared" si="16"/>
        <v>, CASE WHEN shikkan_disp_name = 'C19' THEN min_shikkan_start_date ::DATE ELSE NULL END AS shikkan126_start_date</v>
      </c>
      <c r="V144" s="25" t="str">
        <f t="shared" si="17"/>
        <v>, max(shikkan126_start_date)</v>
      </c>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milscm_2023_009.sny_202310_annony_bef2.shikkan126_start_date IS 'C19_疾患開始日';</v>
      </c>
    </row>
    <row r="145" spans="1:45" s="25" customFormat="1">
      <c r="A145" s="4" t="s">
        <v>5144</v>
      </c>
      <c r="B145" s="21">
        <f t="shared" si="15"/>
        <v>133</v>
      </c>
      <c r="C145" s="13" t="s">
        <v>4754</v>
      </c>
      <c r="D145" s="13" t="s">
        <v>4895</v>
      </c>
      <c r="E145" s="8"/>
      <c r="F145" s="7" t="s">
        <v>4348</v>
      </c>
      <c r="G145" s="7" t="s">
        <v>25</v>
      </c>
      <c r="H145" s="58"/>
      <c r="I145" s="23"/>
      <c r="J145" s="24"/>
      <c r="M145" s="4"/>
      <c r="N145" s="76"/>
      <c r="O145" s="76"/>
      <c r="P145" s="76" t="str">
        <f t="shared" si="18"/>
        <v>,shikkan127_start_date</v>
      </c>
      <c r="Q145" s="76" t="str">
        <f t="shared" si="19"/>
        <v>DATE</v>
      </c>
      <c r="R145" s="76" t="str">
        <f t="shared" si="20"/>
        <v/>
      </c>
      <c r="S145" s="76" t="str">
        <f t="shared" si="21"/>
        <v/>
      </c>
      <c r="T145" s="76" t="str">
        <f t="shared" si="22"/>
        <v>-- C20_疾患開始日</v>
      </c>
      <c r="U145" s="4" t="str">
        <f t="shared" si="16"/>
        <v>, CASE WHEN shikkan_disp_name = 'C20' THEN min_shikkan_start_date ::DATE ELSE NULL END AS shikkan127_start_date</v>
      </c>
      <c r="V145" s="25" t="str">
        <f t="shared" si="17"/>
        <v>, max(shikkan127_start_date)</v>
      </c>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milscm_2023_009.sny_202310_annony_bef2.shikkan127_start_date IS 'C20_疾患開始日';</v>
      </c>
    </row>
    <row r="146" spans="1:45" s="25" customFormat="1">
      <c r="A146" s="4" t="s">
        <v>5282</v>
      </c>
      <c r="B146" s="21">
        <f t="shared" si="15"/>
        <v>134</v>
      </c>
      <c r="C146" s="13" t="s">
        <v>6672</v>
      </c>
      <c r="D146" s="13" t="s">
        <v>4896</v>
      </c>
      <c r="E146" s="8"/>
      <c r="F146" s="7" t="s">
        <v>4348</v>
      </c>
      <c r="G146" s="7" t="s">
        <v>25</v>
      </c>
      <c r="H146" s="58"/>
      <c r="I146" s="23"/>
      <c r="J146" s="24"/>
      <c r="M146" s="4"/>
      <c r="N146" s="76"/>
      <c r="O146" s="76"/>
      <c r="P146" s="76" t="str">
        <f t="shared" si="18"/>
        <v>,shikkan128_start_date</v>
      </c>
      <c r="Q146" s="76" t="str">
        <f t="shared" si="19"/>
        <v>DATE</v>
      </c>
      <c r="R146" s="76" t="str">
        <f t="shared" si="20"/>
        <v/>
      </c>
      <c r="S146" s="76" t="str">
        <f t="shared" si="21"/>
        <v/>
      </c>
      <c r="T146" s="76" t="str">
        <f t="shared" si="22"/>
        <v>-- C210_疾患開始日</v>
      </c>
      <c r="U146" s="4" t="str">
        <f t="shared" si="16"/>
        <v>, CASE WHEN shikkan_disp_name = 'C210' THEN min_shikkan_start_date ::DATE ELSE NULL END AS shikkan128_start_date</v>
      </c>
      <c r="V146" s="25" t="str">
        <f t="shared" si="17"/>
        <v>, max(shikkan128_start_date)</v>
      </c>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milscm_2023_009.sny_202310_annony_bef2.shikkan128_start_date IS 'C210_疾患開始日';</v>
      </c>
    </row>
    <row r="147" spans="1:45" s="25" customFormat="1">
      <c r="A147" s="4" t="s">
        <v>5283</v>
      </c>
      <c r="B147" s="21">
        <f t="shared" si="15"/>
        <v>135</v>
      </c>
      <c r="C147" s="13" t="s">
        <v>6673</v>
      </c>
      <c r="D147" s="13" t="s">
        <v>4897</v>
      </c>
      <c r="E147" s="8"/>
      <c r="F147" s="7" t="s">
        <v>4348</v>
      </c>
      <c r="G147" s="7" t="s">
        <v>99</v>
      </c>
      <c r="H147" s="58"/>
      <c r="I147" s="23"/>
      <c r="J147" s="24"/>
      <c r="M147" s="4"/>
      <c r="N147" s="76"/>
      <c r="O147" s="76"/>
      <c r="P147" s="76" t="str">
        <f t="shared" si="18"/>
        <v>,shikkan129_start_date</v>
      </c>
      <c r="Q147" s="76" t="str">
        <f t="shared" si="19"/>
        <v>DATE</v>
      </c>
      <c r="R147" s="76" t="str">
        <f t="shared" si="20"/>
        <v/>
      </c>
      <c r="S147" s="76" t="str">
        <f t="shared" si="21"/>
        <v/>
      </c>
      <c r="T147" s="76" t="str">
        <f t="shared" si="22"/>
        <v>-- C211_疾患開始日</v>
      </c>
      <c r="U147" s="4" t="str">
        <f t="shared" si="16"/>
        <v>, CASE WHEN shikkan_disp_name = 'C211' THEN min_shikkan_start_date ::DATE ELSE NULL END AS shikkan129_start_date</v>
      </c>
      <c r="V147" s="25" t="str">
        <f t="shared" si="17"/>
        <v>, max(shikkan129_start_date)</v>
      </c>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milscm_2023_009.sny_202310_annony_bef2.shikkan129_start_date IS 'C211_疾患開始日';</v>
      </c>
    </row>
    <row r="148" spans="1:45" s="25" customFormat="1">
      <c r="A148" s="4" t="s">
        <v>5284</v>
      </c>
      <c r="B148" s="21">
        <f t="shared" ref="B148:B211" si="23">ROW()-12</f>
        <v>136</v>
      </c>
      <c r="C148" s="13" t="s">
        <v>6674</v>
      </c>
      <c r="D148" s="13" t="s">
        <v>4898</v>
      </c>
      <c r="E148" s="8"/>
      <c r="F148" s="7" t="s">
        <v>4348</v>
      </c>
      <c r="G148" s="7" t="s">
        <v>25</v>
      </c>
      <c r="H148" s="58"/>
      <c r="I148" s="23"/>
      <c r="J148" s="24"/>
      <c r="M148" s="4"/>
      <c r="N148" s="76"/>
      <c r="O148" s="76"/>
      <c r="P148" s="76" t="str">
        <f t="shared" si="18"/>
        <v>,shikkan130_start_date</v>
      </c>
      <c r="Q148" s="76" t="str">
        <f t="shared" si="19"/>
        <v>DATE</v>
      </c>
      <c r="R148" s="76" t="str">
        <f t="shared" si="20"/>
        <v/>
      </c>
      <c r="S148" s="76" t="str">
        <f t="shared" si="21"/>
        <v/>
      </c>
      <c r="T148" s="76" t="str">
        <f t="shared" si="22"/>
        <v>-- C212_疾患開始日</v>
      </c>
      <c r="U148" s="4" t="str">
        <f t="shared" ref="U148:U211" si="24">", CASE WHEN shikkan_disp_name = '"&amp;A148&amp;"' THEN min_shikkan_start_date ::DATE ELSE NULL END AS "&amp;D148</f>
        <v>, CASE WHEN shikkan_disp_name = 'C212' THEN min_shikkan_start_date ::DATE ELSE NULL END AS shikkan130_start_date</v>
      </c>
      <c r="V148" s="25" t="str">
        <f t="shared" ref="V148:V211" si="25">", max("&amp;D148&amp;")"</f>
        <v>, max(shikkan130_start_date)</v>
      </c>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milscm_2023_009.sny_202310_annony_bef2.shikkan130_start_date IS 'C212_疾患開始日';</v>
      </c>
    </row>
    <row r="149" spans="1:45" s="25" customFormat="1">
      <c r="A149" s="4" t="s">
        <v>5285</v>
      </c>
      <c r="B149" s="21">
        <f t="shared" si="23"/>
        <v>137</v>
      </c>
      <c r="C149" s="13" t="s">
        <v>6675</v>
      </c>
      <c r="D149" s="13" t="s">
        <v>4899</v>
      </c>
      <c r="E149" s="8"/>
      <c r="F149" s="7" t="s">
        <v>4348</v>
      </c>
      <c r="G149" s="7" t="s">
        <v>25</v>
      </c>
      <c r="H149" s="58"/>
      <c r="I149" s="23"/>
      <c r="J149" s="24"/>
      <c r="M149" s="4"/>
      <c r="N149" s="76"/>
      <c r="O149" s="76"/>
      <c r="P149" s="76" t="str">
        <f t="shared" si="18"/>
        <v>,shikkan131_start_date</v>
      </c>
      <c r="Q149" s="76" t="str">
        <f t="shared" si="19"/>
        <v>DATE</v>
      </c>
      <c r="R149" s="76" t="str">
        <f t="shared" si="20"/>
        <v/>
      </c>
      <c r="S149" s="76" t="str">
        <f t="shared" si="21"/>
        <v/>
      </c>
      <c r="T149" s="76" t="str">
        <f t="shared" si="22"/>
        <v>-- C218_疾患開始日</v>
      </c>
      <c r="U149" s="4" t="str">
        <f t="shared" si="24"/>
        <v>, CASE WHEN shikkan_disp_name = 'C218' THEN min_shikkan_start_date ::DATE ELSE NULL END AS shikkan131_start_date</v>
      </c>
      <c r="V149" s="25" t="str">
        <f t="shared" si="25"/>
        <v>, max(shikkan131_start_date)</v>
      </c>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milscm_2023_009.sny_202310_annony_bef2.shikkan131_start_date IS 'C218_疾患開始日';</v>
      </c>
    </row>
    <row r="150" spans="1:45" s="25" customFormat="1">
      <c r="A150" s="4" t="s">
        <v>5286</v>
      </c>
      <c r="B150" s="21">
        <f t="shared" si="23"/>
        <v>138</v>
      </c>
      <c r="C150" s="13" t="s">
        <v>6676</v>
      </c>
      <c r="D150" s="13" t="s">
        <v>4900</v>
      </c>
      <c r="E150" s="8"/>
      <c r="F150" s="7" t="s">
        <v>4348</v>
      </c>
      <c r="G150" s="7" t="s">
        <v>25</v>
      </c>
      <c r="H150" s="58"/>
      <c r="I150" s="23"/>
      <c r="J150" s="24"/>
      <c r="M150" s="4"/>
      <c r="N150" s="76"/>
      <c r="O150" s="76"/>
      <c r="P150" s="76" t="str">
        <f t="shared" si="18"/>
        <v>,shikkan132_start_date</v>
      </c>
      <c r="Q150" s="76" t="str">
        <f t="shared" si="19"/>
        <v>DATE</v>
      </c>
      <c r="R150" s="76" t="str">
        <f t="shared" si="20"/>
        <v/>
      </c>
      <c r="S150" s="76" t="str">
        <f t="shared" si="21"/>
        <v/>
      </c>
      <c r="T150" s="76" t="str">
        <f t="shared" si="22"/>
        <v>-- C220_疾患開始日</v>
      </c>
      <c r="U150" s="4" t="str">
        <f t="shared" si="24"/>
        <v>, CASE WHEN shikkan_disp_name = 'C220' THEN min_shikkan_start_date ::DATE ELSE NULL END AS shikkan132_start_date</v>
      </c>
      <c r="V150" s="25" t="str">
        <f t="shared" si="25"/>
        <v>, max(shikkan132_start_date)</v>
      </c>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milscm_2023_009.sny_202310_annony_bef2.shikkan132_start_date IS 'C220_疾患開始日';</v>
      </c>
    </row>
    <row r="151" spans="1:45" s="25" customFormat="1">
      <c r="A151" s="4" t="s">
        <v>5287</v>
      </c>
      <c r="B151" s="21">
        <f t="shared" si="23"/>
        <v>139</v>
      </c>
      <c r="C151" s="13" t="s">
        <v>6677</v>
      </c>
      <c r="D151" s="13" t="s">
        <v>4901</v>
      </c>
      <c r="E151" s="8"/>
      <c r="F151" s="7" t="s">
        <v>4348</v>
      </c>
      <c r="G151" s="7" t="s">
        <v>25</v>
      </c>
      <c r="H151" s="58"/>
      <c r="I151" s="23"/>
      <c r="J151" s="24"/>
      <c r="M151" s="4"/>
      <c r="N151" s="76"/>
      <c r="O151" s="76"/>
      <c r="P151" s="76" t="str">
        <f t="shared" si="18"/>
        <v>,shikkan133_start_date</v>
      </c>
      <c r="Q151" s="76" t="str">
        <f t="shared" si="19"/>
        <v>DATE</v>
      </c>
      <c r="R151" s="76" t="str">
        <f t="shared" si="20"/>
        <v/>
      </c>
      <c r="S151" s="76" t="str">
        <f t="shared" si="21"/>
        <v/>
      </c>
      <c r="T151" s="76" t="str">
        <f t="shared" si="22"/>
        <v>-- C221_疾患開始日</v>
      </c>
      <c r="U151" s="4" t="str">
        <f t="shared" si="24"/>
        <v>, CASE WHEN shikkan_disp_name = 'C221' THEN min_shikkan_start_date ::DATE ELSE NULL END AS shikkan133_start_date</v>
      </c>
      <c r="V151" s="25" t="str">
        <f t="shared" si="25"/>
        <v>, max(shikkan133_start_date)</v>
      </c>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milscm_2023_009.sny_202310_annony_bef2.shikkan133_start_date IS 'C221_疾患開始日';</v>
      </c>
    </row>
    <row r="152" spans="1:45" s="25" customFormat="1">
      <c r="A152" s="4" t="s">
        <v>5288</v>
      </c>
      <c r="B152" s="21">
        <f t="shared" si="23"/>
        <v>140</v>
      </c>
      <c r="C152" s="13" t="s">
        <v>6678</v>
      </c>
      <c r="D152" s="13" t="s">
        <v>4902</v>
      </c>
      <c r="E152" s="8"/>
      <c r="F152" s="7" t="s">
        <v>4348</v>
      </c>
      <c r="G152" s="7" t="s">
        <v>25</v>
      </c>
      <c r="H152" s="58"/>
      <c r="I152" s="23"/>
      <c r="J152" s="24"/>
      <c r="M152" s="4"/>
      <c r="N152" s="76"/>
      <c r="O152" s="76"/>
      <c r="P152" s="76" t="str">
        <f t="shared" si="18"/>
        <v>,shikkan134_start_date</v>
      </c>
      <c r="Q152" s="76" t="str">
        <f t="shared" si="19"/>
        <v>DATE</v>
      </c>
      <c r="R152" s="76" t="str">
        <f t="shared" si="20"/>
        <v/>
      </c>
      <c r="S152" s="76" t="str">
        <f t="shared" si="21"/>
        <v/>
      </c>
      <c r="T152" s="76" t="str">
        <f t="shared" si="22"/>
        <v>-- C222_疾患開始日</v>
      </c>
      <c r="U152" s="4" t="str">
        <f t="shared" si="24"/>
        <v>, CASE WHEN shikkan_disp_name = 'C222' THEN min_shikkan_start_date ::DATE ELSE NULL END AS shikkan134_start_date</v>
      </c>
      <c r="V152" s="25" t="str">
        <f t="shared" si="25"/>
        <v>, max(shikkan134_start_date)</v>
      </c>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milscm_2023_009.sny_202310_annony_bef2.shikkan134_start_date IS 'C222_疾患開始日';</v>
      </c>
    </row>
    <row r="153" spans="1:45" s="25" customFormat="1">
      <c r="A153" s="4" t="s">
        <v>5289</v>
      </c>
      <c r="B153" s="21">
        <f t="shared" si="23"/>
        <v>141</v>
      </c>
      <c r="C153" s="13" t="s">
        <v>6679</v>
      </c>
      <c r="D153" s="13" t="s">
        <v>4903</v>
      </c>
      <c r="E153" s="8"/>
      <c r="F153" s="7" t="s">
        <v>4348</v>
      </c>
      <c r="G153" s="7" t="s">
        <v>25</v>
      </c>
      <c r="H153" s="58"/>
      <c r="I153" s="23"/>
      <c r="J153" s="24"/>
      <c r="M153" s="4"/>
      <c r="N153" s="76"/>
      <c r="O153" s="76"/>
      <c r="P153" s="76" t="str">
        <f t="shared" si="18"/>
        <v>,shikkan135_start_date</v>
      </c>
      <c r="Q153" s="76" t="str">
        <f t="shared" si="19"/>
        <v>DATE</v>
      </c>
      <c r="R153" s="76" t="str">
        <f t="shared" si="20"/>
        <v/>
      </c>
      <c r="S153" s="76" t="str">
        <f t="shared" si="21"/>
        <v/>
      </c>
      <c r="T153" s="76" t="str">
        <f t="shared" si="22"/>
        <v>-- C223_疾患開始日</v>
      </c>
      <c r="U153" s="4" t="str">
        <f t="shared" si="24"/>
        <v>, CASE WHEN shikkan_disp_name = 'C223' THEN min_shikkan_start_date ::DATE ELSE NULL END AS shikkan135_start_date</v>
      </c>
      <c r="V153" s="25" t="str">
        <f t="shared" si="25"/>
        <v>, max(shikkan135_start_date)</v>
      </c>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milscm_2023_009.sny_202310_annony_bef2.shikkan135_start_date IS 'C223_疾患開始日';</v>
      </c>
    </row>
    <row r="154" spans="1:45" s="25" customFormat="1">
      <c r="A154" s="4" t="s">
        <v>5290</v>
      </c>
      <c r="B154" s="21">
        <f t="shared" si="23"/>
        <v>142</v>
      </c>
      <c r="C154" s="13" t="s">
        <v>6680</v>
      </c>
      <c r="D154" s="13" t="s">
        <v>4904</v>
      </c>
      <c r="E154" s="8"/>
      <c r="F154" s="7" t="s">
        <v>4348</v>
      </c>
      <c r="G154" s="7" t="s">
        <v>25</v>
      </c>
      <c r="H154" s="58"/>
      <c r="I154" s="23"/>
      <c r="J154" s="24"/>
      <c r="M154" s="4"/>
      <c r="N154" s="76"/>
      <c r="O154" s="76"/>
      <c r="P154" s="76" t="str">
        <f t="shared" si="18"/>
        <v>,shikkan136_start_date</v>
      </c>
      <c r="Q154" s="76" t="str">
        <f t="shared" si="19"/>
        <v>DATE</v>
      </c>
      <c r="R154" s="76" t="str">
        <f t="shared" si="20"/>
        <v/>
      </c>
      <c r="S154" s="76" t="str">
        <f t="shared" si="21"/>
        <v/>
      </c>
      <c r="T154" s="76" t="str">
        <f t="shared" si="22"/>
        <v>-- C224_疾患開始日</v>
      </c>
      <c r="U154" s="4" t="str">
        <f t="shared" si="24"/>
        <v>, CASE WHEN shikkan_disp_name = 'C224' THEN min_shikkan_start_date ::DATE ELSE NULL END AS shikkan136_start_date</v>
      </c>
      <c r="V154" s="25" t="str">
        <f t="shared" si="25"/>
        <v>, max(shikkan136_start_date)</v>
      </c>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milscm_2023_009.sny_202310_annony_bef2.shikkan136_start_date IS 'C224_疾患開始日';</v>
      </c>
    </row>
    <row r="155" spans="1:45" s="25" customFormat="1">
      <c r="A155" s="4" t="s">
        <v>5291</v>
      </c>
      <c r="B155" s="21">
        <f t="shared" si="23"/>
        <v>143</v>
      </c>
      <c r="C155" s="13" t="s">
        <v>6681</v>
      </c>
      <c r="D155" s="13" t="s">
        <v>4905</v>
      </c>
      <c r="E155" s="8"/>
      <c r="F155" s="7" t="s">
        <v>4348</v>
      </c>
      <c r="G155" s="7" t="s">
        <v>25</v>
      </c>
      <c r="H155" s="58"/>
      <c r="I155" s="23"/>
      <c r="J155" s="24"/>
      <c r="M155" s="4"/>
      <c r="N155" s="76"/>
      <c r="O155" s="76"/>
      <c r="P155" s="76" t="str">
        <f t="shared" si="18"/>
        <v>,shikkan137_start_date</v>
      </c>
      <c r="Q155" s="76" t="str">
        <f t="shared" si="19"/>
        <v>DATE</v>
      </c>
      <c r="R155" s="76" t="str">
        <f t="shared" si="20"/>
        <v/>
      </c>
      <c r="S155" s="76" t="str">
        <f t="shared" si="21"/>
        <v/>
      </c>
      <c r="T155" s="76" t="str">
        <f t="shared" si="22"/>
        <v>-- C227_疾患開始日</v>
      </c>
      <c r="U155" s="4" t="str">
        <f t="shared" si="24"/>
        <v>, CASE WHEN shikkan_disp_name = 'C227' THEN min_shikkan_start_date ::DATE ELSE NULL END AS shikkan137_start_date</v>
      </c>
      <c r="V155" s="25" t="str">
        <f t="shared" si="25"/>
        <v>, max(shikkan137_start_date)</v>
      </c>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milscm_2023_009.sny_202310_annony_bef2.shikkan137_start_date IS 'C227_疾患開始日';</v>
      </c>
    </row>
    <row r="156" spans="1:45" s="25" customFormat="1">
      <c r="A156" s="4" t="s">
        <v>5292</v>
      </c>
      <c r="B156" s="21">
        <f t="shared" si="23"/>
        <v>144</v>
      </c>
      <c r="C156" s="13" t="s">
        <v>6682</v>
      </c>
      <c r="D156" s="13" t="s">
        <v>4906</v>
      </c>
      <c r="E156" s="8"/>
      <c r="F156" s="7" t="s">
        <v>4348</v>
      </c>
      <c r="G156" s="7" t="s">
        <v>25</v>
      </c>
      <c r="H156" s="58"/>
      <c r="I156" s="23"/>
      <c r="J156" s="24"/>
      <c r="M156" s="4"/>
      <c r="N156" s="76"/>
      <c r="O156" s="76"/>
      <c r="P156" s="76" t="str">
        <f t="shared" si="18"/>
        <v>,shikkan138_start_date</v>
      </c>
      <c r="Q156" s="76" t="str">
        <f t="shared" si="19"/>
        <v>DATE</v>
      </c>
      <c r="R156" s="76" t="str">
        <f t="shared" si="20"/>
        <v/>
      </c>
      <c r="S156" s="76" t="str">
        <f t="shared" si="21"/>
        <v/>
      </c>
      <c r="T156" s="76" t="str">
        <f t="shared" si="22"/>
        <v>-- C229_疾患開始日</v>
      </c>
      <c r="U156" s="4" t="str">
        <f t="shared" si="24"/>
        <v>, CASE WHEN shikkan_disp_name = 'C229' THEN min_shikkan_start_date ::DATE ELSE NULL END AS shikkan138_start_date</v>
      </c>
      <c r="V156" s="25" t="str">
        <f t="shared" si="25"/>
        <v>, max(shikkan138_start_date)</v>
      </c>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milscm_2023_009.sny_202310_annony_bef2.shikkan138_start_date IS 'C229_疾患開始日';</v>
      </c>
    </row>
    <row r="157" spans="1:45" s="25" customFormat="1">
      <c r="A157" s="4" t="s">
        <v>5145</v>
      </c>
      <c r="B157" s="21">
        <f t="shared" si="23"/>
        <v>145</v>
      </c>
      <c r="C157" s="13" t="s">
        <v>4755</v>
      </c>
      <c r="D157" s="13" t="s">
        <v>4907</v>
      </c>
      <c r="E157" s="8"/>
      <c r="F157" s="7" t="s">
        <v>4348</v>
      </c>
      <c r="G157" s="7" t="s">
        <v>25</v>
      </c>
      <c r="H157" s="58"/>
      <c r="I157" s="23"/>
      <c r="J157" s="24"/>
      <c r="M157" s="4"/>
      <c r="N157" s="76"/>
      <c r="O157" s="76"/>
      <c r="P157" s="76" t="str">
        <f t="shared" si="18"/>
        <v>,shikkan139_start_date</v>
      </c>
      <c r="Q157" s="76" t="str">
        <f t="shared" si="19"/>
        <v>DATE</v>
      </c>
      <c r="R157" s="76" t="str">
        <f t="shared" si="20"/>
        <v/>
      </c>
      <c r="S157" s="76" t="str">
        <f t="shared" si="21"/>
        <v/>
      </c>
      <c r="T157" s="76" t="str">
        <f t="shared" si="22"/>
        <v>-- C23_疾患開始日</v>
      </c>
      <c r="U157" s="4" t="str">
        <f t="shared" si="24"/>
        <v>, CASE WHEN shikkan_disp_name = 'C23' THEN min_shikkan_start_date ::DATE ELSE NULL END AS shikkan139_start_date</v>
      </c>
      <c r="V157" s="25" t="str">
        <f t="shared" si="25"/>
        <v>, max(shikkan139_start_date)</v>
      </c>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milscm_2023_009.sny_202310_annony_bef2.shikkan139_start_date IS 'C23_疾患開始日';</v>
      </c>
    </row>
    <row r="158" spans="1:45" s="25" customFormat="1">
      <c r="A158" s="4" t="s">
        <v>5293</v>
      </c>
      <c r="B158" s="21">
        <f t="shared" si="23"/>
        <v>146</v>
      </c>
      <c r="C158" s="13" t="s">
        <v>6683</v>
      </c>
      <c r="D158" s="13" t="s">
        <v>4908</v>
      </c>
      <c r="E158" s="8"/>
      <c r="F158" s="7" t="s">
        <v>4348</v>
      </c>
      <c r="G158" s="7" t="s">
        <v>25</v>
      </c>
      <c r="H158" s="58"/>
      <c r="I158" s="23"/>
      <c r="J158" s="24"/>
      <c r="M158" s="4"/>
      <c r="N158" s="76"/>
      <c r="O158" s="76"/>
      <c r="P158" s="76" t="str">
        <f t="shared" si="18"/>
        <v>,shikkan140_start_date</v>
      </c>
      <c r="Q158" s="76" t="str">
        <f t="shared" si="19"/>
        <v>DATE</v>
      </c>
      <c r="R158" s="76" t="str">
        <f t="shared" si="20"/>
        <v/>
      </c>
      <c r="S158" s="76" t="str">
        <f t="shared" si="21"/>
        <v/>
      </c>
      <c r="T158" s="76" t="str">
        <f t="shared" si="22"/>
        <v>-- C240_疾患開始日</v>
      </c>
      <c r="U158" s="4" t="str">
        <f t="shared" si="24"/>
        <v>, CASE WHEN shikkan_disp_name = 'C240' THEN min_shikkan_start_date ::DATE ELSE NULL END AS shikkan140_start_date</v>
      </c>
      <c r="V158" s="25" t="str">
        <f t="shared" si="25"/>
        <v>, max(shikkan140_start_date)</v>
      </c>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milscm_2023_009.sny_202310_annony_bef2.shikkan140_start_date IS 'C240_疾患開始日';</v>
      </c>
    </row>
    <row r="159" spans="1:45" s="25" customFormat="1">
      <c r="A159" s="4" t="s">
        <v>5294</v>
      </c>
      <c r="B159" s="21">
        <f t="shared" si="23"/>
        <v>147</v>
      </c>
      <c r="C159" s="13" t="s">
        <v>6684</v>
      </c>
      <c r="D159" s="13" t="s">
        <v>4909</v>
      </c>
      <c r="E159" s="8"/>
      <c r="F159" s="7" t="s">
        <v>4348</v>
      </c>
      <c r="G159" s="7" t="s">
        <v>25</v>
      </c>
      <c r="H159" s="58"/>
      <c r="I159" s="23"/>
      <c r="J159" s="24"/>
      <c r="M159" s="4"/>
      <c r="N159" s="76"/>
      <c r="O159" s="76"/>
      <c r="P159" s="76" t="str">
        <f t="shared" si="18"/>
        <v>,shikkan141_start_date</v>
      </c>
      <c r="Q159" s="76" t="str">
        <f t="shared" si="19"/>
        <v>DATE</v>
      </c>
      <c r="R159" s="76" t="str">
        <f t="shared" si="20"/>
        <v/>
      </c>
      <c r="S159" s="76" t="str">
        <f t="shared" si="21"/>
        <v/>
      </c>
      <c r="T159" s="76" t="str">
        <f t="shared" si="22"/>
        <v>-- C241_疾患開始日</v>
      </c>
      <c r="U159" s="4" t="str">
        <f t="shared" si="24"/>
        <v>, CASE WHEN shikkan_disp_name = 'C241' THEN min_shikkan_start_date ::DATE ELSE NULL END AS shikkan141_start_date</v>
      </c>
      <c r="V159" s="25" t="str">
        <f t="shared" si="25"/>
        <v>, max(shikkan141_start_date)</v>
      </c>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milscm_2023_009.sny_202310_annony_bef2.shikkan141_start_date IS 'C241_疾患開始日';</v>
      </c>
    </row>
    <row r="160" spans="1:45" s="25" customFormat="1">
      <c r="A160" s="4" t="s">
        <v>5295</v>
      </c>
      <c r="B160" s="21">
        <f t="shared" si="23"/>
        <v>148</v>
      </c>
      <c r="C160" s="13" t="s">
        <v>6685</v>
      </c>
      <c r="D160" s="13" t="s">
        <v>4910</v>
      </c>
      <c r="E160" s="8"/>
      <c r="F160" s="7" t="s">
        <v>4348</v>
      </c>
      <c r="G160" s="7" t="s">
        <v>25</v>
      </c>
      <c r="H160" s="58"/>
      <c r="I160" s="23"/>
      <c r="J160" s="24"/>
      <c r="M160" s="4"/>
      <c r="N160" s="76"/>
      <c r="O160" s="76"/>
      <c r="P160" s="76" t="str">
        <f t="shared" si="18"/>
        <v>,shikkan142_start_date</v>
      </c>
      <c r="Q160" s="76" t="str">
        <f t="shared" si="19"/>
        <v>DATE</v>
      </c>
      <c r="R160" s="76" t="str">
        <f t="shared" si="20"/>
        <v/>
      </c>
      <c r="S160" s="76" t="str">
        <f t="shared" si="21"/>
        <v/>
      </c>
      <c r="T160" s="76" t="str">
        <f t="shared" si="22"/>
        <v>-- C248_疾患開始日</v>
      </c>
      <c r="U160" s="4" t="str">
        <f t="shared" si="24"/>
        <v>, CASE WHEN shikkan_disp_name = 'C248' THEN min_shikkan_start_date ::DATE ELSE NULL END AS shikkan142_start_date</v>
      </c>
      <c r="V160" s="25" t="str">
        <f t="shared" si="25"/>
        <v>, max(shikkan142_start_date)</v>
      </c>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milscm_2023_009.sny_202310_annony_bef2.shikkan142_start_date IS 'C248_疾患開始日';</v>
      </c>
    </row>
    <row r="161" spans="1:45" s="25" customFormat="1">
      <c r="A161" s="4" t="s">
        <v>5296</v>
      </c>
      <c r="B161" s="21">
        <f t="shared" si="23"/>
        <v>149</v>
      </c>
      <c r="C161" s="13" t="s">
        <v>6686</v>
      </c>
      <c r="D161" s="13" t="s">
        <v>4911</v>
      </c>
      <c r="E161" s="8"/>
      <c r="F161" s="7" t="s">
        <v>4348</v>
      </c>
      <c r="G161" s="7" t="s">
        <v>25</v>
      </c>
      <c r="H161" s="58"/>
      <c r="I161" s="23"/>
      <c r="J161" s="24"/>
      <c r="M161" s="4"/>
      <c r="N161" s="76"/>
      <c r="O161" s="76"/>
      <c r="P161" s="76" t="str">
        <f t="shared" si="18"/>
        <v>,shikkan143_start_date</v>
      </c>
      <c r="Q161" s="76" t="str">
        <f t="shared" si="19"/>
        <v>DATE</v>
      </c>
      <c r="R161" s="76" t="str">
        <f t="shared" si="20"/>
        <v/>
      </c>
      <c r="S161" s="76" t="str">
        <f t="shared" si="21"/>
        <v/>
      </c>
      <c r="T161" s="76" t="str">
        <f t="shared" si="22"/>
        <v>-- C249_疾患開始日</v>
      </c>
      <c r="U161" s="4" t="str">
        <f t="shared" si="24"/>
        <v>, CASE WHEN shikkan_disp_name = 'C249' THEN min_shikkan_start_date ::DATE ELSE NULL END AS shikkan143_start_date</v>
      </c>
      <c r="V161" s="25" t="str">
        <f t="shared" si="25"/>
        <v>, max(shikkan143_start_date)</v>
      </c>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milscm_2023_009.sny_202310_annony_bef2.shikkan143_start_date IS 'C249_疾患開始日';</v>
      </c>
    </row>
    <row r="162" spans="1:45" s="25" customFormat="1">
      <c r="A162" s="4" t="s">
        <v>5297</v>
      </c>
      <c r="B162" s="21">
        <f t="shared" si="23"/>
        <v>150</v>
      </c>
      <c r="C162" s="13" t="s">
        <v>6687</v>
      </c>
      <c r="D162" s="13" t="s">
        <v>4912</v>
      </c>
      <c r="E162" s="8"/>
      <c r="F162" s="7" t="s">
        <v>4348</v>
      </c>
      <c r="G162" s="7" t="s">
        <v>25</v>
      </c>
      <c r="H162" s="58"/>
      <c r="I162" s="23"/>
      <c r="J162" s="24"/>
      <c r="M162" s="4"/>
      <c r="N162" s="76"/>
      <c r="O162" s="76"/>
      <c r="P162" s="76" t="str">
        <f t="shared" si="18"/>
        <v>,shikkan144_start_date</v>
      </c>
      <c r="Q162" s="76" t="str">
        <f t="shared" si="19"/>
        <v>DATE</v>
      </c>
      <c r="R162" s="76" t="str">
        <f t="shared" si="20"/>
        <v/>
      </c>
      <c r="S162" s="76" t="str">
        <f t="shared" si="21"/>
        <v/>
      </c>
      <c r="T162" s="76" t="str">
        <f t="shared" si="22"/>
        <v>-- C250_疾患開始日</v>
      </c>
      <c r="U162" s="4" t="str">
        <f t="shared" si="24"/>
        <v>, CASE WHEN shikkan_disp_name = 'C250' THEN min_shikkan_start_date ::DATE ELSE NULL END AS shikkan144_start_date</v>
      </c>
      <c r="V162" s="25" t="str">
        <f t="shared" si="25"/>
        <v>, max(shikkan144_start_date)</v>
      </c>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milscm_2023_009.sny_202310_annony_bef2.shikkan144_start_date IS 'C250_疾患開始日';</v>
      </c>
    </row>
    <row r="163" spans="1:45" s="25" customFormat="1">
      <c r="A163" s="4" t="s">
        <v>5298</v>
      </c>
      <c r="B163" s="21">
        <f t="shared" si="23"/>
        <v>151</v>
      </c>
      <c r="C163" s="13" t="s">
        <v>6688</v>
      </c>
      <c r="D163" s="13" t="s">
        <v>4913</v>
      </c>
      <c r="E163" s="8"/>
      <c r="F163" s="7" t="s">
        <v>4348</v>
      </c>
      <c r="G163" s="7" t="s">
        <v>99</v>
      </c>
      <c r="H163" s="58"/>
      <c r="I163" s="23"/>
      <c r="J163" s="24"/>
      <c r="M163" s="4"/>
      <c r="N163" s="76"/>
      <c r="O163" s="76"/>
      <c r="P163" s="76" t="str">
        <f t="shared" si="18"/>
        <v>,shikkan145_start_date</v>
      </c>
      <c r="Q163" s="76" t="str">
        <f t="shared" si="19"/>
        <v>DATE</v>
      </c>
      <c r="R163" s="76" t="str">
        <f t="shared" si="20"/>
        <v/>
      </c>
      <c r="S163" s="76" t="str">
        <f t="shared" si="21"/>
        <v/>
      </c>
      <c r="T163" s="76" t="str">
        <f t="shared" si="22"/>
        <v>-- C251_疾患開始日</v>
      </c>
      <c r="U163" s="4" t="str">
        <f t="shared" si="24"/>
        <v>, CASE WHEN shikkan_disp_name = 'C251' THEN min_shikkan_start_date ::DATE ELSE NULL END AS shikkan145_start_date</v>
      </c>
      <c r="V163" s="25" t="str">
        <f t="shared" si="25"/>
        <v>, max(shikkan145_start_date)</v>
      </c>
      <c r="AA163" s="4"/>
      <c r="AB163" s="4"/>
      <c r="AC163" s="4"/>
      <c r="AD163" s="4"/>
      <c r="AE163" s="4"/>
      <c r="AF163" s="4"/>
      <c r="AG163" s="4"/>
      <c r="AH163" s="4"/>
      <c r="AI163" s="4"/>
      <c r="AJ163" s="76" t="str">
        <f>IF(E163="○",IF(COUNTA(E$13:E163)=1,"",",")&amp;D163,"")</f>
        <v/>
      </c>
      <c r="AK163" s="4"/>
      <c r="AL163" s="4"/>
      <c r="AM163" s="4"/>
      <c r="AN163" s="4"/>
      <c r="AO163" s="4"/>
      <c r="AP163" s="4"/>
      <c r="AQ163" s="4"/>
      <c r="AR163" s="4"/>
      <c r="AS163" s="76" t="str">
        <f>"COMMENT ON COLUMN "&amp;エンティティ一覧!$O$2&amp;"."&amp;D$8&amp;"."&amp;D163&amp;" IS '"&amp;C163&amp;"';"</f>
        <v>COMMENT ON COLUMN milscm_2023_009.sny_202310_annony_bef2.shikkan145_start_date IS 'C251_疾患開始日';</v>
      </c>
    </row>
    <row r="164" spans="1:45" s="25" customFormat="1">
      <c r="A164" s="4" t="s">
        <v>5299</v>
      </c>
      <c r="B164" s="21">
        <f t="shared" si="23"/>
        <v>152</v>
      </c>
      <c r="C164" s="13" t="s">
        <v>6689</v>
      </c>
      <c r="D164" s="13" t="s">
        <v>4914</v>
      </c>
      <c r="E164" s="8"/>
      <c r="F164" s="7" t="s">
        <v>4348</v>
      </c>
      <c r="G164" s="7" t="s">
        <v>25</v>
      </c>
      <c r="H164" s="58"/>
      <c r="I164" s="23"/>
      <c r="J164" s="24"/>
      <c r="M164" s="4"/>
      <c r="N164" s="76"/>
      <c r="O164" s="76"/>
      <c r="P164" s="76" t="str">
        <f t="shared" ref="P164:P227" si="26">IF(B164&lt;&gt;1,","&amp;D164,D164)</f>
        <v>,shikkan146_start_date</v>
      </c>
      <c r="Q164" s="76" t="str">
        <f t="shared" ref="Q164:Q227" si="27">UPPER(G164)</f>
        <v>DATE</v>
      </c>
      <c r="R164" s="76" t="str">
        <f t="shared" ref="R164:R227" si="28">IF(H164&lt;&gt;"","default "&amp;IF(G164="text","'"&amp;H164&amp;"'",H164),"")</f>
        <v/>
      </c>
      <c r="S164" s="76" t="str">
        <f t="shared" ref="S164:S227" si="29">IF(I164="○","NOT NULL","")</f>
        <v/>
      </c>
      <c r="T164" s="76" t="str">
        <f t="shared" ref="T164:T227" si="30">"-- "&amp;C164</f>
        <v>-- C252_疾患開始日</v>
      </c>
      <c r="U164" s="4" t="str">
        <f t="shared" si="24"/>
        <v>, CASE WHEN shikkan_disp_name = 'C252' THEN min_shikkan_start_date ::DATE ELSE NULL END AS shikkan146_start_date</v>
      </c>
      <c r="V164" s="25" t="str">
        <f t="shared" si="25"/>
        <v>, max(shikkan146_start_date)</v>
      </c>
      <c r="AA164" s="4"/>
      <c r="AB164" s="4"/>
      <c r="AC164" s="4"/>
      <c r="AD164" s="4"/>
      <c r="AE164" s="4"/>
      <c r="AF164" s="4"/>
      <c r="AG164" s="4"/>
      <c r="AH164" s="4"/>
      <c r="AI164" s="4"/>
      <c r="AJ164" s="76" t="str">
        <f>IF(E164="○",IF(COUNTA(E$13:E164)=1,"",",")&amp;D164,"")</f>
        <v/>
      </c>
      <c r="AK164" s="4"/>
      <c r="AL164" s="4"/>
      <c r="AM164" s="4"/>
      <c r="AN164" s="4"/>
      <c r="AO164" s="4"/>
      <c r="AP164" s="4"/>
      <c r="AQ164" s="4"/>
      <c r="AR164" s="4"/>
      <c r="AS164" s="76" t="str">
        <f>"COMMENT ON COLUMN "&amp;エンティティ一覧!$O$2&amp;"."&amp;D$8&amp;"."&amp;D164&amp;" IS '"&amp;C164&amp;"';"</f>
        <v>COMMENT ON COLUMN milscm_2023_009.sny_202310_annony_bef2.shikkan146_start_date IS 'C252_疾患開始日';</v>
      </c>
    </row>
    <row r="165" spans="1:45" s="25" customFormat="1">
      <c r="A165" s="4" t="s">
        <v>5300</v>
      </c>
      <c r="B165" s="21">
        <f t="shared" si="23"/>
        <v>153</v>
      </c>
      <c r="C165" s="13" t="s">
        <v>6690</v>
      </c>
      <c r="D165" s="13" t="s">
        <v>4915</v>
      </c>
      <c r="E165" s="8"/>
      <c r="F165" s="7" t="s">
        <v>4348</v>
      </c>
      <c r="G165" s="7" t="s">
        <v>25</v>
      </c>
      <c r="H165" s="58"/>
      <c r="I165" s="23"/>
      <c r="J165" s="24"/>
      <c r="M165" s="4"/>
      <c r="N165" s="76"/>
      <c r="O165" s="76"/>
      <c r="P165" s="76" t="str">
        <f t="shared" si="26"/>
        <v>,shikkan147_start_date</v>
      </c>
      <c r="Q165" s="76" t="str">
        <f t="shared" si="27"/>
        <v>DATE</v>
      </c>
      <c r="R165" s="76" t="str">
        <f t="shared" si="28"/>
        <v/>
      </c>
      <c r="S165" s="76" t="str">
        <f t="shared" si="29"/>
        <v/>
      </c>
      <c r="T165" s="76" t="str">
        <f t="shared" si="30"/>
        <v>-- C253_疾患開始日</v>
      </c>
      <c r="U165" s="4" t="str">
        <f t="shared" si="24"/>
        <v>, CASE WHEN shikkan_disp_name = 'C253' THEN min_shikkan_start_date ::DATE ELSE NULL END AS shikkan147_start_date</v>
      </c>
      <c r="V165" s="25" t="str">
        <f t="shared" si="25"/>
        <v>, max(shikkan147_start_date)</v>
      </c>
      <c r="AA165" s="4"/>
      <c r="AB165" s="4"/>
      <c r="AC165" s="4"/>
      <c r="AD165" s="4"/>
      <c r="AE165" s="4"/>
      <c r="AF165" s="4"/>
      <c r="AG165" s="4"/>
      <c r="AH165" s="4"/>
      <c r="AI165" s="4"/>
      <c r="AJ165" s="76" t="str">
        <f>IF(E165="○",IF(COUNTA(E$13:E165)=1,"",",")&amp;D165,"")</f>
        <v/>
      </c>
      <c r="AK165" s="4"/>
      <c r="AL165" s="4"/>
      <c r="AM165" s="4"/>
      <c r="AN165" s="4"/>
      <c r="AO165" s="4"/>
      <c r="AP165" s="4"/>
      <c r="AQ165" s="4"/>
      <c r="AR165" s="4"/>
      <c r="AS165" s="76" t="str">
        <f>"COMMENT ON COLUMN "&amp;エンティティ一覧!$O$2&amp;"."&amp;D$8&amp;"."&amp;D165&amp;" IS '"&amp;C165&amp;"';"</f>
        <v>COMMENT ON COLUMN milscm_2023_009.sny_202310_annony_bef2.shikkan147_start_date IS 'C253_疾患開始日';</v>
      </c>
    </row>
    <row r="166" spans="1:45" s="25" customFormat="1">
      <c r="A166" s="4" t="s">
        <v>5301</v>
      </c>
      <c r="B166" s="21">
        <f t="shared" si="23"/>
        <v>154</v>
      </c>
      <c r="C166" s="13" t="s">
        <v>6691</v>
      </c>
      <c r="D166" s="13" t="s">
        <v>4916</v>
      </c>
      <c r="E166" s="8"/>
      <c r="F166" s="7" t="s">
        <v>4348</v>
      </c>
      <c r="G166" s="7" t="s">
        <v>25</v>
      </c>
      <c r="H166" s="58"/>
      <c r="I166" s="23"/>
      <c r="J166" s="24"/>
      <c r="M166" s="4"/>
      <c r="N166" s="76"/>
      <c r="O166" s="76"/>
      <c r="P166" s="76" t="str">
        <f t="shared" si="26"/>
        <v>,shikkan148_start_date</v>
      </c>
      <c r="Q166" s="76" t="str">
        <f t="shared" si="27"/>
        <v>DATE</v>
      </c>
      <c r="R166" s="76" t="str">
        <f t="shared" si="28"/>
        <v/>
      </c>
      <c r="S166" s="76" t="str">
        <f t="shared" si="29"/>
        <v/>
      </c>
      <c r="T166" s="76" t="str">
        <f t="shared" si="30"/>
        <v>-- C254_疾患開始日</v>
      </c>
      <c r="U166" s="4" t="str">
        <f t="shared" si="24"/>
        <v>, CASE WHEN shikkan_disp_name = 'C254' THEN min_shikkan_start_date ::DATE ELSE NULL END AS shikkan148_start_date</v>
      </c>
      <c r="V166" s="25" t="str">
        <f t="shared" si="25"/>
        <v>, max(shikkan148_start_date)</v>
      </c>
      <c r="AA166" s="4"/>
      <c r="AB166" s="4"/>
      <c r="AC166" s="4"/>
      <c r="AD166" s="4"/>
      <c r="AE166" s="4"/>
      <c r="AF166" s="4"/>
      <c r="AG166" s="4"/>
      <c r="AH166" s="4"/>
      <c r="AI166" s="4"/>
      <c r="AJ166" s="76" t="str">
        <f>IF(E166="○",IF(COUNTA(E$13:E166)=1,"",",")&amp;D166,"")</f>
        <v/>
      </c>
      <c r="AK166" s="4"/>
      <c r="AL166" s="4"/>
      <c r="AM166" s="4"/>
      <c r="AN166" s="4"/>
      <c r="AO166" s="4"/>
      <c r="AP166" s="4"/>
      <c r="AQ166" s="4"/>
      <c r="AR166" s="4"/>
      <c r="AS166" s="76" t="str">
        <f>"COMMENT ON COLUMN "&amp;エンティティ一覧!$O$2&amp;"."&amp;D$8&amp;"."&amp;D166&amp;" IS '"&amp;C166&amp;"';"</f>
        <v>COMMENT ON COLUMN milscm_2023_009.sny_202310_annony_bef2.shikkan148_start_date IS 'C254_疾患開始日';</v>
      </c>
    </row>
    <row r="167" spans="1:45" s="25" customFormat="1">
      <c r="A167" s="4" t="s">
        <v>5302</v>
      </c>
      <c r="B167" s="21">
        <f t="shared" si="23"/>
        <v>155</v>
      </c>
      <c r="C167" s="13" t="s">
        <v>6692</v>
      </c>
      <c r="D167" s="13" t="s">
        <v>4917</v>
      </c>
      <c r="E167" s="8"/>
      <c r="F167" s="7" t="s">
        <v>4348</v>
      </c>
      <c r="G167" s="7" t="s">
        <v>25</v>
      </c>
      <c r="H167" s="58"/>
      <c r="I167" s="23"/>
      <c r="J167" s="24"/>
      <c r="M167" s="4"/>
      <c r="N167" s="76"/>
      <c r="O167" s="76"/>
      <c r="P167" s="76" t="str">
        <f t="shared" si="26"/>
        <v>,shikkan149_start_date</v>
      </c>
      <c r="Q167" s="76" t="str">
        <f t="shared" si="27"/>
        <v>DATE</v>
      </c>
      <c r="R167" s="76" t="str">
        <f t="shared" si="28"/>
        <v/>
      </c>
      <c r="S167" s="76" t="str">
        <f t="shared" si="29"/>
        <v/>
      </c>
      <c r="T167" s="76" t="str">
        <f t="shared" si="30"/>
        <v>-- C257_疾患開始日</v>
      </c>
      <c r="U167" s="4" t="str">
        <f t="shared" si="24"/>
        <v>, CASE WHEN shikkan_disp_name = 'C257' THEN min_shikkan_start_date ::DATE ELSE NULL END AS shikkan149_start_date</v>
      </c>
      <c r="V167" s="25" t="str">
        <f t="shared" si="25"/>
        <v>, max(shikkan149_start_date)</v>
      </c>
      <c r="AA167" s="4"/>
      <c r="AB167" s="4"/>
      <c r="AC167" s="4"/>
      <c r="AD167" s="4"/>
      <c r="AE167" s="4"/>
      <c r="AF167" s="4"/>
      <c r="AG167" s="4"/>
      <c r="AH167" s="4"/>
      <c r="AI167" s="4"/>
      <c r="AJ167" s="76" t="str">
        <f>IF(E167="○",IF(COUNTA(E$13:E167)=1,"",",")&amp;D167,"")</f>
        <v/>
      </c>
      <c r="AK167" s="4"/>
      <c r="AL167" s="4"/>
      <c r="AM167" s="4"/>
      <c r="AN167" s="4"/>
      <c r="AO167" s="4"/>
      <c r="AP167" s="4"/>
      <c r="AQ167" s="4"/>
      <c r="AR167" s="4"/>
      <c r="AS167" s="76" t="str">
        <f>"COMMENT ON COLUMN "&amp;エンティティ一覧!$O$2&amp;"."&amp;D$8&amp;"."&amp;D167&amp;" IS '"&amp;C167&amp;"';"</f>
        <v>COMMENT ON COLUMN milscm_2023_009.sny_202310_annony_bef2.shikkan149_start_date IS 'C257_疾患開始日';</v>
      </c>
    </row>
    <row r="168" spans="1:45" s="25" customFormat="1">
      <c r="A168" s="4" t="s">
        <v>5303</v>
      </c>
      <c r="B168" s="21">
        <f t="shared" si="23"/>
        <v>156</v>
      </c>
      <c r="C168" s="13" t="s">
        <v>6693</v>
      </c>
      <c r="D168" s="13" t="s">
        <v>4918</v>
      </c>
      <c r="E168" s="8"/>
      <c r="F168" s="7" t="s">
        <v>4348</v>
      </c>
      <c r="G168" s="7" t="s">
        <v>25</v>
      </c>
      <c r="H168" s="58"/>
      <c r="I168" s="23"/>
      <c r="J168" s="24"/>
      <c r="M168" s="4"/>
      <c r="N168" s="76"/>
      <c r="O168" s="76"/>
      <c r="P168" s="76" t="str">
        <f t="shared" si="26"/>
        <v>,shikkan150_start_date</v>
      </c>
      <c r="Q168" s="76" t="str">
        <f t="shared" si="27"/>
        <v>DATE</v>
      </c>
      <c r="R168" s="76" t="str">
        <f t="shared" si="28"/>
        <v/>
      </c>
      <c r="S168" s="76" t="str">
        <f t="shared" si="29"/>
        <v/>
      </c>
      <c r="T168" s="76" t="str">
        <f t="shared" si="30"/>
        <v>-- C258_疾患開始日</v>
      </c>
      <c r="U168" s="4" t="str">
        <f t="shared" si="24"/>
        <v>, CASE WHEN shikkan_disp_name = 'C258' THEN min_shikkan_start_date ::DATE ELSE NULL END AS shikkan150_start_date</v>
      </c>
      <c r="V168" s="25" t="str">
        <f t="shared" si="25"/>
        <v>, max(shikkan150_start_date)</v>
      </c>
      <c r="AA168" s="4"/>
      <c r="AB168" s="4"/>
      <c r="AC168" s="4"/>
      <c r="AD168" s="4"/>
      <c r="AE168" s="4"/>
      <c r="AF168" s="4"/>
      <c r="AG168" s="4"/>
      <c r="AH168" s="4"/>
      <c r="AI168" s="4"/>
      <c r="AJ168" s="76" t="str">
        <f>IF(E168="○",IF(COUNTA(E$13:E168)=1,"",",")&amp;D168,"")</f>
        <v/>
      </c>
      <c r="AK168" s="4"/>
      <c r="AL168" s="4"/>
      <c r="AM168" s="4"/>
      <c r="AN168" s="4"/>
      <c r="AO168" s="4"/>
      <c r="AP168" s="4"/>
      <c r="AQ168" s="4"/>
      <c r="AR168" s="4"/>
      <c r="AS168" s="76" t="str">
        <f>"COMMENT ON COLUMN "&amp;エンティティ一覧!$O$2&amp;"."&amp;D$8&amp;"."&amp;D168&amp;" IS '"&amp;C168&amp;"';"</f>
        <v>COMMENT ON COLUMN milscm_2023_009.sny_202310_annony_bef2.shikkan150_start_date IS 'C258_疾患開始日';</v>
      </c>
    </row>
    <row r="169" spans="1:45" s="25" customFormat="1">
      <c r="A169" s="4" t="s">
        <v>5304</v>
      </c>
      <c r="B169" s="21">
        <f t="shared" si="23"/>
        <v>157</v>
      </c>
      <c r="C169" s="13" t="s">
        <v>6694</v>
      </c>
      <c r="D169" s="13" t="s">
        <v>4919</v>
      </c>
      <c r="E169" s="8"/>
      <c r="F169" s="7" t="s">
        <v>4348</v>
      </c>
      <c r="G169" s="7" t="s">
        <v>25</v>
      </c>
      <c r="H169" s="58"/>
      <c r="I169" s="23"/>
      <c r="J169" s="24"/>
      <c r="M169" s="4"/>
      <c r="N169" s="76"/>
      <c r="O169" s="76"/>
      <c r="P169" s="76" t="str">
        <f t="shared" si="26"/>
        <v>,shikkan151_start_date</v>
      </c>
      <c r="Q169" s="76" t="str">
        <f t="shared" si="27"/>
        <v>DATE</v>
      </c>
      <c r="R169" s="76" t="str">
        <f t="shared" si="28"/>
        <v/>
      </c>
      <c r="S169" s="76" t="str">
        <f t="shared" si="29"/>
        <v/>
      </c>
      <c r="T169" s="76" t="str">
        <f t="shared" si="30"/>
        <v>-- C259_疾患開始日</v>
      </c>
      <c r="U169" s="4" t="str">
        <f t="shared" si="24"/>
        <v>, CASE WHEN shikkan_disp_name = 'C259' THEN min_shikkan_start_date ::DATE ELSE NULL END AS shikkan151_start_date</v>
      </c>
      <c r="V169" s="25" t="str">
        <f t="shared" si="25"/>
        <v>, max(shikkan151_start_date)</v>
      </c>
      <c r="AA169" s="4"/>
      <c r="AB169" s="4"/>
      <c r="AC169" s="4"/>
      <c r="AD169" s="4"/>
      <c r="AE169" s="4"/>
      <c r="AF169" s="4"/>
      <c r="AG169" s="4"/>
      <c r="AH169" s="4"/>
      <c r="AI169" s="4"/>
      <c r="AJ169" s="76" t="str">
        <f>IF(E169="○",IF(COUNTA(E$13:E169)=1,"",",")&amp;D169,"")</f>
        <v/>
      </c>
      <c r="AK169" s="4"/>
      <c r="AL169" s="4"/>
      <c r="AM169" s="4"/>
      <c r="AN169" s="4"/>
      <c r="AO169" s="4"/>
      <c r="AP169" s="4"/>
      <c r="AQ169" s="4"/>
      <c r="AR169" s="4"/>
      <c r="AS169" s="76" t="str">
        <f>"COMMENT ON COLUMN "&amp;エンティティ一覧!$O$2&amp;"."&amp;D$8&amp;"."&amp;D169&amp;" IS '"&amp;C169&amp;"';"</f>
        <v>COMMENT ON COLUMN milscm_2023_009.sny_202310_annony_bef2.shikkan151_start_date IS 'C259_疾患開始日';</v>
      </c>
    </row>
    <row r="170" spans="1:45" s="25" customFormat="1">
      <c r="A170" s="4" t="s">
        <v>5305</v>
      </c>
      <c r="B170" s="21">
        <f t="shared" si="23"/>
        <v>158</v>
      </c>
      <c r="C170" s="13" t="s">
        <v>6695</v>
      </c>
      <c r="D170" s="13" t="s">
        <v>4920</v>
      </c>
      <c r="E170" s="8"/>
      <c r="F170" s="7" t="s">
        <v>4348</v>
      </c>
      <c r="G170" s="7" t="s">
        <v>25</v>
      </c>
      <c r="H170" s="58"/>
      <c r="I170" s="23"/>
      <c r="J170" s="24"/>
      <c r="M170" s="4"/>
      <c r="N170" s="76"/>
      <c r="O170" s="76"/>
      <c r="P170" s="76" t="str">
        <f t="shared" si="26"/>
        <v>,shikkan152_start_date</v>
      </c>
      <c r="Q170" s="76" t="str">
        <f t="shared" si="27"/>
        <v>DATE</v>
      </c>
      <c r="R170" s="76" t="str">
        <f t="shared" si="28"/>
        <v/>
      </c>
      <c r="S170" s="76" t="str">
        <f t="shared" si="29"/>
        <v/>
      </c>
      <c r="T170" s="76" t="str">
        <f t="shared" si="30"/>
        <v>-- C260_疾患開始日</v>
      </c>
      <c r="U170" s="4" t="str">
        <f t="shared" si="24"/>
        <v>, CASE WHEN shikkan_disp_name = 'C260' THEN min_shikkan_start_date ::DATE ELSE NULL END AS shikkan152_start_date</v>
      </c>
      <c r="V170" s="25" t="str">
        <f t="shared" si="25"/>
        <v>, max(shikkan152_start_date)</v>
      </c>
      <c r="AA170" s="4"/>
      <c r="AB170" s="4"/>
      <c r="AC170" s="4"/>
      <c r="AD170" s="4"/>
      <c r="AE170" s="4"/>
      <c r="AF170" s="4"/>
      <c r="AG170" s="4"/>
      <c r="AH170" s="4"/>
      <c r="AI170" s="4"/>
      <c r="AJ170" s="76" t="str">
        <f>IF(E170="○",IF(COUNTA(E$13:E170)=1,"",",")&amp;D170,"")</f>
        <v/>
      </c>
      <c r="AK170" s="4"/>
      <c r="AL170" s="4"/>
      <c r="AM170" s="4"/>
      <c r="AN170" s="4"/>
      <c r="AO170" s="4"/>
      <c r="AP170" s="4"/>
      <c r="AQ170" s="4"/>
      <c r="AR170" s="4"/>
      <c r="AS170" s="76" t="str">
        <f>"COMMENT ON COLUMN "&amp;エンティティ一覧!$O$2&amp;"."&amp;D$8&amp;"."&amp;D170&amp;" IS '"&amp;C170&amp;"';"</f>
        <v>COMMENT ON COLUMN milscm_2023_009.sny_202310_annony_bef2.shikkan152_start_date IS 'C260_疾患開始日';</v>
      </c>
    </row>
    <row r="171" spans="1:45" s="25" customFormat="1">
      <c r="A171" s="4" t="s">
        <v>5306</v>
      </c>
      <c r="B171" s="21">
        <f t="shared" si="23"/>
        <v>159</v>
      </c>
      <c r="C171" s="13" t="s">
        <v>6696</v>
      </c>
      <c r="D171" s="13" t="s">
        <v>4921</v>
      </c>
      <c r="E171" s="8"/>
      <c r="F171" s="7" t="s">
        <v>4348</v>
      </c>
      <c r="G171" s="7" t="s">
        <v>25</v>
      </c>
      <c r="H171" s="58"/>
      <c r="I171" s="23"/>
      <c r="J171" s="24"/>
      <c r="M171" s="4"/>
      <c r="N171" s="76"/>
      <c r="O171" s="76"/>
      <c r="P171" s="76" t="str">
        <f t="shared" si="26"/>
        <v>,shikkan153_start_date</v>
      </c>
      <c r="Q171" s="76" t="str">
        <f t="shared" si="27"/>
        <v>DATE</v>
      </c>
      <c r="R171" s="76" t="str">
        <f t="shared" si="28"/>
        <v/>
      </c>
      <c r="S171" s="76" t="str">
        <f t="shared" si="29"/>
        <v/>
      </c>
      <c r="T171" s="76" t="str">
        <f t="shared" si="30"/>
        <v>-- C261_疾患開始日</v>
      </c>
      <c r="U171" s="4" t="str">
        <f t="shared" si="24"/>
        <v>, CASE WHEN shikkan_disp_name = 'C261' THEN min_shikkan_start_date ::DATE ELSE NULL END AS shikkan153_start_date</v>
      </c>
      <c r="V171" s="25" t="str">
        <f t="shared" si="25"/>
        <v>, max(shikkan153_start_date)</v>
      </c>
      <c r="AA171" s="4"/>
      <c r="AB171" s="4"/>
      <c r="AC171" s="4"/>
      <c r="AD171" s="4"/>
      <c r="AE171" s="4"/>
      <c r="AF171" s="4"/>
      <c r="AG171" s="4"/>
      <c r="AH171" s="4"/>
      <c r="AI171" s="4"/>
      <c r="AJ171" s="76" t="str">
        <f>IF(E171="○",IF(COUNTA(E$13:E171)=1,"",",")&amp;D171,"")</f>
        <v/>
      </c>
      <c r="AK171" s="4"/>
      <c r="AL171" s="4"/>
      <c r="AM171" s="4"/>
      <c r="AN171" s="4"/>
      <c r="AO171" s="4"/>
      <c r="AP171" s="4"/>
      <c r="AQ171" s="4"/>
      <c r="AR171" s="4"/>
      <c r="AS171" s="76" t="str">
        <f>"COMMENT ON COLUMN "&amp;エンティティ一覧!$O$2&amp;"."&amp;D$8&amp;"."&amp;D171&amp;" IS '"&amp;C171&amp;"';"</f>
        <v>COMMENT ON COLUMN milscm_2023_009.sny_202310_annony_bef2.shikkan153_start_date IS 'C261_疾患開始日';</v>
      </c>
    </row>
    <row r="172" spans="1:45" s="25" customFormat="1">
      <c r="A172" s="4" t="s">
        <v>5307</v>
      </c>
      <c r="B172" s="21">
        <f t="shared" si="23"/>
        <v>160</v>
      </c>
      <c r="C172" s="13" t="s">
        <v>6697</v>
      </c>
      <c r="D172" s="13" t="s">
        <v>4922</v>
      </c>
      <c r="E172" s="8"/>
      <c r="F172" s="7" t="s">
        <v>4348</v>
      </c>
      <c r="G172" s="7" t="s">
        <v>25</v>
      </c>
      <c r="H172" s="58"/>
      <c r="I172" s="23"/>
      <c r="J172" s="24"/>
      <c r="M172" s="4"/>
      <c r="N172" s="76"/>
      <c r="O172" s="76"/>
      <c r="P172" s="76" t="str">
        <f t="shared" si="26"/>
        <v>,shikkan154_start_date</v>
      </c>
      <c r="Q172" s="76" t="str">
        <f t="shared" si="27"/>
        <v>DATE</v>
      </c>
      <c r="R172" s="76" t="str">
        <f t="shared" si="28"/>
        <v/>
      </c>
      <c r="S172" s="76" t="str">
        <f t="shared" si="29"/>
        <v/>
      </c>
      <c r="T172" s="76" t="str">
        <f t="shared" si="30"/>
        <v>-- C268_疾患開始日</v>
      </c>
      <c r="U172" s="4" t="str">
        <f t="shared" si="24"/>
        <v>, CASE WHEN shikkan_disp_name = 'C268' THEN min_shikkan_start_date ::DATE ELSE NULL END AS shikkan154_start_date</v>
      </c>
      <c r="V172" s="25" t="str">
        <f t="shared" si="25"/>
        <v>, max(shikkan154_start_date)</v>
      </c>
      <c r="AA172" s="4"/>
      <c r="AB172" s="4"/>
      <c r="AC172" s="4"/>
      <c r="AD172" s="4"/>
      <c r="AE172" s="4"/>
      <c r="AF172" s="4"/>
      <c r="AG172" s="4"/>
      <c r="AH172" s="4"/>
      <c r="AI172" s="4"/>
      <c r="AJ172" s="76" t="str">
        <f>IF(E172="○",IF(COUNTA(E$13:E172)=1,"",",")&amp;D172,"")</f>
        <v/>
      </c>
      <c r="AK172" s="4"/>
      <c r="AL172" s="4"/>
      <c r="AM172" s="4"/>
      <c r="AN172" s="4"/>
      <c r="AO172" s="4"/>
      <c r="AP172" s="4"/>
      <c r="AQ172" s="4"/>
      <c r="AR172" s="4"/>
      <c r="AS172" s="76" t="str">
        <f>"COMMENT ON COLUMN "&amp;エンティティ一覧!$O$2&amp;"."&amp;D$8&amp;"."&amp;D172&amp;" IS '"&amp;C172&amp;"';"</f>
        <v>COMMENT ON COLUMN milscm_2023_009.sny_202310_annony_bef2.shikkan154_start_date IS 'C268_疾患開始日';</v>
      </c>
    </row>
    <row r="173" spans="1:45" s="25" customFormat="1">
      <c r="A173" s="4" t="s">
        <v>5308</v>
      </c>
      <c r="B173" s="21">
        <f t="shared" si="23"/>
        <v>161</v>
      </c>
      <c r="C173" s="13" t="s">
        <v>6698</v>
      </c>
      <c r="D173" s="13" t="s">
        <v>4923</v>
      </c>
      <c r="E173" s="8"/>
      <c r="F173" s="7" t="s">
        <v>4348</v>
      </c>
      <c r="G173" s="7" t="s">
        <v>25</v>
      </c>
      <c r="H173" s="58"/>
      <c r="I173" s="23"/>
      <c r="J173" s="24"/>
      <c r="M173" s="4"/>
      <c r="N173" s="76"/>
      <c r="O173" s="76"/>
      <c r="P173" s="76" t="str">
        <f t="shared" si="26"/>
        <v>,shikkan155_start_date</v>
      </c>
      <c r="Q173" s="76" t="str">
        <f t="shared" si="27"/>
        <v>DATE</v>
      </c>
      <c r="R173" s="76" t="str">
        <f t="shared" si="28"/>
        <v/>
      </c>
      <c r="S173" s="76" t="str">
        <f t="shared" si="29"/>
        <v/>
      </c>
      <c r="T173" s="76" t="str">
        <f t="shared" si="30"/>
        <v>-- C269_疾患開始日</v>
      </c>
      <c r="U173" s="4" t="str">
        <f t="shared" si="24"/>
        <v>, CASE WHEN shikkan_disp_name = 'C269' THEN min_shikkan_start_date ::DATE ELSE NULL END AS shikkan155_start_date</v>
      </c>
      <c r="V173" s="25" t="str">
        <f t="shared" si="25"/>
        <v>, max(shikkan155_start_date)</v>
      </c>
      <c r="AA173" s="4"/>
      <c r="AB173" s="4"/>
      <c r="AC173" s="4"/>
      <c r="AD173" s="4"/>
      <c r="AE173" s="4"/>
      <c r="AF173" s="4"/>
      <c r="AG173" s="4"/>
      <c r="AH173" s="4"/>
      <c r="AI173" s="4"/>
      <c r="AJ173" s="76" t="str">
        <f>IF(E173="○",IF(COUNTA(E$13:E173)=1,"",",")&amp;D173,"")</f>
        <v/>
      </c>
      <c r="AK173" s="4"/>
      <c r="AL173" s="4"/>
      <c r="AM173" s="4"/>
      <c r="AN173" s="4"/>
      <c r="AO173" s="4"/>
      <c r="AP173" s="4"/>
      <c r="AQ173" s="4"/>
      <c r="AR173" s="4"/>
      <c r="AS173" s="76" t="str">
        <f>"COMMENT ON COLUMN "&amp;エンティティ一覧!$O$2&amp;"."&amp;D$8&amp;"."&amp;D173&amp;" IS '"&amp;C173&amp;"';"</f>
        <v>COMMENT ON COLUMN milscm_2023_009.sny_202310_annony_bef2.shikkan155_start_date IS 'C269_疾患開始日';</v>
      </c>
    </row>
    <row r="174" spans="1:45" s="25" customFormat="1">
      <c r="A174" s="4" t="s">
        <v>5309</v>
      </c>
      <c r="B174" s="21">
        <f t="shared" si="23"/>
        <v>162</v>
      </c>
      <c r="C174" s="13" t="s">
        <v>6699</v>
      </c>
      <c r="D174" s="13" t="s">
        <v>4924</v>
      </c>
      <c r="E174" s="8"/>
      <c r="F174" s="7" t="s">
        <v>4348</v>
      </c>
      <c r="G174" s="7" t="s">
        <v>25</v>
      </c>
      <c r="H174" s="58"/>
      <c r="I174" s="23"/>
      <c r="J174" s="24"/>
      <c r="M174" s="4"/>
      <c r="N174" s="76"/>
      <c r="O174" s="76"/>
      <c r="P174" s="76" t="str">
        <f t="shared" si="26"/>
        <v>,shikkan156_start_date</v>
      </c>
      <c r="Q174" s="76" t="str">
        <f t="shared" si="27"/>
        <v>DATE</v>
      </c>
      <c r="R174" s="76" t="str">
        <f t="shared" si="28"/>
        <v/>
      </c>
      <c r="S174" s="76" t="str">
        <f t="shared" si="29"/>
        <v/>
      </c>
      <c r="T174" s="76" t="str">
        <f t="shared" si="30"/>
        <v>-- C300_疾患開始日</v>
      </c>
      <c r="U174" s="4" t="str">
        <f t="shared" si="24"/>
        <v>, CASE WHEN shikkan_disp_name = 'C300' THEN min_shikkan_start_date ::DATE ELSE NULL END AS shikkan156_start_date</v>
      </c>
      <c r="V174" s="25" t="str">
        <f t="shared" si="25"/>
        <v>, max(shikkan156_start_date)</v>
      </c>
      <c r="AA174" s="4"/>
      <c r="AB174" s="4"/>
      <c r="AC174" s="4"/>
      <c r="AD174" s="4"/>
      <c r="AE174" s="4"/>
      <c r="AF174" s="4"/>
      <c r="AG174" s="4"/>
      <c r="AH174" s="4"/>
      <c r="AI174" s="4"/>
      <c r="AJ174" s="76" t="str">
        <f>IF(E174="○",IF(COUNTA(E$13:E174)=1,"",",")&amp;D174,"")</f>
        <v/>
      </c>
      <c r="AK174" s="4"/>
      <c r="AL174" s="4"/>
      <c r="AM174" s="4"/>
      <c r="AN174" s="4"/>
      <c r="AO174" s="4"/>
      <c r="AP174" s="4"/>
      <c r="AQ174" s="4"/>
      <c r="AR174" s="4"/>
      <c r="AS174" s="76" t="str">
        <f>"COMMENT ON COLUMN "&amp;エンティティ一覧!$O$2&amp;"."&amp;D$8&amp;"."&amp;D174&amp;" IS '"&amp;C174&amp;"';"</f>
        <v>COMMENT ON COLUMN milscm_2023_009.sny_202310_annony_bef2.shikkan156_start_date IS 'C300_疾患開始日';</v>
      </c>
    </row>
    <row r="175" spans="1:45" s="25" customFormat="1">
      <c r="A175" s="4" t="s">
        <v>5310</v>
      </c>
      <c r="B175" s="21">
        <f t="shared" si="23"/>
        <v>163</v>
      </c>
      <c r="C175" s="13" t="s">
        <v>6700</v>
      </c>
      <c r="D175" s="13" t="s">
        <v>4925</v>
      </c>
      <c r="E175" s="8"/>
      <c r="F175" s="7" t="s">
        <v>4348</v>
      </c>
      <c r="G175" s="7" t="s">
        <v>25</v>
      </c>
      <c r="H175" s="58"/>
      <c r="I175" s="23"/>
      <c r="J175" s="24"/>
      <c r="M175" s="4"/>
      <c r="N175" s="76"/>
      <c r="O175" s="76"/>
      <c r="P175" s="76" t="str">
        <f t="shared" si="26"/>
        <v>,shikkan157_start_date</v>
      </c>
      <c r="Q175" s="76" t="str">
        <f t="shared" si="27"/>
        <v>DATE</v>
      </c>
      <c r="R175" s="76" t="str">
        <f t="shared" si="28"/>
        <v/>
      </c>
      <c r="S175" s="76" t="str">
        <f t="shared" si="29"/>
        <v/>
      </c>
      <c r="T175" s="76" t="str">
        <f t="shared" si="30"/>
        <v>-- C301_疾患開始日</v>
      </c>
      <c r="U175" s="4" t="str">
        <f t="shared" si="24"/>
        <v>, CASE WHEN shikkan_disp_name = 'C301' THEN min_shikkan_start_date ::DATE ELSE NULL END AS shikkan157_start_date</v>
      </c>
      <c r="V175" s="25" t="str">
        <f t="shared" si="25"/>
        <v>, max(shikkan157_start_date)</v>
      </c>
      <c r="AA175" s="4"/>
      <c r="AB175" s="4"/>
      <c r="AC175" s="4"/>
      <c r="AD175" s="4"/>
      <c r="AE175" s="4"/>
      <c r="AF175" s="4"/>
      <c r="AG175" s="4"/>
      <c r="AH175" s="4"/>
      <c r="AI175" s="4"/>
      <c r="AJ175" s="76" t="str">
        <f>IF(E175="○",IF(COUNTA(E$13:E175)=1,"",",")&amp;D175,"")</f>
        <v/>
      </c>
      <c r="AK175" s="4"/>
      <c r="AL175" s="4"/>
      <c r="AM175" s="4"/>
      <c r="AN175" s="4"/>
      <c r="AO175" s="4"/>
      <c r="AP175" s="4"/>
      <c r="AQ175" s="4"/>
      <c r="AR175" s="4"/>
      <c r="AS175" s="76" t="str">
        <f>"COMMENT ON COLUMN "&amp;エンティティ一覧!$O$2&amp;"."&amp;D$8&amp;"."&amp;D175&amp;" IS '"&amp;C175&amp;"';"</f>
        <v>COMMENT ON COLUMN milscm_2023_009.sny_202310_annony_bef2.shikkan157_start_date IS 'C301_疾患開始日';</v>
      </c>
    </row>
    <row r="176" spans="1:45" s="25" customFormat="1">
      <c r="A176" s="4" t="s">
        <v>5311</v>
      </c>
      <c r="B176" s="21">
        <f t="shared" si="23"/>
        <v>164</v>
      </c>
      <c r="C176" s="13" t="s">
        <v>6701</v>
      </c>
      <c r="D176" s="13" t="s">
        <v>4926</v>
      </c>
      <c r="E176" s="8"/>
      <c r="F176" s="7" t="s">
        <v>4348</v>
      </c>
      <c r="G176" s="7" t="s">
        <v>25</v>
      </c>
      <c r="H176" s="58"/>
      <c r="I176" s="23"/>
      <c r="J176" s="24"/>
      <c r="M176" s="4"/>
      <c r="N176" s="76"/>
      <c r="O176" s="76"/>
      <c r="P176" s="76" t="str">
        <f t="shared" si="26"/>
        <v>,shikkan158_start_date</v>
      </c>
      <c r="Q176" s="76" t="str">
        <f t="shared" si="27"/>
        <v>DATE</v>
      </c>
      <c r="R176" s="76" t="str">
        <f t="shared" si="28"/>
        <v/>
      </c>
      <c r="S176" s="76" t="str">
        <f t="shared" si="29"/>
        <v/>
      </c>
      <c r="T176" s="76" t="str">
        <f t="shared" si="30"/>
        <v>-- C310_疾患開始日</v>
      </c>
      <c r="U176" s="4" t="str">
        <f t="shared" si="24"/>
        <v>, CASE WHEN shikkan_disp_name = 'C310' THEN min_shikkan_start_date ::DATE ELSE NULL END AS shikkan158_start_date</v>
      </c>
      <c r="V176" s="25" t="str">
        <f t="shared" si="25"/>
        <v>, max(shikkan158_start_date)</v>
      </c>
      <c r="AA176" s="4"/>
      <c r="AB176" s="4"/>
      <c r="AC176" s="4"/>
      <c r="AD176" s="4"/>
      <c r="AE176" s="4"/>
      <c r="AF176" s="4"/>
      <c r="AG176" s="4"/>
      <c r="AH176" s="4"/>
      <c r="AI176" s="4"/>
      <c r="AJ176" s="76" t="str">
        <f>IF(E176="○",IF(COUNTA(E$13:E176)=1,"",",")&amp;D176,"")</f>
        <v/>
      </c>
      <c r="AK176" s="4"/>
      <c r="AL176" s="4"/>
      <c r="AM176" s="4"/>
      <c r="AN176" s="4"/>
      <c r="AO176" s="4"/>
      <c r="AP176" s="4"/>
      <c r="AQ176" s="4"/>
      <c r="AR176" s="4"/>
      <c r="AS176" s="76" t="str">
        <f>"COMMENT ON COLUMN "&amp;エンティティ一覧!$O$2&amp;"."&amp;D$8&amp;"."&amp;D176&amp;" IS '"&amp;C176&amp;"';"</f>
        <v>COMMENT ON COLUMN milscm_2023_009.sny_202310_annony_bef2.shikkan158_start_date IS 'C310_疾患開始日';</v>
      </c>
    </row>
    <row r="177" spans="1:45" s="25" customFormat="1">
      <c r="A177" s="4" t="s">
        <v>5312</v>
      </c>
      <c r="B177" s="21">
        <f t="shared" si="23"/>
        <v>165</v>
      </c>
      <c r="C177" s="13" t="s">
        <v>6702</v>
      </c>
      <c r="D177" s="13" t="s">
        <v>4927</v>
      </c>
      <c r="E177" s="8"/>
      <c r="F177" s="7" t="s">
        <v>4348</v>
      </c>
      <c r="G177" s="7" t="s">
        <v>25</v>
      </c>
      <c r="H177" s="58"/>
      <c r="I177" s="23"/>
      <c r="J177" s="24"/>
      <c r="M177" s="4"/>
      <c r="N177" s="76"/>
      <c r="O177" s="76"/>
      <c r="P177" s="76" t="str">
        <f t="shared" si="26"/>
        <v>,shikkan159_start_date</v>
      </c>
      <c r="Q177" s="76" t="str">
        <f t="shared" si="27"/>
        <v>DATE</v>
      </c>
      <c r="R177" s="76" t="str">
        <f t="shared" si="28"/>
        <v/>
      </c>
      <c r="S177" s="76" t="str">
        <f t="shared" si="29"/>
        <v/>
      </c>
      <c r="T177" s="76" t="str">
        <f t="shared" si="30"/>
        <v>-- C311_疾患開始日</v>
      </c>
      <c r="U177" s="4" t="str">
        <f t="shared" si="24"/>
        <v>, CASE WHEN shikkan_disp_name = 'C311' THEN min_shikkan_start_date ::DATE ELSE NULL END AS shikkan159_start_date</v>
      </c>
      <c r="V177" s="25" t="str">
        <f t="shared" si="25"/>
        <v>, max(shikkan159_start_date)</v>
      </c>
      <c r="AA177" s="4"/>
      <c r="AB177" s="4"/>
      <c r="AC177" s="4"/>
      <c r="AD177" s="4"/>
      <c r="AE177" s="4"/>
      <c r="AF177" s="4"/>
      <c r="AG177" s="4"/>
      <c r="AH177" s="4"/>
      <c r="AI177" s="4"/>
      <c r="AJ177" s="76" t="str">
        <f>IF(E177="○",IF(COUNTA(E$13:E177)=1,"",",")&amp;D177,"")</f>
        <v/>
      </c>
      <c r="AK177" s="4"/>
      <c r="AL177" s="4"/>
      <c r="AM177" s="4"/>
      <c r="AN177" s="4"/>
      <c r="AO177" s="4"/>
      <c r="AP177" s="4"/>
      <c r="AQ177" s="4"/>
      <c r="AR177" s="4"/>
      <c r="AS177" s="76" t="str">
        <f>"COMMENT ON COLUMN "&amp;エンティティ一覧!$O$2&amp;"."&amp;D$8&amp;"."&amp;D177&amp;" IS '"&amp;C177&amp;"';"</f>
        <v>COMMENT ON COLUMN milscm_2023_009.sny_202310_annony_bef2.shikkan159_start_date IS 'C311_疾患開始日';</v>
      </c>
    </row>
    <row r="178" spans="1:45" s="25" customFormat="1">
      <c r="A178" s="4" t="s">
        <v>5313</v>
      </c>
      <c r="B178" s="21">
        <f t="shared" si="23"/>
        <v>166</v>
      </c>
      <c r="C178" s="13" t="s">
        <v>6703</v>
      </c>
      <c r="D178" s="13" t="s">
        <v>4928</v>
      </c>
      <c r="E178" s="8"/>
      <c r="F178" s="7" t="s">
        <v>4348</v>
      </c>
      <c r="G178" s="7" t="s">
        <v>25</v>
      </c>
      <c r="H178" s="58"/>
      <c r="I178" s="23"/>
      <c r="J178" s="24"/>
      <c r="M178" s="4"/>
      <c r="N178" s="76"/>
      <c r="O178" s="76"/>
      <c r="P178" s="76" t="str">
        <f t="shared" si="26"/>
        <v>,shikkan160_start_date</v>
      </c>
      <c r="Q178" s="76" t="str">
        <f t="shared" si="27"/>
        <v>DATE</v>
      </c>
      <c r="R178" s="76" t="str">
        <f t="shared" si="28"/>
        <v/>
      </c>
      <c r="S178" s="76" t="str">
        <f t="shared" si="29"/>
        <v/>
      </c>
      <c r="T178" s="76" t="str">
        <f t="shared" si="30"/>
        <v>-- C312_疾患開始日</v>
      </c>
      <c r="U178" s="4" t="str">
        <f t="shared" si="24"/>
        <v>, CASE WHEN shikkan_disp_name = 'C312' THEN min_shikkan_start_date ::DATE ELSE NULL END AS shikkan160_start_date</v>
      </c>
      <c r="V178" s="25" t="str">
        <f t="shared" si="25"/>
        <v>, max(shikkan160_start_date)</v>
      </c>
      <c r="AA178" s="4"/>
      <c r="AB178" s="4"/>
      <c r="AC178" s="4"/>
      <c r="AD178" s="4"/>
      <c r="AE178" s="4"/>
      <c r="AF178" s="4"/>
      <c r="AG178" s="4"/>
      <c r="AH178" s="4"/>
      <c r="AI178" s="4"/>
      <c r="AJ178" s="76" t="str">
        <f>IF(E178="○",IF(COUNTA(E$13:E178)=1,"",",")&amp;D178,"")</f>
        <v/>
      </c>
      <c r="AK178" s="4"/>
      <c r="AL178" s="4"/>
      <c r="AM178" s="4"/>
      <c r="AN178" s="4"/>
      <c r="AO178" s="4"/>
      <c r="AP178" s="4"/>
      <c r="AQ178" s="4"/>
      <c r="AR178" s="4"/>
      <c r="AS178" s="76" t="str">
        <f>"COMMENT ON COLUMN "&amp;エンティティ一覧!$O$2&amp;"."&amp;D$8&amp;"."&amp;D178&amp;" IS '"&amp;C178&amp;"';"</f>
        <v>COMMENT ON COLUMN milscm_2023_009.sny_202310_annony_bef2.shikkan160_start_date IS 'C312_疾患開始日';</v>
      </c>
    </row>
    <row r="179" spans="1:45" s="25" customFormat="1">
      <c r="A179" s="4" t="s">
        <v>5314</v>
      </c>
      <c r="B179" s="21">
        <f t="shared" si="23"/>
        <v>167</v>
      </c>
      <c r="C179" s="13" t="s">
        <v>6704</v>
      </c>
      <c r="D179" s="13" t="s">
        <v>4929</v>
      </c>
      <c r="E179" s="8"/>
      <c r="F179" s="7" t="s">
        <v>4348</v>
      </c>
      <c r="G179" s="7" t="s">
        <v>99</v>
      </c>
      <c r="H179" s="58"/>
      <c r="I179" s="23"/>
      <c r="J179" s="24"/>
      <c r="M179" s="4"/>
      <c r="N179" s="76"/>
      <c r="O179" s="76"/>
      <c r="P179" s="76" t="str">
        <f t="shared" si="26"/>
        <v>,shikkan161_start_date</v>
      </c>
      <c r="Q179" s="76" t="str">
        <f t="shared" si="27"/>
        <v>DATE</v>
      </c>
      <c r="R179" s="76" t="str">
        <f t="shared" si="28"/>
        <v/>
      </c>
      <c r="S179" s="76" t="str">
        <f t="shared" si="29"/>
        <v/>
      </c>
      <c r="T179" s="76" t="str">
        <f t="shared" si="30"/>
        <v>-- C313_疾患開始日</v>
      </c>
      <c r="U179" s="4" t="str">
        <f t="shared" si="24"/>
        <v>, CASE WHEN shikkan_disp_name = 'C313' THEN min_shikkan_start_date ::DATE ELSE NULL END AS shikkan161_start_date</v>
      </c>
      <c r="V179" s="25" t="str">
        <f t="shared" si="25"/>
        <v>, max(shikkan161_start_date)</v>
      </c>
      <c r="AA179" s="4"/>
      <c r="AB179" s="4"/>
      <c r="AC179" s="4"/>
      <c r="AD179" s="4"/>
      <c r="AE179" s="4"/>
      <c r="AF179" s="4"/>
      <c r="AG179" s="4"/>
      <c r="AH179" s="4"/>
      <c r="AI179" s="4"/>
      <c r="AJ179" s="76" t="str">
        <f>IF(E179="○",IF(COUNTA(E$13:E179)=1,"",",")&amp;D179,"")</f>
        <v/>
      </c>
      <c r="AK179" s="4"/>
      <c r="AL179" s="4"/>
      <c r="AM179" s="4"/>
      <c r="AN179" s="4"/>
      <c r="AO179" s="4"/>
      <c r="AP179" s="4"/>
      <c r="AQ179" s="4"/>
      <c r="AR179" s="4"/>
      <c r="AS179" s="76" t="str">
        <f>"COMMENT ON COLUMN "&amp;エンティティ一覧!$O$2&amp;"."&amp;D$8&amp;"."&amp;D179&amp;" IS '"&amp;C179&amp;"';"</f>
        <v>COMMENT ON COLUMN milscm_2023_009.sny_202310_annony_bef2.shikkan161_start_date IS 'C313_疾患開始日';</v>
      </c>
    </row>
    <row r="180" spans="1:45" s="25" customFormat="1">
      <c r="A180" s="4" t="s">
        <v>5315</v>
      </c>
      <c r="B180" s="21">
        <f t="shared" si="23"/>
        <v>168</v>
      </c>
      <c r="C180" s="13" t="s">
        <v>6705</v>
      </c>
      <c r="D180" s="13" t="s">
        <v>4930</v>
      </c>
      <c r="E180" s="8"/>
      <c r="F180" s="7" t="s">
        <v>4348</v>
      </c>
      <c r="G180" s="7" t="s">
        <v>25</v>
      </c>
      <c r="H180" s="58"/>
      <c r="I180" s="23"/>
      <c r="J180" s="24"/>
      <c r="M180" s="4"/>
      <c r="N180" s="76"/>
      <c r="O180" s="76"/>
      <c r="P180" s="76" t="str">
        <f t="shared" si="26"/>
        <v>,shikkan162_start_date</v>
      </c>
      <c r="Q180" s="76" t="str">
        <f t="shared" si="27"/>
        <v>DATE</v>
      </c>
      <c r="R180" s="76" t="str">
        <f t="shared" si="28"/>
        <v/>
      </c>
      <c r="S180" s="76" t="str">
        <f t="shared" si="29"/>
        <v/>
      </c>
      <c r="T180" s="76" t="str">
        <f t="shared" si="30"/>
        <v>-- C318_疾患開始日</v>
      </c>
      <c r="U180" s="4" t="str">
        <f t="shared" si="24"/>
        <v>, CASE WHEN shikkan_disp_name = 'C318' THEN min_shikkan_start_date ::DATE ELSE NULL END AS shikkan162_start_date</v>
      </c>
      <c r="V180" s="25" t="str">
        <f t="shared" si="25"/>
        <v>, max(shikkan162_start_date)</v>
      </c>
      <c r="AA180" s="4"/>
      <c r="AB180" s="4"/>
      <c r="AC180" s="4"/>
      <c r="AD180" s="4"/>
      <c r="AE180" s="4"/>
      <c r="AF180" s="4"/>
      <c r="AG180" s="4"/>
      <c r="AH180" s="4"/>
      <c r="AI180" s="4"/>
      <c r="AJ180" s="76" t="str">
        <f>IF(E180="○",IF(COUNTA(E$13:E180)=1,"",",")&amp;D180,"")</f>
        <v/>
      </c>
      <c r="AK180" s="4"/>
      <c r="AL180" s="4"/>
      <c r="AM180" s="4"/>
      <c r="AN180" s="4"/>
      <c r="AO180" s="4"/>
      <c r="AP180" s="4"/>
      <c r="AQ180" s="4"/>
      <c r="AR180" s="4"/>
      <c r="AS180" s="76" t="str">
        <f>"COMMENT ON COLUMN "&amp;エンティティ一覧!$O$2&amp;"."&amp;D$8&amp;"."&amp;D180&amp;" IS '"&amp;C180&amp;"';"</f>
        <v>COMMENT ON COLUMN milscm_2023_009.sny_202310_annony_bef2.shikkan162_start_date IS 'C318_疾患開始日';</v>
      </c>
    </row>
    <row r="181" spans="1:45" s="25" customFormat="1">
      <c r="A181" s="4" t="s">
        <v>5316</v>
      </c>
      <c r="B181" s="21">
        <f t="shared" si="23"/>
        <v>169</v>
      </c>
      <c r="C181" s="13" t="s">
        <v>6706</v>
      </c>
      <c r="D181" s="13" t="s">
        <v>4931</v>
      </c>
      <c r="E181" s="8"/>
      <c r="F181" s="7" t="s">
        <v>4348</v>
      </c>
      <c r="G181" s="7" t="s">
        <v>25</v>
      </c>
      <c r="H181" s="58"/>
      <c r="I181" s="23"/>
      <c r="J181" s="24"/>
      <c r="M181" s="4"/>
      <c r="N181" s="76"/>
      <c r="O181" s="76"/>
      <c r="P181" s="76" t="str">
        <f t="shared" si="26"/>
        <v>,shikkan163_start_date</v>
      </c>
      <c r="Q181" s="76" t="str">
        <f t="shared" si="27"/>
        <v>DATE</v>
      </c>
      <c r="R181" s="76" t="str">
        <f t="shared" si="28"/>
        <v/>
      </c>
      <c r="S181" s="76" t="str">
        <f t="shared" si="29"/>
        <v/>
      </c>
      <c r="T181" s="76" t="str">
        <f t="shared" si="30"/>
        <v>-- C319_疾患開始日</v>
      </c>
      <c r="U181" s="4" t="str">
        <f t="shared" si="24"/>
        <v>, CASE WHEN shikkan_disp_name = 'C319' THEN min_shikkan_start_date ::DATE ELSE NULL END AS shikkan163_start_date</v>
      </c>
      <c r="V181" s="25" t="str">
        <f t="shared" si="25"/>
        <v>, max(shikkan163_start_date)</v>
      </c>
      <c r="AA181" s="4"/>
      <c r="AB181" s="4"/>
      <c r="AC181" s="4"/>
      <c r="AD181" s="4"/>
      <c r="AE181" s="4"/>
      <c r="AF181" s="4"/>
      <c r="AG181" s="4"/>
      <c r="AH181" s="4"/>
      <c r="AI181" s="4"/>
      <c r="AJ181" s="76" t="str">
        <f>IF(E181="○",IF(COUNTA(E$13:E181)=1,"",",")&amp;D181,"")</f>
        <v/>
      </c>
      <c r="AK181" s="4"/>
      <c r="AL181" s="4"/>
      <c r="AM181" s="4"/>
      <c r="AN181" s="4"/>
      <c r="AO181" s="4"/>
      <c r="AP181" s="4"/>
      <c r="AQ181" s="4"/>
      <c r="AR181" s="4"/>
      <c r="AS181" s="76" t="str">
        <f>"COMMENT ON COLUMN "&amp;エンティティ一覧!$O$2&amp;"."&amp;D$8&amp;"."&amp;D181&amp;" IS '"&amp;C181&amp;"';"</f>
        <v>COMMENT ON COLUMN milscm_2023_009.sny_202310_annony_bef2.shikkan163_start_date IS 'C319_疾患開始日';</v>
      </c>
    </row>
    <row r="182" spans="1:45" s="25" customFormat="1">
      <c r="A182" s="4" t="s">
        <v>5317</v>
      </c>
      <c r="B182" s="21">
        <f t="shared" si="23"/>
        <v>170</v>
      </c>
      <c r="C182" s="13" t="s">
        <v>6707</v>
      </c>
      <c r="D182" s="13" t="s">
        <v>4932</v>
      </c>
      <c r="E182" s="8"/>
      <c r="F182" s="7" t="s">
        <v>4348</v>
      </c>
      <c r="G182" s="7" t="s">
        <v>25</v>
      </c>
      <c r="H182" s="58"/>
      <c r="I182" s="23"/>
      <c r="J182" s="24"/>
      <c r="M182" s="4"/>
      <c r="N182" s="76"/>
      <c r="O182" s="76"/>
      <c r="P182" s="76" t="str">
        <f t="shared" si="26"/>
        <v>,shikkan164_start_date</v>
      </c>
      <c r="Q182" s="76" t="str">
        <f t="shared" si="27"/>
        <v>DATE</v>
      </c>
      <c r="R182" s="76" t="str">
        <f t="shared" si="28"/>
        <v/>
      </c>
      <c r="S182" s="76" t="str">
        <f t="shared" si="29"/>
        <v/>
      </c>
      <c r="T182" s="76" t="str">
        <f t="shared" si="30"/>
        <v>-- C320_疾患開始日</v>
      </c>
      <c r="U182" s="4" t="str">
        <f t="shared" si="24"/>
        <v>, CASE WHEN shikkan_disp_name = 'C320' THEN min_shikkan_start_date ::DATE ELSE NULL END AS shikkan164_start_date</v>
      </c>
      <c r="V182" s="25" t="str">
        <f t="shared" si="25"/>
        <v>, max(shikkan164_start_date)</v>
      </c>
      <c r="AA182" s="4"/>
      <c r="AB182" s="4"/>
      <c r="AC182" s="4"/>
      <c r="AD182" s="4"/>
      <c r="AE182" s="4"/>
      <c r="AF182" s="4"/>
      <c r="AG182" s="4"/>
      <c r="AH182" s="4"/>
      <c r="AI182" s="4"/>
      <c r="AJ182" s="76" t="str">
        <f>IF(E182="○",IF(COUNTA(E$13:E182)=1,"",",")&amp;D182,"")</f>
        <v/>
      </c>
      <c r="AK182" s="4"/>
      <c r="AL182" s="4"/>
      <c r="AM182" s="4"/>
      <c r="AN182" s="4"/>
      <c r="AO182" s="4"/>
      <c r="AP182" s="4"/>
      <c r="AQ182" s="4"/>
      <c r="AR182" s="4"/>
      <c r="AS182" s="76" t="str">
        <f>"COMMENT ON COLUMN "&amp;エンティティ一覧!$O$2&amp;"."&amp;D$8&amp;"."&amp;D182&amp;" IS '"&amp;C182&amp;"';"</f>
        <v>COMMENT ON COLUMN milscm_2023_009.sny_202310_annony_bef2.shikkan164_start_date IS 'C320_疾患開始日';</v>
      </c>
    </row>
    <row r="183" spans="1:45" s="25" customFormat="1">
      <c r="A183" s="4" t="s">
        <v>5318</v>
      </c>
      <c r="B183" s="21">
        <f t="shared" si="23"/>
        <v>171</v>
      </c>
      <c r="C183" s="13" t="s">
        <v>6708</v>
      </c>
      <c r="D183" s="13" t="s">
        <v>4933</v>
      </c>
      <c r="E183" s="8"/>
      <c r="F183" s="7" t="s">
        <v>4348</v>
      </c>
      <c r="G183" s="7" t="s">
        <v>25</v>
      </c>
      <c r="H183" s="58"/>
      <c r="I183" s="23"/>
      <c r="J183" s="24"/>
      <c r="M183" s="4"/>
      <c r="N183" s="76"/>
      <c r="O183" s="76"/>
      <c r="P183" s="76" t="str">
        <f t="shared" si="26"/>
        <v>,shikkan165_start_date</v>
      </c>
      <c r="Q183" s="76" t="str">
        <f t="shared" si="27"/>
        <v>DATE</v>
      </c>
      <c r="R183" s="76" t="str">
        <f t="shared" si="28"/>
        <v/>
      </c>
      <c r="S183" s="76" t="str">
        <f t="shared" si="29"/>
        <v/>
      </c>
      <c r="T183" s="76" t="str">
        <f t="shared" si="30"/>
        <v>-- C321_疾患開始日</v>
      </c>
      <c r="U183" s="4" t="str">
        <f t="shared" si="24"/>
        <v>, CASE WHEN shikkan_disp_name = 'C321' THEN min_shikkan_start_date ::DATE ELSE NULL END AS shikkan165_start_date</v>
      </c>
      <c r="V183" s="25" t="str">
        <f t="shared" si="25"/>
        <v>, max(shikkan165_start_date)</v>
      </c>
      <c r="AA183" s="4"/>
      <c r="AB183" s="4"/>
      <c r="AC183" s="4"/>
      <c r="AD183" s="4"/>
      <c r="AE183" s="4"/>
      <c r="AF183" s="4"/>
      <c r="AG183" s="4"/>
      <c r="AH183" s="4"/>
      <c r="AI183" s="4"/>
      <c r="AJ183" s="76" t="str">
        <f>IF(E183="○",IF(COUNTA(E$13:E183)=1,"",",")&amp;D183,"")</f>
        <v/>
      </c>
      <c r="AK183" s="4"/>
      <c r="AL183" s="4"/>
      <c r="AM183" s="4"/>
      <c r="AN183" s="4"/>
      <c r="AO183" s="4"/>
      <c r="AP183" s="4"/>
      <c r="AQ183" s="4"/>
      <c r="AR183" s="4"/>
      <c r="AS183" s="76" t="str">
        <f>"COMMENT ON COLUMN "&amp;エンティティ一覧!$O$2&amp;"."&amp;D$8&amp;"."&amp;D183&amp;" IS '"&amp;C183&amp;"';"</f>
        <v>COMMENT ON COLUMN milscm_2023_009.sny_202310_annony_bef2.shikkan165_start_date IS 'C321_疾患開始日';</v>
      </c>
    </row>
    <row r="184" spans="1:45" s="25" customFormat="1">
      <c r="A184" s="4" t="s">
        <v>5319</v>
      </c>
      <c r="B184" s="21">
        <f t="shared" si="23"/>
        <v>172</v>
      </c>
      <c r="C184" s="13" t="s">
        <v>6709</v>
      </c>
      <c r="D184" s="13" t="s">
        <v>4934</v>
      </c>
      <c r="E184" s="8"/>
      <c r="F184" s="7" t="s">
        <v>4348</v>
      </c>
      <c r="G184" s="7" t="s">
        <v>25</v>
      </c>
      <c r="H184" s="58"/>
      <c r="I184" s="23"/>
      <c r="J184" s="24"/>
      <c r="M184" s="4"/>
      <c r="N184" s="76"/>
      <c r="O184" s="76"/>
      <c r="P184" s="76" t="str">
        <f t="shared" si="26"/>
        <v>,shikkan166_start_date</v>
      </c>
      <c r="Q184" s="76" t="str">
        <f t="shared" si="27"/>
        <v>DATE</v>
      </c>
      <c r="R184" s="76" t="str">
        <f t="shared" si="28"/>
        <v/>
      </c>
      <c r="S184" s="76" t="str">
        <f t="shared" si="29"/>
        <v/>
      </c>
      <c r="T184" s="76" t="str">
        <f t="shared" si="30"/>
        <v>-- C322_疾患開始日</v>
      </c>
      <c r="U184" s="4" t="str">
        <f t="shared" si="24"/>
        <v>, CASE WHEN shikkan_disp_name = 'C322' THEN min_shikkan_start_date ::DATE ELSE NULL END AS shikkan166_start_date</v>
      </c>
      <c r="V184" s="25" t="str">
        <f t="shared" si="25"/>
        <v>, max(shikkan166_start_date)</v>
      </c>
      <c r="AA184" s="4"/>
      <c r="AB184" s="4"/>
      <c r="AC184" s="4"/>
      <c r="AD184" s="4"/>
      <c r="AE184" s="4"/>
      <c r="AF184" s="4"/>
      <c r="AG184" s="4"/>
      <c r="AH184" s="4"/>
      <c r="AI184" s="4"/>
      <c r="AJ184" s="76" t="str">
        <f>IF(E184="○",IF(COUNTA(E$13:E184)=1,"",",")&amp;D184,"")</f>
        <v/>
      </c>
      <c r="AK184" s="4"/>
      <c r="AL184" s="4"/>
      <c r="AM184" s="4"/>
      <c r="AN184" s="4"/>
      <c r="AO184" s="4"/>
      <c r="AP184" s="4"/>
      <c r="AQ184" s="4"/>
      <c r="AR184" s="4"/>
      <c r="AS184" s="76" t="str">
        <f>"COMMENT ON COLUMN "&amp;エンティティ一覧!$O$2&amp;"."&amp;D$8&amp;"."&amp;D184&amp;" IS '"&amp;C184&amp;"';"</f>
        <v>COMMENT ON COLUMN milscm_2023_009.sny_202310_annony_bef2.shikkan166_start_date IS 'C322_疾患開始日';</v>
      </c>
    </row>
    <row r="185" spans="1:45" s="25" customFormat="1">
      <c r="A185" s="4" t="s">
        <v>5320</v>
      </c>
      <c r="B185" s="21">
        <f t="shared" si="23"/>
        <v>173</v>
      </c>
      <c r="C185" s="13" t="s">
        <v>6710</v>
      </c>
      <c r="D185" s="13" t="s">
        <v>4935</v>
      </c>
      <c r="E185" s="8"/>
      <c r="F185" s="7" t="s">
        <v>4348</v>
      </c>
      <c r="G185" s="7" t="s">
        <v>25</v>
      </c>
      <c r="H185" s="58"/>
      <c r="I185" s="23"/>
      <c r="J185" s="24"/>
      <c r="M185" s="4"/>
      <c r="N185" s="76"/>
      <c r="O185" s="76"/>
      <c r="P185" s="76" t="str">
        <f t="shared" si="26"/>
        <v>,shikkan167_start_date</v>
      </c>
      <c r="Q185" s="76" t="str">
        <f t="shared" si="27"/>
        <v>DATE</v>
      </c>
      <c r="R185" s="76" t="str">
        <f t="shared" si="28"/>
        <v/>
      </c>
      <c r="S185" s="76" t="str">
        <f t="shared" si="29"/>
        <v/>
      </c>
      <c r="T185" s="76" t="str">
        <f t="shared" si="30"/>
        <v>-- C323_疾患開始日</v>
      </c>
      <c r="U185" s="4" t="str">
        <f t="shared" si="24"/>
        <v>, CASE WHEN shikkan_disp_name = 'C323' THEN min_shikkan_start_date ::DATE ELSE NULL END AS shikkan167_start_date</v>
      </c>
      <c r="V185" s="25" t="str">
        <f t="shared" si="25"/>
        <v>, max(shikkan167_start_date)</v>
      </c>
      <c r="AA185" s="4"/>
      <c r="AB185" s="4"/>
      <c r="AC185" s="4"/>
      <c r="AD185" s="4"/>
      <c r="AE185" s="4"/>
      <c r="AF185" s="4"/>
      <c r="AG185" s="4"/>
      <c r="AH185" s="4"/>
      <c r="AI185" s="4"/>
      <c r="AJ185" s="76" t="str">
        <f>IF(E185="○",IF(COUNTA(E$13:E185)=1,"",",")&amp;D185,"")</f>
        <v/>
      </c>
      <c r="AK185" s="4"/>
      <c r="AL185" s="4"/>
      <c r="AM185" s="4"/>
      <c r="AN185" s="4"/>
      <c r="AO185" s="4"/>
      <c r="AP185" s="4"/>
      <c r="AQ185" s="4"/>
      <c r="AR185" s="4"/>
      <c r="AS185" s="76" t="str">
        <f>"COMMENT ON COLUMN "&amp;エンティティ一覧!$O$2&amp;"."&amp;D$8&amp;"."&amp;D185&amp;" IS '"&amp;C185&amp;"';"</f>
        <v>COMMENT ON COLUMN milscm_2023_009.sny_202310_annony_bef2.shikkan167_start_date IS 'C323_疾患開始日';</v>
      </c>
    </row>
    <row r="186" spans="1:45" s="25" customFormat="1">
      <c r="A186" s="4" t="s">
        <v>5321</v>
      </c>
      <c r="B186" s="21">
        <f t="shared" si="23"/>
        <v>174</v>
      </c>
      <c r="C186" s="13" t="s">
        <v>6711</v>
      </c>
      <c r="D186" s="13" t="s">
        <v>4936</v>
      </c>
      <c r="E186" s="8"/>
      <c r="F186" s="7" t="s">
        <v>4348</v>
      </c>
      <c r="G186" s="7" t="s">
        <v>25</v>
      </c>
      <c r="H186" s="58"/>
      <c r="I186" s="23"/>
      <c r="J186" s="24"/>
      <c r="M186" s="4"/>
      <c r="N186" s="76"/>
      <c r="O186" s="76"/>
      <c r="P186" s="76" t="str">
        <f t="shared" si="26"/>
        <v>,shikkan168_start_date</v>
      </c>
      <c r="Q186" s="76" t="str">
        <f t="shared" si="27"/>
        <v>DATE</v>
      </c>
      <c r="R186" s="76" t="str">
        <f t="shared" si="28"/>
        <v/>
      </c>
      <c r="S186" s="76" t="str">
        <f t="shared" si="29"/>
        <v/>
      </c>
      <c r="T186" s="76" t="str">
        <f t="shared" si="30"/>
        <v>-- C328_疾患開始日</v>
      </c>
      <c r="U186" s="4" t="str">
        <f t="shared" si="24"/>
        <v>, CASE WHEN shikkan_disp_name = 'C328' THEN min_shikkan_start_date ::DATE ELSE NULL END AS shikkan168_start_date</v>
      </c>
      <c r="V186" s="25" t="str">
        <f t="shared" si="25"/>
        <v>, max(shikkan168_start_date)</v>
      </c>
      <c r="AA186" s="4"/>
      <c r="AB186" s="4"/>
      <c r="AC186" s="4"/>
      <c r="AD186" s="4"/>
      <c r="AE186" s="4"/>
      <c r="AF186" s="4"/>
      <c r="AG186" s="4"/>
      <c r="AH186" s="4"/>
      <c r="AI186" s="4"/>
      <c r="AJ186" s="76" t="str">
        <f>IF(E186="○",IF(COUNTA(E$13:E186)=1,"",",")&amp;D186,"")</f>
        <v/>
      </c>
      <c r="AK186" s="4"/>
      <c r="AL186" s="4"/>
      <c r="AM186" s="4"/>
      <c r="AN186" s="4"/>
      <c r="AO186" s="4"/>
      <c r="AP186" s="4"/>
      <c r="AQ186" s="4"/>
      <c r="AR186" s="4"/>
      <c r="AS186" s="76" t="str">
        <f>"COMMENT ON COLUMN "&amp;エンティティ一覧!$O$2&amp;"."&amp;D$8&amp;"."&amp;D186&amp;" IS '"&amp;C186&amp;"';"</f>
        <v>COMMENT ON COLUMN milscm_2023_009.sny_202310_annony_bef2.shikkan168_start_date IS 'C328_疾患開始日';</v>
      </c>
    </row>
    <row r="187" spans="1:45" s="25" customFormat="1">
      <c r="A187" s="4" t="s">
        <v>5322</v>
      </c>
      <c r="B187" s="21">
        <f t="shared" si="23"/>
        <v>175</v>
      </c>
      <c r="C187" s="13" t="s">
        <v>6712</v>
      </c>
      <c r="D187" s="13" t="s">
        <v>4937</v>
      </c>
      <c r="E187" s="8"/>
      <c r="F187" s="7" t="s">
        <v>4348</v>
      </c>
      <c r="G187" s="7" t="s">
        <v>25</v>
      </c>
      <c r="H187" s="58"/>
      <c r="I187" s="23"/>
      <c r="J187" s="24"/>
      <c r="M187" s="4"/>
      <c r="N187" s="76"/>
      <c r="O187" s="76"/>
      <c r="P187" s="76" t="str">
        <f t="shared" si="26"/>
        <v>,shikkan169_start_date</v>
      </c>
      <c r="Q187" s="76" t="str">
        <f t="shared" si="27"/>
        <v>DATE</v>
      </c>
      <c r="R187" s="76" t="str">
        <f t="shared" si="28"/>
        <v/>
      </c>
      <c r="S187" s="76" t="str">
        <f t="shared" si="29"/>
        <v/>
      </c>
      <c r="T187" s="76" t="str">
        <f t="shared" si="30"/>
        <v>-- C329_疾患開始日</v>
      </c>
      <c r="U187" s="4" t="str">
        <f t="shared" si="24"/>
        <v>, CASE WHEN shikkan_disp_name = 'C329' THEN min_shikkan_start_date ::DATE ELSE NULL END AS shikkan169_start_date</v>
      </c>
      <c r="V187" s="25" t="str">
        <f t="shared" si="25"/>
        <v>, max(shikkan169_start_date)</v>
      </c>
      <c r="AA187" s="4"/>
      <c r="AB187" s="4"/>
      <c r="AC187" s="4"/>
      <c r="AD187" s="4"/>
      <c r="AE187" s="4"/>
      <c r="AF187" s="4"/>
      <c r="AG187" s="4"/>
      <c r="AH187" s="4"/>
      <c r="AI187" s="4"/>
      <c r="AJ187" s="76" t="str">
        <f>IF(E187="○",IF(COUNTA(E$13:E187)=1,"",",")&amp;D187,"")</f>
        <v/>
      </c>
      <c r="AK187" s="4"/>
      <c r="AL187" s="4"/>
      <c r="AM187" s="4"/>
      <c r="AN187" s="4"/>
      <c r="AO187" s="4"/>
      <c r="AP187" s="4"/>
      <c r="AQ187" s="4"/>
      <c r="AR187" s="4"/>
      <c r="AS187" s="76" t="str">
        <f>"COMMENT ON COLUMN "&amp;エンティティ一覧!$O$2&amp;"."&amp;D$8&amp;"."&amp;D187&amp;" IS '"&amp;C187&amp;"';"</f>
        <v>COMMENT ON COLUMN milscm_2023_009.sny_202310_annony_bef2.shikkan169_start_date IS 'C329_疾患開始日';</v>
      </c>
    </row>
    <row r="188" spans="1:45" s="25" customFormat="1">
      <c r="A188" s="4" t="s">
        <v>5146</v>
      </c>
      <c r="B188" s="21">
        <f t="shared" si="23"/>
        <v>176</v>
      </c>
      <c r="C188" s="13" t="s">
        <v>4756</v>
      </c>
      <c r="D188" s="13" t="s">
        <v>4938</v>
      </c>
      <c r="E188" s="8"/>
      <c r="F188" s="7" t="s">
        <v>4348</v>
      </c>
      <c r="G188" s="7" t="s">
        <v>25</v>
      </c>
      <c r="H188" s="58"/>
      <c r="I188" s="23"/>
      <c r="J188" s="24"/>
      <c r="M188" s="4"/>
      <c r="N188" s="76"/>
      <c r="O188" s="76"/>
      <c r="P188" s="76" t="str">
        <f t="shared" si="26"/>
        <v>,shikkan170_start_date</v>
      </c>
      <c r="Q188" s="76" t="str">
        <f t="shared" si="27"/>
        <v>DATE</v>
      </c>
      <c r="R188" s="76" t="str">
        <f t="shared" si="28"/>
        <v/>
      </c>
      <c r="S188" s="76" t="str">
        <f t="shared" si="29"/>
        <v/>
      </c>
      <c r="T188" s="76" t="str">
        <f t="shared" si="30"/>
        <v>-- C33_疾患開始日</v>
      </c>
      <c r="U188" s="4" t="str">
        <f t="shared" si="24"/>
        <v>, CASE WHEN shikkan_disp_name = 'C33' THEN min_shikkan_start_date ::DATE ELSE NULL END AS shikkan170_start_date</v>
      </c>
      <c r="V188" s="25" t="str">
        <f t="shared" si="25"/>
        <v>, max(shikkan170_start_date)</v>
      </c>
      <c r="AA188" s="4"/>
      <c r="AB188" s="4"/>
      <c r="AC188" s="4"/>
      <c r="AD188" s="4"/>
      <c r="AE188" s="4"/>
      <c r="AF188" s="4"/>
      <c r="AG188" s="4"/>
      <c r="AH188" s="4"/>
      <c r="AI188" s="4"/>
      <c r="AJ188" s="76" t="str">
        <f>IF(E188="○",IF(COUNTA(E$13:E188)=1,"",",")&amp;D188,"")</f>
        <v/>
      </c>
      <c r="AK188" s="4"/>
      <c r="AL188" s="4"/>
      <c r="AM188" s="4"/>
      <c r="AN188" s="4"/>
      <c r="AO188" s="4"/>
      <c r="AP188" s="4"/>
      <c r="AQ188" s="4"/>
      <c r="AR188" s="4"/>
      <c r="AS188" s="76" t="str">
        <f>"COMMENT ON COLUMN "&amp;エンティティ一覧!$O$2&amp;"."&amp;D$8&amp;"."&amp;D188&amp;" IS '"&amp;C188&amp;"';"</f>
        <v>COMMENT ON COLUMN milscm_2023_009.sny_202310_annony_bef2.shikkan170_start_date IS 'C33_疾患開始日';</v>
      </c>
    </row>
    <row r="189" spans="1:45" s="25" customFormat="1">
      <c r="A189" s="4" t="s">
        <v>5323</v>
      </c>
      <c r="B189" s="21">
        <f t="shared" si="23"/>
        <v>177</v>
      </c>
      <c r="C189" s="13" t="s">
        <v>6713</v>
      </c>
      <c r="D189" s="13" t="s">
        <v>4939</v>
      </c>
      <c r="E189" s="8"/>
      <c r="F189" s="7" t="s">
        <v>4348</v>
      </c>
      <c r="G189" s="7" t="s">
        <v>25</v>
      </c>
      <c r="H189" s="58"/>
      <c r="I189" s="23"/>
      <c r="J189" s="24"/>
      <c r="M189" s="4"/>
      <c r="N189" s="76"/>
      <c r="O189" s="76"/>
      <c r="P189" s="76" t="str">
        <f t="shared" si="26"/>
        <v>,shikkan171_start_date</v>
      </c>
      <c r="Q189" s="76" t="str">
        <f t="shared" si="27"/>
        <v>DATE</v>
      </c>
      <c r="R189" s="76" t="str">
        <f t="shared" si="28"/>
        <v/>
      </c>
      <c r="S189" s="76" t="str">
        <f t="shared" si="29"/>
        <v/>
      </c>
      <c r="T189" s="76" t="str">
        <f t="shared" si="30"/>
        <v>-- C340_疾患開始日</v>
      </c>
      <c r="U189" s="4" t="str">
        <f t="shared" si="24"/>
        <v>, CASE WHEN shikkan_disp_name = 'C340' THEN min_shikkan_start_date ::DATE ELSE NULL END AS shikkan171_start_date</v>
      </c>
      <c r="V189" s="25" t="str">
        <f t="shared" si="25"/>
        <v>, max(shikkan171_start_date)</v>
      </c>
      <c r="AA189" s="4"/>
      <c r="AB189" s="4"/>
      <c r="AC189" s="4"/>
      <c r="AD189" s="4"/>
      <c r="AE189" s="4"/>
      <c r="AF189" s="4"/>
      <c r="AG189" s="4"/>
      <c r="AH189" s="4"/>
      <c r="AI189" s="4"/>
      <c r="AJ189" s="76" t="str">
        <f>IF(E189="○",IF(COUNTA(E$13:E189)=1,"",",")&amp;D189,"")</f>
        <v/>
      </c>
      <c r="AK189" s="4"/>
      <c r="AL189" s="4"/>
      <c r="AM189" s="4"/>
      <c r="AN189" s="4"/>
      <c r="AO189" s="4"/>
      <c r="AP189" s="4"/>
      <c r="AQ189" s="4"/>
      <c r="AR189" s="4"/>
      <c r="AS189" s="76" t="str">
        <f>"COMMENT ON COLUMN "&amp;エンティティ一覧!$O$2&amp;"."&amp;D$8&amp;"."&amp;D189&amp;" IS '"&amp;C189&amp;"';"</f>
        <v>COMMENT ON COLUMN milscm_2023_009.sny_202310_annony_bef2.shikkan171_start_date IS 'C340_疾患開始日';</v>
      </c>
    </row>
    <row r="190" spans="1:45" s="25" customFormat="1">
      <c r="A190" s="4" t="s">
        <v>5324</v>
      </c>
      <c r="B190" s="21">
        <f t="shared" si="23"/>
        <v>178</v>
      </c>
      <c r="C190" s="13" t="s">
        <v>6714</v>
      </c>
      <c r="D190" s="13" t="s">
        <v>4940</v>
      </c>
      <c r="E190" s="8"/>
      <c r="F190" s="7" t="s">
        <v>4348</v>
      </c>
      <c r="G190" s="7" t="s">
        <v>25</v>
      </c>
      <c r="H190" s="58"/>
      <c r="I190" s="23"/>
      <c r="J190" s="24"/>
      <c r="M190" s="4"/>
      <c r="N190" s="76"/>
      <c r="O190" s="76"/>
      <c r="P190" s="76" t="str">
        <f t="shared" si="26"/>
        <v>,shikkan172_start_date</v>
      </c>
      <c r="Q190" s="76" t="str">
        <f t="shared" si="27"/>
        <v>DATE</v>
      </c>
      <c r="R190" s="76" t="str">
        <f t="shared" si="28"/>
        <v/>
      </c>
      <c r="S190" s="76" t="str">
        <f t="shared" si="29"/>
        <v/>
      </c>
      <c r="T190" s="76" t="str">
        <f t="shared" si="30"/>
        <v>-- C341_疾患開始日</v>
      </c>
      <c r="U190" s="4" t="str">
        <f t="shared" si="24"/>
        <v>, CASE WHEN shikkan_disp_name = 'C341' THEN min_shikkan_start_date ::DATE ELSE NULL END AS shikkan172_start_date</v>
      </c>
      <c r="V190" s="25" t="str">
        <f t="shared" si="25"/>
        <v>, max(shikkan172_start_date)</v>
      </c>
      <c r="AA190" s="4"/>
      <c r="AB190" s="4"/>
      <c r="AC190" s="4"/>
      <c r="AD190" s="4"/>
      <c r="AE190" s="4"/>
      <c r="AF190" s="4"/>
      <c r="AG190" s="4"/>
      <c r="AH190" s="4"/>
      <c r="AI190" s="4"/>
      <c r="AJ190" s="76" t="str">
        <f>IF(E190="○",IF(COUNTA(E$13:E190)=1,"",",")&amp;D190,"")</f>
        <v/>
      </c>
      <c r="AK190" s="4"/>
      <c r="AL190" s="4"/>
      <c r="AM190" s="4"/>
      <c r="AN190" s="4"/>
      <c r="AO190" s="4"/>
      <c r="AP190" s="4"/>
      <c r="AQ190" s="4"/>
      <c r="AR190" s="4"/>
      <c r="AS190" s="76" t="str">
        <f>"COMMENT ON COLUMN "&amp;エンティティ一覧!$O$2&amp;"."&amp;D$8&amp;"."&amp;D190&amp;" IS '"&amp;C190&amp;"';"</f>
        <v>COMMENT ON COLUMN milscm_2023_009.sny_202310_annony_bef2.shikkan172_start_date IS 'C341_疾患開始日';</v>
      </c>
    </row>
    <row r="191" spans="1:45" s="25" customFormat="1">
      <c r="A191" s="4" t="s">
        <v>5325</v>
      </c>
      <c r="B191" s="21">
        <f t="shared" si="23"/>
        <v>179</v>
      </c>
      <c r="C191" s="13" t="s">
        <v>6715</v>
      </c>
      <c r="D191" s="13" t="s">
        <v>4941</v>
      </c>
      <c r="E191" s="8"/>
      <c r="F191" s="7" t="s">
        <v>4348</v>
      </c>
      <c r="G191" s="7" t="s">
        <v>25</v>
      </c>
      <c r="H191" s="58"/>
      <c r="I191" s="23"/>
      <c r="J191" s="24"/>
      <c r="M191" s="4"/>
      <c r="N191" s="76"/>
      <c r="O191" s="76"/>
      <c r="P191" s="76" t="str">
        <f t="shared" si="26"/>
        <v>,shikkan173_start_date</v>
      </c>
      <c r="Q191" s="76" t="str">
        <f t="shared" si="27"/>
        <v>DATE</v>
      </c>
      <c r="R191" s="76" t="str">
        <f t="shared" si="28"/>
        <v/>
      </c>
      <c r="S191" s="76" t="str">
        <f t="shared" si="29"/>
        <v/>
      </c>
      <c r="T191" s="76" t="str">
        <f t="shared" si="30"/>
        <v>-- C342_疾患開始日</v>
      </c>
      <c r="U191" s="4" t="str">
        <f t="shared" si="24"/>
        <v>, CASE WHEN shikkan_disp_name = 'C342' THEN min_shikkan_start_date ::DATE ELSE NULL END AS shikkan173_start_date</v>
      </c>
      <c r="V191" s="25" t="str">
        <f t="shared" si="25"/>
        <v>, max(shikkan173_start_date)</v>
      </c>
      <c r="AA191" s="4"/>
      <c r="AB191" s="4"/>
      <c r="AC191" s="4"/>
      <c r="AD191" s="4"/>
      <c r="AE191" s="4"/>
      <c r="AF191" s="4"/>
      <c r="AG191" s="4"/>
      <c r="AH191" s="4"/>
      <c r="AI191" s="4"/>
      <c r="AJ191" s="76" t="str">
        <f>IF(E191="○",IF(COUNTA(E$13:E191)=1,"",",")&amp;D191,"")</f>
        <v/>
      </c>
      <c r="AK191" s="4"/>
      <c r="AL191" s="4"/>
      <c r="AM191" s="4"/>
      <c r="AN191" s="4"/>
      <c r="AO191" s="4"/>
      <c r="AP191" s="4"/>
      <c r="AQ191" s="4"/>
      <c r="AR191" s="4"/>
      <c r="AS191" s="76" t="str">
        <f>"COMMENT ON COLUMN "&amp;エンティティ一覧!$O$2&amp;"."&amp;D$8&amp;"."&amp;D191&amp;" IS '"&amp;C191&amp;"';"</f>
        <v>COMMENT ON COLUMN milscm_2023_009.sny_202310_annony_bef2.shikkan173_start_date IS 'C342_疾患開始日';</v>
      </c>
    </row>
    <row r="192" spans="1:45" s="25" customFormat="1">
      <c r="A192" s="4" t="s">
        <v>5326</v>
      </c>
      <c r="B192" s="21">
        <f t="shared" si="23"/>
        <v>180</v>
      </c>
      <c r="C192" s="13" t="s">
        <v>6716</v>
      </c>
      <c r="D192" s="13" t="s">
        <v>4942</v>
      </c>
      <c r="E192" s="8"/>
      <c r="F192" s="7" t="s">
        <v>4348</v>
      </c>
      <c r="G192" s="7" t="s">
        <v>25</v>
      </c>
      <c r="H192" s="58"/>
      <c r="I192" s="23"/>
      <c r="J192" s="24"/>
      <c r="M192" s="4"/>
      <c r="N192" s="76"/>
      <c r="O192" s="76"/>
      <c r="P192" s="76" t="str">
        <f t="shared" si="26"/>
        <v>,shikkan174_start_date</v>
      </c>
      <c r="Q192" s="76" t="str">
        <f t="shared" si="27"/>
        <v>DATE</v>
      </c>
      <c r="R192" s="76" t="str">
        <f t="shared" si="28"/>
        <v/>
      </c>
      <c r="S192" s="76" t="str">
        <f t="shared" si="29"/>
        <v/>
      </c>
      <c r="T192" s="76" t="str">
        <f t="shared" si="30"/>
        <v>-- C343_疾患開始日</v>
      </c>
      <c r="U192" s="4" t="str">
        <f t="shared" si="24"/>
        <v>, CASE WHEN shikkan_disp_name = 'C343' THEN min_shikkan_start_date ::DATE ELSE NULL END AS shikkan174_start_date</v>
      </c>
      <c r="V192" s="25" t="str">
        <f t="shared" si="25"/>
        <v>, max(shikkan174_start_date)</v>
      </c>
      <c r="AA192" s="4"/>
      <c r="AB192" s="4"/>
      <c r="AC192" s="4"/>
      <c r="AD192" s="4"/>
      <c r="AE192" s="4"/>
      <c r="AF192" s="4"/>
      <c r="AG192" s="4"/>
      <c r="AH192" s="4"/>
      <c r="AI192" s="4"/>
      <c r="AJ192" s="76" t="str">
        <f>IF(E192="○",IF(COUNTA(E$13:E192)=1,"",",")&amp;D192,"")</f>
        <v/>
      </c>
      <c r="AK192" s="4"/>
      <c r="AL192" s="4"/>
      <c r="AM192" s="4"/>
      <c r="AN192" s="4"/>
      <c r="AO192" s="4"/>
      <c r="AP192" s="4"/>
      <c r="AQ192" s="4"/>
      <c r="AR192" s="4"/>
      <c r="AS192" s="76" t="str">
        <f>"COMMENT ON COLUMN "&amp;エンティティ一覧!$O$2&amp;"."&amp;D$8&amp;"."&amp;D192&amp;" IS '"&amp;C192&amp;"';"</f>
        <v>COMMENT ON COLUMN milscm_2023_009.sny_202310_annony_bef2.shikkan174_start_date IS 'C343_疾患開始日';</v>
      </c>
    </row>
    <row r="193" spans="1:45" s="25" customFormat="1">
      <c r="A193" s="4" t="s">
        <v>5327</v>
      </c>
      <c r="B193" s="21">
        <f t="shared" si="23"/>
        <v>181</v>
      </c>
      <c r="C193" s="13" t="s">
        <v>6717</v>
      </c>
      <c r="D193" s="13" t="s">
        <v>4943</v>
      </c>
      <c r="E193" s="8"/>
      <c r="F193" s="7" t="s">
        <v>4348</v>
      </c>
      <c r="G193" s="7" t="s">
        <v>25</v>
      </c>
      <c r="H193" s="58"/>
      <c r="I193" s="23"/>
      <c r="J193" s="24"/>
      <c r="M193" s="4"/>
      <c r="N193" s="76"/>
      <c r="O193" s="76"/>
      <c r="P193" s="76" t="str">
        <f t="shared" si="26"/>
        <v>,shikkan175_start_date</v>
      </c>
      <c r="Q193" s="76" t="str">
        <f t="shared" si="27"/>
        <v>DATE</v>
      </c>
      <c r="R193" s="76" t="str">
        <f t="shared" si="28"/>
        <v/>
      </c>
      <c r="S193" s="76" t="str">
        <f t="shared" si="29"/>
        <v/>
      </c>
      <c r="T193" s="76" t="str">
        <f t="shared" si="30"/>
        <v>-- C348_疾患開始日</v>
      </c>
      <c r="U193" s="4" t="str">
        <f t="shared" si="24"/>
        <v>, CASE WHEN shikkan_disp_name = 'C348' THEN min_shikkan_start_date ::DATE ELSE NULL END AS shikkan175_start_date</v>
      </c>
      <c r="V193" s="25" t="str">
        <f t="shared" si="25"/>
        <v>, max(shikkan175_start_date)</v>
      </c>
      <c r="AA193" s="4"/>
      <c r="AB193" s="4"/>
      <c r="AC193" s="4"/>
      <c r="AD193" s="4"/>
      <c r="AE193" s="4"/>
      <c r="AF193" s="4"/>
      <c r="AG193" s="4"/>
      <c r="AH193" s="4"/>
      <c r="AI193" s="4"/>
      <c r="AJ193" s="76" t="str">
        <f>IF(E193="○",IF(COUNTA(E$13:E193)=1,"",",")&amp;D193,"")</f>
        <v/>
      </c>
      <c r="AK193" s="4"/>
      <c r="AL193" s="4"/>
      <c r="AM193" s="4"/>
      <c r="AN193" s="4"/>
      <c r="AO193" s="4"/>
      <c r="AP193" s="4"/>
      <c r="AQ193" s="4"/>
      <c r="AR193" s="4"/>
      <c r="AS193" s="76" t="str">
        <f>"COMMENT ON COLUMN "&amp;エンティティ一覧!$O$2&amp;"."&amp;D$8&amp;"."&amp;D193&amp;" IS '"&amp;C193&amp;"';"</f>
        <v>COMMENT ON COLUMN milscm_2023_009.sny_202310_annony_bef2.shikkan175_start_date IS 'C348_疾患開始日';</v>
      </c>
    </row>
    <row r="194" spans="1:45" s="25" customFormat="1">
      <c r="A194" s="4" t="s">
        <v>5328</v>
      </c>
      <c r="B194" s="21">
        <f t="shared" si="23"/>
        <v>182</v>
      </c>
      <c r="C194" s="13" t="s">
        <v>6718</v>
      </c>
      <c r="D194" s="13" t="s">
        <v>4944</v>
      </c>
      <c r="E194" s="8"/>
      <c r="F194" s="7" t="s">
        <v>4348</v>
      </c>
      <c r="G194" s="7" t="s">
        <v>25</v>
      </c>
      <c r="H194" s="58"/>
      <c r="I194" s="23"/>
      <c r="J194" s="24"/>
      <c r="M194" s="4"/>
      <c r="N194" s="76"/>
      <c r="O194" s="76"/>
      <c r="P194" s="76" t="str">
        <f t="shared" si="26"/>
        <v>,shikkan176_start_date</v>
      </c>
      <c r="Q194" s="76" t="str">
        <f t="shared" si="27"/>
        <v>DATE</v>
      </c>
      <c r="R194" s="76" t="str">
        <f t="shared" si="28"/>
        <v/>
      </c>
      <c r="S194" s="76" t="str">
        <f t="shared" si="29"/>
        <v/>
      </c>
      <c r="T194" s="76" t="str">
        <f t="shared" si="30"/>
        <v>-- C349_疾患開始日</v>
      </c>
      <c r="U194" s="4" t="str">
        <f t="shared" si="24"/>
        <v>, CASE WHEN shikkan_disp_name = 'C349' THEN min_shikkan_start_date ::DATE ELSE NULL END AS shikkan176_start_date</v>
      </c>
      <c r="V194" s="25" t="str">
        <f t="shared" si="25"/>
        <v>, max(shikkan176_start_date)</v>
      </c>
      <c r="AA194" s="4"/>
      <c r="AB194" s="4"/>
      <c r="AC194" s="4"/>
      <c r="AD194" s="4"/>
      <c r="AE194" s="4"/>
      <c r="AF194" s="4"/>
      <c r="AG194" s="4"/>
      <c r="AH194" s="4"/>
      <c r="AI194" s="4"/>
      <c r="AJ194" s="76" t="str">
        <f>IF(E194="○",IF(COUNTA(E$13:E194)=1,"",",")&amp;D194,"")</f>
        <v/>
      </c>
      <c r="AK194" s="4"/>
      <c r="AL194" s="4"/>
      <c r="AM194" s="4"/>
      <c r="AN194" s="4"/>
      <c r="AO194" s="4"/>
      <c r="AP194" s="4"/>
      <c r="AQ194" s="4"/>
      <c r="AR194" s="4"/>
      <c r="AS194" s="76" t="str">
        <f>"COMMENT ON COLUMN "&amp;エンティティ一覧!$O$2&amp;"."&amp;D$8&amp;"."&amp;D194&amp;" IS '"&amp;C194&amp;"';"</f>
        <v>COMMENT ON COLUMN milscm_2023_009.sny_202310_annony_bef2.shikkan176_start_date IS 'C349_疾患開始日';</v>
      </c>
    </row>
    <row r="195" spans="1:45" s="25" customFormat="1">
      <c r="A195" s="4" t="s">
        <v>5147</v>
      </c>
      <c r="B195" s="21">
        <f t="shared" si="23"/>
        <v>183</v>
      </c>
      <c r="C195" s="13" t="s">
        <v>4757</v>
      </c>
      <c r="D195" s="13" t="s">
        <v>4945</v>
      </c>
      <c r="E195" s="8"/>
      <c r="F195" s="7" t="s">
        <v>4348</v>
      </c>
      <c r="G195" s="7" t="s">
        <v>99</v>
      </c>
      <c r="H195" s="58"/>
      <c r="I195" s="23"/>
      <c r="J195" s="24"/>
      <c r="M195" s="4"/>
      <c r="N195" s="76"/>
      <c r="O195" s="76"/>
      <c r="P195" s="76" t="str">
        <f t="shared" si="26"/>
        <v>,shikkan177_start_date</v>
      </c>
      <c r="Q195" s="76" t="str">
        <f t="shared" si="27"/>
        <v>DATE</v>
      </c>
      <c r="R195" s="76" t="str">
        <f t="shared" si="28"/>
        <v/>
      </c>
      <c r="S195" s="76" t="str">
        <f t="shared" si="29"/>
        <v/>
      </c>
      <c r="T195" s="76" t="str">
        <f t="shared" si="30"/>
        <v>-- C37_疾患開始日</v>
      </c>
      <c r="U195" s="4" t="str">
        <f t="shared" si="24"/>
        <v>, CASE WHEN shikkan_disp_name = 'C37' THEN min_shikkan_start_date ::DATE ELSE NULL END AS shikkan177_start_date</v>
      </c>
      <c r="V195" s="25" t="str">
        <f t="shared" si="25"/>
        <v>, max(shikkan177_start_date)</v>
      </c>
      <c r="AA195" s="4"/>
      <c r="AB195" s="4"/>
      <c r="AC195" s="4"/>
      <c r="AD195" s="4"/>
      <c r="AE195" s="4"/>
      <c r="AF195" s="4"/>
      <c r="AG195" s="4"/>
      <c r="AH195" s="4"/>
      <c r="AI195" s="4"/>
      <c r="AJ195" s="76" t="str">
        <f>IF(E195="○",IF(COUNTA(E$13:E195)=1,"",",")&amp;D195,"")</f>
        <v/>
      </c>
      <c r="AK195" s="4"/>
      <c r="AL195" s="4"/>
      <c r="AM195" s="4"/>
      <c r="AN195" s="4"/>
      <c r="AO195" s="4"/>
      <c r="AP195" s="4"/>
      <c r="AQ195" s="4"/>
      <c r="AR195" s="4"/>
      <c r="AS195" s="76" t="str">
        <f>"COMMENT ON COLUMN "&amp;エンティティ一覧!$O$2&amp;"."&amp;D$8&amp;"."&amp;D195&amp;" IS '"&amp;C195&amp;"';"</f>
        <v>COMMENT ON COLUMN milscm_2023_009.sny_202310_annony_bef2.shikkan177_start_date IS 'C37_疾患開始日';</v>
      </c>
    </row>
    <row r="196" spans="1:45" s="25" customFormat="1">
      <c r="A196" s="4" t="s">
        <v>5329</v>
      </c>
      <c r="B196" s="21">
        <f t="shared" si="23"/>
        <v>184</v>
      </c>
      <c r="C196" s="13" t="s">
        <v>6719</v>
      </c>
      <c r="D196" s="13" t="s">
        <v>4946</v>
      </c>
      <c r="E196" s="8"/>
      <c r="F196" s="7" t="s">
        <v>4348</v>
      </c>
      <c r="G196" s="7" t="s">
        <v>25</v>
      </c>
      <c r="H196" s="58"/>
      <c r="I196" s="23"/>
      <c r="J196" s="24"/>
      <c r="M196" s="4"/>
      <c r="N196" s="76"/>
      <c r="O196" s="76"/>
      <c r="P196" s="76" t="str">
        <f t="shared" si="26"/>
        <v>,shikkan178_start_date</v>
      </c>
      <c r="Q196" s="76" t="str">
        <f t="shared" si="27"/>
        <v>DATE</v>
      </c>
      <c r="R196" s="76" t="str">
        <f t="shared" si="28"/>
        <v/>
      </c>
      <c r="S196" s="76" t="str">
        <f t="shared" si="29"/>
        <v/>
      </c>
      <c r="T196" s="76" t="str">
        <f t="shared" si="30"/>
        <v>-- C380_疾患開始日</v>
      </c>
      <c r="U196" s="4" t="str">
        <f t="shared" si="24"/>
        <v>, CASE WHEN shikkan_disp_name = 'C380' THEN min_shikkan_start_date ::DATE ELSE NULL END AS shikkan178_start_date</v>
      </c>
      <c r="V196" s="25" t="str">
        <f t="shared" si="25"/>
        <v>, max(shikkan178_start_date)</v>
      </c>
      <c r="AA196" s="4"/>
      <c r="AB196" s="4"/>
      <c r="AC196" s="4"/>
      <c r="AD196" s="4"/>
      <c r="AE196" s="4"/>
      <c r="AF196" s="4"/>
      <c r="AG196" s="4"/>
      <c r="AH196" s="4"/>
      <c r="AI196" s="4"/>
      <c r="AJ196" s="76" t="str">
        <f>IF(E196="○",IF(COUNTA(E$13:E196)=1,"",",")&amp;D196,"")</f>
        <v/>
      </c>
      <c r="AK196" s="4"/>
      <c r="AL196" s="4"/>
      <c r="AM196" s="4"/>
      <c r="AN196" s="4"/>
      <c r="AO196" s="4"/>
      <c r="AP196" s="4"/>
      <c r="AQ196" s="4"/>
      <c r="AR196" s="4"/>
      <c r="AS196" s="76" t="str">
        <f>"COMMENT ON COLUMN "&amp;エンティティ一覧!$O$2&amp;"."&amp;D$8&amp;"."&amp;D196&amp;" IS '"&amp;C196&amp;"';"</f>
        <v>COMMENT ON COLUMN milscm_2023_009.sny_202310_annony_bef2.shikkan178_start_date IS 'C380_疾患開始日';</v>
      </c>
    </row>
    <row r="197" spans="1:45" s="25" customFormat="1">
      <c r="A197" s="4" t="s">
        <v>5330</v>
      </c>
      <c r="B197" s="21">
        <f t="shared" si="23"/>
        <v>185</v>
      </c>
      <c r="C197" s="13" t="s">
        <v>6720</v>
      </c>
      <c r="D197" s="13" t="s">
        <v>4947</v>
      </c>
      <c r="E197" s="8"/>
      <c r="F197" s="7" t="s">
        <v>4348</v>
      </c>
      <c r="G197" s="7" t="s">
        <v>25</v>
      </c>
      <c r="H197" s="58"/>
      <c r="I197" s="23"/>
      <c r="J197" s="24"/>
      <c r="M197" s="4"/>
      <c r="N197" s="76"/>
      <c r="O197" s="76"/>
      <c r="P197" s="76" t="str">
        <f t="shared" si="26"/>
        <v>,shikkan179_start_date</v>
      </c>
      <c r="Q197" s="76" t="str">
        <f t="shared" si="27"/>
        <v>DATE</v>
      </c>
      <c r="R197" s="76" t="str">
        <f t="shared" si="28"/>
        <v/>
      </c>
      <c r="S197" s="76" t="str">
        <f t="shared" si="29"/>
        <v/>
      </c>
      <c r="T197" s="76" t="str">
        <f t="shared" si="30"/>
        <v>-- C381_疾患開始日</v>
      </c>
      <c r="U197" s="4" t="str">
        <f t="shared" si="24"/>
        <v>, CASE WHEN shikkan_disp_name = 'C381' THEN min_shikkan_start_date ::DATE ELSE NULL END AS shikkan179_start_date</v>
      </c>
      <c r="V197" s="25" t="str">
        <f t="shared" si="25"/>
        <v>, max(shikkan179_start_date)</v>
      </c>
      <c r="AA197" s="4"/>
      <c r="AB197" s="4"/>
      <c r="AC197" s="4"/>
      <c r="AD197" s="4"/>
      <c r="AE197" s="4"/>
      <c r="AF197" s="4"/>
      <c r="AG197" s="4"/>
      <c r="AH197" s="4"/>
      <c r="AI197" s="4"/>
      <c r="AJ197" s="76" t="str">
        <f>IF(E197="○",IF(COUNTA(E$13:E197)=1,"",",")&amp;D197,"")</f>
        <v/>
      </c>
      <c r="AK197" s="4"/>
      <c r="AL197" s="4"/>
      <c r="AM197" s="4"/>
      <c r="AN197" s="4"/>
      <c r="AO197" s="4"/>
      <c r="AP197" s="4"/>
      <c r="AQ197" s="4"/>
      <c r="AR197" s="4"/>
      <c r="AS197" s="76" t="str">
        <f>"COMMENT ON COLUMN "&amp;エンティティ一覧!$O$2&amp;"."&amp;D$8&amp;"."&amp;D197&amp;" IS '"&amp;C197&amp;"';"</f>
        <v>COMMENT ON COLUMN milscm_2023_009.sny_202310_annony_bef2.shikkan179_start_date IS 'C381_疾患開始日';</v>
      </c>
    </row>
    <row r="198" spans="1:45" s="25" customFormat="1">
      <c r="A198" s="4" t="s">
        <v>5331</v>
      </c>
      <c r="B198" s="21">
        <f t="shared" si="23"/>
        <v>186</v>
      </c>
      <c r="C198" s="13" t="s">
        <v>6721</v>
      </c>
      <c r="D198" s="13" t="s">
        <v>4948</v>
      </c>
      <c r="E198" s="8"/>
      <c r="F198" s="7" t="s">
        <v>4348</v>
      </c>
      <c r="G198" s="7" t="s">
        <v>25</v>
      </c>
      <c r="H198" s="58"/>
      <c r="I198" s="23"/>
      <c r="J198" s="24"/>
      <c r="M198" s="4"/>
      <c r="N198" s="76"/>
      <c r="O198" s="76"/>
      <c r="P198" s="76" t="str">
        <f t="shared" si="26"/>
        <v>,shikkan180_start_date</v>
      </c>
      <c r="Q198" s="76" t="str">
        <f t="shared" si="27"/>
        <v>DATE</v>
      </c>
      <c r="R198" s="76" t="str">
        <f t="shared" si="28"/>
        <v/>
      </c>
      <c r="S198" s="76" t="str">
        <f t="shared" si="29"/>
        <v/>
      </c>
      <c r="T198" s="76" t="str">
        <f t="shared" si="30"/>
        <v>-- C382_疾患開始日</v>
      </c>
      <c r="U198" s="4" t="str">
        <f t="shared" si="24"/>
        <v>, CASE WHEN shikkan_disp_name = 'C382' THEN min_shikkan_start_date ::DATE ELSE NULL END AS shikkan180_start_date</v>
      </c>
      <c r="V198" s="25" t="str">
        <f t="shared" si="25"/>
        <v>, max(shikkan180_start_date)</v>
      </c>
      <c r="AA198" s="4"/>
      <c r="AB198" s="4"/>
      <c r="AC198" s="4"/>
      <c r="AD198" s="4"/>
      <c r="AE198" s="4"/>
      <c r="AF198" s="4"/>
      <c r="AG198" s="4"/>
      <c r="AH198" s="4"/>
      <c r="AI198" s="4"/>
      <c r="AJ198" s="76" t="str">
        <f>IF(E198="○",IF(COUNTA(E$13:E198)=1,"",",")&amp;D198,"")</f>
        <v/>
      </c>
      <c r="AK198" s="4"/>
      <c r="AL198" s="4"/>
      <c r="AM198" s="4"/>
      <c r="AN198" s="4"/>
      <c r="AO198" s="4"/>
      <c r="AP198" s="4"/>
      <c r="AQ198" s="4"/>
      <c r="AR198" s="4"/>
      <c r="AS198" s="76" t="str">
        <f>"COMMENT ON COLUMN "&amp;エンティティ一覧!$O$2&amp;"."&amp;D$8&amp;"."&amp;D198&amp;" IS '"&amp;C198&amp;"';"</f>
        <v>COMMENT ON COLUMN milscm_2023_009.sny_202310_annony_bef2.shikkan180_start_date IS 'C382_疾患開始日';</v>
      </c>
    </row>
    <row r="199" spans="1:45" s="25" customFormat="1">
      <c r="A199" s="4" t="s">
        <v>5332</v>
      </c>
      <c r="B199" s="21">
        <f t="shared" si="23"/>
        <v>187</v>
      </c>
      <c r="C199" s="13" t="s">
        <v>6722</v>
      </c>
      <c r="D199" s="13" t="s">
        <v>4949</v>
      </c>
      <c r="E199" s="8"/>
      <c r="F199" s="7" t="s">
        <v>4348</v>
      </c>
      <c r="G199" s="7" t="s">
        <v>25</v>
      </c>
      <c r="H199" s="58"/>
      <c r="I199" s="23"/>
      <c r="J199" s="24"/>
      <c r="M199" s="4"/>
      <c r="N199" s="76"/>
      <c r="O199" s="76"/>
      <c r="P199" s="76" t="str">
        <f t="shared" si="26"/>
        <v>,shikkan181_start_date</v>
      </c>
      <c r="Q199" s="76" t="str">
        <f t="shared" si="27"/>
        <v>DATE</v>
      </c>
      <c r="R199" s="76" t="str">
        <f t="shared" si="28"/>
        <v/>
      </c>
      <c r="S199" s="76" t="str">
        <f t="shared" si="29"/>
        <v/>
      </c>
      <c r="T199" s="76" t="str">
        <f t="shared" si="30"/>
        <v>-- C383_疾患開始日</v>
      </c>
      <c r="U199" s="4" t="str">
        <f t="shared" si="24"/>
        <v>, CASE WHEN shikkan_disp_name = 'C383' THEN min_shikkan_start_date ::DATE ELSE NULL END AS shikkan181_start_date</v>
      </c>
      <c r="V199" s="25" t="str">
        <f t="shared" si="25"/>
        <v>, max(shikkan181_start_date)</v>
      </c>
      <c r="AA199" s="4"/>
      <c r="AB199" s="4"/>
      <c r="AC199" s="4"/>
      <c r="AD199" s="4"/>
      <c r="AE199" s="4"/>
      <c r="AF199" s="4"/>
      <c r="AG199" s="4"/>
      <c r="AH199" s="4"/>
      <c r="AI199" s="4"/>
      <c r="AJ199" s="76" t="str">
        <f>IF(E199="○",IF(COUNTA(E$13:E199)=1,"",",")&amp;D199,"")</f>
        <v/>
      </c>
      <c r="AK199" s="4"/>
      <c r="AL199" s="4"/>
      <c r="AM199" s="4"/>
      <c r="AN199" s="4"/>
      <c r="AO199" s="4"/>
      <c r="AP199" s="4"/>
      <c r="AQ199" s="4"/>
      <c r="AR199" s="4"/>
      <c r="AS199" s="76" t="str">
        <f>"COMMENT ON COLUMN "&amp;エンティティ一覧!$O$2&amp;"."&amp;D$8&amp;"."&amp;D199&amp;" IS '"&amp;C199&amp;"';"</f>
        <v>COMMENT ON COLUMN milscm_2023_009.sny_202310_annony_bef2.shikkan181_start_date IS 'C383_疾患開始日';</v>
      </c>
    </row>
    <row r="200" spans="1:45" s="25" customFormat="1">
      <c r="A200" s="4" t="s">
        <v>5333</v>
      </c>
      <c r="B200" s="21">
        <f t="shared" si="23"/>
        <v>188</v>
      </c>
      <c r="C200" s="13" t="s">
        <v>6723</v>
      </c>
      <c r="D200" s="13" t="s">
        <v>4950</v>
      </c>
      <c r="E200" s="8"/>
      <c r="F200" s="7" t="s">
        <v>4348</v>
      </c>
      <c r="G200" s="7" t="s">
        <v>25</v>
      </c>
      <c r="H200" s="58"/>
      <c r="I200" s="23"/>
      <c r="J200" s="24"/>
      <c r="M200" s="4"/>
      <c r="N200" s="76"/>
      <c r="O200" s="76"/>
      <c r="P200" s="76" t="str">
        <f t="shared" si="26"/>
        <v>,shikkan182_start_date</v>
      </c>
      <c r="Q200" s="76" t="str">
        <f t="shared" si="27"/>
        <v>DATE</v>
      </c>
      <c r="R200" s="76" t="str">
        <f t="shared" si="28"/>
        <v/>
      </c>
      <c r="S200" s="76" t="str">
        <f t="shared" si="29"/>
        <v/>
      </c>
      <c r="T200" s="76" t="str">
        <f t="shared" si="30"/>
        <v>-- C384_疾患開始日</v>
      </c>
      <c r="U200" s="4" t="str">
        <f t="shared" si="24"/>
        <v>, CASE WHEN shikkan_disp_name = 'C384' THEN min_shikkan_start_date ::DATE ELSE NULL END AS shikkan182_start_date</v>
      </c>
      <c r="V200" s="25" t="str">
        <f t="shared" si="25"/>
        <v>, max(shikkan182_start_date)</v>
      </c>
      <c r="AA200" s="4"/>
      <c r="AB200" s="4"/>
      <c r="AC200" s="4"/>
      <c r="AD200" s="4"/>
      <c r="AE200" s="4"/>
      <c r="AF200" s="4"/>
      <c r="AG200" s="4"/>
      <c r="AH200" s="4"/>
      <c r="AI200" s="4"/>
      <c r="AJ200" s="76" t="str">
        <f>IF(E200="○",IF(COUNTA(E$13:E200)=1,"",",")&amp;D200,"")</f>
        <v/>
      </c>
      <c r="AK200" s="4"/>
      <c r="AL200" s="4"/>
      <c r="AM200" s="4"/>
      <c r="AN200" s="4"/>
      <c r="AO200" s="4"/>
      <c r="AP200" s="4"/>
      <c r="AQ200" s="4"/>
      <c r="AR200" s="4"/>
      <c r="AS200" s="76" t="str">
        <f>"COMMENT ON COLUMN "&amp;エンティティ一覧!$O$2&amp;"."&amp;D$8&amp;"."&amp;D200&amp;" IS '"&amp;C200&amp;"';"</f>
        <v>COMMENT ON COLUMN milscm_2023_009.sny_202310_annony_bef2.shikkan182_start_date IS 'C384_疾患開始日';</v>
      </c>
    </row>
    <row r="201" spans="1:45" s="25" customFormat="1">
      <c r="A201" s="4" t="s">
        <v>5334</v>
      </c>
      <c r="B201" s="21">
        <f t="shared" si="23"/>
        <v>189</v>
      </c>
      <c r="C201" s="13" t="s">
        <v>6724</v>
      </c>
      <c r="D201" s="13" t="s">
        <v>4951</v>
      </c>
      <c r="E201" s="8"/>
      <c r="F201" s="7" t="s">
        <v>4348</v>
      </c>
      <c r="G201" s="7" t="s">
        <v>25</v>
      </c>
      <c r="H201" s="58"/>
      <c r="I201" s="23"/>
      <c r="J201" s="24"/>
      <c r="M201" s="4"/>
      <c r="N201" s="76"/>
      <c r="O201" s="76"/>
      <c r="P201" s="76" t="str">
        <f t="shared" si="26"/>
        <v>,shikkan183_start_date</v>
      </c>
      <c r="Q201" s="76" t="str">
        <f t="shared" si="27"/>
        <v>DATE</v>
      </c>
      <c r="R201" s="76" t="str">
        <f t="shared" si="28"/>
        <v/>
      </c>
      <c r="S201" s="76" t="str">
        <f t="shared" si="29"/>
        <v/>
      </c>
      <c r="T201" s="76" t="str">
        <f t="shared" si="30"/>
        <v>-- C388_疾患開始日</v>
      </c>
      <c r="U201" s="4" t="str">
        <f t="shared" si="24"/>
        <v>, CASE WHEN shikkan_disp_name = 'C388' THEN min_shikkan_start_date ::DATE ELSE NULL END AS shikkan183_start_date</v>
      </c>
      <c r="V201" s="25" t="str">
        <f t="shared" si="25"/>
        <v>, max(shikkan183_start_date)</v>
      </c>
      <c r="AA201" s="4"/>
      <c r="AB201" s="4"/>
      <c r="AC201" s="4"/>
      <c r="AD201" s="4"/>
      <c r="AE201" s="4"/>
      <c r="AF201" s="4"/>
      <c r="AG201" s="4"/>
      <c r="AH201" s="4"/>
      <c r="AI201" s="4"/>
      <c r="AJ201" s="76" t="str">
        <f>IF(E201="○",IF(COUNTA(E$13:E201)=1,"",",")&amp;D201,"")</f>
        <v/>
      </c>
      <c r="AK201" s="4"/>
      <c r="AL201" s="4"/>
      <c r="AM201" s="4"/>
      <c r="AN201" s="4"/>
      <c r="AO201" s="4"/>
      <c r="AP201" s="4"/>
      <c r="AQ201" s="4"/>
      <c r="AR201" s="4"/>
      <c r="AS201" s="76" t="str">
        <f>"COMMENT ON COLUMN "&amp;エンティティ一覧!$O$2&amp;"."&amp;D$8&amp;"."&amp;D201&amp;" IS '"&amp;C201&amp;"';"</f>
        <v>COMMENT ON COLUMN milscm_2023_009.sny_202310_annony_bef2.shikkan183_start_date IS 'C388_疾患開始日';</v>
      </c>
    </row>
    <row r="202" spans="1:45" s="25" customFormat="1">
      <c r="A202" s="4" t="s">
        <v>5335</v>
      </c>
      <c r="B202" s="21">
        <f t="shared" si="23"/>
        <v>190</v>
      </c>
      <c r="C202" s="13" t="s">
        <v>6725</v>
      </c>
      <c r="D202" s="13" t="s">
        <v>4952</v>
      </c>
      <c r="E202" s="8"/>
      <c r="F202" s="7" t="s">
        <v>4348</v>
      </c>
      <c r="G202" s="7" t="s">
        <v>25</v>
      </c>
      <c r="H202" s="58"/>
      <c r="I202" s="23"/>
      <c r="J202" s="24"/>
      <c r="M202" s="4"/>
      <c r="N202" s="76"/>
      <c r="O202" s="76"/>
      <c r="P202" s="76" t="str">
        <f t="shared" si="26"/>
        <v>,shikkan184_start_date</v>
      </c>
      <c r="Q202" s="76" t="str">
        <f t="shared" si="27"/>
        <v>DATE</v>
      </c>
      <c r="R202" s="76" t="str">
        <f t="shared" si="28"/>
        <v/>
      </c>
      <c r="S202" s="76" t="str">
        <f t="shared" si="29"/>
        <v/>
      </c>
      <c r="T202" s="76" t="str">
        <f t="shared" si="30"/>
        <v>-- C390_疾患開始日</v>
      </c>
      <c r="U202" s="4" t="str">
        <f t="shared" si="24"/>
        <v>, CASE WHEN shikkan_disp_name = 'C390' THEN min_shikkan_start_date ::DATE ELSE NULL END AS shikkan184_start_date</v>
      </c>
      <c r="V202" s="25" t="str">
        <f t="shared" si="25"/>
        <v>, max(shikkan184_start_date)</v>
      </c>
      <c r="AA202" s="4"/>
      <c r="AB202" s="4"/>
      <c r="AC202" s="4"/>
      <c r="AD202" s="4"/>
      <c r="AE202" s="4"/>
      <c r="AF202" s="4"/>
      <c r="AG202" s="4"/>
      <c r="AH202" s="4"/>
      <c r="AI202" s="4"/>
      <c r="AJ202" s="76" t="str">
        <f>IF(E202="○",IF(COUNTA(E$13:E202)=1,"",",")&amp;D202,"")</f>
        <v/>
      </c>
      <c r="AK202" s="4"/>
      <c r="AL202" s="4"/>
      <c r="AM202" s="4"/>
      <c r="AN202" s="4"/>
      <c r="AO202" s="4"/>
      <c r="AP202" s="4"/>
      <c r="AQ202" s="4"/>
      <c r="AR202" s="4"/>
      <c r="AS202" s="76" t="str">
        <f>"COMMENT ON COLUMN "&amp;エンティティ一覧!$O$2&amp;"."&amp;D$8&amp;"."&amp;D202&amp;" IS '"&amp;C202&amp;"';"</f>
        <v>COMMENT ON COLUMN milscm_2023_009.sny_202310_annony_bef2.shikkan184_start_date IS 'C390_疾患開始日';</v>
      </c>
    </row>
    <row r="203" spans="1:45" s="25" customFormat="1">
      <c r="A203" s="4" t="s">
        <v>5336</v>
      </c>
      <c r="B203" s="21">
        <f t="shared" si="23"/>
        <v>191</v>
      </c>
      <c r="C203" s="13" t="s">
        <v>6726</v>
      </c>
      <c r="D203" s="13" t="s">
        <v>4953</v>
      </c>
      <c r="E203" s="8"/>
      <c r="F203" s="7" t="s">
        <v>4348</v>
      </c>
      <c r="G203" s="7" t="s">
        <v>25</v>
      </c>
      <c r="H203" s="58"/>
      <c r="I203" s="23"/>
      <c r="J203" s="24"/>
      <c r="M203" s="4"/>
      <c r="N203" s="76"/>
      <c r="O203" s="76"/>
      <c r="P203" s="76" t="str">
        <f t="shared" si="26"/>
        <v>,shikkan185_start_date</v>
      </c>
      <c r="Q203" s="76" t="str">
        <f t="shared" si="27"/>
        <v>DATE</v>
      </c>
      <c r="R203" s="76" t="str">
        <f t="shared" si="28"/>
        <v/>
      </c>
      <c r="S203" s="76" t="str">
        <f t="shared" si="29"/>
        <v/>
      </c>
      <c r="T203" s="76" t="str">
        <f t="shared" si="30"/>
        <v>-- C398_疾患開始日</v>
      </c>
      <c r="U203" s="4" t="str">
        <f t="shared" si="24"/>
        <v>, CASE WHEN shikkan_disp_name = 'C398' THEN min_shikkan_start_date ::DATE ELSE NULL END AS shikkan185_start_date</v>
      </c>
      <c r="V203" s="25" t="str">
        <f t="shared" si="25"/>
        <v>, max(shikkan185_start_date)</v>
      </c>
      <c r="AA203" s="4"/>
      <c r="AB203" s="4"/>
      <c r="AC203" s="4"/>
      <c r="AD203" s="4"/>
      <c r="AE203" s="4"/>
      <c r="AF203" s="4"/>
      <c r="AG203" s="4"/>
      <c r="AH203" s="4"/>
      <c r="AI203" s="4"/>
      <c r="AJ203" s="76" t="str">
        <f>IF(E203="○",IF(COUNTA(E$13:E203)=1,"",",")&amp;D203,"")</f>
        <v/>
      </c>
      <c r="AK203" s="4"/>
      <c r="AL203" s="4"/>
      <c r="AM203" s="4"/>
      <c r="AN203" s="4"/>
      <c r="AO203" s="4"/>
      <c r="AP203" s="4"/>
      <c r="AQ203" s="4"/>
      <c r="AR203" s="4"/>
      <c r="AS203" s="76" t="str">
        <f>"COMMENT ON COLUMN "&amp;エンティティ一覧!$O$2&amp;"."&amp;D$8&amp;"."&amp;D203&amp;" IS '"&amp;C203&amp;"';"</f>
        <v>COMMENT ON COLUMN milscm_2023_009.sny_202310_annony_bef2.shikkan185_start_date IS 'C398_疾患開始日';</v>
      </c>
    </row>
    <row r="204" spans="1:45" s="25" customFormat="1">
      <c r="A204" s="4" t="s">
        <v>5337</v>
      </c>
      <c r="B204" s="21">
        <f t="shared" si="23"/>
        <v>192</v>
      </c>
      <c r="C204" s="13" t="s">
        <v>6727</v>
      </c>
      <c r="D204" s="13" t="s">
        <v>4954</v>
      </c>
      <c r="E204" s="8"/>
      <c r="F204" s="7" t="s">
        <v>4348</v>
      </c>
      <c r="G204" s="7" t="s">
        <v>25</v>
      </c>
      <c r="H204" s="58"/>
      <c r="I204" s="23"/>
      <c r="J204" s="24"/>
      <c r="M204" s="4"/>
      <c r="N204" s="76"/>
      <c r="O204" s="76"/>
      <c r="P204" s="76" t="str">
        <f t="shared" si="26"/>
        <v>,shikkan186_start_date</v>
      </c>
      <c r="Q204" s="76" t="str">
        <f t="shared" si="27"/>
        <v>DATE</v>
      </c>
      <c r="R204" s="76" t="str">
        <f t="shared" si="28"/>
        <v/>
      </c>
      <c r="S204" s="76" t="str">
        <f t="shared" si="29"/>
        <v/>
      </c>
      <c r="T204" s="76" t="str">
        <f t="shared" si="30"/>
        <v>-- C399_疾患開始日</v>
      </c>
      <c r="U204" s="4" t="str">
        <f t="shared" si="24"/>
        <v>, CASE WHEN shikkan_disp_name = 'C399' THEN min_shikkan_start_date ::DATE ELSE NULL END AS shikkan186_start_date</v>
      </c>
      <c r="V204" s="25" t="str">
        <f t="shared" si="25"/>
        <v>, max(shikkan186_start_date)</v>
      </c>
      <c r="AA204" s="4"/>
      <c r="AB204" s="4"/>
      <c r="AC204" s="4"/>
      <c r="AD204" s="4"/>
      <c r="AE204" s="4"/>
      <c r="AF204" s="4"/>
      <c r="AG204" s="4"/>
      <c r="AH204" s="4"/>
      <c r="AI204" s="4"/>
      <c r="AJ204" s="76" t="str">
        <f>IF(E204="○",IF(COUNTA(E$13:E204)=1,"",",")&amp;D204,"")</f>
        <v/>
      </c>
      <c r="AK204" s="4"/>
      <c r="AL204" s="4"/>
      <c r="AM204" s="4"/>
      <c r="AN204" s="4"/>
      <c r="AO204" s="4"/>
      <c r="AP204" s="4"/>
      <c r="AQ204" s="4"/>
      <c r="AR204" s="4"/>
      <c r="AS204" s="76" t="str">
        <f>"COMMENT ON COLUMN "&amp;エンティティ一覧!$O$2&amp;"."&amp;D$8&amp;"."&amp;D204&amp;" IS '"&amp;C204&amp;"';"</f>
        <v>COMMENT ON COLUMN milscm_2023_009.sny_202310_annony_bef2.shikkan186_start_date IS 'C399_疾患開始日';</v>
      </c>
    </row>
    <row r="205" spans="1:45" s="25" customFormat="1">
      <c r="A205" s="4" t="s">
        <v>5338</v>
      </c>
      <c r="B205" s="21">
        <f t="shared" si="23"/>
        <v>193</v>
      </c>
      <c r="C205" s="13" t="s">
        <v>6728</v>
      </c>
      <c r="D205" s="13" t="s">
        <v>4955</v>
      </c>
      <c r="E205" s="8"/>
      <c r="F205" s="7" t="s">
        <v>4348</v>
      </c>
      <c r="G205" s="7" t="s">
        <v>25</v>
      </c>
      <c r="H205" s="58"/>
      <c r="I205" s="23"/>
      <c r="J205" s="24"/>
      <c r="M205" s="4"/>
      <c r="N205" s="76"/>
      <c r="O205" s="76"/>
      <c r="P205" s="76" t="str">
        <f t="shared" si="26"/>
        <v>,shikkan187_start_date</v>
      </c>
      <c r="Q205" s="76" t="str">
        <f t="shared" si="27"/>
        <v>DATE</v>
      </c>
      <c r="R205" s="76" t="str">
        <f t="shared" si="28"/>
        <v/>
      </c>
      <c r="S205" s="76" t="str">
        <f t="shared" si="29"/>
        <v/>
      </c>
      <c r="T205" s="76" t="str">
        <f t="shared" si="30"/>
        <v>-- C400_疾患開始日</v>
      </c>
      <c r="U205" s="4" t="str">
        <f t="shared" si="24"/>
        <v>, CASE WHEN shikkan_disp_name = 'C400' THEN min_shikkan_start_date ::DATE ELSE NULL END AS shikkan187_start_date</v>
      </c>
      <c r="V205" s="25" t="str">
        <f t="shared" si="25"/>
        <v>, max(shikkan187_start_date)</v>
      </c>
      <c r="AA205" s="4"/>
      <c r="AB205" s="4"/>
      <c r="AC205" s="4"/>
      <c r="AD205" s="4"/>
      <c r="AE205" s="4"/>
      <c r="AF205" s="4"/>
      <c r="AG205" s="4"/>
      <c r="AH205" s="4"/>
      <c r="AI205" s="4"/>
      <c r="AJ205" s="76" t="str">
        <f>IF(E205="○",IF(COUNTA(E$13:E205)=1,"",",")&amp;D205,"")</f>
        <v/>
      </c>
      <c r="AK205" s="4"/>
      <c r="AL205" s="4"/>
      <c r="AM205" s="4"/>
      <c r="AN205" s="4"/>
      <c r="AO205" s="4"/>
      <c r="AP205" s="4"/>
      <c r="AQ205" s="4"/>
      <c r="AR205" s="4"/>
      <c r="AS205" s="76" t="str">
        <f>"COMMENT ON COLUMN "&amp;エンティティ一覧!$O$2&amp;"."&amp;D$8&amp;"."&amp;D205&amp;" IS '"&amp;C205&amp;"';"</f>
        <v>COMMENT ON COLUMN milscm_2023_009.sny_202310_annony_bef2.shikkan187_start_date IS 'C400_疾患開始日';</v>
      </c>
    </row>
    <row r="206" spans="1:45" s="25" customFormat="1">
      <c r="A206" s="4" t="s">
        <v>5339</v>
      </c>
      <c r="B206" s="21">
        <f t="shared" si="23"/>
        <v>194</v>
      </c>
      <c r="C206" s="13" t="s">
        <v>6729</v>
      </c>
      <c r="D206" s="13" t="s">
        <v>4956</v>
      </c>
      <c r="E206" s="8"/>
      <c r="F206" s="7" t="s">
        <v>4348</v>
      </c>
      <c r="G206" s="7" t="s">
        <v>25</v>
      </c>
      <c r="H206" s="58"/>
      <c r="I206" s="23"/>
      <c r="J206" s="24"/>
      <c r="M206" s="4"/>
      <c r="N206" s="76"/>
      <c r="O206" s="76"/>
      <c r="P206" s="76" t="str">
        <f t="shared" si="26"/>
        <v>,shikkan188_start_date</v>
      </c>
      <c r="Q206" s="76" t="str">
        <f t="shared" si="27"/>
        <v>DATE</v>
      </c>
      <c r="R206" s="76" t="str">
        <f t="shared" si="28"/>
        <v/>
      </c>
      <c r="S206" s="76" t="str">
        <f t="shared" si="29"/>
        <v/>
      </c>
      <c r="T206" s="76" t="str">
        <f t="shared" si="30"/>
        <v>-- C401_疾患開始日</v>
      </c>
      <c r="U206" s="4" t="str">
        <f t="shared" si="24"/>
        <v>, CASE WHEN shikkan_disp_name = 'C401' THEN min_shikkan_start_date ::DATE ELSE NULL END AS shikkan188_start_date</v>
      </c>
      <c r="V206" s="25" t="str">
        <f t="shared" si="25"/>
        <v>, max(shikkan188_start_date)</v>
      </c>
      <c r="AA206" s="4"/>
      <c r="AB206" s="4"/>
      <c r="AC206" s="4"/>
      <c r="AD206" s="4"/>
      <c r="AE206" s="4"/>
      <c r="AF206" s="4"/>
      <c r="AG206" s="4"/>
      <c r="AH206" s="4"/>
      <c r="AI206" s="4"/>
      <c r="AJ206" s="76" t="str">
        <f>IF(E206="○",IF(COUNTA(E$13:E206)=1,"",",")&amp;D206,"")</f>
        <v/>
      </c>
      <c r="AK206" s="4"/>
      <c r="AL206" s="4"/>
      <c r="AM206" s="4"/>
      <c r="AN206" s="4"/>
      <c r="AO206" s="4"/>
      <c r="AP206" s="4"/>
      <c r="AQ206" s="4"/>
      <c r="AR206" s="4"/>
      <c r="AS206" s="76" t="str">
        <f>"COMMENT ON COLUMN "&amp;エンティティ一覧!$O$2&amp;"."&amp;D$8&amp;"."&amp;D206&amp;" IS '"&amp;C206&amp;"';"</f>
        <v>COMMENT ON COLUMN milscm_2023_009.sny_202310_annony_bef2.shikkan188_start_date IS 'C401_疾患開始日';</v>
      </c>
    </row>
    <row r="207" spans="1:45" s="25" customFormat="1">
      <c r="A207" s="4" t="s">
        <v>5340</v>
      </c>
      <c r="B207" s="21">
        <f t="shared" si="23"/>
        <v>195</v>
      </c>
      <c r="C207" s="13" t="s">
        <v>6730</v>
      </c>
      <c r="D207" s="13" t="s">
        <v>4957</v>
      </c>
      <c r="E207" s="8"/>
      <c r="F207" s="7" t="s">
        <v>4348</v>
      </c>
      <c r="G207" s="7" t="s">
        <v>25</v>
      </c>
      <c r="H207" s="58"/>
      <c r="I207" s="23"/>
      <c r="J207" s="24"/>
      <c r="M207" s="4"/>
      <c r="N207" s="76"/>
      <c r="O207" s="76"/>
      <c r="P207" s="76" t="str">
        <f t="shared" si="26"/>
        <v>,shikkan189_start_date</v>
      </c>
      <c r="Q207" s="76" t="str">
        <f t="shared" si="27"/>
        <v>DATE</v>
      </c>
      <c r="R207" s="76" t="str">
        <f t="shared" si="28"/>
        <v/>
      </c>
      <c r="S207" s="76" t="str">
        <f t="shared" si="29"/>
        <v/>
      </c>
      <c r="T207" s="76" t="str">
        <f t="shared" si="30"/>
        <v>-- C402_疾患開始日</v>
      </c>
      <c r="U207" s="4" t="str">
        <f t="shared" si="24"/>
        <v>, CASE WHEN shikkan_disp_name = 'C402' THEN min_shikkan_start_date ::DATE ELSE NULL END AS shikkan189_start_date</v>
      </c>
      <c r="V207" s="25" t="str">
        <f t="shared" si="25"/>
        <v>, max(shikkan189_start_date)</v>
      </c>
      <c r="AA207" s="4"/>
      <c r="AB207" s="4"/>
      <c r="AC207" s="4"/>
      <c r="AD207" s="4"/>
      <c r="AE207" s="4"/>
      <c r="AF207" s="4"/>
      <c r="AG207" s="4"/>
      <c r="AH207" s="4"/>
      <c r="AI207" s="4"/>
      <c r="AJ207" s="76" t="str">
        <f>IF(E207="○",IF(COUNTA(E$13:E207)=1,"",",")&amp;D207,"")</f>
        <v/>
      </c>
      <c r="AK207" s="4"/>
      <c r="AL207" s="4"/>
      <c r="AM207" s="4"/>
      <c r="AN207" s="4"/>
      <c r="AO207" s="4"/>
      <c r="AP207" s="4"/>
      <c r="AQ207" s="4"/>
      <c r="AR207" s="4"/>
      <c r="AS207" s="76" t="str">
        <f>"COMMENT ON COLUMN "&amp;エンティティ一覧!$O$2&amp;"."&amp;D$8&amp;"."&amp;D207&amp;" IS '"&amp;C207&amp;"';"</f>
        <v>COMMENT ON COLUMN milscm_2023_009.sny_202310_annony_bef2.shikkan189_start_date IS 'C402_疾患開始日';</v>
      </c>
    </row>
    <row r="208" spans="1:45" s="25" customFormat="1">
      <c r="A208" s="4" t="s">
        <v>5341</v>
      </c>
      <c r="B208" s="21">
        <f t="shared" si="23"/>
        <v>196</v>
      </c>
      <c r="C208" s="13" t="s">
        <v>6731</v>
      </c>
      <c r="D208" s="13" t="s">
        <v>4958</v>
      </c>
      <c r="E208" s="8"/>
      <c r="F208" s="7" t="s">
        <v>4348</v>
      </c>
      <c r="G208" s="7" t="s">
        <v>25</v>
      </c>
      <c r="H208" s="58"/>
      <c r="I208" s="23"/>
      <c r="J208" s="24"/>
      <c r="M208" s="4"/>
      <c r="N208" s="76"/>
      <c r="O208" s="76"/>
      <c r="P208" s="76" t="str">
        <f t="shared" si="26"/>
        <v>,shikkan190_start_date</v>
      </c>
      <c r="Q208" s="76" t="str">
        <f t="shared" si="27"/>
        <v>DATE</v>
      </c>
      <c r="R208" s="76" t="str">
        <f t="shared" si="28"/>
        <v/>
      </c>
      <c r="S208" s="76" t="str">
        <f t="shared" si="29"/>
        <v/>
      </c>
      <c r="T208" s="76" t="str">
        <f t="shared" si="30"/>
        <v>-- C403_疾患開始日</v>
      </c>
      <c r="U208" s="4" t="str">
        <f t="shared" si="24"/>
        <v>, CASE WHEN shikkan_disp_name = 'C403' THEN min_shikkan_start_date ::DATE ELSE NULL END AS shikkan190_start_date</v>
      </c>
      <c r="V208" s="25" t="str">
        <f t="shared" si="25"/>
        <v>, max(shikkan190_start_date)</v>
      </c>
      <c r="AA208" s="4"/>
      <c r="AB208" s="4"/>
      <c r="AC208" s="4"/>
      <c r="AD208" s="4"/>
      <c r="AE208" s="4"/>
      <c r="AF208" s="4"/>
      <c r="AG208" s="4"/>
      <c r="AH208" s="4"/>
      <c r="AI208" s="4"/>
      <c r="AJ208" s="76" t="str">
        <f>IF(E208="○",IF(COUNTA(E$13:E208)=1,"",",")&amp;D208,"")</f>
        <v/>
      </c>
      <c r="AK208" s="4"/>
      <c r="AL208" s="4"/>
      <c r="AM208" s="4"/>
      <c r="AN208" s="4"/>
      <c r="AO208" s="4"/>
      <c r="AP208" s="4"/>
      <c r="AQ208" s="4"/>
      <c r="AR208" s="4"/>
      <c r="AS208" s="76" t="str">
        <f>"COMMENT ON COLUMN "&amp;エンティティ一覧!$O$2&amp;"."&amp;D$8&amp;"."&amp;D208&amp;" IS '"&amp;C208&amp;"';"</f>
        <v>COMMENT ON COLUMN milscm_2023_009.sny_202310_annony_bef2.shikkan190_start_date IS 'C403_疾患開始日';</v>
      </c>
    </row>
    <row r="209" spans="1:45" s="25" customFormat="1">
      <c r="A209" s="4" t="s">
        <v>5342</v>
      </c>
      <c r="B209" s="21">
        <f t="shared" si="23"/>
        <v>197</v>
      </c>
      <c r="C209" s="13" t="s">
        <v>6732</v>
      </c>
      <c r="D209" s="13" t="s">
        <v>4959</v>
      </c>
      <c r="E209" s="8"/>
      <c r="F209" s="7" t="s">
        <v>4348</v>
      </c>
      <c r="G209" s="7" t="s">
        <v>25</v>
      </c>
      <c r="H209" s="58"/>
      <c r="I209" s="23"/>
      <c r="J209" s="24"/>
      <c r="M209" s="4"/>
      <c r="N209" s="76"/>
      <c r="O209" s="76"/>
      <c r="P209" s="76" t="str">
        <f t="shared" si="26"/>
        <v>,shikkan191_start_date</v>
      </c>
      <c r="Q209" s="76" t="str">
        <f t="shared" si="27"/>
        <v>DATE</v>
      </c>
      <c r="R209" s="76" t="str">
        <f t="shared" si="28"/>
        <v/>
      </c>
      <c r="S209" s="76" t="str">
        <f t="shared" si="29"/>
        <v/>
      </c>
      <c r="T209" s="76" t="str">
        <f t="shared" si="30"/>
        <v>-- C408_疾患開始日</v>
      </c>
      <c r="U209" s="4" t="str">
        <f t="shared" si="24"/>
        <v>, CASE WHEN shikkan_disp_name = 'C408' THEN min_shikkan_start_date ::DATE ELSE NULL END AS shikkan191_start_date</v>
      </c>
      <c r="V209" s="25" t="str">
        <f t="shared" si="25"/>
        <v>, max(shikkan191_start_date)</v>
      </c>
      <c r="AA209" s="4"/>
      <c r="AB209" s="4"/>
      <c r="AC209" s="4"/>
      <c r="AD209" s="4"/>
      <c r="AE209" s="4"/>
      <c r="AF209" s="4"/>
      <c r="AG209" s="4"/>
      <c r="AH209" s="4"/>
      <c r="AI209" s="4"/>
      <c r="AJ209" s="76" t="str">
        <f>IF(E209="○",IF(COUNTA(E$13:E209)=1,"",",")&amp;D209,"")</f>
        <v/>
      </c>
      <c r="AK209" s="4"/>
      <c r="AL209" s="4"/>
      <c r="AM209" s="4"/>
      <c r="AN209" s="4"/>
      <c r="AO209" s="4"/>
      <c r="AP209" s="4"/>
      <c r="AQ209" s="4"/>
      <c r="AR209" s="4"/>
      <c r="AS209" s="76" t="str">
        <f>"COMMENT ON COLUMN "&amp;エンティティ一覧!$O$2&amp;"."&amp;D$8&amp;"."&amp;D209&amp;" IS '"&amp;C209&amp;"';"</f>
        <v>COMMENT ON COLUMN milscm_2023_009.sny_202310_annony_bef2.shikkan191_start_date IS 'C408_疾患開始日';</v>
      </c>
    </row>
    <row r="210" spans="1:45" s="25" customFormat="1">
      <c r="A210" s="4" t="s">
        <v>5343</v>
      </c>
      <c r="B210" s="21">
        <f t="shared" si="23"/>
        <v>198</v>
      </c>
      <c r="C210" s="13" t="s">
        <v>6733</v>
      </c>
      <c r="D210" s="13" t="s">
        <v>4960</v>
      </c>
      <c r="E210" s="8"/>
      <c r="F210" s="7" t="s">
        <v>4348</v>
      </c>
      <c r="G210" s="7" t="s">
        <v>25</v>
      </c>
      <c r="H210" s="58"/>
      <c r="I210" s="23"/>
      <c r="J210" s="24"/>
      <c r="M210" s="4"/>
      <c r="N210" s="76"/>
      <c r="O210" s="76"/>
      <c r="P210" s="76" t="str">
        <f t="shared" si="26"/>
        <v>,shikkan192_start_date</v>
      </c>
      <c r="Q210" s="76" t="str">
        <f t="shared" si="27"/>
        <v>DATE</v>
      </c>
      <c r="R210" s="76" t="str">
        <f t="shared" si="28"/>
        <v/>
      </c>
      <c r="S210" s="76" t="str">
        <f t="shared" si="29"/>
        <v/>
      </c>
      <c r="T210" s="76" t="str">
        <f t="shared" si="30"/>
        <v>-- C409_疾患開始日</v>
      </c>
      <c r="U210" s="4" t="str">
        <f t="shared" si="24"/>
        <v>, CASE WHEN shikkan_disp_name = 'C409' THEN min_shikkan_start_date ::DATE ELSE NULL END AS shikkan192_start_date</v>
      </c>
      <c r="V210" s="25" t="str">
        <f t="shared" si="25"/>
        <v>, max(shikkan192_start_date)</v>
      </c>
      <c r="AA210" s="4"/>
      <c r="AB210" s="4"/>
      <c r="AC210" s="4"/>
      <c r="AD210" s="4"/>
      <c r="AE210" s="4"/>
      <c r="AF210" s="4"/>
      <c r="AG210" s="4"/>
      <c r="AH210" s="4"/>
      <c r="AI210" s="4"/>
      <c r="AJ210" s="76" t="str">
        <f>IF(E210="○",IF(COUNTA(E$13:E210)=1,"",",")&amp;D210,"")</f>
        <v/>
      </c>
      <c r="AK210" s="4"/>
      <c r="AL210" s="4"/>
      <c r="AM210" s="4"/>
      <c r="AN210" s="4"/>
      <c r="AO210" s="4"/>
      <c r="AP210" s="4"/>
      <c r="AQ210" s="4"/>
      <c r="AR210" s="4"/>
      <c r="AS210" s="76" t="str">
        <f>"COMMENT ON COLUMN "&amp;エンティティ一覧!$O$2&amp;"."&amp;D$8&amp;"."&amp;D210&amp;" IS '"&amp;C210&amp;"';"</f>
        <v>COMMENT ON COLUMN milscm_2023_009.sny_202310_annony_bef2.shikkan192_start_date IS 'C409_疾患開始日';</v>
      </c>
    </row>
    <row r="211" spans="1:45" s="25" customFormat="1">
      <c r="A211" s="4" t="s">
        <v>5344</v>
      </c>
      <c r="B211" s="21">
        <f t="shared" si="23"/>
        <v>199</v>
      </c>
      <c r="C211" s="13" t="s">
        <v>6734</v>
      </c>
      <c r="D211" s="13" t="s">
        <v>4961</v>
      </c>
      <c r="E211" s="8"/>
      <c r="F211" s="7" t="s">
        <v>4348</v>
      </c>
      <c r="G211" s="7" t="s">
        <v>99</v>
      </c>
      <c r="H211" s="58"/>
      <c r="I211" s="23"/>
      <c r="J211" s="24"/>
      <c r="M211" s="4"/>
      <c r="N211" s="76"/>
      <c r="O211" s="76"/>
      <c r="P211" s="76" t="str">
        <f t="shared" si="26"/>
        <v>,shikkan193_start_date</v>
      </c>
      <c r="Q211" s="76" t="str">
        <f t="shared" si="27"/>
        <v>DATE</v>
      </c>
      <c r="R211" s="76" t="str">
        <f t="shared" si="28"/>
        <v/>
      </c>
      <c r="S211" s="76" t="str">
        <f t="shared" si="29"/>
        <v/>
      </c>
      <c r="T211" s="76" t="str">
        <f t="shared" si="30"/>
        <v>-- C410_疾患開始日</v>
      </c>
      <c r="U211" s="4" t="str">
        <f t="shared" si="24"/>
        <v>, CASE WHEN shikkan_disp_name = 'C410' THEN min_shikkan_start_date ::DATE ELSE NULL END AS shikkan193_start_date</v>
      </c>
      <c r="V211" s="25" t="str">
        <f t="shared" si="25"/>
        <v>, max(shikkan193_start_date)</v>
      </c>
      <c r="AA211" s="4"/>
      <c r="AB211" s="4"/>
      <c r="AC211" s="4"/>
      <c r="AD211" s="4"/>
      <c r="AE211" s="4"/>
      <c r="AF211" s="4"/>
      <c r="AG211" s="4"/>
      <c r="AH211" s="4"/>
      <c r="AI211" s="4"/>
      <c r="AJ211" s="76" t="str">
        <f>IF(E211="○",IF(COUNTA(E$13:E211)=1,"",",")&amp;D211,"")</f>
        <v/>
      </c>
      <c r="AK211" s="4"/>
      <c r="AL211" s="4"/>
      <c r="AM211" s="4"/>
      <c r="AN211" s="4"/>
      <c r="AO211" s="4"/>
      <c r="AP211" s="4"/>
      <c r="AQ211" s="4"/>
      <c r="AR211" s="4"/>
      <c r="AS211" s="76" t="str">
        <f>"COMMENT ON COLUMN "&amp;エンティティ一覧!$O$2&amp;"."&amp;D$8&amp;"."&amp;D211&amp;" IS '"&amp;C211&amp;"';"</f>
        <v>COMMENT ON COLUMN milscm_2023_009.sny_202310_annony_bef2.shikkan193_start_date IS 'C410_疾患開始日';</v>
      </c>
    </row>
    <row r="212" spans="1:45" s="25" customFormat="1">
      <c r="A212" s="4" t="s">
        <v>5345</v>
      </c>
      <c r="B212" s="21">
        <f t="shared" ref="B212:B275" si="31">ROW()-12</f>
        <v>200</v>
      </c>
      <c r="C212" s="13" t="s">
        <v>6735</v>
      </c>
      <c r="D212" s="13" t="s">
        <v>4962</v>
      </c>
      <c r="E212" s="8"/>
      <c r="F212" s="7" t="s">
        <v>4348</v>
      </c>
      <c r="G212" s="7" t="s">
        <v>25</v>
      </c>
      <c r="H212" s="58"/>
      <c r="I212" s="23"/>
      <c r="J212" s="24"/>
      <c r="M212" s="4"/>
      <c r="N212" s="76"/>
      <c r="O212" s="76"/>
      <c r="P212" s="76" t="str">
        <f t="shared" si="26"/>
        <v>,shikkan194_start_date</v>
      </c>
      <c r="Q212" s="76" t="str">
        <f t="shared" si="27"/>
        <v>DATE</v>
      </c>
      <c r="R212" s="76" t="str">
        <f t="shared" si="28"/>
        <v/>
      </c>
      <c r="S212" s="76" t="str">
        <f t="shared" si="29"/>
        <v/>
      </c>
      <c r="T212" s="76" t="str">
        <f t="shared" si="30"/>
        <v>-- C411_疾患開始日</v>
      </c>
      <c r="U212" s="4" t="str">
        <f t="shared" ref="U212:U275" si="32">", CASE WHEN shikkan_disp_name = '"&amp;A212&amp;"' THEN min_shikkan_start_date ::DATE ELSE NULL END AS "&amp;D212</f>
        <v>, CASE WHEN shikkan_disp_name = 'C411' THEN min_shikkan_start_date ::DATE ELSE NULL END AS shikkan194_start_date</v>
      </c>
      <c r="V212" s="25" t="str">
        <f t="shared" ref="V212:V275" si="33">", max("&amp;D212&amp;")"</f>
        <v>, max(shikkan194_start_date)</v>
      </c>
      <c r="AA212" s="4"/>
      <c r="AB212" s="4"/>
      <c r="AC212" s="4"/>
      <c r="AD212" s="4"/>
      <c r="AE212" s="4"/>
      <c r="AF212" s="4"/>
      <c r="AG212" s="4"/>
      <c r="AH212" s="4"/>
      <c r="AI212" s="4"/>
      <c r="AJ212" s="76" t="str">
        <f>IF(E212="○",IF(COUNTA(E$13:E212)=1,"",",")&amp;D212,"")</f>
        <v/>
      </c>
      <c r="AK212" s="4"/>
      <c r="AL212" s="4"/>
      <c r="AM212" s="4"/>
      <c r="AN212" s="4"/>
      <c r="AO212" s="4"/>
      <c r="AP212" s="4"/>
      <c r="AQ212" s="4"/>
      <c r="AR212" s="4"/>
      <c r="AS212" s="76" t="str">
        <f>"COMMENT ON COLUMN "&amp;エンティティ一覧!$O$2&amp;"."&amp;D$8&amp;"."&amp;D212&amp;" IS '"&amp;C212&amp;"';"</f>
        <v>COMMENT ON COLUMN milscm_2023_009.sny_202310_annony_bef2.shikkan194_start_date IS 'C411_疾患開始日';</v>
      </c>
    </row>
    <row r="213" spans="1:45" s="25" customFormat="1">
      <c r="A213" s="4" t="s">
        <v>5346</v>
      </c>
      <c r="B213" s="21">
        <f t="shared" si="31"/>
        <v>201</v>
      </c>
      <c r="C213" s="13" t="s">
        <v>6736</v>
      </c>
      <c r="D213" s="13" t="s">
        <v>4963</v>
      </c>
      <c r="E213" s="8"/>
      <c r="F213" s="7" t="s">
        <v>4348</v>
      </c>
      <c r="G213" s="7" t="s">
        <v>25</v>
      </c>
      <c r="H213" s="58"/>
      <c r="I213" s="23"/>
      <c r="J213" s="24"/>
      <c r="M213" s="4"/>
      <c r="N213" s="76"/>
      <c r="O213" s="76"/>
      <c r="P213" s="76" t="str">
        <f t="shared" si="26"/>
        <v>,shikkan195_start_date</v>
      </c>
      <c r="Q213" s="76" t="str">
        <f t="shared" si="27"/>
        <v>DATE</v>
      </c>
      <c r="R213" s="76" t="str">
        <f t="shared" si="28"/>
        <v/>
      </c>
      <c r="S213" s="76" t="str">
        <f t="shared" si="29"/>
        <v/>
      </c>
      <c r="T213" s="76" t="str">
        <f t="shared" si="30"/>
        <v>-- C412_疾患開始日</v>
      </c>
      <c r="U213" s="4" t="str">
        <f t="shared" si="32"/>
        <v>, CASE WHEN shikkan_disp_name = 'C412' THEN min_shikkan_start_date ::DATE ELSE NULL END AS shikkan195_start_date</v>
      </c>
      <c r="V213" s="25" t="str">
        <f t="shared" si="33"/>
        <v>, max(shikkan195_start_date)</v>
      </c>
      <c r="AA213" s="4"/>
      <c r="AB213" s="4"/>
      <c r="AC213" s="4"/>
      <c r="AD213" s="4"/>
      <c r="AE213" s="4"/>
      <c r="AF213" s="4"/>
      <c r="AG213" s="4"/>
      <c r="AH213" s="4"/>
      <c r="AI213" s="4"/>
      <c r="AJ213" s="76" t="str">
        <f>IF(E213="○",IF(COUNTA(E$13:E213)=1,"",",")&amp;D213,"")</f>
        <v/>
      </c>
      <c r="AK213" s="4"/>
      <c r="AL213" s="4"/>
      <c r="AM213" s="4"/>
      <c r="AN213" s="4"/>
      <c r="AO213" s="4"/>
      <c r="AP213" s="4"/>
      <c r="AQ213" s="4"/>
      <c r="AR213" s="4"/>
      <c r="AS213" s="76" t="str">
        <f>"COMMENT ON COLUMN "&amp;エンティティ一覧!$O$2&amp;"."&amp;D$8&amp;"."&amp;D213&amp;" IS '"&amp;C213&amp;"';"</f>
        <v>COMMENT ON COLUMN milscm_2023_009.sny_202310_annony_bef2.shikkan195_start_date IS 'C412_疾患開始日';</v>
      </c>
    </row>
    <row r="214" spans="1:45" s="25" customFormat="1">
      <c r="A214" s="4" t="s">
        <v>5347</v>
      </c>
      <c r="B214" s="21">
        <f t="shared" si="31"/>
        <v>202</v>
      </c>
      <c r="C214" s="13" t="s">
        <v>6737</v>
      </c>
      <c r="D214" s="13" t="s">
        <v>4964</v>
      </c>
      <c r="E214" s="8"/>
      <c r="F214" s="7" t="s">
        <v>4348</v>
      </c>
      <c r="G214" s="7" t="s">
        <v>25</v>
      </c>
      <c r="H214" s="58"/>
      <c r="I214" s="23"/>
      <c r="J214" s="24"/>
      <c r="M214" s="4"/>
      <c r="N214" s="76"/>
      <c r="O214" s="76"/>
      <c r="P214" s="76" t="str">
        <f t="shared" si="26"/>
        <v>,shikkan196_start_date</v>
      </c>
      <c r="Q214" s="76" t="str">
        <f t="shared" si="27"/>
        <v>DATE</v>
      </c>
      <c r="R214" s="76" t="str">
        <f t="shared" si="28"/>
        <v/>
      </c>
      <c r="S214" s="76" t="str">
        <f t="shared" si="29"/>
        <v/>
      </c>
      <c r="T214" s="76" t="str">
        <f t="shared" si="30"/>
        <v>-- C413_疾患開始日</v>
      </c>
      <c r="U214" s="4" t="str">
        <f t="shared" si="32"/>
        <v>, CASE WHEN shikkan_disp_name = 'C413' THEN min_shikkan_start_date ::DATE ELSE NULL END AS shikkan196_start_date</v>
      </c>
      <c r="V214" s="25" t="str">
        <f t="shared" si="33"/>
        <v>, max(shikkan196_start_date)</v>
      </c>
      <c r="AA214" s="4"/>
      <c r="AB214" s="4"/>
      <c r="AC214" s="4"/>
      <c r="AD214" s="4"/>
      <c r="AE214" s="4"/>
      <c r="AF214" s="4"/>
      <c r="AG214" s="4"/>
      <c r="AH214" s="4"/>
      <c r="AI214" s="4"/>
      <c r="AJ214" s="76" t="str">
        <f>IF(E214="○",IF(COUNTA(E$13:E214)=1,"",",")&amp;D214,"")</f>
        <v/>
      </c>
      <c r="AK214" s="4"/>
      <c r="AL214" s="4"/>
      <c r="AM214" s="4"/>
      <c r="AN214" s="4"/>
      <c r="AO214" s="4"/>
      <c r="AP214" s="4"/>
      <c r="AQ214" s="4"/>
      <c r="AR214" s="4"/>
      <c r="AS214" s="76" t="str">
        <f>"COMMENT ON COLUMN "&amp;エンティティ一覧!$O$2&amp;"."&amp;D$8&amp;"."&amp;D214&amp;" IS '"&amp;C214&amp;"';"</f>
        <v>COMMENT ON COLUMN milscm_2023_009.sny_202310_annony_bef2.shikkan196_start_date IS 'C413_疾患開始日';</v>
      </c>
    </row>
    <row r="215" spans="1:45" s="25" customFormat="1">
      <c r="A215" s="4" t="s">
        <v>5348</v>
      </c>
      <c r="B215" s="21">
        <f t="shared" si="31"/>
        <v>203</v>
      </c>
      <c r="C215" s="13" t="s">
        <v>6738</v>
      </c>
      <c r="D215" s="13" t="s">
        <v>4965</v>
      </c>
      <c r="E215" s="8"/>
      <c r="F215" s="7" t="s">
        <v>4348</v>
      </c>
      <c r="G215" s="7" t="s">
        <v>25</v>
      </c>
      <c r="H215" s="58"/>
      <c r="I215" s="23"/>
      <c r="J215" s="24"/>
      <c r="M215" s="4"/>
      <c r="N215" s="76"/>
      <c r="O215" s="76"/>
      <c r="P215" s="76" t="str">
        <f t="shared" si="26"/>
        <v>,shikkan197_start_date</v>
      </c>
      <c r="Q215" s="76" t="str">
        <f t="shared" si="27"/>
        <v>DATE</v>
      </c>
      <c r="R215" s="76" t="str">
        <f t="shared" si="28"/>
        <v/>
      </c>
      <c r="S215" s="76" t="str">
        <f t="shared" si="29"/>
        <v/>
      </c>
      <c r="T215" s="76" t="str">
        <f t="shared" si="30"/>
        <v>-- C414_疾患開始日</v>
      </c>
      <c r="U215" s="4" t="str">
        <f t="shared" si="32"/>
        <v>, CASE WHEN shikkan_disp_name = 'C414' THEN min_shikkan_start_date ::DATE ELSE NULL END AS shikkan197_start_date</v>
      </c>
      <c r="V215" s="25" t="str">
        <f t="shared" si="33"/>
        <v>, max(shikkan197_start_date)</v>
      </c>
      <c r="AA215" s="4"/>
      <c r="AB215" s="4"/>
      <c r="AC215" s="4"/>
      <c r="AD215" s="4"/>
      <c r="AE215" s="4"/>
      <c r="AF215" s="4"/>
      <c r="AG215" s="4"/>
      <c r="AH215" s="4"/>
      <c r="AI215" s="4"/>
      <c r="AJ215" s="76" t="str">
        <f>IF(E215="○",IF(COUNTA(E$13:E215)=1,"",",")&amp;D215,"")</f>
        <v/>
      </c>
      <c r="AK215" s="4"/>
      <c r="AL215" s="4"/>
      <c r="AM215" s="4"/>
      <c r="AN215" s="4"/>
      <c r="AO215" s="4"/>
      <c r="AP215" s="4"/>
      <c r="AQ215" s="4"/>
      <c r="AR215" s="4"/>
      <c r="AS215" s="76" t="str">
        <f>"COMMENT ON COLUMN "&amp;エンティティ一覧!$O$2&amp;"."&amp;D$8&amp;"."&amp;D215&amp;" IS '"&amp;C215&amp;"';"</f>
        <v>COMMENT ON COLUMN milscm_2023_009.sny_202310_annony_bef2.shikkan197_start_date IS 'C414_疾患開始日';</v>
      </c>
    </row>
    <row r="216" spans="1:45" s="25" customFormat="1">
      <c r="A216" s="4" t="s">
        <v>5349</v>
      </c>
      <c r="B216" s="21">
        <f t="shared" si="31"/>
        <v>204</v>
      </c>
      <c r="C216" s="13" t="s">
        <v>6739</v>
      </c>
      <c r="D216" s="13" t="s">
        <v>4966</v>
      </c>
      <c r="E216" s="8"/>
      <c r="F216" s="7" t="s">
        <v>4348</v>
      </c>
      <c r="G216" s="7" t="s">
        <v>25</v>
      </c>
      <c r="H216" s="58"/>
      <c r="I216" s="23"/>
      <c r="J216" s="24"/>
      <c r="M216" s="4"/>
      <c r="N216" s="76"/>
      <c r="O216" s="76"/>
      <c r="P216" s="76" t="str">
        <f t="shared" si="26"/>
        <v>,shikkan198_start_date</v>
      </c>
      <c r="Q216" s="76" t="str">
        <f t="shared" si="27"/>
        <v>DATE</v>
      </c>
      <c r="R216" s="76" t="str">
        <f t="shared" si="28"/>
        <v/>
      </c>
      <c r="S216" s="76" t="str">
        <f t="shared" si="29"/>
        <v/>
      </c>
      <c r="T216" s="76" t="str">
        <f t="shared" si="30"/>
        <v>-- C418_疾患開始日</v>
      </c>
      <c r="U216" s="4" t="str">
        <f t="shared" si="32"/>
        <v>, CASE WHEN shikkan_disp_name = 'C418' THEN min_shikkan_start_date ::DATE ELSE NULL END AS shikkan198_start_date</v>
      </c>
      <c r="V216" s="25" t="str">
        <f t="shared" si="33"/>
        <v>, max(shikkan198_start_date)</v>
      </c>
      <c r="AA216" s="4"/>
      <c r="AB216" s="4"/>
      <c r="AC216" s="4"/>
      <c r="AD216" s="4"/>
      <c r="AE216" s="4"/>
      <c r="AF216" s="4"/>
      <c r="AG216" s="4"/>
      <c r="AH216" s="4"/>
      <c r="AI216" s="4"/>
      <c r="AJ216" s="76" t="str">
        <f>IF(E216="○",IF(COUNTA(E$13:E216)=1,"",",")&amp;D216,"")</f>
        <v/>
      </c>
      <c r="AK216" s="4"/>
      <c r="AL216" s="4"/>
      <c r="AM216" s="4"/>
      <c r="AN216" s="4"/>
      <c r="AO216" s="4"/>
      <c r="AP216" s="4"/>
      <c r="AQ216" s="4"/>
      <c r="AR216" s="4"/>
      <c r="AS216" s="76" t="str">
        <f>"COMMENT ON COLUMN "&amp;エンティティ一覧!$O$2&amp;"."&amp;D$8&amp;"."&amp;D216&amp;" IS '"&amp;C216&amp;"';"</f>
        <v>COMMENT ON COLUMN milscm_2023_009.sny_202310_annony_bef2.shikkan198_start_date IS 'C418_疾患開始日';</v>
      </c>
    </row>
    <row r="217" spans="1:45" s="25" customFormat="1">
      <c r="A217" s="4" t="s">
        <v>5350</v>
      </c>
      <c r="B217" s="21">
        <f t="shared" si="31"/>
        <v>205</v>
      </c>
      <c r="C217" s="13" t="s">
        <v>6740</v>
      </c>
      <c r="D217" s="13" t="s">
        <v>4967</v>
      </c>
      <c r="E217" s="8"/>
      <c r="F217" s="7" t="s">
        <v>4348</v>
      </c>
      <c r="G217" s="7" t="s">
        <v>25</v>
      </c>
      <c r="H217" s="58"/>
      <c r="I217" s="23"/>
      <c r="J217" s="24"/>
      <c r="M217" s="4"/>
      <c r="N217" s="76"/>
      <c r="O217" s="76"/>
      <c r="P217" s="76" t="str">
        <f t="shared" si="26"/>
        <v>,shikkan199_start_date</v>
      </c>
      <c r="Q217" s="76" t="str">
        <f t="shared" si="27"/>
        <v>DATE</v>
      </c>
      <c r="R217" s="76" t="str">
        <f t="shared" si="28"/>
        <v/>
      </c>
      <c r="S217" s="76" t="str">
        <f t="shared" si="29"/>
        <v/>
      </c>
      <c r="T217" s="76" t="str">
        <f t="shared" si="30"/>
        <v>-- C419_疾患開始日</v>
      </c>
      <c r="U217" s="4" t="str">
        <f t="shared" si="32"/>
        <v>, CASE WHEN shikkan_disp_name = 'C419' THEN min_shikkan_start_date ::DATE ELSE NULL END AS shikkan199_start_date</v>
      </c>
      <c r="V217" s="25" t="str">
        <f t="shared" si="33"/>
        <v>, max(shikkan199_start_date)</v>
      </c>
      <c r="AA217" s="4"/>
      <c r="AB217" s="4"/>
      <c r="AC217" s="4"/>
      <c r="AD217" s="4"/>
      <c r="AE217" s="4"/>
      <c r="AF217" s="4"/>
      <c r="AG217" s="4"/>
      <c r="AH217" s="4"/>
      <c r="AI217" s="4"/>
      <c r="AJ217" s="76" t="str">
        <f>IF(E217="○",IF(COUNTA(E$13:E217)=1,"",",")&amp;D217,"")</f>
        <v/>
      </c>
      <c r="AK217" s="4"/>
      <c r="AL217" s="4"/>
      <c r="AM217" s="4"/>
      <c r="AN217" s="4"/>
      <c r="AO217" s="4"/>
      <c r="AP217" s="4"/>
      <c r="AQ217" s="4"/>
      <c r="AR217" s="4"/>
      <c r="AS217" s="76" t="str">
        <f>"COMMENT ON COLUMN "&amp;エンティティ一覧!$O$2&amp;"."&amp;D$8&amp;"."&amp;D217&amp;" IS '"&amp;C217&amp;"';"</f>
        <v>COMMENT ON COLUMN milscm_2023_009.sny_202310_annony_bef2.shikkan199_start_date IS 'C419_疾患開始日';</v>
      </c>
    </row>
    <row r="218" spans="1:45" s="25" customFormat="1">
      <c r="A218" s="4" t="s">
        <v>5351</v>
      </c>
      <c r="B218" s="21">
        <f t="shared" si="31"/>
        <v>206</v>
      </c>
      <c r="C218" s="13" t="s">
        <v>6741</v>
      </c>
      <c r="D218" s="13" t="s">
        <v>4968</v>
      </c>
      <c r="E218" s="8"/>
      <c r="F218" s="7" t="s">
        <v>4348</v>
      </c>
      <c r="G218" s="7" t="s">
        <v>25</v>
      </c>
      <c r="H218" s="58"/>
      <c r="I218" s="23"/>
      <c r="J218" s="24"/>
      <c r="M218" s="4"/>
      <c r="N218" s="76"/>
      <c r="O218" s="76"/>
      <c r="P218" s="76" t="str">
        <f t="shared" si="26"/>
        <v>,shikkan200_start_date</v>
      </c>
      <c r="Q218" s="76" t="str">
        <f t="shared" si="27"/>
        <v>DATE</v>
      </c>
      <c r="R218" s="76" t="str">
        <f t="shared" si="28"/>
        <v/>
      </c>
      <c r="S218" s="76" t="str">
        <f t="shared" si="29"/>
        <v/>
      </c>
      <c r="T218" s="76" t="str">
        <f t="shared" si="30"/>
        <v>-- C430_疾患開始日</v>
      </c>
      <c r="U218" s="4" t="str">
        <f t="shared" si="32"/>
        <v>, CASE WHEN shikkan_disp_name = 'C430' THEN min_shikkan_start_date ::DATE ELSE NULL END AS shikkan200_start_date</v>
      </c>
      <c r="V218" s="25" t="str">
        <f t="shared" si="33"/>
        <v>, max(shikkan200_start_date)</v>
      </c>
      <c r="AA218" s="4"/>
      <c r="AB218" s="4"/>
      <c r="AC218" s="4"/>
      <c r="AD218" s="4"/>
      <c r="AE218" s="4"/>
      <c r="AF218" s="4"/>
      <c r="AG218" s="4"/>
      <c r="AH218" s="4"/>
      <c r="AI218" s="4"/>
      <c r="AJ218" s="76" t="str">
        <f>IF(E218="○",IF(COUNTA(E$13:E218)=1,"",",")&amp;D218,"")</f>
        <v/>
      </c>
      <c r="AK218" s="4"/>
      <c r="AL218" s="4"/>
      <c r="AM218" s="4"/>
      <c r="AN218" s="4"/>
      <c r="AO218" s="4"/>
      <c r="AP218" s="4"/>
      <c r="AQ218" s="4"/>
      <c r="AR218" s="4"/>
      <c r="AS218" s="76" t="str">
        <f>"COMMENT ON COLUMN "&amp;エンティティ一覧!$O$2&amp;"."&amp;D$8&amp;"."&amp;D218&amp;" IS '"&amp;C218&amp;"';"</f>
        <v>COMMENT ON COLUMN milscm_2023_009.sny_202310_annony_bef2.shikkan200_start_date IS 'C430_疾患開始日';</v>
      </c>
    </row>
    <row r="219" spans="1:45" s="25" customFormat="1">
      <c r="A219" s="4" t="s">
        <v>5352</v>
      </c>
      <c r="B219" s="21">
        <f t="shared" si="31"/>
        <v>207</v>
      </c>
      <c r="C219" s="13" t="s">
        <v>6742</v>
      </c>
      <c r="D219" s="13" t="s">
        <v>4969</v>
      </c>
      <c r="E219" s="8"/>
      <c r="F219" s="7" t="s">
        <v>4348</v>
      </c>
      <c r="G219" s="7" t="s">
        <v>25</v>
      </c>
      <c r="H219" s="58"/>
      <c r="I219" s="23"/>
      <c r="J219" s="24"/>
      <c r="M219" s="4"/>
      <c r="N219" s="76"/>
      <c r="O219" s="76"/>
      <c r="P219" s="76" t="str">
        <f t="shared" si="26"/>
        <v>,shikkan201_start_date</v>
      </c>
      <c r="Q219" s="76" t="str">
        <f t="shared" si="27"/>
        <v>DATE</v>
      </c>
      <c r="R219" s="76" t="str">
        <f t="shared" si="28"/>
        <v/>
      </c>
      <c r="S219" s="76" t="str">
        <f t="shared" si="29"/>
        <v/>
      </c>
      <c r="T219" s="76" t="str">
        <f t="shared" si="30"/>
        <v>-- C431_疾患開始日</v>
      </c>
      <c r="U219" s="4" t="str">
        <f t="shared" si="32"/>
        <v>, CASE WHEN shikkan_disp_name = 'C431' THEN min_shikkan_start_date ::DATE ELSE NULL END AS shikkan201_start_date</v>
      </c>
      <c r="V219" s="25" t="str">
        <f t="shared" si="33"/>
        <v>, max(shikkan201_start_date)</v>
      </c>
      <c r="AA219" s="4"/>
      <c r="AB219" s="4"/>
      <c r="AC219" s="4"/>
      <c r="AD219" s="4"/>
      <c r="AE219" s="4"/>
      <c r="AF219" s="4"/>
      <c r="AG219" s="4"/>
      <c r="AH219" s="4"/>
      <c r="AI219" s="4"/>
      <c r="AJ219" s="76" t="str">
        <f>IF(E219="○",IF(COUNTA(E$13:E219)=1,"",",")&amp;D219,"")</f>
        <v/>
      </c>
      <c r="AK219" s="4"/>
      <c r="AL219" s="4"/>
      <c r="AM219" s="4"/>
      <c r="AN219" s="4"/>
      <c r="AO219" s="4"/>
      <c r="AP219" s="4"/>
      <c r="AQ219" s="4"/>
      <c r="AR219" s="4"/>
      <c r="AS219" s="76" t="str">
        <f>"COMMENT ON COLUMN "&amp;エンティティ一覧!$O$2&amp;"."&amp;D$8&amp;"."&amp;D219&amp;" IS '"&amp;C219&amp;"';"</f>
        <v>COMMENT ON COLUMN milscm_2023_009.sny_202310_annony_bef2.shikkan201_start_date IS 'C431_疾患開始日';</v>
      </c>
    </row>
    <row r="220" spans="1:45" s="25" customFormat="1">
      <c r="A220" s="4" t="s">
        <v>5353</v>
      </c>
      <c r="B220" s="21">
        <f t="shared" si="31"/>
        <v>208</v>
      </c>
      <c r="C220" s="13" t="s">
        <v>6743</v>
      </c>
      <c r="D220" s="13" t="s">
        <v>4970</v>
      </c>
      <c r="E220" s="8"/>
      <c r="F220" s="7" t="s">
        <v>4348</v>
      </c>
      <c r="G220" s="7" t="s">
        <v>25</v>
      </c>
      <c r="H220" s="58"/>
      <c r="I220" s="23"/>
      <c r="J220" s="24"/>
      <c r="M220" s="4"/>
      <c r="N220" s="76"/>
      <c r="O220" s="76"/>
      <c r="P220" s="76" t="str">
        <f t="shared" si="26"/>
        <v>,shikkan202_start_date</v>
      </c>
      <c r="Q220" s="76" t="str">
        <f t="shared" si="27"/>
        <v>DATE</v>
      </c>
      <c r="R220" s="76" t="str">
        <f t="shared" si="28"/>
        <v/>
      </c>
      <c r="S220" s="76" t="str">
        <f t="shared" si="29"/>
        <v/>
      </c>
      <c r="T220" s="76" t="str">
        <f t="shared" si="30"/>
        <v>-- C432_疾患開始日</v>
      </c>
      <c r="U220" s="4" t="str">
        <f t="shared" si="32"/>
        <v>, CASE WHEN shikkan_disp_name = 'C432' THEN min_shikkan_start_date ::DATE ELSE NULL END AS shikkan202_start_date</v>
      </c>
      <c r="V220" s="25" t="str">
        <f t="shared" si="33"/>
        <v>, max(shikkan202_start_date)</v>
      </c>
      <c r="AA220" s="4"/>
      <c r="AB220" s="4"/>
      <c r="AC220" s="4"/>
      <c r="AD220" s="4"/>
      <c r="AE220" s="4"/>
      <c r="AF220" s="4"/>
      <c r="AG220" s="4"/>
      <c r="AH220" s="4"/>
      <c r="AI220" s="4"/>
      <c r="AJ220" s="76" t="str">
        <f>IF(E220="○",IF(COUNTA(E$13:E220)=1,"",",")&amp;D220,"")</f>
        <v/>
      </c>
      <c r="AK220" s="4"/>
      <c r="AL220" s="4"/>
      <c r="AM220" s="4"/>
      <c r="AN220" s="4"/>
      <c r="AO220" s="4"/>
      <c r="AP220" s="4"/>
      <c r="AQ220" s="4"/>
      <c r="AR220" s="4"/>
      <c r="AS220" s="76" t="str">
        <f>"COMMENT ON COLUMN "&amp;エンティティ一覧!$O$2&amp;"."&amp;D$8&amp;"."&amp;D220&amp;" IS '"&amp;C220&amp;"';"</f>
        <v>COMMENT ON COLUMN milscm_2023_009.sny_202310_annony_bef2.shikkan202_start_date IS 'C432_疾患開始日';</v>
      </c>
    </row>
    <row r="221" spans="1:45" s="25" customFormat="1">
      <c r="A221" s="4" t="s">
        <v>5354</v>
      </c>
      <c r="B221" s="21">
        <f t="shared" si="31"/>
        <v>209</v>
      </c>
      <c r="C221" s="13" t="s">
        <v>6744</v>
      </c>
      <c r="D221" s="13" t="s">
        <v>4971</v>
      </c>
      <c r="E221" s="8"/>
      <c r="F221" s="7" t="s">
        <v>4348</v>
      </c>
      <c r="G221" s="7" t="s">
        <v>25</v>
      </c>
      <c r="H221" s="58"/>
      <c r="I221" s="23"/>
      <c r="J221" s="24"/>
      <c r="M221" s="4"/>
      <c r="N221" s="76"/>
      <c r="O221" s="76"/>
      <c r="P221" s="76" t="str">
        <f t="shared" si="26"/>
        <v>,shikkan203_start_date</v>
      </c>
      <c r="Q221" s="76" t="str">
        <f t="shared" si="27"/>
        <v>DATE</v>
      </c>
      <c r="R221" s="76" t="str">
        <f t="shared" si="28"/>
        <v/>
      </c>
      <c r="S221" s="76" t="str">
        <f t="shared" si="29"/>
        <v/>
      </c>
      <c r="T221" s="76" t="str">
        <f t="shared" si="30"/>
        <v>-- C433_疾患開始日</v>
      </c>
      <c r="U221" s="4" t="str">
        <f t="shared" si="32"/>
        <v>, CASE WHEN shikkan_disp_name = 'C433' THEN min_shikkan_start_date ::DATE ELSE NULL END AS shikkan203_start_date</v>
      </c>
      <c r="V221" s="25" t="str">
        <f t="shared" si="33"/>
        <v>, max(shikkan203_start_date)</v>
      </c>
      <c r="AA221" s="4"/>
      <c r="AB221" s="4"/>
      <c r="AC221" s="4"/>
      <c r="AD221" s="4"/>
      <c r="AE221" s="4"/>
      <c r="AF221" s="4"/>
      <c r="AG221" s="4"/>
      <c r="AH221" s="4"/>
      <c r="AI221" s="4"/>
      <c r="AJ221" s="76" t="str">
        <f>IF(E221="○",IF(COUNTA(E$13:E221)=1,"",",")&amp;D221,"")</f>
        <v/>
      </c>
      <c r="AK221" s="4"/>
      <c r="AL221" s="4"/>
      <c r="AM221" s="4"/>
      <c r="AN221" s="4"/>
      <c r="AO221" s="4"/>
      <c r="AP221" s="4"/>
      <c r="AQ221" s="4"/>
      <c r="AR221" s="4"/>
      <c r="AS221" s="76" t="str">
        <f>"COMMENT ON COLUMN "&amp;エンティティ一覧!$O$2&amp;"."&amp;D$8&amp;"."&amp;D221&amp;" IS '"&amp;C221&amp;"';"</f>
        <v>COMMENT ON COLUMN milscm_2023_009.sny_202310_annony_bef2.shikkan203_start_date IS 'C433_疾患開始日';</v>
      </c>
    </row>
    <row r="222" spans="1:45" s="25" customFormat="1">
      <c r="A222" s="4" t="s">
        <v>5355</v>
      </c>
      <c r="B222" s="21">
        <f t="shared" si="31"/>
        <v>210</v>
      </c>
      <c r="C222" s="13" t="s">
        <v>6745</v>
      </c>
      <c r="D222" s="13" t="s">
        <v>4972</v>
      </c>
      <c r="E222" s="8"/>
      <c r="F222" s="7" t="s">
        <v>4348</v>
      </c>
      <c r="G222" s="7" t="s">
        <v>25</v>
      </c>
      <c r="H222" s="58"/>
      <c r="I222" s="23"/>
      <c r="J222" s="24"/>
      <c r="M222" s="4"/>
      <c r="N222" s="76"/>
      <c r="O222" s="76"/>
      <c r="P222" s="76" t="str">
        <f t="shared" si="26"/>
        <v>,shikkan204_start_date</v>
      </c>
      <c r="Q222" s="76" t="str">
        <f t="shared" si="27"/>
        <v>DATE</v>
      </c>
      <c r="R222" s="76" t="str">
        <f t="shared" si="28"/>
        <v/>
      </c>
      <c r="S222" s="76" t="str">
        <f t="shared" si="29"/>
        <v/>
      </c>
      <c r="T222" s="76" t="str">
        <f t="shared" si="30"/>
        <v>-- C434_疾患開始日</v>
      </c>
      <c r="U222" s="4" t="str">
        <f t="shared" si="32"/>
        <v>, CASE WHEN shikkan_disp_name = 'C434' THEN min_shikkan_start_date ::DATE ELSE NULL END AS shikkan204_start_date</v>
      </c>
      <c r="V222" s="25" t="str">
        <f t="shared" si="33"/>
        <v>, max(shikkan204_start_date)</v>
      </c>
      <c r="AA222" s="4"/>
      <c r="AB222" s="4"/>
      <c r="AC222" s="4"/>
      <c r="AD222" s="4"/>
      <c r="AE222" s="4"/>
      <c r="AF222" s="4"/>
      <c r="AG222" s="4"/>
      <c r="AH222" s="4"/>
      <c r="AI222" s="4"/>
      <c r="AJ222" s="76" t="str">
        <f>IF(E222="○",IF(COUNTA(E$13:E222)=1,"",",")&amp;D222,"")</f>
        <v/>
      </c>
      <c r="AK222" s="4"/>
      <c r="AL222" s="4"/>
      <c r="AM222" s="4"/>
      <c r="AN222" s="4"/>
      <c r="AO222" s="4"/>
      <c r="AP222" s="4"/>
      <c r="AQ222" s="4"/>
      <c r="AR222" s="4"/>
      <c r="AS222" s="76" t="str">
        <f>"COMMENT ON COLUMN "&amp;エンティティ一覧!$O$2&amp;"."&amp;D$8&amp;"."&amp;D222&amp;" IS '"&amp;C222&amp;"';"</f>
        <v>COMMENT ON COLUMN milscm_2023_009.sny_202310_annony_bef2.shikkan204_start_date IS 'C434_疾患開始日';</v>
      </c>
    </row>
    <row r="223" spans="1:45" s="25" customFormat="1">
      <c r="A223" s="4" t="s">
        <v>5356</v>
      </c>
      <c r="B223" s="21">
        <f t="shared" si="31"/>
        <v>211</v>
      </c>
      <c r="C223" s="13" t="s">
        <v>6746</v>
      </c>
      <c r="D223" s="13" t="s">
        <v>4973</v>
      </c>
      <c r="E223" s="8"/>
      <c r="F223" s="7" t="s">
        <v>4348</v>
      </c>
      <c r="G223" s="7" t="s">
        <v>25</v>
      </c>
      <c r="H223" s="58"/>
      <c r="I223" s="23"/>
      <c r="J223" s="24"/>
      <c r="M223" s="4"/>
      <c r="N223" s="76"/>
      <c r="O223" s="76"/>
      <c r="P223" s="76" t="str">
        <f t="shared" si="26"/>
        <v>,shikkan205_start_date</v>
      </c>
      <c r="Q223" s="76" t="str">
        <f t="shared" si="27"/>
        <v>DATE</v>
      </c>
      <c r="R223" s="76" t="str">
        <f t="shared" si="28"/>
        <v/>
      </c>
      <c r="S223" s="76" t="str">
        <f t="shared" si="29"/>
        <v/>
      </c>
      <c r="T223" s="76" t="str">
        <f t="shared" si="30"/>
        <v>-- C435_疾患開始日</v>
      </c>
      <c r="U223" s="4" t="str">
        <f t="shared" si="32"/>
        <v>, CASE WHEN shikkan_disp_name = 'C435' THEN min_shikkan_start_date ::DATE ELSE NULL END AS shikkan205_start_date</v>
      </c>
      <c r="V223" s="25" t="str">
        <f t="shared" si="33"/>
        <v>, max(shikkan205_start_date)</v>
      </c>
      <c r="AA223" s="4"/>
      <c r="AB223" s="4"/>
      <c r="AC223" s="4"/>
      <c r="AD223" s="4"/>
      <c r="AE223" s="4"/>
      <c r="AF223" s="4"/>
      <c r="AG223" s="4"/>
      <c r="AH223" s="4"/>
      <c r="AI223" s="4"/>
      <c r="AJ223" s="76" t="str">
        <f>IF(E223="○",IF(COUNTA(E$13:E223)=1,"",",")&amp;D223,"")</f>
        <v/>
      </c>
      <c r="AK223" s="4"/>
      <c r="AL223" s="4"/>
      <c r="AM223" s="4"/>
      <c r="AN223" s="4"/>
      <c r="AO223" s="4"/>
      <c r="AP223" s="4"/>
      <c r="AQ223" s="4"/>
      <c r="AR223" s="4"/>
      <c r="AS223" s="76" t="str">
        <f>"COMMENT ON COLUMN "&amp;エンティティ一覧!$O$2&amp;"."&amp;D$8&amp;"."&amp;D223&amp;" IS '"&amp;C223&amp;"';"</f>
        <v>COMMENT ON COLUMN milscm_2023_009.sny_202310_annony_bef2.shikkan205_start_date IS 'C435_疾患開始日';</v>
      </c>
    </row>
    <row r="224" spans="1:45" s="25" customFormat="1">
      <c r="A224" s="4" t="s">
        <v>5357</v>
      </c>
      <c r="B224" s="21">
        <f t="shared" si="31"/>
        <v>212</v>
      </c>
      <c r="C224" s="13" t="s">
        <v>6747</v>
      </c>
      <c r="D224" s="13" t="s">
        <v>4974</v>
      </c>
      <c r="E224" s="8"/>
      <c r="F224" s="7" t="s">
        <v>4348</v>
      </c>
      <c r="G224" s="7" t="s">
        <v>25</v>
      </c>
      <c r="H224" s="58"/>
      <c r="I224" s="23"/>
      <c r="J224" s="24"/>
      <c r="M224" s="4"/>
      <c r="N224" s="76"/>
      <c r="O224" s="76"/>
      <c r="P224" s="76" t="str">
        <f t="shared" si="26"/>
        <v>,shikkan206_start_date</v>
      </c>
      <c r="Q224" s="76" t="str">
        <f t="shared" si="27"/>
        <v>DATE</v>
      </c>
      <c r="R224" s="76" t="str">
        <f t="shared" si="28"/>
        <v/>
      </c>
      <c r="S224" s="76" t="str">
        <f t="shared" si="29"/>
        <v/>
      </c>
      <c r="T224" s="76" t="str">
        <f t="shared" si="30"/>
        <v>-- C436_疾患開始日</v>
      </c>
      <c r="U224" s="4" t="str">
        <f t="shared" si="32"/>
        <v>, CASE WHEN shikkan_disp_name = 'C436' THEN min_shikkan_start_date ::DATE ELSE NULL END AS shikkan206_start_date</v>
      </c>
      <c r="V224" s="25" t="str">
        <f t="shared" si="33"/>
        <v>, max(shikkan206_start_date)</v>
      </c>
      <c r="AA224" s="4"/>
      <c r="AB224" s="4"/>
      <c r="AC224" s="4"/>
      <c r="AD224" s="4"/>
      <c r="AE224" s="4"/>
      <c r="AF224" s="4"/>
      <c r="AG224" s="4"/>
      <c r="AH224" s="4"/>
      <c r="AI224" s="4"/>
      <c r="AJ224" s="76" t="str">
        <f>IF(E224="○",IF(COUNTA(E$13:E224)=1,"",",")&amp;D224,"")</f>
        <v/>
      </c>
      <c r="AK224" s="4"/>
      <c r="AL224" s="4"/>
      <c r="AM224" s="4"/>
      <c r="AN224" s="4"/>
      <c r="AO224" s="4"/>
      <c r="AP224" s="4"/>
      <c r="AQ224" s="4"/>
      <c r="AR224" s="4"/>
      <c r="AS224" s="76" t="str">
        <f>"COMMENT ON COLUMN "&amp;エンティティ一覧!$O$2&amp;"."&amp;D$8&amp;"."&amp;D224&amp;" IS '"&amp;C224&amp;"';"</f>
        <v>COMMENT ON COLUMN milscm_2023_009.sny_202310_annony_bef2.shikkan206_start_date IS 'C436_疾患開始日';</v>
      </c>
    </row>
    <row r="225" spans="1:45" s="25" customFormat="1">
      <c r="A225" s="4" t="s">
        <v>5358</v>
      </c>
      <c r="B225" s="21">
        <f t="shared" si="31"/>
        <v>213</v>
      </c>
      <c r="C225" s="13" t="s">
        <v>6748</v>
      </c>
      <c r="D225" s="13" t="s">
        <v>4975</v>
      </c>
      <c r="E225" s="8"/>
      <c r="F225" s="7" t="s">
        <v>4348</v>
      </c>
      <c r="G225" s="7" t="s">
        <v>25</v>
      </c>
      <c r="H225" s="58"/>
      <c r="I225" s="23"/>
      <c r="J225" s="24"/>
      <c r="M225" s="4"/>
      <c r="N225" s="76"/>
      <c r="O225" s="76"/>
      <c r="P225" s="76" t="str">
        <f t="shared" si="26"/>
        <v>,shikkan207_start_date</v>
      </c>
      <c r="Q225" s="76" t="str">
        <f t="shared" si="27"/>
        <v>DATE</v>
      </c>
      <c r="R225" s="76" t="str">
        <f t="shared" si="28"/>
        <v/>
      </c>
      <c r="S225" s="76" t="str">
        <f t="shared" si="29"/>
        <v/>
      </c>
      <c r="T225" s="76" t="str">
        <f t="shared" si="30"/>
        <v>-- C437_疾患開始日</v>
      </c>
      <c r="U225" s="4" t="str">
        <f t="shared" si="32"/>
        <v>, CASE WHEN shikkan_disp_name = 'C437' THEN min_shikkan_start_date ::DATE ELSE NULL END AS shikkan207_start_date</v>
      </c>
      <c r="V225" s="25" t="str">
        <f t="shared" si="33"/>
        <v>, max(shikkan207_start_date)</v>
      </c>
      <c r="AA225" s="4"/>
      <c r="AB225" s="4"/>
      <c r="AC225" s="4"/>
      <c r="AD225" s="4"/>
      <c r="AE225" s="4"/>
      <c r="AF225" s="4"/>
      <c r="AG225" s="4"/>
      <c r="AH225" s="4"/>
      <c r="AI225" s="4"/>
      <c r="AJ225" s="76" t="str">
        <f>IF(E225="○",IF(COUNTA(E$13:E225)=1,"",",")&amp;D225,"")</f>
        <v/>
      </c>
      <c r="AK225" s="4"/>
      <c r="AL225" s="4"/>
      <c r="AM225" s="4"/>
      <c r="AN225" s="4"/>
      <c r="AO225" s="4"/>
      <c r="AP225" s="4"/>
      <c r="AQ225" s="4"/>
      <c r="AR225" s="4"/>
      <c r="AS225" s="76" t="str">
        <f>"COMMENT ON COLUMN "&amp;エンティティ一覧!$O$2&amp;"."&amp;D$8&amp;"."&amp;D225&amp;" IS '"&amp;C225&amp;"';"</f>
        <v>COMMENT ON COLUMN milscm_2023_009.sny_202310_annony_bef2.shikkan207_start_date IS 'C437_疾患開始日';</v>
      </c>
    </row>
    <row r="226" spans="1:45" s="25" customFormat="1">
      <c r="A226" s="4" t="s">
        <v>5359</v>
      </c>
      <c r="B226" s="21">
        <f t="shared" si="31"/>
        <v>214</v>
      </c>
      <c r="C226" s="13" t="s">
        <v>6749</v>
      </c>
      <c r="D226" s="13" t="s">
        <v>4976</v>
      </c>
      <c r="E226" s="8"/>
      <c r="F226" s="7" t="s">
        <v>4348</v>
      </c>
      <c r="G226" s="7" t="s">
        <v>25</v>
      </c>
      <c r="H226" s="58"/>
      <c r="I226" s="23"/>
      <c r="J226" s="24"/>
      <c r="M226" s="4"/>
      <c r="N226" s="76"/>
      <c r="O226" s="76"/>
      <c r="P226" s="76" t="str">
        <f t="shared" si="26"/>
        <v>,shikkan208_start_date</v>
      </c>
      <c r="Q226" s="76" t="str">
        <f t="shared" si="27"/>
        <v>DATE</v>
      </c>
      <c r="R226" s="76" t="str">
        <f t="shared" si="28"/>
        <v/>
      </c>
      <c r="S226" s="76" t="str">
        <f t="shared" si="29"/>
        <v/>
      </c>
      <c r="T226" s="76" t="str">
        <f t="shared" si="30"/>
        <v>-- C438_疾患開始日</v>
      </c>
      <c r="U226" s="4" t="str">
        <f t="shared" si="32"/>
        <v>, CASE WHEN shikkan_disp_name = 'C438' THEN min_shikkan_start_date ::DATE ELSE NULL END AS shikkan208_start_date</v>
      </c>
      <c r="V226" s="25" t="str">
        <f t="shared" si="33"/>
        <v>, max(shikkan208_start_date)</v>
      </c>
      <c r="AA226" s="4"/>
      <c r="AB226" s="4"/>
      <c r="AC226" s="4"/>
      <c r="AD226" s="4"/>
      <c r="AE226" s="4"/>
      <c r="AF226" s="4"/>
      <c r="AG226" s="4"/>
      <c r="AH226" s="4"/>
      <c r="AI226" s="4"/>
      <c r="AJ226" s="76" t="str">
        <f>IF(E226="○",IF(COUNTA(E$13:E226)=1,"",",")&amp;D226,"")</f>
        <v/>
      </c>
      <c r="AK226" s="4"/>
      <c r="AL226" s="4"/>
      <c r="AM226" s="4"/>
      <c r="AN226" s="4"/>
      <c r="AO226" s="4"/>
      <c r="AP226" s="4"/>
      <c r="AQ226" s="4"/>
      <c r="AR226" s="4"/>
      <c r="AS226" s="76" t="str">
        <f>"COMMENT ON COLUMN "&amp;エンティティ一覧!$O$2&amp;"."&amp;D$8&amp;"."&amp;D226&amp;" IS '"&amp;C226&amp;"';"</f>
        <v>COMMENT ON COLUMN milscm_2023_009.sny_202310_annony_bef2.shikkan208_start_date IS 'C438_疾患開始日';</v>
      </c>
    </row>
    <row r="227" spans="1:45" s="25" customFormat="1">
      <c r="A227" s="4" t="s">
        <v>5360</v>
      </c>
      <c r="B227" s="21">
        <f t="shared" si="31"/>
        <v>215</v>
      </c>
      <c r="C227" s="13" t="s">
        <v>6750</v>
      </c>
      <c r="D227" s="13" t="s">
        <v>4977</v>
      </c>
      <c r="E227" s="8"/>
      <c r="F227" s="7" t="s">
        <v>4348</v>
      </c>
      <c r="G227" s="7" t="s">
        <v>99</v>
      </c>
      <c r="H227" s="58"/>
      <c r="I227" s="23"/>
      <c r="J227" s="24"/>
      <c r="M227" s="4"/>
      <c r="N227" s="76"/>
      <c r="O227" s="76"/>
      <c r="P227" s="76" t="str">
        <f t="shared" si="26"/>
        <v>,shikkan209_start_date</v>
      </c>
      <c r="Q227" s="76" t="str">
        <f t="shared" si="27"/>
        <v>DATE</v>
      </c>
      <c r="R227" s="76" t="str">
        <f t="shared" si="28"/>
        <v/>
      </c>
      <c r="S227" s="76" t="str">
        <f t="shared" si="29"/>
        <v/>
      </c>
      <c r="T227" s="76" t="str">
        <f t="shared" si="30"/>
        <v>-- C439_疾患開始日</v>
      </c>
      <c r="U227" s="4" t="str">
        <f t="shared" si="32"/>
        <v>, CASE WHEN shikkan_disp_name = 'C439' THEN min_shikkan_start_date ::DATE ELSE NULL END AS shikkan209_start_date</v>
      </c>
      <c r="V227" s="25" t="str">
        <f t="shared" si="33"/>
        <v>, max(shikkan209_start_date)</v>
      </c>
      <c r="AA227" s="4"/>
      <c r="AB227" s="4"/>
      <c r="AC227" s="4"/>
      <c r="AD227" s="4"/>
      <c r="AE227" s="4"/>
      <c r="AF227" s="4"/>
      <c r="AG227" s="4"/>
      <c r="AH227" s="4"/>
      <c r="AI227" s="4"/>
      <c r="AJ227" s="76" t="str">
        <f>IF(E227="○",IF(COUNTA(E$13:E227)=1,"",",")&amp;D227,"")</f>
        <v/>
      </c>
      <c r="AK227" s="4"/>
      <c r="AL227" s="4"/>
      <c r="AM227" s="4"/>
      <c r="AN227" s="4"/>
      <c r="AO227" s="4"/>
      <c r="AP227" s="4"/>
      <c r="AQ227" s="4"/>
      <c r="AR227" s="4"/>
      <c r="AS227" s="76" t="str">
        <f>"COMMENT ON COLUMN "&amp;エンティティ一覧!$O$2&amp;"."&amp;D$8&amp;"."&amp;D227&amp;" IS '"&amp;C227&amp;"';"</f>
        <v>COMMENT ON COLUMN milscm_2023_009.sny_202310_annony_bef2.shikkan209_start_date IS 'C439_疾患開始日';</v>
      </c>
    </row>
    <row r="228" spans="1:45" s="25" customFormat="1">
      <c r="A228" s="4" t="s">
        <v>5361</v>
      </c>
      <c r="B228" s="21">
        <f t="shared" si="31"/>
        <v>216</v>
      </c>
      <c r="C228" s="13" t="s">
        <v>6751</v>
      </c>
      <c r="D228" s="13" t="s">
        <v>4978</v>
      </c>
      <c r="E228" s="8"/>
      <c r="F228" s="7" t="s">
        <v>4348</v>
      </c>
      <c r="G228" s="7" t="s">
        <v>25</v>
      </c>
      <c r="H228" s="58"/>
      <c r="I228" s="23"/>
      <c r="J228" s="24"/>
      <c r="M228" s="4"/>
      <c r="N228" s="76"/>
      <c r="O228" s="76"/>
      <c r="P228" s="76" t="str">
        <f t="shared" ref="P228:P291" si="34">IF(B228&lt;&gt;1,","&amp;D228,D228)</f>
        <v>,shikkan210_start_date</v>
      </c>
      <c r="Q228" s="76" t="str">
        <f t="shared" ref="Q228:Q291" si="35">UPPER(G228)</f>
        <v>DATE</v>
      </c>
      <c r="R228" s="76" t="str">
        <f t="shared" ref="R228:R291" si="36">IF(H228&lt;&gt;"","default "&amp;IF(G228="text","'"&amp;H228&amp;"'",H228),"")</f>
        <v/>
      </c>
      <c r="S228" s="76" t="str">
        <f t="shared" ref="S228:S291" si="37">IF(I228="○","NOT NULL","")</f>
        <v/>
      </c>
      <c r="T228" s="76" t="str">
        <f t="shared" ref="T228:T291" si="38">"-- "&amp;C228</f>
        <v>-- C450_疾患開始日</v>
      </c>
      <c r="U228" s="4" t="str">
        <f t="shared" si="32"/>
        <v>, CASE WHEN shikkan_disp_name = 'C450' THEN min_shikkan_start_date ::DATE ELSE NULL END AS shikkan210_start_date</v>
      </c>
      <c r="V228" s="25" t="str">
        <f t="shared" si="33"/>
        <v>, max(shikkan210_start_date)</v>
      </c>
      <c r="AA228" s="4"/>
      <c r="AB228" s="4"/>
      <c r="AC228" s="4"/>
      <c r="AD228" s="4"/>
      <c r="AE228" s="4"/>
      <c r="AF228" s="4"/>
      <c r="AG228" s="4"/>
      <c r="AH228" s="4"/>
      <c r="AI228" s="4"/>
      <c r="AJ228" s="76" t="str">
        <f>IF(E228="○",IF(COUNTA(E$13:E228)=1,"",",")&amp;D228,"")</f>
        <v/>
      </c>
      <c r="AK228" s="4"/>
      <c r="AL228" s="4"/>
      <c r="AM228" s="4"/>
      <c r="AN228" s="4"/>
      <c r="AO228" s="4"/>
      <c r="AP228" s="4"/>
      <c r="AQ228" s="4"/>
      <c r="AR228" s="4"/>
      <c r="AS228" s="76" t="str">
        <f>"COMMENT ON COLUMN "&amp;エンティティ一覧!$O$2&amp;"."&amp;D$8&amp;"."&amp;D228&amp;" IS '"&amp;C228&amp;"';"</f>
        <v>COMMENT ON COLUMN milscm_2023_009.sny_202310_annony_bef2.shikkan210_start_date IS 'C450_疾患開始日';</v>
      </c>
    </row>
    <row r="229" spans="1:45" s="25" customFormat="1">
      <c r="A229" s="4" t="s">
        <v>5362</v>
      </c>
      <c r="B229" s="21">
        <f t="shared" si="31"/>
        <v>217</v>
      </c>
      <c r="C229" s="13" t="s">
        <v>6752</v>
      </c>
      <c r="D229" s="13" t="s">
        <v>4979</v>
      </c>
      <c r="E229" s="8"/>
      <c r="F229" s="7" t="s">
        <v>4348</v>
      </c>
      <c r="G229" s="7" t="s">
        <v>25</v>
      </c>
      <c r="H229" s="58"/>
      <c r="I229" s="23"/>
      <c r="J229" s="24"/>
      <c r="M229" s="4"/>
      <c r="N229" s="76"/>
      <c r="O229" s="76"/>
      <c r="P229" s="76" t="str">
        <f t="shared" si="34"/>
        <v>,shikkan211_start_date</v>
      </c>
      <c r="Q229" s="76" t="str">
        <f t="shared" si="35"/>
        <v>DATE</v>
      </c>
      <c r="R229" s="76" t="str">
        <f t="shared" si="36"/>
        <v/>
      </c>
      <c r="S229" s="76" t="str">
        <f t="shared" si="37"/>
        <v/>
      </c>
      <c r="T229" s="76" t="str">
        <f t="shared" si="38"/>
        <v>-- C451_疾患開始日</v>
      </c>
      <c r="U229" s="4" t="str">
        <f t="shared" si="32"/>
        <v>, CASE WHEN shikkan_disp_name = 'C451' THEN min_shikkan_start_date ::DATE ELSE NULL END AS shikkan211_start_date</v>
      </c>
      <c r="V229" s="25" t="str">
        <f t="shared" si="33"/>
        <v>, max(shikkan211_start_date)</v>
      </c>
      <c r="AA229" s="4"/>
      <c r="AB229" s="4"/>
      <c r="AC229" s="4"/>
      <c r="AD229" s="4"/>
      <c r="AE229" s="4"/>
      <c r="AF229" s="4"/>
      <c r="AG229" s="4"/>
      <c r="AH229" s="4"/>
      <c r="AI229" s="4"/>
      <c r="AJ229" s="76" t="str">
        <f>IF(E229="○",IF(COUNTA(E$13:E229)=1,"",",")&amp;D229,"")</f>
        <v/>
      </c>
      <c r="AK229" s="4"/>
      <c r="AL229" s="4"/>
      <c r="AM229" s="4"/>
      <c r="AN229" s="4"/>
      <c r="AO229" s="4"/>
      <c r="AP229" s="4"/>
      <c r="AQ229" s="4"/>
      <c r="AR229" s="4"/>
      <c r="AS229" s="76" t="str">
        <f>"COMMENT ON COLUMN "&amp;エンティティ一覧!$O$2&amp;"."&amp;D$8&amp;"."&amp;D229&amp;" IS '"&amp;C229&amp;"';"</f>
        <v>COMMENT ON COLUMN milscm_2023_009.sny_202310_annony_bef2.shikkan211_start_date IS 'C451_疾患開始日';</v>
      </c>
    </row>
    <row r="230" spans="1:45" s="25" customFormat="1">
      <c r="A230" s="4" t="s">
        <v>5363</v>
      </c>
      <c r="B230" s="21">
        <f t="shared" si="31"/>
        <v>218</v>
      </c>
      <c r="C230" s="13" t="s">
        <v>6753</v>
      </c>
      <c r="D230" s="13" t="s">
        <v>4980</v>
      </c>
      <c r="E230" s="8"/>
      <c r="F230" s="7" t="s">
        <v>4348</v>
      </c>
      <c r="G230" s="7" t="s">
        <v>25</v>
      </c>
      <c r="H230" s="58"/>
      <c r="I230" s="23"/>
      <c r="J230" s="24"/>
      <c r="M230" s="4"/>
      <c r="N230" s="76"/>
      <c r="O230" s="76"/>
      <c r="P230" s="76" t="str">
        <f t="shared" si="34"/>
        <v>,shikkan212_start_date</v>
      </c>
      <c r="Q230" s="76" t="str">
        <f t="shared" si="35"/>
        <v>DATE</v>
      </c>
      <c r="R230" s="76" t="str">
        <f t="shared" si="36"/>
        <v/>
      </c>
      <c r="S230" s="76" t="str">
        <f t="shared" si="37"/>
        <v/>
      </c>
      <c r="T230" s="76" t="str">
        <f t="shared" si="38"/>
        <v>-- C452_疾患開始日</v>
      </c>
      <c r="U230" s="4" t="str">
        <f t="shared" si="32"/>
        <v>, CASE WHEN shikkan_disp_name = 'C452' THEN min_shikkan_start_date ::DATE ELSE NULL END AS shikkan212_start_date</v>
      </c>
      <c r="V230" s="25" t="str">
        <f t="shared" si="33"/>
        <v>, max(shikkan212_start_date)</v>
      </c>
      <c r="AA230" s="4"/>
      <c r="AB230" s="4"/>
      <c r="AC230" s="4"/>
      <c r="AD230" s="4"/>
      <c r="AE230" s="4"/>
      <c r="AF230" s="4"/>
      <c r="AG230" s="4"/>
      <c r="AH230" s="4"/>
      <c r="AI230" s="4"/>
      <c r="AJ230" s="76" t="str">
        <f>IF(E230="○",IF(COUNTA(E$13:E230)=1,"",",")&amp;D230,"")</f>
        <v/>
      </c>
      <c r="AK230" s="4"/>
      <c r="AL230" s="4"/>
      <c r="AM230" s="4"/>
      <c r="AN230" s="4"/>
      <c r="AO230" s="4"/>
      <c r="AP230" s="4"/>
      <c r="AQ230" s="4"/>
      <c r="AR230" s="4"/>
      <c r="AS230" s="76" t="str">
        <f>"COMMENT ON COLUMN "&amp;エンティティ一覧!$O$2&amp;"."&amp;D$8&amp;"."&amp;D230&amp;" IS '"&amp;C230&amp;"';"</f>
        <v>COMMENT ON COLUMN milscm_2023_009.sny_202310_annony_bef2.shikkan212_start_date IS 'C452_疾患開始日';</v>
      </c>
    </row>
    <row r="231" spans="1:45" s="25" customFormat="1">
      <c r="A231" s="4" t="s">
        <v>5364</v>
      </c>
      <c r="B231" s="21">
        <f t="shared" si="31"/>
        <v>219</v>
      </c>
      <c r="C231" s="13" t="s">
        <v>6754</v>
      </c>
      <c r="D231" s="13" t="s">
        <v>4981</v>
      </c>
      <c r="E231" s="8"/>
      <c r="F231" s="7" t="s">
        <v>4348</v>
      </c>
      <c r="G231" s="7" t="s">
        <v>25</v>
      </c>
      <c r="H231" s="58"/>
      <c r="I231" s="23"/>
      <c r="J231" s="24"/>
      <c r="M231" s="4"/>
      <c r="N231" s="76"/>
      <c r="O231" s="76"/>
      <c r="P231" s="76" t="str">
        <f t="shared" si="34"/>
        <v>,shikkan213_start_date</v>
      </c>
      <c r="Q231" s="76" t="str">
        <f t="shared" si="35"/>
        <v>DATE</v>
      </c>
      <c r="R231" s="76" t="str">
        <f t="shared" si="36"/>
        <v/>
      </c>
      <c r="S231" s="76" t="str">
        <f t="shared" si="37"/>
        <v/>
      </c>
      <c r="T231" s="76" t="str">
        <f t="shared" si="38"/>
        <v>-- C457_疾患開始日</v>
      </c>
      <c r="U231" s="4" t="str">
        <f t="shared" si="32"/>
        <v>, CASE WHEN shikkan_disp_name = 'C457' THEN min_shikkan_start_date ::DATE ELSE NULL END AS shikkan213_start_date</v>
      </c>
      <c r="V231" s="25" t="str">
        <f t="shared" si="33"/>
        <v>, max(shikkan213_start_date)</v>
      </c>
      <c r="AA231" s="4"/>
      <c r="AB231" s="4"/>
      <c r="AC231" s="4"/>
      <c r="AD231" s="4"/>
      <c r="AE231" s="4"/>
      <c r="AF231" s="4"/>
      <c r="AG231" s="4"/>
      <c r="AH231" s="4"/>
      <c r="AI231" s="4"/>
      <c r="AJ231" s="76" t="str">
        <f>IF(E231="○",IF(COUNTA(E$13:E231)=1,"",",")&amp;D231,"")</f>
        <v/>
      </c>
      <c r="AK231" s="4"/>
      <c r="AL231" s="4"/>
      <c r="AM231" s="4"/>
      <c r="AN231" s="4"/>
      <c r="AO231" s="4"/>
      <c r="AP231" s="4"/>
      <c r="AQ231" s="4"/>
      <c r="AR231" s="4"/>
      <c r="AS231" s="76" t="str">
        <f>"COMMENT ON COLUMN "&amp;エンティティ一覧!$O$2&amp;"."&amp;D$8&amp;"."&amp;D231&amp;" IS '"&amp;C231&amp;"';"</f>
        <v>COMMENT ON COLUMN milscm_2023_009.sny_202310_annony_bef2.shikkan213_start_date IS 'C457_疾患開始日';</v>
      </c>
    </row>
    <row r="232" spans="1:45" s="25" customFormat="1">
      <c r="A232" s="4" t="s">
        <v>5365</v>
      </c>
      <c r="B232" s="21">
        <f t="shared" si="31"/>
        <v>220</v>
      </c>
      <c r="C232" s="13" t="s">
        <v>6755</v>
      </c>
      <c r="D232" s="13" t="s">
        <v>4982</v>
      </c>
      <c r="E232" s="8"/>
      <c r="F232" s="7" t="s">
        <v>4348</v>
      </c>
      <c r="G232" s="7" t="s">
        <v>25</v>
      </c>
      <c r="H232" s="58"/>
      <c r="I232" s="23"/>
      <c r="J232" s="24"/>
      <c r="M232" s="4"/>
      <c r="N232" s="76"/>
      <c r="O232" s="76"/>
      <c r="P232" s="76" t="str">
        <f t="shared" si="34"/>
        <v>,shikkan214_start_date</v>
      </c>
      <c r="Q232" s="76" t="str">
        <f t="shared" si="35"/>
        <v>DATE</v>
      </c>
      <c r="R232" s="76" t="str">
        <f t="shared" si="36"/>
        <v/>
      </c>
      <c r="S232" s="76" t="str">
        <f t="shared" si="37"/>
        <v/>
      </c>
      <c r="T232" s="76" t="str">
        <f t="shared" si="38"/>
        <v>-- C459_疾患開始日</v>
      </c>
      <c r="U232" s="4" t="str">
        <f t="shared" si="32"/>
        <v>, CASE WHEN shikkan_disp_name = 'C459' THEN min_shikkan_start_date ::DATE ELSE NULL END AS shikkan214_start_date</v>
      </c>
      <c r="V232" s="25" t="str">
        <f t="shared" si="33"/>
        <v>, max(shikkan214_start_date)</v>
      </c>
      <c r="AA232" s="4"/>
      <c r="AB232" s="4"/>
      <c r="AC232" s="4"/>
      <c r="AD232" s="4"/>
      <c r="AE232" s="4"/>
      <c r="AF232" s="4"/>
      <c r="AG232" s="4"/>
      <c r="AH232" s="4"/>
      <c r="AI232" s="4"/>
      <c r="AJ232" s="76" t="str">
        <f>IF(E232="○",IF(COUNTA(E$13:E232)=1,"",",")&amp;D232,"")</f>
        <v/>
      </c>
      <c r="AK232" s="4"/>
      <c r="AL232" s="4"/>
      <c r="AM232" s="4"/>
      <c r="AN232" s="4"/>
      <c r="AO232" s="4"/>
      <c r="AP232" s="4"/>
      <c r="AQ232" s="4"/>
      <c r="AR232" s="4"/>
      <c r="AS232" s="76" t="str">
        <f>"COMMENT ON COLUMN "&amp;エンティティ一覧!$O$2&amp;"."&amp;D$8&amp;"."&amp;D232&amp;" IS '"&amp;C232&amp;"';"</f>
        <v>COMMENT ON COLUMN milscm_2023_009.sny_202310_annony_bef2.shikkan214_start_date IS 'C459_疾患開始日';</v>
      </c>
    </row>
    <row r="233" spans="1:45" s="25" customFormat="1">
      <c r="A233" s="4" t="s">
        <v>5366</v>
      </c>
      <c r="B233" s="21">
        <f t="shared" si="31"/>
        <v>221</v>
      </c>
      <c r="C233" s="13" t="s">
        <v>6756</v>
      </c>
      <c r="D233" s="13" t="s">
        <v>4983</v>
      </c>
      <c r="E233" s="8"/>
      <c r="F233" s="7" t="s">
        <v>4348</v>
      </c>
      <c r="G233" s="7" t="s">
        <v>25</v>
      </c>
      <c r="H233" s="58"/>
      <c r="I233" s="23"/>
      <c r="J233" s="24"/>
      <c r="M233" s="4"/>
      <c r="N233" s="76"/>
      <c r="O233" s="76"/>
      <c r="P233" s="76" t="str">
        <f t="shared" si="34"/>
        <v>,shikkan215_start_date</v>
      </c>
      <c r="Q233" s="76" t="str">
        <f t="shared" si="35"/>
        <v>DATE</v>
      </c>
      <c r="R233" s="76" t="str">
        <f t="shared" si="36"/>
        <v/>
      </c>
      <c r="S233" s="76" t="str">
        <f t="shared" si="37"/>
        <v/>
      </c>
      <c r="T233" s="76" t="str">
        <f t="shared" si="38"/>
        <v>-- C460_疾患開始日</v>
      </c>
      <c r="U233" s="4" t="str">
        <f t="shared" si="32"/>
        <v>, CASE WHEN shikkan_disp_name = 'C460' THEN min_shikkan_start_date ::DATE ELSE NULL END AS shikkan215_start_date</v>
      </c>
      <c r="V233" s="25" t="str">
        <f t="shared" si="33"/>
        <v>, max(shikkan215_start_date)</v>
      </c>
      <c r="AA233" s="4"/>
      <c r="AB233" s="4"/>
      <c r="AC233" s="4"/>
      <c r="AD233" s="4"/>
      <c r="AE233" s="4"/>
      <c r="AF233" s="4"/>
      <c r="AG233" s="4"/>
      <c r="AH233" s="4"/>
      <c r="AI233" s="4"/>
      <c r="AJ233" s="76" t="str">
        <f>IF(E233="○",IF(COUNTA(E$13:E233)=1,"",",")&amp;D233,"")</f>
        <v/>
      </c>
      <c r="AK233" s="4"/>
      <c r="AL233" s="4"/>
      <c r="AM233" s="4"/>
      <c r="AN233" s="4"/>
      <c r="AO233" s="4"/>
      <c r="AP233" s="4"/>
      <c r="AQ233" s="4"/>
      <c r="AR233" s="4"/>
      <c r="AS233" s="76" t="str">
        <f>"COMMENT ON COLUMN "&amp;エンティティ一覧!$O$2&amp;"."&amp;D$8&amp;"."&amp;D233&amp;" IS '"&amp;C233&amp;"';"</f>
        <v>COMMENT ON COLUMN milscm_2023_009.sny_202310_annony_bef2.shikkan215_start_date IS 'C460_疾患開始日';</v>
      </c>
    </row>
    <row r="234" spans="1:45" s="25" customFormat="1">
      <c r="A234" s="4" t="s">
        <v>5367</v>
      </c>
      <c r="B234" s="21">
        <f t="shared" si="31"/>
        <v>222</v>
      </c>
      <c r="C234" s="13" t="s">
        <v>6757</v>
      </c>
      <c r="D234" s="13" t="s">
        <v>4984</v>
      </c>
      <c r="E234" s="8"/>
      <c r="F234" s="7" t="s">
        <v>4348</v>
      </c>
      <c r="G234" s="7" t="s">
        <v>25</v>
      </c>
      <c r="H234" s="58"/>
      <c r="I234" s="23"/>
      <c r="J234" s="24"/>
      <c r="M234" s="4"/>
      <c r="N234" s="76"/>
      <c r="O234" s="76"/>
      <c r="P234" s="76" t="str">
        <f t="shared" si="34"/>
        <v>,shikkan216_start_date</v>
      </c>
      <c r="Q234" s="76" t="str">
        <f t="shared" si="35"/>
        <v>DATE</v>
      </c>
      <c r="R234" s="76" t="str">
        <f t="shared" si="36"/>
        <v/>
      </c>
      <c r="S234" s="76" t="str">
        <f t="shared" si="37"/>
        <v/>
      </c>
      <c r="T234" s="76" t="str">
        <f t="shared" si="38"/>
        <v>-- C461_疾患開始日</v>
      </c>
      <c r="U234" s="4" t="str">
        <f t="shared" si="32"/>
        <v>, CASE WHEN shikkan_disp_name = 'C461' THEN min_shikkan_start_date ::DATE ELSE NULL END AS shikkan216_start_date</v>
      </c>
      <c r="V234" s="25" t="str">
        <f t="shared" si="33"/>
        <v>, max(shikkan216_start_date)</v>
      </c>
      <c r="AA234" s="4"/>
      <c r="AB234" s="4"/>
      <c r="AC234" s="4"/>
      <c r="AD234" s="4"/>
      <c r="AE234" s="4"/>
      <c r="AF234" s="4"/>
      <c r="AG234" s="4"/>
      <c r="AH234" s="4"/>
      <c r="AI234" s="4"/>
      <c r="AJ234" s="76" t="str">
        <f>IF(E234="○",IF(COUNTA(E$13:E234)=1,"",",")&amp;D234,"")</f>
        <v/>
      </c>
      <c r="AK234" s="4"/>
      <c r="AL234" s="4"/>
      <c r="AM234" s="4"/>
      <c r="AN234" s="4"/>
      <c r="AO234" s="4"/>
      <c r="AP234" s="4"/>
      <c r="AQ234" s="4"/>
      <c r="AR234" s="4"/>
      <c r="AS234" s="76" t="str">
        <f>"COMMENT ON COLUMN "&amp;エンティティ一覧!$O$2&amp;"."&amp;D$8&amp;"."&amp;D234&amp;" IS '"&amp;C234&amp;"';"</f>
        <v>COMMENT ON COLUMN milscm_2023_009.sny_202310_annony_bef2.shikkan216_start_date IS 'C461_疾患開始日';</v>
      </c>
    </row>
    <row r="235" spans="1:45" s="25" customFormat="1">
      <c r="A235" s="4" t="s">
        <v>5368</v>
      </c>
      <c r="B235" s="21">
        <f t="shared" si="31"/>
        <v>223</v>
      </c>
      <c r="C235" s="13" t="s">
        <v>6758</v>
      </c>
      <c r="D235" s="13" t="s">
        <v>4985</v>
      </c>
      <c r="E235" s="8"/>
      <c r="F235" s="7" t="s">
        <v>4348</v>
      </c>
      <c r="G235" s="7" t="s">
        <v>25</v>
      </c>
      <c r="H235" s="58"/>
      <c r="I235" s="23"/>
      <c r="J235" s="24"/>
      <c r="M235" s="4"/>
      <c r="N235" s="76"/>
      <c r="O235" s="76"/>
      <c r="P235" s="76" t="str">
        <f t="shared" si="34"/>
        <v>,shikkan217_start_date</v>
      </c>
      <c r="Q235" s="76" t="str">
        <f t="shared" si="35"/>
        <v>DATE</v>
      </c>
      <c r="R235" s="76" t="str">
        <f t="shared" si="36"/>
        <v/>
      </c>
      <c r="S235" s="76" t="str">
        <f t="shared" si="37"/>
        <v/>
      </c>
      <c r="T235" s="76" t="str">
        <f t="shared" si="38"/>
        <v>-- C462_疾患開始日</v>
      </c>
      <c r="U235" s="4" t="str">
        <f t="shared" si="32"/>
        <v>, CASE WHEN shikkan_disp_name = 'C462' THEN min_shikkan_start_date ::DATE ELSE NULL END AS shikkan217_start_date</v>
      </c>
      <c r="V235" s="25" t="str">
        <f t="shared" si="33"/>
        <v>, max(shikkan217_start_date)</v>
      </c>
      <c r="AA235" s="4"/>
      <c r="AB235" s="4"/>
      <c r="AC235" s="4"/>
      <c r="AD235" s="4"/>
      <c r="AE235" s="4"/>
      <c r="AF235" s="4"/>
      <c r="AG235" s="4"/>
      <c r="AH235" s="4"/>
      <c r="AI235" s="4"/>
      <c r="AJ235" s="76" t="str">
        <f>IF(E235="○",IF(COUNTA(E$13:E235)=1,"",",")&amp;D235,"")</f>
        <v/>
      </c>
      <c r="AK235" s="4"/>
      <c r="AL235" s="4"/>
      <c r="AM235" s="4"/>
      <c r="AN235" s="4"/>
      <c r="AO235" s="4"/>
      <c r="AP235" s="4"/>
      <c r="AQ235" s="4"/>
      <c r="AR235" s="4"/>
      <c r="AS235" s="76" t="str">
        <f>"COMMENT ON COLUMN "&amp;エンティティ一覧!$O$2&amp;"."&amp;D$8&amp;"."&amp;D235&amp;" IS '"&amp;C235&amp;"';"</f>
        <v>COMMENT ON COLUMN milscm_2023_009.sny_202310_annony_bef2.shikkan217_start_date IS 'C462_疾患開始日';</v>
      </c>
    </row>
    <row r="236" spans="1:45" s="25" customFormat="1">
      <c r="A236" s="4" t="s">
        <v>5369</v>
      </c>
      <c r="B236" s="21">
        <f t="shared" si="31"/>
        <v>224</v>
      </c>
      <c r="C236" s="13" t="s">
        <v>6759</v>
      </c>
      <c r="D236" s="13" t="s">
        <v>4986</v>
      </c>
      <c r="E236" s="8"/>
      <c r="F236" s="7" t="s">
        <v>4348</v>
      </c>
      <c r="G236" s="7" t="s">
        <v>25</v>
      </c>
      <c r="H236" s="58"/>
      <c r="I236" s="23"/>
      <c r="J236" s="24"/>
      <c r="M236" s="4"/>
      <c r="N236" s="76"/>
      <c r="O236" s="76"/>
      <c r="P236" s="76" t="str">
        <f t="shared" si="34"/>
        <v>,shikkan218_start_date</v>
      </c>
      <c r="Q236" s="76" t="str">
        <f t="shared" si="35"/>
        <v>DATE</v>
      </c>
      <c r="R236" s="76" t="str">
        <f t="shared" si="36"/>
        <v/>
      </c>
      <c r="S236" s="76" t="str">
        <f t="shared" si="37"/>
        <v/>
      </c>
      <c r="T236" s="76" t="str">
        <f t="shared" si="38"/>
        <v>-- C463_疾患開始日</v>
      </c>
      <c r="U236" s="4" t="str">
        <f t="shared" si="32"/>
        <v>, CASE WHEN shikkan_disp_name = 'C463' THEN min_shikkan_start_date ::DATE ELSE NULL END AS shikkan218_start_date</v>
      </c>
      <c r="V236" s="25" t="str">
        <f t="shared" si="33"/>
        <v>, max(shikkan218_start_date)</v>
      </c>
      <c r="AA236" s="4"/>
      <c r="AB236" s="4"/>
      <c r="AC236" s="4"/>
      <c r="AD236" s="4"/>
      <c r="AE236" s="4"/>
      <c r="AF236" s="4"/>
      <c r="AG236" s="4"/>
      <c r="AH236" s="4"/>
      <c r="AI236" s="4"/>
      <c r="AJ236" s="76" t="str">
        <f>IF(E236="○",IF(COUNTA(E$13:E236)=1,"",",")&amp;D236,"")</f>
        <v/>
      </c>
      <c r="AK236" s="4"/>
      <c r="AL236" s="4"/>
      <c r="AM236" s="4"/>
      <c r="AN236" s="4"/>
      <c r="AO236" s="4"/>
      <c r="AP236" s="4"/>
      <c r="AQ236" s="4"/>
      <c r="AR236" s="4"/>
      <c r="AS236" s="76" t="str">
        <f>"COMMENT ON COLUMN "&amp;エンティティ一覧!$O$2&amp;"."&amp;D$8&amp;"."&amp;D236&amp;" IS '"&amp;C236&amp;"';"</f>
        <v>COMMENT ON COLUMN milscm_2023_009.sny_202310_annony_bef2.shikkan218_start_date IS 'C463_疾患開始日';</v>
      </c>
    </row>
    <row r="237" spans="1:45" s="25" customFormat="1">
      <c r="A237" s="4" t="s">
        <v>5370</v>
      </c>
      <c r="B237" s="21">
        <f t="shared" si="31"/>
        <v>225</v>
      </c>
      <c r="C237" s="13" t="s">
        <v>6760</v>
      </c>
      <c r="D237" s="13" t="s">
        <v>4987</v>
      </c>
      <c r="E237" s="8"/>
      <c r="F237" s="7" t="s">
        <v>4348</v>
      </c>
      <c r="G237" s="7" t="s">
        <v>25</v>
      </c>
      <c r="H237" s="58"/>
      <c r="I237" s="23"/>
      <c r="J237" s="24"/>
      <c r="M237" s="4"/>
      <c r="N237" s="76"/>
      <c r="O237" s="76"/>
      <c r="P237" s="76" t="str">
        <f t="shared" si="34"/>
        <v>,shikkan219_start_date</v>
      </c>
      <c r="Q237" s="76" t="str">
        <f t="shared" si="35"/>
        <v>DATE</v>
      </c>
      <c r="R237" s="76" t="str">
        <f t="shared" si="36"/>
        <v/>
      </c>
      <c r="S237" s="76" t="str">
        <f t="shared" si="37"/>
        <v/>
      </c>
      <c r="T237" s="76" t="str">
        <f t="shared" si="38"/>
        <v>-- C467_疾患開始日</v>
      </c>
      <c r="U237" s="4" t="str">
        <f t="shared" si="32"/>
        <v>, CASE WHEN shikkan_disp_name = 'C467' THEN min_shikkan_start_date ::DATE ELSE NULL END AS shikkan219_start_date</v>
      </c>
      <c r="V237" s="25" t="str">
        <f t="shared" si="33"/>
        <v>, max(shikkan219_start_date)</v>
      </c>
      <c r="AA237" s="4"/>
      <c r="AB237" s="4"/>
      <c r="AC237" s="4"/>
      <c r="AD237" s="4"/>
      <c r="AE237" s="4"/>
      <c r="AF237" s="4"/>
      <c r="AG237" s="4"/>
      <c r="AH237" s="4"/>
      <c r="AI237" s="4"/>
      <c r="AJ237" s="76" t="str">
        <f>IF(E237="○",IF(COUNTA(E$13:E237)=1,"",",")&amp;D237,"")</f>
        <v/>
      </c>
      <c r="AK237" s="4"/>
      <c r="AL237" s="4"/>
      <c r="AM237" s="4"/>
      <c r="AN237" s="4"/>
      <c r="AO237" s="4"/>
      <c r="AP237" s="4"/>
      <c r="AQ237" s="4"/>
      <c r="AR237" s="4"/>
      <c r="AS237" s="76" t="str">
        <f>"COMMENT ON COLUMN "&amp;エンティティ一覧!$O$2&amp;"."&amp;D$8&amp;"."&amp;D237&amp;" IS '"&amp;C237&amp;"';"</f>
        <v>COMMENT ON COLUMN milscm_2023_009.sny_202310_annony_bef2.shikkan219_start_date IS 'C467_疾患開始日';</v>
      </c>
    </row>
    <row r="238" spans="1:45" s="25" customFormat="1">
      <c r="A238" s="4" t="s">
        <v>5371</v>
      </c>
      <c r="B238" s="21">
        <f t="shared" si="31"/>
        <v>226</v>
      </c>
      <c r="C238" s="13" t="s">
        <v>6761</v>
      </c>
      <c r="D238" s="13" t="s">
        <v>4988</v>
      </c>
      <c r="E238" s="8"/>
      <c r="F238" s="7" t="s">
        <v>4348</v>
      </c>
      <c r="G238" s="7" t="s">
        <v>25</v>
      </c>
      <c r="H238" s="58"/>
      <c r="I238" s="23"/>
      <c r="J238" s="24"/>
      <c r="M238" s="4"/>
      <c r="N238" s="76"/>
      <c r="O238" s="76"/>
      <c r="P238" s="76" t="str">
        <f t="shared" si="34"/>
        <v>,shikkan220_start_date</v>
      </c>
      <c r="Q238" s="76" t="str">
        <f t="shared" si="35"/>
        <v>DATE</v>
      </c>
      <c r="R238" s="76" t="str">
        <f t="shared" si="36"/>
        <v/>
      </c>
      <c r="S238" s="76" t="str">
        <f t="shared" si="37"/>
        <v/>
      </c>
      <c r="T238" s="76" t="str">
        <f t="shared" si="38"/>
        <v>-- C468_疾患開始日</v>
      </c>
      <c r="U238" s="4" t="str">
        <f t="shared" si="32"/>
        <v>, CASE WHEN shikkan_disp_name = 'C468' THEN min_shikkan_start_date ::DATE ELSE NULL END AS shikkan220_start_date</v>
      </c>
      <c r="V238" s="25" t="str">
        <f t="shared" si="33"/>
        <v>, max(shikkan220_start_date)</v>
      </c>
      <c r="AA238" s="4"/>
      <c r="AB238" s="4"/>
      <c r="AC238" s="4"/>
      <c r="AD238" s="4"/>
      <c r="AE238" s="4"/>
      <c r="AF238" s="4"/>
      <c r="AG238" s="4"/>
      <c r="AH238" s="4"/>
      <c r="AI238" s="4"/>
      <c r="AJ238" s="76" t="str">
        <f>IF(E238="○",IF(COUNTA(E$13:E238)=1,"",",")&amp;D238,"")</f>
        <v/>
      </c>
      <c r="AK238" s="4"/>
      <c r="AL238" s="4"/>
      <c r="AM238" s="4"/>
      <c r="AN238" s="4"/>
      <c r="AO238" s="4"/>
      <c r="AP238" s="4"/>
      <c r="AQ238" s="4"/>
      <c r="AR238" s="4"/>
      <c r="AS238" s="76" t="str">
        <f>"COMMENT ON COLUMN "&amp;エンティティ一覧!$O$2&amp;"."&amp;D$8&amp;"."&amp;D238&amp;" IS '"&amp;C238&amp;"';"</f>
        <v>COMMENT ON COLUMN milscm_2023_009.sny_202310_annony_bef2.shikkan220_start_date IS 'C468_疾患開始日';</v>
      </c>
    </row>
    <row r="239" spans="1:45" s="25" customFormat="1">
      <c r="A239" s="4" t="s">
        <v>5372</v>
      </c>
      <c r="B239" s="21">
        <f t="shared" si="31"/>
        <v>227</v>
      </c>
      <c r="C239" s="13" t="s">
        <v>6762</v>
      </c>
      <c r="D239" s="13" t="s">
        <v>4989</v>
      </c>
      <c r="E239" s="8"/>
      <c r="F239" s="7" t="s">
        <v>4348</v>
      </c>
      <c r="G239" s="7" t="s">
        <v>25</v>
      </c>
      <c r="H239" s="58"/>
      <c r="I239" s="23"/>
      <c r="J239" s="24"/>
      <c r="M239" s="4"/>
      <c r="N239" s="76"/>
      <c r="O239" s="76"/>
      <c r="P239" s="76" t="str">
        <f t="shared" si="34"/>
        <v>,shikkan221_start_date</v>
      </c>
      <c r="Q239" s="76" t="str">
        <f t="shared" si="35"/>
        <v>DATE</v>
      </c>
      <c r="R239" s="76" t="str">
        <f t="shared" si="36"/>
        <v/>
      </c>
      <c r="S239" s="76" t="str">
        <f t="shared" si="37"/>
        <v/>
      </c>
      <c r="T239" s="76" t="str">
        <f t="shared" si="38"/>
        <v>-- C469_疾患開始日</v>
      </c>
      <c r="U239" s="4" t="str">
        <f t="shared" si="32"/>
        <v>, CASE WHEN shikkan_disp_name = 'C469' THEN min_shikkan_start_date ::DATE ELSE NULL END AS shikkan221_start_date</v>
      </c>
      <c r="V239" s="25" t="str">
        <f t="shared" si="33"/>
        <v>, max(shikkan221_start_date)</v>
      </c>
      <c r="AA239" s="4"/>
      <c r="AB239" s="4"/>
      <c r="AC239" s="4"/>
      <c r="AD239" s="4"/>
      <c r="AE239" s="4"/>
      <c r="AF239" s="4"/>
      <c r="AG239" s="4"/>
      <c r="AH239" s="4"/>
      <c r="AI239" s="4"/>
      <c r="AJ239" s="76" t="str">
        <f>IF(E239="○",IF(COUNTA(E$13:E239)=1,"",",")&amp;D239,"")</f>
        <v/>
      </c>
      <c r="AK239" s="4"/>
      <c r="AL239" s="4"/>
      <c r="AM239" s="4"/>
      <c r="AN239" s="4"/>
      <c r="AO239" s="4"/>
      <c r="AP239" s="4"/>
      <c r="AQ239" s="4"/>
      <c r="AR239" s="4"/>
      <c r="AS239" s="76" t="str">
        <f>"COMMENT ON COLUMN "&amp;エンティティ一覧!$O$2&amp;"."&amp;D$8&amp;"."&amp;D239&amp;" IS '"&amp;C239&amp;"';"</f>
        <v>COMMENT ON COLUMN milscm_2023_009.sny_202310_annony_bef2.shikkan221_start_date IS 'C469_疾患開始日';</v>
      </c>
    </row>
    <row r="240" spans="1:45" s="25" customFormat="1">
      <c r="A240" s="4" t="s">
        <v>5373</v>
      </c>
      <c r="B240" s="21">
        <f t="shared" si="31"/>
        <v>228</v>
      </c>
      <c r="C240" s="13" t="s">
        <v>6763</v>
      </c>
      <c r="D240" s="13" t="s">
        <v>4990</v>
      </c>
      <c r="E240" s="8"/>
      <c r="F240" s="7" t="s">
        <v>4348</v>
      </c>
      <c r="G240" s="7" t="s">
        <v>25</v>
      </c>
      <c r="H240" s="58"/>
      <c r="I240" s="23"/>
      <c r="J240" s="24"/>
      <c r="M240" s="4"/>
      <c r="N240" s="76"/>
      <c r="O240" s="76"/>
      <c r="P240" s="76" t="str">
        <f t="shared" si="34"/>
        <v>,shikkan222_start_date</v>
      </c>
      <c r="Q240" s="76" t="str">
        <f t="shared" si="35"/>
        <v>DATE</v>
      </c>
      <c r="R240" s="76" t="str">
        <f t="shared" si="36"/>
        <v/>
      </c>
      <c r="S240" s="76" t="str">
        <f t="shared" si="37"/>
        <v/>
      </c>
      <c r="T240" s="76" t="str">
        <f t="shared" si="38"/>
        <v>-- C470_疾患開始日</v>
      </c>
      <c r="U240" s="4" t="str">
        <f t="shared" si="32"/>
        <v>, CASE WHEN shikkan_disp_name = 'C470' THEN min_shikkan_start_date ::DATE ELSE NULL END AS shikkan222_start_date</v>
      </c>
      <c r="V240" s="25" t="str">
        <f t="shared" si="33"/>
        <v>, max(shikkan222_start_date)</v>
      </c>
      <c r="AA240" s="4"/>
      <c r="AB240" s="4"/>
      <c r="AC240" s="4"/>
      <c r="AD240" s="4"/>
      <c r="AE240" s="4"/>
      <c r="AF240" s="4"/>
      <c r="AG240" s="4"/>
      <c r="AH240" s="4"/>
      <c r="AI240" s="4"/>
      <c r="AJ240" s="76" t="str">
        <f>IF(E240="○",IF(COUNTA(E$13:E240)=1,"",",")&amp;D240,"")</f>
        <v/>
      </c>
      <c r="AK240" s="4"/>
      <c r="AL240" s="4"/>
      <c r="AM240" s="4"/>
      <c r="AN240" s="4"/>
      <c r="AO240" s="4"/>
      <c r="AP240" s="4"/>
      <c r="AQ240" s="4"/>
      <c r="AR240" s="4"/>
      <c r="AS240" s="76" t="str">
        <f>"COMMENT ON COLUMN "&amp;エンティティ一覧!$O$2&amp;"."&amp;D$8&amp;"."&amp;D240&amp;" IS '"&amp;C240&amp;"';"</f>
        <v>COMMENT ON COLUMN milscm_2023_009.sny_202310_annony_bef2.shikkan222_start_date IS 'C470_疾患開始日';</v>
      </c>
    </row>
    <row r="241" spans="1:45" s="25" customFormat="1">
      <c r="A241" s="4" t="s">
        <v>5374</v>
      </c>
      <c r="B241" s="21">
        <f t="shared" si="31"/>
        <v>229</v>
      </c>
      <c r="C241" s="13" t="s">
        <v>6764</v>
      </c>
      <c r="D241" s="13" t="s">
        <v>4991</v>
      </c>
      <c r="E241" s="8"/>
      <c r="F241" s="7" t="s">
        <v>4348</v>
      </c>
      <c r="G241" s="7" t="s">
        <v>25</v>
      </c>
      <c r="H241" s="58"/>
      <c r="I241" s="23"/>
      <c r="J241" s="24"/>
      <c r="M241" s="4"/>
      <c r="N241" s="76"/>
      <c r="O241" s="76"/>
      <c r="P241" s="76" t="str">
        <f t="shared" si="34"/>
        <v>,shikkan223_start_date</v>
      </c>
      <c r="Q241" s="76" t="str">
        <f t="shared" si="35"/>
        <v>DATE</v>
      </c>
      <c r="R241" s="76" t="str">
        <f t="shared" si="36"/>
        <v/>
      </c>
      <c r="S241" s="76" t="str">
        <f t="shared" si="37"/>
        <v/>
      </c>
      <c r="T241" s="76" t="str">
        <f t="shared" si="38"/>
        <v>-- C471_疾患開始日</v>
      </c>
      <c r="U241" s="4" t="str">
        <f t="shared" si="32"/>
        <v>, CASE WHEN shikkan_disp_name = 'C471' THEN min_shikkan_start_date ::DATE ELSE NULL END AS shikkan223_start_date</v>
      </c>
      <c r="V241" s="25" t="str">
        <f t="shared" si="33"/>
        <v>, max(shikkan223_start_date)</v>
      </c>
      <c r="AA241" s="4"/>
      <c r="AB241" s="4"/>
      <c r="AC241" s="4"/>
      <c r="AD241" s="4"/>
      <c r="AE241" s="4"/>
      <c r="AF241" s="4"/>
      <c r="AG241" s="4"/>
      <c r="AH241" s="4"/>
      <c r="AI241" s="4"/>
      <c r="AJ241" s="76" t="str">
        <f>IF(E241="○",IF(COUNTA(E$13:E241)=1,"",",")&amp;D241,"")</f>
        <v/>
      </c>
      <c r="AK241" s="4"/>
      <c r="AL241" s="4"/>
      <c r="AM241" s="4"/>
      <c r="AN241" s="4"/>
      <c r="AO241" s="4"/>
      <c r="AP241" s="4"/>
      <c r="AQ241" s="4"/>
      <c r="AR241" s="4"/>
      <c r="AS241" s="76" t="str">
        <f>"COMMENT ON COLUMN "&amp;エンティティ一覧!$O$2&amp;"."&amp;D$8&amp;"."&amp;D241&amp;" IS '"&amp;C241&amp;"';"</f>
        <v>COMMENT ON COLUMN milscm_2023_009.sny_202310_annony_bef2.shikkan223_start_date IS 'C471_疾患開始日';</v>
      </c>
    </row>
    <row r="242" spans="1:45" s="25" customFormat="1">
      <c r="A242" s="4" t="s">
        <v>5375</v>
      </c>
      <c r="B242" s="21">
        <f t="shared" si="31"/>
        <v>230</v>
      </c>
      <c r="C242" s="13" t="s">
        <v>6765</v>
      </c>
      <c r="D242" s="13" t="s">
        <v>4992</v>
      </c>
      <c r="E242" s="8"/>
      <c r="F242" s="7" t="s">
        <v>4348</v>
      </c>
      <c r="G242" s="7" t="s">
        <v>25</v>
      </c>
      <c r="H242" s="58"/>
      <c r="I242" s="23"/>
      <c r="J242" s="24"/>
      <c r="M242" s="4"/>
      <c r="N242" s="76"/>
      <c r="O242" s="76"/>
      <c r="P242" s="76" t="str">
        <f t="shared" si="34"/>
        <v>,shikkan224_start_date</v>
      </c>
      <c r="Q242" s="76" t="str">
        <f t="shared" si="35"/>
        <v>DATE</v>
      </c>
      <c r="R242" s="76" t="str">
        <f t="shared" si="36"/>
        <v/>
      </c>
      <c r="S242" s="76" t="str">
        <f t="shared" si="37"/>
        <v/>
      </c>
      <c r="T242" s="76" t="str">
        <f t="shared" si="38"/>
        <v>-- C472_疾患開始日</v>
      </c>
      <c r="U242" s="4" t="str">
        <f t="shared" si="32"/>
        <v>, CASE WHEN shikkan_disp_name = 'C472' THEN min_shikkan_start_date ::DATE ELSE NULL END AS shikkan224_start_date</v>
      </c>
      <c r="V242" s="25" t="str">
        <f t="shared" si="33"/>
        <v>, max(shikkan224_start_date)</v>
      </c>
      <c r="AA242" s="4"/>
      <c r="AB242" s="4"/>
      <c r="AC242" s="4"/>
      <c r="AD242" s="4"/>
      <c r="AE242" s="4"/>
      <c r="AF242" s="4"/>
      <c r="AG242" s="4"/>
      <c r="AH242" s="4"/>
      <c r="AI242" s="4"/>
      <c r="AJ242" s="76" t="str">
        <f>IF(E242="○",IF(COUNTA(E$13:E242)=1,"",",")&amp;D242,"")</f>
        <v/>
      </c>
      <c r="AK242" s="4"/>
      <c r="AL242" s="4"/>
      <c r="AM242" s="4"/>
      <c r="AN242" s="4"/>
      <c r="AO242" s="4"/>
      <c r="AP242" s="4"/>
      <c r="AQ242" s="4"/>
      <c r="AR242" s="4"/>
      <c r="AS242" s="76" t="str">
        <f>"COMMENT ON COLUMN "&amp;エンティティ一覧!$O$2&amp;"."&amp;D$8&amp;"."&amp;D242&amp;" IS '"&amp;C242&amp;"';"</f>
        <v>COMMENT ON COLUMN milscm_2023_009.sny_202310_annony_bef2.shikkan224_start_date IS 'C472_疾患開始日';</v>
      </c>
    </row>
    <row r="243" spans="1:45" s="25" customFormat="1">
      <c r="A243" s="4" t="s">
        <v>5376</v>
      </c>
      <c r="B243" s="21">
        <f t="shared" si="31"/>
        <v>231</v>
      </c>
      <c r="C243" s="13" t="s">
        <v>6766</v>
      </c>
      <c r="D243" s="13" t="s">
        <v>4993</v>
      </c>
      <c r="E243" s="8"/>
      <c r="F243" s="7" t="s">
        <v>4348</v>
      </c>
      <c r="G243" s="7" t="s">
        <v>99</v>
      </c>
      <c r="H243" s="58"/>
      <c r="I243" s="23"/>
      <c r="J243" s="24"/>
      <c r="M243" s="4"/>
      <c r="N243" s="76"/>
      <c r="O243" s="76"/>
      <c r="P243" s="76" t="str">
        <f t="shared" si="34"/>
        <v>,shikkan225_start_date</v>
      </c>
      <c r="Q243" s="76" t="str">
        <f t="shared" si="35"/>
        <v>DATE</v>
      </c>
      <c r="R243" s="76" t="str">
        <f t="shared" si="36"/>
        <v/>
      </c>
      <c r="S243" s="76" t="str">
        <f t="shared" si="37"/>
        <v/>
      </c>
      <c r="T243" s="76" t="str">
        <f t="shared" si="38"/>
        <v>-- C473_疾患開始日</v>
      </c>
      <c r="U243" s="4" t="str">
        <f t="shared" si="32"/>
        <v>, CASE WHEN shikkan_disp_name = 'C473' THEN min_shikkan_start_date ::DATE ELSE NULL END AS shikkan225_start_date</v>
      </c>
      <c r="V243" s="25" t="str">
        <f t="shared" si="33"/>
        <v>, max(shikkan225_start_date)</v>
      </c>
      <c r="AA243" s="4"/>
      <c r="AB243" s="4"/>
      <c r="AC243" s="4"/>
      <c r="AD243" s="4"/>
      <c r="AE243" s="4"/>
      <c r="AF243" s="4"/>
      <c r="AG243" s="4"/>
      <c r="AH243" s="4"/>
      <c r="AI243" s="4"/>
      <c r="AJ243" s="76" t="str">
        <f>IF(E243="○",IF(COUNTA(E$13:E243)=1,"",",")&amp;D243,"")</f>
        <v/>
      </c>
      <c r="AK243" s="4"/>
      <c r="AL243" s="4"/>
      <c r="AM243" s="4"/>
      <c r="AN243" s="4"/>
      <c r="AO243" s="4"/>
      <c r="AP243" s="4"/>
      <c r="AQ243" s="4"/>
      <c r="AR243" s="4"/>
      <c r="AS243" s="76" t="str">
        <f>"COMMENT ON COLUMN "&amp;エンティティ一覧!$O$2&amp;"."&amp;D$8&amp;"."&amp;D243&amp;" IS '"&amp;C243&amp;"';"</f>
        <v>COMMENT ON COLUMN milscm_2023_009.sny_202310_annony_bef2.shikkan225_start_date IS 'C473_疾患開始日';</v>
      </c>
    </row>
    <row r="244" spans="1:45" s="25" customFormat="1">
      <c r="A244" s="4" t="s">
        <v>5377</v>
      </c>
      <c r="B244" s="21">
        <f t="shared" si="31"/>
        <v>232</v>
      </c>
      <c r="C244" s="13" t="s">
        <v>6767</v>
      </c>
      <c r="D244" s="13" t="s">
        <v>4994</v>
      </c>
      <c r="E244" s="8"/>
      <c r="F244" s="7" t="s">
        <v>4348</v>
      </c>
      <c r="G244" s="7" t="s">
        <v>25</v>
      </c>
      <c r="H244" s="58"/>
      <c r="I244" s="23"/>
      <c r="J244" s="24"/>
      <c r="M244" s="4"/>
      <c r="N244" s="76"/>
      <c r="O244" s="76"/>
      <c r="P244" s="76" t="str">
        <f t="shared" si="34"/>
        <v>,shikkan226_start_date</v>
      </c>
      <c r="Q244" s="76" t="str">
        <f t="shared" si="35"/>
        <v>DATE</v>
      </c>
      <c r="R244" s="76" t="str">
        <f t="shared" si="36"/>
        <v/>
      </c>
      <c r="S244" s="76" t="str">
        <f t="shared" si="37"/>
        <v/>
      </c>
      <c r="T244" s="76" t="str">
        <f t="shared" si="38"/>
        <v>-- C474_疾患開始日</v>
      </c>
      <c r="U244" s="4" t="str">
        <f t="shared" si="32"/>
        <v>, CASE WHEN shikkan_disp_name = 'C474' THEN min_shikkan_start_date ::DATE ELSE NULL END AS shikkan226_start_date</v>
      </c>
      <c r="V244" s="25" t="str">
        <f t="shared" si="33"/>
        <v>, max(shikkan226_start_date)</v>
      </c>
      <c r="AA244" s="4"/>
      <c r="AB244" s="4"/>
      <c r="AC244" s="4"/>
      <c r="AD244" s="4"/>
      <c r="AE244" s="4"/>
      <c r="AF244" s="4"/>
      <c r="AG244" s="4"/>
      <c r="AH244" s="4"/>
      <c r="AI244" s="4"/>
      <c r="AJ244" s="76" t="str">
        <f>IF(E244="○",IF(COUNTA(E$13:E244)=1,"",",")&amp;D244,"")</f>
        <v/>
      </c>
      <c r="AK244" s="4"/>
      <c r="AL244" s="4"/>
      <c r="AM244" s="4"/>
      <c r="AN244" s="4"/>
      <c r="AO244" s="4"/>
      <c r="AP244" s="4"/>
      <c r="AQ244" s="4"/>
      <c r="AR244" s="4"/>
      <c r="AS244" s="76" t="str">
        <f>"COMMENT ON COLUMN "&amp;エンティティ一覧!$O$2&amp;"."&amp;D$8&amp;"."&amp;D244&amp;" IS '"&amp;C244&amp;"';"</f>
        <v>COMMENT ON COLUMN milscm_2023_009.sny_202310_annony_bef2.shikkan226_start_date IS 'C474_疾患開始日';</v>
      </c>
    </row>
    <row r="245" spans="1:45" s="25" customFormat="1">
      <c r="A245" s="4" t="s">
        <v>5378</v>
      </c>
      <c r="B245" s="21">
        <f t="shared" si="31"/>
        <v>233</v>
      </c>
      <c r="C245" s="13" t="s">
        <v>6768</v>
      </c>
      <c r="D245" s="13" t="s">
        <v>4995</v>
      </c>
      <c r="E245" s="8"/>
      <c r="F245" s="7" t="s">
        <v>4348</v>
      </c>
      <c r="G245" s="7" t="s">
        <v>25</v>
      </c>
      <c r="H245" s="58"/>
      <c r="I245" s="23"/>
      <c r="J245" s="24"/>
      <c r="M245" s="4"/>
      <c r="N245" s="76"/>
      <c r="O245" s="76"/>
      <c r="P245" s="76" t="str">
        <f t="shared" si="34"/>
        <v>,shikkan227_start_date</v>
      </c>
      <c r="Q245" s="76" t="str">
        <f t="shared" si="35"/>
        <v>DATE</v>
      </c>
      <c r="R245" s="76" t="str">
        <f t="shared" si="36"/>
        <v/>
      </c>
      <c r="S245" s="76" t="str">
        <f t="shared" si="37"/>
        <v/>
      </c>
      <c r="T245" s="76" t="str">
        <f t="shared" si="38"/>
        <v>-- C475_疾患開始日</v>
      </c>
      <c r="U245" s="4" t="str">
        <f t="shared" si="32"/>
        <v>, CASE WHEN shikkan_disp_name = 'C475' THEN min_shikkan_start_date ::DATE ELSE NULL END AS shikkan227_start_date</v>
      </c>
      <c r="V245" s="25" t="str">
        <f t="shared" si="33"/>
        <v>, max(shikkan227_start_date)</v>
      </c>
      <c r="AA245" s="4"/>
      <c r="AB245" s="4"/>
      <c r="AC245" s="4"/>
      <c r="AD245" s="4"/>
      <c r="AE245" s="4"/>
      <c r="AF245" s="4"/>
      <c r="AG245" s="4"/>
      <c r="AH245" s="4"/>
      <c r="AI245" s="4"/>
      <c r="AJ245" s="76" t="str">
        <f>IF(E245="○",IF(COUNTA(E$13:E245)=1,"",",")&amp;D245,"")</f>
        <v/>
      </c>
      <c r="AK245" s="4"/>
      <c r="AL245" s="4"/>
      <c r="AM245" s="4"/>
      <c r="AN245" s="4"/>
      <c r="AO245" s="4"/>
      <c r="AP245" s="4"/>
      <c r="AQ245" s="4"/>
      <c r="AR245" s="4"/>
      <c r="AS245" s="76" t="str">
        <f>"COMMENT ON COLUMN "&amp;エンティティ一覧!$O$2&amp;"."&amp;D$8&amp;"."&amp;D245&amp;" IS '"&amp;C245&amp;"';"</f>
        <v>COMMENT ON COLUMN milscm_2023_009.sny_202310_annony_bef2.shikkan227_start_date IS 'C475_疾患開始日';</v>
      </c>
    </row>
    <row r="246" spans="1:45" s="25" customFormat="1">
      <c r="A246" s="4" t="s">
        <v>5379</v>
      </c>
      <c r="B246" s="21">
        <f t="shared" si="31"/>
        <v>234</v>
      </c>
      <c r="C246" s="13" t="s">
        <v>6769</v>
      </c>
      <c r="D246" s="13" t="s">
        <v>4996</v>
      </c>
      <c r="E246" s="8"/>
      <c r="F246" s="7" t="s">
        <v>4348</v>
      </c>
      <c r="G246" s="7" t="s">
        <v>25</v>
      </c>
      <c r="H246" s="58"/>
      <c r="I246" s="23"/>
      <c r="J246" s="24"/>
      <c r="M246" s="4"/>
      <c r="N246" s="76"/>
      <c r="O246" s="76"/>
      <c r="P246" s="76" t="str">
        <f t="shared" si="34"/>
        <v>,shikkan228_start_date</v>
      </c>
      <c r="Q246" s="76" t="str">
        <f t="shared" si="35"/>
        <v>DATE</v>
      </c>
      <c r="R246" s="76" t="str">
        <f t="shared" si="36"/>
        <v/>
      </c>
      <c r="S246" s="76" t="str">
        <f t="shared" si="37"/>
        <v/>
      </c>
      <c r="T246" s="76" t="str">
        <f t="shared" si="38"/>
        <v>-- C476_疾患開始日</v>
      </c>
      <c r="U246" s="4" t="str">
        <f t="shared" si="32"/>
        <v>, CASE WHEN shikkan_disp_name = 'C476' THEN min_shikkan_start_date ::DATE ELSE NULL END AS shikkan228_start_date</v>
      </c>
      <c r="V246" s="25" t="str">
        <f t="shared" si="33"/>
        <v>, max(shikkan228_start_date)</v>
      </c>
      <c r="AA246" s="4"/>
      <c r="AB246" s="4"/>
      <c r="AC246" s="4"/>
      <c r="AD246" s="4"/>
      <c r="AE246" s="4"/>
      <c r="AF246" s="4"/>
      <c r="AG246" s="4"/>
      <c r="AH246" s="4"/>
      <c r="AI246" s="4"/>
      <c r="AJ246" s="76" t="str">
        <f>IF(E246="○",IF(COUNTA(E$13:E246)=1,"",",")&amp;D246,"")</f>
        <v/>
      </c>
      <c r="AK246" s="4"/>
      <c r="AL246" s="4"/>
      <c r="AM246" s="4"/>
      <c r="AN246" s="4"/>
      <c r="AO246" s="4"/>
      <c r="AP246" s="4"/>
      <c r="AQ246" s="4"/>
      <c r="AR246" s="4"/>
      <c r="AS246" s="76" t="str">
        <f>"COMMENT ON COLUMN "&amp;エンティティ一覧!$O$2&amp;"."&amp;D$8&amp;"."&amp;D246&amp;" IS '"&amp;C246&amp;"';"</f>
        <v>COMMENT ON COLUMN milscm_2023_009.sny_202310_annony_bef2.shikkan228_start_date IS 'C476_疾患開始日';</v>
      </c>
    </row>
    <row r="247" spans="1:45" s="25" customFormat="1">
      <c r="A247" s="4" t="s">
        <v>5380</v>
      </c>
      <c r="B247" s="21">
        <f t="shared" si="31"/>
        <v>235</v>
      </c>
      <c r="C247" s="13" t="s">
        <v>6770</v>
      </c>
      <c r="D247" s="13" t="s">
        <v>4997</v>
      </c>
      <c r="E247" s="8"/>
      <c r="F247" s="7" t="s">
        <v>4348</v>
      </c>
      <c r="G247" s="7" t="s">
        <v>25</v>
      </c>
      <c r="H247" s="58"/>
      <c r="I247" s="23"/>
      <c r="J247" s="24"/>
      <c r="M247" s="4"/>
      <c r="N247" s="76"/>
      <c r="O247" s="76"/>
      <c r="P247" s="76" t="str">
        <f t="shared" si="34"/>
        <v>,shikkan229_start_date</v>
      </c>
      <c r="Q247" s="76" t="str">
        <f t="shared" si="35"/>
        <v>DATE</v>
      </c>
      <c r="R247" s="76" t="str">
        <f t="shared" si="36"/>
        <v/>
      </c>
      <c r="S247" s="76" t="str">
        <f t="shared" si="37"/>
        <v/>
      </c>
      <c r="T247" s="76" t="str">
        <f t="shared" si="38"/>
        <v>-- C478_疾患開始日</v>
      </c>
      <c r="U247" s="4" t="str">
        <f t="shared" si="32"/>
        <v>, CASE WHEN shikkan_disp_name = 'C478' THEN min_shikkan_start_date ::DATE ELSE NULL END AS shikkan229_start_date</v>
      </c>
      <c r="V247" s="25" t="str">
        <f t="shared" si="33"/>
        <v>, max(shikkan229_start_date)</v>
      </c>
      <c r="AA247" s="4"/>
      <c r="AB247" s="4"/>
      <c r="AC247" s="4"/>
      <c r="AD247" s="4"/>
      <c r="AE247" s="4"/>
      <c r="AF247" s="4"/>
      <c r="AG247" s="4"/>
      <c r="AH247" s="4"/>
      <c r="AI247" s="4"/>
      <c r="AJ247" s="76" t="str">
        <f>IF(E247="○",IF(COUNTA(E$13:E247)=1,"",",")&amp;D247,"")</f>
        <v/>
      </c>
      <c r="AK247" s="4"/>
      <c r="AL247" s="4"/>
      <c r="AM247" s="4"/>
      <c r="AN247" s="4"/>
      <c r="AO247" s="4"/>
      <c r="AP247" s="4"/>
      <c r="AQ247" s="4"/>
      <c r="AR247" s="4"/>
      <c r="AS247" s="76" t="str">
        <f>"COMMENT ON COLUMN "&amp;エンティティ一覧!$O$2&amp;"."&amp;D$8&amp;"."&amp;D247&amp;" IS '"&amp;C247&amp;"';"</f>
        <v>COMMENT ON COLUMN milscm_2023_009.sny_202310_annony_bef2.shikkan229_start_date IS 'C478_疾患開始日';</v>
      </c>
    </row>
    <row r="248" spans="1:45" s="25" customFormat="1">
      <c r="A248" s="4" t="s">
        <v>5381</v>
      </c>
      <c r="B248" s="21">
        <f t="shared" si="31"/>
        <v>236</v>
      </c>
      <c r="C248" s="13" t="s">
        <v>6771</v>
      </c>
      <c r="D248" s="13" t="s">
        <v>4998</v>
      </c>
      <c r="E248" s="8"/>
      <c r="F248" s="7" t="s">
        <v>4348</v>
      </c>
      <c r="G248" s="7" t="s">
        <v>25</v>
      </c>
      <c r="H248" s="58"/>
      <c r="I248" s="23"/>
      <c r="J248" s="24"/>
      <c r="M248" s="4"/>
      <c r="N248" s="76"/>
      <c r="O248" s="76"/>
      <c r="P248" s="76" t="str">
        <f t="shared" si="34"/>
        <v>,shikkan230_start_date</v>
      </c>
      <c r="Q248" s="76" t="str">
        <f t="shared" si="35"/>
        <v>DATE</v>
      </c>
      <c r="R248" s="76" t="str">
        <f t="shared" si="36"/>
        <v/>
      </c>
      <c r="S248" s="76" t="str">
        <f t="shared" si="37"/>
        <v/>
      </c>
      <c r="T248" s="76" t="str">
        <f t="shared" si="38"/>
        <v>-- C479_疾患開始日</v>
      </c>
      <c r="U248" s="4" t="str">
        <f t="shared" si="32"/>
        <v>, CASE WHEN shikkan_disp_name = 'C479' THEN min_shikkan_start_date ::DATE ELSE NULL END AS shikkan230_start_date</v>
      </c>
      <c r="V248" s="25" t="str">
        <f t="shared" si="33"/>
        <v>, max(shikkan230_start_date)</v>
      </c>
      <c r="AA248" s="4"/>
      <c r="AB248" s="4"/>
      <c r="AC248" s="4"/>
      <c r="AD248" s="4"/>
      <c r="AE248" s="4"/>
      <c r="AF248" s="4"/>
      <c r="AG248" s="4"/>
      <c r="AH248" s="4"/>
      <c r="AI248" s="4"/>
      <c r="AJ248" s="76" t="str">
        <f>IF(E248="○",IF(COUNTA(E$13:E248)=1,"",",")&amp;D248,"")</f>
        <v/>
      </c>
      <c r="AK248" s="4"/>
      <c r="AL248" s="4"/>
      <c r="AM248" s="4"/>
      <c r="AN248" s="4"/>
      <c r="AO248" s="4"/>
      <c r="AP248" s="4"/>
      <c r="AQ248" s="4"/>
      <c r="AR248" s="4"/>
      <c r="AS248" s="76" t="str">
        <f>"COMMENT ON COLUMN "&amp;エンティティ一覧!$O$2&amp;"."&amp;D$8&amp;"."&amp;D248&amp;" IS '"&amp;C248&amp;"';"</f>
        <v>COMMENT ON COLUMN milscm_2023_009.sny_202310_annony_bef2.shikkan230_start_date IS 'C479_疾患開始日';</v>
      </c>
    </row>
    <row r="249" spans="1:45" s="25" customFormat="1">
      <c r="A249" s="4" t="s">
        <v>5382</v>
      </c>
      <c r="B249" s="21">
        <f t="shared" si="31"/>
        <v>237</v>
      </c>
      <c r="C249" s="13" t="s">
        <v>6772</v>
      </c>
      <c r="D249" s="13" t="s">
        <v>4999</v>
      </c>
      <c r="E249" s="8"/>
      <c r="F249" s="7" t="s">
        <v>4348</v>
      </c>
      <c r="G249" s="7" t="s">
        <v>25</v>
      </c>
      <c r="H249" s="58"/>
      <c r="I249" s="23"/>
      <c r="J249" s="24"/>
      <c r="M249" s="4"/>
      <c r="N249" s="76"/>
      <c r="O249" s="76"/>
      <c r="P249" s="76" t="str">
        <f t="shared" si="34"/>
        <v>,shikkan231_start_date</v>
      </c>
      <c r="Q249" s="76" t="str">
        <f t="shared" si="35"/>
        <v>DATE</v>
      </c>
      <c r="R249" s="76" t="str">
        <f t="shared" si="36"/>
        <v/>
      </c>
      <c r="S249" s="76" t="str">
        <f t="shared" si="37"/>
        <v/>
      </c>
      <c r="T249" s="76" t="str">
        <f t="shared" si="38"/>
        <v>-- C480_疾患開始日</v>
      </c>
      <c r="U249" s="4" t="str">
        <f t="shared" si="32"/>
        <v>, CASE WHEN shikkan_disp_name = 'C480' THEN min_shikkan_start_date ::DATE ELSE NULL END AS shikkan231_start_date</v>
      </c>
      <c r="V249" s="25" t="str">
        <f t="shared" si="33"/>
        <v>, max(shikkan231_start_date)</v>
      </c>
      <c r="AA249" s="4"/>
      <c r="AB249" s="4"/>
      <c r="AC249" s="4"/>
      <c r="AD249" s="4"/>
      <c r="AE249" s="4"/>
      <c r="AF249" s="4"/>
      <c r="AG249" s="4"/>
      <c r="AH249" s="4"/>
      <c r="AI249" s="4"/>
      <c r="AJ249" s="76" t="str">
        <f>IF(E249="○",IF(COUNTA(E$13:E249)=1,"",",")&amp;D249,"")</f>
        <v/>
      </c>
      <c r="AK249" s="4"/>
      <c r="AL249" s="4"/>
      <c r="AM249" s="4"/>
      <c r="AN249" s="4"/>
      <c r="AO249" s="4"/>
      <c r="AP249" s="4"/>
      <c r="AQ249" s="4"/>
      <c r="AR249" s="4"/>
      <c r="AS249" s="76" t="str">
        <f>"COMMENT ON COLUMN "&amp;エンティティ一覧!$O$2&amp;"."&amp;D$8&amp;"."&amp;D249&amp;" IS '"&amp;C249&amp;"';"</f>
        <v>COMMENT ON COLUMN milscm_2023_009.sny_202310_annony_bef2.shikkan231_start_date IS 'C480_疾患開始日';</v>
      </c>
    </row>
    <row r="250" spans="1:45" s="25" customFormat="1">
      <c r="A250" s="4" t="s">
        <v>5383</v>
      </c>
      <c r="B250" s="21">
        <f t="shared" si="31"/>
        <v>238</v>
      </c>
      <c r="C250" s="13" t="s">
        <v>6773</v>
      </c>
      <c r="D250" s="13" t="s">
        <v>5000</v>
      </c>
      <c r="E250" s="8"/>
      <c r="F250" s="7" t="s">
        <v>4348</v>
      </c>
      <c r="G250" s="7" t="s">
        <v>25</v>
      </c>
      <c r="H250" s="58"/>
      <c r="I250" s="23"/>
      <c r="J250" s="24"/>
      <c r="M250" s="4"/>
      <c r="N250" s="76"/>
      <c r="O250" s="76"/>
      <c r="P250" s="76" t="str">
        <f t="shared" si="34"/>
        <v>,shikkan232_start_date</v>
      </c>
      <c r="Q250" s="76" t="str">
        <f t="shared" si="35"/>
        <v>DATE</v>
      </c>
      <c r="R250" s="76" t="str">
        <f t="shared" si="36"/>
        <v/>
      </c>
      <c r="S250" s="76" t="str">
        <f t="shared" si="37"/>
        <v/>
      </c>
      <c r="T250" s="76" t="str">
        <f t="shared" si="38"/>
        <v>-- C481_疾患開始日</v>
      </c>
      <c r="U250" s="4" t="str">
        <f t="shared" si="32"/>
        <v>, CASE WHEN shikkan_disp_name = 'C481' THEN min_shikkan_start_date ::DATE ELSE NULL END AS shikkan232_start_date</v>
      </c>
      <c r="V250" s="25" t="str">
        <f t="shared" si="33"/>
        <v>, max(shikkan232_start_date)</v>
      </c>
      <c r="AA250" s="4"/>
      <c r="AB250" s="4"/>
      <c r="AC250" s="4"/>
      <c r="AD250" s="4"/>
      <c r="AE250" s="4"/>
      <c r="AF250" s="4"/>
      <c r="AG250" s="4"/>
      <c r="AH250" s="4"/>
      <c r="AI250" s="4"/>
      <c r="AJ250" s="76" t="str">
        <f>IF(E250="○",IF(COUNTA(E$13:E250)=1,"",",")&amp;D250,"")</f>
        <v/>
      </c>
      <c r="AK250" s="4"/>
      <c r="AL250" s="4"/>
      <c r="AM250" s="4"/>
      <c r="AN250" s="4"/>
      <c r="AO250" s="4"/>
      <c r="AP250" s="4"/>
      <c r="AQ250" s="4"/>
      <c r="AR250" s="4"/>
      <c r="AS250" s="76" t="str">
        <f>"COMMENT ON COLUMN "&amp;エンティティ一覧!$O$2&amp;"."&amp;D$8&amp;"."&amp;D250&amp;" IS '"&amp;C250&amp;"';"</f>
        <v>COMMENT ON COLUMN milscm_2023_009.sny_202310_annony_bef2.shikkan232_start_date IS 'C481_疾患開始日';</v>
      </c>
    </row>
    <row r="251" spans="1:45" s="25" customFormat="1">
      <c r="A251" s="4" t="s">
        <v>5384</v>
      </c>
      <c r="B251" s="21">
        <f t="shared" si="31"/>
        <v>239</v>
      </c>
      <c r="C251" s="13" t="s">
        <v>6774</v>
      </c>
      <c r="D251" s="13" t="s">
        <v>5001</v>
      </c>
      <c r="E251" s="8"/>
      <c r="F251" s="7" t="s">
        <v>4348</v>
      </c>
      <c r="G251" s="7" t="s">
        <v>25</v>
      </c>
      <c r="H251" s="58"/>
      <c r="I251" s="23"/>
      <c r="J251" s="24"/>
      <c r="M251" s="4"/>
      <c r="N251" s="76"/>
      <c r="O251" s="76"/>
      <c r="P251" s="76" t="str">
        <f t="shared" si="34"/>
        <v>,shikkan233_start_date</v>
      </c>
      <c r="Q251" s="76" t="str">
        <f t="shared" si="35"/>
        <v>DATE</v>
      </c>
      <c r="R251" s="76" t="str">
        <f t="shared" si="36"/>
        <v/>
      </c>
      <c r="S251" s="76" t="str">
        <f t="shared" si="37"/>
        <v/>
      </c>
      <c r="T251" s="76" t="str">
        <f t="shared" si="38"/>
        <v>-- C482_疾患開始日</v>
      </c>
      <c r="U251" s="4" t="str">
        <f t="shared" si="32"/>
        <v>, CASE WHEN shikkan_disp_name = 'C482' THEN min_shikkan_start_date ::DATE ELSE NULL END AS shikkan233_start_date</v>
      </c>
      <c r="V251" s="25" t="str">
        <f t="shared" si="33"/>
        <v>, max(shikkan233_start_date)</v>
      </c>
      <c r="AA251" s="4"/>
      <c r="AB251" s="4"/>
      <c r="AC251" s="4"/>
      <c r="AD251" s="4"/>
      <c r="AE251" s="4"/>
      <c r="AF251" s="4"/>
      <c r="AG251" s="4"/>
      <c r="AH251" s="4"/>
      <c r="AI251" s="4"/>
      <c r="AJ251" s="76" t="str">
        <f>IF(E251="○",IF(COUNTA(E$13:E251)=1,"",",")&amp;D251,"")</f>
        <v/>
      </c>
      <c r="AK251" s="4"/>
      <c r="AL251" s="4"/>
      <c r="AM251" s="4"/>
      <c r="AN251" s="4"/>
      <c r="AO251" s="4"/>
      <c r="AP251" s="4"/>
      <c r="AQ251" s="4"/>
      <c r="AR251" s="4"/>
      <c r="AS251" s="76" t="str">
        <f>"COMMENT ON COLUMN "&amp;エンティティ一覧!$O$2&amp;"."&amp;D$8&amp;"."&amp;D251&amp;" IS '"&amp;C251&amp;"';"</f>
        <v>COMMENT ON COLUMN milscm_2023_009.sny_202310_annony_bef2.shikkan233_start_date IS 'C482_疾患開始日';</v>
      </c>
    </row>
    <row r="252" spans="1:45" s="25" customFormat="1">
      <c r="A252" s="4" t="s">
        <v>5385</v>
      </c>
      <c r="B252" s="21">
        <f t="shared" si="31"/>
        <v>240</v>
      </c>
      <c r="C252" s="13" t="s">
        <v>6775</v>
      </c>
      <c r="D252" s="13" t="s">
        <v>5002</v>
      </c>
      <c r="E252" s="8"/>
      <c r="F252" s="7" t="s">
        <v>4348</v>
      </c>
      <c r="G252" s="7" t="s">
        <v>25</v>
      </c>
      <c r="H252" s="58"/>
      <c r="I252" s="23"/>
      <c r="J252" s="24"/>
      <c r="M252" s="4"/>
      <c r="N252" s="76"/>
      <c r="O252" s="76"/>
      <c r="P252" s="76" t="str">
        <f t="shared" si="34"/>
        <v>,shikkan234_start_date</v>
      </c>
      <c r="Q252" s="76" t="str">
        <f t="shared" si="35"/>
        <v>DATE</v>
      </c>
      <c r="R252" s="76" t="str">
        <f t="shared" si="36"/>
        <v/>
      </c>
      <c r="S252" s="76" t="str">
        <f t="shared" si="37"/>
        <v/>
      </c>
      <c r="T252" s="76" t="str">
        <f t="shared" si="38"/>
        <v>-- C488_疾患開始日</v>
      </c>
      <c r="U252" s="4" t="str">
        <f t="shared" si="32"/>
        <v>, CASE WHEN shikkan_disp_name = 'C488' THEN min_shikkan_start_date ::DATE ELSE NULL END AS shikkan234_start_date</v>
      </c>
      <c r="V252" s="25" t="str">
        <f t="shared" si="33"/>
        <v>, max(shikkan234_start_date)</v>
      </c>
      <c r="AA252" s="4"/>
      <c r="AB252" s="4"/>
      <c r="AC252" s="4"/>
      <c r="AD252" s="4"/>
      <c r="AE252" s="4"/>
      <c r="AF252" s="4"/>
      <c r="AG252" s="4"/>
      <c r="AH252" s="4"/>
      <c r="AI252" s="4"/>
      <c r="AJ252" s="76" t="str">
        <f>IF(E252="○",IF(COUNTA(E$13:E252)=1,"",",")&amp;D252,"")</f>
        <v/>
      </c>
      <c r="AK252" s="4"/>
      <c r="AL252" s="4"/>
      <c r="AM252" s="4"/>
      <c r="AN252" s="4"/>
      <c r="AO252" s="4"/>
      <c r="AP252" s="4"/>
      <c r="AQ252" s="4"/>
      <c r="AR252" s="4"/>
      <c r="AS252" s="76" t="str">
        <f>"COMMENT ON COLUMN "&amp;エンティティ一覧!$O$2&amp;"."&amp;D$8&amp;"."&amp;D252&amp;" IS '"&amp;C252&amp;"';"</f>
        <v>COMMENT ON COLUMN milscm_2023_009.sny_202310_annony_bef2.shikkan234_start_date IS 'C488_疾患開始日';</v>
      </c>
    </row>
    <row r="253" spans="1:45" s="25" customFormat="1">
      <c r="A253" s="4" t="s">
        <v>5386</v>
      </c>
      <c r="B253" s="21">
        <f t="shared" si="31"/>
        <v>241</v>
      </c>
      <c r="C253" s="13" t="s">
        <v>6776</v>
      </c>
      <c r="D253" s="13" t="s">
        <v>5003</v>
      </c>
      <c r="E253" s="8"/>
      <c r="F253" s="7" t="s">
        <v>4348</v>
      </c>
      <c r="G253" s="7" t="s">
        <v>25</v>
      </c>
      <c r="H253" s="58"/>
      <c r="I253" s="23"/>
      <c r="J253" s="24"/>
      <c r="M253" s="4"/>
      <c r="N253" s="76"/>
      <c r="O253" s="76"/>
      <c r="P253" s="76" t="str">
        <f t="shared" si="34"/>
        <v>,shikkan235_start_date</v>
      </c>
      <c r="Q253" s="76" t="str">
        <f t="shared" si="35"/>
        <v>DATE</v>
      </c>
      <c r="R253" s="76" t="str">
        <f t="shared" si="36"/>
        <v/>
      </c>
      <c r="S253" s="76" t="str">
        <f t="shared" si="37"/>
        <v/>
      </c>
      <c r="T253" s="76" t="str">
        <f t="shared" si="38"/>
        <v>-- C490_疾患開始日</v>
      </c>
      <c r="U253" s="4" t="str">
        <f t="shared" si="32"/>
        <v>, CASE WHEN shikkan_disp_name = 'C490' THEN min_shikkan_start_date ::DATE ELSE NULL END AS shikkan235_start_date</v>
      </c>
      <c r="V253" s="25" t="str">
        <f t="shared" si="33"/>
        <v>, max(shikkan235_start_date)</v>
      </c>
      <c r="AA253" s="4"/>
      <c r="AB253" s="4"/>
      <c r="AC253" s="4"/>
      <c r="AD253" s="4"/>
      <c r="AE253" s="4"/>
      <c r="AF253" s="4"/>
      <c r="AG253" s="4"/>
      <c r="AH253" s="4"/>
      <c r="AI253" s="4"/>
      <c r="AJ253" s="76" t="str">
        <f>IF(E253="○",IF(COUNTA(E$13:E253)=1,"",",")&amp;D253,"")</f>
        <v/>
      </c>
      <c r="AK253" s="4"/>
      <c r="AL253" s="4"/>
      <c r="AM253" s="4"/>
      <c r="AN253" s="4"/>
      <c r="AO253" s="4"/>
      <c r="AP253" s="4"/>
      <c r="AQ253" s="4"/>
      <c r="AR253" s="4"/>
      <c r="AS253" s="76" t="str">
        <f>"COMMENT ON COLUMN "&amp;エンティティ一覧!$O$2&amp;"."&amp;D$8&amp;"."&amp;D253&amp;" IS '"&amp;C253&amp;"';"</f>
        <v>COMMENT ON COLUMN milscm_2023_009.sny_202310_annony_bef2.shikkan235_start_date IS 'C490_疾患開始日';</v>
      </c>
    </row>
    <row r="254" spans="1:45" s="25" customFormat="1">
      <c r="A254" s="4" t="s">
        <v>5387</v>
      </c>
      <c r="B254" s="21">
        <f t="shared" si="31"/>
        <v>242</v>
      </c>
      <c r="C254" s="13" t="s">
        <v>6777</v>
      </c>
      <c r="D254" s="13" t="s">
        <v>5004</v>
      </c>
      <c r="E254" s="8"/>
      <c r="F254" s="7" t="s">
        <v>4348</v>
      </c>
      <c r="G254" s="7" t="s">
        <v>25</v>
      </c>
      <c r="H254" s="58"/>
      <c r="I254" s="23"/>
      <c r="J254" s="24"/>
      <c r="M254" s="4"/>
      <c r="N254" s="76"/>
      <c r="O254" s="76"/>
      <c r="P254" s="76" t="str">
        <f t="shared" si="34"/>
        <v>,shikkan236_start_date</v>
      </c>
      <c r="Q254" s="76" t="str">
        <f t="shared" si="35"/>
        <v>DATE</v>
      </c>
      <c r="R254" s="76" t="str">
        <f t="shared" si="36"/>
        <v/>
      </c>
      <c r="S254" s="76" t="str">
        <f t="shared" si="37"/>
        <v/>
      </c>
      <c r="T254" s="76" t="str">
        <f t="shared" si="38"/>
        <v>-- C491_疾患開始日</v>
      </c>
      <c r="U254" s="4" t="str">
        <f t="shared" si="32"/>
        <v>, CASE WHEN shikkan_disp_name = 'C491' THEN min_shikkan_start_date ::DATE ELSE NULL END AS shikkan236_start_date</v>
      </c>
      <c r="V254" s="25" t="str">
        <f t="shared" si="33"/>
        <v>, max(shikkan236_start_date)</v>
      </c>
      <c r="AA254" s="4"/>
      <c r="AB254" s="4"/>
      <c r="AC254" s="4"/>
      <c r="AD254" s="4"/>
      <c r="AE254" s="4"/>
      <c r="AF254" s="4"/>
      <c r="AG254" s="4"/>
      <c r="AH254" s="4"/>
      <c r="AI254" s="4"/>
      <c r="AJ254" s="76" t="str">
        <f>IF(E254="○",IF(COUNTA(E$13:E254)=1,"",",")&amp;D254,"")</f>
        <v/>
      </c>
      <c r="AK254" s="4"/>
      <c r="AL254" s="4"/>
      <c r="AM254" s="4"/>
      <c r="AN254" s="4"/>
      <c r="AO254" s="4"/>
      <c r="AP254" s="4"/>
      <c r="AQ254" s="4"/>
      <c r="AR254" s="4"/>
      <c r="AS254" s="76" t="str">
        <f>"COMMENT ON COLUMN "&amp;エンティティ一覧!$O$2&amp;"."&amp;D$8&amp;"."&amp;D254&amp;" IS '"&amp;C254&amp;"';"</f>
        <v>COMMENT ON COLUMN milscm_2023_009.sny_202310_annony_bef2.shikkan236_start_date IS 'C491_疾患開始日';</v>
      </c>
    </row>
    <row r="255" spans="1:45" s="25" customFormat="1">
      <c r="A255" s="4" t="s">
        <v>5388</v>
      </c>
      <c r="B255" s="21">
        <f t="shared" si="31"/>
        <v>243</v>
      </c>
      <c r="C255" s="13" t="s">
        <v>6778</v>
      </c>
      <c r="D255" s="13" t="s">
        <v>5005</v>
      </c>
      <c r="E255" s="8"/>
      <c r="F255" s="7" t="s">
        <v>4348</v>
      </c>
      <c r="G255" s="7" t="s">
        <v>25</v>
      </c>
      <c r="H255" s="58"/>
      <c r="I255" s="23"/>
      <c r="J255" s="24"/>
      <c r="M255" s="4"/>
      <c r="N255" s="76"/>
      <c r="O255" s="76"/>
      <c r="P255" s="76" t="str">
        <f t="shared" si="34"/>
        <v>,shikkan237_start_date</v>
      </c>
      <c r="Q255" s="76" t="str">
        <f t="shared" si="35"/>
        <v>DATE</v>
      </c>
      <c r="R255" s="76" t="str">
        <f t="shared" si="36"/>
        <v/>
      </c>
      <c r="S255" s="76" t="str">
        <f t="shared" si="37"/>
        <v/>
      </c>
      <c r="T255" s="76" t="str">
        <f t="shared" si="38"/>
        <v>-- C492_疾患開始日</v>
      </c>
      <c r="U255" s="4" t="str">
        <f t="shared" si="32"/>
        <v>, CASE WHEN shikkan_disp_name = 'C492' THEN min_shikkan_start_date ::DATE ELSE NULL END AS shikkan237_start_date</v>
      </c>
      <c r="V255" s="25" t="str">
        <f t="shared" si="33"/>
        <v>, max(shikkan237_start_date)</v>
      </c>
      <c r="AA255" s="4"/>
      <c r="AB255" s="4"/>
      <c r="AC255" s="4"/>
      <c r="AD255" s="4"/>
      <c r="AE255" s="4"/>
      <c r="AF255" s="4"/>
      <c r="AG255" s="4"/>
      <c r="AH255" s="4"/>
      <c r="AI255" s="4"/>
      <c r="AJ255" s="76" t="str">
        <f>IF(E255="○",IF(COUNTA(E$13:E255)=1,"",",")&amp;D255,"")</f>
        <v/>
      </c>
      <c r="AK255" s="4"/>
      <c r="AL255" s="4"/>
      <c r="AM255" s="4"/>
      <c r="AN255" s="4"/>
      <c r="AO255" s="4"/>
      <c r="AP255" s="4"/>
      <c r="AQ255" s="4"/>
      <c r="AR255" s="4"/>
      <c r="AS255" s="76" t="str">
        <f>"COMMENT ON COLUMN "&amp;エンティティ一覧!$O$2&amp;"."&amp;D$8&amp;"."&amp;D255&amp;" IS '"&amp;C255&amp;"';"</f>
        <v>COMMENT ON COLUMN milscm_2023_009.sny_202310_annony_bef2.shikkan237_start_date IS 'C492_疾患開始日';</v>
      </c>
    </row>
    <row r="256" spans="1:45" s="25" customFormat="1">
      <c r="A256" s="4" t="s">
        <v>5389</v>
      </c>
      <c r="B256" s="21">
        <f t="shared" si="31"/>
        <v>244</v>
      </c>
      <c r="C256" s="13" t="s">
        <v>6779</v>
      </c>
      <c r="D256" s="13" t="s">
        <v>5006</v>
      </c>
      <c r="E256" s="8"/>
      <c r="F256" s="7" t="s">
        <v>4348</v>
      </c>
      <c r="G256" s="7" t="s">
        <v>25</v>
      </c>
      <c r="H256" s="58"/>
      <c r="I256" s="23"/>
      <c r="J256" s="24"/>
      <c r="M256" s="4"/>
      <c r="N256" s="76"/>
      <c r="O256" s="76"/>
      <c r="P256" s="76" t="str">
        <f t="shared" si="34"/>
        <v>,shikkan238_start_date</v>
      </c>
      <c r="Q256" s="76" t="str">
        <f t="shared" si="35"/>
        <v>DATE</v>
      </c>
      <c r="R256" s="76" t="str">
        <f t="shared" si="36"/>
        <v/>
      </c>
      <c r="S256" s="76" t="str">
        <f t="shared" si="37"/>
        <v/>
      </c>
      <c r="T256" s="76" t="str">
        <f t="shared" si="38"/>
        <v>-- C493_疾患開始日</v>
      </c>
      <c r="U256" s="4" t="str">
        <f t="shared" si="32"/>
        <v>, CASE WHEN shikkan_disp_name = 'C493' THEN min_shikkan_start_date ::DATE ELSE NULL END AS shikkan238_start_date</v>
      </c>
      <c r="V256" s="25" t="str">
        <f t="shared" si="33"/>
        <v>, max(shikkan238_start_date)</v>
      </c>
      <c r="AA256" s="4"/>
      <c r="AB256" s="4"/>
      <c r="AC256" s="4"/>
      <c r="AD256" s="4"/>
      <c r="AE256" s="4"/>
      <c r="AF256" s="4"/>
      <c r="AG256" s="4"/>
      <c r="AH256" s="4"/>
      <c r="AI256" s="4"/>
      <c r="AJ256" s="76" t="str">
        <f>IF(E256="○",IF(COUNTA(E$13:E256)=1,"",",")&amp;D256,"")</f>
        <v/>
      </c>
      <c r="AK256" s="4"/>
      <c r="AL256" s="4"/>
      <c r="AM256" s="4"/>
      <c r="AN256" s="4"/>
      <c r="AO256" s="4"/>
      <c r="AP256" s="4"/>
      <c r="AQ256" s="4"/>
      <c r="AR256" s="4"/>
      <c r="AS256" s="76" t="str">
        <f>"COMMENT ON COLUMN "&amp;エンティティ一覧!$O$2&amp;"."&amp;D$8&amp;"."&amp;D256&amp;" IS '"&amp;C256&amp;"';"</f>
        <v>COMMENT ON COLUMN milscm_2023_009.sny_202310_annony_bef2.shikkan238_start_date IS 'C493_疾患開始日';</v>
      </c>
    </row>
    <row r="257" spans="1:45" s="25" customFormat="1">
      <c r="A257" s="4" t="s">
        <v>5390</v>
      </c>
      <c r="B257" s="21">
        <f t="shared" si="31"/>
        <v>245</v>
      </c>
      <c r="C257" s="13" t="s">
        <v>6780</v>
      </c>
      <c r="D257" s="13" t="s">
        <v>5007</v>
      </c>
      <c r="E257" s="8"/>
      <c r="F257" s="7" t="s">
        <v>4348</v>
      </c>
      <c r="G257" s="7" t="s">
        <v>25</v>
      </c>
      <c r="H257" s="58"/>
      <c r="I257" s="23"/>
      <c r="J257" s="24"/>
      <c r="M257" s="4"/>
      <c r="N257" s="76"/>
      <c r="O257" s="76"/>
      <c r="P257" s="76" t="str">
        <f t="shared" si="34"/>
        <v>,shikkan239_start_date</v>
      </c>
      <c r="Q257" s="76" t="str">
        <f t="shared" si="35"/>
        <v>DATE</v>
      </c>
      <c r="R257" s="76" t="str">
        <f t="shared" si="36"/>
        <v/>
      </c>
      <c r="S257" s="76" t="str">
        <f t="shared" si="37"/>
        <v/>
      </c>
      <c r="T257" s="76" t="str">
        <f t="shared" si="38"/>
        <v>-- C494_疾患開始日</v>
      </c>
      <c r="U257" s="4" t="str">
        <f t="shared" si="32"/>
        <v>, CASE WHEN shikkan_disp_name = 'C494' THEN min_shikkan_start_date ::DATE ELSE NULL END AS shikkan239_start_date</v>
      </c>
      <c r="V257" s="25" t="str">
        <f t="shared" si="33"/>
        <v>, max(shikkan239_start_date)</v>
      </c>
      <c r="AA257" s="4"/>
      <c r="AB257" s="4"/>
      <c r="AC257" s="4"/>
      <c r="AD257" s="4"/>
      <c r="AE257" s="4"/>
      <c r="AF257" s="4"/>
      <c r="AG257" s="4"/>
      <c r="AH257" s="4"/>
      <c r="AI257" s="4"/>
      <c r="AJ257" s="76" t="str">
        <f>IF(E257="○",IF(COUNTA(E$13:E257)=1,"",",")&amp;D257,"")</f>
        <v/>
      </c>
      <c r="AK257" s="4"/>
      <c r="AL257" s="4"/>
      <c r="AM257" s="4"/>
      <c r="AN257" s="4"/>
      <c r="AO257" s="4"/>
      <c r="AP257" s="4"/>
      <c r="AQ257" s="4"/>
      <c r="AR257" s="4"/>
      <c r="AS257" s="76" t="str">
        <f>"COMMENT ON COLUMN "&amp;エンティティ一覧!$O$2&amp;"."&amp;D$8&amp;"."&amp;D257&amp;" IS '"&amp;C257&amp;"';"</f>
        <v>COMMENT ON COLUMN milscm_2023_009.sny_202310_annony_bef2.shikkan239_start_date IS 'C494_疾患開始日';</v>
      </c>
    </row>
    <row r="258" spans="1:45" s="25" customFormat="1">
      <c r="A258" s="4" t="s">
        <v>5391</v>
      </c>
      <c r="B258" s="21">
        <f t="shared" si="31"/>
        <v>246</v>
      </c>
      <c r="C258" s="13" t="s">
        <v>6781</v>
      </c>
      <c r="D258" s="13" t="s">
        <v>5008</v>
      </c>
      <c r="E258" s="8"/>
      <c r="F258" s="7" t="s">
        <v>4348</v>
      </c>
      <c r="G258" s="7" t="s">
        <v>25</v>
      </c>
      <c r="H258" s="58"/>
      <c r="I258" s="23"/>
      <c r="J258" s="24"/>
      <c r="M258" s="4"/>
      <c r="N258" s="76"/>
      <c r="O258" s="76"/>
      <c r="P258" s="76" t="str">
        <f t="shared" si="34"/>
        <v>,shikkan240_start_date</v>
      </c>
      <c r="Q258" s="76" t="str">
        <f t="shared" si="35"/>
        <v>DATE</v>
      </c>
      <c r="R258" s="76" t="str">
        <f t="shared" si="36"/>
        <v/>
      </c>
      <c r="S258" s="76" t="str">
        <f t="shared" si="37"/>
        <v/>
      </c>
      <c r="T258" s="76" t="str">
        <f t="shared" si="38"/>
        <v>-- C495_疾患開始日</v>
      </c>
      <c r="U258" s="4" t="str">
        <f t="shared" si="32"/>
        <v>, CASE WHEN shikkan_disp_name = 'C495' THEN min_shikkan_start_date ::DATE ELSE NULL END AS shikkan240_start_date</v>
      </c>
      <c r="V258" s="25" t="str">
        <f t="shared" si="33"/>
        <v>, max(shikkan240_start_date)</v>
      </c>
      <c r="AA258" s="4"/>
      <c r="AB258" s="4"/>
      <c r="AC258" s="4"/>
      <c r="AD258" s="4"/>
      <c r="AE258" s="4"/>
      <c r="AF258" s="4"/>
      <c r="AG258" s="4"/>
      <c r="AH258" s="4"/>
      <c r="AI258" s="4"/>
      <c r="AJ258" s="76" t="str">
        <f>IF(E258="○",IF(COUNTA(E$13:E258)=1,"",",")&amp;D258,"")</f>
        <v/>
      </c>
      <c r="AK258" s="4"/>
      <c r="AL258" s="4"/>
      <c r="AM258" s="4"/>
      <c r="AN258" s="4"/>
      <c r="AO258" s="4"/>
      <c r="AP258" s="4"/>
      <c r="AQ258" s="4"/>
      <c r="AR258" s="4"/>
      <c r="AS258" s="76" t="str">
        <f>"COMMENT ON COLUMN "&amp;エンティティ一覧!$O$2&amp;"."&amp;D$8&amp;"."&amp;D258&amp;" IS '"&amp;C258&amp;"';"</f>
        <v>COMMENT ON COLUMN milscm_2023_009.sny_202310_annony_bef2.shikkan240_start_date IS 'C495_疾患開始日';</v>
      </c>
    </row>
    <row r="259" spans="1:45" s="25" customFormat="1">
      <c r="A259" s="4" t="s">
        <v>5392</v>
      </c>
      <c r="B259" s="21">
        <f t="shared" si="31"/>
        <v>247</v>
      </c>
      <c r="C259" s="13" t="s">
        <v>6782</v>
      </c>
      <c r="D259" s="13" t="s">
        <v>5009</v>
      </c>
      <c r="E259" s="8"/>
      <c r="F259" s="7" t="s">
        <v>4348</v>
      </c>
      <c r="G259" s="7" t="s">
        <v>99</v>
      </c>
      <c r="H259" s="58"/>
      <c r="I259" s="23"/>
      <c r="J259" s="24"/>
      <c r="M259" s="4"/>
      <c r="N259" s="76"/>
      <c r="O259" s="76"/>
      <c r="P259" s="76" t="str">
        <f t="shared" si="34"/>
        <v>,shikkan241_start_date</v>
      </c>
      <c r="Q259" s="76" t="str">
        <f t="shared" si="35"/>
        <v>DATE</v>
      </c>
      <c r="R259" s="76" t="str">
        <f t="shared" si="36"/>
        <v/>
      </c>
      <c r="S259" s="76" t="str">
        <f t="shared" si="37"/>
        <v/>
      </c>
      <c r="T259" s="76" t="str">
        <f t="shared" si="38"/>
        <v>-- C496_疾患開始日</v>
      </c>
      <c r="U259" s="4" t="str">
        <f t="shared" si="32"/>
        <v>, CASE WHEN shikkan_disp_name = 'C496' THEN min_shikkan_start_date ::DATE ELSE NULL END AS shikkan241_start_date</v>
      </c>
      <c r="V259" s="25" t="str">
        <f t="shared" si="33"/>
        <v>, max(shikkan241_start_date)</v>
      </c>
      <c r="AA259" s="4"/>
      <c r="AB259" s="4"/>
      <c r="AC259" s="4"/>
      <c r="AD259" s="4"/>
      <c r="AE259" s="4"/>
      <c r="AF259" s="4"/>
      <c r="AG259" s="4"/>
      <c r="AH259" s="4"/>
      <c r="AI259" s="4"/>
      <c r="AJ259" s="76" t="str">
        <f>IF(E259="○",IF(COUNTA(E$13:E259)=1,"",",")&amp;D259,"")</f>
        <v/>
      </c>
      <c r="AK259" s="4"/>
      <c r="AL259" s="4"/>
      <c r="AM259" s="4"/>
      <c r="AN259" s="4"/>
      <c r="AO259" s="4"/>
      <c r="AP259" s="4"/>
      <c r="AQ259" s="4"/>
      <c r="AR259" s="4"/>
      <c r="AS259" s="76" t="str">
        <f>"COMMENT ON COLUMN "&amp;エンティティ一覧!$O$2&amp;"."&amp;D$8&amp;"."&amp;D259&amp;" IS '"&amp;C259&amp;"';"</f>
        <v>COMMENT ON COLUMN milscm_2023_009.sny_202310_annony_bef2.shikkan241_start_date IS 'C496_疾患開始日';</v>
      </c>
    </row>
    <row r="260" spans="1:45" s="25" customFormat="1">
      <c r="A260" s="4" t="s">
        <v>5393</v>
      </c>
      <c r="B260" s="21">
        <f t="shared" si="31"/>
        <v>248</v>
      </c>
      <c r="C260" s="13" t="s">
        <v>6783</v>
      </c>
      <c r="D260" s="13" t="s">
        <v>5010</v>
      </c>
      <c r="E260" s="8"/>
      <c r="F260" s="7" t="s">
        <v>4348</v>
      </c>
      <c r="G260" s="7" t="s">
        <v>25</v>
      </c>
      <c r="H260" s="58"/>
      <c r="I260" s="23"/>
      <c r="J260" s="24"/>
      <c r="M260" s="4"/>
      <c r="N260" s="76"/>
      <c r="O260" s="76"/>
      <c r="P260" s="76" t="str">
        <f t="shared" si="34"/>
        <v>,shikkan242_start_date</v>
      </c>
      <c r="Q260" s="76" t="str">
        <f t="shared" si="35"/>
        <v>DATE</v>
      </c>
      <c r="R260" s="76" t="str">
        <f t="shared" si="36"/>
        <v/>
      </c>
      <c r="S260" s="76" t="str">
        <f t="shared" si="37"/>
        <v/>
      </c>
      <c r="T260" s="76" t="str">
        <f t="shared" si="38"/>
        <v>-- C498_疾患開始日</v>
      </c>
      <c r="U260" s="4" t="str">
        <f t="shared" si="32"/>
        <v>, CASE WHEN shikkan_disp_name = 'C498' THEN min_shikkan_start_date ::DATE ELSE NULL END AS shikkan242_start_date</v>
      </c>
      <c r="V260" s="25" t="str">
        <f t="shared" si="33"/>
        <v>, max(shikkan242_start_date)</v>
      </c>
      <c r="AA260" s="4"/>
      <c r="AB260" s="4"/>
      <c r="AC260" s="4"/>
      <c r="AD260" s="4"/>
      <c r="AE260" s="4"/>
      <c r="AF260" s="4"/>
      <c r="AG260" s="4"/>
      <c r="AH260" s="4"/>
      <c r="AI260" s="4"/>
      <c r="AJ260" s="76" t="str">
        <f>IF(E260="○",IF(COUNTA(E$13:E260)=1,"",",")&amp;D260,"")</f>
        <v/>
      </c>
      <c r="AK260" s="4"/>
      <c r="AL260" s="4"/>
      <c r="AM260" s="4"/>
      <c r="AN260" s="4"/>
      <c r="AO260" s="4"/>
      <c r="AP260" s="4"/>
      <c r="AQ260" s="4"/>
      <c r="AR260" s="4"/>
      <c r="AS260" s="76" t="str">
        <f>"COMMENT ON COLUMN "&amp;エンティティ一覧!$O$2&amp;"."&amp;D$8&amp;"."&amp;D260&amp;" IS '"&amp;C260&amp;"';"</f>
        <v>COMMENT ON COLUMN milscm_2023_009.sny_202310_annony_bef2.shikkan242_start_date IS 'C498_疾患開始日';</v>
      </c>
    </row>
    <row r="261" spans="1:45" s="25" customFormat="1">
      <c r="A261" s="4" t="s">
        <v>5394</v>
      </c>
      <c r="B261" s="21">
        <f t="shared" si="31"/>
        <v>249</v>
      </c>
      <c r="C261" s="13" t="s">
        <v>6784</v>
      </c>
      <c r="D261" s="13" t="s">
        <v>5011</v>
      </c>
      <c r="E261" s="8"/>
      <c r="F261" s="7" t="s">
        <v>4348</v>
      </c>
      <c r="G261" s="7" t="s">
        <v>25</v>
      </c>
      <c r="H261" s="58"/>
      <c r="I261" s="23"/>
      <c r="J261" s="24"/>
      <c r="M261" s="4"/>
      <c r="N261" s="76"/>
      <c r="O261" s="76"/>
      <c r="P261" s="76" t="str">
        <f t="shared" si="34"/>
        <v>,shikkan243_start_date</v>
      </c>
      <c r="Q261" s="76" t="str">
        <f t="shared" si="35"/>
        <v>DATE</v>
      </c>
      <c r="R261" s="76" t="str">
        <f t="shared" si="36"/>
        <v/>
      </c>
      <c r="S261" s="76" t="str">
        <f t="shared" si="37"/>
        <v/>
      </c>
      <c r="T261" s="76" t="str">
        <f t="shared" si="38"/>
        <v>-- C499_疾患開始日</v>
      </c>
      <c r="U261" s="4" t="str">
        <f t="shared" si="32"/>
        <v>, CASE WHEN shikkan_disp_name = 'C499' THEN min_shikkan_start_date ::DATE ELSE NULL END AS shikkan243_start_date</v>
      </c>
      <c r="V261" s="25" t="str">
        <f t="shared" si="33"/>
        <v>, max(shikkan243_start_date)</v>
      </c>
      <c r="AA261" s="4"/>
      <c r="AB261" s="4"/>
      <c r="AC261" s="4"/>
      <c r="AD261" s="4"/>
      <c r="AE261" s="4"/>
      <c r="AF261" s="4"/>
      <c r="AG261" s="4"/>
      <c r="AH261" s="4"/>
      <c r="AI261" s="4"/>
      <c r="AJ261" s="76" t="str">
        <f>IF(E261="○",IF(COUNTA(E$13:E261)=1,"",",")&amp;D261,"")</f>
        <v/>
      </c>
      <c r="AK261" s="4"/>
      <c r="AL261" s="4"/>
      <c r="AM261" s="4"/>
      <c r="AN261" s="4"/>
      <c r="AO261" s="4"/>
      <c r="AP261" s="4"/>
      <c r="AQ261" s="4"/>
      <c r="AR261" s="4"/>
      <c r="AS261" s="76" t="str">
        <f>"COMMENT ON COLUMN "&amp;エンティティ一覧!$O$2&amp;"."&amp;D$8&amp;"."&amp;D261&amp;" IS '"&amp;C261&amp;"';"</f>
        <v>COMMENT ON COLUMN milscm_2023_009.sny_202310_annony_bef2.shikkan243_start_date IS 'C499_疾患開始日';</v>
      </c>
    </row>
    <row r="262" spans="1:45" s="25" customFormat="1">
      <c r="A262" s="4" t="s">
        <v>5395</v>
      </c>
      <c r="B262" s="21">
        <f t="shared" si="31"/>
        <v>250</v>
      </c>
      <c r="C262" s="13" t="s">
        <v>6785</v>
      </c>
      <c r="D262" s="13" t="s">
        <v>5012</v>
      </c>
      <c r="E262" s="8"/>
      <c r="F262" s="7" t="s">
        <v>4348</v>
      </c>
      <c r="G262" s="7" t="s">
        <v>25</v>
      </c>
      <c r="H262" s="58"/>
      <c r="I262" s="23"/>
      <c r="J262" s="24"/>
      <c r="M262" s="4"/>
      <c r="N262" s="76"/>
      <c r="O262" s="76"/>
      <c r="P262" s="76" t="str">
        <f t="shared" si="34"/>
        <v>,shikkan244_start_date</v>
      </c>
      <c r="Q262" s="76" t="str">
        <f t="shared" si="35"/>
        <v>DATE</v>
      </c>
      <c r="R262" s="76" t="str">
        <f t="shared" si="36"/>
        <v/>
      </c>
      <c r="S262" s="76" t="str">
        <f t="shared" si="37"/>
        <v/>
      </c>
      <c r="T262" s="76" t="str">
        <f t="shared" si="38"/>
        <v>-- C500_疾患開始日</v>
      </c>
      <c r="U262" s="4" t="str">
        <f t="shared" si="32"/>
        <v>, CASE WHEN shikkan_disp_name = 'C500' THEN min_shikkan_start_date ::DATE ELSE NULL END AS shikkan244_start_date</v>
      </c>
      <c r="V262" s="25" t="str">
        <f t="shared" si="33"/>
        <v>, max(shikkan244_start_date)</v>
      </c>
      <c r="AA262" s="4"/>
      <c r="AB262" s="4"/>
      <c r="AC262" s="4"/>
      <c r="AD262" s="4"/>
      <c r="AE262" s="4"/>
      <c r="AF262" s="4"/>
      <c r="AG262" s="4"/>
      <c r="AH262" s="4"/>
      <c r="AI262" s="4"/>
      <c r="AJ262" s="76" t="str">
        <f>IF(E262="○",IF(COUNTA(E$13:E262)=1,"",",")&amp;D262,"")</f>
        <v/>
      </c>
      <c r="AK262" s="4"/>
      <c r="AL262" s="4"/>
      <c r="AM262" s="4"/>
      <c r="AN262" s="4"/>
      <c r="AO262" s="4"/>
      <c r="AP262" s="4"/>
      <c r="AQ262" s="4"/>
      <c r="AR262" s="4"/>
      <c r="AS262" s="76" t="str">
        <f>"COMMENT ON COLUMN "&amp;エンティティ一覧!$O$2&amp;"."&amp;D$8&amp;"."&amp;D262&amp;" IS '"&amp;C262&amp;"';"</f>
        <v>COMMENT ON COLUMN milscm_2023_009.sny_202310_annony_bef2.shikkan244_start_date IS 'C500_疾患開始日';</v>
      </c>
    </row>
    <row r="263" spans="1:45" s="25" customFormat="1">
      <c r="A263" s="4" t="s">
        <v>5396</v>
      </c>
      <c r="B263" s="21">
        <f t="shared" si="31"/>
        <v>251</v>
      </c>
      <c r="C263" s="13" t="s">
        <v>6786</v>
      </c>
      <c r="D263" s="13" t="s">
        <v>5013</v>
      </c>
      <c r="E263" s="8"/>
      <c r="F263" s="7" t="s">
        <v>4348</v>
      </c>
      <c r="G263" s="7" t="s">
        <v>25</v>
      </c>
      <c r="H263" s="58"/>
      <c r="I263" s="23"/>
      <c r="J263" s="24"/>
      <c r="M263" s="4"/>
      <c r="N263" s="76"/>
      <c r="O263" s="76"/>
      <c r="P263" s="76" t="str">
        <f t="shared" si="34"/>
        <v>,shikkan245_start_date</v>
      </c>
      <c r="Q263" s="76" t="str">
        <f t="shared" si="35"/>
        <v>DATE</v>
      </c>
      <c r="R263" s="76" t="str">
        <f t="shared" si="36"/>
        <v/>
      </c>
      <c r="S263" s="76" t="str">
        <f t="shared" si="37"/>
        <v/>
      </c>
      <c r="T263" s="76" t="str">
        <f t="shared" si="38"/>
        <v>-- C501_疾患開始日</v>
      </c>
      <c r="U263" s="4" t="str">
        <f t="shared" si="32"/>
        <v>, CASE WHEN shikkan_disp_name = 'C501' THEN min_shikkan_start_date ::DATE ELSE NULL END AS shikkan245_start_date</v>
      </c>
      <c r="V263" s="25" t="str">
        <f t="shared" si="33"/>
        <v>, max(shikkan245_start_date)</v>
      </c>
      <c r="AA263" s="4"/>
      <c r="AB263" s="4"/>
      <c r="AC263" s="4"/>
      <c r="AD263" s="4"/>
      <c r="AE263" s="4"/>
      <c r="AF263" s="4"/>
      <c r="AG263" s="4"/>
      <c r="AH263" s="4"/>
      <c r="AI263" s="4"/>
      <c r="AJ263" s="76" t="str">
        <f>IF(E263="○",IF(COUNTA(E$13:E263)=1,"",",")&amp;D263,"")</f>
        <v/>
      </c>
      <c r="AK263" s="4"/>
      <c r="AL263" s="4"/>
      <c r="AM263" s="4"/>
      <c r="AN263" s="4"/>
      <c r="AO263" s="4"/>
      <c r="AP263" s="4"/>
      <c r="AQ263" s="4"/>
      <c r="AR263" s="4"/>
      <c r="AS263" s="76" t="str">
        <f>"COMMENT ON COLUMN "&amp;エンティティ一覧!$O$2&amp;"."&amp;D$8&amp;"."&amp;D263&amp;" IS '"&amp;C263&amp;"';"</f>
        <v>COMMENT ON COLUMN milscm_2023_009.sny_202310_annony_bef2.shikkan245_start_date IS 'C501_疾患開始日';</v>
      </c>
    </row>
    <row r="264" spans="1:45" s="25" customFormat="1">
      <c r="A264" s="4" t="s">
        <v>5397</v>
      </c>
      <c r="B264" s="21">
        <f t="shared" si="31"/>
        <v>252</v>
      </c>
      <c r="C264" s="13" t="s">
        <v>6787</v>
      </c>
      <c r="D264" s="13" t="s">
        <v>5014</v>
      </c>
      <c r="E264" s="8"/>
      <c r="F264" s="7" t="s">
        <v>4348</v>
      </c>
      <c r="G264" s="7" t="s">
        <v>25</v>
      </c>
      <c r="H264" s="58"/>
      <c r="I264" s="23"/>
      <c r="J264" s="24"/>
      <c r="M264" s="4"/>
      <c r="N264" s="76"/>
      <c r="O264" s="76"/>
      <c r="P264" s="76" t="str">
        <f t="shared" si="34"/>
        <v>,shikkan246_start_date</v>
      </c>
      <c r="Q264" s="76" t="str">
        <f t="shared" si="35"/>
        <v>DATE</v>
      </c>
      <c r="R264" s="76" t="str">
        <f t="shared" si="36"/>
        <v/>
      </c>
      <c r="S264" s="76" t="str">
        <f t="shared" si="37"/>
        <v/>
      </c>
      <c r="T264" s="76" t="str">
        <f t="shared" si="38"/>
        <v>-- C502_疾患開始日</v>
      </c>
      <c r="U264" s="4" t="str">
        <f t="shared" si="32"/>
        <v>, CASE WHEN shikkan_disp_name = 'C502' THEN min_shikkan_start_date ::DATE ELSE NULL END AS shikkan246_start_date</v>
      </c>
      <c r="V264" s="25" t="str">
        <f t="shared" si="33"/>
        <v>, max(shikkan246_start_date)</v>
      </c>
      <c r="AA264" s="4"/>
      <c r="AB264" s="4"/>
      <c r="AC264" s="4"/>
      <c r="AD264" s="4"/>
      <c r="AE264" s="4"/>
      <c r="AF264" s="4"/>
      <c r="AG264" s="4"/>
      <c r="AH264" s="4"/>
      <c r="AI264" s="4"/>
      <c r="AJ264" s="76" t="str">
        <f>IF(E264="○",IF(COUNTA(E$13:E264)=1,"",",")&amp;D264,"")</f>
        <v/>
      </c>
      <c r="AK264" s="4"/>
      <c r="AL264" s="4"/>
      <c r="AM264" s="4"/>
      <c r="AN264" s="4"/>
      <c r="AO264" s="4"/>
      <c r="AP264" s="4"/>
      <c r="AQ264" s="4"/>
      <c r="AR264" s="4"/>
      <c r="AS264" s="76" t="str">
        <f>"COMMENT ON COLUMN "&amp;エンティティ一覧!$O$2&amp;"."&amp;D$8&amp;"."&amp;D264&amp;" IS '"&amp;C264&amp;"';"</f>
        <v>COMMENT ON COLUMN milscm_2023_009.sny_202310_annony_bef2.shikkan246_start_date IS 'C502_疾患開始日';</v>
      </c>
    </row>
    <row r="265" spans="1:45" s="25" customFormat="1">
      <c r="A265" s="4" t="s">
        <v>5398</v>
      </c>
      <c r="B265" s="21">
        <f t="shared" si="31"/>
        <v>253</v>
      </c>
      <c r="C265" s="13" t="s">
        <v>6788</v>
      </c>
      <c r="D265" s="13" t="s">
        <v>5015</v>
      </c>
      <c r="E265" s="8"/>
      <c r="F265" s="7" t="s">
        <v>4348</v>
      </c>
      <c r="G265" s="7" t="s">
        <v>25</v>
      </c>
      <c r="H265" s="58"/>
      <c r="I265" s="23"/>
      <c r="J265" s="24"/>
      <c r="M265" s="4"/>
      <c r="N265" s="76"/>
      <c r="O265" s="76"/>
      <c r="P265" s="76" t="str">
        <f t="shared" si="34"/>
        <v>,shikkan247_start_date</v>
      </c>
      <c r="Q265" s="76" t="str">
        <f t="shared" si="35"/>
        <v>DATE</v>
      </c>
      <c r="R265" s="76" t="str">
        <f t="shared" si="36"/>
        <v/>
      </c>
      <c r="S265" s="76" t="str">
        <f t="shared" si="37"/>
        <v/>
      </c>
      <c r="T265" s="76" t="str">
        <f t="shared" si="38"/>
        <v>-- C503_疾患開始日</v>
      </c>
      <c r="U265" s="4" t="str">
        <f t="shared" si="32"/>
        <v>, CASE WHEN shikkan_disp_name = 'C503' THEN min_shikkan_start_date ::DATE ELSE NULL END AS shikkan247_start_date</v>
      </c>
      <c r="V265" s="25" t="str">
        <f t="shared" si="33"/>
        <v>, max(shikkan247_start_date)</v>
      </c>
      <c r="AA265" s="4"/>
      <c r="AB265" s="4"/>
      <c r="AC265" s="4"/>
      <c r="AD265" s="4"/>
      <c r="AE265" s="4"/>
      <c r="AF265" s="4"/>
      <c r="AG265" s="4"/>
      <c r="AH265" s="4"/>
      <c r="AI265" s="4"/>
      <c r="AJ265" s="76" t="str">
        <f>IF(E265="○",IF(COUNTA(E$13:E265)=1,"",",")&amp;D265,"")</f>
        <v/>
      </c>
      <c r="AK265" s="4"/>
      <c r="AL265" s="4"/>
      <c r="AM265" s="4"/>
      <c r="AN265" s="4"/>
      <c r="AO265" s="4"/>
      <c r="AP265" s="4"/>
      <c r="AQ265" s="4"/>
      <c r="AR265" s="4"/>
      <c r="AS265" s="76" t="str">
        <f>"COMMENT ON COLUMN "&amp;エンティティ一覧!$O$2&amp;"."&amp;D$8&amp;"."&amp;D265&amp;" IS '"&amp;C265&amp;"';"</f>
        <v>COMMENT ON COLUMN milscm_2023_009.sny_202310_annony_bef2.shikkan247_start_date IS 'C503_疾患開始日';</v>
      </c>
    </row>
    <row r="266" spans="1:45" s="25" customFormat="1">
      <c r="A266" s="4" t="s">
        <v>5399</v>
      </c>
      <c r="B266" s="21">
        <f t="shared" si="31"/>
        <v>254</v>
      </c>
      <c r="C266" s="13" t="s">
        <v>6789</v>
      </c>
      <c r="D266" s="13" t="s">
        <v>5016</v>
      </c>
      <c r="E266" s="8"/>
      <c r="F266" s="7" t="s">
        <v>4348</v>
      </c>
      <c r="G266" s="7" t="s">
        <v>25</v>
      </c>
      <c r="H266" s="58"/>
      <c r="I266" s="23"/>
      <c r="J266" s="24"/>
      <c r="M266" s="4"/>
      <c r="N266" s="76"/>
      <c r="O266" s="76"/>
      <c r="P266" s="76" t="str">
        <f t="shared" si="34"/>
        <v>,shikkan248_start_date</v>
      </c>
      <c r="Q266" s="76" t="str">
        <f t="shared" si="35"/>
        <v>DATE</v>
      </c>
      <c r="R266" s="76" t="str">
        <f t="shared" si="36"/>
        <v/>
      </c>
      <c r="S266" s="76" t="str">
        <f t="shared" si="37"/>
        <v/>
      </c>
      <c r="T266" s="76" t="str">
        <f t="shared" si="38"/>
        <v>-- C504_疾患開始日</v>
      </c>
      <c r="U266" s="4" t="str">
        <f t="shared" si="32"/>
        <v>, CASE WHEN shikkan_disp_name = 'C504' THEN min_shikkan_start_date ::DATE ELSE NULL END AS shikkan248_start_date</v>
      </c>
      <c r="V266" s="25" t="str">
        <f t="shared" si="33"/>
        <v>, max(shikkan248_start_date)</v>
      </c>
      <c r="AA266" s="4"/>
      <c r="AB266" s="4"/>
      <c r="AC266" s="4"/>
      <c r="AD266" s="4"/>
      <c r="AE266" s="4"/>
      <c r="AF266" s="4"/>
      <c r="AG266" s="4"/>
      <c r="AH266" s="4"/>
      <c r="AI266" s="4"/>
      <c r="AJ266" s="76" t="str">
        <f>IF(E266="○",IF(COUNTA(E$13:E266)=1,"",",")&amp;D266,"")</f>
        <v/>
      </c>
      <c r="AK266" s="4"/>
      <c r="AL266" s="4"/>
      <c r="AM266" s="4"/>
      <c r="AN266" s="4"/>
      <c r="AO266" s="4"/>
      <c r="AP266" s="4"/>
      <c r="AQ266" s="4"/>
      <c r="AR266" s="4"/>
      <c r="AS266" s="76" t="str">
        <f>"COMMENT ON COLUMN "&amp;エンティティ一覧!$O$2&amp;"."&amp;D$8&amp;"."&amp;D266&amp;" IS '"&amp;C266&amp;"';"</f>
        <v>COMMENT ON COLUMN milscm_2023_009.sny_202310_annony_bef2.shikkan248_start_date IS 'C504_疾患開始日';</v>
      </c>
    </row>
    <row r="267" spans="1:45" s="25" customFormat="1">
      <c r="A267" s="4" t="s">
        <v>5400</v>
      </c>
      <c r="B267" s="21">
        <f t="shared" si="31"/>
        <v>255</v>
      </c>
      <c r="C267" s="13" t="s">
        <v>6790</v>
      </c>
      <c r="D267" s="13" t="s">
        <v>5017</v>
      </c>
      <c r="E267" s="8"/>
      <c r="F267" s="7" t="s">
        <v>4348</v>
      </c>
      <c r="G267" s="7" t="s">
        <v>25</v>
      </c>
      <c r="H267" s="58"/>
      <c r="I267" s="23"/>
      <c r="J267" s="24"/>
      <c r="M267" s="4"/>
      <c r="N267" s="76"/>
      <c r="O267" s="76"/>
      <c r="P267" s="76" t="str">
        <f t="shared" si="34"/>
        <v>,shikkan249_start_date</v>
      </c>
      <c r="Q267" s="76" t="str">
        <f t="shared" si="35"/>
        <v>DATE</v>
      </c>
      <c r="R267" s="76" t="str">
        <f t="shared" si="36"/>
        <v/>
      </c>
      <c r="S267" s="76" t="str">
        <f t="shared" si="37"/>
        <v/>
      </c>
      <c r="T267" s="76" t="str">
        <f t="shared" si="38"/>
        <v>-- C505_疾患開始日</v>
      </c>
      <c r="U267" s="4" t="str">
        <f t="shared" si="32"/>
        <v>, CASE WHEN shikkan_disp_name = 'C505' THEN min_shikkan_start_date ::DATE ELSE NULL END AS shikkan249_start_date</v>
      </c>
      <c r="V267" s="25" t="str">
        <f t="shared" si="33"/>
        <v>, max(shikkan249_start_date)</v>
      </c>
      <c r="AA267" s="4"/>
      <c r="AB267" s="4"/>
      <c r="AC267" s="4"/>
      <c r="AD267" s="4"/>
      <c r="AE267" s="4"/>
      <c r="AF267" s="4"/>
      <c r="AG267" s="4"/>
      <c r="AH267" s="4"/>
      <c r="AI267" s="4"/>
      <c r="AJ267" s="76" t="str">
        <f>IF(E267="○",IF(COUNTA(E$13:E267)=1,"",",")&amp;D267,"")</f>
        <v/>
      </c>
      <c r="AK267" s="4"/>
      <c r="AL267" s="4"/>
      <c r="AM267" s="4"/>
      <c r="AN267" s="4"/>
      <c r="AO267" s="4"/>
      <c r="AP267" s="4"/>
      <c r="AQ267" s="4"/>
      <c r="AR267" s="4"/>
      <c r="AS267" s="76" t="str">
        <f>"COMMENT ON COLUMN "&amp;エンティティ一覧!$O$2&amp;"."&amp;D$8&amp;"."&amp;D267&amp;" IS '"&amp;C267&amp;"';"</f>
        <v>COMMENT ON COLUMN milscm_2023_009.sny_202310_annony_bef2.shikkan249_start_date IS 'C505_疾患開始日';</v>
      </c>
    </row>
    <row r="268" spans="1:45" s="25" customFormat="1">
      <c r="A268" s="4" t="s">
        <v>5401</v>
      </c>
      <c r="B268" s="21">
        <f t="shared" si="31"/>
        <v>256</v>
      </c>
      <c r="C268" s="13" t="s">
        <v>6791</v>
      </c>
      <c r="D268" s="13" t="s">
        <v>5018</v>
      </c>
      <c r="E268" s="8"/>
      <c r="F268" s="7" t="s">
        <v>4348</v>
      </c>
      <c r="G268" s="7" t="s">
        <v>25</v>
      </c>
      <c r="H268" s="58"/>
      <c r="I268" s="23"/>
      <c r="J268" s="24"/>
      <c r="M268" s="4"/>
      <c r="N268" s="76"/>
      <c r="O268" s="76"/>
      <c r="P268" s="76" t="str">
        <f t="shared" si="34"/>
        <v>,shikkan250_start_date</v>
      </c>
      <c r="Q268" s="76" t="str">
        <f t="shared" si="35"/>
        <v>DATE</v>
      </c>
      <c r="R268" s="76" t="str">
        <f t="shared" si="36"/>
        <v/>
      </c>
      <c r="S268" s="76" t="str">
        <f t="shared" si="37"/>
        <v/>
      </c>
      <c r="T268" s="76" t="str">
        <f t="shared" si="38"/>
        <v>-- C506_疾患開始日</v>
      </c>
      <c r="U268" s="4" t="str">
        <f t="shared" si="32"/>
        <v>, CASE WHEN shikkan_disp_name = 'C506' THEN min_shikkan_start_date ::DATE ELSE NULL END AS shikkan250_start_date</v>
      </c>
      <c r="V268" s="25" t="str">
        <f t="shared" si="33"/>
        <v>, max(shikkan250_start_date)</v>
      </c>
      <c r="AA268" s="4"/>
      <c r="AB268" s="4"/>
      <c r="AC268" s="4"/>
      <c r="AD268" s="4"/>
      <c r="AE268" s="4"/>
      <c r="AF268" s="4"/>
      <c r="AG268" s="4"/>
      <c r="AH268" s="4"/>
      <c r="AI268" s="4"/>
      <c r="AJ268" s="76" t="str">
        <f>IF(E268="○",IF(COUNTA(E$13:E268)=1,"",",")&amp;D268,"")</f>
        <v/>
      </c>
      <c r="AK268" s="4"/>
      <c r="AL268" s="4"/>
      <c r="AM268" s="4"/>
      <c r="AN268" s="4"/>
      <c r="AO268" s="4"/>
      <c r="AP268" s="4"/>
      <c r="AQ268" s="4"/>
      <c r="AR268" s="4"/>
      <c r="AS268" s="76" t="str">
        <f>"COMMENT ON COLUMN "&amp;エンティティ一覧!$O$2&amp;"."&amp;D$8&amp;"."&amp;D268&amp;" IS '"&amp;C268&amp;"';"</f>
        <v>COMMENT ON COLUMN milscm_2023_009.sny_202310_annony_bef2.shikkan250_start_date IS 'C506_疾患開始日';</v>
      </c>
    </row>
    <row r="269" spans="1:45" s="25" customFormat="1">
      <c r="A269" s="4" t="s">
        <v>5402</v>
      </c>
      <c r="B269" s="21">
        <f t="shared" si="31"/>
        <v>257</v>
      </c>
      <c r="C269" s="13" t="s">
        <v>6792</v>
      </c>
      <c r="D269" s="13" t="s">
        <v>5019</v>
      </c>
      <c r="E269" s="8"/>
      <c r="F269" s="7" t="s">
        <v>4348</v>
      </c>
      <c r="G269" s="7" t="s">
        <v>25</v>
      </c>
      <c r="H269" s="58"/>
      <c r="I269" s="23"/>
      <c r="J269" s="24"/>
      <c r="M269" s="4"/>
      <c r="N269" s="76"/>
      <c r="O269" s="76"/>
      <c r="P269" s="76" t="str">
        <f t="shared" si="34"/>
        <v>,shikkan251_start_date</v>
      </c>
      <c r="Q269" s="76" t="str">
        <f t="shared" si="35"/>
        <v>DATE</v>
      </c>
      <c r="R269" s="76" t="str">
        <f t="shared" si="36"/>
        <v/>
      </c>
      <c r="S269" s="76" t="str">
        <f t="shared" si="37"/>
        <v/>
      </c>
      <c r="T269" s="76" t="str">
        <f t="shared" si="38"/>
        <v>-- C508_疾患開始日</v>
      </c>
      <c r="U269" s="4" t="str">
        <f t="shared" si="32"/>
        <v>, CASE WHEN shikkan_disp_name = 'C508' THEN min_shikkan_start_date ::DATE ELSE NULL END AS shikkan251_start_date</v>
      </c>
      <c r="V269" s="25" t="str">
        <f t="shared" si="33"/>
        <v>, max(shikkan251_start_date)</v>
      </c>
      <c r="AA269" s="4"/>
      <c r="AB269" s="4"/>
      <c r="AC269" s="4"/>
      <c r="AD269" s="4"/>
      <c r="AE269" s="4"/>
      <c r="AF269" s="4"/>
      <c r="AG269" s="4"/>
      <c r="AH269" s="4"/>
      <c r="AI269" s="4"/>
      <c r="AJ269" s="76" t="str">
        <f>IF(E269="○",IF(COUNTA(E$13:E269)=1,"",",")&amp;D269,"")</f>
        <v/>
      </c>
      <c r="AK269" s="4"/>
      <c r="AL269" s="4"/>
      <c r="AM269" s="4"/>
      <c r="AN269" s="4"/>
      <c r="AO269" s="4"/>
      <c r="AP269" s="4"/>
      <c r="AQ269" s="4"/>
      <c r="AR269" s="4"/>
      <c r="AS269" s="76" t="str">
        <f>"COMMENT ON COLUMN "&amp;エンティティ一覧!$O$2&amp;"."&amp;D$8&amp;"."&amp;D269&amp;" IS '"&amp;C269&amp;"';"</f>
        <v>COMMENT ON COLUMN milscm_2023_009.sny_202310_annony_bef2.shikkan251_start_date IS 'C508_疾患開始日';</v>
      </c>
    </row>
    <row r="270" spans="1:45" s="25" customFormat="1">
      <c r="A270" s="4" t="s">
        <v>5403</v>
      </c>
      <c r="B270" s="21">
        <f t="shared" si="31"/>
        <v>258</v>
      </c>
      <c r="C270" s="13" t="s">
        <v>6793</v>
      </c>
      <c r="D270" s="13" t="s">
        <v>5020</v>
      </c>
      <c r="E270" s="8"/>
      <c r="F270" s="7" t="s">
        <v>4348</v>
      </c>
      <c r="G270" s="7" t="s">
        <v>25</v>
      </c>
      <c r="H270" s="58"/>
      <c r="I270" s="23"/>
      <c r="J270" s="24"/>
      <c r="M270" s="4"/>
      <c r="N270" s="76"/>
      <c r="O270" s="76"/>
      <c r="P270" s="76" t="str">
        <f t="shared" si="34"/>
        <v>,shikkan252_start_date</v>
      </c>
      <c r="Q270" s="76" t="str">
        <f t="shared" si="35"/>
        <v>DATE</v>
      </c>
      <c r="R270" s="76" t="str">
        <f t="shared" si="36"/>
        <v/>
      </c>
      <c r="S270" s="76" t="str">
        <f t="shared" si="37"/>
        <v/>
      </c>
      <c r="T270" s="76" t="str">
        <f t="shared" si="38"/>
        <v>-- C509_疾患開始日</v>
      </c>
      <c r="U270" s="4" t="str">
        <f t="shared" si="32"/>
        <v>, CASE WHEN shikkan_disp_name = 'C509' THEN min_shikkan_start_date ::DATE ELSE NULL END AS shikkan252_start_date</v>
      </c>
      <c r="V270" s="25" t="str">
        <f t="shared" si="33"/>
        <v>, max(shikkan252_start_date)</v>
      </c>
      <c r="AA270" s="4"/>
      <c r="AB270" s="4"/>
      <c r="AC270" s="4"/>
      <c r="AD270" s="4"/>
      <c r="AE270" s="4"/>
      <c r="AF270" s="4"/>
      <c r="AG270" s="4"/>
      <c r="AH270" s="4"/>
      <c r="AI270" s="4"/>
      <c r="AJ270" s="76" t="str">
        <f>IF(E270="○",IF(COUNTA(E$13:E270)=1,"",",")&amp;D270,"")</f>
        <v/>
      </c>
      <c r="AK270" s="4"/>
      <c r="AL270" s="4"/>
      <c r="AM270" s="4"/>
      <c r="AN270" s="4"/>
      <c r="AO270" s="4"/>
      <c r="AP270" s="4"/>
      <c r="AQ270" s="4"/>
      <c r="AR270" s="4"/>
      <c r="AS270" s="76" t="str">
        <f>"COMMENT ON COLUMN "&amp;エンティティ一覧!$O$2&amp;"."&amp;D$8&amp;"."&amp;D270&amp;" IS '"&amp;C270&amp;"';"</f>
        <v>COMMENT ON COLUMN milscm_2023_009.sny_202310_annony_bef2.shikkan252_start_date IS 'C509_疾患開始日';</v>
      </c>
    </row>
    <row r="271" spans="1:45" s="25" customFormat="1">
      <c r="A271" s="4" t="s">
        <v>5404</v>
      </c>
      <c r="B271" s="21">
        <f t="shared" si="31"/>
        <v>259</v>
      </c>
      <c r="C271" s="13" t="s">
        <v>6794</v>
      </c>
      <c r="D271" s="13" t="s">
        <v>5021</v>
      </c>
      <c r="E271" s="8"/>
      <c r="F271" s="7" t="s">
        <v>4348</v>
      </c>
      <c r="G271" s="7" t="s">
        <v>25</v>
      </c>
      <c r="H271" s="58"/>
      <c r="I271" s="23"/>
      <c r="J271" s="24"/>
      <c r="M271" s="4"/>
      <c r="N271" s="76"/>
      <c r="O271" s="76"/>
      <c r="P271" s="76" t="str">
        <f t="shared" si="34"/>
        <v>,shikkan253_start_date</v>
      </c>
      <c r="Q271" s="76" t="str">
        <f t="shared" si="35"/>
        <v>DATE</v>
      </c>
      <c r="R271" s="76" t="str">
        <f t="shared" si="36"/>
        <v/>
      </c>
      <c r="S271" s="76" t="str">
        <f t="shared" si="37"/>
        <v/>
      </c>
      <c r="T271" s="76" t="str">
        <f t="shared" si="38"/>
        <v>-- C510_疾患開始日</v>
      </c>
      <c r="U271" s="4" t="str">
        <f t="shared" si="32"/>
        <v>, CASE WHEN shikkan_disp_name = 'C510' THEN min_shikkan_start_date ::DATE ELSE NULL END AS shikkan253_start_date</v>
      </c>
      <c r="V271" s="25" t="str">
        <f t="shared" si="33"/>
        <v>, max(shikkan253_start_date)</v>
      </c>
      <c r="AA271" s="4"/>
      <c r="AB271" s="4"/>
      <c r="AC271" s="4"/>
      <c r="AD271" s="4"/>
      <c r="AE271" s="4"/>
      <c r="AF271" s="4"/>
      <c r="AG271" s="4"/>
      <c r="AH271" s="4"/>
      <c r="AI271" s="4"/>
      <c r="AJ271" s="76" t="str">
        <f>IF(E271="○",IF(COUNTA(E$13:E271)=1,"",",")&amp;D271,"")</f>
        <v/>
      </c>
      <c r="AK271" s="4"/>
      <c r="AL271" s="4"/>
      <c r="AM271" s="4"/>
      <c r="AN271" s="4"/>
      <c r="AO271" s="4"/>
      <c r="AP271" s="4"/>
      <c r="AQ271" s="4"/>
      <c r="AR271" s="4"/>
      <c r="AS271" s="76" t="str">
        <f>"COMMENT ON COLUMN "&amp;エンティティ一覧!$O$2&amp;"."&amp;D$8&amp;"."&amp;D271&amp;" IS '"&amp;C271&amp;"';"</f>
        <v>COMMENT ON COLUMN milscm_2023_009.sny_202310_annony_bef2.shikkan253_start_date IS 'C510_疾患開始日';</v>
      </c>
    </row>
    <row r="272" spans="1:45" s="25" customFormat="1">
      <c r="A272" s="4" t="s">
        <v>5405</v>
      </c>
      <c r="B272" s="21">
        <f t="shared" si="31"/>
        <v>260</v>
      </c>
      <c r="C272" s="13" t="s">
        <v>6795</v>
      </c>
      <c r="D272" s="13" t="s">
        <v>5022</v>
      </c>
      <c r="E272" s="8"/>
      <c r="F272" s="7" t="s">
        <v>4348</v>
      </c>
      <c r="G272" s="7" t="s">
        <v>25</v>
      </c>
      <c r="H272" s="58"/>
      <c r="I272" s="23"/>
      <c r="J272" s="24"/>
      <c r="M272" s="4"/>
      <c r="N272" s="76"/>
      <c r="O272" s="76"/>
      <c r="P272" s="76" t="str">
        <f t="shared" si="34"/>
        <v>,shikkan254_start_date</v>
      </c>
      <c r="Q272" s="76" t="str">
        <f t="shared" si="35"/>
        <v>DATE</v>
      </c>
      <c r="R272" s="76" t="str">
        <f t="shared" si="36"/>
        <v/>
      </c>
      <c r="S272" s="76" t="str">
        <f t="shared" si="37"/>
        <v/>
      </c>
      <c r="T272" s="76" t="str">
        <f t="shared" si="38"/>
        <v>-- C511_疾患開始日</v>
      </c>
      <c r="U272" s="4" t="str">
        <f t="shared" si="32"/>
        <v>, CASE WHEN shikkan_disp_name = 'C511' THEN min_shikkan_start_date ::DATE ELSE NULL END AS shikkan254_start_date</v>
      </c>
      <c r="V272" s="25" t="str">
        <f t="shared" si="33"/>
        <v>, max(shikkan254_start_date)</v>
      </c>
      <c r="AA272" s="4"/>
      <c r="AB272" s="4"/>
      <c r="AC272" s="4"/>
      <c r="AD272" s="4"/>
      <c r="AE272" s="4"/>
      <c r="AF272" s="4"/>
      <c r="AG272" s="4"/>
      <c r="AH272" s="4"/>
      <c r="AI272" s="4"/>
      <c r="AJ272" s="76" t="str">
        <f>IF(E272="○",IF(COUNTA(E$13:E272)=1,"",",")&amp;D272,"")</f>
        <v/>
      </c>
      <c r="AK272" s="4"/>
      <c r="AL272" s="4"/>
      <c r="AM272" s="4"/>
      <c r="AN272" s="4"/>
      <c r="AO272" s="4"/>
      <c r="AP272" s="4"/>
      <c r="AQ272" s="4"/>
      <c r="AR272" s="4"/>
      <c r="AS272" s="76" t="str">
        <f>"COMMENT ON COLUMN "&amp;エンティティ一覧!$O$2&amp;"."&amp;D$8&amp;"."&amp;D272&amp;" IS '"&amp;C272&amp;"';"</f>
        <v>COMMENT ON COLUMN milscm_2023_009.sny_202310_annony_bef2.shikkan254_start_date IS 'C511_疾患開始日';</v>
      </c>
    </row>
    <row r="273" spans="1:45" s="25" customFormat="1">
      <c r="A273" s="4" t="s">
        <v>5406</v>
      </c>
      <c r="B273" s="21">
        <f t="shared" si="31"/>
        <v>261</v>
      </c>
      <c r="C273" s="13" t="s">
        <v>6796</v>
      </c>
      <c r="D273" s="13" t="s">
        <v>5023</v>
      </c>
      <c r="E273" s="8"/>
      <c r="F273" s="7" t="s">
        <v>4348</v>
      </c>
      <c r="G273" s="7" t="s">
        <v>25</v>
      </c>
      <c r="H273" s="58"/>
      <c r="I273" s="23"/>
      <c r="J273" s="24"/>
      <c r="M273" s="4"/>
      <c r="N273" s="76"/>
      <c r="O273" s="76"/>
      <c r="P273" s="76" t="str">
        <f t="shared" si="34"/>
        <v>,shikkan255_start_date</v>
      </c>
      <c r="Q273" s="76" t="str">
        <f t="shared" si="35"/>
        <v>DATE</v>
      </c>
      <c r="R273" s="76" t="str">
        <f t="shared" si="36"/>
        <v/>
      </c>
      <c r="S273" s="76" t="str">
        <f t="shared" si="37"/>
        <v/>
      </c>
      <c r="T273" s="76" t="str">
        <f t="shared" si="38"/>
        <v>-- C512_疾患開始日</v>
      </c>
      <c r="U273" s="4" t="str">
        <f t="shared" si="32"/>
        <v>, CASE WHEN shikkan_disp_name = 'C512' THEN min_shikkan_start_date ::DATE ELSE NULL END AS shikkan255_start_date</v>
      </c>
      <c r="V273" s="25" t="str">
        <f t="shared" si="33"/>
        <v>, max(shikkan255_start_date)</v>
      </c>
      <c r="AA273" s="4"/>
      <c r="AB273" s="4"/>
      <c r="AC273" s="4"/>
      <c r="AD273" s="4"/>
      <c r="AE273" s="4"/>
      <c r="AF273" s="4"/>
      <c r="AG273" s="4"/>
      <c r="AH273" s="4"/>
      <c r="AI273" s="4"/>
      <c r="AJ273" s="76" t="str">
        <f>IF(E273="○",IF(COUNTA(E$13:E273)=1,"",",")&amp;D273,"")</f>
        <v/>
      </c>
      <c r="AK273" s="4"/>
      <c r="AL273" s="4"/>
      <c r="AM273" s="4"/>
      <c r="AN273" s="4"/>
      <c r="AO273" s="4"/>
      <c r="AP273" s="4"/>
      <c r="AQ273" s="4"/>
      <c r="AR273" s="4"/>
      <c r="AS273" s="76" t="str">
        <f>"COMMENT ON COLUMN "&amp;エンティティ一覧!$O$2&amp;"."&amp;D$8&amp;"."&amp;D273&amp;" IS '"&amp;C273&amp;"';"</f>
        <v>COMMENT ON COLUMN milscm_2023_009.sny_202310_annony_bef2.shikkan255_start_date IS 'C512_疾患開始日';</v>
      </c>
    </row>
    <row r="274" spans="1:45" s="25" customFormat="1">
      <c r="A274" s="4" t="s">
        <v>5407</v>
      </c>
      <c r="B274" s="21">
        <f t="shared" si="31"/>
        <v>262</v>
      </c>
      <c r="C274" s="13" t="s">
        <v>6797</v>
      </c>
      <c r="D274" s="13" t="s">
        <v>5024</v>
      </c>
      <c r="E274" s="8"/>
      <c r="F274" s="7" t="s">
        <v>4348</v>
      </c>
      <c r="G274" s="7" t="s">
        <v>25</v>
      </c>
      <c r="H274" s="58"/>
      <c r="I274" s="23"/>
      <c r="J274" s="24"/>
      <c r="M274" s="4"/>
      <c r="N274" s="76"/>
      <c r="O274" s="76"/>
      <c r="P274" s="76" t="str">
        <f t="shared" si="34"/>
        <v>,shikkan256_start_date</v>
      </c>
      <c r="Q274" s="76" t="str">
        <f t="shared" si="35"/>
        <v>DATE</v>
      </c>
      <c r="R274" s="76" t="str">
        <f t="shared" si="36"/>
        <v/>
      </c>
      <c r="S274" s="76" t="str">
        <f t="shared" si="37"/>
        <v/>
      </c>
      <c r="T274" s="76" t="str">
        <f t="shared" si="38"/>
        <v>-- C518_疾患開始日</v>
      </c>
      <c r="U274" s="4" t="str">
        <f t="shared" si="32"/>
        <v>, CASE WHEN shikkan_disp_name = 'C518' THEN min_shikkan_start_date ::DATE ELSE NULL END AS shikkan256_start_date</v>
      </c>
      <c r="V274" s="25" t="str">
        <f t="shared" si="33"/>
        <v>, max(shikkan256_start_date)</v>
      </c>
      <c r="AA274" s="4"/>
      <c r="AB274" s="4"/>
      <c r="AC274" s="4"/>
      <c r="AD274" s="4"/>
      <c r="AE274" s="4"/>
      <c r="AF274" s="4"/>
      <c r="AG274" s="4"/>
      <c r="AH274" s="4"/>
      <c r="AI274" s="4"/>
      <c r="AJ274" s="76" t="str">
        <f>IF(E274="○",IF(COUNTA(E$13:E274)=1,"",",")&amp;D274,"")</f>
        <v/>
      </c>
      <c r="AK274" s="4"/>
      <c r="AL274" s="4"/>
      <c r="AM274" s="4"/>
      <c r="AN274" s="4"/>
      <c r="AO274" s="4"/>
      <c r="AP274" s="4"/>
      <c r="AQ274" s="4"/>
      <c r="AR274" s="4"/>
      <c r="AS274" s="76" t="str">
        <f>"COMMENT ON COLUMN "&amp;エンティティ一覧!$O$2&amp;"."&amp;D$8&amp;"."&amp;D274&amp;" IS '"&amp;C274&amp;"';"</f>
        <v>COMMENT ON COLUMN milscm_2023_009.sny_202310_annony_bef2.shikkan256_start_date IS 'C518_疾患開始日';</v>
      </c>
    </row>
    <row r="275" spans="1:45" s="25" customFormat="1">
      <c r="A275" s="4" t="s">
        <v>5408</v>
      </c>
      <c r="B275" s="21">
        <f t="shared" si="31"/>
        <v>263</v>
      </c>
      <c r="C275" s="13" t="s">
        <v>6798</v>
      </c>
      <c r="D275" s="13" t="s">
        <v>5025</v>
      </c>
      <c r="E275" s="8"/>
      <c r="F275" s="7" t="s">
        <v>4348</v>
      </c>
      <c r="G275" s="7" t="s">
        <v>25</v>
      </c>
      <c r="H275" s="58"/>
      <c r="I275" s="23"/>
      <c r="J275" s="24"/>
      <c r="M275" s="4"/>
      <c r="N275" s="76"/>
      <c r="O275" s="76"/>
      <c r="P275" s="76" t="str">
        <f t="shared" si="34"/>
        <v>,shikkan257_start_date</v>
      </c>
      <c r="Q275" s="76" t="str">
        <f t="shared" si="35"/>
        <v>DATE</v>
      </c>
      <c r="R275" s="76" t="str">
        <f t="shared" si="36"/>
        <v/>
      </c>
      <c r="S275" s="76" t="str">
        <f t="shared" si="37"/>
        <v/>
      </c>
      <c r="T275" s="76" t="str">
        <f t="shared" si="38"/>
        <v>-- C519_疾患開始日</v>
      </c>
      <c r="U275" s="4" t="str">
        <f t="shared" si="32"/>
        <v>, CASE WHEN shikkan_disp_name = 'C519' THEN min_shikkan_start_date ::DATE ELSE NULL END AS shikkan257_start_date</v>
      </c>
      <c r="V275" s="25" t="str">
        <f t="shared" si="33"/>
        <v>, max(shikkan257_start_date)</v>
      </c>
      <c r="AA275" s="4"/>
      <c r="AB275" s="4"/>
      <c r="AC275" s="4"/>
      <c r="AD275" s="4"/>
      <c r="AE275" s="4"/>
      <c r="AF275" s="4"/>
      <c r="AG275" s="4"/>
      <c r="AH275" s="4"/>
      <c r="AI275" s="4"/>
      <c r="AJ275" s="76" t="str">
        <f>IF(E275="○",IF(COUNTA(E$13:E275)=1,"",",")&amp;D275,"")</f>
        <v/>
      </c>
      <c r="AK275" s="4"/>
      <c r="AL275" s="4"/>
      <c r="AM275" s="4"/>
      <c r="AN275" s="4"/>
      <c r="AO275" s="4"/>
      <c r="AP275" s="4"/>
      <c r="AQ275" s="4"/>
      <c r="AR275" s="4"/>
      <c r="AS275" s="76" t="str">
        <f>"COMMENT ON COLUMN "&amp;エンティティ一覧!$O$2&amp;"."&amp;D$8&amp;"."&amp;D275&amp;" IS '"&amp;C275&amp;"';"</f>
        <v>COMMENT ON COLUMN milscm_2023_009.sny_202310_annony_bef2.shikkan257_start_date IS 'C519_疾患開始日';</v>
      </c>
    </row>
    <row r="276" spans="1:45" s="25" customFormat="1">
      <c r="A276" s="4" t="s">
        <v>5148</v>
      </c>
      <c r="B276" s="21">
        <f t="shared" ref="B276:B339" si="39">ROW()-12</f>
        <v>264</v>
      </c>
      <c r="C276" s="13" t="s">
        <v>4758</v>
      </c>
      <c r="D276" s="13" t="s">
        <v>5026</v>
      </c>
      <c r="E276" s="8"/>
      <c r="F276" s="7" t="s">
        <v>4348</v>
      </c>
      <c r="G276" s="7" t="s">
        <v>25</v>
      </c>
      <c r="H276" s="58"/>
      <c r="I276" s="23"/>
      <c r="J276" s="24"/>
      <c r="M276" s="4"/>
      <c r="N276" s="76"/>
      <c r="O276" s="76"/>
      <c r="P276" s="76" t="str">
        <f t="shared" si="34"/>
        <v>,shikkan258_start_date</v>
      </c>
      <c r="Q276" s="76" t="str">
        <f t="shared" si="35"/>
        <v>DATE</v>
      </c>
      <c r="R276" s="76" t="str">
        <f t="shared" si="36"/>
        <v/>
      </c>
      <c r="S276" s="76" t="str">
        <f t="shared" si="37"/>
        <v/>
      </c>
      <c r="T276" s="76" t="str">
        <f t="shared" si="38"/>
        <v>-- C52_疾患開始日</v>
      </c>
      <c r="U276" s="4" t="str">
        <f t="shared" ref="U276:U908" si="40">", CASE WHEN shikkan_disp_name = '"&amp;A276&amp;"' THEN min_shikkan_start_date ::DATE ELSE NULL END AS "&amp;D276</f>
        <v>, CASE WHEN shikkan_disp_name = 'C52' THEN min_shikkan_start_date ::DATE ELSE NULL END AS shikkan258_start_date</v>
      </c>
      <c r="V276" s="25" t="str">
        <f t="shared" ref="V276:V908" si="41">", max("&amp;D276&amp;")"</f>
        <v>, max(shikkan258_start_date)</v>
      </c>
      <c r="AA276" s="4"/>
      <c r="AB276" s="4"/>
      <c r="AC276" s="4"/>
      <c r="AD276" s="4"/>
      <c r="AE276" s="4"/>
      <c r="AF276" s="4"/>
      <c r="AG276" s="4"/>
      <c r="AH276" s="4"/>
      <c r="AI276" s="4"/>
      <c r="AJ276" s="76" t="str">
        <f>IF(E276="○",IF(COUNTA(E$13:E276)=1,"",",")&amp;D276,"")</f>
        <v/>
      </c>
      <c r="AK276" s="4"/>
      <c r="AL276" s="4"/>
      <c r="AM276" s="4"/>
      <c r="AN276" s="4"/>
      <c r="AO276" s="4"/>
      <c r="AP276" s="4"/>
      <c r="AQ276" s="4"/>
      <c r="AR276" s="4"/>
      <c r="AS276" s="76" t="str">
        <f>"COMMENT ON COLUMN "&amp;エンティティ一覧!$O$2&amp;"."&amp;D$8&amp;"."&amp;D276&amp;" IS '"&amp;C276&amp;"';"</f>
        <v>COMMENT ON COLUMN milscm_2023_009.sny_202310_annony_bef2.shikkan258_start_date IS 'C52_疾患開始日';</v>
      </c>
    </row>
    <row r="277" spans="1:45" s="25" customFormat="1">
      <c r="A277" s="4" t="s">
        <v>5409</v>
      </c>
      <c r="B277" s="21">
        <f t="shared" si="39"/>
        <v>265</v>
      </c>
      <c r="C277" s="13" t="s">
        <v>6799</v>
      </c>
      <c r="D277" s="13" t="s">
        <v>5027</v>
      </c>
      <c r="E277" s="8"/>
      <c r="F277" s="7" t="s">
        <v>4348</v>
      </c>
      <c r="G277" s="7" t="s">
        <v>25</v>
      </c>
      <c r="H277" s="58"/>
      <c r="I277" s="23"/>
      <c r="J277" s="24"/>
      <c r="M277" s="4"/>
      <c r="N277" s="76"/>
      <c r="O277" s="76"/>
      <c r="P277" s="76" t="str">
        <f t="shared" si="34"/>
        <v>,shikkan259_start_date</v>
      </c>
      <c r="Q277" s="76" t="str">
        <f t="shared" si="35"/>
        <v>DATE</v>
      </c>
      <c r="R277" s="76" t="str">
        <f t="shared" si="36"/>
        <v/>
      </c>
      <c r="S277" s="76" t="str">
        <f t="shared" si="37"/>
        <v/>
      </c>
      <c r="T277" s="76" t="str">
        <f t="shared" si="38"/>
        <v>-- C530_疾患開始日</v>
      </c>
      <c r="U277" s="4" t="str">
        <f t="shared" si="40"/>
        <v>, CASE WHEN shikkan_disp_name = 'C530' THEN min_shikkan_start_date ::DATE ELSE NULL END AS shikkan259_start_date</v>
      </c>
      <c r="V277" s="25" t="str">
        <f t="shared" si="41"/>
        <v>, max(shikkan259_start_date)</v>
      </c>
      <c r="AA277" s="4"/>
      <c r="AB277" s="4"/>
      <c r="AC277" s="4"/>
      <c r="AD277" s="4"/>
      <c r="AE277" s="4"/>
      <c r="AF277" s="4"/>
      <c r="AG277" s="4"/>
      <c r="AH277" s="4"/>
      <c r="AI277" s="4"/>
      <c r="AJ277" s="76" t="str">
        <f>IF(E277="○",IF(COUNTA(E$13:E277)=1,"",",")&amp;D277,"")</f>
        <v/>
      </c>
      <c r="AK277" s="4"/>
      <c r="AL277" s="4"/>
      <c r="AM277" s="4"/>
      <c r="AN277" s="4"/>
      <c r="AO277" s="4"/>
      <c r="AP277" s="4"/>
      <c r="AQ277" s="4"/>
      <c r="AR277" s="4"/>
      <c r="AS277" s="76" t="str">
        <f>"COMMENT ON COLUMN "&amp;エンティティ一覧!$O$2&amp;"."&amp;D$8&amp;"."&amp;D277&amp;" IS '"&amp;C277&amp;"';"</f>
        <v>COMMENT ON COLUMN milscm_2023_009.sny_202310_annony_bef2.shikkan259_start_date IS 'C530_疾患開始日';</v>
      </c>
    </row>
    <row r="278" spans="1:45" s="25" customFormat="1">
      <c r="A278" s="4" t="s">
        <v>5410</v>
      </c>
      <c r="B278" s="21">
        <f t="shared" si="39"/>
        <v>266</v>
      </c>
      <c r="C278" s="13" t="s">
        <v>6800</v>
      </c>
      <c r="D278" s="13" t="s">
        <v>5028</v>
      </c>
      <c r="E278" s="8"/>
      <c r="F278" s="7" t="s">
        <v>4348</v>
      </c>
      <c r="G278" s="7" t="s">
        <v>25</v>
      </c>
      <c r="H278" s="58"/>
      <c r="I278" s="23"/>
      <c r="J278" s="24"/>
      <c r="M278" s="4"/>
      <c r="N278" s="76"/>
      <c r="O278" s="76"/>
      <c r="P278" s="76" t="str">
        <f t="shared" si="34"/>
        <v>,shikkan260_start_date</v>
      </c>
      <c r="Q278" s="76" t="str">
        <f t="shared" si="35"/>
        <v>DATE</v>
      </c>
      <c r="R278" s="76" t="str">
        <f t="shared" si="36"/>
        <v/>
      </c>
      <c r="S278" s="76" t="str">
        <f t="shared" si="37"/>
        <v/>
      </c>
      <c r="T278" s="76" t="str">
        <f t="shared" si="38"/>
        <v>-- C531_疾患開始日</v>
      </c>
      <c r="U278" s="4" t="str">
        <f t="shared" si="40"/>
        <v>, CASE WHEN shikkan_disp_name = 'C531' THEN min_shikkan_start_date ::DATE ELSE NULL END AS shikkan260_start_date</v>
      </c>
      <c r="V278" s="25" t="str">
        <f t="shared" si="41"/>
        <v>, max(shikkan260_start_date)</v>
      </c>
      <c r="AA278" s="4"/>
      <c r="AB278" s="4"/>
      <c r="AC278" s="4"/>
      <c r="AD278" s="4"/>
      <c r="AE278" s="4"/>
      <c r="AF278" s="4"/>
      <c r="AG278" s="4"/>
      <c r="AH278" s="4"/>
      <c r="AI278" s="4"/>
      <c r="AJ278" s="76" t="str">
        <f>IF(E278="○",IF(COUNTA(E$13:E278)=1,"",",")&amp;D278,"")</f>
        <v/>
      </c>
      <c r="AK278" s="4"/>
      <c r="AL278" s="4"/>
      <c r="AM278" s="4"/>
      <c r="AN278" s="4"/>
      <c r="AO278" s="4"/>
      <c r="AP278" s="4"/>
      <c r="AQ278" s="4"/>
      <c r="AR278" s="4"/>
      <c r="AS278" s="76" t="str">
        <f>"COMMENT ON COLUMN "&amp;エンティティ一覧!$O$2&amp;"."&amp;D$8&amp;"."&amp;D278&amp;" IS '"&amp;C278&amp;"';"</f>
        <v>COMMENT ON COLUMN milscm_2023_009.sny_202310_annony_bef2.shikkan260_start_date IS 'C531_疾患開始日';</v>
      </c>
    </row>
    <row r="279" spans="1:45" s="25" customFormat="1">
      <c r="A279" s="4" t="s">
        <v>5411</v>
      </c>
      <c r="B279" s="21">
        <f t="shared" si="39"/>
        <v>267</v>
      </c>
      <c r="C279" s="13" t="s">
        <v>6801</v>
      </c>
      <c r="D279" s="13" t="s">
        <v>5029</v>
      </c>
      <c r="E279" s="8"/>
      <c r="F279" s="7" t="s">
        <v>4348</v>
      </c>
      <c r="G279" s="7" t="s">
        <v>25</v>
      </c>
      <c r="H279" s="58"/>
      <c r="I279" s="23"/>
      <c r="J279" s="24"/>
      <c r="M279" s="4"/>
      <c r="N279" s="76"/>
      <c r="O279" s="76"/>
      <c r="P279" s="76" t="str">
        <f t="shared" si="34"/>
        <v>,shikkan261_start_date</v>
      </c>
      <c r="Q279" s="76" t="str">
        <f t="shared" si="35"/>
        <v>DATE</v>
      </c>
      <c r="R279" s="76" t="str">
        <f t="shared" si="36"/>
        <v/>
      </c>
      <c r="S279" s="76" t="str">
        <f t="shared" si="37"/>
        <v/>
      </c>
      <c r="T279" s="76" t="str">
        <f t="shared" si="38"/>
        <v>-- C538_疾患開始日</v>
      </c>
      <c r="U279" s="4" t="str">
        <f t="shared" si="40"/>
        <v>, CASE WHEN shikkan_disp_name = 'C538' THEN min_shikkan_start_date ::DATE ELSE NULL END AS shikkan261_start_date</v>
      </c>
      <c r="V279" s="25" t="str">
        <f t="shared" si="41"/>
        <v>, max(shikkan261_start_date)</v>
      </c>
      <c r="AA279" s="4"/>
      <c r="AB279" s="4"/>
      <c r="AC279" s="4"/>
      <c r="AD279" s="4"/>
      <c r="AE279" s="4"/>
      <c r="AF279" s="4"/>
      <c r="AG279" s="4"/>
      <c r="AH279" s="4"/>
      <c r="AI279" s="4"/>
      <c r="AJ279" s="76" t="str">
        <f>IF(E279="○",IF(COUNTA(E$13:E279)=1,"",",")&amp;D279,"")</f>
        <v/>
      </c>
      <c r="AK279" s="4"/>
      <c r="AL279" s="4"/>
      <c r="AM279" s="4"/>
      <c r="AN279" s="4"/>
      <c r="AO279" s="4"/>
      <c r="AP279" s="4"/>
      <c r="AQ279" s="4"/>
      <c r="AR279" s="4"/>
      <c r="AS279" s="76" t="str">
        <f>"COMMENT ON COLUMN "&amp;エンティティ一覧!$O$2&amp;"."&amp;D$8&amp;"."&amp;D279&amp;" IS '"&amp;C279&amp;"';"</f>
        <v>COMMENT ON COLUMN milscm_2023_009.sny_202310_annony_bef2.shikkan261_start_date IS 'C538_疾患開始日';</v>
      </c>
    </row>
    <row r="280" spans="1:45" s="25" customFormat="1">
      <c r="A280" s="4" t="s">
        <v>5412</v>
      </c>
      <c r="B280" s="21">
        <f t="shared" si="39"/>
        <v>268</v>
      </c>
      <c r="C280" s="13" t="s">
        <v>6802</v>
      </c>
      <c r="D280" s="13" t="s">
        <v>5030</v>
      </c>
      <c r="E280" s="8"/>
      <c r="F280" s="7" t="s">
        <v>4348</v>
      </c>
      <c r="G280" s="7" t="s">
        <v>25</v>
      </c>
      <c r="H280" s="58"/>
      <c r="I280" s="23"/>
      <c r="J280" s="24"/>
      <c r="M280" s="4"/>
      <c r="N280" s="76"/>
      <c r="O280" s="76"/>
      <c r="P280" s="76" t="str">
        <f t="shared" si="34"/>
        <v>,shikkan262_start_date</v>
      </c>
      <c r="Q280" s="76" t="str">
        <f t="shared" si="35"/>
        <v>DATE</v>
      </c>
      <c r="R280" s="76" t="str">
        <f t="shared" si="36"/>
        <v/>
      </c>
      <c r="S280" s="76" t="str">
        <f t="shared" si="37"/>
        <v/>
      </c>
      <c r="T280" s="76" t="str">
        <f t="shared" si="38"/>
        <v>-- C539_疾患開始日</v>
      </c>
      <c r="U280" s="4" t="str">
        <f t="shared" si="40"/>
        <v>, CASE WHEN shikkan_disp_name = 'C539' THEN min_shikkan_start_date ::DATE ELSE NULL END AS shikkan262_start_date</v>
      </c>
      <c r="V280" s="25" t="str">
        <f t="shared" si="41"/>
        <v>, max(shikkan262_start_date)</v>
      </c>
      <c r="AA280" s="4"/>
      <c r="AB280" s="4"/>
      <c r="AC280" s="4"/>
      <c r="AD280" s="4"/>
      <c r="AE280" s="4"/>
      <c r="AF280" s="4"/>
      <c r="AG280" s="4"/>
      <c r="AH280" s="4"/>
      <c r="AI280" s="4"/>
      <c r="AJ280" s="76" t="str">
        <f>IF(E280="○",IF(COUNTA(E$13:E280)=1,"",",")&amp;D280,"")</f>
        <v/>
      </c>
      <c r="AK280" s="4"/>
      <c r="AL280" s="4"/>
      <c r="AM280" s="4"/>
      <c r="AN280" s="4"/>
      <c r="AO280" s="4"/>
      <c r="AP280" s="4"/>
      <c r="AQ280" s="4"/>
      <c r="AR280" s="4"/>
      <c r="AS280" s="76" t="str">
        <f>"COMMENT ON COLUMN "&amp;エンティティ一覧!$O$2&amp;"."&amp;D$8&amp;"."&amp;D280&amp;" IS '"&amp;C280&amp;"';"</f>
        <v>COMMENT ON COLUMN milscm_2023_009.sny_202310_annony_bef2.shikkan262_start_date IS 'C539_疾患開始日';</v>
      </c>
    </row>
    <row r="281" spans="1:45" s="25" customFormat="1">
      <c r="A281" s="4" t="s">
        <v>5413</v>
      </c>
      <c r="B281" s="21">
        <f t="shared" si="39"/>
        <v>269</v>
      </c>
      <c r="C281" s="13" t="s">
        <v>6803</v>
      </c>
      <c r="D281" s="13" t="s">
        <v>5031</v>
      </c>
      <c r="E281" s="8"/>
      <c r="F281" s="7" t="s">
        <v>4348</v>
      </c>
      <c r="G281" s="7" t="s">
        <v>25</v>
      </c>
      <c r="H281" s="58"/>
      <c r="I281" s="23"/>
      <c r="J281" s="24"/>
      <c r="M281" s="4"/>
      <c r="N281" s="76"/>
      <c r="O281" s="76"/>
      <c r="P281" s="76" t="str">
        <f t="shared" si="34"/>
        <v>,shikkan263_start_date</v>
      </c>
      <c r="Q281" s="76" t="str">
        <f t="shared" si="35"/>
        <v>DATE</v>
      </c>
      <c r="R281" s="76" t="str">
        <f t="shared" si="36"/>
        <v/>
      </c>
      <c r="S281" s="76" t="str">
        <f t="shared" si="37"/>
        <v/>
      </c>
      <c r="T281" s="76" t="str">
        <f t="shared" si="38"/>
        <v>-- C540_疾患開始日</v>
      </c>
      <c r="U281" s="4" t="str">
        <f t="shared" si="40"/>
        <v>, CASE WHEN shikkan_disp_name = 'C540' THEN min_shikkan_start_date ::DATE ELSE NULL END AS shikkan263_start_date</v>
      </c>
      <c r="V281" s="25" t="str">
        <f t="shared" si="41"/>
        <v>, max(shikkan263_start_date)</v>
      </c>
      <c r="AA281" s="4"/>
      <c r="AB281" s="4"/>
      <c r="AC281" s="4"/>
      <c r="AD281" s="4"/>
      <c r="AE281" s="4"/>
      <c r="AF281" s="4"/>
      <c r="AG281" s="4"/>
      <c r="AH281" s="4"/>
      <c r="AI281" s="4"/>
      <c r="AJ281" s="76" t="str">
        <f>IF(E281="○",IF(COUNTA(E$13:E281)=1,"",",")&amp;D281,"")</f>
        <v/>
      </c>
      <c r="AK281" s="4"/>
      <c r="AL281" s="4"/>
      <c r="AM281" s="4"/>
      <c r="AN281" s="4"/>
      <c r="AO281" s="4"/>
      <c r="AP281" s="4"/>
      <c r="AQ281" s="4"/>
      <c r="AR281" s="4"/>
      <c r="AS281" s="76" t="str">
        <f>"COMMENT ON COLUMN "&amp;エンティティ一覧!$O$2&amp;"."&amp;D$8&amp;"."&amp;D281&amp;" IS '"&amp;C281&amp;"';"</f>
        <v>COMMENT ON COLUMN milscm_2023_009.sny_202310_annony_bef2.shikkan263_start_date IS 'C540_疾患開始日';</v>
      </c>
    </row>
    <row r="282" spans="1:45" s="25" customFormat="1">
      <c r="A282" s="4" t="s">
        <v>5414</v>
      </c>
      <c r="B282" s="21">
        <f t="shared" si="39"/>
        <v>270</v>
      </c>
      <c r="C282" s="13" t="s">
        <v>6804</v>
      </c>
      <c r="D282" s="13" t="s">
        <v>5032</v>
      </c>
      <c r="E282" s="8"/>
      <c r="F282" s="7" t="s">
        <v>4348</v>
      </c>
      <c r="G282" s="7" t="s">
        <v>25</v>
      </c>
      <c r="H282" s="58"/>
      <c r="I282" s="23"/>
      <c r="J282" s="24"/>
      <c r="M282" s="4"/>
      <c r="N282" s="76"/>
      <c r="O282" s="76"/>
      <c r="P282" s="76" t="str">
        <f t="shared" si="34"/>
        <v>,shikkan264_start_date</v>
      </c>
      <c r="Q282" s="76" t="str">
        <f t="shared" si="35"/>
        <v>DATE</v>
      </c>
      <c r="R282" s="76" t="str">
        <f t="shared" si="36"/>
        <v/>
      </c>
      <c r="S282" s="76" t="str">
        <f t="shared" si="37"/>
        <v/>
      </c>
      <c r="T282" s="76" t="str">
        <f t="shared" si="38"/>
        <v>-- C541_疾患開始日</v>
      </c>
      <c r="U282" s="4" t="str">
        <f t="shared" si="40"/>
        <v>, CASE WHEN shikkan_disp_name = 'C541' THEN min_shikkan_start_date ::DATE ELSE NULL END AS shikkan264_start_date</v>
      </c>
      <c r="V282" s="25" t="str">
        <f t="shared" si="41"/>
        <v>, max(shikkan264_start_date)</v>
      </c>
      <c r="AA282" s="4"/>
      <c r="AB282" s="4"/>
      <c r="AC282" s="4"/>
      <c r="AD282" s="4"/>
      <c r="AE282" s="4"/>
      <c r="AF282" s="4"/>
      <c r="AG282" s="4"/>
      <c r="AH282" s="4"/>
      <c r="AI282" s="4"/>
      <c r="AJ282" s="76" t="str">
        <f>IF(E282="○",IF(COUNTA(E$13:E282)=1,"",",")&amp;D282,"")</f>
        <v/>
      </c>
      <c r="AK282" s="4"/>
      <c r="AL282" s="4"/>
      <c r="AM282" s="4"/>
      <c r="AN282" s="4"/>
      <c r="AO282" s="4"/>
      <c r="AP282" s="4"/>
      <c r="AQ282" s="4"/>
      <c r="AR282" s="4"/>
      <c r="AS282" s="76" t="str">
        <f>"COMMENT ON COLUMN "&amp;エンティティ一覧!$O$2&amp;"."&amp;D$8&amp;"."&amp;D282&amp;" IS '"&amp;C282&amp;"';"</f>
        <v>COMMENT ON COLUMN milscm_2023_009.sny_202310_annony_bef2.shikkan264_start_date IS 'C541_疾患開始日';</v>
      </c>
    </row>
    <row r="283" spans="1:45" s="25" customFormat="1">
      <c r="A283" s="4" t="s">
        <v>5415</v>
      </c>
      <c r="B283" s="21">
        <f t="shared" si="39"/>
        <v>271</v>
      </c>
      <c r="C283" s="13" t="s">
        <v>6805</v>
      </c>
      <c r="D283" s="13" t="s">
        <v>5033</v>
      </c>
      <c r="E283" s="8"/>
      <c r="F283" s="7" t="s">
        <v>4348</v>
      </c>
      <c r="G283" s="7" t="s">
        <v>25</v>
      </c>
      <c r="H283" s="58"/>
      <c r="I283" s="23"/>
      <c r="J283" s="24"/>
      <c r="M283" s="4"/>
      <c r="N283" s="76"/>
      <c r="O283" s="76"/>
      <c r="P283" s="76" t="str">
        <f t="shared" si="34"/>
        <v>,shikkan265_start_date</v>
      </c>
      <c r="Q283" s="76" t="str">
        <f t="shared" si="35"/>
        <v>DATE</v>
      </c>
      <c r="R283" s="76" t="str">
        <f t="shared" si="36"/>
        <v/>
      </c>
      <c r="S283" s="76" t="str">
        <f t="shared" si="37"/>
        <v/>
      </c>
      <c r="T283" s="76" t="str">
        <f t="shared" si="38"/>
        <v>-- C542_疾患開始日</v>
      </c>
      <c r="U283" s="4" t="str">
        <f t="shared" si="40"/>
        <v>, CASE WHEN shikkan_disp_name = 'C542' THEN min_shikkan_start_date ::DATE ELSE NULL END AS shikkan265_start_date</v>
      </c>
      <c r="V283" s="25" t="str">
        <f t="shared" si="41"/>
        <v>, max(shikkan265_start_date)</v>
      </c>
      <c r="AA283" s="4"/>
      <c r="AB283" s="4"/>
      <c r="AC283" s="4"/>
      <c r="AD283" s="4"/>
      <c r="AE283" s="4"/>
      <c r="AF283" s="4"/>
      <c r="AG283" s="4"/>
      <c r="AH283" s="4"/>
      <c r="AI283" s="4"/>
      <c r="AJ283" s="76" t="str">
        <f>IF(E283="○",IF(COUNTA(E$13:E283)=1,"",",")&amp;D283,"")</f>
        <v/>
      </c>
      <c r="AK283" s="4"/>
      <c r="AL283" s="4"/>
      <c r="AM283" s="4"/>
      <c r="AN283" s="4"/>
      <c r="AO283" s="4"/>
      <c r="AP283" s="4"/>
      <c r="AQ283" s="4"/>
      <c r="AR283" s="4"/>
      <c r="AS283" s="76" t="str">
        <f>"COMMENT ON COLUMN "&amp;エンティティ一覧!$O$2&amp;"."&amp;D$8&amp;"."&amp;D283&amp;" IS '"&amp;C283&amp;"';"</f>
        <v>COMMENT ON COLUMN milscm_2023_009.sny_202310_annony_bef2.shikkan265_start_date IS 'C542_疾患開始日';</v>
      </c>
    </row>
    <row r="284" spans="1:45" s="25" customFormat="1">
      <c r="A284" s="4" t="s">
        <v>5416</v>
      </c>
      <c r="B284" s="21">
        <f t="shared" si="39"/>
        <v>272</v>
      </c>
      <c r="C284" s="13" t="s">
        <v>6806</v>
      </c>
      <c r="D284" s="13" t="s">
        <v>5034</v>
      </c>
      <c r="E284" s="8"/>
      <c r="F284" s="7" t="s">
        <v>4348</v>
      </c>
      <c r="G284" s="7" t="s">
        <v>25</v>
      </c>
      <c r="H284" s="58"/>
      <c r="I284" s="23"/>
      <c r="J284" s="24"/>
      <c r="M284" s="4"/>
      <c r="N284" s="76"/>
      <c r="O284" s="76"/>
      <c r="P284" s="76" t="str">
        <f t="shared" si="34"/>
        <v>,shikkan266_start_date</v>
      </c>
      <c r="Q284" s="76" t="str">
        <f t="shared" si="35"/>
        <v>DATE</v>
      </c>
      <c r="R284" s="76" t="str">
        <f t="shared" si="36"/>
        <v/>
      </c>
      <c r="S284" s="76" t="str">
        <f t="shared" si="37"/>
        <v/>
      </c>
      <c r="T284" s="76" t="str">
        <f t="shared" si="38"/>
        <v>-- C543_疾患開始日</v>
      </c>
      <c r="U284" s="4" t="str">
        <f t="shared" si="40"/>
        <v>, CASE WHEN shikkan_disp_name = 'C543' THEN min_shikkan_start_date ::DATE ELSE NULL END AS shikkan266_start_date</v>
      </c>
      <c r="V284" s="25" t="str">
        <f t="shared" si="41"/>
        <v>, max(shikkan266_start_date)</v>
      </c>
      <c r="AA284" s="4"/>
      <c r="AB284" s="4"/>
      <c r="AC284" s="4"/>
      <c r="AD284" s="4"/>
      <c r="AE284" s="4"/>
      <c r="AF284" s="4"/>
      <c r="AG284" s="4"/>
      <c r="AH284" s="4"/>
      <c r="AI284" s="4"/>
      <c r="AJ284" s="76" t="str">
        <f>IF(E284="○",IF(COUNTA(E$13:E284)=1,"",",")&amp;D284,"")</f>
        <v/>
      </c>
      <c r="AK284" s="4"/>
      <c r="AL284" s="4"/>
      <c r="AM284" s="4"/>
      <c r="AN284" s="4"/>
      <c r="AO284" s="4"/>
      <c r="AP284" s="4"/>
      <c r="AQ284" s="4"/>
      <c r="AR284" s="4"/>
      <c r="AS284" s="76" t="str">
        <f>"COMMENT ON COLUMN "&amp;エンティティ一覧!$O$2&amp;"."&amp;D$8&amp;"."&amp;D284&amp;" IS '"&amp;C284&amp;"';"</f>
        <v>COMMENT ON COLUMN milscm_2023_009.sny_202310_annony_bef2.shikkan266_start_date IS 'C543_疾患開始日';</v>
      </c>
    </row>
    <row r="285" spans="1:45" s="25" customFormat="1">
      <c r="A285" s="4" t="s">
        <v>5417</v>
      </c>
      <c r="B285" s="21">
        <f t="shared" si="39"/>
        <v>273</v>
      </c>
      <c r="C285" s="13" t="s">
        <v>6807</v>
      </c>
      <c r="D285" s="13" t="s">
        <v>5035</v>
      </c>
      <c r="E285" s="8"/>
      <c r="F285" s="7" t="s">
        <v>4348</v>
      </c>
      <c r="G285" s="7" t="s">
        <v>25</v>
      </c>
      <c r="H285" s="58"/>
      <c r="I285" s="23"/>
      <c r="J285" s="24"/>
      <c r="M285" s="4"/>
      <c r="N285" s="76"/>
      <c r="O285" s="76"/>
      <c r="P285" s="76" t="str">
        <f t="shared" si="34"/>
        <v>,shikkan267_start_date</v>
      </c>
      <c r="Q285" s="76" t="str">
        <f t="shared" si="35"/>
        <v>DATE</v>
      </c>
      <c r="R285" s="76" t="str">
        <f t="shared" si="36"/>
        <v/>
      </c>
      <c r="S285" s="76" t="str">
        <f t="shared" si="37"/>
        <v/>
      </c>
      <c r="T285" s="76" t="str">
        <f t="shared" si="38"/>
        <v>-- C548_疾患開始日</v>
      </c>
      <c r="U285" s="4" t="str">
        <f t="shared" si="40"/>
        <v>, CASE WHEN shikkan_disp_name = 'C548' THEN min_shikkan_start_date ::DATE ELSE NULL END AS shikkan267_start_date</v>
      </c>
      <c r="V285" s="25" t="str">
        <f t="shared" si="41"/>
        <v>, max(shikkan267_start_date)</v>
      </c>
      <c r="AA285" s="4"/>
      <c r="AB285" s="4"/>
      <c r="AC285" s="4"/>
      <c r="AD285" s="4"/>
      <c r="AE285" s="4"/>
      <c r="AF285" s="4"/>
      <c r="AG285" s="4"/>
      <c r="AH285" s="4"/>
      <c r="AI285" s="4"/>
      <c r="AJ285" s="76" t="str">
        <f>IF(E285="○",IF(COUNTA(E$13:E285)=1,"",",")&amp;D285,"")</f>
        <v/>
      </c>
      <c r="AK285" s="4"/>
      <c r="AL285" s="4"/>
      <c r="AM285" s="4"/>
      <c r="AN285" s="4"/>
      <c r="AO285" s="4"/>
      <c r="AP285" s="4"/>
      <c r="AQ285" s="4"/>
      <c r="AR285" s="4"/>
      <c r="AS285" s="76" t="str">
        <f>"COMMENT ON COLUMN "&amp;エンティティ一覧!$O$2&amp;"."&amp;D$8&amp;"."&amp;D285&amp;" IS '"&amp;C285&amp;"';"</f>
        <v>COMMENT ON COLUMN milscm_2023_009.sny_202310_annony_bef2.shikkan267_start_date IS 'C548_疾患開始日';</v>
      </c>
    </row>
    <row r="286" spans="1:45" s="25" customFormat="1">
      <c r="A286" s="4" t="s">
        <v>5418</v>
      </c>
      <c r="B286" s="21">
        <f t="shared" si="39"/>
        <v>274</v>
      </c>
      <c r="C286" s="13" t="s">
        <v>6808</v>
      </c>
      <c r="D286" s="13" t="s">
        <v>5036</v>
      </c>
      <c r="E286" s="8"/>
      <c r="F286" s="7" t="s">
        <v>4348</v>
      </c>
      <c r="G286" s="7" t="s">
        <v>25</v>
      </c>
      <c r="H286" s="58"/>
      <c r="I286" s="23"/>
      <c r="J286" s="24"/>
      <c r="M286" s="4"/>
      <c r="N286" s="76"/>
      <c r="O286" s="76"/>
      <c r="P286" s="76" t="str">
        <f t="shared" si="34"/>
        <v>,shikkan268_start_date</v>
      </c>
      <c r="Q286" s="76" t="str">
        <f t="shared" si="35"/>
        <v>DATE</v>
      </c>
      <c r="R286" s="76" t="str">
        <f t="shared" si="36"/>
        <v/>
      </c>
      <c r="S286" s="76" t="str">
        <f t="shared" si="37"/>
        <v/>
      </c>
      <c r="T286" s="76" t="str">
        <f t="shared" si="38"/>
        <v>-- C549_疾患開始日</v>
      </c>
      <c r="U286" s="4" t="str">
        <f t="shared" si="40"/>
        <v>, CASE WHEN shikkan_disp_name = 'C549' THEN min_shikkan_start_date ::DATE ELSE NULL END AS shikkan268_start_date</v>
      </c>
      <c r="V286" s="25" t="str">
        <f t="shared" si="41"/>
        <v>, max(shikkan268_start_date)</v>
      </c>
      <c r="AA286" s="4"/>
      <c r="AB286" s="4"/>
      <c r="AC286" s="4"/>
      <c r="AD286" s="4"/>
      <c r="AE286" s="4"/>
      <c r="AF286" s="4"/>
      <c r="AG286" s="4"/>
      <c r="AH286" s="4"/>
      <c r="AI286" s="4"/>
      <c r="AJ286" s="76" t="str">
        <f>IF(E286="○",IF(COUNTA(E$13:E286)=1,"",",")&amp;D286,"")</f>
        <v/>
      </c>
      <c r="AK286" s="4"/>
      <c r="AL286" s="4"/>
      <c r="AM286" s="4"/>
      <c r="AN286" s="4"/>
      <c r="AO286" s="4"/>
      <c r="AP286" s="4"/>
      <c r="AQ286" s="4"/>
      <c r="AR286" s="4"/>
      <c r="AS286" s="76" t="str">
        <f>"COMMENT ON COLUMN "&amp;エンティティ一覧!$O$2&amp;"."&amp;D$8&amp;"."&amp;D286&amp;" IS '"&amp;C286&amp;"';"</f>
        <v>COMMENT ON COLUMN milscm_2023_009.sny_202310_annony_bef2.shikkan268_start_date IS 'C549_疾患開始日';</v>
      </c>
    </row>
    <row r="287" spans="1:45" s="25" customFormat="1">
      <c r="A287" s="4" t="s">
        <v>5149</v>
      </c>
      <c r="B287" s="21">
        <f t="shared" si="39"/>
        <v>275</v>
      </c>
      <c r="C287" s="13" t="s">
        <v>4759</v>
      </c>
      <c r="D287" s="13" t="s">
        <v>5037</v>
      </c>
      <c r="E287" s="8"/>
      <c r="F287" s="7" t="s">
        <v>4348</v>
      </c>
      <c r="G287" s="7" t="s">
        <v>25</v>
      </c>
      <c r="H287" s="58"/>
      <c r="I287" s="23"/>
      <c r="J287" s="24"/>
      <c r="M287" s="4"/>
      <c r="N287" s="76"/>
      <c r="O287" s="76"/>
      <c r="P287" s="76" t="str">
        <f t="shared" si="34"/>
        <v>,shikkan269_start_date</v>
      </c>
      <c r="Q287" s="76" t="str">
        <f t="shared" si="35"/>
        <v>DATE</v>
      </c>
      <c r="R287" s="76" t="str">
        <f t="shared" si="36"/>
        <v/>
      </c>
      <c r="S287" s="76" t="str">
        <f t="shared" si="37"/>
        <v/>
      </c>
      <c r="T287" s="76" t="str">
        <f t="shared" si="38"/>
        <v>-- C55_疾患開始日</v>
      </c>
      <c r="U287" s="4" t="str">
        <f t="shared" si="40"/>
        <v>, CASE WHEN shikkan_disp_name = 'C55' THEN min_shikkan_start_date ::DATE ELSE NULL END AS shikkan269_start_date</v>
      </c>
      <c r="V287" s="25" t="str">
        <f t="shared" si="41"/>
        <v>, max(shikkan269_start_date)</v>
      </c>
      <c r="AA287" s="4"/>
      <c r="AB287" s="4"/>
      <c r="AC287" s="4"/>
      <c r="AD287" s="4"/>
      <c r="AE287" s="4"/>
      <c r="AF287" s="4"/>
      <c r="AG287" s="4"/>
      <c r="AH287" s="4"/>
      <c r="AI287" s="4"/>
      <c r="AJ287" s="76" t="str">
        <f>IF(E287="○",IF(COUNTA(E$13:E287)=1,"",",")&amp;D287,"")</f>
        <v/>
      </c>
      <c r="AK287" s="4"/>
      <c r="AL287" s="4"/>
      <c r="AM287" s="4"/>
      <c r="AN287" s="4"/>
      <c r="AO287" s="4"/>
      <c r="AP287" s="4"/>
      <c r="AQ287" s="4"/>
      <c r="AR287" s="4"/>
      <c r="AS287" s="76" t="str">
        <f>"COMMENT ON COLUMN "&amp;エンティティ一覧!$O$2&amp;"."&amp;D$8&amp;"."&amp;D287&amp;" IS '"&amp;C287&amp;"';"</f>
        <v>COMMENT ON COLUMN milscm_2023_009.sny_202310_annony_bef2.shikkan269_start_date IS 'C55_疾患開始日';</v>
      </c>
    </row>
    <row r="288" spans="1:45" s="25" customFormat="1">
      <c r="A288" s="4" t="s">
        <v>5150</v>
      </c>
      <c r="B288" s="21">
        <f t="shared" si="39"/>
        <v>276</v>
      </c>
      <c r="C288" s="13" t="s">
        <v>4760</v>
      </c>
      <c r="D288" s="13" t="s">
        <v>5038</v>
      </c>
      <c r="E288" s="8"/>
      <c r="F288" s="7" t="s">
        <v>4348</v>
      </c>
      <c r="G288" s="7" t="s">
        <v>25</v>
      </c>
      <c r="H288" s="58"/>
      <c r="I288" s="23"/>
      <c r="J288" s="24"/>
      <c r="M288" s="4"/>
      <c r="N288" s="76"/>
      <c r="O288" s="76"/>
      <c r="P288" s="76" t="str">
        <f t="shared" si="34"/>
        <v>,shikkan270_start_date</v>
      </c>
      <c r="Q288" s="76" t="str">
        <f t="shared" si="35"/>
        <v>DATE</v>
      </c>
      <c r="R288" s="76" t="str">
        <f t="shared" si="36"/>
        <v/>
      </c>
      <c r="S288" s="76" t="str">
        <f t="shared" si="37"/>
        <v/>
      </c>
      <c r="T288" s="76" t="str">
        <f t="shared" si="38"/>
        <v>-- C56_疾患開始日</v>
      </c>
      <c r="U288" s="4" t="str">
        <f t="shared" si="40"/>
        <v>, CASE WHEN shikkan_disp_name = 'C56' THEN min_shikkan_start_date ::DATE ELSE NULL END AS shikkan270_start_date</v>
      </c>
      <c r="V288" s="25" t="str">
        <f t="shared" si="41"/>
        <v>, max(shikkan270_start_date)</v>
      </c>
      <c r="AA288" s="4"/>
      <c r="AB288" s="4"/>
      <c r="AC288" s="4"/>
      <c r="AD288" s="4"/>
      <c r="AE288" s="4"/>
      <c r="AF288" s="4"/>
      <c r="AG288" s="4"/>
      <c r="AH288" s="4"/>
      <c r="AI288" s="4"/>
      <c r="AJ288" s="76" t="str">
        <f>IF(E288="○",IF(COUNTA(E$13:E288)=1,"",",")&amp;D288,"")</f>
        <v/>
      </c>
      <c r="AK288" s="4"/>
      <c r="AL288" s="4"/>
      <c r="AM288" s="4"/>
      <c r="AN288" s="4"/>
      <c r="AO288" s="4"/>
      <c r="AP288" s="4"/>
      <c r="AQ288" s="4"/>
      <c r="AR288" s="4"/>
      <c r="AS288" s="76" t="str">
        <f>"COMMENT ON COLUMN "&amp;エンティティ一覧!$O$2&amp;"."&amp;D$8&amp;"."&amp;D288&amp;" IS '"&amp;C288&amp;"';"</f>
        <v>COMMENT ON COLUMN milscm_2023_009.sny_202310_annony_bef2.shikkan270_start_date IS 'C56_疾患開始日';</v>
      </c>
    </row>
    <row r="289" spans="1:45" s="25" customFormat="1">
      <c r="A289" s="4" t="s">
        <v>5419</v>
      </c>
      <c r="B289" s="21">
        <f t="shared" si="39"/>
        <v>277</v>
      </c>
      <c r="C289" s="13" t="s">
        <v>6809</v>
      </c>
      <c r="D289" s="13" t="s">
        <v>5039</v>
      </c>
      <c r="E289" s="8"/>
      <c r="F289" s="7" t="s">
        <v>4348</v>
      </c>
      <c r="G289" s="7" t="s">
        <v>25</v>
      </c>
      <c r="H289" s="58"/>
      <c r="I289" s="23"/>
      <c r="J289" s="24"/>
      <c r="M289" s="4"/>
      <c r="N289" s="76"/>
      <c r="O289" s="76"/>
      <c r="P289" s="76" t="str">
        <f t="shared" si="34"/>
        <v>,shikkan271_start_date</v>
      </c>
      <c r="Q289" s="76" t="str">
        <f t="shared" si="35"/>
        <v>DATE</v>
      </c>
      <c r="R289" s="76" t="str">
        <f t="shared" si="36"/>
        <v/>
      </c>
      <c r="S289" s="76" t="str">
        <f t="shared" si="37"/>
        <v/>
      </c>
      <c r="T289" s="76" t="str">
        <f t="shared" si="38"/>
        <v>-- C570_疾患開始日</v>
      </c>
      <c r="U289" s="4" t="str">
        <f t="shared" si="40"/>
        <v>, CASE WHEN shikkan_disp_name = 'C570' THEN min_shikkan_start_date ::DATE ELSE NULL END AS shikkan271_start_date</v>
      </c>
      <c r="V289" s="25" t="str">
        <f t="shared" si="41"/>
        <v>, max(shikkan271_start_date)</v>
      </c>
      <c r="AA289" s="4"/>
      <c r="AB289" s="4"/>
      <c r="AC289" s="4"/>
      <c r="AD289" s="4"/>
      <c r="AE289" s="4"/>
      <c r="AF289" s="4"/>
      <c r="AG289" s="4"/>
      <c r="AH289" s="4"/>
      <c r="AI289" s="4"/>
      <c r="AJ289" s="76" t="str">
        <f>IF(E289="○",IF(COUNTA(E$13:E289)=1,"",",")&amp;D289,"")</f>
        <v/>
      </c>
      <c r="AK289" s="4"/>
      <c r="AL289" s="4"/>
      <c r="AM289" s="4"/>
      <c r="AN289" s="4"/>
      <c r="AO289" s="4"/>
      <c r="AP289" s="4"/>
      <c r="AQ289" s="4"/>
      <c r="AR289" s="4"/>
      <c r="AS289" s="76" t="str">
        <f>"COMMENT ON COLUMN "&amp;エンティティ一覧!$O$2&amp;"."&amp;D$8&amp;"."&amp;D289&amp;" IS '"&amp;C289&amp;"';"</f>
        <v>COMMENT ON COLUMN milscm_2023_009.sny_202310_annony_bef2.shikkan271_start_date IS 'C570_疾患開始日';</v>
      </c>
    </row>
    <row r="290" spans="1:45" s="25" customFormat="1">
      <c r="A290" s="4" t="s">
        <v>5420</v>
      </c>
      <c r="B290" s="21">
        <f t="shared" si="39"/>
        <v>278</v>
      </c>
      <c r="C290" s="13" t="s">
        <v>6810</v>
      </c>
      <c r="D290" s="13" t="s">
        <v>5040</v>
      </c>
      <c r="E290" s="8"/>
      <c r="F290" s="7" t="s">
        <v>4348</v>
      </c>
      <c r="G290" s="7" t="s">
        <v>25</v>
      </c>
      <c r="H290" s="58"/>
      <c r="I290" s="23"/>
      <c r="J290" s="24"/>
      <c r="M290" s="4"/>
      <c r="N290" s="76"/>
      <c r="O290" s="76"/>
      <c r="P290" s="76" t="str">
        <f t="shared" si="34"/>
        <v>,shikkan272_start_date</v>
      </c>
      <c r="Q290" s="76" t="str">
        <f t="shared" si="35"/>
        <v>DATE</v>
      </c>
      <c r="R290" s="76" t="str">
        <f t="shared" si="36"/>
        <v/>
      </c>
      <c r="S290" s="76" t="str">
        <f t="shared" si="37"/>
        <v/>
      </c>
      <c r="T290" s="76" t="str">
        <f t="shared" si="38"/>
        <v>-- C571_疾患開始日</v>
      </c>
      <c r="U290" s="4" t="str">
        <f t="shared" si="40"/>
        <v>, CASE WHEN shikkan_disp_name = 'C571' THEN min_shikkan_start_date ::DATE ELSE NULL END AS shikkan272_start_date</v>
      </c>
      <c r="V290" s="25" t="str">
        <f t="shared" si="41"/>
        <v>, max(shikkan272_start_date)</v>
      </c>
      <c r="AA290" s="4"/>
      <c r="AB290" s="4"/>
      <c r="AC290" s="4"/>
      <c r="AD290" s="4"/>
      <c r="AE290" s="4"/>
      <c r="AF290" s="4"/>
      <c r="AG290" s="4"/>
      <c r="AH290" s="4"/>
      <c r="AI290" s="4"/>
      <c r="AJ290" s="76" t="str">
        <f>IF(E290="○",IF(COUNTA(E$13:E290)=1,"",",")&amp;D290,"")</f>
        <v/>
      </c>
      <c r="AK290" s="4"/>
      <c r="AL290" s="4"/>
      <c r="AM290" s="4"/>
      <c r="AN290" s="4"/>
      <c r="AO290" s="4"/>
      <c r="AP290" s="4"/>
      <c r="AQ290" s="4"/>
      <c r="AR290" s="4"/>
      <c r="AS290" s="76" t="str">
        <f>"COMMENT ON COLUMN "&amp;エンティティ一覧!$O$2&amp;"."&amp;D$8&amp;"."&amp;D290&amp;" IS '"&amp;C290&amp;"';"</f>
        <v>COMMENT ON COLUMN milscm_2023_009.sny_202310_annony_bef2.shikkan272_start_date IS 'C571_疾患開始日';</v>
      </c>
    </row>
    <row r="291" spans="1:45" s="25" customFormat="1">
      <c r="A291" s="4" t="s">
        <v>5421</v>
      </c>
      <c r="B291" s="21">
        <f t="shared" si="39"/>
        <v>279</v>
      </c>
      <c r="C291" s="13" t="s">
        <v>6811</v>
      </c>
      <c r="D291" s="13" t="s">
        <v>5041</v>
      </c>
      <c r="E291" s="8"/>
      <c r="F291" s="7" t="s">
        <v>4348</v>
      </c>
      <c r="G291" s="7" t="s">
        <v>25</v>
      </c>
      <c r="H291" s="58"/>
      <c r="I291" s="23"/>
      <c r="J291" s="24"/>
      <c r="M291" s="4"/>
      <c r="N291" s="76"/>
      <c r="O291" s="76"/>
      <c r="P291" s="76" t="str">
        <f t="shared" si="34"/>
        <v>,shikkan273_start_date</v>
      </c>
      <c r="Q291" s="76" t="str">
        <f t="shared" si="35"/>
        <v>DATE</v>
      </c>
      <c r="R291" s="76" t="str">
        <f t="shared" si="36"/>
        <v/>
      </c>
      <c r="S291" s="76" t="str">
        <f t="shared" si="37"/>
        <v/>
      </c>
      <c r="T291" s="76" t="str">
        <f t="shared" si="38"/>
        <v>-- C572_疾患開始日</v>
      </c>
      <c r="U291" s="4" t="str">
        <f t="shared" si="40"/>
        <v>, CASE WHEN shikkan_disp_name = 'C572' THEN min_shikkan_start_date ::DATE ELSE NULL END AS shikkan273_start_date</v>
      </c>
      <c r="V291" s="25" t="str">
        <f t="shared" si="41"/>
        <v>, max(shikkan273_start_date)</v>
      </c>
      <c r="AA291" s="4"/>
      <c r="AB291" s="4"/>
      <c r="AC291" s="4"/>
      <c r="AD291" s="4"/>
      <c r="AE291" s="4"/>
      <c r="AF291" s="4"/>
      <c r="AG291" s="4"/>
      <c r="AH291" s="4"/>
      <c r="AI291" s="4"/>
      <c r="AJ291" s="76" t="str">
        <f>IF(E291="○",IF(COUNTA(E$13:E291)=1,"",",")&amp;D291,"")</f>
        <v/>
      </c>
      <c r="AK291" s="4"/>
      <c r="AL291" s="4"/>
      <c r="AM291" s="4"/>
      <c r="AN291" s="4"/>
      <c r="AO291" s="4"/>
      <c r="AP291" s="4"/>
      <c r="AQ291" s="4"/>
      <c r="AR291" s="4"/>
      <c r="AS291" s="76" t="str">
        <f>"COMMENT ON COLUMN "&amp;エンティティ一覧!$O$2&amp;"."&amp;D$8&amp;"."&amp;D291&amp;" IS '"&amp;C291&amp;"';"</f>
        <v>COMMENT ON COLUMN milscm_2023_009.sny_202310_annony_bef2.shikkan273_start_date IS 'C572_疾患開始日';</v>
      </c>
    </row>
    <row r="292" spans="1:45" s="25" customFormat="1">
      <c r="A292" s="4" t="s">
        <v>5422</v>
      </c>
      <c r="B292" s="21">
        <f t="shared" si="39"/>
        <v>280</v>
      </c>
      <c r="C292" s="13" t="s">
        <v>6812</v>
      </c>
      <c r="D292" s="13" t="s">
        <v>5042</v>
      </c>
      <c r="E292" s="8"/>
      <c r="F292" s="7" t="s">
        <v>4348</v>
      </c>
      <c r="G292" s="7" t="s">
        <v>25</v>
      </c>
      <c r="H292" s="58"/>
      <c r="I292" s="23"/>
      <c r="J292" s="24"/>
      <c r="M292" s="4"/>
      <c r="N292" s="76"/>
      <c r="O292" s="76"/>
      <c r="P292" s="76" t="str">
        <f t="shared" ref="P292:P355" si="42">IF(B292&lt;&gt;1,","&amp;D292,D292)</f>
        <v>,shikkan274_start_date</v>
      </c>
      <c r="Q292" s="76" t="str">
        <f t="shared" ref="Q292:Q355" si="43">UPPER(G292)</f>
        <v>DATE</v>
      </c>
      <c r="R292" s="76" t="str">
        <f t="shared" ref="R292:R355" si="44">IF(H292&lt;&gt;"","default "&amp;IF(G292="text","'"&amp;H292&amp;"'",H292),"")</f>
        <v/>
      </c>
      <c r="S292" s="76" t="str">
        <f t="shared" ref="S292:S355" si="45">IF(I292="○","NOT NULL","")</f>
        <v/>
      </c>
      <c r="T292" s="76" t="str">
        <f t="shared" ref="T292:T355" si="46">"-- "&amp;C292</f>
        <v>-- C573_疾患開始日</v>
      </c>
      <c r="U292" s="4" t="str">
        <f t="shared" si="40"/>
        <v>, CASE WHEN shikkan_disp_name = 'C573' THEN min_shikkan_start_date ::DATE ELSE NULL END AS shikkan274_start_date</v>
      </c>
      <c r="V292" s="25" t="str">
        <f t="shared" si="41"/>
        <v>, max(shikkan274_start_date)</v>
      </c>
      <c r="AA292" s="4"/>
      <c r="AB292" s="4"/>
      <c r="AC292" s="4"/>
      <c r="AD292" s="4"/>
      <c r="AE292" s="4"/>
      <c r="AF292" s="4"/>
      <c r="AG292" s="4"/>
      <c r="AH292" s="4"/>
      <c r="AI292" s="4"/>
      <c r="AJ292" s="76" t="str">
        <f>IF(E292="○",IF(COUNTA(E$13:E292)=1,"",",")&amp;D292,"")</f>
        <v/>
      </c>
      <c r="AK292" s="4"/>
      <c r="AL292" s="4"/>
      <c r="AM292" s="4"/>
      <c r="AN292" s="4"/>
      <c r="AO292" s="4"/>
      <c r="AP292" s="4"/>
      <c r="AQ292" s="4"/>
      <c r="AR292" s="4"/>
      <c r="AS292" s="76" t="str">
        <f>"COMMENT ON COLUMN "&amp;エンティティ一覧!$O$2&amp;"."&amp;D$8&amp;"."&amp;D292&amp;" IS '"&amp;C292&amp;"';"</f>
        <v>COMMENT ON COLUMN milscm_2023_009.sny_202310_annony_bef2.shikkan274_start_date IS 'C573_疾患開始日';</v>
      </c>
    </row>
    <row r="293" spans="1:45" s="25" customFormat="1">
      <c r="A293" s="4" t="s">
        <v>5423</v>
      </c>
      <c r="B293" s="21">
        <f t="shared" si="39"/>
        <v>281</v>
      </c>
      <c r="C293" s="13" t="s">
        <v>6813</v>
      </c>
      <c r="D293" s="13" t="s">
        <v>5043</v>
      </c>
      <c r="E293" s="8"/>
      <c r="F293" s="7" t="s">
        <v>4348</v>
      </c>
      <c r="G293" s="7" t="s">
        <v>25</v>
      </c>
      <c r="H293" s="58"/>
      <c r="I293" s="23"/>
      <c r="J293" s="24"/>
      <c r="M293" s="4"/>
      <c r="N293" s="76"/>
      <c r="O293" s="76"/>
      <c r="P293" s="76" t="str">
        <f t="shared" si="42"/>
        <v>,shikkan275_start_date</v>
      </c>
      <c r="Q293" s="76" t="str">
        <f t="shared" si="43"/>
        <v>DATE</v>
      </c>
      <c r="R293" s="76" t="str">
        <f t="shared" si="44"/>
        <v/>
      </c>
      <c r="S293" s="76" t="str">
        <f t="shared" si="45"/>
        <v/>
      </c>
      <c r="T293" s="76" t="str">
        <f t="shared" si="46"/>
        <v>-- C574_疾患開始日</v>
      </c>
      <c r="U293" s="4" t="str">
        <f t="shared" si="40"/>
        <v>, CASE WHEN shikkan_disp_name = 'C574' THEN min_shikkan_start_date ::DATE ELSE NULL END AS shikkan275_start_date</v>
      </c>
      <c r="V293" s="25" t="str">
        <f t="shared" si="41"/>
        <v>, max(shikkan275_start_date)</v>
      </c>
      <c r="AA293" s="4"/>
      <c r="AB293" s="4"/>
      <c r="AC293" s="4"/>
      <c r="AD293" s="4"/>
      <c r="AE293" s="4"/>
      <c r="AF293" s="4"/>
      <c r="AG293" s="4"/>
      <c r="AH293" s="4"/>
      <c r="AI293" s="4"/>
      <c r="AJ293" s="76" t="str">
        <f>IF(E293="○",IF(COUNTA(E$13:E293)=1,"",",")&amp;D293,"")</f>
        <v/>
      </c>
      <c r="AK293" s="4"/>
      <c r="AL293" s="4"/>
      <c r="AM293" s="4"/>
      <c r="AN293" s="4"/>
      <c r="AO293" s="4"/>
      <c r="AP293" s="4"/>
      <c r="AQ293" s="4"/>
      <c r="AR293" s="4"/>
      <c r="AS293" s="76" t="str">
        <f>"COMMENT ON COLUMN "&amp;エンティティ一覧!$O$2&amp;"."&amp;D$8&amp;"."&amp;D293&amp;" IS '"&amp;C293&amp;"';"</f>
        <v>COMMENT ON COLUMN milscm_2023_009.sny_202310_annony_bef2.shikkan275_start_date IS 'C574_疾患開始日';</v>
      </c>
    </row>
    <row r="294" spans="1:45" s="25" customFormat="1">
      <c r="A294" s="4" t="s">
        <v>5424</v>
      </c>
      <c r="B294" s="21">
        <f t="shared" si="39"/>
        <v>282</v>
      </c>
      <c r="C294" s="13" t="s">
        <v>6814</v>
      </c>
      <c r="D294" s="13" t="s">
        <v>5044</v>
      </c>
      <c r="E294" s="8"/>
      <c r="F294" s="7" t="s">
        <v>4348</v>
      </c>
      <c r="G294" s="7" t="s">
        <v>25</v>
      </c>
      <c r="H294" s="58"/>
      <c r="I294" s="23"/>
      <c r="J294" s="24"/>
      <c r="M294" s="4"/>
      <c r="N294" s="76"/>
      <c r="O294" s="76"/>
      <c r="P294" s="76" t="str">
        <f t="shared" si="42"/>
        <v>,shikkan276_start_date</v>
      </c>
      <c r="Q294" s="76" t="str">
        <f t="shared" si="43"/>
        <v>DATE</v>
      </c>
      <c r="R294" s="76" t="str">
        <f t="shared" si="44"/>
        <v/>
      </c>
      <c r="S294" s="76" t="str">
        <f t="shared" si="45"/>
        <v/>
      </c>
      <c r="T294" s="76" t="str">
        <f t="shared" si="46"/>
        <v>-- C577_疾患開始日</v>
      </c>
      <c r="U294" s="4" t="str">
        <f t="shared" si="40"/>
        <v>, CASE WHEN shikkan_disp_name = 'C577' THEN min_shikkan_start_date ::DATE ELSE NULL END AS shikkan276_start_date</v>
      </c>
      <c r="V294" s="25" t="str">
        <f t="shared" si="41"/>
        <v>, max(shikkan276_start_date)</v>
      </c>
      <c r="AA294" s="4"/>
      <c r="AB294" s="4"/>
      <c r="AC294" s="4"/>
      <c r="AD294" s="4"/>
      <c r="AE294" s="4"/>
      <c r="AF294" s="4"/>
      <c r="AG294" s="4"/>
      <c r="AH294" s="4"/>
      <c r="AI294" s="4"/>
      <c r="AJ294" s="76" t="str">
        <f>IF(E294="○",IF(COUNTA(E$13:E294)=1,"",",")&amp;D294,"")</f>
        <v/>
      </c>
      <c r="AK294" s="4"/>
      <c r="AL294" s="4"/>
      <c r="AM294" s="4"/>
      <c r="AN294" s="4"/>
      <c r="AO294" s="4"/>
      <c r="AP294" s="4"/>
      <c r="AQ294" s="4"/>
      <c r="AR294" s="4"/>
      <c r="AS294" s="76" t="str">
        <f>"COMMENT ON COLUMN "&amp;エンティティ一覧!$O$2&amp;"."&amp;D$8&amp;"."&amp;D294&amp;" IS '"&amp;C294&amp;"';"</f>
        <v>COMMENT ON COLUMN milscm_2023_009.sny_202310_annony_bef2.shikkan276_start_date IS 'C577_疾患開始日';</v>
      </c>
    </row>
    <row r="295" spans="1:45" s="25" customFormat="1">
      <c r="A295" s="4" t="s">
        <v>5425</v>
      </c>
      <c r="B295" s="21">
        <f t="shared" si="39"/>
        <v>283</v>
      </c>
      <c r="C295" s="13" t="s">
        <v>6815</v>
      </c>
      <c r="D295" s="13" t="s">
        <v>5045</v>
      </c>
      <c r="E295" s="8"/>
      <c r="F295" s="7" t="s">
        <v>4348</v>
      </c>
      <c r="G295" s="7" t="s">
        <v>25</v>
      </c>
      <c r="H295" s="58"/>
      <c r="I295" s="23"/>
      <c r="J295" s="24"/>
      <c r="M295" s="4"/>
      <c r="N295" s="76"/>
      <c r="O295" s="76"/>
      <c r="P295" s="76" t="str">
        <f t="shared" si="42"/>
        <v>,shikkan277_start_date</v>
      </c>
      <c r="Q295" s="76" t="str">
        <f t="shared" si="43"/>
        <v>DATE</v>
      </c>
      <c r="R295" s="76" t="str">
        <f t="shared" si="44"/>
        <v/>
      </c>
      <c r="S295" s="76" t="str">
        <f t="shared" si="45"/>
        <v/>
      </c>
      <c r="T295" s="76" t="str">
        <f t="shared" si="46"/>
        <v>-- C578_疾患開始日</v>
      </c>
      <c r="U295" s="4" t="str">
        <f t="shared" si="40"/>
        <v>, CASE WHEN shikkan_disp_name = 'C578' THEN min_shikkan_start_date ::DATE ELSE NULL END AS shikkan277_start_date</v>
      </c>
      <c r="V295" s="25" t="str">
        <f t="shared" si="41"/>
        <v>, max(shikkan277_start_date)</v>
      </c>
      <c r="AA295" s="4"/>
      <c r="AB295" s="4"/>
      <c r="AC295" s="4"/>
      <c r="AD295" s="4"/>
      <c r="AE295" s="4"/>
      <c r="AF295" s="4"/>
      <c r="AG295" s="4"/>
      <c r="AH295" s="4"/>
      <c r="AI295" s="4"/>
      <c r="AJ295" s="76" t="str">
        <f>IF(E295="○",IF(COUNTA(E$13:E295)=1,"",",")&amp;D295,"")</f>
        <v/>
      </c>
      <c r="AK295" s="4"/>
      <c r="AL295" s="4"/>
      <c r="AM295" s="4"/>
      <c r="AN295" s="4"/>
      <c r="AO295" s="4"/>
      <c r="AP295" s="4"/>
      <c r="AQ295" s="4"/>
      <c r="AR295" s="4"/>
      <c r="AS295" s="76" t="str">
        <f>"COMMENT ON COLUMN "&amp;エンティティ一覧!$O$2&amp;"."&amp;D$8&amp;"."&amp;D295&amp;" IS '"&amp;C295&amp;"';"</f>
        <v>COMMENT ON COLUMN milscm_2023_009.sny_202310_annony_bef2.shikkan277_start_date IS 'C578_疾患開始日';</v>
      </c>
    </row>
    <row r="296" spans="1:45" s="25" customFormat="1">
      <c r="A296" s="4" t="s">
        <v>5426</v>
      </c>
      <c r="B296" s="21">
        <f t="shared" si="39"/>
        <v>284</v>
      </c>
      <c r="C296" s="13" t="s">
        <v>6816</v>
      </c>
      <c r="D296" s="13" t="s">
        <v>5046</v>
      </c>
      <c r="E296" s="8"/>
      <c r="F296" s="7" t="s">
        <v>4348</v>
      </c>
      <c r="G296" s="7" t="s">
        <v>25</v>
      </c>
      <c r="H296" s="58"/>
      <c r="I296" s="23"/>
      <c r="J296" s="24"/>
      <c r="M296" s="4"/>
      <c r="N296" s="76"/>
      <c r="O296" s="76"/>
      <c r="P296" s="76" t="str">
        <f t="shared" si="42"/>
        <v>,shikkan278_start_date</v>
      </c>
      <c r="Q296" s="76" t="str">
        <f t="shared" si="43"/>
        <v>DATE</v>
      </c>
      <c r="R296" s="76" t="str">
        <f t="shared" si="44"/>
        <v/>
      </c>
      <c r="S296" s="76" t="str">
        <f t="shared" si="45"/>
        <v/>
      </c>
      <c r="T296" s="76" t="str">
        <f t="shared" si="46"/>
        <v>-- C579_疾患開始日</v>
      </c>
      <c r="U296" s="4" t="str">
        <f t="shared" si="40"/>
        <v>, CASE WHEN shikkan_disp_name = 'C579' THEN min_shikkan_start_date ::DATE ELSE NULL END AS shikkan278_start_date</v>
      </c>
      <c r="V296" s="25" t="str">
        <f t="shared" si="41"/>
        <v>, max(shikkan278_start_date)</v>
      </c>
      <c r="AA296" s="4"/>
      <c r="AB296" s="4"/>
      <c r="AC296" s="4"/>
      <c r="AD296" s="4"/>
      <c r="AE296" s="4"/>
      <c r="AF296" s="4"/>
      <c r="AG296" s="4"/>
      <c r="AH296" s="4"/>
      <c r="AI296" s="4"/>
      <c r="AJ296" s="76" t="str">
        <f>IF(E296="○",IF(COUNTA(E$13:E296)=1,"",",")&amp;D296,"")</f>
        <v/>
      </c>
      <c r="AK296" s="4"/>
      <c r="AL296" s="4"/>
      <c r="AM296" s="4"/>
      <c r="AN296" s="4"/>
      <c r="AO296" s="4"/>
      <c r="AP296" s="4"/>
      <c r="AQ296" s="4"/>
      <c r="AR296" s="4"/>
      <c r="AS296" s="76" t="str">
        <f>"COMMENT ON COLUMN "&amp;エンティティ一覧!$O$2&amp;"."&amp;D$8&amp;"."&amp;D296&amp;" IS '"&amp;C296&amp;"';"</f>
        <v>COMMENT ON COLUMN milscm_2023_009.sny_202310_annony_bef2.shikkan278_start_date IS 'C579_疾患開始日';</v>
      </c>
    </row>
    <row r="297" spans="1:45" s="25" customFormat="1">
      <c r="A297" s="4" t="s">
        <v>5151</v>
      </c>
      <c r="B297" s="21">
        <f t="shared" si="39"/>
        <v>285</v>
      </c>
      <c r="C297" s="13" t="s">
        <v>4761</v>
      </c>
      <c r="D297" s="13" t="s">
        <v>5047</v>
      </c>
      <c r="E297" s="8"/>
      <c r="F297" s="7" t="s">
        <v>4348</v>
      </c>
      <c r="G297" s="7" t="s">
        <v>25</v>
      </c>
      <c r="H297" s="58"/>
      <c r="I297" s="23"/>
      <c r="J297" s="24"/>
      <c r="M297" s="4"/>
      <c r="N297" s="76"/>
      <c r="O297" s="76"/>
      <c r="P297" s="76" t="str">
        <f t="shared" si="42"/>
        <v>,shikkan279_start_date</v>
      </c>
      <c r="Q297" s="76" t="str">
        <f t="shared" si="43"/>
        <v>DATE</v>
      </c>
      <c r="R297" s="76" t="str">
        <f t="shared" si="44"/>
        <v/>
      </c>
      <c r="S297" s="76" t="str">
        <f t="shared" si="45"/>
        <v/>
      </c>
      <c r="T297" s="76" t="str">
        <f t="shared" si="46"/>
        <v>-- C58_疾患開始日</v>
      </c>
      <c r="U297" s="4" t="str">
        <f t="shared" si="40"/>
        <v>, CASE WHEN shikkan_disp_name = 'C58' THEN min_shikkan_start_date ::DATE ELSE NULL END AS shikkan279_start_date</v>
      </c>
      <c r="V297" s="25" t="str">
        <f t="shared" si="41"/>
        <v>, max(shikkan279_start_date)</v>
      </c>
      <c r="AA297" s="4"/>
      <c r="AB297" s="4"/>
      <c r="AC297" s="4"/>
      <c r="AD297" s="4"/>
      <c r="AE297" s="4"/>
      <c r="AF297" s="4"/>
      <c r="AG297" s="4"/>
      <c r="AH297" s="4"/>
      <c r="AI297" s="4"/>
      <c r="AJ297" s="76" t="str">
        <f>IF(E297="○",IF(COUNTA(E$13:E297)=1,"",",")&amp;D297,"")</f>
        <v/>
      </c>
      <c r="AK297" s="4"/>
      <c r="AL297" s="4"/>
      <c r="AM297" s="4"/>
      <c r="AN297" s="4"/>
      <c r="AO297" s="4"/>
      <c r="AP297" s="4"/>
      <c r="AQ297" s="4"/>
      <c r="AR297" s="4"/>
      <c r="AS297" s="76" t="str">
        <f>"COMMENT ON COLUMN "&amp;エンティティ一覧!$O$2&amp;"."&amp;D$8&amp;"."&amp;D297&amp;" IS '"&amp;C297&amp;"';"</f>
        <v>COMMENT ON COLUMN milscm_2023_009.sny_202310_annony_bef2.shikkan279_start_date IS 'C58_疾患開始日';</v>
      </c>
    </row>
    <row r="298" spans="1:45" s="25" customFormat="1">
      <c r="A298" s="4" t="s">
        <v>5427</v>
      </c>
      <c r="B298" s="21">
        <f t="shared" si="39"/>
        <v>286</v>
      </c>
      <c r="C298" s="13" t="s">
        <v>6817</v>
      </c>
      <c r="D298" s="13" t="s">
        <v>5048</v>
      </c>
      <c r="E298" s="8"/>
      <c r="F298" s="7" t="s">
        <v>4348</v>
      </c>
      <c r="G298" s="7" t="s">
        <v>25</v>
      </c>
      <c r="H298" s="58"/>
      <c r="I298" s="23"/>
      <c r="J298" s="24"/>
      <c r="M298" s="4"/>
      <c r="N298" s="76"/>
      <c r="O298" s="76"/>
      <c r="P298" s="76" t="str">
        <f t="shared" si="42"/>
        <v>,shikkan280_start_date</v>
      </c>
      <c r="Q298" s="76" t="str">
        <f t="shared" si="43"/>
        <v>DATE</v>
      </c>
      <c r="R298" s="76" t="str">
        <f t="shared" si="44"/>
        <v/>
      </c>
      <c r="S298" s="76" t="str">
        <f t="shared" si="45"/>
        <v/>
      </c>
      <c r="T298" s="76" t="str">
        <f t="shared" si="46"/>
        <v>-- C600_疾患開始日</v>
      </c>
      <c r="U298" s="4" t="str">
        <f t="shared" si="40"/>
        <v>, CASE WHEN shikkan_disp_name = 'C600' THEN min_shikkan_start_date ::DATE ELSE NULL END AS shikkan280_start_date</v>
      </c>
      <c r="V298" s="25" t="str">
        <f t="shared" si="41"/>
        <v>, max(shikkan280_start_date)</v>
      </c>
      <c r="AA298" s="4"/>
      <c r="AB298" s="4"/>
      <c r="AC298" s="4"/>
      <c r="AD298" s="4"/>
      <c r="AE298" s="4"/>
      <c r="AF298" s="4"/>
      <c r="AG298" s="4"/>
      <c r="AH298" s="4"/>
      <c r="AI298" s="4"/>
      <c r="AJ298" s="76" t="str">
        <f>IF(E298="○",IF(COUNTA(E$13:E298)=1,"",",")&amp;D298,"")</f>
        <v/>
      </c>
      <c r="AK298" s="4"/>
      <c r="AL298" s="4"/>
      <c r="AM298" s="4"/>
      <c r="AN298" s="4"/>
      <c r="AO298" s="4"/>
      <c r="AP298" s="4"/>
      <c r="AQ298" s="4"/>
      <c r="AR298" s="4"/>
      <c r="AS298" s="76" t="str">
        <f>"COMMENT ON COLUMN "&amp;エンティティ一覧!$O$2&amp;"."&amp;D$8&amp;"."&amp;D298&amp;" IS '"&amp;C298&amp;"';"</f>
        <v>COMMENT ON COLUMN milscm_2023_009.sny_202310_annony_bef2.shikkan280_start_date IS 'C600_疾患開始日';</v>
      </c>
    </row>
    <row r="299" spans="1:45" s="25" customFormat="1">
      <c r="A299" s="4" t="s">
        <v>5428</v>
      </c>
      <c r="B299" s="21">
        <f t="shared" si="39"/>
        <v>287</v>
      </c>
      <c r="C299" s="13" t="s">
        <v>6818</v>
      </c>
      <c r="D299" s="13" t="s">
        <v>5049</v>
      </c>
      <c r="E299" s="8"/>
      <c r="F299" s="7" t="s">
        <v>4348</v>
      </c>
      <c r="G299" s="7" t="s">
        <v>25</v>
      </c>
      <c r="H299" s="58"/>
      <c r="I299" s="23"/>
      <c r="J299" s="24"/>
      <c r="M299" s="4"/>
      <c r="N299" s="76"/>
      <c r="O299" s="76"/>
      <c r="P299" s="76" t="str">
        <f t="shared" si="42"/>
        <v>,shikkan281_start_date</v>
      </c>
      <c r="Q299" s="76" t="str">
        <f t="shared" si="43"/>
        <v>DATE</v>
      </c>
      <c r="R299" s="76" t="str">
        <f t="shared" si="44"/>
        <v/>
      </c>
      <c r="S299" s="76" t="str">
        <f t="shared" si="45"/>
        <v/>
      </c>
      <c r="T299" s="76" t="str">
        <f t="shared" si="46"/>
        <v>-- C601_疾患開始日</v>
      </c>
      <c r="U299" s="4" t="str">
        <f t="shared" si="40"/>
        <v>, CASE WHEN shikkan_disp_name = 'C601' THEN min_shikkan_start_date ::DATE ELSE NULL END AS shikkan281_start_date</v>
      </c>
      <c r="V299" s="25" t="str">
        <f t="shared" si="41"/>
        <v>, max(shikkan281_start_date)</v>
      </c>
      <c r="AA299" s="4"/>
      <c r="AB299" s="4"/>
      <c r="AC299" s="4"/>
      <c r="AD299" s="4"/>
      <c r="AE299" s="4"/>
      <c r="AF299" s="4"/>
      <c r="AG299" s="4"/>
      <c r="AH299" s="4"/>
      <c r="AI299" s="4"/>
      <c r="AJ299" s="76" t="str">
        <f>IF(E299="○",IF(COUNTA(E$13:E299)=1,"",",")&amp;D299,"")</f>
        <v/>
      </c>
      <c r="AK299" s="4"/>
      <c r="AL299" s="4"/>
      <c r="AM299" s="4"/>
      <c r="AN299" s="4"/>
      <c r="AO299" s="4"/>
      <c r="AP299" s="4"/>
      <c r="AQ299" s="4"/>
      <c r="AR299" s="4"/>
      <c r="AS299" s="76" t="str">
        <f>"COMMENT ON COLUMN "&amp;エンティティ一覧!$O$2&amp;"."&amp;D$8&amp;"."&amp;D299&amp;" IS '"&amp;C299&amp;"';"</f>
        <v>COMMENT ON COLUMN milscm_2023_009.sny_202310_annony_bef2.shikkan281_start_date IS 'C601_疾患開始日';</v>
      </c>
    </row>
    <row r="300" spans="1:45" s="25" customFormat="1">
      <c r="A300" s="4" t="s">
        <v>5429</v>
      </c>
      <c r="B300" s="21">
        <f t="shared" si="39"/>
        <v>288</v>
      </c>
      <c r="C300" s="13" t="s">
        <v>6819</v>
      </c>
      <c r="D300" s="13" t="s">
        <v>5050</v>
      </c>
      <c r="E300" s="8"/>
      <c r="F300" s="7" t="s">
        <v>4348</v>
      </c>
      <c r="G300" s="7" t="s">
        <v>25</v>
      </c>
      <c r="H300" s="58"/>
      <c r="I300" s="23"/>
      <c r="J300" s="24"/>
      <c r="M300" s="4"/>
      <c r="N300" s="76"/>
      <c r="O300" s="76"/>
      <c r="P300" s="76" t="str">
        <f t="shared" si="42"/>
        <v>,shikkan282_start_date</v>
      </c>
      <c r="Q300" s="76" t="str">
        <f t="shared" si="43"/>
        <v>DATE</v>
      </c>
      <c r="R300" s="76" t="str">
        <f t="shared" si="44"/>
        <v/>
      </c>
      <c r="S300" s="76" t="str">
        <f t="shared" si="45"/>
        <v/>
      </c>
      <c r="T300" s="76" t="str">
        <f t="shared" si="46"/>
        <v>-- C602_疾患開始日</v>
      </c>
      <c r="U300" s="4" t="str">
        <f t="shared" si="40"/>
        <v>, CASE WHEN shikkan_disp_name = 'C602' THEN min_shikkan_start_date ::DATE ELSE NULL END AS shikkan282_start_date</v>
      </c>
      <c r="V300" s="25" t="str">
        <f t="shared" si="41"/>
        <v>, max(shikkan282_start_date)</v>
      </c>
      <c r="AA300" s="4"/>
      <c r="AB300" s="4"/>
      <c r="AC300" s="4"/>
      <c r="AD300" s="4"/>
      <c r="AE300" s="4"/>
      <c r="AF300" s="4"/>
      <c r="AG300" s="4"/>
      <c r="AH300" s="4"/>
      <c r="AI300" s="4"/>
      <c r="AJ300" s="76" t="str">
        <f>IF(E300="○",IF(COUNTA(E$13:E300)=1,"",",")&amp;D300,"")</f>
        <v/>
      </c>
      <c r="AK300" s="4"/>
      <c r="AL300" s="4"/>
      <c r="AM300" s="4"/>
      <c r="AN300" s="4"/>
      <c r="AO300" s="4"/>
      <c r="AP300" s="4"/>
      <c r="AQ300" s="4"/>
      <c r="AR300" s="4"/>
      <c r="AS300" s="76" t="str">
        <f>"COMMENT ON COLUMN "&amp;エンティティ一覧!$O$2&amp;"."&amp;D$8&amp;"."&amp;D300&amp;" IS '"&amp;C300&amp;"';"</f>
        <v>COMMENT ON COLUMN milscm_2023_009.sny_202310_annony_bef2.shikkan282_start_date IS 'C602_疾患開始日';</v>
      </c>
    </row>
    <row r="301" spans="1:45" s="25" customFormat="1">
      <c r="A301" s="4" t="s">
        <v>5430</v>
      </c>
      <c r="B301" s="21">
        <f t="shared" si="39"/>
        <v>289</v>
      </c>
      <c r="C301" s="13" t="s">
        <v>6820</v>
      </c>
      <c r="D301" s="13" t="s">
        <v>5051</v>
      </c>
      <c r="E301" s="8"/>
      <c r="F301" s="7" t="s">
        <v>4348</v>
      </c>
      <c r="G301" s="7" t="s">
        <v>25</v>
      </c>
      <c r="H301" s="58"/>
      <c r="I301" s="23"/>
      <c r="J301" s="24"/>
      <c r="M301" s="4"/>
      <c r="N301" s="76"/>
      <c r="O301" s="76"/>
      <c r="P301" s="76" t="str">
        <f t="shared" si="42"/>
        <v>,shikkan283_start_date</v>
      </c>
      <c r="Q301" s="76" t="str">
        <f t="shared" si="43"/>
        <v>DATE</v>
      </c>
      <c r="R301" s="76" t="str">
        <f t="shared" si="44"/>
        <v/>
      </c>
      <c r="S301" s="76" t="str">
        <f t="shared" si="45"/>
        <v/>
      </c>
      <c r="T301" s="76" t="str">
        <f t="shared" si="46"/>
        <v>-- C608_疾患開始日</v>
      </c>
      <c r="U301" s="4" t="str">
        <f t="shared" si="40"/>
        <v>, CASE WHEN shikkan_disp_name = 'C608' THEN min_shikkan_start_date ::DATE ELSE NULL END AS shikkan283_start_date</v>
      </c>
      <c r="V301" s="25" t="str">
        <f t="shared" si="41"/>
        <v>, max(shikkan283_start_date)</v>
      </c>
      <c r="AA301" s="4"/>
      <c r="AB301" s="4"/>
      <c r="AC301" s="4"/>
      <c r="AD301" s="4"/>
      <c r="AE301" s="4"/>
      <c r="AF301" s="4"/>
      <c r="AG301" s="4"/>
      <c r="AH301" s="4"/>
      <c r="AI301" s="4"/>
      <c r="AJ301" s="76" t="str">
        <f>IF(E301="○",IF(COUNTA(E$13:E301)=1,"",",")&amp;D301,"")</f>
        <v/>
      </c>
      <c r="AK301" s="4"/>
      <c r="AL301" s="4"/>
      <c r="AM301" s="4"/>
      <c r="AN301" s="4"/>
      <c r="AO301" s="4"/>
      <c r="AP301" s="4"/>
      <c r="AQ301" s="4"/>
      <c r="AR301" s="4"/>
      <c r="AS301" s="76" t="str">
        <f>"COMMENT ON COLUMN "&amp;エンティティ一覧!$O$2&amp;"."&amp;D$8&amp;"."&amp;D301&amp;" IS '"&amp;C301&amp;"';"</f>
        <v>COMMENT ON COLUMN milscm_2023_009.sny_202310_annony_bef2.shikkan283_start_date IS 'C608_疾患開始日';</v>
      </c>
    </row>
    <row r="302" spans="1:45" s="25" customFormat="1">
      <c r="A302" s="4" t="s">
        <v>5431</v>
      </c>
      <c r="B302" s="21">
        <f t="shared" si="39"/>
        <v>290</v>
      </c>
      <c r="C302" s="13" t="s">
        <v>6821</v>
      </c>
      <c r="D302" s="13" t="s">
        <v>5052</v>
      </c>
      <c r="E302" s="8"/>
      <c r="F302" s="7" t="s">
        <v>4348</v>
      </c>
      <c r="G302" s="7" t="s">
        <v>25</v>
      </c>
      <c r="H302" s="58"/>
      <c r="I302" s="23"/>
      <c r="J302" s="24"/>
      <c r="M302" s="4"/>
      <c r="N302" s="76"/>
      <c r="O302" s="76"/>
      <c r="P302" s="76" t="str">
        <f t="shared" si="42"/>
        <v>,shikkan284_start_date</v>
      </c>
      <c r="Q302" s="76" t="str">
        <f t="shared" si="43"/>
        <v>DATE</v>
      </c>
      <c r="R302" s="76" t="str">
        <f t="shared" si="44"/>
        <v/>
      </c>
      <c r="S302" s="76" t="str">
        <f t="shared" si="45"/>
        <v/>
      </c>
      <c r="T302" s="76" t="str">
        <f t="shared" si="46"/>
        <v>-- C609_疾患開始日</v>
      </c>
      <c r="U302" s="4" t="str">
        <f t="shared" si="40"/>
        <v>, CASE WHEN shikkan_disp_name = 'C609' THEN min_shikkan_start_date ::DATE ELSE NULL END AS shikkan284_start_date</v>
      </c>
      <c r="V302" s="25" t="str">
        <f t="shared" si="41"/>
        <v>, max(shikkan284_start_date)</v>
      </c>
      <c r="AA302" s="4"/>
      <c r="AB302" s="4"/>
      <c r="AC302" s="4"/>
      <c r="AD302" s="4"/>
      <c r="AE302" s="4"/>
      <c r="AF302" s="4"/>
      <c r="AG302" s="4"/>
      <c r="AH302" s="4"/>
      <c r="AI302" s="4"/>
      <c r="AJ302" s="76" t="str">
        <f>IF(E302="○",IF(COUNTA(E$13:E302)=1,"",",")&amp;D302,"")</f>
        <v/>
      </c>
      <c r="AK302" s="4"/>
      <c r="AL302" s="4"/>
      <c r="AM302" s="4"/>
      <c r="AN302" s="4"/>
      <c r="AO302" s="4"/>
      <c r="AP302" s="4"/>
      <c r="AQ302" s="4"/>
      <c r="AR302" s="4"/>
      <c r="AS302" s="76" t="str">
        <f>"COMMENT ON COLUMN "&amp;エンティティ一覧!$O$2&amp;"."&amp;D$8&amp;"."&amp;D302&amp;" IS '"&amp;C302&amp;"';"</f>
        <v>COMMENT ON COLUMN milscm_2023_009.sny_202310_annony_bef2.shikkan284_start_date IS 'C609_疾患開始日';</v>
      </c>
    </row>
    <row r="303" spans="1:45" s="25" customFormat="1">
      <c r="A303" s="4" t="s">
        <v>5152</v>
      </c>
      <c r="B303" s="21">
        <f t="shared" si="39"/>
        <v>291</v>
      </c>
      <c r="C303" s="13" t="s">
        <v>4762</v>
      </c>
      <c r="D303" s="13" t="s">
        <v>5053</v>
      </c>
      <c r="E303" s="8"/>
      <c r="F303" s="7" t="s">
        <v>4348</v>
      </c>
      <c r="G303" s="7" t="s">
        <v>25</v>
      </c>
      <c r="H303" s="58"/>
      <c r="I303" s="23"/>
      <c r="J303" s="24"/>
      <c r="M303" s="4"/>
      <c r="N303" s="76"/>
      <c r="O303" s="76"/>
      <c r="P303" s="76" t="str">
        <f t="shared" si="42"/>
        <v>,shikkan285_start_date</v>
      </c>
      <c r="Q303" s="76" t="str">
        <f t="shared" si="43"/>
        <v>DATE</v>
      </c>
      <c r="R303" s="76" t="str">
        <f t="shared" si="44"/>
        <v/>
      </c>
      <c r="S303" s="76" t="str">
        <f t="shared" si="45"/>
        <v/>
      </c>
      <c r="T303" s="76" t="str">
        <f t="shared" si="46"/>
        <v>-- C61_疾患開始日</v>
      </c>
      <c r="U303" s="4" t="str">
        <f t="shared" si="40"/>
        <v>, CASE WHEN shikkan_disp_name = 'C61' THEN min_shikkan_start_date ::DATE ELSE NULL END AS shikkan285_start_date</v>
      </c>
      <c r="V303" s="25" t="str">
        <f t="shared" si="41"/>
        <v>, max(shikkan285_start_date)</v>
      </c>
      <c r="AA303" s="4"/>
      <c r="AB303" s="4"/>
      <c r="AC303" s="4"/>
      <c r="AD303" s="4"/>
      <c r="AE303" s="4"/>
      <c r="AF303" s="4"/>
      <c r="AG303" s="4"/>
      <c r="AH303" s="4"/>
      <c r="AI303" s="4"/>
      <c r="AJ303" s="76" t="str">
        <f>IF(E303="○",IF(COUNTA(E$13:E303)=1,"",",")&amp;D303,"")</f>
        <v/>
      </c>
      <c r="AK303" s="4"/>
      <c r="AL303" s="4"/>
      <c r="AM303" s="4"/>
      <c r="AN303" s="4"/>
      <c r="AO303" s="4"/>
      <c r="AP303" s="4"/>
      <c r="AQ303" s="4"/>
      <c r="AR303" s="4"/>
      <c r="AS303" s="76" t="str">
        <f>"COMMENT ON COLUMN "&amp;エンティティ一覧!$O$2&amp;"."&amp;D$8&amp;"."&amp;D303&amp;" IS '"&amp;C303&amp;"';"</f>
        <v>COMMENT ON COLUMN milscm_2023_009.sny_202310_annony_bef2.shikkan285_start_date IS 'C61_疾患開始日';</v>
      </c>
    </row>
    <row r="304" spans="1:45" s="25" customFormat="1">
      <c r="A304" s="4" t="s">
        <v>5432</v>
      </c>
      <c r="B304" s="21">
        <f t="shared" si="39"/>
        <v>292</v>
      </c>
      <c r="C304" s="13" t="s">
        <v>6822</v>
      </c>
      <c r="D304" s="13" t="s">
        <v>5054</v>
      </c>
      <c r="E304" s="8"/>
      <c r="F304" s="7" t="s">
        <v>4348</v>
      </c>
      <c r="G304" s="7" t="s">
        <v>25</v>
      </c>
      <c r="H304" s="58"/>
      <c r="I304" s="23"/>
      <c r="J304" s="24"/>
      <c r="M304" s="4"/>
      <c r="N304" s="76"/>
      <c r="O304" s="76"/>
      <c r="P304" s="76" t="str">
        <f t="shared" si="42"/>
        <v>,shikkan286_start_date</v>
      </c>
      <c r="Q304" s="76" t="str">
        <f t="shared" si="43"/>
        <v>DATE</v>
      </c>
      <c r="R304" s="76" t="str">
        <f t="shared" si="44"/>
        <v/>
      </c>
      <c r="S304" s="76" t="str">
        <f t="shared" si="45"/>
        <v/>
      </c>
      <c r="T304" s="76" t="str">
        <f t="shared" si="46"/>
        <v>-- C620_疾患開始日</v>
      </c>
      <c r="U304" s="4" t="str">
        <f t="shared" si="40"/>
        <v>, CASE WHEN shikkan_disp_name = 'C620' THEN min_shikkan_start_date ::DATE ELSE NULL END AS shikkan286_start_date</v>
      </c>
      <c r="V304" s="25" t="str">
        <f t="shared" si="41"/>
        <v>, max(shikkan286_start_date)</v>
      </c>
      <c r="AA304" s="4"/>
      <c r="AB304" s="4"/>
      <c r="AC304" s="4"/>
      <c r="AD304" s="4"/>
      <c r="AE304" s="4"/>
      <c r="AF304" s="4"/>
      <c r="AG304" s="4"/>
      <c r="AH304" s="4"/>
      <c r="AI304" s="4"/>
      <c r="AJ304" s="76" t="str">
        <f>IF(E304="○",IF(COUNTA(E$13:E304)=1,"",",")&amp;D304,"")</f>
        <v/>
      </c>
      <c r="AK304" s="4"/>
      <c r="AL304" s="4"/>
      <c r="AM304" s="4"/>
      <c r="AN304" s="4"/>
      <c r="AO304" s="4"/>
      <c r="AP304" s="4"/>
      <c r="AQ304" s="4"/>
      <c r="AR304" s="4"/>
      <c r="AS304" s="76" t="str">
        <f>"COMMENT ON COLUMN "&amp;エンティティ一覧!$O$2&amp;"."&amp;D$8&amp;"."&amp;D304&amp;" IS '"&amp;C304&amp;"';"</f>
        <v>COMMENT ON COLUMN milscm_2023_009.sny_202310_annony_bef2.shikkan286_start_date IS 'C620_疾患開始日';</v>
      </c>
    </row>
    <row r="305" spans="1:45" s="25" customFormat="1">
      <c r="A305" s="4" t="s">
        <v>5433</v>
      </c>
      <c r="B305" s="21">
        <f t="shared" si="39"/>
        <v>293</v>
      </c>
      <c r="C305" s="13" t="s">
        <v>6823</v>
      </c>
      <c r="D305" s="13" t="s">
        <v>5055</v>
      </c>
      <c r="E305" s="8"/>
      <c r="F305" s="7" t="s">
        <v>4348</v>
      </c>
      <c r="G305" s="7" t="s">
        <v>25</v>
      </c>
      <c r="H305" s="58"/>
      <c r="I305" s="23"/>
      <c r="J305" s="24"/>
      <c r="M305" s="4"/>
      <c r="N305" s="76"/>
      <c r="O305" s="76"/>
      <c r="P305" s="76" t="str">
        <f t="shared" si="42"/>
        <v>,shikkan287_start_date</v>
      </c>
      <c r="Q305" s="76" t="str">
        <f t="shared" si="43"/>
        <v>DATE</v>
      </c>
      <c r="R305" s="76" t="str">
        <f t="shared" si="44"/>
        <v/>
      </c>
      <c r="S305" s="76" t="str">
        <f t="shared" si="45"/>
        <v/>
      </c>
      <c r="T305" s="76" t="str">
        <f t="shared" si="46"/>
        <v>-- C621_疾患開始日</v>
      </c>
      <c r="U305" s="4" t="str">
        <f t="shared" si="40"/>
        <v>, CASE WHEN shikkan_disp_name = 'C621' THEN min_shikkan_start_date ::DATE ELSE NULL END AS shikkan287_start_date</v>
      </c>
      <c r="V305" s="25" t="str">
        <f t="shared" si="41"/>
        <v>, max(shikkan287_start_date)</v>
      </c>
      <c r="AA305" s="4"/>
      <c r="AB305" s="4"/>
      <c r="AC305" s="4"/>
      <c r="AD305" s="4"/>
      <c r="AE305" s="4"/>
      <c r="AF305" s="4"/>
      <c r="AG305" s="4"/>
      <c r="AH305" s="4"/>
      <c r="AI305" s="4"/>
      <c r="AJ305" s="76" t="str">
        <f>IF(E305="○",IF(COUNTA(E$13:E305)=1,"",",")&amp;D305,"")</f>
        <v/>
      </c>
      <c r="AK305" s="4"/>
      <c r="AL305" s="4"/>
      <c r="AM305" s="4"/>
      <c r="AN305" s="4"/>
      <c r="AO305" s="4"/>
      <c r="AP305" s="4"/>
      <c r="AQ305" s="4"/>
      <c r="AR305" s="4"/>
      <c r="AS305" s="76" t="str">
        <f>"COMMENT ON COLUMN "&amp;エンティティ一覧!$O$2&amp;"."&amp;D$8&amp;"."&amp;D305&amp;" IS '"&amp;C305&amp;"';"</f>
        <v>COMMENT ON COLUMN milscm_2023_009.sny_202310_annony_bef2.shikkan287_start_date IS 'C621_疾患開始日';</v>
      </c>
    </row>
    <row r="306" spans="1:45" s="25" customFormat="1">
      <c r="A306" s="4" t="s">
        <v>5434</v>
      </c>
      <c r="B306" s="21">
        <f t="shared" si="39"/>
        <v>294</v>
      </c>
      <c r="C306" s="13" t="s">
        <v>6824</v>
      </c>
      <c r="D306" s="13" t="s">
        <v>5056</v>
      </c>
      <c r="E306" s="8"/>
      <c r="F306" s="7" t="s">
        <v>4348</v>
      </c>
      <c r="G306" s="7" t="s">
        <v>25</v>
      </c>
      <c r="H306" s="58"/>
      <c r="I306" s="23"/>
      <c r="J306" s="24"/>
      <c r="M306" s="4"/>
      <c r="N306" s="76"/>
      <c r="O306" s="76"/>
      <c r="P306" s="76" t="str">
        <f t="shared" si="42"/>
        <v>,shikkan288_start_date</v>
      </c>
      <c r="Q306" s="76" t="str">
        <f t="shared" si="43"/>
        <v>DATE</v>
      </c>
      <c r="R306" s="76" t="str">
        <f t="shared" si="44"/>
        <v/>
      </c>
      <c r="S306" s="76" t="str">
        <f t="shared" si="45"/>
        <v/>
      </c>
      <c r="T306" s="76" t="str">
        <f t="shared" si="46"/>
        <v>-- C629_疾患開始日</v>
      </c>
      <c r="U306" s="4" t="str">
        <f t="shared" si="40"/>
        <v>, CASE WHEN shikkan_disp_name = 'C629' THEN min_shikkan_start_date ::DATE ELSE NULL END AS shikkan288_start_date</v>
      </c>
      <c r="V306" s="25" t="str">
        <f t="shared" si="41"/>
        <v>, max(shikkan288_start_date)</v>
      </c>
      <c r="AA306" s="4"/>
      <c r="AB306" s="4"/>
      <c r="AC306" s="4"/>
      <c r="AD306" s="4"/>
      <c r="AE306" s="4"/>
      <c r="AF306" s="4"/>
      <c r="AG306" s="4"/>
      <c r="AH306" s="4"/>
      <c r="AI306" s="4"/>
      <c r="AJ306" s="76" t="str">
        <f>IF(E306="○",IF(COUNTA(E$13:E306)=1,"",",")&amp;D306,"")</f>
        <v/>
      </c>
      <c r="AK306" s="4"/>
      <c r="AL306" s="4"/>
      <c r="AM306" s="4"/>
      <c r="AN306" s="4"/>
      <c r="AO306" s="4"/>
      <c r="AP306" s="4"/>
      <c r="AQ306" s="4"/>
      <c r="AR306" s="4"/>
      <c r="AS306" s="76" t="str">
        <f>"COMMENT ON COLUMN "&amp;エンティティ一覧!$O$2&amp;"."&amp;D$8&amp;"."&amp;D306&amp;" IS '"&amp;C306&amp;"';"</f>
        <v>COMMENT ON COLUMN milscm_2023_009.sny_202310_annony_bef2.shikkan288_start_date IS 'C629_疾患開始日';</v>
      </c>
    </row>
    <row r="307" spans="1:45" s="25" customFormat="1">
      <c r="A307" s="4" t="s">
        <v>5435</v>
      </c>
      <c r="B307" s="21">
        <f t="shared" si="39"/>
        <v>295</v>
      </c>
      <c r="C307" s="13" t="s">
        <v>6825</v>
      </c>
      <c r="D307" s="13" t="s">
        <v>5057</v>
      </c>
      <c r="E307" s="8"/>
      <c r="F307" s="7" t="s">
        <v>4348</v>
      </c>
      <c r="G307" s="7" t="s">
        <v>25</v>
      </c>
      <c r="H307" s="58"/>
      <c r="I307" s="23"/>
      <c r="J307" s="24"/>
      <c r="M307" s="4"/>
      <c r="N307" s="76"/>
      <c r="O307" s="76"/>
      <c r="P307" s="76" t="str">
        <f t="shared" si="42"/>
        <v>,shikkan289_start_date</v>
      </c>
      <c r="Q307" s="76" t="str">
        <f t="shared" si="43"/>
        <v>DATE</v>
      </c>
      <c r="R307" s="76" t="str">
        <f t="shared" si="44"/>
        <v/>
      </c>
      <c r="S307" s="76" t="str">
        <f t="shared" si="45"/>
        <v/>
      </c>
      <c r="T307" s="76" t="str">
        <f t="shared" si="46"/>
        <v>-- C630_疾患開始日</v>
      </c>
      <c r="U307" s="4" t="str">
        <f t="shared" si="40"/>
        <v>, CASE WHEN shikkan_disp_name = 'C630' THEN min_shikkan_start_date ::DATE ELSE NULL END AS shikkan289_start_date</v>
      </c>
      <c r="V307" s="25" t="str">
        <f t="shared" si="41"/>
        <v>, max(shikkan289_start_date)</v>
      </c>
      <c r="AA307" s="4"/>
      <c r="AB307" s="4"/>
      <c r="AC307" s="4"/>
      <c r="AD307" s="4"/>
      <c r="AE307" s="4"/>
      <c r="AF307" s="4"/>
      <c r="AG307" s="4"/>
      <c r="AH307" s="4"/>
      <c r="AI307" s="4"/>
      <c r="AJ307" s="76" t="str">
        <f>IF(E307="○",IF(COUNTA(E$13:E307)=1,"",",")&amp;D307,"")</f>
        <v/>
      </c>
      <c r="AK307" s="4"/>
      <c r="AL307" s="4"/>
      <c r="AM307" s="4"/>
      <c r="AN307" s="4"/>
      <c r="AO307" s="4"/>
      <c r="AP307" s="4"/>
      <c r="AQ307" s="4"/>
      <c r="AR307" s="4"/>
      <c r="AS307" s="76" t="str">
        <f>"COMMENT ON COLUMN "&amp;エンティティ一覧!$O$2&amp;"."&amp;D$8&amp;"."&amp;D307&amp;" IS '"&amp;C307&amp;"';"</f>
        <v>COMMENT ON COLUMN milscm_2023_009.sny_202310_annony_bef2.shikkan289_start_date IS 'C630_疾患開始日';</v>
      </c>
    </row>
    <row r="308" spans="1:45" s="25" customFormat="1">
      <c r="A308" s="4" t="s">
        <v>5436</v>
      </c>
      <c r="B308" s="21">
        <f t="shared" si="39"/>
        <v>296</v>
      </c>
      <c r="C308" s="13" t="s">
        <v>6826</v>
      </c>
      <c r="D308" s="13" t="s">
        <v>5950</v>
      </c>
      <c r="E308" s="8"/>
      <c r="F308" s="7" t="s">
        <v>4348</v>
      </c>
      <c r="G308" s="7" t="s">
        <v>25</v>
      </c>
      <c r="H308" s="58"/>
      <c r="I308" s="23"/>
      <c r="J308" s="24"/>
      <c r="M308" s="4"/>
      <c r="N308" s="76"/>
      <c r="O308" s="76"/>
      <c r="P308" s="76" t="str">
        <f t="shared" si="42"/>
        <v>,shikkan290_start_date</v>
      </c>
      <c r="Q308" s="76" t="str">
        <f t="shared" si="43"/>
        <v>DATE</v>
      </c>
      <c r="R308" s="76" t="str">
        <f t="shared" si="44"/>
        <v/>
      </c>
      <c r="S308" s="76" t="str">
        <f t="shared" si="45"/>
        <v/>
      </c>
      <c r="T308" s="76" t="str">
        <f t="shared" si="46"/>
        <v>-- C631_疾患開始日</v>
      </c>
      <c r="U308" s="4" t="str">
        <f t="shared" si="40"/>
        <v>, CASE WHEN shikkan_disp_name = 'C631' THEN min_shikkan_start_date ::DATE ELSE NULL END AS shikkan290_start_date</v>
      </c>
      <c r="V308" s="25" t="str">
        <f t="shared" si="41"/>
        <v>, max(shikkan290_start_date)</v>
      </c>
      <c r="AA308" s="4"/>
      <c r="AB308" s="4"/>
      <c r="AC308" s="4"/>
      <c r="AD308" s="4"/>
      <c r="AE308" s="4"/>
      <c r="AF308" s="4"/>
      <c r="AG308" s="4"/>
      <c r="AH308" s="4"/>
      <c r="AI308" s="4"/>
      <c r="AJ308" s="76" t="str">
        <f>IF(E308="○",IF(COUNTA(E$13:E308)=1,"",",")&amp;D308,"")</f>
        <v/>
      </c>
      <c r="AK308" s="4"/>
      <c r="AL308" s="4"/>
      <c r="AM308" s="4"/>
      <c r="AN308" s="4"/>
      <c r="AO308" s="4"/>
      <c r="AP308" s="4"/>
      <c r="AQ308" s="4"/>
      <c r="AR308" s="4"/>
      <c r="AS308" s="76" t="str">
        <f>"COMMENT ON COLUMN "&amp;エンティティ一覧!$O$2&amp;"."&amp;D$8&amp;"."&amp;D308&amp;" IS '"&amp;C308&amp;"';"</f>
        <v>COMMENT ON COLUMN milscm_2023_009.sny_202310_annony_bef2.shikkan290_start_date IS 'C631_疾患開始日';</v>
      </c>
    </row>
    <row r="309" spans="1:45" s="25" customFormat="1">
      <c r="A309" s="4" t="s">
        <v>5437</v>
      </c>
      <c r="B309" s="21">
        <f t="shared" si="39"/>
        <v>297</v>
      </c>
      <c r="C309" s="13" t="s">
        <v>6827</v>
      </c>
      <c r="D309" s="13" t="s">
        <v>5951</v>
      </c>
      <c r="E309" s="8"/>
      <c r="F309" s="7" t="s">
        <v>4348</v>
      </c>
      <c r="G309" s="7" t="s">
        <v>25</v>
      </c>
      <c r="H309" s="58"/>
      <c r="I309" s="23"/>
      <c r="J309" s="24"/>
      <c r="M309" s="4"/>
      <c r="N309" s="76"/>
      <c r="O309" s="76"/>
      <c r="P309" s="76" t="str">
        <f t="shared" si="42"/>
        <v>,shikkan291_start_date</v>
      </c>
      <c r="Q309" s="76" t="str">
        <f t="shared" si="43"/>
        <v>DATE</v>
      </c>
      <c r="R309" s="76" t="str">
        <f t="shared" si="44"/>
        <v/>
      </c>
      <c r="S309" s="76" t="str">
        <f t="shared" si="45"/>
        <v/>
      </c>
      <c r="T309" s="76" t="str">
        <f t="shared" si="46"/>
        <v>-- C632_疾患開始日</v>
      </c>
      <c r="U309" s="4" t="str">
        <f t="shared" si="40"/>
        <v>, CASE WHEN shikkan_disp_name = 'C632' THEN min_shikkan_start_date ::DATE ELSE NULL END AS shikkan291_start_date</v>
      </c>
      <c r="V309" s="25" t="str">
        <f t="shared" si="41"/>
        <v>, max(shikkan291_start_date)</v>
      </c>
      <c r="AA309" s="4"/>
      <c r="AB309" s="4"/>
      <c r="AC309" s="4"/>
      <c r="AD309" s="4"/>
      <c r="AE309" s="4"/>
      <c r="AF309" s="4"/>
      <c r="AG309" s="4"/>
      <c r="AH309" s="4"/>
      <c r="AI309" s="4"/>
      <c r="AJ309" s="76" t="str">
        <f>IF(E309="○",IF(COUNTA(E$13:E309)=1,"",",")&amp;D309,"")</f>
        <v/>
      </c>
      <c r="AK309" s="4"/>
      <c r="AL309" s="4"/>
      <c r="AM309" s="4"/>
      <c r="AN309" s="4"/>
      <c r="AO309" s="4"/>
      <c r="AP309" s="4"/>
      <c r="AQ309" s="4"/>
      <c r="AR309" s="4"/>
      <c r="AS309" s="76" t="str">
        <f>"COMMENT ON COLUMN "&amp;エンティティ一覧!$O$2&amp;"."&amp;D$8&amp;"."&amp;D309&amp;" IS '"&amp;C309&amp;"';"</f>
        <v>COMMENT ON COLUMN milscm_2023_009.sny_202310_annony_bef2.shikkan291_start_date IS 'C632_疾患開始日';</v>
      </c>
    </row>
    <row r="310" spans="1:45" s="25" customFormat="1">
      <c r="A310" s="4" t="s">
        <v>5438</v>
      </c>
      <c r="B310" s="21">
        <f t="shared" si="39"/>
        <v>298</v>
      </c>
      <c r="C310" s="13" t="s">
        <v>6828</v>
      </c>
      <c r="D310" s="13" t="s">
        <v>5952</v>
      </c>
      <c r="E310" s="8"/>
      <c r="F310" s="7" t="s">
        <v>4348</v>
      </c>
      <c r="G310" s="7" t="s">
        <v>25</v>
      </c>
      <c r="H310" s="58"/>
      <c r="I310" s="23"/>
      <c r="J310" s="24"/>
      <c r="M310" s="4"/>
      <c r="N310" s="76"/>
      <c r="O310" s="76"/>
      <c r="P310" s="76" t="str">
        <f t="shared" si="42"/>
        <v>,shikkan292_start_date</v>
      </c>
      <c r="Q310" s="76" t="str">
        <f t="shared" si="43"/>
        <v>DATE</v>
      </c>
      <c r="R310" s="76" t="str">
        <f t="shared" si="44"/>
        <v/>
      </c>
      <c r="S310" s="76" t="str">
        <f t="shared" si="45"/>
        <v/>
      </c>
      <c r="T310" s="76" t="str">
        <f t="shared" si="46"/>
        <v>-- C637_疾患開始日</v>
      </c>
      <c r="U310" s="4" t="str">
        <f t="shared" si="40"/>
        <v>, CASE WHEN shikkan_disp_name = 'C637' THEN min_shikkan_start_date ::DATE ELSE NULL END AS shikkan292_start_date</v>
      </c>
      <c r="V310" s="25" t="str">
        <f t="shared" si="41"/>
        <v>, max(shikkan292_start_date)</v>
      </c>
      <c r="AA310" s="4"/>
      <c r="AB310" s="4"/>
      <c r="AC310" s="4"/>
      <c r="AD310" s="4"/>
      <c r="AE310" s="4"/>
      <c r="AF310" s="4"/>
      <c r="AG310" s="4"/>
      <c r="AH310" s="4"/>
      <c r="AI310" s="4"/>
      <c r="AJ310" s="76" t="str">
        <f>IF(E310="○",IF(COUNTA(E$13:E310)=1,"",",")&amp;D310,"")</f>
        <v/>
      </c>
      <c r="AK310" s="4"/>
      <c r="AL310" s="4"/>
      <c r="AM310" s="4"/>
      <c r="AN310" s="4"/>
      <c r="AO310" s="4"/>
      <c r="AP310" s="4"/>
      <c r="AQ310" s="4"/>
      <c r="AR310" s="4"/>
      <c r="AS310" s="76" t="str">
        <f>"COMMENT ON COLUMN "&amp;エンティティ一覧!$O$2&amp;"."&amp;D$8&amp;"."&amp;D310&amp;" IS '"&amp;C310&amp;"';"</f>
        <v>COMMENT ON COLUMN milscm_2023_009.sny_202310_annony_bef2.shikkan292_start_date IS 'C637_疾患開始日';</v>
      </c>
    </row>
    <row r="311" spans="1:45" s="25" customFormat="1">
      <c r="A311" s="4" t="s">
        <v>5439</v>
      </c>
      <c r="B311" s="21">
        <f t="shared" si="39"/>
        <v>299</v>
      </c>
      <c r="C311" s="13" t="s">
        <v>6829</v>
      </c>
      <c r="D311" s="13" t="s">
        <v>5953</v>
      </c>
      <c r="E311" s="8"/>
      <c r="F311" s="7" t="s">
        <v>4348</v>
      </c>
      <c r="G311" s="7" t="s">
        <v>25</v>
      </c>
      <c r="H311" s="58"/>
      <c r="I311" s="23"/>
      <c r="J311" s="24"/>
      <c r="M311" s="4"/>
      <c r="N311" s="76"/>
      <c r="O311" s="76"/>
      <c r="P311" s="76" t="str">
        <f t="shared" si="42"/>
        <v>,shikkan293_start_date</v>
      </c>
      <c r="Q311" s="76" t="str">
        <f t="shared" si="43"/>
        <v>DATE</v>
      </c>
      <c r="R311" s="76" t="str">
        <f t="shared" si="44"/>
        <v/>
      </c>
      <c r="S311" s="76" t="str">
        <f t="shared" si="45"/>
        <v/>
      </c>
      <c r="T311" s="76" t="str">
        <f t="shared" si="46"/>
        <v>-- C638_疾患開始日</v>
      </c>
      <c r="U311" s="4" t="str">
        <f t="shared" si="40"/>
        <v>, CASE WHEN shikkan_disp_name = 'C638' THEN min_shikkan_start_date ::DATE ELSE NULL END AS shikkan293_start_date</v>
      </c>
      <c r="V311" s="25" t="str">
        <f t="shared" si="41"/>
        <v>, max(shikkan293_start_date)</v>
      </c>
      <c r="AA311" s="4"/>
      <c r="AB311" s="4"/>
      <c r="AC311" s="4"/>
      <c r="AD311" s="4"/>
      <c r="AE311" s="4"/>
      <c r="AF311" s="4"/>
      <c r="AG311" s="4"/>
      <c r="AH311" s="4"/>
      <c r="AI311" s="4"/>
      <c r="AJ311" s="76" t="str">
        <f>IF(E311="○",IF(COUNTA(E$13:E311)=1,"",",")&amp;D311,"")</f>
        <v/>
      </c>
      <c r="AK311" s="4"/>
      <c r="AL311" s="4"/>
      <c r="AM311" s="4"/>
      <c r="AN311" s="4"/>
      <c r="AO311" s="4"/>
      <c r="AP311" s="4"/>
      <c r="AQ311" s="4"/>
      <c r="AR311" s="4"/>
      <c r="AS311" s="76" t="str">
        <f>"COMMENT ON COLUMN "&amp;エンティティ一覧!$O$2&amp;"."&amp;D$8&amp;"."&amp;D311&amp;" IS '"&amp;C311&amp;"';"</f>
        <v>COMMENT ON COLUMN milscm_2023_009.sny_202310_annony_bef2.shikkan293_start_date IS 'C638_疾患開始日';</v>
      </c>
    </row>
    <row r="312" spans="1:45" s="25" customFormat="1">
      <c r="A312" s="4" t="s">
        <v>5440</v>
      </c>
      <c r="B312" s="21">
        <f t="shared" si="39"/>
        <v>300</v>
      </c>
      <c r="C312" s="13" t="s">
        <v>6830</v>
      </c>
      <c r="D312" s="13" t="s">
        <v>5954</v>
      </c>
      <c r="E312" s="8"/>
      <c r="F312" s="7" t="s">
        <v>4348</v>
      </c>
      <c r="G312" s="7" t="s">
        <v>25</v>
      </c>
      <c r="H312" s="58"/>
      <c r="I312" s="23"/>
      <c r="J312" s="24"/>
      <c r="M312" s="4"/>
      <c r="N312" s="76"/>
      <c r="O312" s="76"/>
      <c r="P312" s="76" t="str">
        <f t="shared" si="42"/>
        <v>,shikkan294_start_date</v>
      </c>
      <c r="Q312" s="76" t="str">
        <f t="shared" si="43"/>
        <v>DATE</v>
      </c>
      <c r="R312" s="76" t="str">
        <f t="shared" si="44"/>
        <v/>
      </c>
      <c r="S312" s="76" t="str">
        <f t="shared" si="45"/>
        <v/>
      </c>
      <c r="T312" s="76" t="str">
        <f t="shared" si="46"/>
        <v>-- C639_疾患開始日</v>
      </c>
      <c r="U312" s="4" t="str">
        <f t="shared" si="40"/>
        <v>, CASE WHEN shikkan_disp_name = 'C639' THEN min_shikkan_start_date ::DATE ELSE NULL END AS shikkan294_start_date</v>
      </c>
      <c r="V312" s="25" t="str">
        <f t="shared" si="41"/>
        <v>, max(shikkan294_start_date)</v>
      </c>
      <c r="AA312" s="4"/>
      <c r="AB312" s="4"/>
      <c r="AC312" s="4"/>
      <c r="AD312" s="4"/>
      <c r="AE312" s="4"/>
      <c r="AF312" s="4"/>
      <c r="AG312" s="4"/>
      <c r="AH312" s="4"/>
      <c r="AI312" s="4"/>
      <c r="AJ312" s="76" t="str">
        <f>IF(E312="○",IF(COUNTA(E$13:E312)=1,"",",")&amp;D312,"")</f>
        <v/>
      </c>
      <c r="AK312" s="4"/>
      <c r="AL312" s="4"/>
      <c r="AM312" s="4"/>
      <c r="AN312" s="4"/>
      <c r="AO312" s="4"/>
      <c r="AP312" s="4"/>
      <c r="AQ312" s="4"/>
      <c r="AR312" s="4"/>
      <c r="AS312" s="76" t="str">
        <f>"COMMENT ON COLUMN "&amp;エンティティ一覧!$O$2&amp;"."&amp;D$8&amp;"."&amp;D312&amp;" IS '"&amp;C312&amp;"';"</f>
        <v>COMMENT ON COLUMN milscm_2023_009.sny_202310_annony_bef2.shikkan294_start_date IS 'C639_疾患開始日';</v>
      </c>
    </row>
    <row r="313" spans="1:45" s="25" customFormat="1">
      <c r="A313" s="4" t="s">
        <v>5153</v>
      </c>
      <c r="B313" s="21">
        <f t="shared" si="39"/>
        <v>301</v>
      </c>
      <c r="C313" s="13" t="s">
        <v>4763</v>
      </c>
      <c r="D313" s="13" t="s">
        <v>5955</v>
      </c>
      <c r="E313" s="8"/>
      <c r="F313" s="7" t="s">
        <v>4348</v>
      </c>
      <c r="G313" s="7" t="s">
        <v>25</v>
      </c>
      <c r="H313" s="58"/>
      <c r="I313" s="23"/>
      <c r="J313" s="24"/>
      <c r="M313" s="4"/>
      <c r="N313" s="76"/>
      <c r="O313" s="76"/>
      <c r="P313" s="76" t="str">
        <f t="shared" si="42"/>
        <v>,shikkan295_start_date</v>
      </c>
      <c r="Q313" s="76" t="str">
        <f t="shared" si="43"/>
        <v>DATE</v>
      </c>
      <c r="R313" s="76" t="str">
        <f t="shared" si="44"/>
        <v/>
      </c>
      <c r="S313" s="76" t="str">
        <f t="shared" si="45"/>
        <v/>
      </c>
      <c r="T313" s="76" t="str">
        <f t="shared" si="46"/>
        <v>-- C64_疾患開始日</v>
      </c>
      <c r="U313" s="4" t="str">
        <f t="shared" si="40"/>
        <v>, CASE WHEN shikkan_disp_name = 'C64' THEN min_shikkan_start_date ::DATE ELSE NULL END AS shikkan295_start_date</v>
      </c>
      <c r="V313" s="25" t="str">
        <f t="shared" si="41"/>
        <v>, max(shikkan295_start_date)</v>
      </c>
      <c r="AA313" s="4"/>
      <c r="AB313" s="4"/>
      <c r="AC313" s="4"/>
      <c r="AD313" s="4"/>
      <c r="AE313" s="4"/>
      <c r="AF313" s="4"/>
      <c r="AG313" s="4"/>
      <c r="AH313" s="4"/>
      <c r="AI313" s="4"/>
      <c r="AJ313" s="76" t="str">
        <f>IF(E313="○",IF(COUNTA(E$13:E313)=1,"",",")&amp;D313,"")</f>
        <v/>
      </c>
      <c r="AK313" s="4"/>
      <c r="AL313" s="4"/>
      <c r="AM313" s="4"/>
      <c r="AN313" s="4"/>
      <c r="AO313" s="4"/>
      <c r="AP313" s="4"/>
      <c r="AQ313" s="4"/>
      <c r="AR313" s="4"/>
      <c r="AS313" s="76" t="str">
        <f>"COMMENT ON COLUMN "&amp;エンティティ一覧!$O$2&amp;"."&amp;D$8&amp;"."&amp;D313&amp;" IS '"&amp;C313&amp;"';"</f>
        <v>COMMENT ON COLUMN milscm_2023_009.sny_202310_annony_bef2.shikkan295_start_date IS 'C64_疾患開始日';</v>
      </c>
    </row>
    <row r="314" spans="1:45" s="25" customFormat="1">
      <c r="A314" s="4" t="s">
        <v>5154</v>
      </c>
      <c r="B314" s="21">
        <f t="shared" si="39"/>
        <v>302</v>
      </c>
      <c r="C314" s="13" t="s">
        <v>4764</v>
      </c>
      <c r="D314" s="13" t="s">
        <v>5956</v>
      </c>
      <c r="E314" s="8"/>
      <c r="F314" s="7" t="s">
        <v>4348</v>
      </c>
      <c r="G314" s="7" t="s">
        <v>25</v>
      </c>
      <c r="H314" s="58"/>
      <c r="I314" s="23"/>
      <c r="J314" s="24"/>
      <c r="M314" s="4"/>
      <c r="N314" s="76"/>
      <c r="O314" s="76"/>
      <c r="P314" s="76" t="str">
        <f t="shared" si="42"/>
        <v>,shikkan296_start_date</v>
      </c>
      <c r="Q314" s="76" t="str">
        <f t="shared" si="43"/>
        <v>DATE</v>
      </c>
      <c r="R314" s="76" t="str">
        <f t="shared" si="44"/>
        <v/>
      </c>
      <c r="S314" s="76" t="str">
        <f t="shared" si="45"/>
        <v/>
      </c>
      <c r="T314" s="76" t="str">
        <f t="shared" si="46"/>
        <v>-- C65_疾患開始日</v>
      </c>
      <c r="U314" s="4" t="str">
        <f t="shared" si="40"/>
        <v>, CASE WHEN shikkan_disp_name = 'C65' THEN min_shikkan_start_date ::DATE ELSE NULL END AS shikkan296_start_date</v>
      </c>
      <c r="V314" s="25" t="str">
        <f t="shared" si="41"/>
        <v>, max(shikkan296_start_date)</v>
      </c>
      <c r="AA314" s="4"/>
      <c r="AB314" s="4"/>
      <c r="AC314" s="4"/>
      <c r="AD314" s="4"/>
      <c r="AE314" s="4"/>
      <c r="AF314" s="4"/>
      <c r="AG314" s="4"/>
      <c r="AH314" s="4"/>
      <c r="AI314" s="4"/>
      <c r="AJ314" s="76" t="str">
        <f>IF(E314="○",IF(COUNTA(E$13:E314)=1,"",",")&amp;D314,"")</f>
        <v/>
      </c>
      <c r="AK314" s="4"/>
      <c r="AL314" s="4"/>
      <c r="AM314" s="4"/>
      <c r="AN314" s="4"/>
      <c r="AO314" s="4"/>
      <c r="AP314" s="4"/>
      <c r="AQ314" s="4"/>
      <c r="AR314" s="4"/>
      <c r="AS314" s="76" t="str">
        <f>"COMMENT ON COLUMN "&amp;エンティティ一覧!$O$2&amp;"."&amp;D$8&amp;"."&amp;D314&amp;" IS '"&amp;C314&amp;"';"</f>
        <v>COMMENT ON COLUMN milscm_2023_009.sny_202310_annony_bef2.shikkan296_start_date IS 'C65_疾患開始日';</v>
      </c>
    </row>
    <row r="315" spans="1:45" s="25" customFormat="1">
      <c r="A315" s="4" t="s">
        <v>5155</v>
      </c>
      <c r="B315" s="21">
        <f t="shared" si="39"/>
        <v>303</v>
      </c>
      <c r="C315" s="13" t="s">
        <v>4765</v>
      </c>
      <c r="D315" s="13" t="s">
        <v>5957</v>
      </c>
      <c r="E315" s="8"/>
      <c r="F315" s="7" t="s">
        <v>4348</v>
      </c>
      <c r="G315" s="7" t="s">
        <v>25</v>
      </c>
      <c r="H315" s="58"/>
      <c r="I315" s="23"/>
      <c r="J315" s="24"/>
      <c r="M315" s="4"/>
      <c r="N315" s="76"/>
      <c r="O315" s="76"/>
      <c r="P315" s="76" t="str">
        <f t="shared" si="42"/>
        <v>,shikkan297_start_date</v>
      </c>
      <c r="Q315" s="76" t="str">
        <f t="shared" si="43"/>
        <v>DATE</v>
      </c>
      <c r="R315" s="76" t="str">
        <f t="shared" si="44"/>
        <v/>
      </c>
      <c r="S315" s="76" t="str">
        <f t="shared" si="45"/>
        <v/>
      </c>
      <c r="T315" s="76" t="str">
        <f t="shared" si="46"/>
        <v>-- C66_疾患開始日</v>
      </c>
      <c r="U315" s="4" t="str">
        <f t="shared" si="40"/>
        <v>, CASE WHEN shikkan_disp_name = 'C66' THEN min_shikkan_start_date ::DATE ELSE NULL END AS shikkan297_start_date</v>
      </c>
      <c r="V315" s="25" t="str">
        <f t="shared" si="41"/>
        <v>, max(shikkan297_start_date)</v>
      </c>
      <c r="AA315" s="4"/>
      <c r="AB315" s="4"/>
      <c r="AC315" s="4"/>
      <c r="AD315" s="4"/>
      <c r="AE315" s="4"/>
      <c r="AF315" s="4"/>
      <c r="AG315" s="4"/>
      <c r="AH315" s="4"/>
      <c r="AI315" s="4"/>
      <c r="AJ315" s="76" t="str">
        <f>IF(E315="○",IF(COUNTA(E$13:E315)=1,"",",")&amp;D315,"")</f>
        <v/>
      </c>
      <c r="AK315" s="4"/>
      <c r="AL315" s="4"/>
      <c r="AM315" s="4"/>
      <c r="AN315" s="4"/>
      <c r="AO315" s="4"/>
      <c r="AP315" s="4"/>
      <c r="AQ315" s="4"/>
      <c r="AR315" s="4"/>
      <c r="AS315" s="76" t="str">
        <f>"COMMENT ON COLUMN "&amp;エンティティ一覧!$O$2&amp;"."&amp;D$8&amp;"."&amp;D315&amp;" IS '"&amp;C315&amp;"';"</f>
        <v>COMMENT ON COLUMN milscm_2023_009.sny_202310_annony_bef2.shikkan297_start_date IS 'C66_疾患開始日';</v>
      </c>
    </row>
    <row r="316" spans="1:45" s="25" customFormat="1">
      <c r="A316" s="4" t="s">
        <v>5441</v>
      </c>
      <c r="B316" s="21">
        <f t="shared" si="39"/>
        <v>304</v>
      </c>
      <c r="C316" s="13" t="s">
        <v>6831</v>
      </c>
      <c r="D316" s="13" t="s">
        <v>5958</v>
      </c>
      <c r="E316" s="8"/>
      <c r="F316" s="7" t="s">
        <v>4348</v>
      </c>
      <c r="G316" s="7" t="s">
        <v>25</v>
      </c>
      <c r="H316" s="58"/>
      <c r="I316" s="23"/>
      <c r="J316" s="24"/>
      <c r="M316" s="4"/>
      <c r="N316" s="76"/>
      <c r="O316" s="76"/>
      <c r="P316" s="76" t="str">
        <f t="shared" si="42"/>
        <v>,shikkan298_start_date</v>
      </c>
      <c r="Q316" s="76" t="str">
        <f t="shared" si="43"/>
        <v>DATE</v>
      </c>
      <c r="R316" s="76" t="str">
        <f t="shared" si="44"/>
        <v/>
      </c>
      <c r="S316" s="76" t="str">
        <f t="shared" si="45"/>
        <v/>
      </c>
      <c r="T316" s="76" t="str">
        <f t="shared" si="46"/>
        <v>-- C670_疾患開始日</v>
      </c>
      <c r="U316" s="4" t="str">
        <f t="shared" si="40"/>
        <v>, CASE WHEN shikkan_disp_name = 'C670' THEN min_shikkan_start_date ::DATE ELSE NULL END AS shikkan298_start_date</v>
      </c>
      <c r="V316" s="25" t="str">
        <f t="shared" si="41"/>
        <v>, max(shikkan298_start_date)</v>
      </c>
      <c r="AA316" s="4"/>
      <c r="AB316" s="4"/>
      <c r="AC316" s="4"/>
      <c r="AD316" s="4"/>
      <c r="AE316" s="4"/>
      <c r="AF316" s="4"/>
      <c r="AG316" s="4"/>
      <c r="AH316" s="4"/>
      <c r="AI316" s="4"/>
      <c r="AJ316" s="76" t="str">
        <f>IF(E316="○",IF(COUNTA(E$13:E316)=1,"",",")&amp;D316,"")</f>
        <v/>
      </c>
      <c r="AK316" s="4"/>
      <c r="AL316" s="4"/>
      <c r="AM316" s="4"/>
      <c r="AN316" s="4"/>
      <c r="AO316" s="4"/>
      <c r="AP316" s="4"/>
      <c r="AQ316" s="4"/>
      <c r="AR316" s="4"/>
      <c r="AS316" s="76" t="str">
        <f>"COMMENT ON COLUMN "&amp;エンティティ一覧!$O$2&amp;"."&amp;D$8&amp;"."&amp;D316&amp;" IS '"&amp;C316&amp;"';"</f>
        <v>COMMENT ON COLUMN milscm_2023_009.sny_202310_annony_bef2.shikkan298_start_date IS 'C670_疾患開始日';</v>
      </c>
    </row>
    <row r="317" spans="1:45" s="25" customFormat="1">
      <c r="A317" s="4" t="s">
        <v>5442</v>
      </c>
      <c r="B317" s="21">
        <f t="shared" si="39"/>
        <v>305</v>
      </c>
      <c r="C317" s="13" t="s">
        <v>6832</v>
      </c>
      <c r="D317" s="13" t="s">
        <v>5959</v>
      </c>
      <c r="E317" s="8"/>
      <c r="F317" s="7" t="s">
        <v>4348</v>
      </c>
      <c r="G317" s="7" t="s">
        <v>25</v>
      </c>
      <c r="H317" s="58"/>
      <c r="I317" s="23"/>
      <c r="J317" s="24"/>
      <c r="M317" s="4"/>
      <c r="N317" s="76"/>
      <c r="O317" s="76"/>
      <c r="P317" s="76" t="str">
        <f t="shared" si="42"/>
        <v>,shikkan299_start_date</v>
      </c>
      <c r="Q317" s="76" t="str">
        <f t="shared" si="43"/>
        <v>DATE</v>
      </c>
      <c r="R317" s="76" t="str">
        <f t="shared" si="44"/>
        <v/>
      </c>
      <c r="S317" s="76" t="str">
        <f t="shared" si="45"/>
        <v/>
      </c>
      <c r="T317" s="76" t="str">
        <f t="shared" si="46"/>
        <v>-- C671_疾患開始日</v>
      </c>
      <c r="U317" s="4" t="str">
        <f t="shared" si="40"/>
        <v>, CASE WHEN shikkan_disp_name = 'C671' THEN min_shikkan_start_date ::DATE ELSE NULL END AS shikkan299_start_date</v>
      </c>
      <c r="V317" s="25" t="str">
        <f t="shared" si="41"/>
        <v>, max(shikkan299_start_date)</v>
      </c>
      <c r="AA317" s="4"/>
      <c r="AB317" s="4"/>
      <c r="AC317" s="4"/>
      <c r="AD317" s="4"/>
      <c r="AE317" s="4"/>
      <c r="AF317" s="4"/>
      <c r="AG317" s="4"/>
      <c r="AH317" s="4"/>
      <c r="AI317" s="4"/>
      <c r="AJ317" s="76" t="str">
        <f>IF(E317="○",IF(COUNTA(E$13:E317)=1,"",",")&amp;D317,"")</f>
        <v/>
      </c>
      <c r="AK317" s="4"/>
      <c r="AL317" s="4"/>
      <c r="AM317" s="4"/>
      <c r="AN317" s="4"/>
      <c r="AO317" s="4"/>
      <c r="AP317" s="4"/>
      <c r="AQ317" s="4"/>
      <c r="AR317" s="4"/>
      <c r="AS317" s="76" t="str">
        <f>"COMMENT ON COLUMN "&amp;エンティティ一覧!$O$2&amp;"."&amp;D$8&amp;"."&amp;D317&amp;" IS '"&amp;C317&amp;"';"</f>
        <v>COMMENT ON COLUMN milscm_2023_009.sny_202310_annony_bef2.shikkan299_start_date IS 'C671_疾患開始日';</v>
      </c>
    </row>
    <row r="318" spans="1:45" s="25" customFormat="1">
      <c r="A318" s="4" t="s">
        <v>5443</v>
      </c>
      <c r="B318" s="21">
        <f t="shared" si="39"/>
        <v>306</v>
      </c>
      <c r="C318" s="13" t="s">
        <v>6833</v>
      </c>
      <c r="D318" s="13" t="s">
        <v>5960</v>
      </c>
      <c r="E318" s="8"/>
      <c r="F318" s="7" t="s">
        <v>4348</v>
      </c>
      <c r="G318" s="7" t="s">
        <v>25</v>
      </c>
      <c r="H318" s="58"/>
      <c r="I318" s="23"/>
      <c r="J318" s="24"/>
      <c r="M318" s="4"/>
      <c r="N318" s="76"/>
      <c r="O318" s="76"/>
      <c r="P318" s="76" t="str">
        <f t="shared" si="42"/>
        <v>,shikkan300_start_date</v>
      </c>
      <c r="Q318" s="76" t="str">
        <f t="shared" si="43"/>
        <v>DATE</v>
      </c>
      <c r="R318" s="76" t="str">
        <f t="shared" si="44"/>
        <v/>
      </c>
      <c r="S318" s="76" t="str">
        <f t="shared" si="45"/>
        <v/>
      </c>
      <c r="T318" s="76" t="str">
        <f t="shared" si="46"/>
        <v>-- C672_疾患開始日</v>
      </c>
      <c r="U318" s="4" t="str">
        <f t="shared" si="40"/>
        <v>, CASE WHEN shikkan_disp_name = 'C672' THEN min_shikkan_start_date ::DATE ELSE NULL END AS shikkan300_start_date</v>
      </c>
      <c r="V318" s="25" t="str">
        <f t="shared" si="41"/>
        <v>, max(shikkan300_start_date)</v>
      </c>
      <c r="AA318" s="4"/>
      <c r="AB318" s="4"/>
      <c r="AC318" s="4"/>
      <c r="AD318" s="4"/>
      <c r="AE318" s="4"/>
      <c r="AF318" s="4"/>
      <c r="AG318" s="4"/>
      <c r="AH318" s="4"/>
      <c r="AI318" s="4"/>
      <c r="AJ318" s="76" t="str">
        <f>IF(E318="○",IF(COUNTA(E$13:E318)=1,"",",")&amp;D318,"")</f>
        <v/>
      </c>
      <c r="AK318" s="4"/>
      <c r="AL318" s="4"/>
      <c r="AM318" s="4"/>
      <c r="AN318" s="4"/>
      <c r="AO318" s="4"/>
      <c r="AP318" s="4"/>
      <c r="AQ318" s="4"/>
      <c r="AR318" s="4"/>
      <c r="AS318" s="76" t="str">
        <f>"COMMENT ON COLUMN "&amp;エンティティ一覧!$O$2&amp;"."&amp;D$8&amp;"."&amp;D318&amp;" IS '"&amp;C318&amp;"';"</f>
        <v>COMMENT ON COLUMN milscm_2023_009.sny_202310_annony_bef2.shikkan300_start_date IS 'C672_疾患開始日';</v>
      </c>
    </row>
    <row r="319" spans="1:45" s="25" customFormat="1">
      <c r="A319" s="4" t="s">
        <v>5444</v>
      </c>
      <c r="B319" s="21">
        <f t="shared" si="39"/>
        <v>307</v>
      </c>
      <c r="C319" s="13" t="s">
        <v>6834</v>
      </c>
      <c r="D319" s="13" t="s">
        <v>5961</v>
      </c>
      <c r="E319" s="8"/>
      <c r="F319" s="7" t="s">
        <v>4348</v>
      </c>
      <c r="G319" s="7" t="s">
        <v>25</v>
      </c>
      <c r="H319" s="58"/>
      <c r="I319" s="23"/>
      <c r="J319" s="24"/>
      <c r="M319" s="4"/>
      <c r="N319" s="76"/>
      <c r="O319" s="76"/>
      <c r="P319" s="76" t="str">
        <f t="shared" si="42"/>
        <v>,shikkan301_start_date</v>
      </c>
      <c r="Q319" s="76" t="str">
        <f t="shared" si="43"/>
        <v>DATE</v>
      </c>
      <c r="R319" s="76" t="str">
        <f t="shared" si="44"/>
        <v/>
      </c>
      <c r="S319" s="76" t="str">
        <f t="shared" si="45"/>
        <v/>
      </c>
      <c r="T319" s="76" t="str">
        <f t="shared" si="46"/>
        <v>-- C673_疾患開始日</v>
      </c>
      <c r="U319" s="4" t="str">
        <f t="shared" si="40"/>
        <v>, CASE WHEN shikkan_disp_name = 'C673' THEN min_shikkan_start_date ::DATE ELSE NULL END AS shikkan301_start_date</v>
      </c>
      <c r="V319" s="25" t="str">
        <f t="shared" si="41"/>
        <v>, max(shikkan301_start_date)</v>
      </c>
      <c r="AA319" s="4"/>
      <c r="AB319" s="4"/>
      <c r="AC319" s="4"/>
      <c r="AD319" s="4"/>
      <c r="AE319" s="4"/>
      <c r="AF319" s="4"/>
      <c r="AG319" s="4"/>
      <c r="AH319" s="4"/>
      <c r="AI319" s="4"/>
      <c r="AJ319" s="76" t="str">
        <f>IF(E319="○",IF(COUNTA(E$13:E319)=1,"",",")&amp;D319,"")</f>
        <v/>
      </c>
      <c r="AK319" s="4"/>
      <c r="AL319" s="4"/>
      <c r="AM319" s="4"/>
      <c r="AN319" s="4"/>
      <c r="AO319" s="4"/>
      <c r="AP319" s="4"/>
      <c r="AQ319" s="4"/>
      <c r="AR319" s="4"/>
      <c r="AS319" s="76" t="str">
        <f>"COMMENT ON COLUMN "&amp;エンティティ一覧!$O$2&amp;"."&amp;D$8&amp;"."&amp;D319&amp;" IS '"&amp;C319&amp;"';"</f>
        <v>COMMENT ON COLUMN milscm_2023_009.sny_202310_annony_bef2.shikkan301_start_date IS 'C673_疾患開始日';</v>
      </c>
    </row>
    <row r="320" spans="1:45" s="25" customFormat="1">
      <c r="A320" s="4" t="s">
        <v>5445</v>
      </c>
      <c r="B320" s="21">
        <f t="shared" si="39"/>
        <v>308</v>
      </c>
      <c r="C320" s="13" t="s">
        <v>6835</v>
      </c>
      <c r="D320" s="13" t="s">
        <v>5962</v>
      </c>
      <c r="E320" s="8"/>
      <c r="F320" s="7" t="s">
        <v>4348</v>
      </c>
      <c r="G320" s="7" t="s">
        <v>25</v>
      </c>
      <c r="H320" s="58"/>
      <c r="I320" s="23"/>
      <c r="J320" s="24"/>
      <c r="M320" s="4"/>
      <c r="N320" s="76"/>
      <c r="O320" s="76"/>
      <c r="P320" s="76" t="str">
        <f t="shared" si="42"/>
        <v>,shikkan302_start_date</v>
      </c>
      <c r="Q320" s="76" t="str">
        <f t="shared" si="43"/>
        <v>DATE</v>
      </c>
      <c r="R320" s="76" t="str">
        <f t="shared" si="44"/>
        <v/>
      </c>
      <c r="S320" s="76" t="str">
        <f t="shared" si="45"/>
        <v/>
      </c>
      <c r="T320" s="76" t="str">
        <f t="shared" si="46"/>
        <v>-- C674_疾患開始日</v>
      </c>
      <c r="U320" s="4" t="str">
        <f t="shared" si="40"/>
        <v>, CASE WHEN shikkan_disp_name = 'C674' THEN min_shikkan_start_date ::DATE ELSE NULL END AS shikkan302_start_date</v>
      </c>
      <c r="V320" s="25" t="str">
        <f t="shared" si="41"/>
        <v>, max(shikkan302_start_date)</v>
      </c>
      <c r="AA320" s="4"/>
      <c r="AB320" s="4"/>
      <c r="AC320" s="4"/>
      <c r="AD320" s="4"/>
      <c r="AE320" s="4"/>
      <c r="AF320" s="4"/>
      <c r="AG320" s="4"/>
      <c r="AH320" s="4"/>
      <c r="AI320" s="4"/>
      <c r="AJ320" s="76" t="str">
        <f>IF(E320="○",IF(COUNTA(E$13:E320)=1,"",",")&amp;D320,"")</f>
        <v/>
      </c>
      <c r="AK320" s="4"/>
      <c r="AL320" s="4"/>
      <c r="AM320" s="4"/>
      <c r="AN320" s="4"/>
      <c r="AO320" s="4"/>
      <c r="AP320" s="4"/>
      <c r="AQ320" s="4"/>
      <c r="AR320" s="4"/>
      <c r="AS320" s="76" t="str">
        <f>"COMMENT ON COLUMN "&amp;エンティティ一覧!$O$2&amp;"."&amp;D$8&amp;"."&amp;D320&amp;" IS '"&amp;C320&amp;"';"</f>
        <v>COMMENT ON COLUMN milscm_2023_009.sny_202310_annony_bef2.shikkan302_start_date IS 'C674_疾患開始日';</v>
      </c>
    </row>
    <row r="321" spans="1:45" s="25" customFormat="1">
      <c r="A321" s="4" t="s">
        <v>5446</v>
      </c>
      <c r="B321" s="21">
        <f t="shared" si="39"/>
        <v>309</v>
      </c>
      <c r="C321" s="13" t="s">
        <v>6836</v>
      </c>
      <c r="D321" s="13" t="s">
        <v>5963</v>
      </c>
      <c r="E321" s="8"/>
      <c r="F321" s="7" t="s">
        <v>4348</v>
      </c>
      <c r="G321" s="7" t="s">
        <v>25</v>
      </c>
      <c r="H321" s="58"/>
      <c r="I321" s="23"/>
      <c r="J321" s="24"/>
      <c r="M321" s="4"/>
      <c r="N321" s="76"/>
      <c r="O321" s="76"/>
      <c r="P321" s="76" t="str">
        <f t="shared" si="42"/>
        <v>,shikkan303_start_date</v>
      </c>
      <c r="Q321" s="76" t="str">
        <f t="shared" si="43"/>
        <v>DATE</v>
      </c>
      <c r="R321" s="76" t="str">
        <f t="shared" si="44"/>
        <v/>
      </c>
      <c r="S321" s="76" t="str">
        <f t="shared" si="45"/>
        <v/>
      </c>
      <c r="T321" s="76" t="str">
        <f t="shared" si="46"/>
        <v>-- C675_疾患開始日</v>
      </c>
      <c r="U321" s="4" t="str">
        <f t="shared" si="40"/>
        <v>, CASE WHEN shikkan_disp_name = 'C675' THEN min_shikkan_start_date ::DATE ELSE NULL END AS shikkan303_start_date</v>
      </c>
      <c r="V321" s="25" t="str">
        <f t="shared" si="41"/>
        <v>, max(shikkan303_start_date)</v>
      </c>
      <c r="AA321" s="4"/>
      <c r="AB321" s="4"/>
      <c r="AC321" s="4"/>
      <c r="AD321" s="4"/>
      <c r="AE321" s="4"/>
      <c r="AF321" s="4"/>
      <c r="AG321" s="4"/>
      <c r="AH321" s="4"/>
      <c r="AI321" s="4"/>
      <c r="AJ321" s="76" t="str">
        <f>IF(E321="○",IF(COUNTA(E$13:E321)=1,"",",")&amp;D321,"")</f>
        <v/>
      </c>
      <c r="AK321" s="4"/>
      <c r="AL321" s="4"/>
      <c r="AM321" s="4"/>
      <c r="AN321" s="4"/>
      <c r="AO321" s="4"/>
      <c r="AP321" s="4"/>
      <c r="AQ321" s="4"/>
      <c r="AR321" s="4"/>
      <c r="AS321" s="76" t="str">
        <f>"COMMENT ON COLUMN "&amp;エンティティ一覧!$O$2&amp;"."&amp;D$8&amp;"."&amp;D321&amp;" IS '"&amp;C321&amp;"';"</f>
        <v>COMMENT ON COLUMN milscm_2023_009.sny_202310_annony_bef2.shikkan303_start_date IS 'C675_疾患開始日';</v>
      </c>
    </row>
    <row r="322" spans="1:45" s="25" customFormat="1">
      <c r="A322" s="4" t="s">
        <v>5447</v>
      </c>
      <c r="B322" s="21">
        <f t="shared" si="39"/>
        <v>310</v>
      </c>
      <c r="C322" s="13" t="s">
        <v>6837</v>
      </c>
      <c r="D322" s="13" t="s">
        <v>5964</v>
      </c>
      <c r="E322" s="8"/>
      <c r="F322" s="7" t="s">
        <v>4348</v>
      </c>
      <c r="G322" s="7" t="s">
        <v>99</v>
      </c>
      <c r="H322" s="58"/>
      <c r="I322" s="23"/>
      <c r="J322" s="24"/>
      <c r="M322" s="4"/>
      <c r="N322" s="76"/>
      <c r="O322" s="76"/>
      <c r="P322" s="76" t="str">
        <f t="shared" si="42"/>
        <v>,shikkan304_start_date</v>
      </c>
      <c r="Q322" s="76" t="str">
        <f t="shared" si="43"/>
        <v>DATE</v>
      </c>
      <c r="R322" s="76" t="str">
        <f t="shared" si="44"/>
        <v/>
      </c>
      <c r="S322" s="76" t="str">
        <f t="shared" si="45"/>
        <v/>
      </c>
      <c r="T322" s="76" t="str">
        <f t="shared" si="46"/>
        <v>-- C676_疾患開始日</v>
      </c>
      <c r="U322" s="4" t="str">
        <f t="shared" si="40"/>
        <v>, CASE WHEN shikkan_disp_name = 'C676' THEN min_shikkan_start_date ::DATE ELSE NULL END AS shikkan304_start_date</v>
      </c>
      <c r="V322" s="25" t="str">
        <f t="shared" si="41"/>
        <v>, max(shikkan304_start_date)</v>
      </c>
      <c r="AA322" s="4"/>
      <c r="AB322" s="4"/>
      <c r="AC322" s="4"/>
      <c r="AD322" s="4"/>
      <c r="AE322" s="4"/>
      <c r="AF322" s="4"/>
      <c r="AG322" s="4"/>
      <c r="AH322" s="4"/>
      <c r="AI322" s="4"/>
      <c r="AJ322" s="76" t="str">
        <f>IF(E322="○",IF(COUNTA(E$13:E322)=1,"",",")&amp;D322,"")</f>
        <v/>
      </c>
      <c r="AK322" s="4"/>
      <c r="AL322" s="4"/>
      <c r="AM322" s="4"/>
      <c r="AN322" s="4"/>
      <c r="AO322" s="4"/>
      <c r="AP322" s="4"/>
      <c r="AQ322" s="4"/>
      <c r="AR322" s="4"/>
      <c r="AS322" s="76" t="str">
        <f>"COMMENT ON COLUMN "&amp;エンティティ一覧!$O$2&amp;"."&amp;D$8&amp;"."&amp;D322&amp;" IS '"&amp;C322&amp;"';"</f>
        <v>COMMENT ON COLUMN milscm_2023_009.sny_202310_annony_bef2.shikkan304_start_date IS 'C676_疾患開始日';</v>
      </c>
    </row>
    <row r="323" spans="1:45" s="25" customFormat="1">
      <c r="A323" s="4" t="s">
        <v>5448</v>
      </c>
      <c r="B323" s="21">
        <f t="shared" si="39"/>
        <v>311</v>
      </c>
      <c r="C323" s="13" t="s">
        <v>6838</v>
      </c>
      <c r="D323" s="13" t="s">
        <v>5965</v>
      </c>
      <c r="E323" s="8"/>
      <c r="F323" s="7" t="s">
        <v>4348</v>
      </c>
      <c r="G323" s="7" t="s">
        <v>25</v>
      </c>
      <c r="H323" s="58"/>
      <c r="I323" s="23"/>
      <c r="J323" s="24"/>
      <c r="M323" s="4"/>
      <c r="N323" s="76"/>
      <c r="O323" s="76"/>
      <c r="P323" s="76" t="str">
        <f t="shared" si="42"/>
        <v>,shikkan305_start_date</v>
      </c>
      <c r="Q323" s="76" t="str">
        <f t="shared" si="43"/>
        <v>DATE</v>
      </c>
      <c r="R323" s="76" t="str">
        <f t="shared" si="44"/>
        <v/>
      </c>
      <c r="S323" s="76" t="str">
        <f t="shared" si="45"/>
        <v/>
      </c>
      <c r="T323" s="76" t="str">
        <f t="shared" si="46"/>
        <v>-- C677_疾患開始日</v>
      </c>
      <c r="U323" s="4" t="str">
        <f t="shared" si="40"/>
        <v>, CASE WHEN shikkan_disp_name = 'C677' THEN min_shikkan_start_date ::DATE ELSE NULL END AS shikkan305_start_date</v>
      </c>
      <c r="V323" s="25" t="str">
        <f t="shared" si="41"/>
        <v>, max(shikkan305_start_date)</v>
      </c>
      <c r="AA323" s="4"/>
      <c r="AB323" s="4"/>
      <c r="AC323" s="4"/>
      <c r="AD323" s="4"/>
      <c r="AE323" s="4"/>
      <c r="AF323" s="4"/>
      <c r="AG323" s="4"/>
      <c r="AH323" s="4"/>
      <c r="AI323" s="4"/>
      <c r="AJ323" s="76" t="str">
        <f>IF(E323="○",IF(COUNTA(E$13:E323)=1,"",",")&amp;D323,"")</f>
        <v/>
      </c>
      <c r="AK323" s="4"/>
      <c r="AL323" s="4"/>
      <c r="AM323" s="4"/>
      <c r="AN323" s="4"/>
      <c r="AO323" s="4"/>
      <c r="AP323" s="4"/>
      <c r="AQ323" s="4"/>
      <c r="AR323" s="4"/>
      <c r="AS323" s="76" t="str">
        <f>"COMMENT ON COLUMN "&amp;エンティティ一覧!$O$2&amp;"."&amp;D$8&amp;"."&amp;D323&amp;" IS '"&amp;C323&amp;"';"</f>
        <v>COMMENT ON COLUMN milscm_2023_009.sny_202310_annony_bef2.shikkan305_start_date IS 'C677_疾患開始日';</v>
      </c>
    </row>
    <row r="324" spans="1:45" s="25" customFormat="1">
      <c r="A324" s="4" t="s">
        <v>5449</v>
      </c>
      <c r="B324" s="21">
        <f t="shared" si="39"/>
        <v>312</v>
      </c>
      <c r="C324" s="13" t="s">
        <v>6839</v>
      </c>
      <c r="D324" s="13" t="s">
        <v>5966</v>
      </c>
      <c r="E324" s="8"/>
      <c r="F324" s="7" t="s">
        <v>4348</v>
      </c>
      <c r="G324" s="7" t="s">
        <v>25</v>
      </c>
      <c r="H324" s="58"/>
      <c r="I324" s="23"/>
      <c r="J324" s="24"/>
      <c r="M324" s="4"/>
      <c r="N324" s="76"/>
      <c r="O324" s="76"/>
      <c r="P324" s="76" t="str">
        <f t="shared" si="42"/>
        <v>,shikkan306_start_date</v>
      </c>
      <c r="Q324" s="76" t="str">
        <f t="shared" si="43"/>
        <v>DATE</v>
      </c>
      <c r="R324" s="76" t="str">
        <f t="shared" si="44"/>
        <v/>
      </c>
      <c r="S324" s="76" t="str">
        <f t="shared" si="45"/>
        <v/>
      </c>
      <c r="T324" s="76" t="str">
        <f t="shared" si="46"/>
        <v>-- C678_疾患開始日</v>
      </c>
      <c r="U324" s="4" t="str">
        <f t="shared" si="40"/>
        <v>, CASE WHEN shikkan_disp_name = 'C678' THEN min_shikkan_start_date ::DATE ELSE NULL END AS shikkan306_start_date</v>
      </c>
      <c r="V324" s="25" t="str">
        <f t="shared" si="41"/>
        <v>, max(shikkan306_start_date)</v>
      </c>
      <c r="AA324" s="4"/>
      <c r="AB324" s="4"/>
      <c r="AC324" s="4"/>
      <c r="AD324" s="4"/>
      <c r="AE324" s="4"/>
      <c r="AF324" s="4"/>
      <c r="AG324" s="4"/>
      <c r="AH324" s="4"/>
      <c r="AI324" s="4"/>
      <c r="AJ324" s="76" t="str">
        <f>IF(E324="○",IF(COUNTA(E$13:E324)=1,"",",")&amp;D324,"")</f>
        <v/>
      </c>
      <c r="AK324" s="4"/>
      <c r="AL324" s="4"/>
      <c r="AM324" s="4"/>
      <c r="AN324" s="4"/>
      <c r="AO324" s="4"/>
      <c r="AP324" s="4"/>
      <c r="AQ324" s="4"/>
      <c r="AR324" s="4"/>
      <c r="AS324" s="76" t="str">
        <f>"COMMENT ON COLUMN "&amp;エンティティ一覧!$O$2&amp;"."&amp;D$8&amp;"."&amp;D324&amp;" IS '"&amp;C324&amp;"';"</f>
        <v>COMMENT ON COLUMN milscm_2023_009.sny_202310_annony_bef2.shikkan306_start_date IS 'C678_疾患開始日';</v>
      </c>
    </row>
    <row r="325" spans="1:45" s="25" customFormat="1">
      <c r="A325" s="4" t="s">
        <v>5450</v>
      </c>
      <c r="B325" s="21">
        <f t="shared" si="39"/>
        <v>313</v>
      </c>
      <c r="C325" s="13" t="s">
        <v>6840</v>
      </c>
      <c r="D325" s="13" t="s">
        <v>5967</v>
      </c>
      <c r="E325" s="8"/>
      <c r="F325" s="7" t="s">
        <v>4348</v>
      </c>
      <c r="G325" s="7" t="s">
        <v>25</v>
      </c>
      <c r="H325" s="58"/>
      <c r="I325" s="23"/>
      <c r="J325" s="24"/>
      <c r="M325" s="4"/>
      <c r="N325" s="76"/>
      <c r="O325" s="76"/>
      <c r="P325" s="76" t="str">
        <f t="shared" si="42"/>
        <v>,shikkan307_start_date</v>
      </c>
      <c r="Q325" s="76" t="str">
        <f t="shared" si="43"/>
        <v>DATE</v>
      </c>
      <c r="R325" s="76" t="str">
        <f t="shared" si="44"/>
        <v/>
      </c>
      <c r="S325" s="76" t="str">
        <f t="shared" si="45"/>
        <v/>
      </c>
      <c r="T325" s="76" t="str">
        <f t="shared" si="46"/>
        <v>-- C679_疾患開始日</v>
      </c>
      <c r="U325" s="4" t="str">
        <f t="shared" si="40"/>
        <v>, CASE WHEN shikkan_disp_name = 'C679' THEN min_shikkan_start_date ::DATE ELSE NULL END AS shikkan307_start_date</v>
      </c>
      <c r="V325" s="25" t="str">
        <f t="shared" si="41"/>
        <v>, max(shikkan307_start_date)</v>
      </c>
      <c r="AA325" s="4"/>
      <c r="AB325" s="4"/>
      <c r="AC325" s="4"/>
      <c r="AD325" s="4"/>
      <c r="AE325" s="4"/>
      <c r="AF325" s="4"/>
      <c r="AG325" s="4"/>
      <c r="AH325" s="4"/>
      <c r="AI325" s="4"/>
      <c r="AJ325" s="76" t="str">
        <f>IF(E325="○",IF(COUNTA(E$13:E325)=1,"",",")&amp;D325,"")</f>
        <v/>
      </c>
      <c r="AK325" s="4"/>
      <c r="AL325" s="4"/>
      <c r="AM325" s="4"/>
      <c r="AN325" s="4"/>
      <c r="AO325" s="4"/>
      <c r="AP325" s="4"/>
      <c r="AQ325" s="4"/>
      <c r="AR325" s="4"/>
      <c r="AS325" s="76" t="str">
        <f>"COMMENT ON COLUMN "&amp;エンティティ一覧!$O$2&amp;"."&amp;D$8&amp;"."&amp;D325&amp;" IS '"&amp;C325&amp;"';"</f>
        <v>COMMENT ON COLUMN milscm_2023_009.sny_202310_annony_bef2.shikkan307_start_date IS 'C679_疾患開始日';</v>
      </c>
    </row>
    <row r="326" spans="1:45" s="25" customFormat="1">
      <c r="A326" s="4" t="s">
        <v>5451</v>
      </c>
      <c r="B326" s="21">
        <f t="shared" si="39"/>
        <v>314</v>
      </c>
      <c r="C326" s="13" t="s">
        <v>6841</v>
      </c>
      <c r="D326" s="13" t="s">
        <v>5968</v>
      </c>
      <c r="E326" s="8"/>
      <c r="F326" s="7" t="s">
        <v>4348</v>
      </c>
      <c r="G326" s="7" t="s">
        <v>25</v>
      </c>
      <c r="H326" s="58"/>
      <c r="I326" s="23"/>
      <c r="J326" s="24"/>
      <c r="M326" s="4"/>
      <c r="N326" s="76"/>
      <c r="O326" s="76"/>
      <c r="P326" s="76" t="str">
        <f t="shared" si="42"/>
        <v>,shikkan308_start_date</v>
      </c>
      <c r="Q326" s="76" t="str">
        <f t="shared" si="43"/>
        <v>DATE</v>
      </c>
      <c r="R326" s="76" t="str">
        <f t="shared" si="44"/>
        <v/>
      </c>
      <c r="S326" s="76" t="str">
        <f t="shared" si="45"/>
        <v/>
      </c>
      <c r="T326" s="76" t="str">
        <f t="shared" si="46"/>
        <v>-- C680_疾患開始日</v>
      </c>
      <c r="U326" s="4" t="str">
        <f t="shared" si="40"/>
        <v>, CASE WHEN shikkan_disp_name = 'C680' THEN min_shikkan_start_date ::DATE ELSE NULL END AS shikkan308_start_date</v>
      </c>
      <c r="V326" s="25" t="str">
        <f t="shared" si="41"/>
        <v>, max(shikkan308_start_date)</v>
      </c>
      <c r="AA326" s="4"/>
      <c r="AB326" s="4"/>
      <c r="AC326" s="4"/>
      <c r="AD326" s="4"/>
      <c r="AE326" s="4"/>
      <c r="AF326" s="4"/>
      <c r="AG326" s="4"/>
      <c r="AH326" s="4"/>
      <c r="AI326" s="4"/>
      <c r="AJ326" s="76" t="str">
        <f>IF(E326="○",IF(COUNTA(E$13:E326)=1,"",",")&amp;D326,"")</f>
        <v/>
      </c>
      <c r="AK326" s="4"/>
      <c r="AL326" s="4"/>
      <c r="AM326" s="4"/>
      <c r="AN326" s="4"/>
      <c r="AO326" s="4"/>
      <c r="AP326" s="4"/>
      <c r="AQ326" s="4"/>
      <c r="AR326" s="4"/>
      <c r="AS326" s="76" t="str">
        <f>"COMMENT ON COLUMN "&amp;エンティティ一覧!$O$2&amp;"."&amp;D$8&amp;"."&amp;D326&amp;" IS '"&amp;C326&amp;"';"</f>
        <v>COMMENT ON COLUMN milscm_2023_009.sny_202310_annony_bef2.shikkan308_start_date IS 'C680_疾患開始日';</v>
      </c>
    </row>
    <row r="327" spans="1:45" s="25" customFormat="1">
      <c r="A327" s="4" t="s">
        <v>5452</v>
      </c>
      <c r="B327" s="21">
        <f t="shared" si="39"/>
        <v>315</v>
      </c>
      <c r="C327" s="13" t="s">
        <v>6842</v>
      </c>
      <c r="D327" s="13" t="s">
        <v>5969</v>
      </c>
      <c r="E327" s="8"/>
      <c r="F327" s="7" t="s">
        <v>4348</v>
      </c>
      <c r="G327" s="7" t="s">
        <v>25</v>
      </c>
      <c r="H327" s="58"/>
      <c r="I327" s="23"/>
      <c r="J327" s="24"/>
      <c r="M327" s="4"/>
      <c r="N327" s="76"/>
      <c r="O327" s="76"/>
      <c r="P327" s="76" t="str">
        <f t="shared" si="42"/>
        <v>,shikkan309_start_date</v>
      </c>
      <c r="Q327" s="76" t="str">
        <f t="shared" si="43"/>
        <v>DATE</v>
      </c>
      <c r="R327" s="76" t="str">
        <f t="shared" si="44"/>
        <v/>
      </c>
      <c r="S327" s="76" t="str">
        <f t="shared" si="45"/>
        <v/>
      </c>
      <c r="T327" s="76" t="str">
        <f t="shared" si="46"/>
        <v>-- C681_疾患開始日</v>
      </c>
      <c r="U327" s="4" t="str">
        <f t="shared" si="40"/>
        <v>, CASE WHEN shikkan_disp_name = 'C681' THEN min_shikkan_start_date ::DATE ELSE NULL END AS shikkan309_start_date</v>
      </c>
      <c r="V327" s="25" t="str">
        <f t="shared" si="41"/>
        <v>, max(shikkan309_start_date)</v>
      </c>
      <c r="AA327" s="4"/>
      <c r="AB327" s="4"/>
      <c r="AC327" s="4"/>
      <c r="AD327" s="4"/>
      <c r="AE327" s="4"/>
      <c r="AF327" s="4"/>
      <c r="AG327" s="4"/>
      <c r="AH327" s="4"/>
      <c r="AI327" s="4"/>
      <c r="AJ327" s="76" t="str">
        <f>IF(E327="○",IF(COUNTA(E$13:E327)=1,"",",")&amp;D327,"")</f>
        <v/>
      </c>
      <c r="AK327" s="4"/>
      <c r="AL327" s="4"/>
      <c r="AM327" s="4"/>
      <c r="AN327" s="4"/>
      <c r="AO327" s="4"/>
      <c r="AP327" s="4"/>
      <c r="AQ327" s="4"/>
      <c r="AR327" s="4"/>
      <c r="AS327" s="76" t="str">
        <f>"COMMENT ON COLUMN "&amp;エンティティ一覧!$O$2&amp;"."&amp;D$8&amp;"."&amp;D327&amp;" IS '"&amp;C327&amp;"';"</f>
        <v>COMMENT ON COLUMN milscm_2023_009.sny_202310_annony_bef2.shikkan309_start_date IS 'C681_疾患開始日';</v>
      </c>
    </row>
    <row r="328" spans="1:45" s="25" customFormat="1">
      <c r="A328" s="4" t="s">
        <v>5453</v>
      </c>
      <c r="B328" s="21">
        <f t="shared" si="39"/>
        <v>316</v>
      </c>
      <c r="C328" s="13" t="s">
        <v>6843</v>
      </c>
      <c r="D328" s="13" t="s">
        <v>5970</v>
      </c>
      <c r="E328" s="8"/>
      <c r="F328" s="7" t="s">
        <v>4348</v>
      </c>
      <c r="G328" s="7" t="s">
        <v>25</v>
      </c>
      <c r="H328" s="58"/>
      <c r="I328" s="23"/>
      <c r="J328" s="24"/>
      <c r="M328" s="4"/>
      <c r="N328" s="76"/>
      <c r="O328" s="76"/>
      <c r="P328" s="76" t="str">
        <f t="shared" si="42"/>
        <v>,shikkan310_start_date</v>
      </c>
      <c r="Q328" s="76" t="str">
        <f t="shared" si="43"/>
        <v>DATE</v>
      </c>
      <c r="R328" s="76" t="str">
        <f t="shared" si="44"/>
        <v/>
      </c>
      <c r="S328" s="76" t="str">
        <f t="shared" si="45"/>
        <v/>
      </c>
      <c r="T328" s="76" t="str">
        <f t="shared" si="46"/>
        <v>-- C688_疾患開始日</v>
      </c>
      <c r="U328" s="4" t="str">
        <f t="shared" si="40"/>
        <v>, CASE WHEN shikkan_disp_name = 'C688' THEN min_shikkan_start_date ::DATE ELSE NULL END AS shikkan310_start_date</v>
      </c>
      <c r="V328" s="25" t="str">
        <f t="shared" si="41"/>
        <v>, max(shikkan310_start_date)</v>
      </c>
      <c r="AA328" s="4"/>
      <c r="AB328" s="4"/>
      <c r="AC328" s="4"/>
      <c r="AD328" s="4"/>
      <c r="AE328" s="4"/>
      <c r="AF328" s="4"/>
      <c r="AG328" s="4"/>
      <c r="AH328" s="4"/>
      <c r="AI328" s="4"/>
      <c r="AJ328" s="76" t="str">
        <f>IF(E328="○",IF(COUNTA(E$13:E328)=1,"",",")&amp;D328,"")</f>
        <v/>
      </c>
      <c r="AK328" s="4"/>
      <c r="AL328" s="4"/>
      <c r="AM328" s="4"/>
      <c r="AN328" s="4"/>
      <c r="AO328" s="4"/>
      <c r="AP328" s="4"/>
      <c r="AQ328" s="4"/>
      <c r="AR328" s="4"/>
      <c r="AS328" s="76" t="str">
        <f>"COMMENT ON COLUMN "&amp;エンティティ一覧!$O$2&amp;"."&amp;D$8&amp;"."&amp;D328&amp;" IS '"&amp;C328&amp;"';"</f>
        <v>COMMENT ON COLUMN milscm_2023_009.sny_202310_annony_bef2.shikkan310_start_date IS 'C688_疾患開始日';</v>
      </c>
    </row>
    <row r="329" spans="1:45" s="25" customFormat="1">
      <c r="A329" s="4" t="s">
        <v>5454</v>
      </c>
      <c r="B329" s="21">
        <f t="shared" si="39"/>
        <v>317</v>
      </c>
      <c r="C329" s="13" t="s">
        <v>6844</v>
      </c>
      <c r="D329" s="13" t="s">
        <v>5971</v>
      </c>
      <c r="E329" s="8"/>
      <c r="F329" s="7" t="s">
        <v>4348</v>
      </c>
      <c r="G329" s="7" t="s">
        <v>25</v>
      </c>
      <c r="H329" s="58"/>
      <c r="I329" s="23"/>
      <c r="J329" s="24"/>
      <c r="M329" s="4"/>
      <c r="N329" s="76"/>
      <c r="O329" s="76"/>
      <c r="P329" s="76" t="str">
        <f t="shared" si="42"/>
        <v>,shikkan311_start_date</v>
      </c>
      <c r="Q329" s="76" t="str">
        <f t="shared" si="43"/>
        <v>DATE</v>
      </c>
      <c r="R329" s="76" t="str">
        <f t="shared" si="44"/>
        <v/>
      </c>
      <c r="S329" s="76" t="str">
        <f t="shared" si="45"/>
        <v/>
      </c>
      <c r="T329" s="76" t="str">
        <f t="shared" si="46"/>
        <v>-- C689_疾患開始日</v>
      </c>
      <c r="U329" s="4" t="str">
        <f t="shared" si="40"/>
        <v>, CASE WHEN shikkan_disp_name = 'C689' THEN min_shikkan_start_date ::DATE ELSE NULL END AS shikkan311_start_date</v>
      </c>
      <c r="V329" s="25" t="str">
        <f t="shared" si="41"/>
        <v>, max(shikkan311_start_date)</v>
      </c>
      <c r="AA329" s="4"/>
      <c r="AB329" s="4"/>
      <c r="AC329" s="4"/>
      <c r="AD329" s="4"/>
      <c r="AE329" s="4"/>
      <c r="AF329" s="4"/>
      <c r="AG329" s="4"/>
      <c r="AH329" s="4"/>
      <c r="AI329" s="4"/>
      <c r="AJ329" s="76" t="str">
        <f>IF(E329="○",IF(COUNTA(E$13:E329)=1,"",",")&amp;D329,"")</f>
        <v/>
      </c>
      <c r="AK329" s="4"/>
      <c r="AL329" s="4"/>
      <c r="AM329" s="4"/>
      <c r="AN329" s="4"/>
      <c r="AO329" s="4"/>
      <c r="AP329" s="4"/>
      <c r="AQ329" s="4"/>
      <c r="AR329" s="4"/>
      <c r="AS329" s="76" t="str">
        <f>"COMMENT ON COLUMN "&amp;エンティティ一覧!$O$2&amp;"."&amp;D$8&amp;"."&amp;D329&amp;" IS '"&amp;C329&amp;"';"</f>
        <v>COMMENT ON COLUMN milscm_2023_009.sny_202310_annony_bef2.shikkan311_start_date IS 'C689_疾患開始日';</v>
      </c>
    </row>
    <row r="330" spans="1:45" s="25" customFormat="1">
      <c r="A330" s="4" t="s">
        <v>5455</v>
      </c>
      <c r="B330" s="21">
        <f t="shared" si="39"/>
        <v>318</v>
      </c>
      <c r="C330" s="13" t="s">
        <v>6845</v>
      </c>
      <c r="D330" s="13" t="s">
        <v>5972</v>
      </c>
      <c r="E330" s="8"/>
      <c r="F330" s="7" t="s">
        <v>4348</v>
      </c>
      <c r="G330" s="7" t="s">
        <v>25</v>
      </c>
      <c r="H330" s="58"/>
      <c r="I330" s="23"/>
      <c r="J330" s="24"/>
      <c r="M330" s="4"/>
      <c r="N330" s="76"/>
      <c r="O330" s="76"/>
      <c r="P330" s="76" t="str">
        <f t="shared" si="42"/>
        <v>,shikkan312_start_date</v>
      </c>
      <c r="Q330" s="76" t="str">
        <f t="shared" si="43"/>
        <v>DATE</v>
      </c>
      <c r="R330" s="76" t="str">
        <f t="shared" si="44"/>
        <v/>
      </c>
      <c r="S330" s="76" t="str">
        <f t="shared" si="45"/>
        <v/>
      </c>
      <c r="T330" s="76" t="str">
        <f t="shared" si="46"/>
        <v>-- C690_疾患開始日</v>
      </c>
      <c r="U330" s="4" t="str">
        <f t="shared" si="40"/>
        <v>, CASE WHEN shikkan_disp_name = 'C690' THEN min_shikkan_start_date ::DATE ELSE NULL END AS shikkan312_start_date</v>
      </c>
      <c r="V330" s="25" t="str">
        <f t="shared" si="41"/>
        <v>, max(shikkan312_start_date)</v>
      </c>
      <c r="AA330" s="4"/>
      <c r="AB330" s="4"/>
      <c r="AC330" s="4"/>
      <c r="AD330" s="4"/>
      <c r="AE330" s="4"/>
      <c r="AF330" s="4"/>
      <c r="AG330" s="4"/>
      <c r="AH330" s="4"/>
      <c r="AI330" s="4"/>
      <c r="AJ330" s="76" t="str">
        <f>IF(E330="○",IF(COUNTA(E$13:E330)=1,"",",")&amp;D330,"")</f>
        <v/>
      </c>
      <c r="AK330" s="4"/>
      <c r="AL330" s="4"/>
      <c r="AM330" s="4"/>
      <c r="AN330" s="4"/>
      <c r="AO330" s="4"/>
      <c r="AP330" s="4"/>
      <c r="AQ330" s="4"/>
      <c r="AR330" s="4"/>
      <c r="AS330" s="76" t="str">
        <f>"COMMENT ON COLUMN "&amp;エンティティ一覧!$O$2&amp;"."&amp;D$8&amp;"."&amp;D330&amp;" IS '"&amp;C330&amp;"';"</f>
        <v>COMMENT ON COLUMN milscm_2023_009.sny_202310_annony_bef2.shikkan312_start_date IS 'C690_疾患開始日';</v>
      </c>
    </row>
    <row r="331" spans="1:45" s="25" customFormat="1">
      <c r="A331" s="4" t="s">
        <v>5456</v>
      </c>
      <c r="B331" s="21">
        <f t="shared" si="39"/>
        <v>319</v>
      </c>
      <c r="C331" s="13" t="s">
        <v>6846</v>
      </c>
      <c r="D331" s="13" t="s">
        <v>5973</v>
      </c>
      <c r="E331" s="8"/>
      <c r="F331" s="7" t="s">
        <v>4348</v>
      </c>
      <c r="G331" s="7" t="s">
        <v>25</v>
      </c>
      <c r="H331" s="58"/>
      <c r="I331" s="23"/>
      <c r="J331" s="24"/>
      <c r="M331" s="4"/>
      <c r="N331" s="76"/>
      <c r="O331" s="76"/>
      <c r="P331" s="76" t="str">
        <f t="shared" si="42"/>
        <v>,shikkan313_start_date</v>
      </c>
      <c r="Q331" s="76" t="str">
        <f t="shared" si="43"/>
        <v>DATE</v>
      </c>
      <c r="R331" s="76" t="str">
        <f t="shared" si="44"/>
        <v/>
      </c>
      <c r="S331" s="76" t="str">
        <f t="shared" si="45"/>
        <v/>
      </c>
      <c r="T331" s="76" t="str">
        <f t="shared" si="46"/>
        <v>-- C691_疾患開始日</v>
      </c>
      <c r="U331" s="4" t="str">
        <f t="shared" si="40"/>
        <v>, CASE WHEN shikkan_disp_name = 'C691' THEN min_shikkan_start_date ::DATE ELSE NULL END AS shikkan313_start_date</v>
      </c>
      <c r="V331" s="25" t="str">
        <f t="shared" si="41"/>
        <v>, max(shikkan313_start_date)</v>
      </c>
      <c r="AA331" s="4"/>
      <c r="AB331" s="4"/>
      <c r="AC331" s="4"/>
      <c r="AD331" s="4"/>
      <c r="AE331" s="4"/>
      <c r="AF331" s="4"/>
      <c r="AG331" s="4"/>
      <c r="AH331" s="4"/>
      <c r="AI331" s="4"/>
      <c r="AJ331" s="76" t="str">
        <f>IF(E331="○",IF(COUNTA(E$13:E331)=1,"",",")&amp;D331,"")</f>
        <v/>
      </c>
      <c r="AK331" s="4"/>
      <c r="AL331" s="4"/>
      <c r="AM331" s="4"/>
      <c r="AN331" s="4"/>
      <c r="AO331" s="4"/>
      <c r="AP331" s="4"/>
      <c r="AQ331" s="4"/>
      <c r="AR331" s="4"/>
      <c r="AS331" s="76" t="str">
        <f>"COMMENT ON COLUMN "&amp;エンティティ一覧!$O$2&amp;"."&amp;D$8&amp;"."&amp;D331&amp;" IS '"&amp;C331&amp;"';"</f>
        <v>COMMENT ON COLUMN milscm_2023_009.sny_202310_annony_bef2.shikkan313_start_date IS 'C691_疾患開始日';</v>
      </c>
    </row>
    <row r="332" spans="1:45" s="25" customFormat="1">
      <c r="A332" s="4" t="s">
        <v>5457</v>
      </c>
      <c r="B332" s="21">
        <f t="shared" si="39"/>
        <v>320</v>
      </c>
      <c r="C332" s="13" t="s">
        <v>6847</v>
      </c>
      <c r="D332" s="13" t="s">
        <v>5974</v>
      </c>
      <c r="E332" s="8"/>
      <c r="F332" s="7" t="s">
        <v>4348</v>
      </c>
      <c r="G332" s="7" t="s">
        <v>25</v>
      </c>
      <c r="H332" s="58"/>
      <c r="I332" s="23"/>
      <c r="J332" s="24"/>
      <c r="M332" s="4"/>
      <c r="N332" s="76"/>
      <c r="O332" s="76"/>
      <c r="P332" s="76" t="str">
        <f t="shared" si="42"/>
        <v>,shikkan314_start_date</v>
      </c>
      <c r="Q332" s="76" t="str">
        <f t="shared" si="43"/>
        <v>DATE</v>
      </c>
      <c r="R332" s="76" t="str">
        <f t="shared" si="44"/>
        <v/>
      </c>
      <c r="S332" s="76" t="str">
        <f t="shared" si="45"/>
        <v/>
      </c>
      <c r="T332" s="76" t="str">
        <f t="shared" si="46"/>
        <v>-- C692_疾患開始日</v>
      </c>
      <c r="U332" s="4" t="str">
        <f t="shared" si="40"/>
        <v>, CASE WHEN shikkan_disp_name = 'C692' THEN min_shikkan_start_date ::DATE ELSE NULL END AS shikkan314_start_date</v>
      </c>
      <c r="V332" s="25" t="str">
        <f t="shared" si="41"/>
        <v>, max(shikkan314_start_date)</v>
      </c>
      <c r="AA332" s="4"/>
      <c r="AB332" s="4"/>
      <c r="AC332" s="4"/>
      <c r="AD332" s="4"/>
      <c r="AE332" s="4"/>
      <c r="AF332" s="4"/>
      <c r="AG332" s="4"/>
      <c r="AH332" s="4"/>
      <c r="AI332" s="4"/>
      <c r="AJ332" s="76" t="str">
        <f>IF(E332="○",IF(COUNTA(E$13:E332)=1,"",",")&amp;D332,"")</f>
        <v/>
      </c>
      <c r="AK332" s="4"/>
      <c r="AL332" s="4"/>
      <c r="AM332" s="4"/>
      <c r="AN332" s="4"/>
      <c r="AO332" s="4"/>
      <c r="AP332" s="4"/>
      <c r="AQ332" s="4"/>
      <c r="AR332" s="4"/>
      <c r="AS332" s="76" t="str">
        <f>"COMMENT ON COLUMN "&amp;エンティティ一覧!$O$2&amp;"."&amp;D$8&amp;"."&amp;D332&amp;" IS '"&amp;C332&amp;"';"</f>
        <v>COMMENT ON COLUMN milscm_2023_009.sny_202310_annony_bef2.shikkan314_start_date IS 'C692_疾患開始日';</v>
      </c>
    </row>
    <row r="333" spans="1:45" s="25" customFormat="1">
      <c r="A333" s="4" t="s">
        <v>5458</v>
      </c>
      <c r="B333" s="21">
        <f t="shared" si="39"/>
        <v>321</v>
      </c>
      <c r="C333" s="13" t="s">
        <v>6848</v>
      </c>
      <c r="D333" s="13" t="s">
        <v>5975</v>
      </c>
      <c r="E333" s="8"/>
      <c r="F333" s="7" t="s">
        <v>4348</v>
      </c>
      <c r="G333" s="7" t="s">
        <v>25</v>
      </c>
      <c r="H333" s="58"/>
      <c r="I333" s="23"/>
      <c r="J333" s="24"/>
      <c r="M333" s="4"/>
      <c r="N333" s="76"/>
      <c r="O333" s="76"/>
      <c r="P333" s="76" t="str">
        <f t="shared" si="42"/>
        <v>,shikkan315_start_date</v>
      </c>
      <c r="Q333" s="76" t="str">
        <f t="shared" si="43"/>
        <v>DATE</v>
      </c>
      <c r="R333" s="76" t="str">
        <f t="shared" si="44"/>
        <v/>
      </c>
      <c r="S333" s="76" t="str">
        <f t="shared" si="45"/>
        <v/>
      </c>
      <c r="T333" s="76" t="str">
        <f t="shared" si="46"/>
        <v>-- C693_疾患開始日</v>
      </c>
      <c r="U333" s="4" t="str">
        <f t="shared" si="40"/>
        <v>, CASE WHEN shikkan_disp_name = 'C693' THEN min_shikkan_start_date ::DATE ELSE NULL END AS shikkan315_start_date</v>
      </c>
      <c r="V333" s="25" t="str">
        <f t="shared" si="41"/>
        <v>, max(shikkan315_start_date)</v>
      </c>
      <c r="AA333" s="4"/>
      <c r="AB333" s="4"/>
      <c r="AC333" s="4"/>
      <c r="AD333" s="4"/>
      <c r="AE333" s="4"/>
      <c r="AF333" s="4"/>
      <c r="AG333" s="4"/>
      <c r="AH333" s="4"/>
      <c r="AI333" s="4"/>
      <c r="AJ333" s="76" t="str">
        <f>IF(E333="○",IF(COUNTA(E$13:E333)=1,"",",")&amp;D333,"")</f>
        <v/>
      </c>
      <c r="AK333" s="4"/>
      <c r="AL333" s="4"/>
      <c r="AM333" s="4"/>
      <c r="AN333" s="4"/>
      <c r="AO333" s="4"/>
      <c r="AP333" s="4"/>
      <c r="AQ333" s="4"/>
      <c r="AR333" s="4"/>
      <c r="AS333" s="76" t="str">
        <f>"COMMENT ON COLUMN "&amp;エンティティ一覧!$O$2&amp;"."&amp;D$8&amp;"."&amp;D333&amp;" IS '"&amp;C333&amp;"';"</f>
        <v>COMMENT ON COLUMN milscm_2023_009.sny_202310_annony_bef2.shikkan315_start_date IS 'C693_疾患開始日';</v>
      </c>
    </row>
    <row r="334" spans="1:45" s="25" customFormat="1">
      <c r="A334" s="4" t="s">
        <v>5459</v>
      </c>
      <c r="B334" s="21">
        <f t="shared" si="39"/>
        <v>322</v>
      </c>
      <c r="C334" s="13" t="s">
        <v>6849</v>
      </c>
      <c r="D334" s="13" t="s">
        <v>5976</v>
      </c>
      <c r="E334" s="8"/>
      <c r="F334" s="7" t="s">
        <v>4348</v>
      </c>
      <c r="G334" s="7" t="s">
        <v>25</v>
      </c>
      <c r="H334" s="58"/>
      <c r="I334" s="23"/>
      <c r="J334" s="24"/>
      <c r="M334" s="4"/>
      <c r="N334" s="76"/>
      <c r="O334" s="76"/>
      <c r="P334" s="76" t="str">
        <f t="shared" si="42"/>
        <v>,shikkan316_start_date</v>
      </c>
      <c r="Q334" s="76" t="str">
        <f t="shared" si="43"/>
        <v>DATE</v>
      </c>
      <c r="R334" s="76" t="str">
        <f t="shared" si="44"/>
        <v/>
      </c>
      <c r="S334" s="76" t="str">
        <f t="shared" si="45"/>
        <v/>
      </c>
      <c r="T334" s="76" t="str">
        <f t="shared" si="46"/>
        <v>-- C694_疾患開始日</v>
      </c>
      <c r="U334" s="4" t="str">
        <f t="shared" si="40"/>
        <v>, CASE WHEN shikkan_disp_name = 'C694' THEN min_shikkan_start_date ::DATE ELSE NULL END AS shikkan316_start_date</v>
      </c>
      <c r="V334" s="25" t="str">
        <f t="shared" si="41"/>
        <v>, max(shikkan316_start_date)</v>
      </c>
      <c r="AA334" s="4"/>
      <c r="AB334" s="4"/>
      <c r="AC334" s="4"/>
      <c r="AD334" s="4"/>
      <c r="AE334" s="4"/>
      <c r="AF334" s="4"/>
      <c r="AG334" s="4"/>
      <c r="AH334" s="4"/>
      <c r="AI334" s="4"/>
      <c r="AJ334" s="76" t="str">
        <f>IF(E334="○",IF(COUNTA(E$13:E334)=1,"",",")&amp;D334,"")</f>
        <v/>
      </c>
      <c r="AK334" s="4"/>
      <c r="AL334" s="4"/>
      <c r="AM334" s="4"/>
      <c r="AN334" s="4"/>
      <c r="AO334" s="4"/>
      <c r="AP334" s="4"/>
      <c r="AQ334" s="4"/>
      <c r="AR334" s="4"/>
      <c r="AS334" s="76" t="str">
        <f>"COMMENT ON COLUMN "&amp;エンティティ一覧!$O$2&amp;"."&amp;D$8&amp;"."&amp;D334&amp;" IS '"&amp;C334&amp;"';"</f>
        <v>COMMENT ON COLUMN milscm_2023_009.sny_202310_annony_bef2.shikkan316_start_date IS 'C694_疾患開始日';</v>
      </c>
    </row>
    <row r="335" spans="1:45" s="25" customFormat="1">
      <c r="A335" s="4" t="s">
        <v>5460</v>
      </c>
      <c r="B335" s="21">
        <f t="shared" si="39"/>
        <v>323</v>
      </c>
      <c r="C335" s="13" t="s">
        <v>6850</v>
      </c>
      <c r="D335" s="13" t="s">
        <v>5977</v>
      </c>
      <c r="E335" s="8"/>
      <c r="F335" s="7" t="s">
        <v>4348</v>
      </c>
      <c r="G335" s="7" t="s">
        <v>25</v>
      </c>
      <c r="H335" s="58"/>
      <c r="I335" s="23"/>
      <c r="J335" s="24"/>
      <c r="M335" s="4"/>
      <c r="N335" s="76"/>
      <c r="O335" s="76"/>
      <c r="P335" s="76" t="str">
        <f t="shared" si="42"/>
        <v>,shikkan317_start_date</v>
      </c>
      <c r="Q335" s="76" t="str">
        <f t="shared" si="43"/>
        <v>DATE</v>
      </c>
      <c r="R335" s="76" t="str">
        <f t="shared" si="44"/>
        <v/>
      </c>
      <c r="S335" s="76" t="str">
        <f t="shared" si="45"/>
        <v/>
      </c>
      <c r="T335" s="76" t="str">
        <f t="shared" si="46"/>
        <v>-- C695_疾患開始日</v>
      </c>
      <c r="U335" s="4" t="str">
        <f t="shared" si="40"/>
        <v>, CASE WHEN shikkan_disp_name = 'C695' THEN min_shikkan_start_date ::DATE ELSE NULL END AS shikkan317_start_date</v>
      </c>
      <c r="V335" s="25" t="str">
        <f t="shared" si="41"/>
        <v>, max(shikkan317_start_date)</v>
      </c>
      <c r="AA335" s="4"/>
      <c r="AB335" s="4"/>
      <c r="AC335" s="4"/>
      <c r="AD335" s="4"/>
      <c r="AE335" s="4"/>
      <c r="AF335" s="4"/>
      <c r="AG335" s="4"/>
      <c r="AH335" s="4"/>
      <c r="AI335" s="4"/>
      <c r="AJ335" s="76" t="str">
        <f>IF(E335="○",IF(COUNTA(E$13:E335)=1,"",",")&amp;D335,"")</f>
        <v/>
      </c>
      <c r="AK335" s="4"/>
      <c r="AL335" s="4"/>
      <c r="AM335" s="4"/>
      <c r="AN335" s="4"/>
      <c r="AO335" s="4"/>
      <c r="AP335" s="4"/>
      <c r="AQ335" s="4"/>
      <c r="AR335" s="4"/>
      <c r="AS335" s="76" t="str">
        <f>"COMMENT ON COLUMN "&amp;エンティティ一覧!$O$2&amp;"."&amp;D$8&amp;"."&amp;D335&amp;" IS '"&amp;C335&amp;"';"</f>
        <v>COMMENT ON COLUMN milscm_2023_009.sny_202310_annony_bef2.shikkan317_start_date IS 'C695_疾患開始日';</v>
      </c>
    </row>
    <row r="336" spans="1:45" s="25" customFormat="1">
      <c r="A336" s="4" t="s">
        <v>5461</v>
      </c>
      <c r="B336" s="21">
        <f t="shared" si="39"/>
        <v>324</v>
      </c>
      <c r="C336" s="13" t="s">
        <v>6851</v>
      </c>
      <c r="D336" s="13" t="s">
        <v>5978</v>
      </c>
      <c r="E336" s="8"/>
      <c r="F336" s="7" t="s">
        <v>4348</v>
      </c>
      <c r="G336" s="7" t="s">
        <v>25</v>
      </c>
      <c r="H336" s="58"/>
      <c r="I336" s="23"/>
      <c r="J336" s="24"/>
      <c r="M336" s="4"/>
      <c r="N336" s="76"/>
      <c r="O336" s="76"/>
      <c r="P336" s="76" t="str">
        <f t="shared" si="42"/>
        <v>,shikkan318_start_date</v>
      </c>
      <c r="Q336" s="76" t="str">
        <f t="shared" si="43"/>
        <v>DATE</v>
      </c>
      <c r="R336" s="76" t="str">
        <f t="shared" si="44"/>
        <v/>
      </c>
      <c r="S336" s="76" t="str">
        <f t="shared" si="45"/>
        <v/>
      </c>
      <c r="T336" s="76" t="str">
        <f t="shared" si="46"/>
        <v>-- C696_疾患開始日</v>
      </c>
      <c r="U336" s="4" t="str">
        <f t="shared" si="40"/>
        <v>, CASE WHEN shikkan_disp_name = 'C696' THEN min_shikkan_start_date ::DATE ELSE NULL END AS shikkan318_start_date</v>
      </c>
      <c r="V336" s="25" t="str">
        <f t="shared" si="41"/>
        <v>, max(shikkan318_start_date)</v>
      </c>
      <c r="AA336" s="4"/>
      <c r="AB336" s="4"/>
      <c r="AC336" s="4"/>
      <c r="AD336" s="4"/>
      <c r="AE336" s="4"/>
      <c r="AF336" s="4"/>
      <c r="AG336" s="4"/>
      <c r="AH336" s="4"/>
      <c r="AI336" s="4"/>
      <c r="AJ336" s="76" t="str">
        <f>IF(E336="○",IF(COUNTA(E$13:E336)=1,"",",")&amp;D336,"")</f>
        <v/>
      </c>
      <c r="AK336" s="4"/>
      <c r="AL336" s="4"/>
      <c r="AM336" s="4"/>
      <c r="AN336" s="4"/>
      <c r="AO336" s="4"/>
      <c r="AP336" s="4"/>
      <c r="AQ336" s="4"/>
      <c r="AR336" s="4"/>
      <c r="AS336" s="76" t="str">
        <f>"COMMENT ON COLUMN "&amp;エンティティ一覧!$O$2&amp;"."&amp;D$8&amp;"."&amp;D336&amp;" IS '"&amp;C336&amp;"';"</f>
        <v>COMMENT ON COLUMN milscm_2023_009.sny_202310_annony_bef2.shikkan318_start_date IS 'C696_疾患開始日';</v>
      </c>
    </row>
    <row r="337" spans="1:45" s="25" customFormat="1">
      <c r="A337" s="4" t="s">
        <v>5462</v>
      </c>
      <c r="B337" s="21">
        <f t="shared" si="39"/>
        <v>325</v>
      </c>
      <c r="C337" s="13" t="s">
        <v>6852</v>
      </c>
      <c r="D337" s="13" t="s">
        <v>5979</v>
      </c>
      <c r="E337" s="8"/>
      <c r="F337" s="7" t="s">
        <v>4348</v>
      </c>
      <c r="G337" s="7" t="s">
        <v>25</v>
      </c>
      <c r="H337" s="58"/>
      <c r="I337" s="23"/>
      <c r="J337" s="24"/>
      <c r="M337" s="4"/>
      <c r="N337" s="76"/>
      <c r="O337" s="76"/>
      <c r="P337" s="76" t="str">
        <f t="shared" si="42"/>
        <v>,shikkan319_start_date</v>
      </c>
      <c r="Q337" s="76" t="str">
        <f t="shared" si="43"/>
        <v>DATE</v>
      </c>
      <c r="R337" s="76" t="str">
        <f t="shared" si="44"/>
        <v/>
      </c>
      <c r="S337" s="76" t="str">
        <f t="shared" si="45"/>
        <v/>
      </c>
      <c r="T337" s="76" t="str">
        <f t="shared" si="46"/>
        <v>-- C698_疾患開始日</v>
      </c>
      <c r="U337" s="4" t="str">
        <f t="shared" si="40"/>
        <v>, CASE WHEN shikkan_disp_name = 'C698' THEN min_shikkan_start_date ::DATE ELSE NULL END AS shikkan319_start_date</v>
      </c>
      <c r="V337" s="25" t="str">
        <f t="shared" si="41"/>
        <v>, max(shikkan319_start_date)</v>
      </c>
      <c r="AA337" s="4"/>
      <c r="AB337" s="4"/>
      <c r="AC337" s="4"/>
      <c r="AD337" s="4"/>
      <c r="AE337" s="4"/>
      <c r="AF337" s="4"/>
      <c r="AG337" s="4"/>
      <c r="AH337" s="4"/>
      <c r="AI337" s="4"/>
      <c r="AJ337" s="76" t="str">
        <f>IF(E337="○",IF(COUNTA(E$13:E337)=1,"",",")&amp;D337,"")</f>
        <v/>
      </c>
      <c r="AK337" s="4"/>
      <c r="AL337" s="4"/>
      <c r="AM337" s="4"/>
      <c r="AN337" s="4"/>
      <c r="AO337" s="4"/>
      <c r="AP337" s="4"/>
      <c r="AQ337" s="4"/>
      <c r="AR337" s="4"/>
      <c r="AS337" s="76" t="str">
        <f>"COMMENT ON COLUMN "&amp;エンティティ一覧!$O$2&amp;"."&amp;D$8&amp;"."&amp;D337&amp;" IS '"&amp;C337&amp;"';"</f>
        <v>COMMENT ON COLUMN milscm_2023_009.sny_202310_annony_bef2.shikkan319_start_date IS 'C698_疾患開始日';</v>
      </c>
    </row>
    <row r="338" spans="1:45" s="25" customFormat="1">
      <c r="A338" s="4" t="s">
        <v>5463</v>
      </c>
      <c r="B338" s="21">
        <f t="shared" si="39"/>
        <v>326</v>
      </c>
      <c r="C338" s="13" t="s">
        <v>6853</v>
      </c>
      <c r="D338" s="13" t="s">
        <v>5980</v>
      </c>
      <c r="E338" s="8"/>
      <c r="F338" s="7" t="s">
        <v>4348</v>
      </c>
      <c r="G338" s="7" t="s">
        <v>99</v>
      </c>
      <c r="H338" s="58"/>
      <c r="I338" s="23"/>
      <c r="J338" s="24"/>
      <c r="M338" s="4"/>
      <c r="N338" s="76"/>
      <c r="O338" s="76"/>
      <c r="P338" s="76" t="str">
        <f t="shared" si="42"/>
        <v>,shikkan320_start_date</v>
      </c>
      <c r="Q338" s="76" t="str">
        <f t="shared" si="43"/>
        <v>DATE</v>
      </c>
      <c r="R338" s="76" t="str">
        <f t="shared" si="44"/>
        <v/>
      </c>
      <c r="S338" s="76" t="str">
        <f t="shared" si="45"/>
        <v/>
      </c>
      <c r="T338" s="76" t="str">
        <f t="shared" si="46"/>
        <v>-- C699_疾患開始日</v>
      </c>
      <c r="U338" s="4" t="str">
        <f t="shared" si="40"/>
        <v>, CASE WHEN shikkan_disp_name = 'C699' THEN min_shikkan_start_date ::DATE ELSE NULL END AS shikkan320_start_date</v>
      </c>
      <c r="V338" s="25" t="str">
        <f t="shared" si="41"/>
        <v>, max(shikkan320_start_date)</v>
      </c>
      <c r="AA338" s="4"/>
      <c r="AB338" s="4"/>
      <c r="AC338" s="4"/>
      <c r="AD338" s="4"/>
      <c r="AE338" s="4"/>
      <c r="AF338" s="4"/>
      <c r="AG338" s="4"/>
      <c r="AH338" s="4"/>
      <c r="AI338" s="4"/>
      <c r="AJ338" s="76" t="str">
        <f>IF(E338="○",IF(COUNTA(E$13:E338)=1,"",",")&amp;D338,"")</f>
        <v/>
      </c>
      <c r="AK338" s="4"/>
      <c r="AL338" s="4"/>
      <c r="AM338" s="4"/>
      <c r="AN338" s="4"/>
      <c r="AO338" s="4"/>
      <c r="AP338" s="4"/>
      <c r="AQ338" s="4"/>
      <c r="AR338" s="4"/>
      <c r="AS338" s="76" t="str">
        <f>"COMMENT ON COLUMN "&amp;エンティティ一覧!$O$2&amp;"."&amp;D$8&amp;"."&amp;D338&amp;" IS '"&amp;C338&amp;"';"</f>
        <v>COMMENT ON COLUMN milscm_2023_009.sny_202310_annony_bef2.shikkan320_start_date IS 'C699_疾患開始日';</v>
      </c>
    </row>
    <row r="339" spans="1:45" s="25" customFormat="1">
      <c r="A339" s="4" t="s">
        <v>5464</v>
      </c>
      <c r="B339" s="21">
        <f t="shared" si="39"/>
        <v>327</v>
      </c>
      <c r="C339" s="13" t="s">
        <v>6854</v>
      </c>
      <c r="D339" s="13" t="s">
        <v>5981</v>
      </c>
      <c r="E339" s="8"/>
      <c r="F339" s="7" t="s">
        <v>4348</v>
      </c>
      <c r="G339" s="7" t="s">
        <v>25</v>
      </c>
      <c r="H339" s="58"/>
      <c r="I339" s="23"/>
      <c r="J339" s="24"/>
      <c r="M339" s="4"/>
      <c r="N339" s="76"/>
      <c r="O339" s="76"/>
      <c r="P339" s="76" t="str">
        <f t="shared" si="42"/>
        <v>,shikkan321_start_date</v>
      </c>
      <c r="Q339" s="76" t="str">
        <f t="shared" si="43"/>
        <v>DATE</v>
      </c>
      <c r="R339" s="76" t="str">
        <f t="shared" si="44"/>
        <v/>
      </c>
      <c r="S339" s="76" t="str">
        <f t="shared" si="45"/>
        <v/>
      </c>
      <c r="T339" s="76" t="str">
        <f t="shared" si="46"/>
        <v>-- C700_疾患開始日</v>
      </c>
      <c r="U339" s="4" t="str">
        <f t="shared" si="40"/>
        <v>, CASE WHEN shikkan_disp_name = 'C700' THEN min_shikkan_start_date ::DATE ELSE NULL END AS shikkan321_start_date</v>
      </c>
      <c r="V339" s="25" t="str">
        <f t="shared" si="41"/>
        <v>, max(shikkan321_start_date)</v>
      </c>
      <c r="AA339" s="4"/>
      <c r="AB339" s="4"/>
      <c r="AC339" s="4"/>
      <c r="AD339" s="4"/>
      <c r="AE339" s="4"/>
      <c r="AF339" s="4"/>
      <c r="AG339" s="4"/>
      <c r="AH339" s="4"/>
      <c r="AI339" s="4"/>
      <c r="AJ339" s="76" t="str">
        <f>IF(E339="○",IF(COUNTA(E$13:E339)=1,"",",")&amp;D339,"")</f>
        <v/>
      </c>
      <c r="AK339" s="4"/>
      <c r="AL339" s="4"/>
      <c r="AM339" s="4"/>
      <c r="AN339" s="4"/>
      <c r="AO339" s="4"/>
      <c r="AP339" s="4"/>
      <c r="AQ339" s="4"/>
      <c r="AR339" s="4"/>
      <c r="AS339" s="76" t="str">
        <f>"COMMENT ON COLUMN "&amp;エンティティ一覧!$O$2&amp;"."&amp;D$8&amp;"."&amp;D339&amp;" IS '"&amp;C339&amp;"';"</f>
        <v>COMMENT ON COLUMN milscm_2023_009.sny_202310_annony_bef2.shikkan321_start_date IS 'C700_疾患開始日';</v>
      </c>
    </row>
    <row r="340" spans="1:45" s="25" customFormat="1">
      <c r="A340" s="4" t="s">
        <v>5465</v>
      </c>
      <c r="B340" s="21">
        <f t="shared" ref="B340:B404" si="47">ROW()-12</f>
        <v>328</v>
      </c>
      <c r="C340" s="13" t="s">
        <v>6855</v>
      </c>
      <c r="D340" s="13" t="s">
        <v>5982</v>
      </c>
      <c r="E340" s="8"/>
      <c r="F340" s="7" t="s">
        <v>4348</v>
      </c>
      <c r="G340" s="7" t="s">
        <v>25</v>
      </c>
      <c r="H340" s="58"/>
      <c r="I340" s="23"/>
      <c r="J340" s="24"/>
      <c r="M340" s="4"/>
      <c r="N340" s="76"/>
      <c r="O340" s="76"/>
      <c r="P340" s="76" t="str">
        <f t="shared" si="42"/>
        <v>,shikkan322_start_date</v>
      </c>
      <c r="Q340" s="76" t="str">
        <f t="shared" si="43"/>
        <v>DATE</v>
      </c>
      <c r="R340" s="76" t="str">
        <f t="shared" si="44"/>
        <v/>
      </c>
      <c r="S340" s="76" t="str">
        <f t="shared" si="45"/>
        <v/>
      </c>
      <c r="T340" s="76" t="str">
        <f t="shared" si="46"/>
        <v>-- C701_疾患開始日</v>
      </c>
      <c r="U340" s="4" t="str">
        <f t="shared" si="40"/>
        <v>, CASE WHEN shikkan_disp_name = 'C701' THEN min_shikkan_start_date ::DATE ELSE NULL END AS shikkan322_start_date</v>
      </c>
      <c r="V340" s="25" t="str">
        <f t="shared" si="41"/>
        <v>, max(shikkan322_start_date)</v>
      </c>
      <c r="AA340" s="4"/>
      <c r="AB340" s="4"/>
      <c r="AC340" s="4"/>
      <c r="AD340" s="4"/>
      <c r="AE340" s="4"/>
      <c r="AF340" s="4"/>
      <c r="AG340" s="4"/>
      <c r="AH340" s="4"/>
      <c r="AI340" s="4"/>
      <c r="AJ340" s="76" t="str">
        <f>IF(E340="○",IF(COUNTA(E$13:E340)=1,"",",")&amp;D340,"")</f>
        <v/>
      </c>
      <c r="AK340" s="4"/>
      <c r="AL340" s="4"/>
      <c r="AM340" s="4"/>
      <c r="AN340" s="4"/>
      <c r="AO340" s="4"/>
      <c r="AP340" s="4"/>
      <c r="AQ340" s="4"/>
      <c r="AR340" s="4"/>
      <c r="AS340" s="76" t="str">
        <f>"COMMENT ON COLUMN "&amp;エンティティ一覧!$O$2&amp;"."&amp;D$8&amp;"."&amp;D340&amp;" IS '"&amp;C340&amp;"';"</f>
        <v>COMMENT ON COLUMN milscm_2023_009.sny_202310_annony_bef2.shikkan322_start_date IS 'C701_疾患開始日';</v>
      </c>
    </row>
    <row r="341" spans="1:45" s="25" customFormat="1">
      <c r="A341" s="4" t="s">
        <v>5466</v>
      </c>
      <c r="B341" s="21">
        <f t="shared" si="47"/>
        <v>329</v>
      </c>
      <c r="C341" s="13" t="s">
        <v>6856</v>
      </c>
      <c r="D341" s="13" t="s">
        <v>5983</v>
      </c>
      <c r="E341" s="8"/>
      <c r="F341" s="7" t="s">
        <v>4348</v>
      </c>
      <c r="G341" s="7" t="s">
        <v>25</v>
      </c>
      <c r="H341" s="58"/>
      <c r="I341" s="23"/>
      <c r="J341" s="24"/>
      <c r="M341" s="4"/>
      <c r="N341" s="76"/>
      <c r="O341" s="76"/>
      <c r="P341" s="76" t="str">
        <f t="shared" si="42"/>
        <v>,shikkan323_start_date</v>
      </c>
      <c r="Q341" s="76" t="str">
        <f t="shared" si="43"/>
        <v>DATE</v>
      </c>
      <c r="R341" s="76" t="str">
        <f t="shared" si="44"/>
        <v/>
      </c>
      <c r="S341" s="76" t="str">
        <f t="shared" si="45"/>
        <v/>
      </c>
      <c r="T341" s="76" t="str">
        <f t="shared" si="46"/>
        <v>-- C709_疾患開始日</v>
      </c>
      <c r="U341" s="4" t="str">
        <f t="shared" si="40"/>
        <v>, CASE WHEN shikkan_disp_name = 'C709' THEN min_shikkan_start_date ::DATE ELSE NULL END AS shikkan323_start_date</v>
      </c>
      <c r="V341" s="25" t="str">
        <f t="shared" si="41"/>
        <v>, max(shikkan323_start_date)</v>
      </c>
      <c r="AA341" s="4"/>
      <c r="AB341" s="4"/>
      <c r="AC341" s="4"/>
      <c r="AD341" s="4"/>
      <c r="AE341" s="4"/>
      <c r="AF341" s="4"/>
      <c r="AG341" s="4"/>
      <c r="AH341" s="4"/>
      <c r="AI341" s="4"/>
      <c r="AJ341" s="76" t="str">
        <f>IF(E341="○",IF(COUNTA(E$13:E341)=1,"",",")&amp;D341,"")</f>
        <v/>
      </c>
      <c r="AK341" s="4"/>
      <c r="AL341" s="4"/>
      <c r="AM341" s="4"/>
      <c r="AN341" s="4"/>
      <c r="AO341" s="4"/>
      <c r="AP341" s="4"/>
      <c r="AQ341" s="4"/>
      <c r="AR341" s="4"/>
      <c r="AS341" s="76" t="str">
        <f>"COMMENT ON COLUMN "&amp;エンティティ一覧!$O$2&amp;"."&amp;D$8&amp;"."&amp;D341&amp;" IS '"&amp;C341&amp;"';"</f>
        <v>COMMENT ON COLUMN milscm_2023_009.sny_202310_annony_bef2.shikkan323_start_date IS 'C709_疾患開始日';</v>
      </c>
    </row>
    <row r="342" spans="1:45" s="25" customFormat="1">
      <c r="A342" s="4" t="s">
        <v>5467</v>
      </c>
      <c r="B342" s="21">
        <f t="shared" si="47"/>
        <v>330</v>
      </c>
      <c r="C342" s="13" t="s">
        <v>6857</v>
      </c>
      <c r="D342" s="13" t="s">
        <v>5984</v>
      </c>
      <c r="E342" s="8"/>
      <c r="F342" s="7" t="s">
        <v>4348</v>
      </c>
      <c r="G342" s="7" t="s">
        <v>25</v>
      </c>
      <c r="H342" s="58"/>
      <c r="I342" s="23"/>
      <c r="J342" s="24"/>
      <c r="M342" s="4"/>
      <c r="N342" s="76"/>
      <c r="O342" s="76"/>
      <c r="P342" s="76" t="str">
        <f t="shared" si="42"/>
        <v>,shikkan324_start_date</v>
      </c>
      <c r="Q342" s="76" t="str">
        <f t="shared" si="43"/>
        <v>DATE</v>
      </c>
      <c r="R342" s="76" t="str">
        <f t="shared" si="44"/>
        <v/>
      </c>
      <c r="S342" s="76" t="str">
        <f t="shared" si="45"/>
        <v/>
      </c>
      <c r="T342" s="76" t="str">
        <f t="shared" si="46"/>
        <v>-- C710_疾患開始日</v>
      </c>
      <c r="U342" s="4" t="str">
        <f t="shared" si="40"/>
        <v>, CASE WHEN shikkan_disp_name = 'C710' THEN min_shikkan_start_date ::DATE ELSE NULL END AS shikkan324_start_date</v>
      </c>
      <c r="V342" s="25" t="str">
        <f t="shared" si="41"/>
        <v>, max(shikkan324_start_date)</v>
      </c>
      <c r="AA342" s="4"/>
      <c r="AB342" s="4"/>
      <c r="AC342" s="4"/>
      <c r="AD342" s="4"/>
      <c r="AE342" s="4"/>
      <c r="AF342" s="4"/>
      <c r="AG342" s="4"/>
      <c r="AH342" s="4"/>
      <c r="AI342" s="4"/>
      <c r="AJ342" s="76" t="str">
        <f>IF(E342="○",IF(COUNTA(E$13:E342)=1,"",",")&amp;D342,"")</f>
        <v/>
      </c>
      <c r="AK342" s="4"/>
      <c r="AL342" s="4"/>
      <c r="AM342" s="4"/>
      <c r="AN342" s="4"/>
      <c r="AO342" s="4"/>
      <c r="AP342" s="4"/>
      <c r="AQ342" s="4"/>
      <c r="AR342" s="4"/>
      <c r="AS342" s="76" t="str">
        <f>"COMMENT ON COLUMN "&amp;エンティティ一覧!$O$2&amp;"."&amp;D$8&amp;"."&amp;D342&amp;" IS '"&amp;C342&amp;"';"</f>
        <v>COMMENT ON COLUMN milscm_2023_009.sny_202310_annony_bef2.shikkan324_start_date IS 'C710_疾患開始日';</v>
      </c>
    </row>
    <row r="343" spans="1:45" s="25" customFormat="1">
      <c r="A343" s="4" t="s">
        <v>5468</v>
      </c>
      <c r="B343" s="21">
        <f t="shared" si="47"/>
        <v>331</v>
      </c>
      <c r="C343" s="13" t="s">
        <v>6858</v>
      </c>
      <c r="D343" s="13" t="s">
        <v>5985</v>
      </c>
      <c r="E343" s="8"/>
      <c r="F343" s="7" t="s">
        <v>4348</v>
      </c>
      <c r="G343" s="7" t="s">
        <v>25</v>
      </c>
      <c r="H343" s="58"/>
      <c r="I343" s="23"/>
      <c r="J343" s="24"/>
      <c r="M343" s="4"/>
      <c r="N343" s="76"/>
      <c r="O343" s="76"/>
      <c r="P343" s="76" t="str">
        <f t="shared" si="42"/>
        <v>,shikkan325_start_date</v>
      </c>
      <c r="Q343" s="76" t="str">
        <f t="shared" si="43"/>
        <v>DATE</v>
      </c>
      <c r="R343" s="76" t="str">
        <f t="shared" si="44"/>
        <v/>
      </c>
      <c r="S343" s="76" t="str">
        <f t="shared" si="45"/>
        <v/>
      </c>
      <c r="T343" s="76" t="str">
        <f t="shared" si="46"/>
        <v>-- C711_疾患開始日</v>
      </c>
      <c r="U343" s="4" t="str">
        <f t="shared" si="40"/>
        <v>, CASE WHEN shikkan_disp_name = 'C711' THEN min_shikkan_start_date ::DATE ELSE NULL END AS shikkan325_start_date</v>
      </c>
      <c r="V343" s="25" t="str">
        <f t="shared" si="41"/>
        <v>, max(shikkan325_start_date)</v>
      </c>
      <c r="AA343" s="4"/>
      <c r="AB343" s="4"/>
      <c r="AC343" s="4"/>
      <c r="AD343" s="4"/>
      <c r="AE343" s="4"/>
      <c r="AF343" s="4"/>
      <c r="AG343" s="4"/>
      <c r="AH343" s="4"/>
      <c r="AI343" s="4"/>
      <c r="AJ343" s="76" t="str">
        <f>IF(E343="○",IF(COUNTA(E$13:E343)=1,"",",")&amp;D343,"")</f>
        <v/>
      </c>
      <c r="AK343" s="4"/>
      <c r="AL343" s="4"/>
      <c r="AM343" s="4"/>
      <c r="AN343" s="4"/>
      <c r="AO343" s="4"/>
      <c r="AP343" s="4"/>
      <c r="AQ343" s="4"/>
      <c r="AR343" s="4"/>
      <c r="AS343" s="76" t="str">
        <f>"COMMENT ON COLUMN "&amp;エンティティ一覧!$O$2&amp;"."&amp;D$8&amp;"."&amp;D343&amp;" IS '"&amp;C343&amp;"';"</f>
        <v>COMMENT ON COLUMN milscm_2023_009.sny_202310_annony_bef2.shikkan325_start_date IS 'C711_疾患開始日';</v>
      </c>
    </row>
    <row r="344" spans="1:45" s="25" customFormat="1">
      <c r="A344" s="4" t="s">
        <v>5469</v>
      </c>
      <c r="B344" s="21">
        <f t="shared" si="47"/>
        <v>332</v>
      </c>
      <c r="C344" s="13" t="s">
        <v>6859</v>
      </c>
      <c r="D344" s="13" t="s">
        <v>5986</v>
      </c>
      <c r="E344" s="8"/>
      <c r="F344" s="7" t="s">
        <v>4348</v>
      </c>
      <c r="G344" s="7" t="s">
        <v>25</v>
      </c>
      <c r="H344" s="58"/>
      <c r="I344" s="23"/>
      <c r="J344" s="24"/>
      <c r="M344" s="4"/>
      <c r="N344" s="76"/>
      <c r="O344" s="76"/>
      <c r="P344" s="76" t="str">
        <f t="shared" si="42"/>
        <v>,shikkan326_start_date</v>
      </c>
      <c r="Q344" s="76" t="str">
        <f t="shared" si="43"/>
        <v>DATE</v>
      </c>
      <c r="R344" s="76" t="str">
        <f t="shared" si="44"/>
        <v/>
      </c>
      <c r="S344" s="76" t="str">
        <f t="shared" si="45"/>
        <v/>
      </c>
      <c r="T344" s="76" t="str">
        <f t="shared" si="46"/>
        <v>-- C712_疾患開始日</v>
      </c>
      <c r="U344" s="4" t="str">
        <f t="shared" si="40"/>
        <v>, CASE WHEN shikkan_disp_name = 'C712' THEN min_shikkan_start_date ::DATE ELSE NULL END AS shikkan326_start_date</v>
      </c>
      <c r="V344" s="25" t="str">
        <f t="shared" si="41"/>
        <v>, max(shikkan326_start_date)</v>
      </c>
      <c r="AA344" s="4"/>
      <c r="AB344" s="4"/>
      <c r="AC344" s="4"/>
      <c r="AD344" s="4"/>
      <c r="AE344" s="4"/>
      <c r="AF344" s="4"/>
      <c r="AG344" s="4"/>
      <c r="AH344" s="4"/>
      <c r="AI344" s="4"/>
      <c r="AJ344" s="76" t="str">
        <f>IF(E344="○",IF(COUNTA(E$13:E344)=1,"",",")&amp;D344,"")</f>
        <v/>
      </c>
      <c r="AK344" s="4"/>
      <c r="AL344" s="4"/>
      <c r="AM344" s="4"/>
      <c r="AN344" s="4"/>
      <c r="AO344" s="4"/>
      <c r="AP344" s="4"/>
      <c r="AQ344" s="4"/>
      <c r="AR344" s="4"/>
      <c r="AS344" s="76" t="str">
        <f>"COMMENT ON COLUMN "&amp;エンティティ一覧!$O$2&amp;"."&amp;D$8&amp;"."&amp;D344&amp;" IS '"&amp;C344&amp;"';"</f>
        <v>COMMENT ON COLUMN milscm_2023_009.sny_202310_annony_bef2.shikkan326_start_date IS 'C712_疾患開始日';</v>
      </c>
    </row>
    <row r="345" spans="1:45" s="25" customFormat="1">
      <c r="A345" s="4" t="s">
        <v>5470</v>
      </c>
      <c r="B345" s="21">
        <f t="shared" si="47"/>
        <v>333</v>
      </c>
      <c r="C345" s="13" t="s">
        <v>6860</v>
      </c>
      <c r="D345" s="13" t="s">
        <v>5987</v>
      </c>
      <c r="E345" s="8"/>
      <c r="F345" s="7" t="s">
        <v>4348</v>
      </c>
      <c r="G345" s="7" t="s">
        <v>25</v>
      </c>
      <c r="H345" s="58"/>
      <c r="I345" s="23"/>
      <c r="J345" s="24"/>
      <c r="M345" s="4"/>
      <c r="N345" s="76"/>
      <c r="O345" s="76"/>
      <c r="P345" s="76" t="str">
        <f t="shared" si="42"/>
        <v>,shikkan327_start_date</v>
      </c>
      <c r="Q345" s="76" t="str">
        <f t="shared" si="43"/>
        <v>DATE</v>
      </c>
      <c r="R345" s="76" t="str">
        <f t="shared" si="44"/>
        <v/>
      </c>
      <c r="S345" s="76" t="str">
        <f t="shared" si="45"/>
        <v/>
      </c>
      <c r="T345" s="76" t="str">
        <f t="shared" si="46"/>
        <v>-- C713_疾患開始日</v>
      </c>
      <c r="U345" s="4" t="str">
        <f t="shared" si="40"/>
        <v>, CASE WHEN shikkan_disp_name = 'C713' THEN min_shikkan_start_date ::DATE ELSE NULL END AS shikkan327_start_date</v>
      </c>
      <c r="V345" s="25" t="str">
        <f t="shared" si="41"/>
        <v>, max(shikkan327_start_date)</v>
      </c>
      <c r="AA345" s="4"/>
      <c r="AB345" s="4"/>
      <c r="AC345" s="4"/>
      <c r="AD345" s="4"/>
      <c r="AE345" s="4"/>
      <c r="AF345" s="4"/>
      <c r="AG345" s="4"/>
      <c r="AH345" s="4"/>
      <c r="AI345" s="4"/>
      <c r="AJ345" s="76" t="str">
        <f>IF(E345="○",IF(COUNTA(E$13:E345)=1,"",",")&amp;D345,"")</f>
        <v/>
      </c>
      <c r="AK345" s="4"/>
      <c r="AL345" s="4"/>
      <c r="AM345" s="4"/>
      <c r="AN345" s="4"/>
      <c r="AO345" s="4"/>
      <c r="AP345" s="4"/>
      <c r="AQ345" s="4"/>
      <c r="AR345" s="4"/>
      <c r="AS345" s="76" t="str">
        <f>"COMMENT ON COLUMN "&amp;エンティティ一覧!$O$2&amp;"."&amp;D$8&amp;"."&amp;D345&amp;" IS '"&amp;C345&amp;"';"</f>
        <v>COMMENT ON COLUMN milscm_2023_009.sny_202310_annony_bef2.shikkan327_start_date IS 'C713_疾患開始日';</v>
      </c>
    </row>
    <row r="346" spans="1:45" s="25" customFormat="1">
      <c r="A346" s="4" t="s">
        <v>5471</v>
      </c>
      <c r="B346" s="21">
        <f t="shared" si="47"/>
        <v>334</v>
      </c>
      <c r="C346" s="13" t="s">
        <v>6861</v>
      </c>
      <c r="D346" s="13" t="s">
        <v>5988</v>
      </c>
      <c r="E346" s="8"/>
      <c r="F346" s="7" t="s">
        <v>4348</v>
      </c>
      <c r="G346" s="7" t="s">
        <v>25</v>
      </c>
      <c r="H346" s="58"/>
      <c r="I346" s="23"/>
      <c r="J346" s="24"/>
      <c r="M346" s="4"/>
      <c r="N346" s="76"/>
      <c r="O346" s="76"/>
      <c r="P346" s="76" t="str">
        <f t="shared" si="42"/>
        <v>,shikkan328_start_date</v>
      </c>
      <c r="Q346" s="76" t="str">
        <f t="shared" si="43"/>
        <v>DATE</v>
      </c>
      <c r="R346" s="76" t="str">
        <f t="shared" si="44"/>
        <v/>
      </c>
      <c r="S346" s="76" t="str">
        <f t="shared" si="45"/>
        <v/>
      </c>
      <c r="T346" s="76" t="str">
        <f t="shared" si="46"/>
        <v>-- C714_疾患開始日</v>
      </c>
      <c r="U346" s="4" t="str">
        <f t="shared" si="40"/>
        <v>, CASE WHEN shikkan_disp_name = 'C714' THEN min_shikkan_start_date ::DATE ELSE NULL END AS shikkan328_start_date</v>
      </c>
      <c r="V346" s="25" t="str">
        <f t="shared" si="41"/>
        <v>, max(shikkan328_start_date)</v>
      </c>
      <c r="AA346" s="4"/>
      <c r="AB346" s="4"/>
      <c r="AC346" s="4"/>
      <c r="AD346" s="4"/>
      <c r="AE346" s="4"/>
      <c r="AF346" s="4"/>
      <c r="AG346" s="4"/>
      <c r="AH346" s="4"/>
      <c r="AI346" s="4"/>
      <c r="AJ346" s="76" t="str">
        <f>IF(E346="○",IF(COUNTA(E$13:E346)=1,"",",")&amp;D346,"")</f>
        <v/>
      </c>
      <c r="AK346" s="4"/>
      <c r="AL346" s="4"/>
      <c r="AM346" s="4"/>
      <c r="AN346" s="4"/>
      <c r="AO346" s="4"/>
      <c r="AP346" s="4"/>
      <c r="AQ346" s="4"/>
      <c r="AR346" s="4"/>
      <c r="AS346" s="76" t="str">
        <f>"COMMENT ON COLUMN "&amp;エンティティ一覧!$O$2&amp;"."&amp;D$8&amp;"."&amp;D346&amp;" IS '"&amp;C346&amp;"';"</f>
        <v>COMMENT ON COLUMN milscm_2023_009.sny_202310_annony_bef2.shikkan328_start_date IS 'C714_疾患開始日';</v>
      </c>
    </row>
    <row r="347" spans="1:45" s="25" customFormat="1">
      <c r="A347" s="4" t="s">
        <v>5472</v>
      </c>
      <c r="B347" s="21">
        <f t="shared" si="47"/>
        <v>335</v>
      </c>
      <c r="C347" s="13" t="s">
        <v>6862</v>
      </c>
      <c r="D347" s="13" t="s">
        <v>5989</v>
      </c>
      <c r="E347" s="8"/>
      <c r="F347" s="7" t="s">
        <v>4348</v>
      </c>
      <c r="G347" s="7" t="s">
        <v>25</v>
      </c>
      <c r="H347" s="58"/>
      <c r="I347" s="23"/>
      <c r="J347" s="24"/>
      <c r="M347" s="4"/>
      <c r="N347" s="76"/>
      <c r="O347" s="76"/>
      <c r="P347" s="76" t="str">
        <f t="shared" si="42"/>
        <v>,shikkan329_start_date</v>
      </c>
      <c r="Q347" s="76" t="str">
        <f t="shared" si="43"/>
        <v>DATE</v>
      </c>
      <c r="R347" s="76" t="str">
        <f t="shared" si="44"/>
        <v/>
      </c>
      <c r="S347" s="76" t="str">
        <f t="shared" si="45"/>
        <v/>
      </c>
      <c r="T347" s="76" t="str">
        <f t="shared" si="46"/>
        <v>-- C715_疾患開始日</v>
      </c>
      <c r="U347" s="4" t="str">
        <f t="shared" si="40"/>
        <v>, CASE WHEN shikkan_disp_name = 'C715' THEN min_shikkan_start_date ::DATE ELSE NULL END AS shikkan329_start_date</v>
      </c>
      <c r="V347" s="25" t="str">
        <f t="shared" si="41"/>
        <v>, max(shikkan329_start_date)</v>
      </c>
      <c r="AA347" s="4"/>
      <c r="AB347" s="4"/>
      <c r="AC347" s="4"/>
      <c r="AD347" s="4"/>
      <c r="AE347" s="4"/>
      <c r="AF347" s="4"/>
      <c r="AG347" s="4"/>
      <c r="AH347" s="4"/>
      <c r="AI347" s="4"/>
      <c r="AJ347" s="76" t="str">
        <f>IF(E347="○",IF(COUNTA(E$13:E347)=1,"",",")&amp;D347,"")</f>
        <v/>
      </c>
      <c r="AK347" s="4"/>
      <c r="AL347" s="4"/>
      <c r="AM347" s="4"/>
      <c r="AN347" s="4"/>
      <c r="AO347" s="4"/>
      <c r="AP347" s="4"/>
      <c r="AQ347" s="4"/>
      <c r="AR347" s="4"/>
      <c r="AS347" s="76" t="str">
        <f>"COMMENT ON COLUMN "&amp;エンティティ一覧!$O$2&amp;"."&amp;D$8&amp;"."&amp;D347&amp;" IS '"&amp;C347&amp;"';"</f>
        <v>COMMENT ON COLUMN milscm_2023_009.sny_202310_annony_bef2.shikkan329_start_date IS 'C715_疾患開始日';</v>
      </c>
    </row>
    <row r="348" spans="1:45" s="25" customFormat="1">
      <c r="A348" s="4" t="s">
        <v>5473</v>
      </c>
      <c r="B348" s="21">
        <f t="shared" si="47"/>
        <v>336</v>
      </c>
      <c r="C348" s="13" t="s">
        <v>6863</v>
      </c>
      <c r="D348" s="13" t="s">
        <v>5990</v>
      </c>
      <c r="E348" s="8"/>
      <c r="F348" s="7" t="s">
        <v>4348</v>
      </c>
      <c r="G348" s="7" t="s">
        <v>25</v>
      </c>
      <c r="H348" s="58"/>
      <c r="I348" s="23"/>
      <c r="J348" s="24"/>
      <c r="M348" s="4"/>
      <c r="N348" s="76"/>
      <c r="O348" s="76"/>
      <c r="P348" s="76" t="str">
        <f t="shared" si="42"/>
        <v>,shikkan330_start_date</v>
      </c>
      <c r="Q348" s="76" t="str">
        <f t="shared" si="43"/>
        <v>DATE</v>
      </c>
      <c r="R348" s="76" t="str">
        <f t="shared" si="44"/>
        <v/>
      </c>
      <c r="S348" s="76" t="str">
        <f t="shared" si="45"/>
        <v/>
      </c>
      <c r="T348" s="76" t="str">
        <f t="shared" si="46"/>
        <v>-- C716_疾患開始日</v>
      </c>
      <c r="U348" s="4" t="str">
        <f t="shared" si="40"/>
        <v>, CASE WHEN shikkan_disp_name = 'C716' THEN min_shikkan_start_date ::DATE ELSE NULL END AS shikkan330_start_date</v>
      </c>
      <c r="V348" s="25" t="str">
        <f t="shared" si="41"/>
        <v>, max(shikkan330_start_date)</v>
      </c>
      <c r="AA348" s="4"/>
      <c r="AB348" s="4"/>
      <c r="AC348" s="4"/>
      <c r="AD348" s="4"/>
      <c r="AE348" s="4"/>
      <c r="AF348" s="4"/>
      <c r="AG348" s="4"/>
      <c r="AH348" s="4"/>
      <c r="AI348" s="4"/>
      <c r="AJ348" s="76" t="str">
        <f>IF(E348="○",IF(COUNTA(E$13:E348)=1,"",",")&amp;D348,"")</f>
        <v/>
      </c>
      <c r="AK348" s="4"/>
      <c r="AL348" s="4"/>
      <c r="AM348" s="4"/>
      <c r="AN348" s="4"/>
      <c r="AO348" s="4"/>
      <c r="AP348" s="4"/>
      <c r="AQ348" s="4"/>
      <c r="AR348" s="4"/>
      <c r="AS348" s="76" t="str">
        <f>"COMMENT ON COLUMN "&amp;エンティティ一覧!$O$2&amp;"."&amp;D$8&amp;"."&amp;D348&amp;" IS '"&amp;C348&amp;"';"</f>
        <v>COMMENT ON COLUMN milscm_2023_009.sny_202310_annony_bef2.shikkan330_start_date IS 'C716_疾患開始日';</v>
      </c>
    </row>
    <row r="349" spans="1:45" s="25" customFormat="1">
      <c r="A349" s="4" t="s">
        <v>5474</v>
      </c>
      <c r="B349" s="21">
        <f t="shared" si="47"/>
        <v>337</v>
      </c>
      <c r="C349" s="13" t="s">
        <v>6864</v>
      </c>
      <c r="D349" s="13" t="s">
        <v>5991</v>
      </c>
      <c r="E349" s="8"/>
      <c r="F349" s="7" t="s">
        <v>4348</v>
      </c>
      <c r="G349" s="7" t="s">
        <v>25</v>
      </c>
      <c r="H349" s="58"/>
      <c r="I349" s="23"/>
      <c r="J349" s="24"/>
      <c r="M349" s="4"/>
      <c r="N349" s="76"/>
      <c r="O349" s="76"/>
      <c r="P349" s="76" t="str">
        <f t="shared" si="42"/>
        <v>,shikkan331_start_date</v>
      </c>
      <c r="Q349" s="76" t="str">
        <f t="shared" si="43"/>
        <v>DATE</v>
      </c>
      <c r="R349" s="76" t="str">
        <f t="shared" si="44"/>
        <v/>
      </c>
      <c r="S349" s="76" t="str">
        <f t="shared" si="45"/>
        <v/>
      </c>
      <c r="T349" s="76" t="str">
        <f t="shared" si="46"/>
        <v>-- C717_疾患開始日</v>
      </c>
      <c r="U349" s="4" t="str">
        <f t="shared" si="40"/>
        <v>, CASE WHEN shikkan_disp_name = 'C717' THEN min_shikkan_start_date ::DATE ELSE NULL END AS shikkan331_start_date</v>
      </c>
      <c r="V349" s="25" t="str">
        <f t="shared" si="41"/>
        <v>, max(shikkan331_start_date)</v>
      </c>
      <c r="AA349" s="4"/>
      <c r="AB349" s="4"/>
      <c r="AC349" s="4"/>
      <c r="AD349" s="4"/>
      <c r="AE349" s="4"/>
      <c r="AF349" s="4"/>
      <c r="AG349" s="4"/>
      <c r="AH349" s="4"/>
      <c r="AI349" s="4"/>
      <c r="AJ349" s="76" t="str">
        <f>IF(E349="○",IF(COUNTA(E$13:E349)=1,"",",")&amp;D349,"")</f>
        <v/>
      </c>
      <c r="AK349" s="4"/>
      <c r="AL349" s="4"/>
      <c r="AM349" s="4"/>
      <c r="AN349" s="4"/>
      <c r="AO349" s="4"/>
      <c r="AP349" s="4"/>
      <c r="AQ349" s="4"/>
      <c r="AR349" s="4"/>
      <c r="AS349" s="76" t="str">
        <f>"COMMENT ON COLUMN "&amp;エンティティ一覧!$O$2&amp;"."&amp;D$8&amp;"."&amp;D349&amp;" IS '"&amp;C349&amp;"';"</f>
        <v>COMMENT ON COLUMN milscm_2023_009.sny_202310_annony_bef2.shikkan331_start_date IS 'C717_疾患開始日';</v>
      </c>
    </row>
    <row r="350" spans="1:45" s="25" customFormat="1">
      <c r="A350" s="4" t="s">
        <v>5475</v>
      </c>
      <c r="B350" s="21">
        <f t="shared" si="47"/>
        <v>338</v>
      </c>
      <c r="C350" s="13" t="s">
        <v>6865</v>
      </c>
      <c r="D350" s="13" t="s">
        <v>5992</v>
      </c>
      <c r="E350" s="8"/>
      <c r="F350" s="7" t="s">
        <v>4348</v>
      </c>
      <c r="G350" s="7" t="s">
        <v>25</v>
      </c>
      <c r="H350" s="58"/>
      <c r="I350" s="23"/>
      <c r="J350" s="24"/>
      <c r="M350" s="4"/>
      <c r="N350" s="76"/>
      <c r="O350" s="76"/>
      <c r="P350" s="76" t="str">
        <f t="shared" si="42"/>
        <v>,shikkan332_start_date</v>
      </c>
      <c r="Q350" s="76" t="str">
        <f t="shared" si="43"/>
        <v>DATE</v>
      </c>
      <c r="R350" s="76" t="str">
        <f t="shared" si="44"/>
        <v/>
      </c>
      <c r="S350" s="76" t="str">
        <f t="shared" si="45"/>
        <v/>
      </c>
      <c r="T350" s="76" t="str">
        <f t="shared" si="46"/>
        <v>-- C718_疾患開始日</v>
      </c>
      <c r="U350" s="4" t="str">
        <f t="shared" si="40"/>
        <v>, CASE WHEN shikkan_disp_name = 'C718' THEN min_shikkan_start_date ::DATE ELSE NULL END AS shikkan332_start_date</v>
      </c>
      <c r="V350" s="25" t="str">
        <f t="shared" si="41"/>
        <v>, max(shikkan332_start_date)</v>
      </c>
      <c r="AA350" s="4"/>
      <c r="AB350" s="4"/>
      <c r="AC350" s="4"/>
      <c r="AD350" s="4"/>
      <c r="AE350" s="4"/>
      <c r="AF350" s="4"/>
      <c r="AG350" s="4"/>
      <c r="AH350" s="4"/>
      <c r="AI350" s="4"/>
      <c r="AJ350" s="76" t="str">
        <f>IF(E350="○",IF(COUNTA(E$13:E350)=1,"",",")&amp;D350,"")</f>
        <v/>
      </c>
      <c r="AK350" s="4"/>
      <c r="AL350" s="4"/>
      <c r="AM350" s="4"/>
      <c r="AN350" s="4"/>
      <c r="AO350" s="4"/>
      <c r="AP350" s="4"/>
      <c r="AQ350" s="4"/>
      <c r="AR350" s="4"/>
      <c r="AS350" s="76" t="str">
        <f>"COMMENT ON COLUMN "&amp;エンティティ一覧!$O$2&amp;"."&amp;D$8&amp;"."&amp;D350&amp;" IS '"&amp;C350&amp;"';"</f>
        <v>COMMENT ON COLUMN milscm_2023_009.sny_202310_annony_bef2.shikkan332_start_date IS 'C718_疾患開始日';</v>
      </c>
    </row>
    <row r="351" spans="1:45" s="25" customFormat="1">
      <c r="A351" s="4" t="s">
        <v>5476</v>
      </c>
      <c r="B351" s="21">
        <f t="shared" si="47"/>
        <v>339</v>
      </c>
      <c r="C351" s="13" t="s">
        <v>6866</v>
      </c>
      <c r="D351" s="13" t="s">
        <v>5993</v>
      </c>
      <c r="E351" s="8"/>
      <c r="F351" s="7" t="s">
        <v>4348</v>
      </c>
      <c r="G351" s="7" t="s">
        <v>25</v>
      </c>
      <c r="H351" s="58"/>
      <c r="I351" s="23"/>
      <c r="J351" s="24"/>
      <c r="M351" s="4"/>
      <c r="N351" s="76"/>
      <c r="O351" s="76"/>
      <c r="P351" s="76" t="str">
        <f t="shared" si="42"/>
        <v>,shikkan333_start_date</v>
      </c>
      <c r="Q351" s="76" t="str">
        <f t="shared" si="43"/>
        <v>DATE</v>
      </c>
      <c r="R351" s="76" t="str">
        <f t="shared" si="44"/>
        <v/>
      </c>
      <c r="S351" s="76" t="str">
        <f t="shared" si="45"/>
        <v/>
      </c>
      <c r="T351" s="76" t="str">
        <f t="shared" si="46"/>
        <v>-- C719_疾患開始日</v>
      </c>
      <c r="U351" s="4" t="str">
        <f t="shared" si="40"/>
        <v>, CASE WHEN shikkan_disp_name = 'C719' THEN min_shikkan_start_date ::DATE ELSE NULL END AS shikkan333_start_date</v>
      </c>
      <c r="V351" s="25" t="str">
        <f t="shared" si="41"/>
        <v>, max(shikkan333_start_date)</v>
      </c>
      <c r="AA351" s="4"/>
      <c r="AB351" s="4"/>
      <c r="AC351" s="4"/>
      <c r="AD351" s="4"/>
      <c r="AE351" s="4"/>
      <c r="AF351" s="4"/>
      <c r="AG351" s="4"/>
      <c r="AH351" s="4"/>
      <c r="AI351" s="4"/>
      <c r="AJ351" s="76" t="str">
        <f>IF(E351="○",IF(COUNTA(E$13:E351)=1,"",",")&amp;D351,"")</f>
        <v/>
      </c>
      <c r="AK351" s="4"/>
      <c r="AL351" s="4"/>
      <c r="AM351" s="4"/>
      <c r="AN351" s="4"/>
      <c r="AO351" s="4"/>
      <c r="AP351" s="4"/>
      <c r="AQ351" s="4"/>
      <c r="AR351" s="4"/>
      <c r="AS351" s="76" t="str">
        <f>"COMMENT ON COLUMN "&amp;エンティティ一覧!$O$2&amp;"."&amp;D$8&amp;"."&amp;D351&amp;" IS '"&amp;C351&amp;"';"</f>
        <v>COMMENT ON COLUMN milscm_2023_009.sny_202310_annony_bef2.shikkan333_start_date IS 'C719_疾患開始日';</v>
      </c>
    </row>
    <row r="352" spans="1:45" s="25" customFormat="1">
      <c r="A352" s="4" t="s">
        <v>5477</v>
      </c>
      <c r="B352" s="21">
        <f t="shared" si="47"/>
        <v>340</v>
      </c>
      <c r="C352" s="13" t="s">
        <v>6867</v>
      </c>
      <c r="D352" s="13" t="s">
        <v>5994</v>
      </c>
      <c r="E352" s="8"/>
      <c r="F352" s="7" t="s">
        <v>4348</v>
      </c>
      <c r="G352" s="7" t="s">
        <v>25</v>
      </c>
      <c r="H352" s="58"/>
      <c r="I352" s="23"/>
      <c r="J352" s="24"/>
      <c r="M352" s="4"/>
      <c r="N352" s="76"/>
      <c r="O352" s="76"/>
      <c r="P352" s="76" t="str">
        <f t="shared" si="42"/>
        <v>,shikkan334_start_date</v>
      </c>
      <c r="Q352" s="76" t="str">
        <f t="shared" si="43"/>
        <v>DATE</v>
      </c>
      <c r="R352" s="76" t="str">
        <f t="shared" si="44"/>
        <v/>
      </c>
      <c r="S352" s="76" t="str">
        <f t="shared" si="45"/>
        <v/>
      </c>
      <c r="T352" s="76" t="str">
        <f t="shared" si="46"/>
        <v>-- C720_疾患開始日</v>
      </c>
      <c r="U352" s="4" t="str">
        <f t="shared" si="40"/>
        <v>, CASE WHEN shikkan_disp_name = 'C720' THEN min_shikkan_start_date ::DATE ELSE NULL END AS shikkan334_start_date</v>
      </c>
      <c r="V352" s="25" t="str">
        <f t="shared" si="41"/>
        <v>, max(shikkan334_start_date)</v>
      </c>
      <c r="AA352" s="4"/>
      <c r="AB352" s="4"/>
      <c r="AC352" s="4"/>
      <c r="AD352" s="4"/>
      <c r="AE352" s="4"/>
      <c r="AF352" s="4"/>
      <c r="AG352" s="4"/>
      <c r="AH352" s="4"/>
      <c r="AI352" s="4"/>
      <c r="AJ352" s="76" t="str">
        <f>IF(E352="○",IF(COUNTA(E$13:E352)=1,"",",")&amp;D352,"")</f>
        <v/>
      </c>
      <c r="AK352" s="4"/>
      <c r="AL352" s="4"/>
      <c r="AM352" s="4"/>
      <c r="AN352" s="4"/>
      <c r="AO352" s="4"/>
      <c r="AP352" s="4"/>
      <c r="AQ352" s="4"/>
      <c r="AR352" s="4"/>
      <c r="AS352" s="76" t="str">
        <f>"COMMENT ON COLUMN "&amp;エンティティ一覧!$O$2&amp;"."&amp;D$8&amp;"."&amp;D352&amp;" IS '"&amp;C352&amp;"';"</f>
        <v>COMMENT ON COLUMN milscm_2023_009.sny_202310_annony_bef2.shikkan334_start_date IS 'C720_疾患開始日';</v>
      </c>
    </row>
    <row r="353" spans="1:45" s="25" customFormat="1">
      <c r="A353" s="4" t="s">
        <v>5478</v>
      </c>
      <c r="B353" s="21">
        <f t="shared" si="47"/>
        <v>341</v>
      </c>
      <c r="C353" s="13" t="s">
        <v>6868</v>
      </c>
      <c r="D353" s="13" t="s">
        <v>5995</v>
      </c>
      <c r="E353" s="8"/>
      <c r="F353" s="7" t="s">
        <v>4348</v>
      </c>
      <c r="G353" s="7" t="s">
        <v>25</v>
      </c>
      <c r="H353" s="58"/>
      <c r="I353" s="23"/>
      <c r="J353" s="24"/>
      <c r="M353" s="4"/>
      <c r="N353" s="76"/>
      <c r="O353" s="76"/>
      <c r="P353" s="76" t="str">
        <f t="shared" si="42"/>
        <v>,shikkan335_start_date</v>
      </c>
      <c r="Q353" s="76" t="str">
        <f t="shared" si="43"/>
        <v>DATE</v>
      </c>
      <c r="R353" s="76" t="str">
        <f t="shared" si="44"/>
        <v/>
      </c>
      <c r="S353" s="76" t="str">
        <f t="shared" si="45"/>
        <v/>
      </c>
      <c r="T353" s="76" t="str">
        <f t="shared" si="46"/>
        <v>-- C721_疾患開始日</v>
      </c>
      <c r="U353" s="4" t="str">
        <f t="shared" si="40"/>
        <v>, CASE WHEN shikkan_disp_name = 'C721' THEN min_shikkan_start_date ::DATE ELSE NULL END AS shikkan335_start_date</v>
      </c>
      <c r="V353" s="25" t="str">
        <f t="shared" si="41"/>
        <v>, max(shikkan335_start_date)</v>
      </c>
      <c r="AA353" s="4"/>
      <c r="AB353" s="4"/>
      <c r="AC353" s="4"/>
      <c r="AD353" s="4"/>
      <c r="AE353" s="4"/>
      <c r="AF353" s="4"/>
      <c r="AG353" s="4"/>
      <c r="AH353" s="4"/>
      <c r="AI353" s="4"/>
      <c r="AJ353" s="76" t="str">
        <f>IF(E353="○",IF(COUNTA(E$13:E353)=1,"",",")&amp;D353,"")</f>
        <v/>
      </c>
      <c r="AK353" s="4"/>
      <c r="AL353" s="4"/>
      <c r="AM353" s="4"/>
      <c r="AN353" s="4"/>
      <c r="AO353" s="4"/>
      <c r="AP353" s="4"/>
      <c r="AQ353" s="4"/>
      <c r="AR353" s="4"/>
      <c r="AS353" s="76" t="str">
        <f>"COMMENT ON COLUMN "&amp;エンティティ一覧!$O$2&amp;"."&amp;D$8&amp;"."&amp;D353&amp;" IS '"&amp;C353&amp;"';"</f>
        <v>COMMENT ON COLUMN milscm_2023_009.sny_202310_annony_bef2.shikkan335_start_date IS 'C721_疾患開始日';</v>
      </c>
    </row>
    <row r="354" spans="1:45" s="25" customFormat="1">
      <c r="A354" s="4" t="s">
        <v>5479</v>
      </c>
      <c r="B354" s="21">
        <f t="shared" si="47"/>
        <v>342</v>
      </c>
      <c r="C354" s="13" t="s">
        <v>6869</v>
      </c>
      <c r="D354" s="13" t="s">
        <v>5996</v>
      </c>
      <c r="E354" s="8"/>
      <c r="F354" s="7" t="s">
        <v>4348</v>
      </c>
      <c r="G354" s="7" t="s">
        <v>99</v>
      </c>
      <c r="H354" s="58"/>
      <c r="I354" s="23"/>
      <c r="J354" s="24"/>
      <c r="M354" s="4"/>
      <c r="N354" s="76"/>
      <c r="O354" s="76"/>
      <c r="P354" s="76" t="str">
        <f t="shared" si="42"/>
        <v>,shikkan336_start_date</v>
      </c>
      <c r="Q354" s="76" t="str">
        <f t="shared" si="43"/>
        <v>DATE</v>
      </c>
      <c r="R354" s="76" t="str">
        <f t="shared" si="44"/>
        <v/>
      </c>
      <c r="S354" s="76" t="str">
        <f t="shared" si="45"/>
        <v/>
      </c>
      <c r="T354" s="76" t="str">
        <f t="shared" si="46"/>
        <v>-- C722_疾患開始日</v>
      </c>
      <c r="U354" s="4" t="str">
        <f t="shared" si="40"/>
        <v>, CASE WHEN shikkan_disp_name = 'C722' THEN min_shikkan_start_date ::DATE ELSE NULL END AS shikkan336_start_date</v>
      </c>
      <c r="V354" s="25" t="str">
        <f t="shared" si="41"/>
        <v>, max(shikkan336_start_date)</v>
      </c>
      <c r="AA354" s="4"/>
      <c r="AB354" s="4"/>
      <c r="AC354" s="4"/>
      <c r="AD354" s="4"/>
      <c r="AE354" s="4"/>
      <c r="AF354" s="4"/>
      <c r="AG354" s="4"/>
      <c r="AH354" s="4"/>
      <c r="AI354" s="4"/>
      <c r="AJ354" s="76" t="str">
        <f>IF(E354="○",IF(COUNTA(E$13:E354)=1,"",",")&amp;D354,"")</f>
        <v/>
      </c>
      <c r="AK354" s="4"/>
      <c r="AL354" s="4"/>
      <c r="AM354" s="4"/>
      <c r="AN354" s="4"/>
      <c r="AO354" s="4"/>
      <c r="AP354" s="4"/>
      <c r="AQ354" s="4"/>
      <c r="AR354" s="4"/>
      <c r="AS354" s="76" t="str">
        <f>"COMMENT ON COLUMN "&amp;エンティティ一覧!$O$2&amp;"."&amp;D$8&amp;"."&amp;D354&amp;" IS '"&amp;C354&amp;"';"</f>
        <v>COMMENT ON COLUMN milscm_2023_009.sny_202310_annony_bef2.shikkan336_start_date IS 'C722_疾患開始日';</v>
      </c>
    </row>
    <row r="355" spans="1:45" s="25" customFormat="1">
      <c r="A355" s="4" t="s">
        <v>5480</v>
      </c>
      <c r="B355" s="21">
        <f t="shared" si="47"/>
        <v>343</v>
      </c>
      <c r="C355" s="13" t="s">
        <v>6870</v>
      </c>
      <c r="D355" s="13" t="s">
        <v>5997</v>
      </c>
      <c r="E355" s="8"/>
      <c r="F355" s="7" t="s">
        <v>4348</v>
      </c>
      <c r="G355" s="7" t="s">
        <v>25</v>
      </c>
      <c r="H355" s="58"/>
      <c r="I355" s="23"/>
      <c r="J355" s="24"/>
      <c r="M355" s="4"/>
      <c r="N355" s="76"/>
      <c r="O355" s="76"/>
      <c r="P355" s="76" t="str">
        <f t="shared" si="42"/>
        <v>,shikkan337_start_date</v>
      </c>
      <c r="Q355" s="76" t="str">
        <f t="shared" si="43"/>
        <v>DATE</v>
      </c>
      <c r="R355" s="76" t="str">
        <f t="shared" si="44"/>
        <v/>
      </c>
      <c r="S355" s="76" t="str">
        <f t="shared" si="45"/>
        <v/>
      </c>
      <c r="T355" s="76" t="str">
        <f t="shared" si="46"/>
        <v>-- C723_疾患開始日</v>
      </c>
      <c r="U355" s="4" t="str">
        <f t="shared" si="40"/>
        <v>, CASE WHEN shikkan_disp_name = 'C723' THEN min_shikkan_start_date ::DATE ELSE NULL END AS shikkan337_start_date</v>
      </c>
      <c r="V355" s="25" t="str">
        <f t="shared" si="41"/>
        <v>, max(shikkan337_start_date)</v>
      </c>
      <c r="AA355" s="4"/>
      <c r="AB355" s="4"/>
      <c r="AC355" s="4"/>
      <c r="AD355" s="4"/>
      <c r="AE355" s="4"/>
      <c r="AF355" s="4"/>
      <c r="AG355" s="4"/>
      <c r="AH355" s="4"/>
      <c r="AI355" s="4"/>
      <c r="AJ355" s="76" t="str">
        <f>IF(E355="○",IF(COUNTA(E$13:E355)=1,"",",")&amp;D355,"")</f>
        <v/>
      </c>
      <c r="AK355" s="4"/>
      <c r="AL355" s="4"/>
      <c r="AM355" s="4"/>
      <c r="AN355" s="4"/>
      <c r="AO355" s="4"/>
      <c r="AP355" s="4"/>
      <c r="AQ355" s="4"/>
      <c r="AR355" s="4"/>
      <c r="AS355" s="76" t="str">
        <f>"COMMENT ON COLUMN "&amp;エンティティ一覧!$O$2&amp;"."&amp;D$8&amp;"."&amp;D355&amp;" IS '"&amp;C355&amp;"';"</f>
        <v>COMMENT ON COLUMN milscm_2023_009.sny_202310_annony_bef2.shikkan337_start_date IS 'C723_疾患開始日';</v>
      </c>
    </row>
    <row r="356" spans="1:45" s="25" customFormat="1">
      <c r="A356" s="4" t="s">
        <v>5481</v>
      </c>
      <c r="B356" s="21">
        <f t="shared" si="47"/>
        <v>344</v>
      </c>
      <c r="C356" s="13" t="s">
        <v>6871</v>
      </c>
      <c r="D356" s="13" t="s">
        <v>5998</v>
      </c>
      <c r="E356" s="8"/>
      <c r="F356" s="7" t="s">
        <v>4348</v>
      </c>
      <c r="G356" s="7" t="s">
        <v>25</v>
      </c>
      <c r="H356" s="58"/>
      <c r="I356" s="23"/>
      <c r="J356" s="24"/>
      <c r="M356" s="4"/>
      <c r="N356" s="76"/>
      <c r="O356" s="76"/>
      <c r="P356" s="76" t="str">
        <f t="shared" ref="P356:P419" si="48">IF(B356&lt;&gt;1,","&amp;D356,D356)</f>
        <v>,shikkan338_start_date</v>
      </c>
      <c r="Q356" s="76" t="str">
        <f t="shared" ref="Q356:Q419" si="49">UPPER(G356)</f>
        <v>DATE</v>
      </c>
      <c r="R356" s="76" t="str">
        <f t="shared" ref="R356:R419" si="50">IF(H356&lt;&gt;"","default "&amp;IF(G356="text","'"&amp;H356&amp;"'",H356),"")</f>
        <v/>
      </c>
      <c r="S356" s="76" t="str">
        <f t="shared" ref="S356:S419" si="51">IF(I356="○","NOT NULL","")</f>
        <v/>
      </c>
      <c r="T356" s="76" t="str">
        <f t="shared" ref="T356:T419" si="52">"-- "&amp;C356</f>
        <v>-- C724_疾患開始日</v>
      </c>
      <c r="U356" s="4" t="str">
        <f t="shared" si="40"/>
        <v>, CASE WHEN shikkan_disp_name = 'C724' THEN min_shikkan_start_date ::DATE ELSE NULL END AS shikkan338_start_date</v>
      </c>
      <c r="V356" s="25" t="str">
        <f t="shared" si="41"/>
        <v>, max(shikkan338_start_date)</v>
      </c>
      <c r="AA356" s="4"/>
      <c r="AB356" s="4"/>
      <c r="AC356" s="4"/>
      <c r="AD356" s="4"/>
      <c r="AE356" s="4"/>
      <c r="AF356" s="4"/>
      <c r="AG356" s="4"/>
      <c r="AH356" s="4"/>
      <c r="AI356" s="4"/>
      <c r="AJ356" s="76" t="str">
        <f>IF(E356="○",IF(COUNTA(E$13:E356)=1,"",",")&amp;D356,"")</f>
        <v/>
      </c>
      <c r="AK356" s="4"/>
      <c r="AL356" s="4"/>
      <c r="AM356" s="4"/>
      <c r="AN356" s="4"/>
      <c r="AO356" s="4"/>
      <c r="AP356" s="4"/>
      <c r="AQ356" s="4"/>
      <c r="AR356" s="4"/>
      <c r="AS356" s="76" t="str">
        <f>"COMMENT ON COLUMN "&amp;エンティティ一覧!$O$2&amp;"."&amp;D$8&amp;"."&amp;D356&amp;" IS '"&amp;C356&amp;"';"</f>
        <v>COMMENT ON COLUMN milscm_2023_009.sny_202310_annony_bef2.shikkan338_start_date IS 'C724_疾患開始日';</v>
      </c>
    </row>
    <row r="357" spans="1:45" s="25" customFormat="1">
      <c r="A357" s="4" t="s">
        <v>5482</v>
      </c>
      <c r="B357" s="21">
        <f t="shared" si="47"/>
        <v>345</v>
      </c>
      <c r="C357" s="13" t="s">
        <v>6872</v>
      </c>
      <c r="D357" s="13" t="s">
        <v>5999</v>
      </c>
      <c r="E357" s="8"/>
      <c r="F357" s="7" t="s">
        <v>4348</v>
      </c>
      <c r="G357" s="7" t="s">
        <v>25</v>
      </c>
      <c r="H357" s="58"/>
      <c r="I357" s="23"/>
      <c r="J357" s="24"/>
      <c r="M357" s="4"/>
      <c r="N357" s="76"/>
      <c r="O357" s="76"/>
      <c r="P357" s="76" t="str">
        <f t="shared" si="48"/>
        <v>,shikkan339_start_date</v>
      </c>
      <c r="Q357" s="76" t="str">
        <f t="shared" si="49"/>
        <v>DATE</v>
      </c>
      <c r="R357" s="76" t="str">
        <f t="shared" si="50"/>
        <v/>
      </c>
      <c r="S357" s="76" t="str">
        <f t="shared" si="51"/>
        <v/>
      </c>
      <c r="T357" s="76" t="str">
        <f t="shared" si="52"/>
        <v>-- C725_疾患開始日</v>
      </c>
      <c r="U357" s="4" t="str">
        <f t="shared" si="40"/>
        <v>, CASE WHEN shikkan_disp_name = 'C725' THEN min_shikkan_start_date ::DATE ELSE NULL END AS shikkan339_start_date</v>
      </c>
      <c r="V357" s="25" t="str">
        <f t="shared" si="41"/>
        <v>, max(shikkan339_start_date)</v>
      </c>
      <c r="AA357" s="4"/>
      <c r="AB357" s="4"/>
      <c r="AC357" s="4"/>
      <c r="AD357" s="4"/>
      <c r="AE357" s="4"/>
      <c r="AF357" s="4"/>
      <c r="AG357" s="4"/>
      <c r="AH357" s="4"/>
      <c r="AI357" s="4"/>
      <c r="AJ357" s="76" t="str">
        <f>IF(E357="○",IF(COUNTA(E$13:E357)=1,"",",")&amp;D357,"")</f>
        <v/>
      </c>
      <c r="AK357" s="4"/>
      <c r="AL357" s="4"/>
      <c r="AM357" s="4"/>
      <c r="AN357" s="4"/>
      <c r="AO357" s="4"/>
      <c r="AP357" s="4"/>
      <c r="AQ357" s="4"/>
      <c r="AR357" s="4"/>
      <c r="AS357" s="76" t="str">
        <f>"COMMENT ON COLUMN "&amp;エンティティ一覧!$O$2&amp;"."&amp;D$8&amp;"."&amp;D357&amp;" IS '"&amp;C357&amp;"';"</f>
        <v>COMMENT ON COLUMN milscm_2023_009.sny_202310_annony_bef2.shikkan339_start_date IS 'C725_疾患開始日';</v>
      </c>
    </row>
    <row r="358" spans="1:45" s="25" customFormat="1">
      <c r="A358" s="4" t="s">
        <v>5483</v>
      </c>
      <c r="B358" s="21">
        <f t="shared" si="47"/>
        <v>346</v>
      </c>
      <c r="C358" s="13" t="s">
        <v>6873</v>
      </c>
      <c r="D358" s="13" t="s">
        <v>6000</v>
      </c>
      <c r="E358" s="8"/>
      <c r="F358" s="7" t="s">
        <v>4348</v>
      </c>
      <c r="G358" s="7" t="s">
        <v>25</v>
      </c>
      <c r="H358" s="58"/>
      <c r="I358" s="23"/>
      <c r="J358" s="24"/>
      <c r="M358" s="4"/>
      <c r="N358" s="76"/>
      <c r="O358" s="76"/>
      <c r="P358" s="76" t="str">
        <f t="shared" si="48"/>
        <v>,shikkan340_start_date</v>
      </c>
      <c r="Q358" s="76" t="str">
        <f t="shared" si="49"/>
        <v>DATE</v>
      </c>
      <c r="R358" s="76" t="str">
        <f t="shared" si="50"/>
        <v/>
      </c>
      <c r="S358" s="76" t="str">
        <f t="shared" si="51"/>
        <v/>
      </c>
      <c r="T358" s="76" t="str">
        <f t="shared" si="52"/>
        <v>-- C728_疾患開始日</v>
      </c>
      <c r="U358" s="4" t="str">
        <f t="shared" si="40"/>
        <v>, CASE WHEN shikkan_disp_name = 'C728' THEN min_shikkan_start_date ::DATE ELSE NULL END AS shikkan340_start_date</v>
      </c>
      <c r="V358" s="25" t="str">
        <f t="shared" si="41"/>
        <v>, max(shikkan340_start_date)</v>
      </c>
      <c r="AA358" s="4"/>
      <c r="AB358" s="4"/>
      <c r="AC358" s="4"/>
      <c r="AD358" s="4"/>
      <c r="AE358" s="4"/>
      <c r="AF358" s="4"/>
      <c r="AG358" s="4"/>
      <c r="AH358" s="4"/>
      <c r="AI358" s="4"/>
      <c r="AJ358" s="76" t="str">
        <f>IF(E358="○",IF(COUNTA(E$13:E358)=1,"",",")&amp;D358,"")</f>
        <v/>
      </c>
      <c r="AK358" s="4"/>
      <c r="AL358" s="4"/>
      <c r="AM358" s="4"/>
      <c r="AN358" s="4"/>
      <c r="AO358" s="4"/>
      <c r="AP358" s="4"/>
      <c r="AQ358" s="4"/>
      <c r="AR358" s="4"/>
      <c r="AS358" s="76" t="str">
        <f>"COMMENT ON COLUMN "&amp;エンティティ一覧!$O$2&amp;"."&amp;D$8&amp;"."&amp;D358&amp;" IS '"&amp;C358&amp;"';"</f>
        <v>COMMENT ON COLUMN milscm_2023_009.sny_202310_annony_bef2.shikkan340_start_date IS 'C728_疾患開始日';</v>
      </c>
    </row>
    <row r="359" spans="1:45" s="25" customFormat="1">
      <c r="A359" s="4" t="s">
        <v>5484</v>
      </c>
      <c r="B359" s="21">
        <f t="shared" si="47"/>
        <v>347</v>
      </c>
      <c r="C359" s="13" t="s">
        <v>6874</v>
      </c>
      <c r="D359" s="13" t="s">
        <v>6001</v>
      </c>
      <c r="E359" s="8"/>
      <c r="F359" s="7" t="s">
        <v>4348</v>
      </c>
      <c r="G359" s="7" t="s">
        <v>25</v>
      </c>
      <c r="H359" s="58"/>
      <c r="I359" s="23"/>
      <c r="J359" s="24"/>
      <c r="M359" s="4"/>
      <c r="N359" s="76"/>
      <c r="O359" s="76"/>
      <c r="P359" s="76" t="str">
        <f t="shared" si="48"/>
        <v>,shikkan341_start_date</v>
      </c>
      <c r="Q359" s="76" t="str">
        <f t="shared" si="49"/>
        <v>DATE</v>
      </c>
      <c r="R359" s="76" t="str">
        <f t="shared" si="50"/>
        <v/>
      </c>
      <c r="S359" s="76" t="str">
        <f t="shared" si="51"/>
        <v/>
      </c>
      <c r="T359" s="76" t="str">
        <f t="shared" si="52"/>
        <v>-- C729_疾患開始日</v>
      </c>
      <c r="U359" s="4" t="str">
        <f t="shared" si="40"/>
        <v>, CASE WHEN shikkan_disp_name = 'C729' THEN min_shikkan_start_date ::DATE ELSE NULL END AS shikkan341_start_date</v>
      </c>
      <c r="V359" s="25" t="str">
        <f t="shared" si="41"/>
        <v>, max(shikkan341_start_date)</v>
      </c>
      <c r="AA359" s="4"/>
      <c r="AB359" s="4"/>
      <c r="AC359" s="4"/>
      <c r="AD359" s="4"/>
      <c r="AE359" s="4"/>
      <c r="AF359" s="4"/>
      <c r="AG359" s="4"/>
      <c r="AH359" s="4"/>
      <c r="AI359" s="4"/>
      <c r="AJ359" s="76" t="str">
        <f>IF(E359="○",IF(COUNTA(E$13:E359)=1,"",",")&amp;D359,"")</f>
        <v/>
      </c>
      <c r="AK359" s="4"/>
      <c r="AL359" s="4"/>
      <c r="AM359" s="4"/>
      <c r="AN359" s="4"/>
      <c r="AO359" s="4"/>
      <c r="AP359" s="4"/>
      <c r="AQ359" s="4"/>
      <c r="AR359" s="4"/>
      <c r="AS359" s="76" t="str">
        <f>"COMMENT ON COLUMN "&amp;エンティティ一覧!$O$2&amp;"."&amp;D$8&amp;"."&amp;D359&amp;" IS '"&amp;C359&amp;"';"</f>
        <v>COMMENT ON COLUMN milscm_2023_009.sny_202310_annony_bef2.shikkan341_start_date IS 'C729_疾患開始日';</v>
      </c>
    </row>
    <row r="360" spans="1:45" s="25" customFormat="1">
      <c r="A360" s="4" t="s">
        <v>5156</v>
      </c>
      <c r="B360" s="21">
        <f t="shared" si="47"/>
        <v>348</v>
      </c>
      <c r="C360" s="13" t="s">
        <v>4766</v>
      </c>
      <c r="D360" s="13" t="s">
        <v>6002</v>
      </c>
      <c r="E360" s="8"/>
      <c r="F360" s="7" t="s">
        <v>4348</v>
      </c>
      <c r="G360" s="7" t="s">
        <v>25</v>
      </c>
      <c r="H360" s="58"/>
      <c r="I360" s="23"/>
      <c r="J360" s="24"/>
      <c r="M360" s="4"/>
      <c r="N360" s="76"/>
      <c r="O360" s="76"/>
      <c r="P360" s="76" t="str">
        <f t="shared" si="48"/>
        <v>,shikkan342_start_date</v>
      </c>
      <c r="Q360" s="76" t="str">
        <f t="shared" si="49"/>
        <v>DATE</v>
      </c>
      <c r="R360" s="76" t="str">
        <f t="shared" si="50"/>
        <v/>
      </c>
      <c r="S360" s="76" t="str">
        <f t="shared" si="51"/>
        <v/>
      </c>
      <c r="T360" s="76" t="str">
        <f t="shared" si="52"/>
        <v>-- C73_疾患開始日</v>
      </c>
      <c r="U360" s="4" t="str">
        <f t="shared" si="40"/>
        <v>, CASE WHEN shikkan_disp_name = 'C73' THEN min_shikkan_start_date ::DATE ELSE NULL END AS shikkan342_start_date</v>
      </c>
      <c r="V360" s="25" t="str">
        <f t="shared" si="41"/>
        <v>, max(shikkan342_start_date)</v>
      </c>
      <c r="AA360" s="4"/>
      <c r="AB360" s="4"/>
      <c r="AC360" s="4"/>
      <c r="AD360" s="4"/>
      <c r="AE360" s="4"/>
      <c r="AF360" s="4"/>
      <c r="AG360" s="4"/>
      <c r="AH360" s="4"/>
      <c r="AI360" s="4"/>
      <c r="AJ360" s="76" t="str">
        <f>IF(E360="○",IF(COUNTA(E$13:E360)=1,"",",")&amp;D360,"")</f>
        <v/>
      </c>
      <c r="AK360" s="4"/>
      <c r="AL360" s="4"/>
      <c r="AM360" s="4"/>
      <c r="AN360" s="4"/>
      <c r="AO360" s="4"/>
      <c r="AP360" s="4"/>
      <c r="AQ360" s="4"/>
      <c r="AR360" s="4"/>
      <c r="AS360" s="76" t="str">
        <f>"COMMENT ON COLUMN "&amp;エンティティ一覧!$O$2&amp;"."&amp;D$8&amp;"."&amp;D360&amp;" IS '"&amp;C360&amp;"';"</f>
        <v>COMMENT ON COLUMN milscm_2023_009.sny_202310_annony_bef2.shikkan342_start_date IS 'C73_疾患開始日';</v>
      </c>
    </row>
    <row r="361" spans="1:45" s="25" customFormat="1">
      <c r="A361" s="4" t="s">
        <v>5485</v>
      </c>
      <c r="B361" s="21">
        <f t="shared" si="47"/>
        <v>349</v>
      </c>
      <c r="C361" s="13" t="s">
        <v>6875</v>
      </c>
      <c r="D361" s="13" t="s">
        <v>6003</v>
      </c>
      <c r="E361" s="8"/>
      <c r="F361" s="7" t="s">
        <v>4348</v>
      </c>
      <c r="G361" s="7" t="s">
        <v>25</v>
      </c>
      <c r="H361" s="58"/>
      <c r="I361" s="23"/>
      <c r="J361" s="24"/>
      <c r="M361" s="4"/>
      <c r="N361" s="76"/>
      <c r="O361" s="76"/>
      <c r="P361" s="76" t="str">
        <f t="shared" si="48"/>
        <v>,shikkan343_start_date</v>
      </c>
      <c r="Q361" s="76" t="str">
        <f t="shared" si="49"/>
        <v>DATE</v>
      </c>
      <c r="R361" s="76" t="str">
        <f t="shared" si="50"/>
        <v/>
      </c>
      <c r="S361" s="76" t="str">
        <f t="shared" si="51"/>
        <v/>
      </c>
      <c r="T361" s="76" t="str">
        <f t="shared" si="52"/>
        <v>-- C740_疾患開始日</v>
      </c>
      <c r="U361" s="4" t="str">
        <f t="shared" si="40"/>
        <v>, CASE WHEN shikkan_disp_name = 'C740' THEN min_shikkan_start_date ::DATE ELSE NULL END AS shikkan343_start_date</v>
      </c>
      <c r="V361" s="25" t="str">
        <f t="shared" si="41"/>
        <v>, max(shikkan343_start_date)</v>
      </c>
      <c r="AA361" s="4"/>
      <c r="AB361" s="4"/>
      <c r="AC361" s="4"/>
      <c r="AD361" s="4"/>
      <c r="AE361" s="4"/>
      <c r="AF361" s="4"/>
      <c r="AG361" s="4"/>
      <c r="AH361" s="4"/>
      <c r="AI361" s="4"/>
      <c r="AJ361" s="76" t="str">
        <f>IF(E361="○",IF(COUNTA(E$13:E361)=1,"",",")&amp;D361,"")</f>
        <v/>
      </c>
      <c r="AK361" s="4"/>
      <c r="AL361" s="4"/>
      <c r="AM361" s="4"/>
      <c r="AN361" s="4"/>
      <c r="AO361" s="4"/>
      <c r="AP361" s="4"/>
      <c r="AQ361" s="4"/>
      <c r="AR361" s="4"/>
      <c r="AS361" s="76" t="str">
        <f>"COMMENT ON COLUMN "&amp;エンティティ一覧!$O$2&amp;"."&amp;D$8&amp;"."&amp;D361&amp;" IS '"&amp;C361&amp;"';"</f>
        <v>COMMENT ON COLUMN milscm_2023_009.sny_202310_annony_bef2.shikkan343_start_date IS 'C740_疾患開始日';</v>
      </c>
    </row>
    <row r="362" spans="1:45" s="25" customFormat="1">
      <c r="A362" s="4" t="s">
        <v>5486</v>
      </c>
      <c r="B362" s="21">
        <f t="shared" si="47"/>
        <v>350</v>
      </c>
      <c r="C362" s="13" t="s">
        <v>6876</v>
      </c>
      <c r="D362" s="13" t="s">
        <v>6004</v>
      </c>
      <c r="E362" s="8"/>
      <c r="F362" s="7" t="s">
        <v>4348</v>
      </c>
      <c r="G362" s="7" t="s">
        <v>25</v>
      </c>
      <c r="H362" s="58"/>
      <c r="I362" s="23"/>
      <c r="J362" s="24"/>
      <c r="M362" s="4"/>
      <c r="N362" s="76"/>
      <c r="O362" s="76"/>
      <c r="P362" s="76" t="str">
        <f t="shared" si="48"/>
        <v>,shikkan344_start_date</v>
      </c>
      <c r="Q362" s="76" t="str">
        <f t="shared" si="49"/>
        <v>DATE</v>
      </c>
      <c r="R362" s="76" t="str">
        <f t="shared" si="50"/>
        <v/>
      </c>
      <c r="S362" s="76" t="str">
        <f t="shared" si="51"/>
        <v/>
      </c>
      <c r="T362" s="76" t="str">
        <f t="shared" si="52"/>
        <v>-- C741_疾患開始日</v>
      </c>
      <c r="U362" s="4" t="str">
        <f t="shared" si="40"/>
        <v>, CASE WHEN shikkan_disp_name = 'C741' THEN min_shikkan_start_date ::DATE ELSE NULL END AS shikkan344_start_date</v>
      </c>
      <c r="V362" s="25" t="str">
        <f t="shared" si="41"/>
        <v>, max(shikkan344_start_date)</v>
      </c>
      <c r="AA362" s="4"/>
      <c r="AB362" s="4"/>
      <c r="AC362" s="4"/>
      <c r="AD362" s="4"/>
      <c r="AE362" s="4"/>
      <c r="AF362" s="4"/>
      <c r="AG362" s="4"/>
      <c r="AH362" s="4"/>
      <c r="AI362" s="4"/>
      <c r="AJ362" s="76" t="str">
        <f>IF(E362="○",IF(COUNTA(E$13:E362)=1,"",",")&amp;D362,"")</f>
        <v/>
      </c>
      <c r="AK362" s="4"/>
      <c r="AL362" s="4"/>
      <c r="AM362" s="4"/>
      <c r="AN362" s="4"/>
      <c r="AO362" s="4"/>
      <c r="AP362" s="4"/>
      <c r="AQ362" s="4"/>
      <c r="AR362" s="4"/>
      <c r="AS362" s="76" t="str">
        <f>"COMMENT ON COLUMN "&amp;エンティティ一覧!$O$2&amp;"."&amp;D$8&amp;"."&amp;D362&amp;" IS '"&amp;C362&amp;"';"</f>
        <v>COMMENT ON COLUMN milscm_2023_009.sny_202310_annony_bef2.shikkan344_start_date IS 'C741_疾患開始日';</v>
      </c>
    </row>
    <row r="363" spans="1:45" s="25" customFormat="1">
      <c r="A363" s="4" t="s">
        <v>5487</v>
      </c>
      <c r="B363" s="21">
        <f t="shared" si="47"/>
        <v>351</v>
      </c>
      <c r="C363" s="13" t="s">
        <v>6877</v>
      </c>
      <c r="D363" s="13" t="s">
        <v>6005</v>
      </c>
      <c r="E363" s="8"/>
      <c r="F363" s="7" t="s">
        <v>4348</v>
      </c>
      <c r="G363" s="7" t="s">
        <v>25</v>
      </c>
      <c r="H363" s="58"/>
      <c r="I363" s="23"/>
      <c r="J363" s="24"/>
      <c r="M363" s="4"/>
      <c r="N363" s="76"/>
      <c r="O363" s="76"/>
      <c r="P363" s="76" t="str">
        <f t="shared" si="48"/>
        <v>,shikkan345_start_date</v>
      </c>
      <c r="Q363" s="76" t="str">
        <f t="shared" si="49"/>
        <v>DATE</v>
      </c>
      <c r="R363" s="76" t="str">
        <f t="shared" si="50"/>
        <v/>
      </c>
      <c r="S363" s="76" t="str">
        <f t="shared" si="51"/>
        <v/>
      </c>
      <c r="T363" s="76" t="str">
        <f t="shared" si="52"/>
        <v>-- C749_疾患開始日</v>
      </c>
      <c r="U363" s="4" t="str">
        <f t="shared" si="40"/>
        <v>, CASE WHEN shikkan_disp_name = 'C749' THEN min_shikkan_start_date ::DATE ELSE NULL END AS shikkan345_start_date</v>
      </c>
      <c r="V363" s="25" t="str">
        <f t="shared" si="41"/>
        <v>, max(shikkan345_start_date)</v>
      </c>
      <c r="AA363" s="4"/>
      <c r="AB363" s="4"/>
      <c r="AC363" s="4"/>
      <c r="AD363" s="4"/>
      <c r="AE363" s="4"/>
      <c r="AF363" s="4"/>
      <c r="AG363" s="4"/>
      <c r="AH363" s="4"/>
      <c r="AI363" s="4"/>
      <c r="AJ363" s="76" t="str">
        <f>IF(E363="○",IF(COUNTA(E$13:E363)=1,"",",")&amp;D363,"")</f>
        <v/>
      </c>
      <c r="AK363" s="4"/>
      <c r="AL363" s="4"/>
      <c r="AM363" s="4"/>
      <c r="AN363" s="4"/>
      <c r="AO363" s="4"/>
      <c r="AP363" s="4"/>
      <c r="AQ363" s="4"/>
      <c r="AR363" s="4"/>
      <c r="AS363" s="76" t="str">
        <f>"COMMENT ON COLUMN "&amp;エンティティ一覧!$O$2&amp;"."&amp;D$8&amp;"."&amp;D363&amp;" IS '"&amp;C363&amp;"';"</f>
        <v>COMMENT ON COLUMN milscm_2023_009.sny_202310_annony_bef2.shikkan345_start_date IS 'C749_疾患開始日';</v>
      </c>
    </row>
    <row r="364" spans="1:45" s="25" customFormat="1">
      <c r="A364" s="4" t="s">
        <v>5488</v>
      </c>
      <c r="B364" s="21">
        <f t="shared" si="47"/>
        <v>352</v>
      </c>
      <c r="C364" s="13" t="s">
        <v>6878</v>
      </c>
      <c r="D364" s="13" t="s">
        <v>6006</v>
      </c>
      <c r="E364" s="8"/>
      <c r="F364" s="7" t="s">
        <v>4348</v>
      </c>
      <c r="G364" s="7" t="s">
        <v>25</v>
      </c>
      <c r="H364" s="58"/>
      <c r="I364" s="23"/>
      <c r="J364" s="24"/>
      <c r="M364" s="4"/>
      <c r="N364" s="76"/>
      <c r="O364" s="76"/>
      <c r="P364" s="76" t="str">
        <f t="shared" si="48"/>
        <v>,shikkan346_start_date</v>
      </c>
      <c r="Q364" s="76" t="str">
        <f t="shared" si="49"/>
        <v>DATE</v>
      </c>
      <c r="R364" s="76" t="str">
        <f t="shared" si="50"/>
        <v/>
      </c>
      <c r="S364" s="76" t="str">
        <f t="shared" si="51"/>
        <v/>
      </c>
      <c r="T364" s="76" t="str">
        <f t="shared" si="52"/>
        <v>-- C750_疾患開始日</v>
      </c>
      <c r="U364" s="4" t="str">
        <f t="shared" si="40"/>
        <v>, CASE WHEN shikkan_disp_name = 'C750' THEN min_shikkan_start_date ::DATE ELSE NULL END AS shikkan346_start_date</v>
      </c>
      <c r="V364" s="25" t="str">
        <f t="shared" si="41"/>
        <v>, max(shikkan346_start_date)</v>
      </c>
      <c r="AA364" s="4"/>
      <c r="AB364" s="4"/>
      <c r="AC364" s="4"/>
      <c r="AD364" s="4"/>
      <c r="AE364" s="4"/>
      <c r="AF364" s="4"/>
      <c r="AG364" s="4"/>
      <c r="AH364" s="4"/>
      <c r="AI364" s="4"/>
      <c r="AJ364" s="76" t="str">
        <f>IF(E364="○",IF(COUNTA(E$13:E364)=1,"",",")&amp;D364,"")</f>
        <v/>
      </c>
      <c r="AK364" s="4"/>
      <c r="AL364" s="4"/>
      <c r="AM364" s="4"/>
      <c r="AN364" s="4"/>
      <c r="AO364" s="4"/>
      <c r="AP364" s="4"/>
      <c r="AQ364" s="4"/>
      <c r="AR364" s="4"/>
      <c r="AS364" s="76" t="str">
        <f>"COMMENT ON COLUMN "&amp;エンティティ一覧!$O$2&amp;"."&amp;D$8&amp;"."&amp;D364&amp;" IS '"&amp;C364&amp;"';"</f>
        <v>COMMENT ON COLUMN milscm_2023_009.sny_202310_annony_bef2.shikkan346_start_date IS 'C750_疾患開始日';</v>
      </c>
    </row>
    <row r="365" spans="1:45" s="25" customFormat="1">
      <c r="A365" s="4" t="s">
        <v>5489</v>
      </c>
      <c r="B365" s="21">
        <f t="shared" si="47"/>
        <v>353</v>
      </c>
      <c r="C365" s="13" t="s">
        <v>6879</v>
      </c>
      <c r="D365" s="13" t="s">
        <v>6007</v>
      </c>
      <c r="E365" s="8"/>
      <c r="F365" s="7" t="s">
        <v>4348</v>
      </c>
      <c r="G365" s="7" t="s">
        <v>25</v>
      </c>
      <c r="H365" s="58"/>
      <c r="I365" s="23"/>
      <c r="J365" s="24"/>
      <c r="M365" s="4"/>
      <c r="N365" s="76"/>
      <c r="O365" s="76"/>
      <c r="P365" s="76" t="str">
        <f t="shared" si="48"/>
        <v>,shikkan347_start_date</v>
      </c>
      <c r="Q365" s="76" t="str">
        <f t="shared" si="49"/>
        <v>DATE</v>
      </c>
      <c r="R365" s="76" t="str">
        <f t="shared" si="50"/>
        <v/>
      </c>
      <c r="S365" s="76" t="str">
        <f t="shared" si="51"/>
        <v/>
      </c>
      <c r="T365" s="76" t="str">
        <f t="shared" si="52"/>
        <v>-- C751_疾患開始日</v>
      </c>
      <c r="U365" s="4" t="str">
        <f t="shared" si="40"/>
        <v>, CASE WHEN shikkan_disp_name = 'C751' THEN min_shikkan_start_date ::DATE ELSE NULL END AS shikkan347_start_date</v>
      </c>
      <c r="V365" s="25" t="str">
        <f t="shared" si="41"/>
        <v>, max(shikkan347_start_date)</v>
      </c>
      <c r="AA365" s="4"/>
      <c r="AB365" s="4"/>
      <c r="AC365" s="4"/>
      <c r="AD365" s="4"/>
      <c r="AE365" s="4"/>
      <c r="AF365" s="4"/>
      <c r="AG365" s="4"/>
      <c r="AH365" s="4"/>
      <c r="AI365" s="4"/>
      <c r="AJ365" s="76" t="str">
        <f>IF(E365="○",IF(COUNTA(E$13:E365)=1,"",",")&amp;D365,"")</f>
        <v/>
      </c>
      <c r="AK365" s="4"/>
      <c r="AL365" s="4"/>
      <c r="AM365" s="4"/>
      <c r="AN365" s="4"/>
      <c r="AO365" s="4"/>
      <c r="AP365" s="4"/>
      <c r="AQ365" s="4"/>
      <c r="AR365" s="4"/>
      <c r="AS365" s="76" t="str">
        <f>"COMMENT ON COLUMN "&amp;エンティティ一覧!$O$2&amp;"."&amp;D$8&amp;"."&amp;D365&amp;" IS '"&amp;C365&amp;"';"</f>
        <v>COMMENT ON COLUMN milscm_2023_009.sny_202310_annony_bef2.shikkan347_start_date IS 'C751_疾患開始日';</v>
      </c>
    </row>
    <row r="366" spans="1:45" s="25" customFormat="1">
      <c r="A366" s="4" t="s">
        <v>5490</v>
      </c>
      <c r="B366" s="21">
        <f t="shared" si="47"/>
        <v>354</v>
      </c>
      <c r="C366" s="13" t="s">
        <v>6880</v>
      </c>
      <c r="D366" s="13" t="s">
        <v>6008</v>
      </c>
      <c r="E366" s="8"/>
      <c r="F366" s="7" t="s">
        <v>4348</v>
      </c>
      <c r="G366" s="7" t="s">
        <v>25</v>
      </c>
      <c r="H366" s="58"/>
      <c r="I366" s="23"/>
      <c r="J366" s="24"/>
      <c r="M366" s="4"/>
      <c r="N366" s="76"/>
      <c r="O366" s="76"/>
      <c r="P366" s="76" t="str">
        <f t="shared" si="48"/>
        <v>,shikkan348_start_date</v>
      </c>
      <c r="Q366" s="76" t="str">
        <f t="shared" si="49"/>
        <v>DATE</v>
      </c>
      <c r="R366" s="76" t="str">
        <f t="shared" si="50"/>
        <v/>
      </c>
      <c r="S366" s="76" t="str">
        <f t="shared" si="51"/>
        <v/>
      </c>
      <c r="T366" s="76" t="str">
        <f t="shared" si="52"/>
        <v>-- C752_疾患開始日</v>
      </c>
      <c r="U366" s="4" t="str">
        <f t="shared" si="40"/>
        <v>, CASE WHEN shikkan_disp_name = 'C752' THEN min_shikkan_start_date ::DATE ELSE NULL END AS shikkan348_start_date</v>
      </c>
      <c r="V366" s="25" t="str">
        <f t="shared" si="41"/>
        <v>, max(shikkan348_start_date)</v>
      </c>
      <c r="AA366" s="4"/>
      <c r="AB366" s="4"/>
      <c r="AC366" s="4"/>
      <c r="AD366" s="4"/>
      <c r="AE366" s="4"/>
      <c r="AF366" s="4"/>
      <c r="AG366" s="4"/>
      <c r="AH366" s="4"/>
      <c r="AI366" s="4"/>
      <c r="AJ366" s="76" t="str">
        <f>IF(E366="○",IF(COUNTA(E$13:E366)=1,"",",")&amp;D366,"")</f>
        <v/>
      </c>
      <c r="AK366" s="4"/>
      <c r="AL366" s="4"/>
      <c r="AM366" s="4"/>
      <c r="AN366" s="4"/>
      <c r="AO366" s="4"/>
      <c r="AP366" s="4"/>
      <c r="AQ366" s="4"/>
      <c r="AR366" s="4"/>
      <c r="AS366" s="76" t="str">
        <f>"COMMENT ON COLUMN "&amp;エンティティ一覧!$O$2&amp;"."&amp;D$8&amp;"."&amp;D366&amp;" IS '"&amp;C366&amp;"';"</f>
        <v>COMMENT ON COLUMN milscm_2023_009.sny_202310_annony_bef2.shikkan348_start_date IS 'C752_疾患開始日';</v>
      </c>
    </row>
    <row r="367" spans="1:45" s="25" customFormat="1">
      <c r="A367" s="4" t="s">
        <v>5491</v>
      </c>
      <c r="B367" s="21">
        <f t="shared" si="47"/>
        <v>355</v>
      </c>
      <c r="C367" s="13" t="s">
        <v>6881</v>
      </c>
      <c r="D367" s="13" t="s">
        <v>6009</v>
      </c>
      <c r="E367" s="8"/>
      <c r="F367" s="7" t="s">
        <v>4348</v>
      </c>
      <c r="G367" s="7" t="s">
        <v>25</v>
      </c>
      <c r="H367" s="58"/>
      <c r="I367" s="23"/>
      <c r="J367" s="24"/>
      <c r="M367" s="4"/>
      <c r="N367" s="76"/>
      <c r="O367" s="76"/>
      <c r="P367" s="76" t="str">
        <f t="shared" si="48"/>
        <v>,shikkan349_start_date</v>
      </c>
      <c r="Q367" s="76" t="str">
        <f t="shared" si="49"/>
        <v>DATE</v>
      </c>
      <c r="R367" s="76" t="str">
        <f t="shared" si="50"/>
        <v/>
      </c>
      <c r="S367" s="76" t="str">
        <f t="shared" si="51"/>
        <v/>
      </c>
      <c r="T367" s="76" t="str">
        <f t="shared" si="52"/>
        <v>-- C753_疾患開始日</v>
      </c>
      <c r="U367" s="4" t="str">
        <f t="shared" si="40"/>
        <v>, CASE WHEN shikkan_disp_name = 'C753' THEN min_shikkan_start_date ::DATE ELSE NULL END AS shikkan349_start_date</v>
      </c>
      <c r="V367" s="25" t="str">
        <f t="shared" si="41"/>
        <v>, max(shikkan349_start_date)</v>
      </c>
      <c r="AA367" s="4"/>
      <c r="AB367" s="4"/>
      <c r="AC367" s="4"/>
      <c r="AD367" s="4"/>
      <c r="AE367" s="4"/>
      <c r="AF367" s="4"/>
      <c r="AG367" s="4"/>
      <c r="AH367" s="4"/>
      <c r="AI367" s="4"/>
      <c r="AJ367" s="76" t="str">
        <f>IF(E367="○",IF(COUNTA(E$13:E367)=1,"",",")&amp;D367,"")</f>
        <v/>
      </c>
      <c r="AK367" s="4"/>
      <c r="AL367" s="4"/>
      <c r="AM367" s="4"/>
      <c r="AN367" s="4"/>
      <c r="AO367" s="4"/>
      <c r="AP367" s="4"/>
      <c r="AQ367" s="4"/>
      <c r="AR367" s="4"/>
      <c r="AS367" s="76" t="str">
        <f>"COMMENT ON COLUMN "&amp;エンティティ一覧!$O$2&amp;"."&amp;D$8&amp;"."&amp;D367&amp;" IS '"&amp;C367&amp;"';"</f>
        <v>COMMENT ON COLUMN milscm_2023_009.sny_202310_annony_bef2.shikkan349_start_date IS 'C753_疾患開始日';</v>
      </c>
    </row>
    <row r="368" spans="1:45" s="25" customFormat="1">
      <c r="A368" s="4" t="s">
        <v>5492</v>
      </c>
      <c r="B368" s="21">
        <f t="shared" si="47"/>
        <v>356</v>
      </c>
      <c r="C368" s="13" t="s">
        <v>6882</v>
      </c>
      <c r="D368" s="13" t="s">
        <v>6010</v>
      </c>
      <c r="E368" s="8"/>
      <c r="F368" s="7" t="s">
        <v>4348</v>
      </c>
      <c r="G368" s="7" t="s">
        <v>25</v>
      </c>
      <c r="H368" s="58"/>
      <c r="I368" s="23"/>
      <c r="J368" s="24"/>
      <c r="M368" s="4"/>
      <c r="N368" s="76"/>
      <c r="O368" s="76"/>
      <c r="P368" s="76" t="str">
        <f t="shared" si="48"/>
        <v>,shikkan350_start_date</v>
      </c>
      <c r="Q368" s="76" t="str">
        <f t="shared" si="49"/>
        <v>DATE</v>
      </c>
      <c r="R368" s="76" t="str">
        <f t="shared" si="50"/>
        <v/>
      </c>
      <c r="S368" s="76" t="str">
        <f t="shared" si="51"/>
        <v/>
      </c>
      <c r="T368" s="76" t="str">
        <f t="shared" si="52"/>
        <v>-- C754_疾患開始日</v>
      </c>
      <c r="U368" s="4" t="str">
        <f t="shared" si="40"/>
        <v>, CASE WHEN shikkan_disp_name = 'C754' THEN min_shikkan_start_date ::DATE ELSE NULL END AS shikkan350_start_date</v>
      </c>
      <c r="V368" s="25" t="str">
        <f t="shared" si="41"/>
        <v>, max(shikkan350_start_date)</v>
      </c>
      <c r="AA368" s="4"/>
      <c r="AB368" s="4"/>
      <c r="AC368" s="4"/>
      <c r="AD368" s="4"/>
      <c r="AE368" s="4"/>
      <c r="AF368" s="4"/>
      <c r="AG368" s="4"/>
      <c r="AH368" s="4"/>
      <c r="AI368" s="4"/>
      <c r="AJ368" s="76" t="str">
        <f>IF(E368="○",IF(COUNTA(E$13:E368)=1,"",",")&amp;D368,"")</f>
        <v/>
      </c>
      <c r="AK368" s="4"/>
      <c r="AL368" s="4"/>
      <c r="AM368" s="4"/>
      <c r="AN368" s="4"/>
      <c r="AO368" s="4"/>
      <c r="AP368" s="4"/>
      <c r="AQ368" s="4"/>
      <c r="AR368" s="4"/>
      <c r="AS368" s="76" t="str">
        <f>"COMMENT ON COLUMN "&amp;エンティティ一覧!$O$2&amp;"."&amp;D$8&amp;"."&amp;D368&amp;" IS '"&amp;C368&amp;"';"</f>
        <v>COMMENT ON COLUMN milscm_2023_009.sny_202310_annony_bef2.shikkan350_start_date IS 'C754_疾患開始日';</v>
      </c>
    </row>
    <row r="369" spans="1:45" s="25" customFormat="1">
      <c r="A369" s="4" t="s">
        <v>5493</v>
      </c>
      <c r="B369" s="21">
        <f t="shared" si="47"/>
        <v>357</v>
      </c>
      <c r="C369" s="13" t="s">
        <v>6883</v>
      </c>
      <c r="D369" s="13" t="s">
        <v>6011</v>
      </c>
      <c r="E369" s="8"/>
      <c r="F369" s="7" t="s">
        <v>4348</v>
      </c>
      <c r="G369" s="7" t="s">
        <v>25</v>
      </c>
      <c r="H369" s="58"/>
      <c r="I369" s="23"/>
      <c r="J369" s="24"/>
      <c r="M369" s="4"/>
      <c r="N369" s="76"/>
      <c r="O369" s="76"/>
      <c r="P369" s="76" t="str">
        <f t="shared" si="48"/>
        <v>,shikkan351_start_date</v>
      </c>
      <c r="Q369" s="76" t="str">
        <f t="shared" si="49"/>
        <v>DATE</v>
      </c>
      <c r="R369" s="76" t="str">
        <f t="shared" si="50"/>
        <v/>
      </c>
      <c r="S369" s="76" t="str">
        <f t="shared" si="51"/>
        <v/>
      </c>
      <c r="T369" s="76" t="str">
        <f t="shared" si="52"/>
        <v>-- C755_疾患開始日</v>
      </c>
      <c r="U369" s="4" t="str">
        <f t="shared" si="40"/>
        <v>, CASE WHEN shikkan_disp_name = 'C755' THEN min_shikkan_start_date ::DATE ELSE NULL END AS shikkan351_start_date</v>
      </c>
      <c r="V369" s="25" t="str">
        <f t="shared" si="41"/>
        <v>, max(shikkan351_start_date)</v>
      </c>
      <c r="AA369" s="4"/>
      <c r="AB369" s="4"/>
      <c r="AC369" s="4"/>
      <c r="AD369" s="4"/>
      <c r="AE369" s="4"/>
      <c r="AF369" s="4"/>
      <c r="AG369" s="4"/>
      <c r="AH369" s="4"/>
      <c r="AI369" s="4"/>
      <c r="AJ369" s="76" t="str">
        <f>IF(E369="○",IF(COUNTA(E$13:E369)=1,"",",")&amp;D369,"")</f>
        <v/>
      </c>
      <c r="AK369" s="4"/>
      <c r="AL369" s="4"/>
      <c r="AM369" s="4"/>
      <c r="AN369" s="4"/>
      <c r="AO369" s="4"/>
      <c r="AP369" s="4"/>
      <c r="AQ369" s="4"/>
      <c r="AR369" s="4"/>
      <c r="AS369" s="76" t="str">
        <f>"COMMENT ON COLUMN "&amp;エンティティ一覧!$O$2&amp;"."&amp;D$8&amp;"."&amp;D369&amp;" IS '"&amp;C369&amp;"';"</f>
        <v>COMMENT ON COLUMN milscm_2023_009.sny_202310_annony_bef2.shikkan351_start_date IS 'C755_疾患開始日';</v>
      </c>
    </row>
    <row r="370" spans="1:45" s="25" customFormat="1">
      <c r="A370" s="4" t="s">
        <v>5494</v>
      </c>
      <c r="B370" s="21">
        <f t="shared" si="47"/>
        <v>358</v>
      </c>
      <c r="C370" s="13" t="s">
        <v>6884</v>
      </c>
      <c r="D370" s="13" t="s">
        <v>6012</v>
      </c>
      <c r="E370" s="8"/>
      <c r="F370" s="7" t="s">
        <v>4348</v>
      </c>
      <c r="G370" s="7" t="s">
        <v>99</v>
      </c>
      <c r="H370" s="58"/>
      <c r="I370" s="23"/>
      <c r="J370" s="24"/>
      <c r="M370" s="4"/>
      <c r="N370" s="76"/>
      <c r="O370" s="76"/>
      <c r="P370" s="76" t="str">
        <f t="shared" si="48"/>
        <v>,shikkan352_start_date</v>
      </c>
      <c r="Q370" s="76" t="str">
        <f t="shared" si="49"/>
        <v>DATE</v>
      </c>
      <c r="R370" s="76" t="str">
        <f t="shared" si="50"/>
        <v/>
      </c>
      <c r="S370" s="76" t="str">
        <f t="shared" si="51"/>
        <v/>
      </c>
      <c r="T370" s="76" t="str">
        <f t="shared" si="52"/>
        <v>-- C758_疾患開始日</v>
      </c>
      <c r="U370" s="4" t="str">
        <f t="shared" si="40"/>
        <v>, CASE WHEN shikkan_disp_name = 'C758' THEN min_shikkan_start_date ::DATE ELSE NULL END AS shikkan352_start_date</v>
      </c>
      <c r="V370" s="25" t="str">
        <f t="shared" si="41"/>
        <v>, max(shikkan352_start_date)</v>
      </c>
      <c r="AA370" s="4"/>
      <c r="AB370" s="4"/>
      <c r="AC370" s="4"/>
      <c r="AD370" s="4"/>
      <c r="AE370" s="4"/>
      <c r="AF370" s="4"/>
      <c r="AG370" s="4"/>
      <c r="AH370" s="4"/>
      <c r="AI370" s="4"/>
      <c r="AJ370" s="76" t="str">
        <f>IF(E370="○",IF(COUNTA(E$13:E370)=1,"",",")&amp;D370,"")</f>
        <v/>
      </c>
      <c r="AK370" s="4"/>
      <c r="AL370" s="4"/>
      <c r="AM370" s="4"/>
      <c r="AN370" s="4"/>
      <c r="AO370" s="4"/>
      <c r="AP370" s="4"/>
      <c r="AQ370" s="4"/>
      <c r="AR370" s="4"/>
      <c r="AS370" s="76" t="str">
        <f>"COMMENT ON COLUMN "&amp;エンティティ一覧!$O$2&amp;"."&amp;D$8&amp;"."&amp;D370&amp;" IS '"&amp;C370&amp;"';"</f>
        <v>COMMENT ON COLUMN milscm_2023_009.sny_202310_annony_bef2.shikkan352_start_date IS 'C758_疾患開始日';</v>
      </c>
    </row>
    <row r="371" spans="1:45" s="25" customFormat="1">
      <c r="A371" s="4" t="s">
        <v>5495</v>
      </c>
      <c r="B371" s="21">
        <f t="shared" si="47"/>
        <v>359</v>
      </c>
      <c r="C371" s="13" t="s">
        <v>6885</v>
      </c>
      <c r="D371" s="13" t="s">
        <v>6013</v>
      </c>
      <c r="E371" s="8"/>
      <c r="F371" s="7" t="s">
        <v>4348</v>
      </c>
      <c r="G371" s="7" t="s">
        <v>25</v>
      </c>
      <c r="H371" s="58"/>
      <c r="I371" s="23"/>
      <c r="J371" s="24"/>
      <c r="M371" s="4"/>
      <c r="N371" s="76"/>
      <c r="O371" s="76"/>
      <c r="P371" s="76" t="str">
        <f t="shared" si="48"/>
        <v>,shikkan353_start_date</v>
      </c>
      <c r="Q371" s="76" t="str">
        <f t="shared" si="49"/>
        <v>DATE</v>
      </c>
      <c r="R371" s="76" t="str">
        <f t="shared" si="50"/>
        <v/>
      </c>
      <c r="S371" s="76" t="str">
        <f t="shared" si="51"/>
        <v/>
      </c>
      <c r="T371" s="76" t="str">
        <f t="shared" si="52"/>
        <v>-- C759_疾患開始日</v>
      </c>
      <c r="U371" s="4" t="str">
        <f t="shared" si="40"/>
        <v>, CASE WHEN shikkan_disp_name = 'C759' THEN min_shikkan_start_date ::DATE ELSE NULL END AS shikkan353_start_date</v>
      </c>
      <c r="V371" s="25" t="str">
        <f t="shared" si="41"/>
        <v>, max(shikkan353_start_date)</v>
      </c>
      <c r="AA371" s="4"/>
      <c r="AB371" s="4"/>
      <c r="AC371" s="4"/>
      <c r="AD371" s="4"/>
      <c r="AE371" s="4"/>
      <c r="AF371" s="4"/>
      <c r="AG371" s="4"/>
      <c r="AH371" s="4"/>
      <c r="AI371" s="4"/>
      <c r="AJ371" s="76" t="str">
        <f>IF(E371="○",IF(COUNTA(E$13:E371)=1,"",",")&amp;D371,"")</f>
        <v/>
      </c>
      <c r="AK371" s="4"/>
      <c r="AL371" s="4"/>
      <c r="AM371" s="4"/>
      <c r="AN371" s="4"/>
      <c r="AO371" s="4"/>
      <c r="AP371" s="4"/>
      <c r="AQ371" s="4"/>
      <c r="AR371" s="4"/>
      <c r="AS371" s="76" t="str">
        <f>"COMMENT ON COLUMN "&amp;エンティティ一覧!$O$2&amp;"."&amp;D$8&amp;"."&amp;D371&amp;" IS '"&amp;C371&amp;"';"</f>
        <v>COMMENT ON COLUMN milscm_2023_009.sny_202310_annony_bef2.shikkan353_start_date IS 'C759_疾患開始日';</v>
      </c>
    </row>
    <row r="372" spans="1:45" s="25" customFormat="1">
      <c r="A372" s="4" t="s">
        <v>5496</v>
      </c>
      <c r="B372" s="21">
        <f t="shared" si="47"/>
        <v>360</v>
      </c>
      <c r="C372" s="13" t="s">
        <v>6886</v>
      </c>
      <c r="D372" s="13" t="s">
        <v>6014</v>
      </c>
      <c r="E372" s="8"/>
      <c r="F372" s="7" t="s">
        <v>4348</v>
      </c>
      <c r="G372" s="7" t="s">
        <v>25</v>
      </c>
      <c r="H372" s="58"/>
      <c r="I372" s="23"/>
      <c r="J372" s="24"/>
      <c r="M372" s="4"/>
      <c r="N372" s="76"/>
      <c r="O372" s="76"/>
      <c r="P372" s="76" t="str">
        <f t="shared" si="48"/>
        <v>,shikkan354_start_date</v>
      </c>
      <c r="Q372" s="76" t="str">
        <f t="shared" si="49"/>
        <v>DATE</v>
      </c>
      <c r="R372" s="76" t="str">
        <f t="shared" si="50"/>
        <v/>
      </c>
      <c r="S372" s="76" t="str">
        <f t="shared" si="51"/>
        <v/>
      </c>
      <c r="T372" s="76" t="str">
        <f t="shared" si="52"/>
        <v>-- C760_疾患開始日</v>
      </c>
      <c r="U372" s="4" t="str">
        <f t="shared" si="40"/>
        <v>, CASE WHEN shikkan_disp_name = 'C760' THEN min_shikkan_start_date ::DATE ELSE NULL END AS shikkan354_start_date</v>
      </c>
      <c r="V372" s="25" t="str">
        <f t="shared" si="41"/>
        <v>, max(shikkan354_start_date)</v>
      </c>
      <c r="AA372" s="4"/>
      <c r="AB372" s="4"/>
      <c r="AC372" s="4"/>
      <c r="AD372" s="4"/>
      <c r="AE372" s="4"/>
      <c r="AF372" s="4"/>
      <c r="AG372" s="4"/>
      <c r="AH372" s="4"/>
      <c r="AI372" s="4"/>
      <c r="AJ372" s="76" t="str">
        <f>IF(E372="○",IF(COUNTA(E$13:E372)=1,"",",")&amp;D372,"")</f>
        <v/>
      </c>
      <c r="AK372" s="4"/>
      <c r="AL372" s="4"/>
      <c r="AM372" s="4"/>
      <c r="AN372" s="4"/>
      <c r="AO372" s="4"/>
      <c r="AP372" s="4"/>
      <c r="AQ372" s="4"/>
      <c r="AR372" s="4"/>
      <c r="AS372" s="76" t="str">
        <f>"COMMENT ON COLUMN "&amp;エンティティ一覧!$O$2&amp;"."&amp;D$8&amp;"."&amp;D372&amp;" IS '"&amp;C372&amp;"';"</f>
        <v>COMMENT ON COLUMN milscm_2023_009.sny_202310_annony_bef2.shikkan354_start_date IS 'C760_疾患開始日';</v>
      </c>
    </row>
    <row r="373" spans="1:45" s="25" customFormat="1">
      <c r="A373" s="4" t="s">
        <v>5497</v>
      </c>
      <c r="B373" s="21">
        <f t="shared" si="47"/>
        <v>361</v>
      </c>
      <c r="C373" s="13" t="s">
        <v>6887</v>
      </c>
      <c r="D373" s="13" t="s">
        <v>6015</v>
      </c>
      <c r="E373" s="8"/>
      <c r="F373" s="7" t="s">
        <v>4348</v>
      </c>
      <c r="G373" s="7" t="s">
        <v>25</v>
      </c>
      <c r="H373" s="58"/>
      <c r="I373" s="23"/>
      <c r="J373" s="24"/>
      <c r="M373" s="4"/>
      <c r="N373" s="76"/>
      <c r="O373" s="76"/>
      <c r="P373" s="76" t="str">
        <f t="shared" si="48"/>
        <v>,shikkan355_start_date</v>
      </c>
      <c r="Q373" s="76" t="str">
        <f t="shared" si="49"/>
        <v>DATE</v>
      </c>
      <c r="R373" s="76" t="str">
        <f t="shared" si="50"/>
        <v/>
      </c>
      <c r="S373" s="76" t="str">
        <f t="shared" si="51"/>
        <v/>
      </c>
      <c r="T373" s="76" t="str">
        <f t="shared" si="52"/>
        <v>-- C761_疾患開始日</v>
      </c>
      <c r="U373" s="4" t="str">
        <f t="shared" si="40"/>
        <v>, CASE WHEN shikkan_disp_name = 'C761' THEN min_shikkan_start_date ::DATE ELSE NULL END AS shikkan355_start_date</v>
      </c>
      <c r="V373" s="25" t="str">
        <f t="shared" si="41"/>
        <v>, max(shikkan355_start_date)</v>
      </c>
      <c r="AA373" s="4"/>
      <c r="AB373" s="4"/>
      <c r="AC373" s="4"/>
      <c r="AD373" s="4"/>
      <c r="AE373" s="4"/>
      <c r="AF373" s="4"/>
      <c r="AG373" s="4"/>
      <c r="AH373" s="4"/>
      <c r="AI373" s="4"/>
      <c r="AJ373" s="76" t="str">
        <f>IF(E373="○",IF(COUNTA(E$13:E373)=1,"",",")&amp;D373,"")</f>
        <v/>
      </c>
      <c r="AK373" s="4"/>
      <c r="AL373" s="4"/>
      <c r="AM373" s="4"/>
      <c r="AN373" s="4"/>
      <c r="AO373" s="4"/>
      <c r="AP373" s="4"/>
      <c r="AQ373" s="4"/>
      <c r="AR373" s="4"/>
      <c r="AS373" s="76" t="str">
        <f>"COMMENT ON COLUMN "&amp;エンティティ一覧!$O$2&amp;"."&amp;D$8&amp;"."&amp;D373&amp;" IS '"&amp;C373&amp;"';"</f>
        <v>COMMENT ON COLUMN milscm_2023_009.sny_202310_annony_bef2.shikkan355_start_date IS 'C761_疾患開始日';</v>
      </c>
    </row>
    <row r="374" spans="1:45" s="25" customFormat="1">
      <c r="A374" s="4" t="s">
        <v>5498</v>
      </c>
      <c r="B374" s="21">
        <f t="shared" si="47"/>
        <v>362</v>
      </c>
      <c r="C374" s="13" t="s">
        <v>6888</v>
      </c>
      <c r="D374" s="13" t="s">
        <v>6016</v>
      </c>
      <c r="E374" s="8"/>
      <c r="F374" s="7" t="s">
        <v>4348</v>
      </c>
      <c r="G374" s="7" t="s">
        <v>25</v>
      </c>
      <c r="H374" s="58"/>
      <c r="I374" s="23"/>
      <c r="J374" s="24"/>
      <c r="M374" s="4"/>
      <c r="N374" s="76"/>
      <c r="O374" s="76"/>
      <c r="P374" s="76" t="str">
        <f t="shared" si="48"/>
        <v>,shikkan356_start_date</v>
      </c>
      <c r="Q374" s="76" t="str">
        <f t="shared" si="49"/>
        <v>DATE</v>
      </c>
      <c r="R374" s="76" t="str">
        <f t="shared" si="50"/>
        <v/>
      </c>
      <c r="S374" s="76" t="str">
        <f t="shared" si="51"/>
        <v/>
      </c>
      <c r="T374" s="76" t="str">
        <f t="shared" si="52"/>
        <v>-- C762_疾患開始日</v>
      </c>
      <c r="U374" s="4" t="str">
        <f t="shared" si="40"/>
        <v>, CASE WHEN shikkan_disp_name = 'C762' THEN min_shikkan_start_date ::DATE ELSE NULL END AS shikkan356_start_date</v>
      </c>
      <c r="V374" s="25" t="str">
        <f t="shared" si="41"/>
        <v>, max(shikkan356_start_date)</v>
      </c>
      <c r="AA374" s="4"/>
      <c r="AB374" s="4"/>
      <c r="AC374" s="4"/>
      <c r="AD374" s="4"/>
      <c r="AE374" s="4"/>
      <c r="AF374" s="4"/>
      <c r="AG374" s="4"/>
      <c r="AH374" s="4"/>
      <c r="AI374" s="4"/>
      <c r="AJ374" s="76" t="str">
        <f>IF(E374="○",IF(COUNTA(E$13:E374)=1,"",",")&amp;D374,"")</f>
        <v/>
      </c>
      <c r="AK374" s="4"/>
      <c r="AL374" s="4"/>
      <c r="AM374" s="4"/>
      <c r="AN374" s="4"/>
      <c r="AO374" s="4"/>
      <c r="AP374" s="4"/>
      <c r="AQ374" s="4"/>
      <c r="AR374" s="4"/>
      <c r="AS374" s="76" t="str">
        <f>"COMMENT ON COLUMN "&amp;エンティティ一覧!$O$2&amp;"."&amp;D$8&amp;"."&amp;D374&amp;" IS '"&amp;C374&amp;"';"</f>
        <v>COMMENT ON COLUMN milscm_2023_009.sny_202310_annony_bef2.shikkan356_start_date IS 'C762_疾患開始日';</v>
      </c>
    </row>
    <row r="375" spans="1:45" s="25" customFormat="1">
      <c r="A375" s="4" t="s">
        <v>5499</v>
      </c>
      <c r="B375" s="21">
        <f t="shared" si="47"/>
        <v>363</v>
      </c>
      <c r="C375" s="13" t="s">
        <v>6889</v>
      </c>
      <c r="D375" s="13" t="s">
        <v>6017</v>
      </c>
      <c r="E375" s="8"/>
      <c r="F375" s="7" t="s">
        <v>4348</v>
      </c>
      <c r="G375" s="7" t="s">
        <v>25</v>
      </c>
      <c r="H375" s="58"/>
      <c r="I375" s="23"/>
      <c r="J375" s="24"/>
      <c r="M375" s="4"/>
      <c r="N375" s="76"/>
      <c r="O375" s="76"/>
      <c r="P375" s="76" t="str">
        <f t="shared" si="48"/>
        <v>,shikkan357_start_date</v>
      </c>
      <c r="Q375" s="76" t="str">
        <f t="shared" si="49"/>
        <v>DATE</v>
      </c>
      <c r="R375" s="76" t="str">
        <f t="shared" si="50"/>
        <v/>
      </c>
      <c r="S375" s="76" t="str">
        <f t="shared" si="51"/>
        <v/>
      </c>
      <c r="T375" s="76" t="str">
        <f t="shared" si="52"/>
        <v>-- C763_疾患開始日</v>
      </c>
      <c r="U375" s="4" t="str">
        <f t="shared" si="40"/>
        <v>, CASE WHEN shikkan_disp_name = 'C763' THEN min_shikkan_start_date ::DATE ELSE NULL END AS shikkan357_start_date</v>
      </c>
      <c r="V375" s="25" t="str">
        <f t="shared" si="41"/>
        <v>, max(shikkan357_start_date)</v>
      </c>
      <c r="AA375" s="4"/>
      <c r="AB375" s="4"/>
      <c r="AC375" s="4"/>
      <c r="AD375" s="4"/>
      <c r="AE375" s="4"/>
      <c r="AF375" s="4"/>
      <c r="AG375" s="4"/>
      <c r="AH375" s="4"/>
      <c r="AI375" s="4"/>
      <c r="AJ375" s="76" t="str">
        <f>IF(E375="○",IF(COUNTA(E$13:E375)=1,"",",")&amp;D375,"")</f>
        <v/>
      </c>
      <c r="AK375" s="4"/>
      <c r="AL375" s="4"/>
      <c r="AM375" s="4"/>
      <c r="AN375" s="4"/>
      <c r="AO375" s="4"/>
      <c r="AP375" s="4"/>
      <c r="AQ375" s="4"/>
      <c r="AR375" s="4"/>
      <c r="AS375" s="76" t="str">
        <f>"COMMENT ON COLUMN "&amp;エンティティ一覧!$O$2&amp;"."&amp;D$8&amp;"."&amp;D375&amp;" IS '"&amp;C375&amp;"';"</f>
        <v>COMMENT ON COLUMN milscm_2023_009.sny_202310_annony_bef2.shikkan357_start_date IS 'C763_疾患開始日';</v>
      </c>
    </row>
    <row r="376" spans="1:45" s="25" customFormat="1">
      <c r="A376" s="4" t="s">
        <v>5500</v>
      </c>
      <c r="B376" s="21">
        <f t="shared" si="47"/>
        <v>364</v>
      </c>
      <c r="C376" s="13" t="s">
        <v>6890</v>
      </c>
      <c r="D376" s="13" t="s">
        <v>6018</v>
      </c>
      <c r="E376" s="8"/>
      <c r="F376" s="7" t="s">
        <v>4348</v>
      </c>
      <c r="G376" s="7" t="s">
        <v>25</v>
      </c>
      <c r="H376" s="58"/>
      <c r="I376" s="23"/>
      <c r="J376" s="24"/>
      <c r="M376" s="4"/>
      <c r="N376" s="76"/>
      <c r="O376" s="76"/>
      <c r="P376" s="76" t="str">
        <f t="shared" si="48"/>
        <v>,shikkan358_start_date</v>
      </c>
      <c r="Q376" s="76" t="str">
        <f t="shared" si="49"/>
        <v>DATE</v>
      </c>
      <c r="R376" s="76" t="str">
        <f t="shared" si="50"/>
        <v/>
      </c>
      <c r="S376" s="76" t="str">
        <f t="shared" si="51"/>
        <v/>
      </c>
      <c r="T376" s="76" t="str">
        <f t="shared" si="52"/>
        <v>-- C764_疾患開始日</v>
      </c>
      <c r="U376" s="4" t="str">
        <f t="shared" si="40"/>
        <v>, CASE WHEN shikkan_disp_name = 'C764' THEN min_shikkan_start_date ::DATE ELSE NULL END AS shikkan358_start_date</v>
      </c>
      <c r="V376" s="25" t="str">
        <f t="shared" si="41"/>
        <v>, max(shikkan358_start_date)</v>
      </c>
      <c r="AA376" s="4"/>
      <c r="AB376" s="4"/>
      <c r="AC376" s="4"/>
      <c r="AD376" s="4"/>
      <c r="AE376" s="4"/>
      <c r="AF376" s="4"/>
      <c r="AG376" s="4"/>
      <c r="AH376" s="4"/>
      <c r="AI376" s="4"/>
      <c r="AJ376" s="76" t="str">
        <f>IF(E376="○",IF(COUNTA(E$13:E376)=1,"",",")&amp;D376,"")</f>
        <v/>
      </c>
      <c r="AK376" s="4"/>
      <c r="AL376" s="4"/>
      <c r="AM376" s="4"/>
      <c r="AN376" s="4"/>
      <c r="AO376" s="4"/>
      <c r="AP376" s="4"/>
      <c r="AQ376" s="4"/>
      <c r="AR376" s="4"/>
      <c r="AS376" s="76" t="str">
        <f>"COMMENT ON COLUMN "&amp;エンティティ一覧!$O$2&amp;"."&amp;D$8&amp;"."&amp;D376&amp;" IS '"&amp;C376&amp;"';"</f>
        <v>COMMENT ON COLUMN milscm_2023_009.sny_202310_annony_bef2.shikkan358_start_date IS 'C764_疾患開始日';</v>
      </c>
    </row>
    <row r="377" spans="1:45" s="25" customFormat="1">
      <c r="A377" s="4" t="s">
        <v>5501</v>
      </c>
      <c r="B377" s="21">
        <f t="shared" si="47"/>
        <v>365</v>
      </c>
      <c r="C377" s="13" t="s">
        <v>6891</v>
      </c>
      <c r="D377" s="13" t="s">
        <v>6019</v>
      </c>
      <c r="E377" s="8"/>
      <c r="F377" s="7" t="s">
        <v>4348</v>
      </c>
      <c r="G377" s="7" t="s">
        <v>25</v>
      </c>
      <c r="H377" s="58"/>
      <c r="I377" s="23"/>
      <c r="J377" s="24"/>
      <c r="M377" s="4"/>
      <c r="N377" s="76"/>
      <c r="O377" s="76"/>
      <c r="P377" s="76" t="str">
        <f t="shared" si="48"/>
        <v>,shikkan359_start_date</v>
      </c>
      <c r="Q377" s="76" t="str">
        <f t="shared" si="49"/>
        <v>DATE</v>
      </c>
      <c r="R377" s="76" t="str">
        <f t="shared" si="50"/>
        <v/>
      </c>
      <c r="S377" s="76" t="str">
        <f t="shared" si="51"/>
        <v/>
      </c>
      <c r="T377" s="76" t="str">
        <f t="shared" si="52"/>
        <v>-- C765_疾患開始日</v>
      </c>
      <c r="U377" s="4" t="str">
        <f t="shared" si="40"/>
        <v>, CASE WHEN shikkan_disp_name = 'C765' THEN min_shikkan_start_date ::DATE ELSE NULL END AS shikkan359_start_date</v>
      </c>
      <c r="V377" s="25" t="str">
        <f t="shared" si="41"/>
        <v>, max(shikkan359_start_date)</v>
      </c>
      <c r="AA377" s="4"/>
      <c r="AB377" s="4"/>
      <c r="AC377" s="4"/>
      <c r="AD377" s="4"/>
      <c r="AE377" s="4"/>
      <c r="AF377" s="4"/>
      <c r="AG377" s="4"/>
      <c r="AH377" s="4"/>
      <c r="AI377" s="4"/>
      <c r="AJ377" s="76" t="str">
        <f>IF(E377="○",IF(COUNTA(E$13:E377)=1,"",",")&amp;D377,"")</f>
        <v/>
      </c>
      <c r="AK377" s="4"/>
      <c r="AL377" s="4"/>
      <c r="AM377" s="4"/>
      <c r="AN377" s="4"/>
      <c r="AO377" s="4"/>
      <c r="AP377" s="4"/>
      <c r="AQ377" s="4"/>
      <c r="AR377" s="4"/>
      <c r="AS377" s="76" t="str">
        <f>"COMMENT ON COLUMN "&amp;エンティティ一覧!$O$2&amp;"."&amp;D$8&amp;"."&amp;D377&amp;" IS '"&amp;C377&amp;"';"</f>
        <v>COMMENT ON COLUMN milscm_2023_009.sny_202310_annony_bef2.shikkan359_start_date IS 'C765_疾患開始日';</v>
      </c>
    </row>
    <row r="378" spans="1:45" s="25" customFormat="1">
      <c r="A378" s="4" t="s">
        <v>5502</v>
      </c>
      <c r="B378" s="21">
        <f t="shared" si="47"/>
        <v>366</v>
      </c>
      <c r="C378" s="13" t="s">
        <v>6892</v>
      </c>
      <c r="D378" s="13" t="s">
        <v>6020</v>
      </c>
      <c r="E378" s="8"/>
      <c r="F378" s="7" t="s">
        <v>4348</v>
      </c>
      <c r="G378" s="7" t="s">
        <v>25</v>
      </c>
      <c r="H378" s="58"/>
      <c r="I378" s="23"/>
      <c r="J378" s="24"/>
      <c r="M378" s="4"/>
      <c r="N378" s="76"/>
      <c r="O378" s="76"/>
      <c r="P378" s="76" t="str">
        <f t="shared" si="48"/>
        <v>,shikkan360_start_date</v>
      </c>
      <c r="Q378" s="76" t="str">
        <f t="shared" si="49"/>
        <v>DATE</v>
      </c>
      <c r="R378" s="76" t="str">
        <f t="shared" si="50"/>
        <v/>
      </c>
      <c r="S378" s="76" t="str">
        <f t="shared" si="51"/>
        <v/>
      </c>
      <c r="T378" s="76" t="str">
        <f t="shared" si="52"/>
        <v>-- C767_疾患開始日</v>
      </c>
      <c r="U378" s="4" t="str">
        <f t="shared" si="40"/>
        <v>, CASE WHEN shikkan_disp_name = 'C767' THEN min_shikkan_start_date ::DATE ELSE NULL END AS shikkan360_start_date</v>
      </c>
      <c r="V378" s="25" t="str">
        <f t="shared" si="41"/>
        <v>, max(shikkan360_start_date)</v>
      </c>
      <c r="AA378" s="4"/>
      <c r="AB378" s="4"/>
      <c r="AC378" s="4"/>
      <c r="AD378" s="4"/>
      <c r="AE378" s="4"/>
      <c r="AF378" s="4"/>
      <c r="AG378" s="4"/>
      <c r="AH378" s="4"/>
      <c r="AI378" s="4"/>
      <c r="AJ378" s="76" t="str">
        <f>IF(E378="○",IF(COUNTA(E$13:E378)=1,"",",")&amp;D378,"")</f>
        <v/>
      </c>
      <c r="AK378" s="4"/>
      <c r="AL378" s="4"/>
      <c r="AM378" s="4"/>
      <c r="AN378" s="4"/>
      <c r="AO378" s="4"/>
      <c r="AP378" s="4"/>
      <c r="AQ378" s="4"/>
      <c r="AR378" s="4"/>
      <c r="AS378" s="76" t="str">
        <f>"COMMENT ON COLUMN "&amp;エンティティ一覧!$O$2&amp;"."&amp;D$8&amp;"."&amp;D378&amp;" IS '"&amp;C378&amp;"';"</f>
        <v>COMMENT ON COLUMN milscm_2023_009.sny_202310_annony_bef2.shikkan360_start_date IS 'C767_疾患開始日';</v>
      </c>
    </row>
    <row r="379" spans="1:45" s="25" customFormat="1">
      <c r="A379" s="4" t="s">
        <v>5503</v>
      </c>
      <c r="B379" s="21">
        <f t="shared" si="47"/>
        <v>367</v>
      </c>
      <c r="C379" s="13" t="s">
        <v>6893</v>
      </c>
      <c r="D379" s="13" t="s">
        <v>6021</v>
      </c>
      <c r="E379" s="8"/>
      <c r="F379" s="7" t="s">
        <v>4348</v>
      </c>
      <c r="G379" s="7" t="s">
        <v>25</v>
      </c>
      <c r="H379" s="58"/>
      <c r="I379" s="23"/>
      <c r="J379" s="24"/>
      <c r="M379" s="4"/>
      <c r="N379" s="76"/>
      <c r="O379" s="76"/>
      <c r="P379" s="76" t="str">
        <f t="shared" si="48"/>
        <v>,shikkan361_start_date</v>
      </c>
      <c r="Q379" s="76" t="str">
        <f t="shared" si="49"/>
        <v>DATE</v>
      </c>
      <c r="R379" s="76" t="str">
        <f t="shared" si="50"/>
        <v/>
      </c>
      <c r="S379" s="76" t="str">
        <f t="shared" si="51"/>
        <v/>
      </c>
      <c r="T379" s="76" t="str">
        <f t="shared" si="52"/>
        <v>-- C768_疾患開始日</v>
      </c>
      <c r="U379" s="4" t="str">
        <f t="shared" si="40"/>
        <v>, CASE WHEN shikkan_disp_name = 'C768' THEN min_shikkan_start_date ::DATE ELSE NULL END AS shikkan361_start_date</v>
      </c>
      <c r="V379" s="25" t="str">
        <f t="shared" si="41"/>
        <v>, max(shikkan361_start_date)</v>
      </c>
      <c r="AA379" s="4"/>
      <c r="AB379" s="4"/>
      <c r="AC379" s="4"/>
      <c r="AD379" s="4"/>
      <c r="AE379" s="4"/>
      <c r="AF379" s="4"/>
      <c r="AG379" s="4"/>
      <c r="AH379" s="4"/>
      <c r="AI379" s="4"/>
      <c r="AJ379" s="76" t="str">
        <f>IF(E379="○",IF(COUNTA(E$13:E379)=1,"",",")&amp;D379,"")</f>
        <v/>
      </c>
      <c r="AK379" s="4"/>
      <c r="AL379" s="4"/>
      <c r="AM379" s="4"/>
      <c r="AN379" s="4"/>
      <c r="AO379" s="4"/>
      <c r="AP379" s="4"/>
      <c r="AQ379" s="4"/>
      <c r="AR379" s="4"/>
      <c r="AS379" s="76" t="str">
        <f>"COMMENT ON COLUMN "&amp;エンティティ一覧!$O$2&amp;"."&amp;D$8&amp;"."&amp;D379&amp;" IS '"&amp;C379&amp;"';"</f>
        <v>COMMENT ON COLUMN milscm_2023_009.sny_202310_annony_bef2.shikkan361_start_date IS 'C768_疾患開始日';</v>
      </c>
    </row>
    <row r="380" spans="1:45" s="25" customFormat="1">
      <c r="A380" s="4" t="s">
        <v>5504</v>
      </c>
      <c r="B380" s="21">
        <f t="shared" si="47"/>
        <v>368</v>
      </c>
      <c r="C380" s="13" t="s">
        <v>6894</v>
      </c>
      <c r="D380" s="13" t="s">
        <v>6022</v>
      </c>
      <c r="E380" s="8"/>
      <c r="F380" s="7" t="s">
        <v>4348</v>
      </c>
      <c r="G380" s="7" t="s">
        <v>25</v>
      </c>
      <c r="H380" s="58"/>
      <c r="I380" s="23"/>
      <c r="J380" s="24"/>
      <c r="M380" s="4"/>
      <c r="N380" s="76"/>
      <c r="O380" s="76"/>
      <c r="P380" s="76" t="str">
        <f t="shared" si="48"/>
        <v>,shikkan362_start_date</v>
      </c>
      <c r="Q380" s="76" t="str">
        <f t="shared" si="49"/>
        <v>DATE</v>
      </c>
      <c r="R380" s="76" t="str">
        <f t="shared" si="50"/>
        <v/>
      </c>
      <c r="S380" s="76" t="str">
        <f t="shared" si="51"/>
        <v/>
      </c>
      <c r="T380" s="76" t="str">
        <f t="shared" si="52"/>
        <v>-- C770_疾患開始日</v>
      </c>
      <c r="U380" s="4" t="str">
        <f t="shared" si="40"/>
        <v>, CASE WHEN shikkan_disp_name = 'C770' THEN min_shikkan_start_date ::DATE ELSE NULL END AS shikkan362_start_date</v>
      </c>
      <c r="V380" s="25" t="str">
        <f t="shared" si="41"/>
        <v>, max(shikkan362_start_date)</v>
      </c>
      <c r="AA380" s="4"/>
      <c r="AB380" s="4"/>
      <c r="AC380" s="4"/>
      <c r="AD380" s="4"/>
      <c r="AE380" s="4"/>
      <c r="AF380" s="4"/>
      <c r="AG380" s="4"/>
      <c r="AH380" s="4"/>
      <c r="AI380" s="4"/>
      <c r="AJ380" s="76" t="str">
        <f>IF(E380="○",IF(COUNTA(E$13:E380)=1,"",",")&amp;D380,"")</f>
        <v/>
      </c>
      <c r="AK380" s="4"/>
      <c r="AL380" s="4"/>
      <c r="AM380" s="4"/>
      <c r="AN380" s="4"/>
      <c r="AO380" s="4"/>
      <c r="AP380" s="4"/>
      <c r="AQ380" s="4"/>
      <c r="AR380" s="4"/>
      <c r="AS380" s="76" t="str">
        <f>"COMMENT ON COLUMN "&amp;エンティティ一覧!$O$2&amp;"."&amp;D$8&amp;"."&amp;D380&amp;" IS '"&amp;C380&amp;"';"</f>
        <v>COMMENT ON COLUMN milscm_2023_009.sny_202310_annony_bef2.shikkan362_start_date IS 'C770_疾患開始日';</v>
      </c>
    </row>
    <row r="381" spans="1:45" s="25" customFormat="1">
      <c r="A381" s="4" t="s">
        <v>5505</v>
      </c>
      <c r="B381" s="21">
        <f t="shared" si="47"/>
        <v>369</v>
      </c>
      <c r="C381" s="13" t="s">
        <v>6895</v>
      </c>
      <c r="D381" s="13" t="s">
        <v>6023</v>
      </c>
      <c r="E381" s="8"/>
      <c r="F381" s="7" t="s">
        <v>4348</v>
      </c>
      <c r="G381" s="7" t="s">
        <v>25</v>
      </c>
      <c r="H381" s="58"/>
      <c r="I381" s="23"/>
      <c r="J381" s="24"/>
      <c r="M381" s="4"/>
      <c r="N381" s="76"/>
      <c r="O381" s="76"/>
      <c r="P381" s="76" t="str">
        <f t="shared" si="48"/>
        <v>,shikkan363_start_date</v>
      </c>
      <c r="Q381" s="76" t="str">
        <f t="shared" si="49"/>
        <v>DATE</v>
      </c>
      <c r="R381" s="76" t="str">
        <f t="shared" si="50"/>
        <v/>
      </c>
      <c r="S381" s="76" t="str">
        <f t="shared" si="51"/>
        <v/>
      </c>
      <c r="T381" s="76" t="str">
        <f t="shared" si="52"/>
        <v>-- C771_疾患開始日</v>
      </c>
      <c r="U381" s="4" t="str">
        <f t="shared" si="40"/>
        <v>, CASE WHEN shikkan_disp_name = 'C771' THEN min_shikkan_start_date ::DATE ELSE NULL END AS shikkan363_start_date</v>
      </c>
      <c r="V381" s="25" t="str">
        <f t="shared" si="41"/>
        <v>, max(shikkan363_start_date)</v>
      </c>
      <c r="AA381" s="4"/>
      <c r="AB381" s="4"/>
      <c r="AC381" s="4"/>
      <c r="AD381" s="4"/>
      <c r="AE381" s="4"/>
      <c r="AF381" s="4"/>
      <c r="AG381" s="4"/>
      <c r="AH381" s="4"/>
      <c r="AI381" s="4"/>
      <c r="AJ381" s="76" t="str">
        <f>IF(E381="○",IF(COUNTA(E$13:E381)=1,"",",")&amp;D381,"")</f>
        <v/>
      </c>
      <c r="AK381" s="4"/>
      <c r="AL381" s="4"/>
      <c r="AM381" s="4"/>
      <c r="AN381" s="4"/>
      <c r="AO381" s="4"/>
      <c r="AP381" s="4"/>
      <c r="AQ381" s="4"/>
      <c r="AR381" s="4"/>
      <c r="AS381" s="76" t="str">
        <f>"COMMENT ON COLUMN "&amp;エンティティ一覧!$O$2&amp;"."&amp;D$8&amp;"."&amp;D381&amp;" IS '"&amp;C381&amp;"';"</f>
        <v>COMMENT ON COLUMN milscm_2023_009.sny_202310_annony_bef2.shikkan363_start_date IS 'C771_疾患開始日';</v>
      </c>
    </row>
    <row r="382" spans="1:45" s="25" customFormat="1">
      <c r="A382" s="4" t="s">
        <v>5506</v>
      </c>
      <c r="B382" s="21">
        <f t="shared" si="47"/>
        <v>370</v>
      </c>
      <c r="C382" s="13" t="s">
        <v>6896</v>
      </c>
      <c r="D382" s="13" t="s">
        <v>6024</v>
      </c>
      <c r="E382" s="8"/>
      <c r="F382" s="7" t="s">
        <v>4348</v>
      </c>
      <c r="G382" s="7" t="s">
        <v>25</v>
      </c>
      <c r="H382" s="58"/>
      <c r="I382" s="23"/>
      <c r="J382" s="24"/>
      <c r="M382" s="4"/>
      <c r="N382" s="76"/>
      <c r="O382" s="76"/>
      <c r="P382" s="76" t="str">
        <f t="shared" si="48"/>
        <v>,shikkan364_start_date</v>
      </c>
      <c r="Q382" s="76" t="str">
        <f t="shared" si="49"/>
        <v>DATE</v>
      </c>
      <c r="R382" s="76" t="str">
        <f t="shared" si="50"/>
        <v/>
      </c>
      <c r="S382" s="76" t="str">
        <f t="shared" si="51"/>
        <v/>
      </c>
      <c r="T382" s="76" t="str">
        <f t="shared" si="52"/>
        <v>-- C772_疾患開始日</v>
      </c>
      <c r="U382" s="4" t="str">
        <f t="shared" si="40"/>
        <v>, CASE WHEN shikkan_disp_name = 'C772' THEN min_shikkan_start_date ::DATE ELSE NULL END AS shikkan364_start_date</v>
      </c>
      <c r="V382" s="25" t="str">
        <f t="shared" si="41"/>
        <v>, max(shikkan364_start_date)</v>
      </c>
      <c r="AA382" s="4"/>
      <c r="AB382" s="4"/>
      <c r="AC382" s="4"/>
      <c r="AD382" s="4"/>
      <c r="AE382" s="4"/>
      <c r="AF382" s="4"/>
      <c r="AG382" s="4"/>
      <c r="AH382" s="4"/>
      <c r="AI382" s="4"/>
      <c r="AJ382" s="76" t="str">
        <f>IF(E382="○",IF(COUNTA(E$13:E382)=1,"",",")&amp;D382,"")</f>
        <v/>
      </c>
      <c r="AK382" s="4"/>
      <c r="AL382" s="4"/>
      <c r="AM382" s="4"/>
      <c r="AN382" s="4"/>
      <c r="AO382" s="4"/>
      <c r="AP382" s="4"/>
      <c r="AQ382" s="4"/>
      <c r="AR382" s="4"/>
      <c r="AS382" s="76" t="str">
        <f>"COMMENT ON COLUMN "&amp;エンティティ一覧!$O$2&amp;"."&amp;D$8&amp;"."&amp;D382&amp;" IS '"&amp;C382&amp;"';"</f>
        <v>COMMENT ON COLUMN milscm_2023_009.sny_202310_annony_bef2.shikkan364_start_date IS 'C772_疾患開始日';</v>
      </c>
    </row>
    <row r="383" spans="1:45" s="25" customFormat="1">
      <c r="A383" s="4" t="s">
        <v>5507</v>
      </c>
      <c r="B383" s="21">
        <f t="shared" si="47"/>
        <v>371</v>
      </c>
      <c r="C383" s="13" t="s">
        <v>6897</v>
      </c>
      <c r="D383" s="13" t="s">
        <v>6025</v>
      </c>
      <c r="E383" s="8"/>
      <c r="F383" s="7" t="s">
        <v>4348</v>
      </c>
      <c r="G383" s="7" t="s">
        <v>25</v>
      </c>
      <c r="H383" s="58"/>
      <c r="I383" s="23"/>
      <c r="J383" s="24"/>
      <c r="M383" s="4"/>
      <c r="N383" s="76"/>
      <c r="O383" s="76"/>
      <c r="P383" s="76" t="str">
        <f t="shared" si="48"/>
        <v>,shikkan365_start_date</v>
      </c>
      <c r="Q383" s="76" t="str">
        <f t="shared" si="49"/>
        <v>DATE</v>
      </c>
      <c r="R383" s="76" t="str">
        <f t="shared" si="50"/>
        <v/>
      </c>
      <c r="S383" s="76" t="str">
        <f t="shared" si="51"/>
        <v/>
      </c>
      <c r="T383" s="76" t="str">
        <f t="shared" si="52"/>
        <v>-- C773_疾患開始日</v>
      </c>
      <c r="U383" s="4" t="str">
        <f t="shared" si="40"/>
        <v>, CASE WHEN shikkan_disp_name = 'C773' THEN min_shikkan_start_date ::DATE ELSE NULL END AS shikkan365_start_date</v>
      </c>
      <c r="V383" s="25" t="str">
        <f t="shared" si="41"/>
        <v>, max(shikkan365_start_date)</v>
      </c>
      <c r="AA383" s="4"/>
      <c r="AB383" s="4"/>
      <c r="AC383" s="4"/>
      <c r="AD383" s="4"/>
      <c r="AE383" s="4"/>
      <c r="AF383" s="4"/>
      <c r="AG383" s="4"/>
      <c r="AH383" s="4"/>
      <c r="AI383" s="4"/>
      <c r="AJ383" s="76" t="str">
        <f>IF(E383="○",IF(COUNTA(E$13:E383)=1,"",",")&amp;D383,"")</f>
        <v/>
      </c>
      <c r="AK383" s="4"/>
      <c r="AL383" s="4"/>
      <c r="AM383" s="4"/>
      <c r="AN383" s="4"/>
      <c r="AO383" s="4"/>
      <c r="AP383" s="4"/>
      <c r="AQ383" s="4"/>
      <c r="AR383" s="4"/>
      <c r="AS383" s="76" t="str">
        <f>"COMMENT ON COLUMN "&amp;エンティティ一覧!$O$2&amp;"."&amp;D$8&amp;"."&amp;D383&amp;" IS '"&amp;C383&amp;"';"</f>
        <v>COMMENT ON COLUMN milscm_2023_009.sny_202310_annony_bef2.shikkan365_start_date IS 'C773_疾患開始日';</v>
      </c>
    </row>
    <row r="384" spans="1:45" s="25" customFormat="1">
      <c r="A384" s="4" t="s">
        <v>5508</v>
      </c>
      <c r="B384" s="21">
        <f t="shared" si="47"/>
        <v>372</v>
      </c>
      <c r="C384" s="13" t="s">
        <v>6898</v>
      </c>
      <c r="D384" s="13" t="s">
        <v>6026</v>
      </c>
      <c r="E384" s="8"/>
      <c r="F384" s="7" t="s">
        <v>4348</v>
      </c>
      <c r="G384" s="7" t="s">
        <v>25</v>
      </c>
      <c r="H384" s="58"/>
      <c r="I384" s="23"/>
      <c r="J384" s="24"/>
      <c r="M384" s="4"/>
      <c r="N384" s="76"/>
      <c r="O384" s="76"/>
      <c r="P384" s="76" t="str">
        <f t="shared" si="48"/>
        <v>,shikkan366_start_date</v>
      </c>
      <c r="Q384" s="76" t="str">
        <f t="shared" si="49"/>
        <v>DATE</v>
      </c>
      <c r="R384" s="76" t="str">
        <f t="shared" si="50"/>
        <v/>
      </c>
      <c r="S384" s="76" t="str">
        <f t="shared" si="51"/>
        <v/>
      </c>
      <c r="T384" s="76" t="str">
        <f t="shared" si="52"/>
        <v>-- C774_疾患開始日</v>
      </c>
      <c r="U384" s="4" t="str">
        <f t="shared" si="40"/>
        <v>, CASE WHEN shikkan_disp_name = 'C774' THEN min_shikkan_start_date ::DATE ELSE NULL END AS shikkan366_start_date</v>
      </c>
      <c r="V384" s="25" t="str">
        <f t="shared" si="41"/>
        <v>, max(shikkan366_start_date)</v>
      </c>
      <c r="AA384" s="4"/>
      <c r="AB384" s="4"/>
      <c r="AC384" s="4"/>
      <c r="AD384" s="4"/>
      <c r="AE384" s="4"/>
      <c r="AF384" s="4"/>
      <c r="AG384" s="4"/>
      <c r="AH384" s="4"/>
      <c r="AI384" s="4"/>
      <c r="AJ384" s="76" t="str">
        <f>IF(E384="○",IF(COUNTA(E$13:E384)=1,"",",")&amp;D384,"")</f>
        <v/>
      </c>
      <c r="AK384" s="4"/>
      <c r="AL384" s="4"/>
      <c r="AM384" s="4"/>
      <c r="AN384" s="4"/>
      <c r="AO384" s="4"/>
      <c r="AP384" s="4"/>
      <c r="AQ384" s="4"/>
      <c r="AR384" s="4"/>
      <c r="AS384" s="76" t="str">
        <f>"COMMENT ON COLUMN "&amp;エンティティ一覧!$O$2&amp;"."&amp;D$8&amp;"."&amp;D384&amp;" IS '"&amp;C384&amp;"';"</f>
        <v>COMMENT ON COLUMN milscm_2023_009.sny_202310_annony_bef2.shikkan366_start_date IS 'C774_疾患開始日';</v>
      </c>
    </row>
    <row r="385" spans="1:45" s="25" customFormat="1">
      <c r="A385" s="4" t="s">
        <v>5509</v>
      </c>
      <c r="B385" s="21">
        <f t="shared" si="47"/>
        <v>373</v>
      </c>
      <c r="C385" s="13" t="s">
        <v>6899</v>
      </c>
      <c r="D385" s="13" t="s">
        <v>6027</v>
      </c>
      <c r="E385" s="8"/>
      <c r="F385" s="7" t="s">
        <v>4348</v>
      </c>
      <c r="G385" s="7" t="s">
        <v>25</v>
      </c>
      <c r="H385" s="58"/>
      <c r="I385" s="23"/>
      <c r="J385" s="24"/>
      <c r="M385" s="4"/>
      <c r="N385" s="76"/>
      <c r="O385" s="76"/>
      <c r="P385" s="76" t="str">
        <f t="shared" si="48"/>
        <v>,shikkan367_start_date</v>
      </c>
      <c r="Q385" s="76" t="str">
        <f t="shared" si="49"/>
        <v>DATE</v>
      </c>
      <c r="R385" s="76" t="str">
        <f t="shared" si="50"/>
        <v/>
      </c>
      <c r="S385" s="76" t="str">
        <f t="shared" si="51"/>
        <v/>
      </c>
      <c r="T385" s="76" t="str">
        <f t="shared" si="52"/>
        <v>-- C775_疾患開始日</v>
      </c>
      <c r="U385" s="4" t="str">
        <f t="shared" si="40"/>
        <v>, CASE WHEN shikkan_disp_name = 'C775' THEN min_shikkan_start_date ::DATE ELSE NULL END AS shikkan367_start_date</v>
      </c>
      <c r="V385" s="25" t="str">
        <f t="shared" si="41"/>
        <v>, max(shikkan367_start_date)</v>
      </c>
      <c r="AA385" s="4"/>
      <c r="AB385" s="4"/>
      <c r="AC385" s="4"/>
      <c r="AD385" s="4"/>
      <c r="AE385" s="4"/>
      <c r="AF385" s="4"/>
      <c r="AG385" s="4"/>
      <c r="AH385" s="4"/>
      <c r="AI385" s="4"/>
      <c r="AJ385" s="76" t="str">
        <f>IF(E385="○",IF(COUNTA(E$13:E385)=1,"",",")&amp;D385,"")</f>
        <v/>
      </c>
      <c r="AK385" s="4"/>
      <c r="AL385" s="4"/>
      <c r="AM385" s="4"/>
      <c r="AN385" s="4"/>
      <c r="AO385" s="4"/>
      <c r="AP385" s="4"/>
      <c r="AQ385" s="4"/>
      <c r="AR385" s="4"/>
      <c r="AS385" s="76" t="str">
        <f>"COMMENT ON COLUMN "&amp;エンティティ一覧!$O$2&amp;"."&amp;D$8&amp;"."&amp;D385&amp;" IS '"&amp;C385&amp;"';"</f>
        <v>COMMENT ON COLUMN milscm_2023_009.sny_202310_annony_bef2.shikkan367_start_date IS 'C775_疾患開始日';</v>
      </c>
    </row>
    <row r="386" spans="1:45" s="25" customFormat="1">
      <c r="A386" s="4" t="s">
        <v>5510</v>
      </c>
      <c r="B386" s="21">
        <f t="shared" si="47"/>
        <v>374</v>
      </c>
      <c r="C386" s="13" t="s">
        <v>6900</v>
      </c>
      <c r="D386" s="13" t="s">
        <v>6028</v>
      </c>
      <c r="E386" s="8"/>
      <c r="F386" s="7" t="s">
        <v>4348</v>
      </c>
      <c r="G386" s="7" t="s">
        <v>99</v>
      </c>
      <c r="H386" s="58"/>
      <c r="I386" s="23"/>
      <c r="J386" s="24"/>
      <c r="M386" s="4"/>
      <c r="N386" s="76"/>
      <c r="O386" s="76"/>
      <c r="P386" s="76" t="str">
        <f t="shared" si="48"/>
        <v>,shikkan368_start_date</v>
      </c>
      <c r="Q386" s="76" t="str">
        <f t="shared" si="49"/>
        <v>DATE</v>
      </c>
      <c r="R386" s="76" t="str">
        <f t="shared" si="50"/>
        <v/>
      </c>
      <c r="S386" s="76" t="str">
        <f t="shared" si="51"/>
        <v/>
      </c>
      <c r="T386" s="76" t="str">
        <f t="shared" si="52"/>
        <v>-- C778_疾患開始日</v>
      </c>
      <c r="U386" s="4" t="str">
        <f t="shared" si="40"/>
        <v>, CASE WHEN shikkan_disp_name = 'C778' THEN min_shikkan_start_date ::DATE ELSE NULL END AS shikkan368_start_date</v>
      </c>
      <c r="V386" s="25" t="str">
        <f t="shared" si="41"/>
        <v>, max(shikkan368_start_date)</v>
      </c>
      <c r="AA386" s="4"/>
      <c r="AB386" s="4"/>
      <c r="AC386" s="4"/>
      <c r="AD386" s="4"/>
      <c r="AE386" s="4"/>
      <c r="AF386" s="4"/>
      <c r="AG386" s="4"/>
      <c r="AH386" s="4"/>
      <c r="AI386" s="4"/>
      <c r="AJ386" s="76" t="str">
        <f>IF(E386="○",IF(COUNTA(E$13:E386)=1,"",",")&amp;D386,"")</f>
        <v/>
      </c>
      <c r="AK386" s="4"/>
      <c r="AL386" s="4"/>
      <c r="AM386" s="4"/>
      <c r="AN386" s="4"/>
      <c r="AO386" s="4"/>
      <c r="AP386" s="4"/>
      <c r="AQ386" s="4"/>
      <c r="AR386" s="4"/>
      <c r="AS386" s="76" t="str">
        <f>"COMMENT ON COLUMN "&amp;エンティティ一覧!$O$2&amp;"."&amp;D$8&amp;"."&amp;D386&amp;" IS '"&amp;C386&amp;"';"</f>
        <v>COMMENT ON COLUMN milscm_2023_009.sny_202310_annony_bef2.shikkan368_start_date IS 'C778_疾患開始日';</v>
      </c>
    </row>
    <row r="387" spans="1:45" s="25" customFormat="1">
      <c r="A387" s="4" t="s">
        <v>5511</v>
      </c>
      <c r="B387" s="21">
        <f t="shared" si="47"/>
        <v>375</v>
      </c>
      <c r="C387" s="13" t="s">
        <v>6901</v>
      </c>
      <c r="D387" s="13" t="s">
        <v>6029</v>
      </c>
      <c r="E387" s="8"/>
      <c r="F387" s="7" t="s">
        <v>4348</v>
      </c>
      <c r="G387" s="7" t="s">
        <v>25</v>
      </c>
      <c r="H387" s="58"/>
      <c r="I387" s="23"/>
      <c r="J387" s="24"/>
      <c r="M387" s="4"/>
      <c r="N387" s="76"/>
      <c r="O387" s="76"/>
      <c r="P387" s="76" t="str">
        <f t="shared" si="48"/>
        <v>,shikkan369_start_date</v>
      </c>
      <c r="Q387" s="76" t="str">
        <f t="shared" si="49"/>
        <v>DATE</v>
      </c>
      <c r="R387" s="76" t="str">
        <f t="shared" si="50"/>
        <v/>
      </c>
      <c r="S387" s="76" t="str">
        <f t="shared" si="51"/>
        <v/>
      </c>
      <c r="T387" s="76" t="str">
        <f t="shared" si="52"/>
        <v>-- C779_疾患開始日</v>
      </c>
      <c r="U387" s="4" t="str">
        <f t="shared" si="40"/>
        <v>, CASE WHEN shikkan_disp_name = 'C779' THEN min_shikkan_start_date ::DATE ELSE NULL END AS shikkan369_start_date</v>
      </c>
      <c r="V387" s="25" t="str">
        <f t="shared" si="41"/>
        <v>, max(shikkan369_start_date)</v>
      </c>
      <c r="AA387" s="4"/>
      <c r="AB387" s="4"/>
      <c r="AC387" s="4"/>
      <c r="AD387" s="4"/>
      <c r="AE387" s="4"/>
      <c r="AF387" s="4"/>
      <c r="AG387" s="4"/>
      <c r="AH387" s="4"/>
      <c r="AI387" s="4"/>
      <c r="AJ387" s="76" t="str">
        <f>IF(E387="○",IF(COUNTA(E$13:E387)=1,"",",")&amp;D387,"")</f>
        <v/>
      </c>
      <c r="AK387" s="4"/>
      <c r="AL387" s="4"/>
      <c r="AM387" s="4"/>
      <c r="AN387" s="4"/>
      <c r="AO387" s="4"/>
      <c r="AP387" s="4"/>
      <c r="AQ387" s="4"/>
      <c r="AR387" s="4"/>
      <c r="AS387" s="76" t="str">
        <f>"COMMENT ON COLUMN "&amp;エンティティ一覧!$O$2&amp;"."&amp;D$8&amp;"."&amp;D387&amp;" IS '"&amp;C387&amp;"';"</f>
        <v>COMMENT ON COLUMN milscm_2023_009.sny_202310_annony_bef2.shikkan369_start_date IS 'C779_疾患開始日';</v>
      </c>
    </row>
    <row r="388" spans="1:45" s="25" customFormat="1">
      <c r="A388" s="4" t="s">
        <v>5512</v>
      </c>
      <c r="B388" s="21">
        <f t="shared" si="47"/>
        <v>376</v>
      </c>
      <c r="C388" s="13" t="s">
        <v>6902</v>
      </c>
      <c r="D388" s="13" t="s">
        <v>6030</v>
      </c>
      <c r="E388" s="8"/>
      <c r="F388" s="7" t="s">
        <v>4348</v>
      </c>
      <c r="G388" s="7" t="s">
        <v>25</v>
      </c>
      <c r="H388" s="58"/>
      <c r="I388" s="23"/>
      <c r="J388" s="24"/>
      <c r="M388" s="4"/>
      <c r="N388" s="76"/>
      <c r="O388" s="76"/>
      <c r="P388" s="76" t="str">
        <f t="shared" si="48"/>
        <v>,shikkan370_start_date</v>
      </c>
      <c r="Q388" s="76" t="str">
        <f t="shared" si="49"/>
        <v>DATE</v>
      </c>
      <c r="R388" s="76" t="str">
        <f t="shared" si="50"/>
        <v/>
      </c>
      <c r="S388" s="76" t="str">
        <f t="shared" si="51"/>
        <v/>
      </c>
      <c r="T388" s="76" t="str">
        <f t="shared" si="52"/>
        <v>-- C780_疾患開始日</v>
      </c>
      <c r="U388" s="4" t="str">
        <f t="shared" si="40"/>
        <v>, CASE WHEN shikkan_disp_name = 'C780' THEN min_shikkan_start_date ::DATE ELSE NULL END AS shikkan370_start_date</v>
      </c>
      <c r="V388" s="25" t="str">
        <f t="shared" si="41"/>
        <v>, max(shikkan370_start_date)</v>
      </c>
      <c r="AA388" s="4"/>
      <c r="AB388" s="4"/>
      <c r="AC388" s="4"/>
      <c r="AD388" s="4"/>
      <c r="AE388" s="4"/>
      <c r="AF388" s="4"/>
      <c r="AG388" s="4"/>
      <c r="AH388" s="4"/>
      <c r="AI388" s="4"/>
      <c r="AJ388" s="76" t="str">
        <f>IF(E388="○",IF(COUNTA(E$13:E388)=1,"",",")&amp;D388,"")</f>
        <v/>
      </c>
      <c r="AK388" s="4"/>
      <c r="AL388" s="4"/>
      <c r="AM388" s="4"/>
      <c r="AN388" s="4"/>
      <c r="AO388" s="4"/>
      <c r="AP388" s="4"/>
      <c r="AQ388" s="4"/>
      <c r="AR388" s="4"/>
      <c r="AS388" s="76" t="str">
        <f>"COMMENT ON COLUMN "&amp;エンティティ一覧!$O$2&amp;"."&amp;D$8&amp;"."&amp;D388&amp;" IS '"&amp;C388&amp;"';"</f>
        <v>COMMENT ON COLUMN milscm_2023_009.sny_202310_annony_bef2.shikkan370_start_date IS 'C780_疾患開始日';</v>
      </c>
    </row>
    <row r="389" spans="1:45" s="25" customFormat="1">
      <c r="A389" s="4" t="s">
        <v>5513</v>
      </c>
      <c r="B389" s="21">
        <f t="shared" si="47"/>
        <v>377</v>
      </c>
      <c r="C389" s="13" t="s">
        <v>6903</v>
      </c>
      <c r="D389" s="13" t="s">
        <v>6031</v>
      </c>
      <c r="E389" s="8"/>
      <c r="F389" s="7" t="s">
        <v>4348</v>
      </c>
      <c r="G389" s="7" t="s">
        <v>25</v>
      </c>
      <c r="H389" s="58"/>
      <c r="I389" s="23"/>
      <c r="J389" s="24"/>
      <c r="M389" s="4"/>
      <c r="N389" s="76"/>
      <c r="O389" s="76"/>
      <c r="P389" s="76" t="str">
        <f t="shared" si="48"/>
        <v>,shikkan371_start_date</v>
      </c>
      <c r="Q389" s="76" t="str">
        <f t="shared" si="49"/>
        <v>DATE</v>
      </c>
      <c r="R389" s="76" t="str">
        <f t="shared" si="50"/>
        <v/>
      </c>
      <c r="S389" s="76" t="str">
        <f t="shared" si="51"/>
        <v/>
      </c>
      <c r="T389" s="76" t="str">
        <f t="shared" si="52"/>
        <v>-- C781_疾患開始日</v>
      </c>
      <c r="U389" s="4" t="str">
        <f t="shared" si="40"/>
        <v>, CASE WHEN shikkan_disp_name = 'C781' THEN min_shikkan_start_date ::DATE ELSE NULL END AS shikkan371_start_date</v>
      </c>
      <c r="V389" s="25" t="str">
        <f t="shared" si="41"/>
        <v>, max(shikkan371_start_date)</v>
      </c>
      <c r="AA389" s="4"/>
      <c r="AB389" s="4"/>
      <c r="AC389" s="4"/>
      <c r="AD389" s="4"/>
      <c r="AE389" s="4"/>
      <c r="AF389" s="4"/>
      <c r="AG389" s="4"/>
      <c r="AH389" s="4"/>
      <c r="AI389" s="4"/>
      <c r="AJ389" s="76" t="str">
        <f>IF(E389="○",IF(COUNTA(E$13:E389)=1,"",",")&amp;D389,"")</f>
        <v/>
      </c>
      <c r="AK389" s="4"/>
      <c r="AL389" s="4"/>
      <c r="AM389" s="4"/>
      <c r="AN389" s="4"/>
      <c r="AO389" s="4"/>
      <c r="AP389" s="4"/>
      <c r="AQ389" s="4"/>
      <c r="AR389" s="4"/>
      <c r="AS389" s="76" t="str">
        <f>"COMMENT ON COLUMN "&amp;エンティティ一覧!$O$2&amp;"."&amp;D$8&amp;"."&amp;D389&amp;" IS '"&amp;C389&amp;"';"</f>
        <v>COMMENT ON COLUMN milscm_2023_009.sny_202310_annony_bef2.shikkan371_start_date IS 'C781_疾患開始日';</v>
      </c>
    </row>
    <row r="390" spans="1:45" s="25" customFormat="1">
      <c r="A390" s="4" t="s">
        <v>5514</v>
      </c>
      <c r="B390" s="21">
        <f t="shared" si="47"/>
        <v>378</v>
      </c>
      <c r="C390" s="13" t="s">
        <v>6904</v>
      </c>
      <c r="D390" s="13" t="s">
        <v>6032</v>
      </c>
      <c r="E390" s="8"/>
      <c r="F390" s="7" t="s">
        <v>4348</v>
      </c>
      <c r="G390" s="7" t="s">
        <v>25</v>
      </c>
      <c r="H390" s="58"/>
      <c r="I390" s="23"/>
      <c r="J390" s="24"/>
      <c r="M390" s="4"/>
      <c r="N390" s="76"/>
      <c r="O390" s="76"/>
      <c r="P390" s="76" t="str">
        <f t="shared" si="48"/>
        <v>,shikkan372_start_date</v>
      </c>
      <c r="Q390" s="76" t="str">
        <f t="shared" si="49"/>
        <v>DATE</v>
      </c>
      <c r="R390" s="76" t="str">
        <f t="shared" si="50"/>
        <v/>
      </c>
      <c r="S390" s="76" t="str">
        <f t="shared" si="51"/>
        <v/>
      </c>
      <c r="T390" s="76" t="str">
        <f t="shared" si="52"/>
        <v>-- C782_疾患開始日</v>
      </c>
      <c r="U390" s="4" t="str">
        <f t="shared" si="40"/>
        <v>, CASE WHEN shikkan_disp_name = 'C782' THEN min_shikkan_start_date ::DATE ELSE NULL END AS shikkan372_start_date</v>
      </c>
      <c r="V390" s="25" t="str">
        <f t="shared" si="41"/>
        <v>, max(shikkan372_start_date)</v>
      </c>
      <c r="AA390" s="4"/>
      <c r="AB390" s="4"/>
      <c r="AC390" s="4"/>
      <c r="AD390" s="4"/>
      <c r="AE390" s="4"/>
      <c r="AF390" s="4"/>
      <c r="AG390" s="4"/>
      <c r="AH390" s="4"/>
      <c r="AI390" s="4"/>
      <c r="AJ390" s="76" t="str">
        <f>IF(E390="○",IF(COUNTA(E$13:E390)=1,"",",")&amp;D390,"")</f>
        <v/>
      </c>
      <c r="AK390" s="4"/>
      <c r="AL390" s="4"/>
      <c r="AM390" s="4"/>
      <c r="AN390" s="4"/>
      <c r="AO390" s="4"/>
      <c r="AP390" s="4"/>
      <c r="AQ390" s="4"/>
      <c r="AR390" s="4"/>
      <c r="AS390" s="76" t="str">
        <f>"COMMENT ON COLUMN "&amp;エンティティ一覧!$O$2&amp;"."&amp;D$8&amp;"."&amp;D390&amp;" IS '"&amp;C390&amp;"';"</f>
        <v>COMMENT ON COLUMN milscm_2023_009.sny_202310_annony_bef2.shikkan372_start_date IS 'C782_疾患開始日';</v>
      </c>
    </row>
    <row r="391" spans="1:45" s="25" customFormat="1">
      <c r="A391" s="4" t="s">
        <v>5515</v>
      </c>
      <c r="B391" s="21">
        <f t="shared" si="47"/>
        <v>379</v>
      </c>
      <c r="C391" s="13" t="s">
        <v>6905</v>
      </c>
      <c r="D391" s="13" t="s">
        <v>6033</v>
      </c>
      <c r="E391" s="8"/>
      <c r="F391" s="7" t="s">
        <v>4348</v>
      </c>
      <c r="G391" s="7" t="s">
        <v>25</v>
      </c>
      <c r="H391" s="58"/>
      <c r="I391" s="23"/>
      <c r="J391" s="24"/>
      <c r="M391" s="4"/>
      <c r="N391" s="76"/>
      <c r="O391" s="76"/>
      <c r="P391" s="76" t="str">
        <f t="shared" si="48"/>
        <v>,shikkan373_start_date</v>
      </c>
      <c r="Q391" s="76" t="str">
        <f t="shared" si="49"/>
        <v>DATE</v>
      </c>
      <c r="R391" s="76" t="str">
        <f t="shared" si="50"/>
        <v/>
      </c>
      <c r="S391" s="76" t="str">
        <f t="shared" si="51"/>
        <v/>
      </c>
      <c r="T391" s="76" t="str">
        <f t="shared" si="52"/>
        <v>-- C783_疾患開始日</v>
      </c>
      <c r="U391" s="4" t="str">
        <f t="shared" si="40"/>
        <v>, CASE WHEN shikkan_disp_name = 'C783' THEN min_shikkan_start_date ::DATE ELSE NULL END AS shikkan373_start_date</v>
      </c>
      <c r="V391" s="25" t="str">
        <f t="shared" si="41"/>
        <v>, max(shikkan373_start_date)</v>
      </c>
      <c r="AA391" s="4"/>
      <c r="AB391" s="4"/>
      <c r="AC391" s="4"/>
      <c r="AD391" s="4"/>
      <c r="AE391" s="4"/>
      <c r="AF391" s="4"/>
      <c r="AG391" s="4"/>
      <c r="AH391" s="4"/>
      <c r="AI391" s="4"/>
      <c r="AJ391" s="76" t="str">
        <f>IF(E391="○",IF(COUNTA(E$13:E391)=1,"",",")&amp;D391,"")</f>
        <v/>
      </c>
      <c r="AK391" s="4"/>
      <c r="AL391" s="4"/>
      <c r="AM391" s="4"/>
      <c r="AN391" s="4"/>
      <c r="AO391" s="4"/>
      <c r="AP391" s="4"/>
      <c r="AQ391" s="4"/>
      <c r="AR391" s="4"/>
      <c r="AS391" s="76" t="str">
        <f>"COMMENT ON COLUMN "&amp;エンティティ一覧!$O$2&amp;"."&amp;D$8&amp;"."&amp;D391&amp;" IS '"&amp;C391&amp;"';"</f>
        <v>COMMENT ON COLUMN milscm_2023_009.sny_202310_annony_bef2.shikkan373_start_date IS 'C783_疾患開始日';</v>
      </c>
    </row>
    <row r="392" spans="1:45" s="25" customFormat="1">
      <c r="A392" s="4" t="s">
        <v>5516</v>
      </c>
      <c r="B392" s="21">
        <f t="shared" si="47"/>
        <v>380</v>
      </c>
      <c r="C392" s="13" t="s">
        <v>6906</v>
      </c>
      <c r="D392" s="13" t="s">
        <v>6034</v>
      </c>
      <c r="E392" s="8"/>
      <c r="F392" s="7" t="s">
        <v>4348</v>
      </c>
      <c r="G392" s="7" t="s">
        <v>25</v>
      </c>
      <c r="H392" s="58"/>
      <c r="I392" s="23"/>
      <c r="J392" s="24"/>
      <c r="M392" s="4"/>
      <c r="N392" s="76"/>
      <c r="O392" s="76"/>
      <c r="P392" s="76" t="str">
        <f t="shared" si="48"/>
        <v>,shikkan374_start_date</v>
      </c>
      <c r="Q392" s="76" t="str">
        <f t="shared" si="49"/>
        <v>DATE</v>
      </c>
      <c r="R392" s="76" t="str">
        <f t="shared" si="50"/>
        <v/>
      </c>
      <c r="S392" s="76" t="str">
        <f t="shared" si="51"/>
        <v/>
      </c>
      <c r="T392" s="76" t="str">
        <f t="shared" si="52"/>
        <v>-- C784_疾患開始日</v>
      </c>
      <c r="U392" s="4" t="str">
        <f t="shared" si="40"/>
        <v>, CASE WHEN shikkan_disp_name = 'C784' THEN min_shikkan_start_date ::DATE ELSE NULL END AS shikkan374_start_date</v>
      </c>
      <c r="V392" s="25" t="str">
        <f t="shared" si="41"/>
        <v>, max(shikkan374_start_date)</v>
      </c>
      <c r="AA392" s="4"/>
      <c r="AB392" s="4"/>
      <c r="AC392" s="4"/>
      <c r="AD392" s="4"/>
      <c r="AE392" s="4"/>
      <c r="AF392" s="4"/>
      <c r="AG392" s="4"/>
      <c r="AH392" s="4"/>
      <c r="AI392" s="4"/>
      <c r="AJ392" s="76" t="str">
        <f>IF(E392="○",IF(COUNTA(E$13:E392)=1,"",",")&amp;D392,"")</f>
        <v/>
      </c>
      <c r="AK392" s="4"/>
      <c r="AL392" s="4"/>
      <c r="AM392" s="4"/>
      <c r="AN392" s="4"/>
      <c r="AO392" s="4"/>
      <c r="AP392" s="4"/>
      <c r="AQ392" s="4"/>
      <c r="AR392" s="4"/>
      <c r="AS392" s="76" t="str">
        <f>"COMMENT ON COLUMN "&amp;エンティティ一覧!$O$2&amp;"."&amp;D$8&amp;"."&amp;D392&amp;" IS '"&amp;C392&amp;"';"</f>
        <v>COMMENT ON COLUMN milscm_2023_009.sny_202310_annony_bef2.shikkan374_start_date IS 'C784_疾患開始日';</v>
      </c>
    </row>
    <row r="393" spans="1:45" s="25" customFormat="1">
      <c r="A393" s="4" t="s">
        <v>5517</v>
      </c>
      <c r="B393" s="21">
        <f t="shared" si="47"/>
        <v>381</v>
      </c>
      <c r="C393" s="13" t="s">
        <v>6907</v>
      </c>
      <c r="D393" s="13" t="s">
        <v>6035</v>
      </c>
      <c r="E393" s="8"/>
      <c r="F393" s="7" t="s">
        <v>4348</v>
      </c>
      <c r="G393" s="7" t="s">
        <v>25</v>
      </c>
      <c r="H393" s="58"/>
      <c r="I393" s="23"/>
      <c r="J393" s="24"/>
      <c r="M393" s="4"/>
      <c r="N393" s="76"/>
      <c r="O393" s="76"/>
      <c r="P393" s="76" t="str">
        <f t="shared" si="48"/>
        <v>,shikkan375_start_date</v>
      </c>
      <c r="Q393" s="76" t="str">
        <f t="shared" si="49"/>
        <v>DATE</v>
      </c>
      <c r="R393" s="76" t="str">
        <f t="shared" si="50"/>
        <v/>
      </c>
      <c r="S393" s="76" t="str">
        <f t="shared" si="51"/>
        <v/>
      </c>
      <c r="T393" s="76" t="str">
        <f t="shared" si="52"/>
        <v>-- C785_疾患開始日</v>
      </c>
      <c r="U393" s="4" t="str">
        <f t="shared" si="40"/>
        <v>, CASE WHEN shikkan_disp_name = 'C785' THEN min_shikkan_start_date ::DATE ELSE NULL END AS shikkan375_start_date</v>
      </c>
      <c r="V393" s="25" t="str">
        <f t="shared" si="41"/>
        <v>, max(shikkan375_start_date)</v>
      </c>
      <c r="AA393" s="4"/>
      <c r="AB393" s="4"/>
      <c r="AC393" s="4"/>
      <c r="AD393" s="4"/>
      <c r="AE393" s="4"/>
      <c r="AF393" s="4"/>
      <c r="AG393" s="4"/>
      <c r="AH393" s="4"/>
      <c r="AI393" s="4"/>
      <c r="AJ393" s="76" t="str">
        <f>IF(E393="○",IF(COUNTA(E$13:E393)=1,"",",")&amp;D393,"")</f>
        <v/>
      </c>
      <c r="AK393" s="4"/>
      <c r="AL393" s="4"/>
      <c r="AM393" s="4"/>
      <c r="AN393" s="4"/>
      <c r="AO393" s="4"/>
      <c r="AP393" s="4"/>
      <c r="AQ393" s="4"/>
      <c r="AR393" s="4"/>
      <c r="AS393" s="76" t="str">
        <f>"COMMENT ON COLUMN "&amp;エンティティ一覧!$O$2&amp;"."&amp;D$8&amp;"."&amp;D393&amp;" IS '"&amp;C393&amp;"';"</f>
        <v>COMMENT ON COLUMN milscm_2023_009.sny_202310_annony_bef2.shikkan375_start_date IS 'C785_疾患開始日';</v>
      </c>
    </row>
    <row r="394" spans="1:45" s="25" customFormat="1">
      <c r="A394" s="4" t="s">
        <v>5518</v>
      </c>
      <c r="B394" s="21">
        <f t="shared" si="47"/>
        <v>382</v>
      </c>
      <c r="C394" s="13" t="s">
        <v>6908</v>
      </c>
      <c r="D394" s="13" t="s">
        <v>6036</v>
      </c>
      <c r="E394" s="8"/>
      <c r="F394" s="7" t="s">
        <v>4348</v>
      </c>
      <c r="G394" s="7" t="s">
        <v>25</v>
      </c>
      <c r="H394" s="58"/>
      <c r="I394" s="23"/>
      <c r="J394" s="24"/>
      <c r="M394" s="4"/>
      <c r="N394" s="76"/>
      <c r="O394" s="76"/>
      <c r="P394" s="76" t="str">
        <f t="shared" si="48"/>
        <v>,shikkan376_start_date</v>
      </c>
      <c r="Q394" s="76" t="str">
        <f t="shared" si="49"/>
        <v>DATE</v>
      </c>
      <c r="R394" s="76" t="str">
        <f t="shared" si="50"/>
        <v/>
      </c>
      <c r="S394" s="76" t="str">
        <f t="shared" si="51"/>
        <v/>
      </c>
      <c r="T394" s="76" t="str">
        <f t="shared" si="52"/>
        <v>-- C786_疾患開始日</v>
      </c>
      <c r="U394" s="4" t="str">
        <f t="shared" si="40"/>
        <v>, CASE WHEN shikkan_disp_name = 'C786' THEN min_shikkan_start_date ::DATE ELSE NULL END AS shikkan376_start_date</v>
      </c>
      <c r="V394" s="25" t="str">
        <f t="shared" si="41"/>
        <v>, max(shikkan376_start_date)</v>
      </c>
      <c r="AA394" s="4"/>
      <c r="AB394" s="4"/>
      <c r="AC394" s="4"/>
      <c r="AD394" s="4"/>
      <c r="AE394" s="4"/>
      <c r="AF394" s="4"/>
      <c r="AG394" s="4"/>
      <c r="AH394" s="4"/>
      <c r="AI394" s="4"/>
      <c r="AJ394" s="76" t="str">
        <f>IF(E394="○",IF(COUNTA(E$13:E394)=1,"",",")&amp;D394,"")</f>
        <v/>
      </c>
      <c r="AK394" s="4"/>
      <c r="AL394" s="4"/>
      <c r="AM394" s="4"/>
      <c r="AN394" s="4"/>
      <c r="AO394" s="4"/>
      <c r="AP394" s="4"/>
      <c r="AQ394" s="4"/>
      <c r="AR394" s="4"/>
      <c r="AS394" s="76" t="str">
        <f>"COMMENT ON COLUMN "&amp;エンティティ一覧!$O$2&amp;"."&amp;D$8&amp;"."&amp;D394&amp;" IS '"&amp;C394&amp;"';"</f>
        <v>COMMENT ON COLUMN milscm_2023_009.sny_202310_annony_bef2.shikkan376_start_date IS 'C786_疾患開始日';</v>
      </c>
    </row>
    <row r="395" spans="1:45" s="25" customFormat="1">
      <c r="A395" s="4" t="s">
        <v>5519</v>
      </c>
      <c r="B395" s="21">
        <f t="shared" si="47"/>
        <v>383</v>
      </c>
      <c r="C395" s="13" t="s">
        <v>6909</v>
      </c>
      <c r="D395" s="13" t="s">
        <v>6037</v>
      </c>
      <c r="E395" s="8"/>
      <c r="F395" s="7" t="s">
        <v>4348</v>
      </c>
      <c r="G395" s="7" t="s">
        <v>25</v>
      </c>
      <c r="H395" s="58"/>
      <c r="I395" s="23"/>
      <c r="J395" s="24"/>
      <c r="M395" s="4"/>
      <c r="N395" s="76"/>
      <c r="O395" s="76"/>
      <c r="P395" s="76" t="str">
        <f t="shared" si="48"/>
        <v>,shikkan377_start_date</v>
      </c>
      <c r="Q395" s="76" t="str">
        <f t="shared" si="49"/>
        <v>DATE</v>
      </c>
      <c r="R395" s="76" t="str">
        <f t="shared" si="50"/>
        <v/>
      </c>
      <c r="S395" s="76" t="str">
        <f t="shared" si="51"/>
        <v/>
      </c>
      <c r="T395" s="76" t="str">
        <f t="shared" si="52"/>
        <v>-- C787_疾患開始日</v>
      </c>
      <c r="U395" s="4" t="str">
        <f t="shared" si="40"/>
        <v>, CASE WHEN shikkan_disp_name = 'C787' THEN min_shikkan_start_date ::DATE ELSE NULL END AS shikkan377_start_date</v>
      </c>
      <c r="V395" s="25" t="str">
        <f t="shared" si="41"/>
        <v>, max(shikkan377_start_date)</v>
      </c>
      <c r="AA395" s="4"/>
      <c r="AB395" s="4"/>
      <c r="AC395" s="4"/>
      <c r="AD395" s="4"/>
      <c r="AE395" s="4"/>
      <c r="AF395" s="4"/>
      <c r="AG395" s="4"/>
      <c r="AH395" s="4"/>
      <c r="AI395" s="4"/>
      <c r="AJ395" s="76" t="str">
        <f>IF(E395="○",IF(COUNTA(E$13:E395)=1,"",",")&amp;D395,"")</f>
        <v/>
      </c>
      <c r="AK395" s="4"/>
      <c r="AL395" s="4"/>
      <c r="AM395" s="4"/>
      <c r="AN395" s="4"/>
      <c r="AO395" s="4"/>
      <c r="AP395" s="4"/>
      <c r="AQ395" s="4"/>
      <c r="AR395" s="4"/>
      <c r="AS395" s="76" t="str">
        <f>"COMMENT ON COLUMN "&amp;エンティティ一覧!$O$2&amp;"."&amp;D$8&amp;"."&amp;D395&amp;" IS '"&amp;C395&amp;"';"</f>
        <v>COMMENT ON COLUMN milscm_2023_009.sny_202310_annony_bef2.shikkan377_start_date IS 'C787_疾患開始日';</v>
      </c>
    </row>
    <row r="396" spans="1:45" s="25" customFormat="1">
      <c r="A396" s="4" t="s">
        <v>5520</v>
      </c>
      <c r="B396" s="21">
        <f t="shared" si="47"/>
        <v>384</v>
      </c>
      <c r="C396" s="13" t="s">
        <v>6910</v>
      </c>
      <c r="D396" s="13" t="s">
        <v>6038</v>
      </c>
      <c r="E396" s="8"/>
      <c r="F396" s="7" t="s">
        <v>4348</v>
      </c>
      <c r="G396" s="7" t="s">
        <v>25</v>
      </c>
      <c r="H396" s="58"/>
      <c r="I396" s="23"/>
      <c r="J396" s="24"/>
      <c r="M396" s="4"/>
      <c r="N396" s="76"/>
      <c r="O396" s="76"/>
      <c r="P396" s="76" t="str">
        <f t="shared" si="48"/>
        <v>,shikkan378_start_date</v>
      </c>
      <c r="Q396" s="76" t="str">
        <f t="shared" si="49"/>
        <v>DATE</v>
      </c>
      <c r="R396" s="76" t="str">
        <f t="shared" si="50"/>
        <v/>
      </c>
      <c r="S396" s="76" t="str">
        <f t="shared" si="51"/>
        <v/>
      </c>
      <c r="T396" s="76" t="str">
        <f t="shared" si="52"/>
        <v>-- C788_疾患開始日</v>
      </c>
      <c r="U396" s="4" t="str">
        <f t="shared" si="40"/>
        <v>, CASE WHEN shikkan_disp_name = 'C788' THEN min_shikkan_start_date ::DATE ELSE NULL END AS shikkan378_start_date</v>
      </c>
      <c r="V396" s="25" t="str">
        <f t="shared" si="41"/>
        <v>, max(shikkan378_start_date)</v>
      </c>
      <c r="AA396" s="4"/>
      <c r="AB396" s="4"/>
      <c r="AC396" s="4"/>
      <c r="AD396" s="4"/>
      <c r="AE396" s="4"/>
      <c r="AF396" s="4"/>
      <c r="AG396" s="4"/>
      <c r="AH396" s="4"/>
      <c r="AI396" s="4"/>
      <c r="AJ396" s="76" t="str">
        <f>IF(E396="○",IF(COUNTA(E$13:E396)=1,"",",")&amp;D396,"")</f>
        <v/>
      </c>
      <c r="AK396" s="4"/>
      <c r="AL396" s="4"/>
      <c r="AM396" s="4"/>
      <c r="AN396" s="4"/>
      <c r="AO396" s="4"/>
      <c r="AP396" s="4"/>
      <c r="AQ396" s="4"/>
      <c r="AR396" s="4"/>
      <c r="AS396" s="76" t="str">
        <f>"COMMENT ON COLUMN "&amp;エンティティ一覧!$O$2&amp;"."&amp;D$8&amp;"."&amp;D396&amp;" IS '"&amp;C396&amp;"';"</f>
        <v>COMMENT ON COLUMN milscm_2023_009.sny_202310_annony_bef2.shikkan378_start_date IS 'C788_疾患開始日';</v>
      </c>
    </row>
    <row r="397" spans="1:45" s="25" customFormat="1">
      <c r="A397" s="4" t="s">
        <v>5521</v>
      </c>
      <c r="B397" s="21">
        <f t="shared" si="47"/>
        <v>385</v>
      </c>
      <c r="C397" s="13" t="s">
        <v>6911</v>
      </c>
      <c r="D397" s="13" t="s">
        <v>6039</v>
      </c>
      <c r="E397" s="8"/>
      <c r="F397" s="7" t="s">
        <v>4348</v>
      </c>
      <c r="G397" s="7" t="s">
        <v>25</v>
      </c>
      <c r="H397" s="58"/>
      <c r="I397" s="23"/>
      <c r="J397" s="24"/>
      <c r="M397" s="4"/>
      <c r="N397" s="76"/>
      <c r="O397" s="76"/>
      <c r="P397" s="76" t="str">
        <f t="shared" si="48"/>
        <v>,shikkan379_start_date</v>
      </c>
      <c r="Q397" s="76" t="str">
        <f t="shared" si="49"/>
        <v>DATE</v>
      </c>
      <c r="R397" s="76" t="str">
        <f t="shared" si="50"/>
        <v/>
      </c>
      <c r="S397" s="76" t="str">
        <f t="shared" si="51"/>
        <v/>
      </c>
      <c r="T397" s="76" t="str">
        <f t="shared" si="52"/>
        <v>-- C790_疾患開始日</v>
      </c>
      <c r="U397" s="4" t="str">
        <f t="shared" si="40"/>
        <v>, CASE WHEN shikkan_disp_name = 'C790' THEN min_shikkan_start_date ::DATE ELSE NULL END AS shikkan379_start_date</v>
      </c>
      <c r="V397" s="25" t="str">
        <f t="shared" si="41"/>
        <v>, max(shikkan379_start_date)</v>
      </c>
      <c r="AA397" s="4"/>
      <c r="AB397" s="4"/>
      <c r="AC397" s="4"/>
      <c r="AD397" s="4"/>
      <c r="AE397" s="4"/>
      <c r="AF397" s="4"/>
      <c r="AG397" s="4"/>
      <c r="AH397" s="4"/>
      <c r="AI397" s="4"/>
      <c r="AJ397" s="76" t="str">
        <f>IF(E397="○",IF(COUNTA(E$13:E397)=1,"",",")&amp;D397,"")</f>
        <v/>
      </c>
      <c r="AK397" s="4"/>
      <c r="AL397" s="4"/>
      <c r="AM397" s="4"/>
      <c r="AN397" s="4"/>
      <c r="AO397" s="4"/>
      <c r="AP397" s="4"/>
      <c r="AQ397" s="4"/>
      <c r="AR397" s="4"/>
      <c r="AS397" s="76" t="str">
        <f>"COMMENT ON COLUMN "&amp;エンティティ一覧!$O$2&amp;"."&amp;D$8&amp;"."&amp;D397&amp;" IS '"&amp;C397&amp;"';"</f>
        <v>COMMENT ON COLUMN milscm_2023_009.sny_202310_annony_bef2.shikkan379_start_date IS 'C790_疾患開始日';</v>
      </c>
    </row>
    <row r="398" spans="1:45" s="25" customFormat="1">
      <c r="A398" s="4" t="s">
        <v>5522</v>
      </c>
      <c r="B398" s="21">
        <f t="shared" si="47"/>
        <v>386</v>
      </c>
      <c r="C398" s="13" t="s">
        <v>6912</v>
      </c>
      <c r="D398" s="13" t="s">
        <v>6040</v>
      </c>
      <c r="E398" s="8"/>
      <c r="F398" s="7" t="s">
        <v>4348</v>
      </c>
      <c r="G398" s="7" t="s">
        <v>25</v>
      </c>
      <c r="H398" s="58"/>
      <c r="I398" s="23"/>
      <c r="J398" s="24"/>
      <c r="M398" s="4"/>
      <c r="N398" s="76"/>
      <c r="O398" s="76"/>
      <c r="P398" s="76" t="str">
        <f t="shared" si="48"/>
        <v>,shikkan380_start_date</v>
      </c>
      <c r="Q398" s="76" t="str">
        <f t="shared" si="49"/>
        <v>DATE</v>
      </c>
      <c r="R398" s="76" t="str">
        <f t="shared" si="50"/>
        <v/>
      </c>
      <c r="S398" s="76" t="str">
        <f t="shared" si="51"/>
        <v/>
      </c>
      <c r="T398" s="76" t="str">
        <f t="shared" si="52"/>
        <v>-- C791_疾患開始日</v>
      </c>
      <c r="U398" s="4" t="str">
        <f t="shared" si="40"/>
        <v>, CASE WHEN shikkan_disp_name = 'C791' THEN min_shikkan_start_date ::DATE ELSE NULL END AS shikkan380_start_date</v>
      </c>
      <c r="V398" s="25" t="str">
        <f t="shared" si="41"/>
        <v>, max(shikkan380_start_date)</v>
      </c>
      <c r="AA398" s="4"/>
      <c r="AB398" s="4"/>
      <c r="AC398" s="4"/>
      <c r="AD398" s="4"/>
      <c r="AE398" s="4"/>
      <c r="AF398" s="4"/>
      <c r="AG398" s="4"/>
      <c r="AH398" s="4"/>
      <c r="AI398" s="4"/>
      <c r="AJ398" s="76" t="str">
        <f>IF(E398="○",IF(COUNTA(E$13:E398)=1,"",",")&amp;D398,"")</f>
        <v/>
      </c>
      <c r="AK398" s="4"/>
      <c r="AL398" s="4"/>
      <c r="AM398" s="4"/>
      <c r="AN398" s="4"/>
      <c r="AO398" s="4"/>
      <c r="AP398" s="4"/>
      <c r="AQ398" s="4"/>
      <c r="AR398" s="4"/>
      <c r="AS398" s="76" t="str">
        <f>"COMMENT ON COLUMN "&amp;エンティティ一覧!$O$2&amp;"."&amp;D$8&amp;"."&amp;D398&amp;" IS '"&amp;C398&amp;"';"</f>
        <v>COMMENT ON COLUMN milscm_2023_009.sny_202310_annony_bef2.shikkan380_start_date IS 'C791_疾患開始日';</v>
      </c>
    </row>
    <row r="399" spans="1:45" s="25" customFormat="1">
      <c r="A399" s="4" t="s">
        <v>5523</v>
      </c>
      <c r="B399" s="21">
        <f t="shared" si="47"/>
        <v>387</v>
      </c>
      <c r="C399" s="13" t="s">
        <v>6913</v>
      </c>
      <c r="D399" s="13" t="s">
        <v>6041</v>
      </c>
      <c r="E399" s="8"/>
      <c r="F399" s="7" t="s">
        <v>4348</v>
      </c>
      <c r="G399" s="7" t="s">
        <v>25</v>
      </c>
      <c r="H399" s="58"/>
      <c r="I399" s="23"/>
      <c r="J399" s="24"/>
      <c r="M399" s="4"/>
      <c r="N399" s="76"/>
      <c r="O399" s="76"/>
      <c r="P399" s="76" t="str">
        <f t="shared" si="48"/>
        <v>,shikkan381_start_date</v>
      </c>
      <c r="Q399" s="76" t="str">
        <f t="shared" si="49"/>
        <v>DATE</v>
      </c>
      <c r="R399" s="76" t="str">
        <f t="shared" si="50"/>
        <v/>
      </c>
      <c r="S399" s="76" t="str">
        <f t="shared" si="51"/>
        <v/>
      </c>
      <c r="T399" s="76" t="str">
        <f t="shared" si="52"/>
        <v>-- C792_疾患開始日</v>
      </c>
      <c r="U399" s="4" t="str">
        <f t="shared" si="40"/>
        <v>, CASE WHEN shikkan_disp_name = 'C792' THEN min_shikkan_start_date ::DATE ELSE NULL END AS shikkan381_start_date</v>
      </c>
      <c r="V399" s="25" t="str">
        <f t="shared" si="41"/>
        <v>, max(shikkan381_start_date)</v>
      </c>
      <c r="AA399" s="4"/>
      <c r="AB399" s="4"/>
      <c r="AC399" s="4"/>
      <c r="AD399" s="4"/>
      <c r="AE399" s="4"/>
      <c r="AF399" s="4"/>
      <c r="AG399" s="4"/>
      <c r="AH399" s="4"/>
      <c r="AI399" s="4"/>
      <c r="AJ399" s="76" t="str">
        <f>IF(E399="○",IF(COUNTA(E$13:E399)=1,"",",")&amp;D399,"")</f>
        <v/>
      </c>
      <c r="AK399" s="4"/>
      <c r="AL399" s="4"/>
      <c r="AM399" s="4"/>
      <c r="AN399" s="4"/>
      <c r="AO399" s="4"/>
      <c r="AP399" s="4"/>
      <c r="AQ399" s="4"/>
      <c r="AR399" s="4"/>
      <c r="AS399" s="76" t="str">
        <f>"COMMENT ON COLUMN "&amp;エンティティ一覧!$O$2&amp;"."&amp;D$8&amp;"."&amp;D399&amp;" IS '"&amp;C399&amp;"';"</f>
        <v>COMMENT ON COLUMN milscm_2023_009.sny_202310_annony_bef2.shikkan381_start_date IS 'C792_疾患開始日';</v>
      </c>
    </row>
    <row r="400" spans="1:45" s="25" customFormat="1">
      <c r="A400" s="4" t="s">
        <v>5524</v>
      </c>
      <c r="B400" s="21">
        <f t="shared" si="47"/>
        <v>388</v>
      </c>
      <c r="C400" s="13" t="s">
        <v>6914</v>
      </c>
      <c r="D400" s="13" t="s">
        <v>6042</v>
      </c>
      <c r="E400" s="8"/>
      <c r="F400" s="7" t="s">
        <v>4348</v>
      </c>
      <c r="G400" s="7" t="s">
        <v>25</v>
      </c>
      <c r="H400" s="58"/>
      <c r="I400" s="23"/>
      <c r="J400" s="24"/>
      <c r="M400" s="4"/>
      <c r="N400" s="76"/>
      <c r="O400" s="76"/>
      <c r="P400" s="76" t="str">
        <f t="shared" si="48"/>
        <v>,shikkan382_start_date</v>
      </c>
      <c r="Q400" s="76" t="str">
        <f t="shared" si="49"/>
        <v>DATE</v>
      </c>
      <c r="R400" s="76" t="str">
        <f t="shared" si="50"/>
        <v/>
      </c>
      <c r="S400" s="76" t="str">
        <f t="shared" si="51"/>
        <v/>
      </c>
      <c r="T400" s="76" t="str">
        <f t="shared" si="52"/>
        <v>-- C793_疾患開始日</v>
      </c>
      <c r="U400" s="4" t="str">
        <f t="shared" si="40"/>
        <v>, CASE WHEN shikkan_disp_name = 'C793' THEN min_shikkan_start_date ::DATE ELSE NULL END AS shikkan382_start_date</v>
      </c>
      <c r="V400" s="25" t="str">
        <f t="shared" si="41"/>
        <v>, max(shikkan382_start_date)</v>
      </c>
      <c r="AA400" s="4"/>
      <c r="AB400" s="4"/>
      <c r="AC400" s="4"/>
      <c r="AD400" s="4"/>
      <c r="AE400" s="4"/>
      <c r="AF400" s="4"/>
      <c r="AG400" s="4"/>
      <c r="AH400" s="4"/>
      <c r="AI400" s="4"/>
      <c r="AJ400" s="76" t="str">
        <f>IF(E400="○",IF(COUNTA(E$13:E400)=1,"",",")&amp;D400,"")</f>
        <v/>
      </c>
      <c r="AK400" s="4"/>
      <c r="AL400" s="4"/>
      <c r="AM400" s="4"/>
      <c r="AN400" s="4"/>
      <c r="AO400" s="4"/>
      <c r="AP400" s="4"/>
      <c r="AQ400" s="4"/>
      <c r="AR400" s="4"/>
      <c r="AS400" s="76" t="str">
        <f>"COMMENT ON COLUMN "&amp;エンティティ一覧!$O$2&amp;"."&amp;D$8&amp;"."&amp;D400&amp;" IS '"&amp;C400&amp;"';"</f>
        <v>COMMENT ON COLUMN milscm_2023_009.sny_202310_annony_bef2.shikkan382_start_date IS 'C793_疾患開始日';</v>
      </c>
    </row>
    <row r="401" spans="1:45" s="25" customFormat="1">
      <c r="A401" s="4" t="s">
        <v>5525</v>
      </c>
      <c r="B401" s="21">
        <f t="shared" si="47"/>
        <v>389</v>
      </c>
      <c r="C401" s="13" t="s">
        <v>6915</v>
      </c>
      <c r="D401" s="13" t="s">
        <v>6043</v>
      </c>
      <c r="E401" s="8"/>
      <c r="F401" s="7" t="s">
        <v>4348</v>
      </c>
      <c r="G401" s="7" t="s">
        <v>25</v>
      </c>
      <c r="H401" s="58"/>
      <c r="I401" s="23"/>
      <c r="J401" s="24"/>
      <c r="M401" s="4"/>
      <c r="N401" s="76"/>
      <c r="O401" s="76"/>
      <c r="P401" s="76" t="str">
        <f t="shared" si="48"/>
        <v>,shikkan383_start_date</v>
      </c>
      <c r="Q401" s="76" t="str">
        <f t="shared" si="49"/>
        <v>DATE</v>
      </c>
      <c r="R401" s="76" t="str">
        <f t="shared" si="50"/>
        <v/>
      </c>
      <c r="S401" s="76" t="str">
        <f t="shared" si="51"/>
        <v/>
      </c>
      <c r="T401" s="76" t="str">
        <f t="shared" si="52"/>
        <v>-- C794_疾患開始日</v>
      </c>
      <c r="U401" s="4" t="str">
        <f t="shared" si="40"/>
        <v>, CASE WHEN shikkan_disp_name = 'C794' THEN min_shikkan_start_date ::DATE ELSE NULL END AS shikkan383_start_date</v>
      </c>
      <c r="V401" s="25" t="str">
        <f t="shared" si="41"/>
        <v>, max(shikkan383_start_date)</v>
      </c>
      <c r="AA401" s="4"/>
      <c r="AB401" s="4"/>
      <c r="AC401" s="4"/>
      <c r="AD401" s="4"/>
      <c r="AE401" s="4"/>
      <c r="AF401" s="4"/>
      <c r="AG401" s="4"/>
      <c r="AH401" s="4"/>
      <c r="AI401" s="4"/>
      <c r="AJ401" s="76" t="str">
        <f>IF(E401="○",IF(COUNTA(E$13:E401)=1,"",",")&amp;D401,"")</f>
        <v/>
      </c>
      <c r="AK401" s="4"/>
      <c r="AL401" s="4"/>
      <c r="AM401" s="4"/>
      <c r="AN401" s="4"/>
      <c r="AO401" s="4"/>
      <c r="AP401" s="4"/>
      <c r="AQ401" s="4"/>
      <c r="AR401" s="4"/>
      <c r="AS401" s="76" t="str">
        <f>"COMMENT ON COLUMN "&amp;エンティティ一覧!$O$2&amp;"."&amp;D$8&amp;"."&amp;D401&amp;" IS '"&amp;C401&amp;"';"</f>
        <v>COMMENT ON COLUMN milscm_2023_009.sny_202310_annony_bef2.shikkan383_start_date IS 'C794_疾患開始日';</v>
      </c>
    </row>
    <row r="402" spans="1:45" s="25" customFormat="1">
      <c r="A402" s="4" t="s">
        <v>5526</v>
      </c>
      <c r="B402" s="21">
        <f t="shared" si="47"/>
        <v>390</v>
      </c>
      <c r="C402" s="13" t="s">
        <v>6916</v>
      </c>
      <c r="D402" s="13" t="s">
        <v>6044</v>
      </c>
      <c r="E402" s="8"/>
      <c r="F402" s="7" t="s">
        <v>4348</v>
      </c>
      <c r="G402" s="7" t="s">
        <v>99</v>
      </c>
      <c r="H402" s="58"/>
      <c r="I402" s="23"/>
      <c r="J402" s="24"/>
      <c r="M402" s="4"/>
      <c r="N402" s="76"/>
      <c r="O402" s="76"/>
      <c r="P402" s="76" t="str">
        <f t="shared" si="48"/>
        <v>,shikkan384_start_date</v>
      </c>
      <c r="Q402" s="76" t="str">
        <f t="shared" si="49"/>
        <v>DATE</v>
      </c>
      <c r="R402" s="76" t="str">
        <f t="shared" si="50"/>
        <v/>
      </c>
      <c r="S402" s="76" t="str">
        <f t="shared" si="51"/>
        <v/>
      </c>
      <c r="T402" s="76" t="str">
        <f t="shared" si="52"/>
        <v>-- C795_疾患開始日</v>
      </c>
      <c r="U402" s="4" t="str">
        <f t="shared" si="40"/>
        <v>, CASE WHEN shikkan_disp_name = 'C795' THEN min_shikkan_start_date ::DATE ELSE NULL END AS shikkan384_start_date</v>
      </c>
      <c r="V402" s="25" t="str">
        <f t="shared" si="41"/>
        <v>, max(shikkan384_start_date)</v>
      </c>
      <c r="AA402" s="4"/>
      <c r="AB402" s="4"/>
      <c r="AC402" s="4"/>
      <c r="AD402" s="4"/>
      <c r="AE402" s="4"/>
      <c r="AF402" s="4"/>
      <c r="AG402" s="4"/>
      <c r="AH402" s="4"/>
      <c r="AI402" s="4"/>
      <c r="AJ402" s="76" t="str">
        <f>IF(E402="○",IF(COUNTA(E$13:E402)=1,"",",")&amp;D402,"")</f>
        <v/>
      </c>
      <c r="AK402" s="4"/>
      <c r="AL402" s="4"/>
      <c r="AM402" s="4"/>
      <c r="AN402" s="4"/>
      <c r="AO402" s="4"/>
      <c r="AP402" s="4"/>
      <c r="AQ402" s="4"/>
      <c r="AR402" s="4"/>
      <c r="AS402" s="76" t="str">
        <f>"COMMENT ON COLUMN "&amp;エンティティ一覧!$O$2&amp;"."&amp;D$8&amp;"."&amp;D402&amp;" IS '"&amp;C402&amp;"';"</f>
        <v>COMMENT ON COLUMN milscm_2023_009.sny_202310_annony_bef2.shikkan384_start_date IS 'C795_疾患開始日';</v>
      </c>
    </row>
    <row r="403" spans="1:45" s="25" customFormat="1">
      <c r="A403" s="4" t="s">
        <v>5527</v>
      </c>
      <c r="B403" s="21">
        <f t="shared" si="47"/>
        <v>391</v>
      </c>
      <c r="C403" s="13" t="s">
        <v>6917</v>
      </c>
      <c r="D403" s="13" t="s">
        <v>6045</v>
      </c>
      <c r="E403" s="8"/>
      <c r="F403" s="7" t="s">
        <v>4348</v>
      </c>
      <c r="G403" s="7" t="s">
        <v>25</v>
      </c>
      <c r="H403" s="58"/>
      <c r="I403" s="23"/>
      <c r="J403" s="24"/>
      <c r="M403" s="4"/>
      <c r="N403" s="76"/>
      <c r="O403" s="76"/>
      <c r="P403" s="76" t="str">
        <f t="shared" si="48"/>
        <v>,shikkan385_start_date</v>
      </c>
      <c r="Q403" s="76" t="str">
        <f t="shared" si="49"/>
        <v>DATE</v>
      </c>
      <c r="R403" s="76" t="str">
        <f t="shared" si="50"/>
        <v/>
      </c>
      <c r="S403" s="76" t="str">
        <f t="shared" si="51"/>
        <v/>
      </c>
      <c r="T403" s="76" t="str">
        <f t="shared" si="52"/>
        <v>-- C796_疾患開始日</v>
      </c>
      <c r="U403" s="4" t="str">
        <f t="shared" si="40"/>
        <v>, CASE WHEN shikkan_disp_name = 'C796' THEN min_shikkan_start_date ::DATE ELSE NULL END AS shikkan385_start_date</v>
      </c>
      <c r="V403" s="25" t="str">
        <f t="shared" si="41"/>
        <v>, max(shikkan385_start_date)</v>
      </c>
      <c r="AA403" s="4"/>
      <c r="AB403" s="4"/>
      <c r="AC403" s="4"/>
      <c r="AD403" s="4"/>
      <c r="AE403" s="4"/>
      <c r="AF403" s="4"/>
      <c r="AG403" s="4"/>
      <c r="AH403" s="4"/>
      <c r="AI403" s="4"/>
      <c r="AJ403" s="76" t="str">
        <f>IF(E403="○",IF(COUNTA(E$13:E403)=1,"",",")&amp;D403,"")</f>
        <v/>
      </c>
      <c r="AK403" s="4"/>
      <c r="AL403" s="4"/>
      <c r="AM403" s="4"/>
      <c r="AN403" s="4"/>
      <c r="AO403" s="4"/>
      <c r="AP403" s="4"/>
      <c r="AQ403" s="4"/>
      <c r="AR403" s="4"/>
      <c r="AS403" s="76" t="str">
        <f>"COMMENT ON COLUMN "&amp;エンティティ一覧!$O$2&amp;"."&amp;D$8&amp;"."&amp;D403&amp;" IS '"&amp;C403&amp;"';"</f>
        <v>COMMENT ON COLUMN milscm_2023_009.sny_202310_annony_bef2.shikkan385_start_date IS 'C796_疾患開始日';</v>
      </c>
    </row>
    <row r="404" spans="1:45" s="25" customFormat="1">
      <c r="A404" s="4" t="s">
        <v>5528</v>
      </c>
      <c r="B404" s="21">
        <f t="shared" si="47"/>
        <v>392</v>
      </c>
      <c r="C404" s="13" t="s">
        <v>6918</v>
      </c>
      <c r="D404" s="13" t="s">
        <v>6046</v>
      </c>
      <c r="E404" s="8"/>
      <c r="F404" s="7" t="s">
        <v>4348</v>
      </c>
      <c r="G404" s="7" t="s">
        <v>25</v>
      </c>
      <c r="H404" s="58"/>
      <c r="I404" s="23"/>
      <c r="J404" s="24"/>
      <c r="M404" s="4"/>
      <c r="N404" s="76"/>
      <c r="O404" s="76"/>
      <c r="P404" s="76" t="str">
        <f t="shared" si="48"/>
        <v>,shikkan386_start_date</v>
      </c>
      <c r="Q404" s="76" t="str">
        <f t="shared" si="49"/>
        <v>DATE</v>
      </c>
      <c r="R404" s="76" t="str">
        <f t="shared" si="50"/>
        <v/>
      </c>
      <c r="S404" s="76" t="str">
        <f t="shared" si="51"/>
        <v/>
      </c>
      <c r="T404" s="76" t="str">
        <f t="shared" si="52"/>
        <v>-- C797_疾患開始日</v>
      </c>
      <c r="U404" s="4" t="str">
        <f t="shared" si="40"/>
        <v>, CASE WHEN shikkan_disp_name = 'C797' THEN min_shikkan_start_date ::DATE ELSE NULL END AS shikkan386_start_date</v>
      </c>
      <c r="V404" s="25" t="str">
        <f t="shared" si="41"/>
        <v>, max(shikkan386_start_date)</v>
      </c>
      <c r="AA404" s="4"/>
      <c r="AB404" s="4"/>
      <c r="AC404" s="4"/>
      <c r="AD404" s="4"/>
      <c r="AE404" s="4"/>
      <c r="AF404" s="4"/>
      <c r="AG404" s="4"/>
      <c r="AH404" s="4"/>
      <c r="AI404" s="4"/>
      <c r="AJ404" s="76" t="str">
        <f>IF(E404="○",IF(COUNTA(E$13:E404)=1,"",",")&amp;D404,"")</f>
        <v/>
      </c>
      <c r="AK404" s="4"/>
      <c r="AL404" s="4"/>
      <c r="AM404" s="4"/>
      <c r="AN404" s="4"/>
      <c r="AO404" s="4"/>
      <c r="AP404" s="4"/>
      <c r="AQ404" s="4"/>
      <c r="AR404" s="4"/>
      <c r="AS404" s="76" t="str">
        <f>"COMMENT ON COLUMN "&amp;エンティティ一覧!$O$2&amp;"."&amp;D$8&amp;"."&amp;D404&amp;" IS '"&amp;C404&amp;"';"</f>
        <v>COMMENT ON COLUMN milscm_2023_009.sny_202310_annony_bef2.shikkan386_start_date IS 'C797_疾患開始日';</v>
      </c>
    </row>
    <row r="405" spans="1:45" s="25" customFormat="1">
      <c r="A405" s="4" t="s">
        <v>5529</v>
      </c>
      <c r="B405" s="21">
        <f t="shared" ref="B405:B468" si="53">ROW()-12</f>
        <v>393</v>
      </c>
      <c r="C405" s="13" t="s">
        <v>6919</v>
      </c>
      <c r="D405" s="13" t="s">
        <v>6047</v>
      </c>
      <c r="E405" s="8"/>
      <c r="F405" s="7" t="s">
        <v>4348</v>
      </c>
      <c r="G405" s="7" t="s">
        <v>25</v>
      </c>
      <c r="H405" s="58"/>
      <c r="I405" s="23"/>
      <c r="J405" s="24"/>
      <c r="M405" s="4"/>
      <c r="N405" s="76"/>
      <c r="O405" s="76"/>
      <c r="P405" s="76" t="str">
        <f t="shared" si="48"/>
        <v>,shikkan387_start_date</v>
      </c>
      <c r="Q405" s="76" t="str">
        <f t="shared" si="49"/>
        <v>DATE</v>
      </c>
      <c r="R405" s="76" t="str">
        <f t="shared" si="50"/>
        <v/>
      </c>
      <c r="S405" s="76" t="str">
        <f t="shared" si="51"/>
        <v/>
      </c>
      <c r="T405" s="76" t="str">
        <f t="shared" si="52"/>
        <v>-- C798_疾患開始日</v>
      </c>
      <c r="U405" s="4" t="str">
        <f t="shared" si="40"/>
        <v>, CASE WHEN shikkan_disp_name = 'C798' THEN min_shikkan_start_date ::DATE ELSE NULL END AS shikkan387_start_date</v>
      </c>
      <c r="V405" s="25" t="str">
        <f t="shared" si="41"/>
        <v>, max(shikkan387_start_date)</v>
      </c>
      <c r="AA405" s="4"/>
      <c r="AB405" s="4"/>
      <c r="AC405" s="4"/>
      <c r="AD405" s="4"/>
      <c r="AE405" s="4"/>
      <c r="AF405" s="4"/>
      <c r="AG405" s="4"/>
      <c r="AH405" s="4"/>
      <c r="AI405" s="4"/>
      <c r="AJ405" s="76" t="str">
        <f>IF(E405="○",IF(COUNTA(E$13:E405)=1,"",",")&amp;D405,"")</f>
        <v/>
      </c>
      <c r="AK405" s="4"/>
      <c r="AL405" s="4"/>
      <c r="AM405" s="4"/>
      <c r="AN405" s="4"/>
      <c r="AO405" s="4"/>
      <c r="AP405" s="4"/>
      <c r="AQ405" s="4"/>
      <c r="AR405" s="4"/>
      <c r="AS405" s="76" t="str">
        <f>"COMMENT ON COLUMN "&amp;エンティティ一覧!$O$2&amp;"."&amp;D$8&amp;"."&amp;D405&amp;" IS '"&amp;C405&amp;"';"</f>
        <v>COMMENT ON COLUMN milscm_2023_009.sny_202310_annony_bef2.shikkan387_start_date IS 'C798_疾患開始日';</v>
      </c>
    </row>
    <row r="406" spans="1:45" s="25" customFormat="1">
      <c r="A406" s="4" t="s">
        <v>5530</v>
      </c>
      <c r="B406" s="21">
        <f t="shared" si="53"/>
        <v>394</v>
      </c>
      <c r="C406" s="13" t="s">
        <v>6920</v>
      </c>
      <c r="D406" s="13" t="s">
        <v>6048</v>
      </c>
      <c r="E406" s="8"/>
      <c r="F406" s="7" t="s">
        <v>4348</v>
      </c>
      <c r="G406" s="7" t="s">
        <v>25</v>
      </c>
      <c r="H406" s="58"/>
      <c r="I406" s="23"/>
      <c r="J406" s="24"/>
      <c r="M406" s="4"/>
      <c r="N406" s="76"/>
      <c r="O406" s="76"/>
      <c r="P406" s="76" t="str">
        <f t="shared" si="48"/>
        <v>,shikkan388_start_date</v>
      </c>
      <c r="Q406" s="76" t="str">
        <f t="shared" si="49"/>
        <v>DATE</v>
      </c>
      <c r="R406" s="76" t="str">
        <f t="shared" si="50"/>
        <v/>
      </c>
      <c r="S406" s="76" t="str">
        <f t="shared" si="51"/>
        <v/>
      </c>
      <c r="T406" s="76" t="str">
        <f t="shared" si="52"/>
        <v>-- C799_疾患開始日</v>
      </c>
      <c r="U406" s="4" t="str">
        <f t="shared" si="40"/>
        <v>, CASE WHEN shikkan_disp_name = 'C799' THEN min_shikkan_start_date ::DATE ELSE NULL END AS shikkan388_start_date</v>
      </c>
      <c r="V406" s="25" t="str">
        <f t="shared" si="41"/>
        <v>, max(shikkan388_start_date)</v>
      </c>
      <c r="AA406" s="4"/>
      <c r="AB406" s="4"/>
      <c r="AC406" s="4"/>
      <c r="AD406" s="4"/>
      <c r="AE406" s="4"/>
      <c r="AF406" s="4"/>
      <c r="AG406" s="4"/>
      <c r="AH406" s="4"/>
      <c r="AI406" s="4"/>
      <c r="AJ406" s="76" t="str">
        <f>IF(E406="○",IF(COUNTA(E$13:E406)=1,"",",")&amp;D406,"")</f>
        <v/>
      </c>
      <c r="AK406" s="4"/>
      <c r="AL406" s="4"/>
      <c r="AM406" s="4"/>
      <c r="AN406" s="4"/>
      <c r="AO406" s="4"/>
      <c r="AP406" s="4"/>
      <c r="AQ406" s="4"/>
      <c r="AR406" s="4"/>
      <c r="AS406" s="76" t="str">
        <f>"COMMENT ON COLUMN "&amp;エンティティ一覧!$O$2&amp;"."&amp;D$8&amp;"."&amp;D406&amp;" IS '"&amp;C406&amp;"';"</f>
        <v>COMMENT ON COLUMN milscm_2023_009.sny_202310_annony_bef2.shikkan388_start_date IS 'C799_疾患開始日';</v>
      </c>
    </row>
    <row r="407" spans="1:45" s="25" customFormat="1">
      <c r="A407" s="4" t="s">
        <v>5531</v>
      </c>
      <c r="B407" s="21">
        <f t="shared" si="53"/>
        <v>395</v>
      </c>
      <c r="C407" s="13" t="s">
        <v>6921</v>
      </c>
      <c r="D407" s="13" t="s">
        <v>6049</v>
      </c>
      <c r="E407" s="8"/>
      <c r="F407" s="7" t="s">
        <v>4348</v>
      </c>
      <c r="G407" s="7" t="s">
        <v>25</v>
      </c>
      <c r="H407" s="58"/>
      <c r="I407" s="23"/>
      <c r="J407" s="24"/>
      <c r="M407" s="4"/>
      <c r="N407" s="76"/>
      <c r="O407" s="76"/>
      <c r="P407" s="76" t="str">
        <f t="shared" si="48"/>
        <v>,shikkan389_start_date</v>
      </c>
      <c r="Q407" s="76" t="str">
        <f t="shared" si="49"/>
        <v>DATE</v>
      </c>
      <c r="R407" s="76" t="str">
        <f t="shared" si="50"/>
        <v/>
      </c>
      <c r="S407" s="76" t="str">
        <f t="shared" si="51"/>
        <v/>
      </c>
      <c r="T407" s="76" t="str">
        <f t="shared" si="52"/>
        <v>-- C800_疾患開始日</v>
      </c>
      <c r="U407" s="4" t="str">
        <f t="shared" si="40"/>
        <v>, CASE WHEN shikkan_disp_name = 'C800' THEN min_shikkan_start_date ::DATE ELSE NULL END AS shikkan389_start_date</v>
      </c>
      <c r="V407" s="25" t="str">
        <f t="shared" si="41"/>
        <v>, max(shikkan389_start_date)</v>
      </c>
      <c r="AA407" s="4"/>
      <c r="AB407" s="4"/>
      <c r="AC407" s="4"/>
      <c r="AD407" s="4"/>
      <c r="AE407" s="4"/>
      <c r="AF407" s="4"/>
      <c r="AG407" s="4"/>
      <c r="AH407" s="4"/>
      <c r="AI407" s="4"/>
      <c r="AJ407" s="76" t="str">
        <f>IF(E407="○",IF(COUNTA(E$13:E407)=1,"",",")&amp;D407,"")</f>
        <v/>
      </c>
      <c r="AK407" s="4"/>
      <c r="AL407" s="4"/>
      <c r="AM407" s="4"/>
      <c r="AN407" s="4"/>
      <c r="AO407" s="4"/>
      <c r="AP407" s="4"/>
      <c r="AQ407" s="4"/>
      <c r="AR407" s="4"/>
      <c r="AS407" s="76" t="str">
        <f>"COMMENT ON COLUMN "&amp;エンティティ一覧!$O$2&amp;"."&amp;D$8&amp;"."&amp;D407&amp;" IS '"&amp;C407&amp;"';"</f>
        <v>COMMENT ON COLUMN milscm_2023_009.sny_202310_annony_bef2.shikkan389_start_date IS 'C800_疾患開始日';</v>
      </c>
    </row>
    <row r="408" spans="1:45" s="25" customFormat="1">
      <c r="A408" s="4" t="s">
        <v>5532</v>
      </c>
      <c r="B408" s="21">
        <f t="shared" si="53"/>
        <v>396</v>
      </c>
      <c r="C408" s="13" t="s">
        <v>6922</v>
      </c>
      <c r="D408" s="13" t="s">
        <v>6050</v>
      </c>
      <c r="E408" s="8"/>
      <c r="F408" s="7" t="s">
        <v>4348</v>
      </c>
      <c r="G408" s="7" t="s">
        <v>25</v>
      </c>
      <c r="H408" s="58"/>
      <c r="I408" s="23"/>
      <c r="J408" s="24"/>
      <c r="M408" s="4"/>
      <c r="N408" s="76"/>
      <c r="O408" s="76"/>
      <c r="P408" s="76" t="str">
        <f t="shared" si="48"/>
        <v>,shikkan390_start_date</v>
      </c>
      <c r="Q408" s="76" t="str">
        <f t="shared" si="49"/>
        <v>DATE</v>
      </c>
      <c r="R408" s="76" t="str">
        <f t="shared" si="50"/>
        <v/>
      </c>
      <c r="S408" s="76" t="str">
        <f t="shared" si="51"/>
        <v/>
      </c>
      <c r="T408" s="76" t="str">
        <f t="shared" si="52"/>
        <v>-- C809_疾患開始日</v>
      </c>
      <c r="U408" s="4" t="str">
        <f t="shared" si="40"/>
        <v>, CASE WHEN shikkan_disp_name = 'C809' THEN min_shikkan_start_date ::DATE ELSE NULL END AS shikkan390_start_date</v>
      </c>
      <c r="V408" s="25" t="str">
        <f t="shared" si="41"/>
        <v>, max(shikkan390_start_date)</v>
      </c>
      <c r="AA408" s="4"/>
      <c r="AB408" s="4"/>
      <c r="AC408" s="4"/>
      <c r="AD408" s="4"/>
      <c r="AE408" s="4"/>
      <c r="AF408" s="4"/>
      <c r="AG408" s="4"/>
      <c r="AH408" s="4"/>
      <c r="AI408" s="4"/>
      <c r="AJ408" s="76" t="str">
        <f>IF(E408="○",IF(COUNTA(E$13:E408)=1,"",",")&amp;D408,"")</f>
        <v/>
      </c>
      <c r="AK408" s="4"/>
      <c r="AL408" s="4"/>
      <c r="AM408" s="4"/>
      <c r="AN408" s="4"/>
      <c r="AO408" s="4"/>
      <c r="AP408" s="4"/>
      <c r="AQ408" s="4"/>
      <c r="AR408" s="4"/>
      <c r="AS408" s="76" t="str">
        <f>"COMMENT ON COLUMN "&amp;エンティティ一覧!$O$2&amp;"."&amp;D$8&amp;"."&amp;D408&amp;" IS '"&amp;C408&amp;"';"</f>
        <v>COMMENT ON COLUMN milscm_2023_009.sny_202310_annony_bef2.shikkan390_start_date IS 'C809_疾患開始日';</v>
      </c>
    </row>
    <row r="409" spans="1:45" s="25" customFormat="1">
      <c r="A409" s="4" t="s">
        <v>5533</v>
      </c>
      <c r="B409" s="21">
        <f t="shared" si="53"/>
        <v>397</v>
      </c>
      <c r="C409" s="13" t="s">
        <v>6923</v>
      </c>
      <c r="D409" s="13" t="s">
        <v>6051</v>
      </c>
      <c r="E409" s="8"/>
      <c r="F409" s="7" t="s">
        <v>4348</v>
      </c>
      <c r="G409" s="7" t="s">
        <v>25</v>
      </c>
      <c r="H409" s="58"/>
      <c r="I409" s="23"/>
      <c r="J409" s="24"/>
      <c r="M409" s="4"/>
      <c r="N409" s="76"/>
      <c r="O409" s="76"/>
      <c r="P409" s="76" t="str">
        <f t="shared" si="48"/>
        <v>,shikkan391_start_date</v>
      </c>
      <c r="Q409" s="76" t="str">
        <f t="shared" si="49"/>
        <v>DATE</v>
      </c>
      <c r="R409" s="76" t="str">
        <f t="shared" si="50"/>
        <v/>
      </c>
      <c r="S409" s="76" t="str">
        <f t="shared" si="51"/>
        <v/>
      </c>
      <c r="T409" s="76" t="str">
        <f t="shared" si="52"/>
        <v>-- C810_疾患開始日</v>
      </c>
      <c r="U409" s="4" t="str">
        <f t="shared" si="40"/>
        <v>, CASE WHEN shikkan_disp_name = 'C810' THEN min_shikkan_start_date ::DATE ELSE NULL END AS shikkan391_start_date</v>
      </c>
      <c r="V409" s="25" t="str">
        <f t="shared" si="41"/>
        <v>, max(shikkan391_start_date)</v>
      </c>
      <c r="AA409" s="4"/>
      <c r="AB409" s="4"/>
      <c r="AC409" s="4"/>
      <c r="AD409" s="4"/>
      <c r="AE409" s="4"/>
      <c r="AF409" s="4"/>
      <c r="AG409" s="4"/>
      <c r="AH409" s="4"/>
      <c r="AI409" s="4"/>
      <c r="AJ409" s="76" t="str">
        <f>IF(E409="○",IF(COUNTA(E$13:E409)=1,"",",")&amp;D409,"")</f>
        <v/>
      </c>
      <c r="AK409" s="4"/>
      <c r="AL409" s="4"/>
      <c r="AM409" s="4"/>
      <c r="AN409" s="4"/>
      <c r="AO409" s="4"/>
      <c r="AP409" s="4"/>
      <c r="AQ409" s="4"/>
      <c r="AR409" s="4"/>
      <c r="AS409" s="76" t="str">
        <f>"COMMENT ON COLUMN "&amp;エンティティ一覧!$O$2&amp;"."&amp;D$8&amp;"."&amp;D409&amp;" IS '"&amp;C409&amp;"';"</f>
        <v>COMMENT ON COLUMN milscm_2023_009.sny_202310_annony_bef2.shikkan391_start_date IS 'C810_疾患開始日';</v>
      </c>
    </row>
    <row r="410" spans="1:45" s="25" customFormat="1">
      <c r="A410" s="4" t="s">
        <v>5534</v>
      </c>
      <c r="B410" s="21">
        <f t="shared" si="53"/>
        <v>398</v>
      </c>
      <c r="C410" s="13" t="s">
        <v>6924</v>
      </c>
      <c r="D410" s="13" t="s">
        <v>6052</v>
      </c>
      <c r="E410" s="8"/>
      <c r="F410" s="7" t="s">
        <v>4348</v>
      </c>
      <c r="G410" s="7" t="s">
        <v>25</v>
      </c>
      <c r="H410" s="58"/>
      <c r="I410" s="23"/>
      <c r="J410" s="24"/>
      <c r="M410" s="4"/>
      <c r="N410" s="76"/>
      <c r="O410" s="76"/>
      <c r="P410" s="76" t="str">
        <f t="shared" si="48"/>
        <v>,shikkan392_start_date</v>
      </c>
      <c r="Q410" s="76" t="str">
        <f t="shared" si="49"/>
        <v>DATE</v>
      </c>
      <c r="R410" s="76" t="str">
        <f t="shared" si="50"/>
        <v/>
      </c>
      <c r="S410" s="76" t="str">
        <f t="shared" si="51"/>
        <v/>
      </c>
      <c r="T410" s="76" t="str">
        <f t="shared" si="52"/>
        <v>-- C811_疾患開始日</v>
      </c>
      <c r="U410" s="4" t="str">
        <f t="shared" si="40"/>
        <v>, CASE WHEN shikkan_disp_name = 'C811' THEN min_shikkan_start_date ::DATE ELSE NULL END AS shikkan392_start_date</v>
      </c>
      <c r="V410" s="25" t="str">
        <f t="shared" si="41"/>
        <v>, max(shikkan392_start_date)</v>
      </c>
      <c r="AA410" s="4"/>
      <c r="AB410" s="4"/>
      <c r="AC410" s="4"/>
      <c r="AD410" s="4"/>
      <c r="AE410" s="4"/>
      <c r="AF410" s="4"/>
      <c r="AG410" s="4"/>
      <c r="AH410" s="4"/>
      <c r="AI410" s="4"/>
      <c r="AJ410" s="76" t="str">
        <f>IF(E410="○",IF(COUNTA(E$13:E410)=1,"",",")&amp;D410,"")</f>
        <v/>
      </c>
      <c r="AK410" s="4"/>
      <c r="AL410" s="4"/>
      <c r="AM410" s="4"/>
      <c r="AN410" s="4"/>
      <c r="AO410" s="4"/>
      <c r="AP410" s="4"/>
      <c r="AQ410" s="4"/>
      <c r="AR410" s="4"/>
      <c r="AS410" s="76" t="str">
        <f>"COMMENT ON COLUMN "&amp;エンティティ一覧!$O$2&amp;"."&amp;D$8&amp;"."&amp;D410&amp;" IS '"&amp;C410&amp;"';"</f>
        <v>COMMENT ON COLUMN milscm_2023_009.sny_202310_annony_bef2.shikkan392_start_date IS 'C811_疾患開始日';</v>
      </c>
    </row>
    <row r="411" spans="1:45" s="25" customFormat="1">
      <c r="A411" s="4" t="s">
        <v>5535</v>
      </c>
      <c r="B411" s="21">
        <f t="shared" si="53"/>
        <v>399</v>
      </c>
      <c r="C411" s="13" t="s">
        <v>6925</v>
      </c>
      <c r="D411" s="13" t="s">
        <v>6053</v>
      </c>
      <c r="E411" s="8"/>
      <c r="F411" s="7" t="s">
        <v>4348</v>
      </c>
      <c r="G411" s="7" t="s">
        <v>25</v>
      </c>
      <c r="H411" s="58"/>
      <c r="I411" s="23"/>
      <c r="J411" s="24"/>
      <c r="M411" s="4"/>
      <c r="N411" s="76"/>
      <c r="O411" s="76"/>
      <c r="P411" s="76" t="str">
        <f t="shared" si="48"/>
        <v>,shikkan393_start_date</v>
      </c>
      <c r="Q411" s="76" t="str">
        <f t="shared" si="49"/>
        <v>DATE</v>
      </c>
      <c r="R411" s="76" t="str">
        <f t="shared" si="50"/>
        <v/>
      </c>
      <c r="S411" s="76" t="str">
        <f t="shared" si="51"/>
        <v/>
      </c>
      <c r="T411" s="76" t="str">
        <f t="shared" si="52"/>
        <v>-- C812_疾患開始日</v>
      </c>
      <c r="U411" s="4" t="str">
        <f t="shared" si="40"/>
        <v>, CASE WHEN shikkan_disp_name = 'C812' THEN min_shikkan_start_date ::DATE ELSE NULL END AS shikkan393_start_date</v>
      </c>
      <c r="V411" s="25" t="str">
        <f t="shared" si="41"/>
        <v>, max(shikkan393_start_date)</v>
      </c>
      <c r="AA411" s="4"/>
      <c r="AB411" s="4"/>
      <c r="AC411" s="4"/>
      <c r="AD411" s="4"/>
      <c r="AE411" s="4"/>
      <c r="AF411" s="4"/>
      <c r="AG411" s="4"/>
      <c r="AH411" s="4"/>
      <c r="AI411" s="4"/>
      <c r="AJ411" s="76" t="str">
        <f>IF(E411="○",IF(COUNTA(E$13:E411)=1,"",",")&amp;D411,"")</f>
        <v/>
      </c>
      <c r="AK411" s="4"/>
      <c r="AL411" s="4"/>
      <c r="AM411" s="4"/>
      <c r="AN411" s="4"/>
      <c r="AO411" s="4"/>
      <c r="AP411" s="4"/>
      <c r="AQ411" s="4"/>
      <c r="AR411" s="4"/>
      <c r="AS411" s="76" t="str">
        <f>"COMMENT ON COLUMN "&amp;エンティティ一覧!$O$2&amp;"."&amp;D$8&amp;"."&amp;D411&amp;" IS '"&amp;C411&amp;"';"</f>
        <v>COMMENT ON COLUMN milscm_2023_009.sny_202310_annony_bef2.shikkan393_start_date IS 'C812_疾患開始日';</v>
      </c>
    </row>
    <row r="412" spans="1:45" s="25" customFormat="1">
      <c r="A412" s="4" t="s">
        <v>5536</v>
      </c>
      <c r="B412" s="21">
        <f t="shared" si="53"/>
        <v>400</v>
      </c>
      <c r="C412" s="13" t="s">
        <v>6926</v>
      </c>
      <c r="D412" s="13" t="s">
        <v>6054</v>
      </c>
      <c r="E412" s="8"/>
      <c r="F412" s="7" t="s">
        <v>4348</v>
      </c>
      <c r="G412" s="7" t="s">
        <v>25</v>
      </c>
      <c r="H412" s="58"/>
      <c r="I412" s="23"/>
      <c r="J412" s="24"/>
      <c r="M412" s="4"/>
      <c r="N412" s="76"/>
      <c r="O412" s="76"/>
      <c r="P412" s="76" t="str">
        <f t="shared" si="48"/>
        <v>,shikkan394_start_date</v>
      </c>
      <c r="Q412" s="76" t="str">
        <f t="shared" si="49"/>
        <v>DATE</v>
      </c>
      <c r="R412" s="76" t="str">
        <f t="shared" si="50"/>
        <v/>
      </c>
      <c r="S412" s="76" t="str">
        <f t="shared" si="51"/>
        <v/>
      </c>
      <c r="T412" s="76" t="str">
        <f t="shared" si="52"/>
        <v>-- C813_疾患開始日</v>
      </c>
      <c r="U412" s="4" t="str">
        <f t="shared" si="40"/>
        <v>, CASE WHEN shikkan_disp_name = 'C813' THEN min_shikkan_start_date ::DATE ELSE NULL END AS shikkan394_start_date</v>
      </c>
      <c r="V412" s="25" t="str">
        <f t="shared" si="41"/>
        <v>, max(shikkan394_start_date)</v>
      </c>
      <c r="AA412" s="4"/>
      <c r="AB412" s="4"/>
      <c r="AC412" s="4"/>
      <c r="AD412" s="4"/>
      <c r="AE412" s="4"/>
      <c r="AF412" s="4"/>
      <c r="AG412" s="4"/>
      <c r="AH412" s="4"/>
      <c r="AI412" s="4"/>
      <c r="AJ412" s="76" t="str">
        <f>IF(E412="○",IF(COUNTA(E$13:E412)=1,"",",")&amp;D412,"")</f>
        <v/>
      </c>
      <c r="AK412" s="4"/>
      <c r="AL412" s="4"/>
      <c r="AM412" s="4"/>
      <c r="AN412" s="4"/>
      <c r="AO412" s="4"/>
      <c r="AP412" s="4"/>
      <c r="AQ412" s="4"/>
      <c r="AR412" s="4"/>
      <c r="AS412" s="76" t="str">
        <f>"COMMENT ON COLUMN "&amp;エンティティ一覧!$O$2&amp;"."&amp;D$8&amp;"."&amp;D412&amp;" IS '"&amp;C412&amp;"';"</f>
        <v>COMMENT ON COLUMN milscm_2023_009.sny_202310_annony_bef2.shikkan394_start_date IS 'C813_疾患開始日';</v>
      </c>
    </row>
    <row r="413" spans="1:45" s="25" customFormat="1">
      <c r="A413" s="4" t="s">
        <v>5537</v>
      </c>
      <c r="B413" s="21">
        <f t="shared" si="53"/>
        <v>401</v>
      </c>
      <c r="C413" s="13" t="s">
        <v>6927</v>
      </c>
      <c r="D413" s="13" t="s">
        <v>6055</v>
      </c>
      <c r="E413" s="8"/>
      <c r="F413" s="7" t="s">
        <v>4348</v>
      </c>
      <c r="G413" s="7" t="s">
        <v>25</v>
      </c>
      <c r="H413" s="58"/>
      <c r="I413" s="23"/>
      <c r="J413" s="24"/>
      <c r="M413" s="4"/>
      <c r="N413" s="76"/>
      <c r="O413" s="76"/>
      <c r="P413" s="76" t="str">
        <f t="shared" si="48"/>
        <v>,shikkan395_start_date</v>
      </c>
      <c r="Q413" s="76" t="str">
        <f t="shared" si="49"/>
        <v>DATE</v>
      </c>
      <c r="R413" s="76" t="str">
        <f t="shared" si="50"/>
        <v/>
      </c>
      <c r="S413" s="76" t="str">
        <f t="shared" si="51"/>
        <v/>
      </c>
      <c r="T413" s="76" t="str">
        <f t="shared" si="52"/>
        <v>-- C814_疾患開始日</v>
      </c>
      <c r="U413" s="4" t="str">
        <f t="shared" si="40"/>
        <v>, CASE WHEN shikkan_disp_name = 'C814' THEN min_shikkan_start_date ::DATE ELSE NULL END AS shikkan395_start_date</v>
      </c>
      <c r="V413" s="25" t="str">
        <f t="shared" si="41"/>
        <v>, max(shikkan395_start_date)</v>
      </c>
      <c r="AA413" s="4"/>
      <c r="AB413" s="4"/>
      <c r="AC413" s="4"/>
      <c r="AD413" s="4"/>
      <c r="AE413" s="4"/>
      <c r="AF413" s="4"/>
      <c r="AG413" s="4"/>
      <c r="AH413" s="4"/>
      <c r="AI413" s="4"/>
      <c r="AJ413" s="76" t="str">
        <f>IF(E413="○",IF(COUNTA(E$13:E413)=1,"",",")&amp;D413,"")</f>
        <v/>
      </c>
      <c r="AK413" s="4"/>
      <c r="AL413" s="4"/>
      <c r="AM413" s="4"/>
      <c r="AN413" s="4"/>
      <c r="AO413" s="4"/>
      <c r="AP413" s="4"/>
      <c r="AQ413" s="4"/>
      <c r="AR413" s="4"/>
      <c r="AS413" s="76" t="str">
        <f>"COMMENT ON COLUMN "&amp;エンティティ一覧!$O$2&amp;"."&amp;D$8&amp;"."&amp;D413&amp;" IS '"&amp;C413&amp;"';"</f>
        <v>COMMENT ON COLUMN milscm_2023_009.sny_202310_annony_bef2.shikkan395_start_date IS 'C814_疾患開始日';</v>
      </c>
    </row>
    <row r="414" spans="1:45" s="25" customFormat="1">
      <c r="A414" s="4" t="s">
        <v>5538</v>
      </c>
      <c r="B414" s="21">
        <f t="shared" si="53"/>
        <v>402</v>
      </c>
      <c r="C414" s="13" t="s">
        <v>6928</v>
      </c>
      <c r="D414" s="13" t="s">
        <v>6056</v>
      </c>
      <c r="E414" s="8"/>
      <c r="F414" s="7" t="s">
        <v>4348</v>
      </c>
      <c r="G414" s="7" t="s">
        <v>25</v>
      </c>
      <c r="H414" s="58"/>
      <c r="I414" s="23"/>
      <c r="J414" s="24"/>
      <c r="M414" s="4"/>
      <c r="N414" s="76"/>
      <c r="O414" s="76"/>
      <c r="P414" s="76" t="str">
        <f t="shared" si="48"/>
        <v>,shikkan396_start_date</v>
      </c>
      <c r="Q414" s="76" t="str">
        <f t="shared" si="49"/>
        <v>DATE</v>
      </c>
      <c r="R414" s="76" t="str">
        <f t="shared" si="50"/>
        <v/>
      </c>
      <c r="S414" s="76" t="str">
        <f t="shared" si="51"/>
        <v/>
      </c>
      <c r="T414" s="76" t="str">
        <f t="shared" si="52"/>
        <v>-- C817_疾患開始日</v>
      </c>
      <c r="U414" s="4" t="str">
        <f t="shared" si="40"/>
        <v>, CASE WHEN shikkan_disp_name = 'C817' THEN min_shikkan_start_date ::DATE ELSE NULL END AS shikkan396_start_date</v>
      </c>
      <c r="V414" s="25" t="str">
        <f t="shared" si="41"/>
        <v>, max(shikkan396_start_date)</v>
      </c>
      <c r="AA414" s="4"/>
      <c r="AB414" s="4"/>
      <c r="AC414" s="4"/>
      <c r="AD414" s="4"/>
      <c r="AE414" s="4"/>
      <c r="AF414" s="4"/>
      <c r="AG414" s="4"/>
      <c r="AH414" s="4"/>
      <c r="AI414" s="4"/>
      <c r="AJ414" s="76" t="str">
        <f>IF(E414="○",IF(COUNTA(E$13:E414)=1,"",",")&amp;D414,"")</f>
        <v/>
      </c>
      <c r="AK414" s="4"/>
      <c r="AL414" s="4"/>
      <c r="AM414" s="4"/>
      <c r="AN414" s="4"/>
      <c r="AO414" s="4"/>
      <c r="AP414" s="4"/>
      <c r="AQ414" s="4"/>
      <c r="AR414" s="4"/>
      <c r="AS414" s="76" t="str">
        <f>"COMMENT ON COLUMN "&amp;エンティティ一覧!$O$2&amp;"."&amp;D$8&amp;"."&amp;D414&amp;" IS '"&amp;C414&amp;"';"</f>
        <v>COMMENT ON COLUMN milscm_2023_009.sny_202310_annony_bef2.shikkan396_start_date IS 'C817_疾患開始日';</v>
      </c>
    </row>
    <row r="415" spans="1:45" s="25" customFormat="1">
      <c r="A415" s="4" t="s">
        <v>5539</v>
      </c>
      <c r="B415" s="21">
        <f t="shared" si="53"/>
        <v>403</v>
      </c>
      <c r="C415" s="13" t="s">
        <v>6929</v>
      </c>
      <c r="D415" s="13" t="s">
        <v>6057</v>
      </c>
      <c r="E415" s="8"/>
      <c r="F415" s="7" t="s">
        <v>4348</v>
      </c>
      <c r="G415" s="7" t="s">
        <v>25</v>
      </c>
      <c r="H415" s="58"/>
      <c r="I415" s="23"/>
      <c r="J415" s="24"/>
      <c r="M415" s="4"/>
      <c r="N415" s="76"/>
      <c r="O415" s="76"/>
      <c r="P415" s="76" t="str">
        <f t="shared" si="48"/>
        <v>,shikkan397_start_date</v>
      </c>
      <c r="Q415" s="76" t="str">
        <f t="shared" si="49"/>
        <v>DATE</v>
      </c>
      <c r="R415" s="76" t="str">
        <f t="shared" si="50"/>
        <v/>
      </c>
      <c r="S415" s="76" t="str">
        <f t="shared" si="51"/>
        <v/>
      </c>
      <c r="T415" s="76" t="str">
        <f t="shared" si="52"/>
        <v>-- C819_疾患開始日</v>
      </c>
      <c r="U415" s="4" t="str">
        <f t="shared" si="40"/>
        <v>, CASE WHEN shikkan_disp_name = 'C819' THEN min_shikkan_start_date ::DATE ELSE NULL END AS shikkan397_start_date</v>
      </c>
      <c r="V415" s="25" t="str">
        <f t="shared" si="41"/>
        <v>, max(shikkan397_start_date)</v>
      </c>
      <c r="AA415" s="4"/>
      <c r="AB415" s="4"/>
      <c r="AC415" s="4"/>
      <c r="AD415" s="4"/>
      <c r="AE415" s="4"/>
      <c r="AF415" s="4"/>
      <c r="AG415" s="4"/>
      <c r="AH415" s="4"/>
      <c r="AI415" s="4"/>
      <c r="AJ415" s="76" t="str">
        <f>IF(E415="○",IF(COUNTA(E$13:E415)=1,"",",")&amp;D415,"")</f>
        <v/>
      </c>
      <c r="AK415" s="4"/>
      <c r="AL415" s="4"/>
      <c r="AM415" s="4"/>
      <c r="AN415" s="4"/>
      <c r="AO415" s="4"/>
      <c r="AP415" s="4"/>
      <c r="AQ415" s="4"/>
      <c r="AR415" s="4"/>
      <c r="AS415" s="76" t="str">
        <f>"COMMENT ON COLUMN "&amp;エンティティ一覧!$O$2&amp;"."&amp;D$8&amp;"."&amp;D415&amp;" IS '"&amp;C415&amp;"';"</f>
        <v>COMMENT ON COLUMN milscm_2023_009.sny_202310_annony_bef2.shikkan397_start_date IS 'C819_疾患開始日';</v>
      </c>
    </row>
    <row r="416" spans="1:45" s="25" customFormat="1">
      <c r="A416" s="4" t="s">
        <v>5540</v>
      </c>
      <c r="B416" s="21">
        <f t="shared" si="53"/>
        <v>404</v>
      </c>
      <c r="C416" s="13" t="s">
        <v>6930</v>
      </c>
      <c r="D416" s="13" t="s">
        <v>6058</v>
      </c>
      <c r="E416" s="8"/>
      <c r="F416" s="7" t="s">
        <v>4348</v>
      </c>
      <c r="G416" s="7" t="s">
        <v>25</v>
      </c>
      <c r="H416" s="58"/>
      <c r="I416" s="23"/>
      <c r="J416" s="24"/>
      <c r="M416" s="4"/>
      <c r="N416" s="76"/>
      <c r="O416" s="76"/>
      <c r="P416" s="76" t="str">
        <f t="shared" si="48"/>
        <v>,shikkan398_start_date</v>
      </c>
      <c r="Q416" s="76" t="str">
        <f t="shared" si="49"/>
        <v>DATE</v>
      </c>
      <c r="R416" s="76" t="str">
        <f t="shared" si="50"/>
        <v/>
      </c>
      <c r="S416" s="76" t="str">
        <f t="shared" si="51"/>
        <v/>
      </c>
      <c r="T416" s="76" t="str">
        <f t="shared" si="52"/>
        <v>-- C820_疾患開始日</v>
      </c>
      <c r="U416" s="4" t="str">
        <f t="shared" si="40"/>
        <v>, CASE WHEN shikkan_disp_name = 'C820' THEN min_shikkan_start_date ::DATE ELSE NULL END AS shikkan398_start_date</v>
      </c>
      <c r="V416" s="25" t="str">
        <f t="shared" si="41"/>
        <v>, max(shikkan398_start_date)</v>
      </c>
      <c r="AA416" s="4"/>
      <c r="AB416" s="4"/>
      <c r="AC416" s="4"/>
      <c r="AD416" s="4"/>
      <c r="AE416" s="4"/>
      <c r="AF416" s="4"/>
      <c r="AG416" s="4"/>
      <c r="AH416" s="4"/>
      <c r="AI416" s="4"/>
      <c r="AJ416" s="76" t="str">
        <f>IF(E416="○",IF(COUNTA(E$13:E416)=1,"",",")&amp;D416,"")</f>
        <v/>
      </c>
      <c r="AK416" s="4"/>
      <c r="AL416" s="4"/>
      <c r="AM416" s="4"/>
      <c r="AN416" s="4"/>
      <c r="AO416" s="4"/>
      <c r="AP416" s="4"/>
      <c r="AQ416" s="4"/>
      <c r="AR416" s="4"/>
      <c r="AS416" s="76" t="str">
        <f>"COMMENT ON COLUMN "&amp;エンティティ一覧!$O$2&amp;"."&amp;D$8&amp;"."&amp;D416&amp;" IS '"&amp;C416&amp;"';"</f>
        <v>COMMENT ON COLUMN milscm_2023_009.sny_202310_annony_bef2.shikkan398_start_date IS 'C820_疾患開始日';</v>
      </c>
    </row>
    <row r="417" spans="1:45" s="25" customFormat="1">
      <c r="A417" s="4" t="s">
        <v>5541</v>
      </c>
      <c r="B417" s="21">
        <f t="shared" si="53"/>
        <v>405</v>
      </c>
      <c r="C417" s="13" t="s">
        <v>6931</v>
      </c>
      <c r="D417" s="13" t="s">
        <v>6059</v>
      </c>
      <c r="E417" s="8"/>
      <c r="F417" s="7" t="s">
        <v>4348</v>
      </c>
      <c r="G417" s="7" t="s">
        <v>25</v>
      </c>
      <c r="H417" s="58"/>
      <c r="I417" s="23"/>
      <c r="J417" s="24"/>
      <c r="M417" s="4"/>
      <c r="N417" s="76"/>
      <c r="O417" s="76"/>
      <c r="P417" s="76" t="str">
        <f t="shared" si="48"/>
        <v>,shikkan399_start_date</v>
      </c>
      <c r="Q417" s="76" t="str">
        <f t="shared" si="49"/>
        <v>DATE</v>
      </c>
      <c r="R417" s="76" t="str">
        <f t="shared" si="50"/>
        <v/>
      </c>
      <c r="S417" s="76" t="str">
        <f t="shared" si="51"/>
        <v/>
      </c>
      <c r="T417" s="76" t="str">
        <f t="shared" si="52"/>
        <v>-- C821_疾患開始日</v>
      </c>
      <c r="U417" s="4" t="str">
        <f t="shared" si="40"/>
        <v>, CASE WHEN shikkan_disp_name = 'C821' THEN min_shikkan_start_date ::DATE ELSE NULL END AS shikkan399_start_date</v>
      </c>
      <c r="V417" s="25" t="str">
        <f t="shared" si="41"/>
        <v>, max(shikkan399_start_date)</v>
      </c>
      <c r="AA417" s="4"/>
      <c r="AB417" s="4"/>
      <c r="AC417" s="4"/>
      <c r="AD417" s="4"/>
      <c r="AE417" s="4"/>
      <c r="AF417" s="4"/>
      <c r="AG417" s="4"/>
      <c r="AH417" s="4"/>
      <c r="AI417" s="4"/>
      <c r="AJ417" s="76" t="str">
        <f>IF(E417="○",IF(COUNTA(E$13:E417)=1,"",",")&amp;D417,"")</f>
        <v/>
      </c>
      <c r="AK417" s="4"/>
      <c r="AL417" s="4"/>
      <c r="AM417" s="4"/>
      <c r="AN417" s="4"/>
      <c r="AO417" s="4"/>
      <c r="AP417" s="4"/>
      <c r="AQ417" s="4"/>
      <c r="AR417" s="4"/>
      <c r="AS417" s="76" t="str">
        <f>"COMMENT ON COLUMN "&amp;エンティティ一覧!$O$2&amp;"."&amp;D$8&amp;"."&amp;D417&amp;" IS '"&amp;C417&amp;"';"</f>
        <v>COMMENT ON COLUMN milscm_2023_009.sny_202310_annony_bef2.shikkan399_start_date IS 'C821_疾患開始日';</v>
      </c>
    </row>
    <row r="418" spans="1:45" s="25" customFormat="1">
      <c r="A418" s="4" t="s">
        <v>5542</v>
      </c>
      <c r="B418" s="21">
        <f t="shared" si="53"/>
        <v>406</v>
      </c>
      <c r="C418" s="13" t="s">
        <v>6932</v>
      </c>
      <c r="D418" s="13" t="s">
        <v>6060</v>
      </c>
      <c r="E418" s="8"/>
      <c r="F418" s="7" t="s">
        <v>4348</v>
      </c>
      <c r="G418" s="7" t="s">
        <v>99</v>
      </c>
      <c r="H418" s="58"/>
      <c r="I418" s="23"/>
      <c r="J418" s="24"/>
      <c r="M418" s="4"/>
      <c r="N418" s="76"/>
      <c r="O418" s="76"/>
      <c r="P418" s="76" t="str">
        <f t="shared" si="48"/>
        <v>,shikkan400_start_date</v>
      </c>
      <c r="Q418" s="76" t="str">
        <f t="shared" si="49"/>
        <v>DATE</v>
      </c>
      <c r="R418" s="76" t="str">
        <f t="shared" si="50"/>
        <v/>
      </c>
      <c r="S418" s="76" t="str">
        <f t="shared" si="51"/>
        <v/>
      </c>
      <c r="T418" s="76" t="str">
        <f t="shared" si="52"/>
        <v>-- C822_疾患開始日</v>
      </c>
      <c r="U418" s="4" t="str">
        <f t="shared" si="40"/>
        <v>, CASE WHEN shikkan_disp_name = 'C822' THEN min_shikkan_start_date ::DATE ELSE NULL END AS shikkan400_start_date</v>
      </c>
      <c r="V418" s="25" t="str">
        <f t="shared" si="41"/>
        <v>, max(shikkan400_start_date)</v>
      </c>
      <c r="AA418" s="4"/>
      <c r="AB418" s="4"/>
      <c r="AC418" s="4"/>
      <c r="AD418" s="4"/>
      <c r="AE418" s="4"/>
      <c r="AF418" s="4"/>
      <c r="AG418" s="4"/>
      <c r="AH418" s="4"/>
      <c r="AI418" s="4"/>
      <c r="AJ418" s="76" t="str">
        <f>IF(E418="○",IF(COUNTA(E$13:E418)=1,"",",")&amp;D418,"")</f>
        <v/>
      </c>
      <c r="AK418" s="4"/>
      <c r="AL418" s="4"/>
      <c r="AM418" s="4"/>
      <c r="AN418" s="4"/>
      <c r="AO418" s="4"/>
      <c r="AP418" s="4"/>
      <c r="AQ418" s="4"/>
      <c r="AR418" s="4"/>
      <c r="AS418" s="76" t="str">
        <f>"COMMENT ON COLUMN "&amp;エンティティ一覧!$O$2&amp;"."&amp;D$8&amp;"."&amp;D418&amp;" IS '"&amp;C418&amp;"';"</f>
        <v>COMMENT ON COLUMN milscm_2023_009.sny_202310_annony_bef2.shikkan400_start_date IS 'C822_疾患開始日';</v>
      </c>
    </row>
    <row r="419" spans="1:45" s="25" customFormat="1">
      <c r="A419" s="4" t="s">
        <v>5543</v>
      </c>
      <c r="B419" s="21">
        <f t="shared" si="53"/>
        <v>407</v>
      </c>
      <c r="C419" s="13" t="s">
        <v>6933</v>
      </c>
      <c r="D419" s="13" t="s">
        <v>6061</v>
      </c>
      <c r="E419" s="8"/>
      <c r="F419" s="7" t="s">
        <v>4348</v>
      </c>
      <c r="G419" s="7" t="s">
        <v>25</v>
      </c>
      <c r="H419" s="58"/>
      <c r="I419" s="23"/>
      <c r="J419" s="24"/>
      <c r="M419" s="4"/>
      <c r="N419" s="76"/>
      <c r="O419" s="76"/>
      <c r="P419" s="76" t="str">
        <f t="shared" si="48"/>
        <v>,shikkan401_start_date</v>
      </c>
      <c r="Q419" s="76" t="str">
        <f t="shared" si="49"/>
        <v>DATE</v>
      </c>
      <c r="R419" s="76" t="str">
        <f t="shared" si="50"/>
        <v/>
      </c>
      <c r="S419" s="76" t="str">
        <f t="shared" si="51"/>
        <v/>
      </c>
      <c r="T419" s="76" t="str">
        <f t="shared" si="52"/>
        <v>-- C823_疾患開始日</v>
      </c>
      <c r="U419" s="4" t="str">
        <f t="shared" si="40"/>
        <v>, CASE WHEN shikkan_disp_name = 'C823' THEN min_shikkan_start_date ::DATE ELSE NULL END AS shikkan401_start_date</v>
      </c>
      <c r="V419" s="25" t="str">
        <f t="shared" si="41"/>
        <v>, max(shikkan401_start_date)</v>
      </c>
      <c r="AA419" s="4"/>
      <c r="AB419" s="4"/>
      <c r="AC419" s="4"/>
      <c r="AD419" s="4"/>
      <c r="AE419" s="4"/>
      <c r="AF419" s="4"/>
      <c r="AG419" s="4"/>
      <c r="AH419" s="4"/>
      <c r="AI419" s="4"/>
      <c r="AJ419" s="76" t="str">
        <f>IF(E419="○",IF(COUNTA(E$13:E419)=1,"",",")&amp;D419,"")</f>
        <v/>
      </c>
      <c r="AK419" s="4"/>
      <c r="AL419" s="4"/>
      <c r="AM419" s="4"/>
      <c r="AN419" s="4"/>
      <c r="AO419" s="4"/>
      <c r="AP419" s="4"/>
      <c r="AQ419" s="4"/>
      <c r="AR419" s="4"/>
      <c r="AS419" s="76" t="str">
        <f>"COMMENT ON COLUMN "&amp;エンティティ一覧!$O$2&amp;"."&amp;D$8&amp;"."&amp;D419&amp;" IS '"&amp;C419&amp;"';"</f>
        <v>COMMENT ON COLUMN milscm_2023_009.sny_202310_annony_bef2.shikkan401_start_date IS 'C823_疾患開始日';</v>
      </c>
    </row>
    <row r="420" spans="1:45" s="25" customFormat="1">
      <c r="A420" s="4" t="s">
        <v>5544</v>
      </c>
      <c r="B420" s="21">
        <f t="shared" si="53"/>
        <v>408</v>
      </c>
      <c r="C420" s="13" t="s">
        <v>6934</v>
      </c>
      <c r="D420" s="13" t="s">
        <v>6062</v>
      </c>
      <c r="E420" s="8"/>
      <c r="F420" s="7" t="s">
        <v>4348</v>
      </c>
      <c r="G420" s="7" t="s">
        <v>25</v>
      </c>
      <c r="H420" s="58"/>
      <c r="I420" s="23"/>
      <c r="J420" s="24"/>
      <c r="M420" s="4"/>
      <c r="N420" s="76"/>
      <c r="O420" s="76"/>
      <c r="P420" s="76" t="str">
        <f t="shared" ref="P420:P483" si="54">IF(B420&lt;&gt;1,","&amp;D420,D420)</f>
        <v>,shikkan402_start_date</v>
      </c>
      <c r="Q420" s="76" t="str">
        <f t="shared" ref="Q420:Q483" si="55">UPPER(G420)</f>
        <v>DATE</v>
      </c>
      <c r="R420" s="76" t="str">
        <f t="shared" ref="R420:R483" si="56">IF(H420&lt;&gt;"","default "&amp;IF(G420="text","'"&amp;H420&amp;"'",H420),"")</f>
        <v/>
      </c>
      <c r="S420" s="76" t="str">
        <f t="shared" ref="S420:S483" si="57">IF(I420="○","NOT NULL","")</f>
        <v/>
      </c>
      <c r="T420" s="76" t="str">
        <f t="shared" ref="T420:T483" si="58">"-- "&amp;C420</f>
        <v>-- C824_疾患開始日</v>
      </c>
      <c r="U420" s="4" t="str">
        <f t="shared" si="40"/>
        <v>, CASE WHEN shikkan_disp_name = 'C824' THEN min_shikkan_start_date ::DATE ELSE NULL END AS shikkan402_start_date</v>
      </c>
      <c r="V420" s="25" t="str">
        <f t="shared" si="41"/>
        <v>, max(shikkan402_start_date)</v>
      </c>
      <c r="AA420" s="4"/>
      <c r="AB420" s="4"/>
      <c r="AC420" s="4"/>
      <c r="AD420" s="4"/>
      <c r="AE420" s="4"/>
      <c r="AF420" s="4"/>
      <c r="AG420" s="4"/>
      <c r="AH420" s="4"/>
      <c r="AI420" s="4"/>
      <c r="AJ420" s="76" t="str">
        <f>IF(E420="○",IF(COUNTA(E$13:E420)=1,"",",")&amp;D420,"")</f>
        <v/>
      </c>
      <c r="AK420" s="4"/>
      <c r="AL420" s="4"/>
      <c r="AM420" s="4"/>
      <c r="AN420" s="4"/>
      <c r="AO420" s="4"/>
      <c r="AP420" s="4"/>
      <c r="AQ420" s="4"/>
      <c r="AR420" s="4"/>
      <c r="AS420" s="76" t="str">
        <f>"COMMENT ON COLUMN "&amp;エンティティ一覧!$O$2&amp;"."&amp;D$8&amp;"."&amp;D420&amp;" IS '"&amp;C420&amp;"';"</f>
        <v>COMMENT ON COLUMN milscm_2023_009.sny_202310_annony_bef2.shikkan402_start_date IS 'C824_疾患開始日';</v>
      </c>
    </row>
    <row r="421" spans="1:45" s="25" customFormat="1">
      <c r="A421" s="4" t="s">
        <v>5545</v>
      </c>
      <c r="B421" s="21">
        <f t="shared" si="53"/>
        <v>409</v>
      </c>
      <c r="C421" s="13" t="s">
        <v>6935</v>
      </c>
      <c r="D421" s="13" t="s">
        <v>6063</v>
      </c>
      <c r="E421" s="8"/>
      <c r="F421" s="7" t="s">
        <v>4348</v>
      </c>
      <c r="G421" s="7" t="s">
        <v>25</v>
      </c>
      <c r="H421" s="58"/>
      <c r="I421" s="23"/>
      <c r="J421" s="24"/>
      <c r="M421" s="4"/>
      <c r="N421" s="76"/>
      <c r="O421" s="76"/>
      <c r="P421" s="76" t="str">
        <f t="shared" si="54"/>
        <v>,shikkan403_start_date</v>
      </c>
      <c r="Q421" s="76" t="str">
        <f t="shared" si="55"/>
        <v>DATE</v>
      </c>
      <c r="R421" s="76" t="str">
        <f t="shared" si="56"/>
        <v/>
      </c>
      <c r="S421" s="76" t="str">
        <f t="shared" si="57"/>
        <v/>
      </c>
      <c r="T421" s="76" t="str">
        <f t="shared" si="58"/>
        <v>-- C825_疾患開始日</v>
      </c>
      <c r="U421" s="4" t="str">
        <f t="shared" si="40"/>
        <v>, CASE WHEN shikkan_disp_name = 'C825' THEN min_shikkan_start_date ::DATE ELSE NULL END AS shikkan403_start_date</v>
      </c>
      <c r="V421" s="25" t="str">
        <f t="shared" si="41"/>
        <v>, max(shikkan403_start_date)</v>
      </c>
      <c r="AA421" s="4"/>
      <c r="AB421" s="4"/>
      <c r="AC421" s="4"/>
      <c r="AD421" s="4"/>
      <c r="AE421" s="4"/>
      <c r="AF421" s="4"/>
      <c r="AG421" s="4"/>
      <c r="AH421" s="4"/>
      <c r="AI421" s="4"/>
      <c r="AJ421" s="76" t="str">
        <f>IF(E421="○",IF(COUNTA(E$13:E421)=1,"",",")&amp;D421,"")</f>
        <v/>
      </c>
      <c r="AK421" s="4"/>
      <c r="AL421" s="4"/>
      <c r="AM421" s="4"/>
      <c r="AN421" s="4"/>
      <c r="AO421" s="4"/>
      <c r="AP421" s="4"/>
      <c r="AQ421" s="4"/>
      <c r="AR421" s="4"/>
      <c r="AS421" s="76" t="str">
        <f>"COMMENT ON COLUMN "&amp;エンティティ一覧!$O$2&amp;"."&amp;D$8&amp;"."&amp;D421&amp;" IS '"&amp;C421&amp;"';"</f>
        <v>COMMENT ON COLUMN milscm_2023_009.sny_202310_annony_bef2.shikkan403_start_date IS 'C825_疾患開始日';</v>
      </c>
    </row>
    <row r="422" spans="1:45" s="25" customFormat="1">
      <c r="A422" s="4" t="s">
        <v>5546</v>
      </c>
      <c r="B422" s="21">
        <f t="shared" si="53"/>
        <v>410</v>
      </c>
      <c r="C422" s="13" t="s">
        <v>6936</v>
      </c>
      <c r="D422" s="13" t="s">
        <v>6064</v>
      </c>
      <c r="E422" s="8"/>
      <c r="F422" s="7" t="s">
        <v>4348</v>
      </c>
      <c r="G422" s="7" t="s">
        <v>25</v>
      </c>
      <c r="H422" s="58"/>
      <c r="I422" s="23"/>
      <c r="J422" s="24"/>
      <c r="M422" s="4"/>
      <c r="N422" s="76"/>
      <c r="O422" s="76"/>
      <c r="P422" s="76" t="str">
        <f t="shared" si="54"/>
        <v>,shikkan404_start_date</v>
      </c>
      <c r="Q422" s="76" t="str">
        <f t="shared" si="55"/>
        <v>DATE</v>
      </c>
      <c r="R422" s="76" t="str">
        <f t="shared" si="56"/>
        <v/>
      </c>
      <c r="S422" s="76" t="str">
        <f t="shared" si="57"/>
        <v/>
      </c>
      <c r="T422" s="76" t="str">
        <f t="shared" si="58"/>
        <v>-- C826_疾患開始日</v>
      </c>
      <c r="U422" s="4" t="str">
        <f t="shared" si="40"/>
        <v>, CASE WHEN shikkan_disp_name = 'C826' THEN min_shikkan_start_date ::DATE ELSE NULL END AS shikkan404_start_date</v>
      </c>
      <c r="V422" s="25" t="str">
        <f t="shared" si="41"/>
        <v>, max(shikkan404_start_date)</v>
      </c>
      <c r="AA422" s="4"/>
      <c r="AB422" s="4"/>
      <c r="AC422" s="4"/>
      <c r="AD422" s="4"/>
      <c r="AE422" s="4"/>
      <c r="AF422" s="4"/>
      <c r="AG422" s="4"/>
      <c r="AH422" s="4"/>
      <c r="AI422" s="4"/>
      <c r="AJ422" s="76" t="str">
        <f>IF(E422="○",IF(COUNTA(E$13:E422)=1,"",",")&amp;D422,"")</f>
        <v/>
      </c>
      <c r="AK422" s="4"/>
      <c r="AL422" s="4"/>
      <c r="AM422" s="4"/>
      <c r="AN422" s="4"/>
      <c r="AO422" s="4"/>
      <c r="AP422" s="4"/>
      <c r="AQ422" s="4"/>
      <c r="AR422" s="4"/>
      <c r="AS422" s="76" t="str">
        <f>"COMMENT ON COLUMN "&amp;エンティティ一覧!$O$2&amp;"."&amp;D$8&amp;"."&amp;D422&amp;" IS '"&amp;C422&amp;"';"</f>
        <v>COMMENT ON COLUMN milscm_2023_009.sny_202310_annony_bef2.shikkan404_start_date IS 'C826_疾患開始日';</v>
      </c>
    </row>
    <row r="423" spans="1:45" s="25" customFormat="1">
      <c r="A423" s="4" t="s">
        <v>5547</v>
      </c>
      <c r="B423" s="21">
        <f t="shared" si="53"/>
        <v>411</v>
      </c>
      <c r="C423" s="13" t="s">
        <v>6937</v>
      </c>
      <c r="D423" s="13" t="s">
        <v>6065</v>
      </c>
      <c r="E423" s="8"/>
      <c r="F423" s="7" t="s">
        <v>4348</v>
      </c>
      <c r="G423" s="7" t="s">
        <v>25</v>
      </c>
      <c r="H423" s="58"/>
      <c r="I423" s="23"/>
      <c r="J423" s="24"/>
      <c r="M423" s="4"/>
      <c r="N423" s="76"/>
      <c r="O423" s="76"/>
      <c r="P423" s="76" t="str">
        <f t="shared" si="54"/>
        <v>,shikkan405_start_date</v>
      </c>
      <c r="Q423" s="76" t="str">
        <f t="shared" si="55"/>
        <v>DATE</v>
      </c>
      <c r="R423" s="76" t="str">
        <f t="shared" si="56"/>
        <v/>
      </c>
      <c r="S423" s="76" t="str">
        <f t="shared" si="57"/>
        <v/>
      </c>
      <c r="T423" s="76" t="str">
        <f t="shared" si="58"/>
        <v>-- C827_疾患開始日</v>
      </c>
      <c r="U423" s="4" t="str">
        <f t="shared" si="40"/>
        <v>, CASE WHEN shikkan_disp_name = 'C827' THEN min_shikkan_start_date ::DATE ELSE NULL END AS shikkan405_start_date</v>
      </c>
      <c r="V423" s="25" t="str">
        <f t="shared" si="41"/>
        <v>, max(shikkan405_start_date)</v>
      </c>
      <c r="AA423" s="4"/>
      <c r="AB423" s="4"/>
      <c r="AC423" s="4"/>
      <c r="AD423" s="4"/>
      <c r="AE423" s="4"/>
      <c r="AF423" s="4"/>
      <c r="AG423" s="4"/>
      <c r="AH423" s="4"/>
      <c r="AI423" s="4"/>
      <c r="AJ423" s="76" t="str">
        <f>IF(E423="○",IF(COUNTA(E$13:E423)=1,"",",")&amp;D423,"")</f>
        <v/>
      </c>
      <c r="AK423" s="4"/>
      <c r="AL423" s="4"/>
      <c r="AM423" s="4"/>
      <c r="AN423" s="4"/>
      <c r="AO423" s="4"/>
      <c r="AP423" s="4"/>
      <c r="AQ423" s="4"/>
      <c r="AR423" s="4"/>
      <c r="AS423" s="76" t="str">
        <f>"COMMENT ON COLUMN "&amp;エンティティ一覧!$O$2&amp;"."&amp;D$8&amp;"."&amp;D423&amp;" IS '"&amp;C423&amp;"';"</f>
        <v>COMMENT ON COLUMN milscm_2023_009.sny_202310_annony_bef2.shikkan405_start_date IS 'C827_疾患開始日';</v>
      </c>
    </row>
    <row r="424" spans="1:45" s="25" customFormat="1">
      <c r="A424" s="4" t="s">
        <v>5548</v>
      </c>
      <c r="B424" s="21">
        <f t="shared" si="53"/>
        <v>412</v>
      </c>
      <c r="C424" s="13" t="s">
        <v>6938</v>
      </c>
      <c r="D424" s="13" t="s">
        <v>6066</v>
      </c>
      <c r="E424" s="8"/>
      <c r="F424" s="7" t="s">
        <v>4348</v>
      </c>
      <c r="G424" s="7" t="s">
        <v>25</v>
      </c>
      <c r="H424" s="58"/>
      <c r="I424" s="23"/>
      <c r="J424" s="24"/>
      <c r="M424" s="4"/>
      <c r="N424" s="76"/>
      <c r="O424" s="76"/>
      <c r="P424" s="76" t="str">
        <f t="shared" si="54"/>
        <v>,shikkan406_start_date</v>
      </c>
      <c r="Q424" s="76" t="str">
        <f t="shared" si="55"/>
        <v>DATE</v>
      </c>
      <c r="R424" s="76" t="str">
        <f t="shared" si="56"/>
        <v/>
      </c>
      <c r="S424" s="76" t="str">
        <f t="shared" si="57"/>
        <v/>
      </c>
      <c r="T424" s="76" t="str">
        <f t="shared" si="58"/>
        <v>-- C829_疾患開始日</v>
      </c>
      <c r="U424" s="4" t="str">
        <f t="shared" si="40"/>
        <v>, CASE WHEN shikkan_disp_name = 'C829' THEN min_shikkan_start_date ::DATE ELSE NULL END AS shikkan406_start_date</v>
      </c>
      <c r="V424" s="25" t="str">
        <f t="shared" si="41"/>
        <v>, max(shikkan406_start_date)</v>
      </c>
      <c r="AA424" s="4"/>
      <c r="AB424" s="4"/>
      <c r="AC424" s="4"/>
      <c r="AD424" s="4"/>
      <c r="AE424" s="4"/>
      <c r="AF424" s="4"/>
      <c r="AG424" s="4"/>
      <c r="AH424" s="4"/>
      <c r="AI424" s="4"/>
      <c r="AJ424" s="76" t="str">
        <f>IF(E424="○",IF(COUNTA(E$13:E424)=1,"",",")&amp;D424,"")</f>
        <v/>
      </c>
      <c r="AK424" s="4"/>
      <c r="AL424" s="4"/>
      <c r="AM424" s="4"/>
      <c r="AN424" s="4"/>
      <c r="AO424" s="4"/>
      <c r="AP424" s="4"/>
      <c r="AQ424" s="4"/>
      <c r="AR424" s="4"/>
      <c r="AS424" s="76" t="str">
        <f>"COMMENT ON COLUMN "&amp;エンティティ一覧!$O$2&amp;"."&amp;D$8&amp;"."&amp;D424&amp;" IS '"&amp;C424&amp;"';"</f>
        <v>COMMENT ON COLUMN milscm_2023_009.sny_202310_annony_bef2.shikkan406_start_date IS 'C829_疾患開始日';</v>
      </c>
    </row>
    <row r="425" spans="1:45" s="25" customFormat="1">
      <c r="A425" s="4" t="s">
        <v>5549</v>
      </c>
      <c r="B425" s="21">
        <f t="shared" si="53"/>
        <v>413</v>
      </c>
      <c r="C425" s="13" t="s">
        <v>6939</v>
      </c>
      <c r="D425" s="13" t="s">
        <v>6067</v>
      </c>
      <c r="E425" s="8"/>
      <c r="F425" s="7" t="s">
        <v>4348</v>
      </c>
      <c r="G425" s="7" t="s">
        <v>25</v>
      </c>
      <c r="H425" s="58"/>
      <c r="I425" s="23"/>
      <c r="J425" s="24"/>
      <c r="M425" s="4"/>
      <c r="N425" s="76"/>
      <c r="O425" s="76"/>
      <c r="P425" s="76" t="str">
        <f t="shared" si="54"/>
        <v>,shikkan407_start_date</v>
      </c>
      <c r="Q425" s="76" t="str">
        <f t="shared" si="55"/>
        <v>DATE</v>
      </c>
      <c r="R425" s="76" t="str">
        <f t="shared" si="56"/>
        <v/>
      </c>
      <c r="S425" s="76" t="str">
        <f t="shared" si="57"/>
        <v/>
      </c>
      <c r="T425" s="76" t="str">
        <f t="shared" si="58"/>
        <v>-- C830_疾患開始日</v>
      </c>
      <c r="U425" s="4" t="str">
        <f t="shared" si="40"/>
        <v>, CASE WHEN shikkan_disp_name = 'C830' THEN min_shikkan_start_date ::DATE ELSE NULL END AS shikkan407_start_date</v>
      </c>
      <c r="V425" s="25" t="str">
        <f t="shared" si="41"/>
        <v>, max(shikkan407_start_date)</v>
      </c>
      <c r="AA425" s="4"/>
      <c r="AB425" s="4"/>
      <c r="AC425" s="4"/>
      <c r="AD425" s="4"/>
      <c r="AE425" s="4"/>
      <c r="AF425" s="4"/>
      <c r="AG425" s="4"/>
      <c r="AH425" s="4"/>
      <c r="AI425" s="4"/>
      <c r="AJ425" s="76" t="str">
        <f>IF(E425="○",IF(COUNTA(E$13:E425)=1,"",",")&amp;D425,"")</f>
        <v/>
      </c>
      <c r="AK425" s="4"/>
      <c r="AL425" s="4"/>
      <c r="AM425" s="4"/>
      <c r="AN425" s="4"/>
      <c r="AO425" s="4"/>
      <c r="AP425" s="4"/>
      <c r="AQ425" s="4"/>
      <c r="AR425" s="4"/>
      <c r="AS425" s="76" t="str">
        <f>"COMMENT ON COLUMN "&amp;エンティティ一覧!$O$2&amp;"."&amp;D$8&amp;"."&amp;D425&amp;" IS '"&amp;C425&amp;"';"</f>
        <v>COMMENT ON COLUMN milscm_2023_009.sny_202310_annony_bef2.shikkan407_start_date IS 'C830_疾患開始日';</v>
      </c>
    </row>
    <row r="426" spans="1:45" s="25" customFormat="1">
      <c r="A426" s="4" t="s">
        <v>5550</v>
      </c>
      <c r="B426" s="21">
        <f t="shared" si="53"/>
        <v>414</v>
      </c>
      <c r="C426" s="13" t="s">
        <v>6940</v>
      </c>
      <c r="D426" s="13" t="s">
        <v>6068</v>
      </c>
      <c r="E426" s="8"/>
      <c r="F426" s="7" t="s">
        <v>4348</v>
      </c>
      <c r="G426" s="7" t="s">
        <v>25</v>
      </c>
      <c r="H426" s="58"/>
      <c r="I426" s="23"/>
      <c r="J426" s="24"/>
      <c r="M426" s="4"/>
      <c r="N426" s="76"/>
      <c r="O426" s="76"/>
      <c r="P426" s="76" t="str">
        <f t="shared" si="54"/>
        <v>,shikkan408_start_date</v>
      </c>
      <c r="Q426" s="76" t="str">
        <f t="shared" si="55"/>
        <v>DATE</v>
      </c>
      <c r="R426" s="76" t="str">
        <f t="shared" si="56"/>
        <v/>
      </c>
      <c r="S426" s="76" t="str">
        <f t="shared" si="57"/>
        <v/>
      </c>
      <c r="T426" s="76" t="str">
        <f t="shared" si="58"/>
        <v>-- C831_疾患開始日</v>
      </c>
      <c r="U426" s="4" t="str">
        <f t="shared" si="40"/>
        <v>, CASE WHEN shikkan_disp_name = 'C831' THEN min_shikkan_start_date ::DATE ELSE NULL END AS shikkan408_start_date</v>
      </c>
      <c r="V426" s="25" t="str">
        <f t="shared" si="41"/>
        <v>, max(shikkan408_start_date)</v>
      </c>
      <c r="AA426" s="4"/>
      <c r="AB426" s="4"/>
      <c r="AC426" s="4"/>
      <c r="AD426" s="4"/>
      <c r="AE426" s="4"/>
      <c r="AF426" s="4"/>
      <c r="AG426" s="4"/>
      <c r="AH426" s="4"/>
      <c r="AI426" s="4"/>
      <c r="AJ426" s="76" t="str">
        <f>IF(E426="○",IF(COUNTA(E$13:E426)=1,"",",")&amp;D426,"")</f>
        <v/>
      </c>
      <c r="AK426" s="4"/>
      <c r="AL426" s="4"/>
      <c r="AM426" s="4"/>
      <c r="AN426" s="4"/>
      <c r="AO426" s="4"/>
      <c r="AP426" s="4"/>
      <c r="AQ426" s="4"/>
      <c r="AR426" s="4"/>
      <c r="AS426" s="76" t="str">
        <f>"COMMENT ON COLUMN "&amp;エンティティ一覧!$O$2&amp;"."&amp;D$8&amp;"."&amp;D426&amp;" IS '"&amp;C426&amp;"';"</f>
        <v>COMMENT ON COLUMN milscm_2023_009.sny_202310_annony_bef2.shikkan408_start_date IS 'C831_疾患開始日';</v>
      </c>
    </row>
    <row r="427" spans="1:45" s="25" customFormat="1">
      <c r="A427" s="4" t="s">
        <v>5551</v>
      </c>
      <c r="B427" s="21">
        <f t="shared" si="53"/>
        <v>415</v>
      </c>
      <c r="C427" s="13" t="s">
        <v>6941</v>
      </c>
      <c r="D427" s="13" t="s">
        <v>6069</v>
      </c>
      <c r="E427" s="8"/>
      <c r="F427" s="7" t="s">
        <v>4348</v>
      </c>
      <c r="G427" s="7" t="s">
        <v>25</v>
      </c>
      <c r="H427" s="58"/>
      <c r="I427" s="23"/>
      <c r="J427" s="24"/>
      <c r="M427" s="4"/>
      <c r="N427" s="76"/>
      <c r="O427" s="76"/>
      <c r="P427" s="76" t="str">
        <f t="shared" si="54"/>
        <v>,shikkan409_start_date</v>
      </c>
      <c r="Q427" s="76" t="str">
        <f t="shared" si="55"/>
        <v>DATE</v>
      </c>
      <c r="R427" s="76" t="str">
        <f t="shared" si="56"/>
        <v/>
      </c>
      <c r="S427" s="76" t="str">
        <f t="shared" si="57"/>
        <v/>
      </c>
      <c r="T427" s="76" t="str">
        <f t="shared" si="58"/>
        <v>-- C833_疾患開始日</v>
      </c>
      <c r="U427" s="4" t="str">
        <f t="shared" si="40"/>
        <v>, CASE WHEN shikkan_disp_name = 'C833' THEN min_shikkan_start_date ::DATE ELSE NULL END AS shikkan409_start_date</v>
      </c>
      <c r="V427" s="25" t="str">
        <f t="shared" si="41"/>
        <v>, max(shikkan409_start_date)</v>
      </c>
      <c r="AA427" s="4"/>
      <c r="AB427" s="4"/>
      <c r="AC427" s="4"/>
      <c r="AD427" s="4"/>
      <c r="AE427" s="4"/>
      <c r="AF427" s="4"/>
      <c r="AG427" s="4"/>
      <c r="AH427" s="4"/>
      <c r="AI427" s="4"/>
      <c r="AJ427" s="76" t="str">
        <f>IF(E427="○",IF(COUNTA(E$13:E427)=1,"",",")&amp;D427,"")</f>
        <v/>
      </c>
      <c r="AK427" s="4"/>
      <c r="AL427" s="4"/>
      <c r="AM427" s="4"/>
      <c r="AN427" s="4"/>
      <c r="AO427" s="4"/>
      <c r="AP427" s="4"/>
      <c r="AQ427" s="4"/>
      <c r="AR427" s="4"/>
      <c r="AS427" s="76" t="str">
        <f>"COMMENT ON COLUMN "&amp;エンティティ一覧!$O$2&amp;"."&amp;D$8&amp;"."&amp;D427&amp;" IS '"&amp;C427&amp;"';"</f>
        <v>COMMENT ON COLUMN milscm_2023_009.sny_202310_annony_bef2.shikkan409_start_date IS 'C833_疾患開始日';</v>
      </c>
    </row>
    <row r="428" spans="1:45" s="25" customFormat="1">
      <c r="A428" s="4" t="s">
        <v>5552</v>
      </c>
      <c r="B428" s="21">
        <f t="shared" si="53"/>
        <v>416</v>
      </c>
      <c r="C428" s="13" t="s">
        <v>6942</v>
      </c>
      <c r="D428" s="13" t="s">
        <v>6070</v>
      </c>
      <c r="E428" s="8"/>
      <c r="F428" s="7" t="s">
        <v>4348</v>
      </c>
      <c r="G428" s="7" t="s">
        <v>25</v>
      </c>
      <c r="H428" s="58"/>
      <c r="I428" s="23"/>
      <c r="J428" s="24"/>
      <c r="M428" s="4"/>
      <c r="N428" s="76"/>
      <c r="O428" s="76"/>
      <c r="P428" s="76" t="str">
        <f t="shared" si="54"/>
        <v>,shikkan410_start_date</v>
      </c>
      <c r="Q428" s="76" t="str">
        <f t="shared" si="55"/>
        <v>DATE</v>
      </c>
      <c r="R428" s="76" t="str">
        <f t="shared" si="56"/>
        <v/>
      </c>
      <c r="S428" s="76" t="str">
        <f t="shared" si="57"/>
        <v/>
      </c>
      <c r="T428" s="76" t="str">
        <f t="shared" si="58"/>
        <v>-- C835_疾患開始日</v>
      </c>
      <c r="U428" s="4" t="str">
        <f t="shared" si="40"/>
        <v>, CASE WHEN shikkan_disp_name = 'C835' THEN min_shikkan_start_date ::DATE ELSE NULL END AS shikkan410_start_date</v>
      </c>
      <c r="V428" s="25" t="str">
        <f t="shared" si="41"/>
        <v>, max(shikkan410_start_date)</v>
      </c>
      <c r="AA428" s="4"/>
      <c r="AB428" s="4"/>
      <c r="AC428" s="4"/>
      <c r="AD428" s="4"/>
      <c r="AE428" s="4"/>
      <c r="AF428" s="4"/>
      <c r="AG428" s="4"/>
      <c r="AH428" s="4"/>
      <c r="AI428" s="4"/>
      <c r="AJ428" s="76" t="str">
        <f>IF(E428="○",IF(COUNTA(E$13:E428)=1,"",",")&amp;D428,"")</f>
        <v/>
      </c>
      <c r="AK428" s="4"/>
      <c r="AL428" s="4"/>
      <c r="AM428" s="4"/>
      <c r="AN428" s="4"/>
      <c r="AO428" s="4"/>
      <c r="AP428" s="4"/>
      <c r="AQ428" s="4"/>
      <c r="AR428" s="4"/>
      <c r="AS428" s="76" t="str">
        <f>"COMMENT ON COLUMN "&amp;エンティティ一覧!$O$2&amp;"."&amp;D$8&amp;"."&amp;D428&amp;" IS '"&amp;C428&amp;"';"</f>
        <v>COMMENT ON COLUMN milscm_2023_009.sny_202310_annony_bef2.shikkan410_start_date IS 'C835_疾患開始日';</v>
      </c>
    </row>
    <row r="429" spans="1:45" s="25" customFormat="1">
      <c r="A429" s="4" t="s">
        <v>5553</v>
      </c>
      <c r="B429" s="21">
        <f t="shared" si="53"/>
        <v>417</v>
      </c>
      <c r="C429" s="13" t="s">
        <v>6943</v>
      </c>
      <c r="D429" s="13" t="s">
        <v>6071</v>
      </c>
      <c r="E429" s="8"/>
      <c r="F429" s="7" t="s">
        <v>4348</v>
      </c>
      <c r="G429" s="7" t="s">
        <v>25</v>
      </c>
      <c r="H429" s="58"/>
      <c r="I429" s="23"/>
      <c r="J429" s="24"/>
      <c r="M429" s="4"/>
      <c r="N429" s="76"/>
      <c r="O429" s="76"/>
      <c r="P429" s="76" t="str">
        <f t="shared" si="54"/>
        <v>,shikkan411_start_date</v>
      </c>
      <c r="Q429" s="76" t="str">
        <f t="shared" si="55"/>
        <v>DATE</v>
      </c>
      <c r="R429" s="76" t="str">
        <f t="shared" si="56"/>
        <v/>
      </c>
      <c r="S429" s="76" t="str">
        <f t="shared" si="57"/>
        <v/>
      </c>
      <c r="T429" s="76" t="str">
        <f t="shared" si="58"/>
        <v>-- C837_疾患開始日</v>
      </c>
      <c r="U429" s="4" t="str">
        <f t="shared" si="40"/>
        <v>, CASE WHEN shikkan_disp_name = 'C837' THEN min_shikkan_start_date ::DATE ELSE NULL END AS shikkan411_start_date</v>
      </c>
      <c r="V429" s="25" t="str">
        <f t="shared" si="41"/>
        <v>, max(shikkan411_start_date)</v>
      </c>
      <c r="AA429" s="4"/>
      <c r="AB429" s="4"/>
      <c r="AC429" s="4"/>
      <c r="AD429" s="4"/>
      <c r="AE429" s="4"/>
      <c r="AF429" s="4"/>
      <c r="AG429" s="4"/>
      <c r="AH429" s="4"/>
      <c r="AI429" s="4"/>
      <c r="AJ429" s="76" t="str">
        <f>IF(E429="○",IF(COUNTA(E$13:E429)=1,"",",")&amp;D429,"")</f>
        <v/>
      </c>
      <c r="AK429" s="4"/>
      <c r="AL429" s="4"/>
      <c r="AM429" s="4"/>
      <c r="AN429" s="4"/>
      <c r="AO429" s="4"/>
      <c r="AP429" s="4"/>
      <c r="AQ429" s="4"/>
      <c r="AR429" s="4"/>
      <c r="AS429" s="76" t="str">
        <f>"COMMENT ON COLUMN "&amp;エンティティ一覧!$O$2&amp;"."&amp;D$8&amp;"."&amp;D429&amp;" IS '"&amp;C429&amp;"';"</f>
        <v>COMMENT ON COLUMN milscm_2023_009.sny_202310_annony_bef2.shikkan411_start_date IS 'C837_疾患開始日';</v>
      </c>
    </row>
    <row r="430" spans="1:45" s="25" customFormat="1">
      <c r="A430" s="4" t="s">
        <v>5554</v>
      </c>
      <c r="B430" s="21">
        <f t="shared" si="53"/>
        <v>418</v>
      </c>
      <c r="C430" s="13" t="s">
        <v>6944</v>
      </c>
      <c r="D430" s="13" t="s">
        <v>6072</v>
      </c>
      <c r="E430" s="8"/>
      <c r="F430" s="7" t="s">
        <v>4348</v>
      </c>
      <c r="G430" s="7" t="s">
        <v>25</v>
      </c>
      <c r="H430" s="58"/>
      <c r="I430" s="23"/>
      <c r="J430" s="24"/>
      <c r="M430" s="4"/>
      <c r="N430" s="76"/>
      <c r="O430" s="76"/>
      <c r="P430" s="76" t="str">
        <f t="shared" si="54"/>
        <v>,shikkan412_start_date</v>
      </c>
      <c r="Q430" s="76" t="str">
        <f t="shared" si="55"/>
        <v>DATE</v>
      </c>
      <c r="R430" s="76" t="str">
        <f t="shared" si="56"/>
        <v/>
      </c>
      <c r="S430" s="76" t="str">
        <f t="shared" si="57"/>
        <v/>
      </c>
      <c r="T430" s="76" t="str">
        <f t="shared" si="58"/>
        <v>-- C838_疾患開始日</v>
      </c>
      <c r="U430" s="4" t="str">
        <f t="shared" si="40"/>
        <v>, CASE WHEN shikkan_disp_name = 'C838' THEN min_shikkan_start_date ::DATE ELSE NULL END AS shikkan412_start_date</v>
      </c>
      <c r="V430" s="25" t="str">
        <f t="shared" si="41"/>
        <v>, max(shikkan412_start_date)</v>
      </c>
      <c r="AA430" s="4"/>
      <c r="AB430" s="4"/>
      <c r="AC430" s="4"/>
      <c r="AD430" s="4"/>
      <c r="AE430" s="4"/>
      <c r="AF430" s="4"/>
      <c r="AG430" s="4"/>
      <c r="AH430" s="4"/>
      <c r="AI430" s="4"/>
      <c r="AJ430" s="76" t="str">
        <f>IF(E430="○",IF(COUNTA(E$13:E430)=1,"",",")&amp;D430,"")</f>
        <v/>
      </c>
      <c r="AK430" s="4"/>
      <c r="AL430" s="4"/>
      <c r="AM430" s="4"/>
      <c r="AN430" s="4"/>
      <c r="AO430" s="4"/>
      <c r="AP430" s="4"/>
      <c r="AQ430" s="4"/>
      <c r="AR430" s="4"/>
      <c r="AS430" s="76" t="str">
        <f>"COMMENT ON COLUMN "&amp;エンティティ一覧!$O$2&amp;"."&amp;D$8&amp;"."&amp;D430&amp;" IS '"&amp;C430&amp;"';"</f>
        <v>COMMENT ON COLUMN milscm_2023_009.sny_202310_annony_bef2.shikkan412_start_date IS 'C838_疾患開始日';</v>
      </c>
    </row>
    <row r="431" spans="1:45" s="25" customFormat="1">
      <c r="A431" s="4" t="s">
        <v>5555</v>
      </c>
      <c r="B431" s="21">
        <f t="shared" si="53"/>
        <v>419</v>
      </c>
      <c r="C431" s="13" t="s">
        <v>6945</v>
      </c>
      <c r="D431" s="13" t="s">
        <v>6073</v>
      </c>
      <c r="E431" s="8"/>
      <c r="F431" s="7" t="s">
        <v>4348</v>
      </c>
      <c r="G431" s="7" t="s">
        <v>25</v>
      </c>
      <c r="H431" s="58"/>
      <c r="I431" s="23"/>
      <c r="J431" s="24"/>
      <c r="M431" s="4"/>
      <c r="N431" s="76"/>
      <c r="O431" s="76"/>
      <c r="P431" s="76" t="str">
        <f t="shared" si="54"/>
        <v>,shikkan413_start_date</v>
      </c>
      <c r="Q431" s="76" t="str">
        <f t="shared" si="55"/>
        <v>DATE</v>
      </c>
      <c r="R431" s="76" t="str">
        <f t="shared" si="56"/>
        <v/>
      </c>
      <c r="S431" s="76" t="str">
        <f t="shared" si="57"/>
        <v/>
      </c>
      <c r="T431" s="76" t="str">
        <f t="shared" si="58"/>
        <v>-- C839_疾患開始日</v>
      </c>
      <c r="U431" s="4" t="str">
        <f t="shared" si="40"/>
        <v>, CASE WHEN shikkan_disp_name = 'C839' THEN min_shikkan_start_date ::DATE ELSE NULL END AS shikkan413_start_date</v>
      </c>
      <c r="V431" s="25" t="str">
        <f t="shared" si="41"/>
        <v>, max(shikkan413_start_date)</v>
      </c>
      <c r="AA431" s="4"/>
      <c r="AB431" s="4"/>
      <c r="AC431" s="4"/>
      <c r="AD431" s="4"/>
      <c r="AE431" s="4"/>
      <c r="AF431" s="4"/>
      <c r="AG431" s="4"/>
      <c r="AH431" s="4"/>
      <c r="AI431" s="4"/>
      <c r="AJ431" s="76" t="str">
        <f>IF(E431="○",IF(COUNTA(E$13:E431)=1,"",",")&amp;D431,"")</f>
        <v/>
      </c>
      <c r="AK431" s="4"/>
      <c r="AL431" s="4"/>
      <c r="AM431" s="4"/>
      <c r="AN431" s="4"/>
      <c r="AO431" s="4"/>
      <c r="AP431" s="4"/>
      <c r="AQ431" s="4"/>
      <c r="AR431" s="4"/>
      <c r="AS431" s="76" t="str">
        <f>"COMMENT ON COLUMN "&amp;エンティティ一覧!$O$2&amp;"."&amp;D$8&amp;"."&amp;D431&amp;" IS '"&amp;C431&amp;"';"</f>
        <v>COMMENT ON COLUMN milscm_2023_009.sny_202310_annony_bef2.shikkan413_start_date IS 'C839_疾患開始日';</v>
      </c>
    </row>
    <row r="432" spans="1:45" s="25" customFormat="1">
      <c r="A432" s="4" t="s">
        <v>5556</v>
      </c>
      <c r="B432" s="21">
        <f t="shared" si="53"/>
        <v>420</v>
      </c>
      <c r="C432" s="13" t="s">
        <v>6946</v>
      </c>
      <c r="D432" s="13" t="s">
        <v>6074</v>
      </c>
      <c r="E432" s="8"/>
      <c r="F432" s="7" t="s">
        <v>4348</v>
      </c>
      <c r="G432" s="7" t="s">
        <v>25</v>
      </c>
      <c r="H432" s="58"/>
      <c r="I432" s="23"/>
      <c r="J432" s="24"/>
      <c r="M432" s="4"/>
      <c r="N432" s="76"/>
      <c r="O432" s="76"/>
      <c r="P432" s="76" t="str">
        <f t="shared" si="54"/>
        <v>,shikkan414_start_date</v>
      </c>
      <c r="Q432" s="76" t="str">
        <f t="shared" si="55"/>
        <v>DATE</v>
      </c>
      <c r="R432" s="76" t="str">
        <f t="shared" si="56"/>
        <v/>
      </c>
      <c r="S432" s="76" t="str">
        <f t="shared" si="57"/>
        <v/>
      </c>
      <c r="T432" s="76" t="str">
        <f t="shared" si="58"/>
        <v>-- C840_疾患開始日</v>
      </c>
      <c r="U432" s="4" t="str">
        <f t="shared" si="40"/>
        <v>, CASE WHEN shikkan_disp_name = 'C840' THEN min_shikkan_start_date ::DATE ELSE NULL END AS shikkan414_start_date</v>
      </c>
      <c r="V432" s="25" t="str">
        <f t="shared" si="41"/>
        <v>, max(shikkan414_start_date)</v>
      </c>
      <c r="AA432" s="4"/>
      <c r="AB432" s="4"/>
      <c r="AC432" s="4"/>
      <c r="AD432" s="4"/>
      <c r="AE432" s="4"/>
      <c r="AF432" s="4"/>
      <c r="AG432" s="4"/>
      <c r="AH432" s="4"/>
      <c r="AI432" s="4"/>
      <c r="AJ432" s="76" t="str">
        <f>IF(E432="○",IF(COUNTA(E$13:E432)=1,"",",")&amp;D432,"")</f>
        <v/>
      </c>
      <c r="AK432" s="4"/>
      <c r="AL432" s="4"/>
      <c r="AM432" s="4"/>
      <c r="AN432" s="4"/>
      <c r="AO432" s="4"/>
      <c r="AP432" s="4"/>
      <c r="AQ432" s="4"/>
      <c r="AR432" s="4"/>
      <c r="AS432" s="76" t="str">
        <f>"COMMENT ON COLUMN "&amp;エンティティ一覧!$O$2&amp;"."&amp;D$8&amp;"."&amp;D432&amp;" IS '"&amp;C432&amp;"';"</f>
        <v>COMMENT ON COLUMN milscm_2023_009.sny_202310_annony_bef2.shikkan414_start_date IS 'C840_疾患開始日';</v>
      </c>
    </row>
    <row r="433" spans="1:45" s="25" customFormat="1">
      <c r="A433" s="4" t="s">
        <v>5557</v>
      </c>
      <c r="B433" s="21">
        <f t="shared" si="53"/>
        <v>421</v>
      </c>
      <c r="C433" s="13" t="s">
        <v>6947</v>
      </c>
      <c r="D433" s="13" t="s">
        <v>6075</v>
      </c>
      <c r="E433" s="8"/>
      <c r="F433" s="7" t="s">
        <v>4348</v>
      </c>
      <c r="G433" s="7" t="s">
        <v>25</v>
      </c>
      <c r="H433" s="58"/>
      <c r="I433" s="23"/>
      <c r="J433" s="24"/>
      <c r="M433" s="4"/>
      <c r="N433" s="76"/>
      <c r="O433" s="76"/>
      <c r="P433" s="76" t="str">
        <f t="shared" si="54"/>
        <v>,shikkan415_start_date</v>
      </c>
      <c r="Q433" s="76" t="str">
        <f t="shared" si="55"/>
        <v>DATE</v>
      </c>
      <c r="R433" s="76" t="str">
        <f t="shared" si="56"/>
        <v/>
      </c>
      <c r="S433" s="76" t="str">
        <f t="shared" si="57"/>
        <v/>
      </c>
      <c r="T433" s="76" t="str">
        <f t="shared" si="58"/>
        <v>-- C841_疾患開始日</v>
      </c>
      <c r="U433" s="4" t="str">
        <f t="shared" si="40"/>
        <v>, CASE WHEN shikkan_disp_name = 'C841' THEN min_shikkan_start_date ::DATE ELSE NULL END AS shikkan415_start_date</v>
      </c>
      <c r="V433" s="25" t="str">
        <f t="shared" si="41"/>
        <v>, max(shikkan415_start_date)</v>
      </c>
      <c r="AA433" s="4"/>
      <c r="AB433" s="4"/>
      <c r="AC433" s="4"/>
      <c r="AD433" s="4"/>
      <c r="AE433" s="4"/>
      <c r="AF433" s="4"/>
      <c r="AG433" s="4"/>
      <c r="AH433" s="4"/>
      <c r="AI433" s="4"/>
      <c r="AJ433" s="76" t="str">
        <f>IF(E433="○",IF(COUNTA(E$13:E433)=1,"",",")&amp;D433,"")</f>
        <v/>
      </c>
      <c r="AK433" s="4"/>
      <c r="AL433" s="4"/>
      <c r="AM433" s="4"/>
      <c r="AN433" s="4"/>
      <c r="AO433" s="4"/>
      <c r="AP433" s="4"/>
      <c r="AQ433" s="4"/>
      <c r="AR433" s="4"/>
      <c r="AS433" s="76" t="str">
        <f>"COMMENT ON COLUMN "&amp;エンティティ一覧!$O$2&amp;"."&amp;D$8&amp;"."&amp;D433&amp;" IS '"&amp;C433&amp;"';"</f>
        <v>COMMENT ON COLUMN milscm_2023_009.sny_202310_annony_bef2.shikkan415_start_date IS 'C841_疾患開始日';</v>
      </c>
    </row>
    <row r="434" spans="1:45" s="25" customFormat="1">
      <c r="A434" s="4" t="s">
        <v>5558</v>
      </c>
      <c r="B434" s="21">
        <f t="shared" si="53"/>
        <v>422</v>
      </c>
      <c r="C434" s="13" t="s">
        <v>6948</v>
      </c>
      <c r="D434" s="13" t="s">
        <v>6076</v>
      </c>
      <c r="E434" s="8"/>
      <c r="F434" s="7" t="s">
        <v>4348</v>
      </c>
      <c r="G434" s="7" t="s">
        <v>99</v>
      </c>
      <c r="H434" s="58"/>
      <c r="I434" s="23"/>
      <c r="J434" s="24"/>
      <c r="M434" s="4"/>
      <c r="N434" s="76"/>
      <c r="O434" s="76"/>
      <c r="P434" s="76" t="str">
        <f t="shared" si="54"/>
        <v>,shikkan416_start_date</v>
      </c>
      <c r="Q434" s="76" t="str">
        <f t="shared" si="55"/>
        <v>DATE</v>
      </c>
      <c r="R434" s="76" t="str">
        <f t="shared" si="56"/>
        <v/>
      </c>
      <c r="S434" s="76" t="str">
        <f t="shared" si="57"/>
        <v/>
      </c>
      <c r="T434" s="76" t="str">
        <f t="shared" si="58"/>
        <v>-- C844_疾患開始日</v>
      </c>
      <c r="U434" s="4" t="str">
        <f t="shared" si="40"/>
        <v>, CASE WHEN shikkan_disp_name = 'C844' THEN min_shikkan_start_date ::DATE ELSE NULL END AS shikkan416_start_date</v>
      </c>
      <c r="V434" s="25" t="str">
        <f t="shared" si="41"/>
        <v>, max(shikkan416_start_date)</v>
      </c>
      <c r="AA434" s="4"/>
      <c r="AB434" s="4"/>
      <c r="AC434" s="4"/>
      <c r="AD434" s="4"/>
      <c r="AE434" s="4"/>
      <c r="AF434" s="4"/>
      <c r="AG434" s="4"/>
      <c r="AH434" s="4"/>
      <c r="AI434" s="4"/>
      <c r="AJ434" s="76" t="str">
        <f>IF(E434="○",IF(COUNTA(E$13:E434)=1,"",",")&amp;D434,"")</f>
        <v/>
      </c>
      <c r="AK434" s="4"/>
      <c r="AL434" s="4"/>
      <c r="AM434" s="4"/>
      <c r="AN434" s="4"/>
      <c r="AO434" s="4"/>
      <c r="AP434" s="4"/>
      <c r="AQ434" s="4"/>
      <c r="AR434" s="4"/>
      <c r="AS434" s="76" t="str">
        <f>"COMMENT ON COLUMN "&amp;エンティティ一覧!$O$2&amp;"."&amp;D$8&amp;"."&amp;D434&amp;" IS '"&amp;C434&amp;"';"</f>
        <v>COMMENT ON COLUMN milscm_2023_009.sny_202310_annony_bef2.shikkan416_start_date IS 'C844_疾患開始日';</v>
      </c>
    </row>
    <row r="435" spans="1:45" s="25" customFormat="1">
      <c r="A435" s="4" t="s">
        <v>5559</v>
      </c>
      <c r="B435" s="21">
        <f t="shared" si="53"/>
        <v>423</v>
      </c>
      <c r="C435" s="13" t="s">
        <v>6949</v>
      </c>
      <c r="D435" s="13" t="s">
        <v>6077</v>
      </c>
      <c r="E435" s="8"/>
      <c r="F435" s="7" t="s">
        <v>4348</v>
      </c>
      <c r="G435" s="7" t="s">
        <v>25</v>
      </c>
      <c r="H435" s="58"/>
      <c r="I435" s="23"/>
      <c r="J435" s="24"/>
      <c r="M435" s="4"/>
      <c r="N435" s="76"/>
      <c r="O435" s="76"/>
      <c r="P435" s="76" t="str">
        <f t="shared" si="54"/>
        <v>,shikkan417_start_date</v>
      </c>
      <c r="Q435" s="76" t="str">
        <f t="shared" si="55"/>
        <v>DATE</v>
      </c>
      <c r="R435" s="76" t="str">
        <f t="shared" si="56"/>
        <v/>
      </c>
      <c r="S435" s="76" t="str">
        <f t="shared" si="57"/>
        <v/>
      </c>
      <c r="T435" s="76" t="str">
        <f t="shared" si="58"/>
        <v>-- C845_疾患開始日</v>
      </c>
      <c r="U435" s="4" t="str">
        <f t="shared" si="40"/>
        <v>, CASE WHEN shikkan_disp_name = 'C845' THEN min_shikkan_start_date ::DATE ELSE NULL END AS shikkan417_start_date</v>
      </c>
      <c r="V435" s="25" t="str">
        <f t="shared" si="41"/>
        <v>, max(shikkan417_start_date)</v>
      </c>
      <c r="AA435" s="4"/>
      <c r="AB435" s="4"/>
      <c r="AC435" s="4"/>
      <c r="AD435" s="4"/>
      <c r="AE435" s="4"/>
      <c r="AF435" s="4"/>
      <c r="AG435" s="4"/>
      <c r="AH435" s="4"/>
      <c r="AI435" s="4"/>
      <c r="AJ435" s="76" t="str">
        <f>IF(E435="○",IF(COUNTA(E$13:E435)=1,"",",")&amp;D435,"")</f>
        <v/>
      </c>
      <c r="AK435" s="4"/>
      <c r="AL435" s="4"/>
      <c r="AM435" s="4"/>
      <c r="AN435" s="4"/>
      <c r="AO435" s="4"/>
      <c r="AP435" s="4"/>
      <c r="AQ435" s="4"/>
      <c r="AR435" s="4"/>
      <c r="AS435" s="76" t="str">
        <f>"COMMENT ON COLUMN "&amp;エンティティ一覧!$O$2&amp;"."&amp;D$8&amp;"."&amp;D435&amp;" IS '"&amp;C435&amp;"';"</f>
        <v>COMMENT ON COLUMN milscm_2023_009.sny_202310_annony_bef2.shikkan417_start_date IS 'C845_疾患開始日';</v>
      </c>
    </row>
    <row r="436" spans="1:45" s="25" customFormat="1">
      <c r="A436" s="4" t="s">
        <v>5560</v>
      </c>
      <c r="B436" s="21">
        <f t="shared" si="53"/>
        <v>424</v>
      </c>
      <c r="C436" s="13" t="s">
        <v>6950</v>
      </c>
      <c r="D436" s="13" t="s">
        <v>6078</v>
      </c>
      <c r="E436" s="8"/>
      <c r="F436" s="7" t="s">
        <v>4348</v>
      </c>
      <c r="G436" s="7" t="s">
        <v>25</v>
      </c>
      <c r="H436" s="58"/>
      <c r="I436" s="23"/>
      <c r="J436" s="24"/>
      <c r="M436" s="4"/>
      <c r="N436" s="76"/>
      <c r="O436" s="76"/>
      <c r="P436" s="76" t="str">
        <f t="shared" si="54"/>
        <v>,shikkan418_start_date</v>
      </c>
      <c r="Q436" s="76" t="str">
        <f t="shared" si="55"/>
        <v>DATE</v>
      </c>
      <c r="R436" s="76" t="str">
        <f t="shared" si="56"/>
        <v/>
      </c>
      <c r="S436" s="76" t="str">
        <f t="shared" si="57"/>
        <v/>
      </c>
      <c r="T436" s="76" t="str">
        <f t="shared" si="58"/>
        <v>-- C846_疾患開始日</v>
      </c>
      <c r="U436" s="4" t="str">
        <f t="shared" si="40"/>
        <v>, CASE WHEN shikkan_disp_name = 'C846' THEN min_shikkan_start_date ::DATE ELSE NULL END AS shikkan418_start_date</v>
      </c>
      <c r="V436" s="25" t="str">
        <f t="shared" si="41"/>
        <v>, max(shikkan418_start_date)</v>
      </c>
      <c r="AA436" s="4"/>
      <c r="AB436" s="4"/>
      <c r="AC436" s="4"/>
      <c r="AD436" s="4"/>
      <c r="AE436" s="4"/>
      <c r="AF436" s="4"/>
      <c r="AG436" s="4"/>
      <c r="AH436" s="4"/>
      <c r="AI436" s="4"/>
      <c r="AJ436" s="76" t="str">
        <f>IF(E436="○",IF(COUNTA(E$13:E436)=1,"",",")&amp;D436,"")</f>
        <v/>
      </c>
      <c r="AK436" s="4"/>
      <c r="AL436" s="4"/>
      <c r="AM436" s="4"/>
      <c r="AN436" s="4"/>
      <c r="AO436" s="4"/>
      <c r="AP436" s="4"/>
      <c r="AQ436" s="4"/>
      <c r="AR436" s="4"/>
      <c r="AS436" s="76" t="str">
        <f>"COMMENT ON COLUMN "&amp;エンティティ一覧!$O$2&amp;"."&amp;D$8&amp;"."&amp;D436&amp;" IS '"&amp;C436&amp;"';"</f>
        <v>COMMENT ON COLUMN milscm_2023_009.sny_202310_annony_bef2.shikkan418_start_date IS 'C846_疾患開始日';</v>
      </c>
    </row>
    <row r="437" spans="1:45" s="25" customFormat="1">
      <c r="A437" s="4" t="s">
        <v>5561</v>
      </c>
      <c r="B437" s="21">
        <f t="shared" si="53"/>
        <v>425</v>
      </c>
      <c r="C437" s="13" t="s">
        <v>6951</v>
      </c>
      <c r="D437" s="13" t="s">
        <v>6079</v>
      </c>
      <c r="E437" s="8"/>
      <c r="F437" s="7" t="s">
        <v>4348</v>
      </c>
      <c r="G437" s="7" t="s">
        <v>25</v>
      </c>
      <c r="H437" s="58"/>
      <c r="I437" s="23"/>
      <c r="J437" s="24"/>
      <c r="M437" s="4"/>
      <c r="N437" s="76"/>
      <c r="O437" s="76"/>
      <c r="P437" s="76" t="str">
        <f t="shared" si="54"/>
        <v>,shikkan419_start_date</v>
      </c>
      <c r="Q437" s="76" t="str">
        <f t="shared" si="55"/>
        <v>DATE</v>
      </c>
      <c r="R437" s="76" t="str">
        <f t="shared" si="56"/>
        <v/>
      </c>
      <c r="S437" s="76" t="str">
        <f t="shared" si="57"/>
        <v/>
      </c>
      <c r="T437" s="76" t="str">
        <f t="shared" si="58"/>
        <v>-- C847_疾患開始日</v>
      </c>
      <c r="U437" s="4" t="str">
        <f t="shared" si="40"/>
        <v>, CASE WHEN shikkan_disp_name = 'C847' THEN min_shikkan_start_date ::DATE ELSE NULL END AS shikkan419_start_date</v>
      </c>
      <c r="V437" s="25" t="str">
        <f t="shared" si="41"/>
        <v>, max(shikkan419_start_date)</v>
      </c>
      <c r="AA437" s="4"/>
      <c r="AB437" s="4"/>
      <c r="AC437" s="4"/>
      <c r="AD437" s="4"/>
      <c r="AE437" s="4"/>
      <c r="AF437" s="4"/>
      <c r="AG437" s="4"/>
      <c r="AH437" s="4"/>
      <c r="AI437" s="4"/>
      <c r="AJ437" s="76" t="str">
        <f>IF(E437="○",IF(COUNTA(E$13:E437)=1,"",",")&amp;D437,"")</f>
        <v/>
      </c>
      <c r="AK437" s="4"/>
      <c r="AL437" s="4"/>
      <c r="AM437" s="4"/>
      <c r="AN437" s="4"/>
      <c r="AO437" s="4"/>
      <c r="AP437" s="4"/>
      <c r="AQ437" s="4"/>
      <c r="AR437" s="4"/>
      <c r="AS437" s="76" t="str">
        <f>"COMMENT ON COLUMN "&amp;エンティティ一覧!$O$2&amp;"."&amp;D$8&amp;"."&amp;D437&amp;" IS '"&amp;C437&amp;"';"</f>
        <v>COMMENT ON COLUMN milscm_2023_009.sny_202310_annony_bef2.shikkan419_start_date IS 'C847_疾患開始日';</v>
      </c>
    </row>
    <row r="438" spans="1:45" s="25" customFormat="1">
      <c r="A438" s="4" t="s">
        <v>5562</v>
      </c>
      <c r="B438" s="21">
        <f t="shared" si="53"/>
        <v>426</v>
      </c>
      <c r="C438" s="13" t="s">
        <v>6952</v>
      </c>
      <c r="D438" s="13" t="s">
        <v>6080</v>
      </c>
      <c r="E438" s="8"/>
      <c r="F438" s="7" t="s">
        <v>4348</v>
      </c>
      <c r="G438" s="7" t="s">
        <v>25</v>
      </c>
      <c r="H438" s="58"/>
      <c r="I438" s="23"/>
      <c r="J438" s="24"/>
      <c r="M438" s="4"/>
      <c r="N438" s="76"/>
      <c r="O438" s="76"/>
      <c r="P438" s="76" t="str">
        <f t="shared" si="54"/>
        <v>,shikkan420_start_date</v>
      </c>
      <c r="Q438" s="76" t="str">
        <f t="shared" si="55"/>
        <v>DATE</v>
      </c>
      <c r="R438" s="76" t="str">
        <f t="shared" si="56"/>
        <v/>
      </c>
      <c r="S438" s="76" t="str">
        <f t="shared" si="57"/>
        <v/>
      </c>
      <c r="T438" s="76" t="str">
        <f t="shared" si="58"/>
        <v>-- C848_疾患開始日</v>
      </c>
      <c r="U438" s="4" t="str">
        <f t="shared" si="40"/>
        <v>, CASE WHEN shikkan_disp_name = 'C848' THEN min_shikkan_start_date ::DATE ELSE NULL END AS shikkan420_start_date</v>
      </c>
      <c r="V438" s="25" t="str">
        <f t="shared" si="41"/>
        <v>, max(shikkan420_start_date)</v>
      </c>
      <c r="AA438" s="4"/>
      <c r="AB438" s="4"/>
      <c r="AC438" s="4"/>
      <c r="AD438" s="4"/>
      <c r="AE438" s="4"/>
      <c r="AF438" s="4"/>
      <c r="AG438" s="4"/>
      <c r="AH438" s="4"/>
      <c r="AI438" s="4"/>
      <c r="AJ438" s="76" t="str">
        <f>IF(E438="○",IF(COUNTA(E$13:E438)=1,"",",")&amp;D438,"")</f>
        <v/>
      </c>
      <c r="AK438" s="4"/>
      <c r="AL438" s="4"/>
      <c r="AM438" s="4"/>
      <c r="AN438" s="4"/>
      <c r="AO438" s="4"/>
      <c r="AP438" s="4"/>
      <c r="AQ438" s="4"/>
      <c r="AR438" s="4"/>
      <c r="AS438" s="76" t="str">
        <f>"COMMENT ON COLUMN "&amp;エンティティ一覧!$O$2&amp;"."&amp;D$8&amp;"."&amp;D438&amp;" IS '"&amp;C438&amp;"';"</f>
        <v>COMMENT ON COLUMN milscm_2023_009.sny_202310_annony_bef2.shikkan420_start_date IS 'C848_疾患開始日';</v>
      </c>
    </row>
    <row r="439" spans="1:45" s="25" customFormat="1">
      <c r="A439" s="4" t="s">
        <v>5563</v>
      </c>
      <c r="B439" s="21">
        <f t="shared" si="53"/>
        <v>427</v>
      </c>
      <c r="C439" s="13" t="s">
        <v>6953</v>
      </c>
      <c r="D439" s="13" t="s">
        <v>6081</v>
      </c>
      <c r="E439" s="8"/>
      <c r="F439" s="7" t="s">
        <v>4348</v>
      </c>
      <c r="G439" s="7" t="s">
        <v>25</v>
      </c>
      <c r="H439" s="58"/>
      <c r="I439" s="23"/>
      <c r="J439" s="24"/>
      <c r="M439" s="4"/>
      <c r="N439" s="76"/>
      <c r="O439" s="76"/>
      <c r="P439" s="76" t="str">
        <f t="shared" si="54"/>
        <v>,shikkan421_start_date</v>
      </c>
      <c r="Q439" s="76" t="str">
        <f t="shared" si="55"/>
        <v>DATE</v>
      </c>
      <c r="R439" s="76" t="str">
        <f t="shared" si="56"/>
        <v/>
      </c>
      <c r="S439" s="76" t="str">
        <f t="shared" si="57"/>
        <v/>
      </c>
      <c r="T439" s="76" t="str">
        <f t="shared" si="58"/>
        <v>-- C849_疾患開始日</v>
      </c>
      <c r="U439" s="4" t="str">
        <f t="shared" si="40"/>
        <v>, CASE WHEN shikkan_disp_name = 'C849' THEN min_shikkan_start_date ::DATE ELSE NULL END AS shikkan421_start_date</v>
      </c>
      <c r="V439" s="25" t="str">
        <f t="shared" si="41"/>
        <v>, max(shikkan421_start_date)</v>
      </c>
      <c r="AA439" s="4"/>
      <c r="AB439" s="4"/>
      <c r="AC439" s="4"/>
      <c r="AD439" s="4"/>
      <c r="AE439" s="4"/>
      <c r="AF439" s="4"/>
      <c r="AG439" s="4"/>
      <c r="AH439" s="4"/>
      <c r="AI439" s="4"/>
      <c r="AJ439" s="76" t="str">
        <f>IF(E439="○",IF(COUNTA(E$13:E439)=1,"",",")&amp;D439,"")</f>
        <v/>
      </c>
      <c r="AK439" s="4"/>
      <c r="AL439" s="4"/>
      <c r="AM439" s="4"/>
      <c r="AN439" s="4"/>
      <c r="AO439" s="4"/>
      <c r="AP439" s="4"/>
      <c r="AQ439" s="4"/>
      <c r="AR439" s="4"/>
      <c r="AS439" s="76" t="str">
        <f>"COMMENT ON COLUMN "&amp;エンティティ一覧!$O$2&amp;"."&amp;D$8&amp;"."&amp;D439&amp;" IS '"&amp;C439&amp;"';"</f>
        <v>COMMENT ON COLUMN milscm_2023_009.sny_202310_annony_bef2.shikkan421_start_date IS 'C849_疾患開始日';</v>
      </c>
    </row>
    <row r="440" spans="1:45" s="25" customFormat="1">
      <c r="A440" s="4" t="s">
        <v>5564</v>
      </c>
      <c r="B440" s="21">
        <f t="shared" si="53"/>
        <v>428</v>
      </c>
      <c r="C440" s="13" t="s">
        <v>6954</v>
      </c>
      <c r="D440" s="13" t="s">
        <v>6082</v>
      </c>
      <c r="E440" s="8"/>
      <c r="F440" s="7" t="s">
        <v>4348</v>
      </c>
      <c r="G440" s="7" t="s">
        <v>25</v>
      </c>
      <c r="H440" s="58"/>
      <c r="I440" s="23"/>
      <c r="J440" s="24"/>
      <c r="M440" s="4"/>
      <c r="N440" s="76"/>
      <c r="O440" s="76"/>
      <c r="P440" s="76" t="str">
        <f t="shared" si="54"/>
        <v>,shikkan422_start_date</v>
      </c>
      <c r="Q440" s="76" t="str">
        <f t="shared" si="55"/>
        <v>DATE</v>
      </c>
      <c r="R440" s="76" t="str">
        <f t="shared" si="56"/>
        <v/>
      </c>
      <c r="S440" s="76" t="str">
        <f t="shared" si="57"/>
        <v/>
      </c>
      <c r="T440" s="76" t="str">
        <f t="shared" si="58"/>
        <v>-- C851_疾患開始日</v>
      </c>
      <c r="U440" s="4" t="str">
        <f t="shared" si="40"/>
        <v>, CASE WHEN shikkan_disp_name = 'C851' THEN min_shikkan_start_date ::DATE ELSE NULL END AS shikkan422_start_date</v>
      </c>
      <c r="V440" s="25" t="str">
        <f t="shared" si="41"/>
        <v>, max(shikkan422_start_date)</v>
      </c>
      <c r="AA440" s="4"/>
      <c r="AB440" s="4"/>
      <c r="AC440" s="4"/>
      <c r="AD440" s="4"/>
      <c r="AE440" s="4"/>
      <c r="AF440" s="4"/>
      <c r="AG440" s="4"/>
      <c r="AH440" s="4"/>
      <c r="AI440" s="4"/>
      <c r="AJ440" s="76" t="str">
        <f>IF(E440="○",IF(COUNTA(E$13:E440)=1,"",",")&amp;D440,"")</f>
        <v/>
      </c>
      <c r="AK440" s="4"/>
      <c r="AL440" s="4"/>
      <c r="AM440" s="4"/>
      <c r="AN440" s="4"/>
      <c r="AO440" s="4"/>
      <c r="AP440" s="4"/>
      <c r="AQ440" s="4"/>
      <c r="AR440" s="4"/>
      <c r="AS440" s="76" t="str">
        <f>"COMMENT ON COLUMN "&amp;エンティティ一覧!$O$2&amp;"."&amp;D$8&amp;"."&amp;D440&amp;" IS '"&amp;C440&amp;"';"</f>
        <v>COMMENT ON COLUMN milscm_2023_009.sny_202310_annony_bef2.shikkan422_start_date IS 'C851_疾患開始日';</v>
      </c>
    </row>
    <row r="441" spans="1:45" s="25" customFormat="1">
      <c r="A441" s="4" t="s">
        <v>5565</v>
      </c>
      <c r="B441" s="21">
        <f t="shared" si="53"/>
        <v>429</v>
      </c>
      <c r="C441" s="13" t="s">
        <v>6955</v>
      </c>
      <c r="D441" s="13" t="s">
        <v>6083</v>
      </c>
      <c r="E441" s="8"/>
      <c r="F441" s="7" t="s">
        <v>4348</v>
      </c>
      <c r="G441" s="7" t="s">
        <v>25</v>
      </c>
      <c r="H441" s="58"/>
      <c r="I441" s="23"/>
      <c r="J441" s="24"/>
      <c r="M441" s="4"/>
      <c r="N441" s="76"/>
      <c r="O441" s="76"/>
      <c r="P441" s="76" t="str">
        <f t="shared" si="54"/>
        <v>,shikkan423_start_date</v>
      </c>
      <c r="Q441" s="76" t="str">
        <f t="shared" si="55"/>
        <v>DATE</v>
      </c>
      <c r="R441" s="76" t="str">
        <f t="shared" si="56"/>
        <v/>
      </c>
      <c r="S441" s="76" t="str">
        <f t="shared" si="57"/>
        <v/>
      </c>
      <c r="T441" s="76" t="str">
        <f t="shared" si="58"/>
        <v>-- C852_疾患開始日</v>
      </c>
      <c r="U441" s="4" t="str">
        <f t="shared" si="40"/>
        <v>, CASE WHEN shikkan_disp_name = 'C852' THEN min_shikkan_start_date ::DATE ELSE NULL END AS shikkan423_start_date</v>
      </c>
      <c r="V441" s="25" t="str">
        <f t="shared" si="41"/>
        <v>, max(shikkan423_start_date)</v>
      </c>
      <c r="AA441" s="4"/>
      <c r="AB441" s="4"/>
      <c r="AC441" s="4"/>
      <c r="AD441" s="4"/>
      <c r="AE441" s="4"/>
      <c r="AF441" s="4"/>
      <c r="AG441" s="4"/>
      <c r="AH441" s="4"/>
      <c r="AI441" s="4"/>
      <c r="AJ441" s="76" t="str">
        <f>IF(E441="○",IF(COUNTA(E$13:E441)=1,"",",")&amp;D441,"")</f>
        <v/>
      </c>
      <c r="AK441" s="4"/>
      <c r="AL441" s="4"/>
      <c r="AM441" s="4"/>
      <c r="AN441" s="4"/>
      <c r="AO441" s="4"/>
      <c r="AP441" s="4"/>
      <c r="AQ441" s="4"/>
      <c r="AR441" s="4"/>
      <c r="AS441" s="76" t="str">
        <f>"COMMENT ON COLUMN "&amp;エンティティ一覧!$O$2&amp;"."&amp;D$8&amp;"."&amp;D441&amp;" IS '"&amp;C441&amp;"';"</f>
        <v>COMMENT ON COLUMN milscm_2023_009.sny_202310_annony_bef2.shikkan423_start_date IS 'C852_疾患開始日';</v>
      </c>
    </row>
    <row r="442" spans="1:45" s="25" customFormat="1">
      <c r="A442" s="4" t="s">
        <v>5566</v>
      </c>
      <c r="B442" s="21">
        <f t="shared" si="53"/>
        <v>430</v>
      </c>
      <c r="C442" s="13" t="s">
        <v>6956</v>
      </c>
      <c r="D442" s="13" t="s">
        <v>6084</v>
      </c>
      <c r="E442" s="8"/>
      <c r="F442" s="7" t="s">
        <v>4348</v>
      </c>
      <c r="G442" s="7" t="s">
        <v>25</v>
      </c>
      <c r="H442" s="58"/>
      <c r="I442" s="23"/>
      <c r="J442" s="24"/>
      <c r="M442" s="4"/>
      <c r="N442" s="76"/>
      <c r="O442" s="76"/>
      <c r="P442" s="76" t="str">
        <f t="shared" si="54"/>
        <v>,shikkan424_start_date</v>
      </c>
      <c r="Q442" s="76" t="str">
        <f t="shared" si="55"/>
        <v>DATE</v>
      </c>
      <c r="R442" s="76" t="str">
        <f t="shared" si="56"/>
        <v/>
      </c>
      <c r="S442" s="76" t="str">
        <f t="shared" si="57"/>
        <v/>
      </c>
      <c r="T442" s="76" t="str">
        <f t="shared" si="58"/>
        <v>-- C857_疾患開始日</v>
      </c>
      <c r="U442" s="4" t="str">
        <f t="shared" si="40"/>
        <v>, CASE WHEN shikkan_disp_name = 'C857' THEN min_shikkan_start_date ::DATE ELSE NULL END AS shikkan424_start_date</v>
      </c>
      <c r="V442" s="25" t="str">
        <f t="shared" si="41"/>
        <v>, max(shikkan424_start_date)</v>
      </c>
      <c r="AA442" s="4"/>
      <c r="AB442" s="4"/>
      <c r="AC442" s="4"/>
      <c r="AD442" s="4"/>
      <c r="AE442" s="4"/>
      <c r="AF442" s="4"/>
      <c r="AG442" s="4"/>
      <c r="AH442" s="4"/>
      <c r="AI442" s="4"/>
      <c r="AJ442" s="76" t="str">
        <f>IF(E442="○",IF(COUNTA(E$13:E442)=1,"",",")&amp;D442,"")</f>
        <v/>
      </c>
      <c r="AK442" s="4"/>
      <c r="AL442" s="4"/>
      <c r="AM442" s="4"/>
      <c r="AN442" s="4"/>
      <c r="AO442" s="4"/>
      <c r="AP442" s="4"/>
      <c r="AQ442" s="4"/>
      <c r="AR442" s="4"/>
      <c r="AS442" s="76" t="str">
        <f>"COMMENT ON COLUMN "&amp;エンティティ一覧!$O$2&amp;"."&amp;D$8&amp;"."&amp;D442&amp;" IS '"&amp;C442&amp;"';"</f>
        <v>COMMENT ON COLUMN milscm_2023_009.sny_202310_annony_bef2.shikkan424_start_date IS 'C857_疾患開始日';</v>
      </c>
    </row>
    <row r="443" spans="1:45" s="25" customFormat="1">
      <c r="A443" s="4" t="s">
        <v>5567</v>
      </c>
      <c r="B443" s="21">
        <f t="shared" si="53"/>
        <v>431</v>
      </c>
      <c r="C443" s="13" t="s">
        <v>6957</v>
      </c>
      <c r="D443" s="13" t="s">
        <v>6085</v>
      </c>
      <c r="E443" s="8"/>
      <c r="F443" s="7" t="s">
        <v>4348</v>
      </c>
      <c r="G443" s="7" t="s">
        <v>25</v>
      </c>
      <c r="H443" s="58"/>
      <c r="I443" s="23"/>
      <c r="J443" s="24"/>
      <c r="M443" s="4"/>
      <c r="N443" s="76"/>
      <c r="O443" s="76"/>
      <c r="P443" s="76" t="str">
        <f t="shared" si="54"/>
        <v>,shikkan425_start_date</v>
      </c>
      <c r="Q443" s="76" t="str">
        <f t="shared" si="55"/>
        <v>DATE</v>
      </c>
      <c r="R443" s="76" t="str">
        <f t="shared" si="56"/>
        <v/>
      </c>
      <c r="S443" s="76" t="str">
        <f t="shared" si="57"/>
        <v/>
      </c>
      <c r="T443" s="76" t="str">
        <f t="shared" si="58"/>
        <v>-- C859_疾患開始日</v>
      </c>
      <c r="U443" s="4" t="str">
        <f t="shared" si="40"/>
        <v>, CASE WHEN shikkan_disp_name = 'C859' THEN min_shikkan_start_date ::DATE ELSE NULL END AS shikkan425_start_date</v>
      </c>
      <c r="V443" s="25" t="str">
        <f t="shared" si="41"/>
        <v>, max(shikkan425_start_date)</v>
      </c>
      <c r="AA443" s="4"/>
      <c r="AB443" s="4"/>
      <c r="AC443" s="4"/>
      <c r="AD443" s="4"/>
      <c r="AE443" s="4"/>
      <c r="AF443" s="4"/>
      <c r="AG443" s="4"/>
      <c r="AH443" s="4"/>
      <c r="AI443" s="4"/>
      <c r="AJ443" s="76" t="str">
        <f>IF(E443="○",IF(COUNTA(E$13:E443)=1,"",",")&amp;D443,"")</f>
        <v/>
      </c>
      <c r="AK443" s="4"/>
      <c r="AL443" s="4"/>
      <c r="AM443" s="4"/>
      <c r="AN443" s="4"/>
      <c r="AO443" s="4"/>
      <c r="AP443" s="4"/>
      <c r="AQ443" s="4"/>
      <c r="AR443" s="4"/>
      <c r="AS443" s="76" t="str">
        <f>"COMMENT ON COLUMN "&amp;エンティティ一覧!$O$2&amp;"."&amp;D$8&amp;"."&amp;D443&amp;" IS '"&amp;C443&amp;"';"</f>
        <v>COMMENT ON COLUMN milscm_2023_009.sny_202310_annony_bef2.shikkan425_start_date IS 'C859_疾患開始日';</v>
      </c>
    </row>
    <row r="444" spans="1:45" s="25" customFormat="1">
      <c r="A444" s="4" t="s">
        <v>5568</v>
      </c>
      <c r="B444" s="21">
        <f t="shared" si="53"/>
        <v>432</v>
      </c>
      <c r="C444" s="13" t="s">
        <v>6958</v>
      </c>
      <c r="D444" s="13" t="s">
        <v>6086</v>
      </c>
      <c r="E444" s="8"/>
      <c r="F444" s="7" t="s">
        <v>4348</v>
      </c>
      <c r="G444" s="7" t="s">
        <v>25</v>
      </c>
      <c r="H444" s="58"/>
      <c r="I444" s="23"/>
      <c r="J444" s="24"/>
      <c r="M444" s="4"/>
      <c r="N444" s="76"/>
      <c r="O444" s="76"/>
      <c r="P444" s="76" t="str">
        <f t="shared" si="54"/>
        <v>,shikkan426_start_date</v>
      </c>
      <c r="Q444" s="76" t="str">
        <f t="shared" si="55"/>
        <v>DATE</v>
      </c>
      <c r="R444" s="76" t="str">
        <f t="shared" si="56"/>
        <v/>
      </c>
      <c r="S444" s="76" t="str">
        <f t="shared" si="57"/>
        <v/>
      </c>
      <c r="T444" s="76" t="str">
        <f t="shared" si="58"/>
        <v>-- C880_疾患開始日</v>
      </c>
      <c r="U444" s="4" t="str">
        <f t="shared" si="40"/>
        <v>, CASE WHEN shikkan_disp_name = 'C880' THEN min_shikkan_start_date ::DATE ELSE NULL END AS shikkan426_start_date</v>
      </c>
      <c r="V444" s="25" t="str">
        <f t="shared" si="41"/>
        <v>, max(shikkan426_start_date)</v>
      </c>
      <c r="AA444" s="4"/>
      <c r="AB444" s="4"/>
      <c r="AC444" s="4"/>
      <c r="AD444" s="4"/>
      <c r="AE444" s="4"/>
      <c r="AF444" s="4"/>
      <c r="AG444" s="4"/>
      <c r="AH444" s="4"/>
      <c r="AI444" s="4"/>
      <c r="AJ444" s="76" t="str">
        <f>IF(E444="○",IF(COUNTA(E$13:E444)=1,"",",")&amp;D444,"")</f>
        <v/>
      </c>
      <c r="AK444" s="4"/>
      <c r="AL444" s="4"/>
      <c r="AM444" s="4"/>
      <c r="AN444" s="4"/>
      <c r="AO444" s="4"/>
      <c r="AP444" s="4"/>
      <c r="AQ444" s="4"/>
      <c r="AR444" s="4"/>
      <c r="AS444" s="76" t="str">
        <f>"COMMENT ON COLUMN "&amp;エンティティ一覧!$O$2&amp;"."&amp;D$8&amp;"."&amp;D444&amp;" IS '"&amp;C444&amp;"';"</f>
        <v>COMMENT ON COLUMN milscm_2023_009.sny_202310_annony_bef2.shikkan426_start_date IS 'C880_疾患開始日';</v>
      </c>
    </row>
    <row r="445" spans="1:45" s="25" customFormat="1">
      <c r="A445" s="4" t="s">
        <v>5569</v>
      </c>
      <c r="B445" s="21">
        <f t="shared" si="53"/>
        <v>433</v>
      </c>
      <c r="C445" s="13" t="s">
        <v>6959</v>
      </c>
      <c r="D445" s="13" t="s">
        <v>6087</v>
      </c>
      <c r="E445" s="8"/>
      <c r="F445" s="7" t="s">
        <v>4348</v>
      </c>
      <c r="G445" s="7" t="s">
        <v>25</v>
      </c>
      <c r="H445" s="58"/>
      <c r="I445" s="23"/>
      <c r="J445" s="24"/>
      <c r="M445" s="4"/>
      <c r="N445" s="76"/>
      <c r="O445" s="76"/>
      <c r="P445" s="76" t="str">
        <f t="shared" si="54"/>
        <v>,shikkan427_start_date</v>
      </c>
      <c r="Q445" s="76" t="str">
        <f t="shared" si="55"/>
        <v>DATE</v>
      </c>
      <c r="R445" s="76" t="str">
        <f t="shared" si="56"/>
        <v/>
      </c>
      <c r="S445" s="76" t="str">
        <f t="shared" si="57"/>
        <v/>
      </c>
      <c r="T445" s="76" t="str">
        <f t="shared" si="58"/>
        <v>-- C882_疾患開始日</v>
      </c>
      <c r="U445" s="4" t="str">
        <f t="shared" si="40"/>
        <v>, CASE WHEN shikkan_disp_name = 'C882' THEN min_shikkan_start_date ::DATE ELSE NULL END AS shikkan427_start_date</v>
      </c>
      <c r="V445" s="25" t="str">
        <f t="shared" si="41"/>
        <v>, max(shikkan427_start_date)</v>
      </c>
      <c r="AA445" s="4"/>
      <c r="AB445" s="4"/>
      <c r="AC445" s="4"/>
      <c r="AD445" s="4"/>
      <c r="AE445" s="4"/>
      <c r="AF445" s="4"/>
      <c r="AG445" s="4"/>
      <c r="AH445" s="4"/>
      <c r="AI445" s="4"/>
      <c r="AJ445" s="76" t="str">
        <f>IF(E445="○",IF(COUNTA(E$13:E445)=1,"",",")&amp;D445,"")</f>
        <v/>
      </c>
      <c r="AK445" s="4"/>
      <c r="AL445" s="4"/>
      <c r="AM445" s="4"/>
      <c r="AN445" s="4"/>
      <c r="AO445" s="4"/>
      <c r="AP445" s="4"/>
      <c r="AQ445" s="4"/>
      <c r="AR445" s="4"/>
      <c r="AS445" s="76" t="str">
        <f>"COMMENT ON COLUMN "&amp;エンティティ一覧!$O$2&amp;"."&amp;D$8&amp;"."&amp;D445&amp;" IS '"&amp;C445&amp;"';"</f>
        <v>COMMENT ON COLUMN milscm_2023_009.sny_202310_annony_bef2.shikkan427_start_date IS 'C882_疾患開始日';</v>
      </c>
    </row>
    <row r="446" spans="1:45" s="25" customFormat="1">
      <c r="A446" s="4" t="s">
        <v>5570</v>
      </c>
      <c r="B446" s="21">
        <f t="shared" si="53"/>
        <v>434</v>
      </c>
      <c r="C446" s="13" t="s">
        <v>6960</v>
      </c>
      <c r="D446" s="13" t="s">
        <v>6088</v>
      </c>
      <c r="E446" s="8"/>
      <c r="F446" s="7" t="s">
        <v>4348</v>
      </c>
      <c r="G446" s="7" t="s">
        <v>25</v>
      </c>
      <c r="H446" s="58"/>
      <c r="I446" s="23"/>
      <c r="J446" s="24"/>
      <c r="M446" s="4"/>
      <c r="N446" s="76"/>
      <c r="O446" s="76"/>
      <c r="P446" s="76" t="str">
        <f t="shared" si="54"/>
        <v>,shikkan428_start_date</v>
      </c>
      <c r="Q446" s="76" t="str">
        <f t="shared" si="55"/>
        <v>DATE</v>
      </c>
      <c r="R446" s="76" t="str">
        <f t="shared" si="56"/>
        <v/>
      </c>
      <c r="S446" s="76" t="str">
        <f t="shared" si="57"/>
        <v/>
      </c>
      <c r="T446" s="76" t="str">
        <f t="shared" si="58"/>
        <v>-- C883_疾患開始日</v>
      </c>
      <c r="U446" s="4" t="str">
        <f t="shared" si="40"/>
        <v>, CASE WHEN shikkan_disp_name = 'C883' THEN min_shikkan_start_date ::DATE ELSE NULL END AS shikkan428_start_date</v>
      </c>
      <c r="V446" s="25" t="str">
        <f t="shared" si="41"/>
        <v>, max(shikkan428_start_date)</v>
      </c>
      <c r="AA446" s="4"/>
      <c r="AB446" s="4"/>
      <c r="AC446" s="4"/>
      <c r="AD446" s="4"/>
      <c r="AE446" s="4"/>
      <c r="AF446" s="4"/>
      <c r="AG446" s="4"/>
      <c r="AH446" s="4"/>
      <c r="AI446" s="4"/>
      <c r="AJ446" s="76" t="str">
        <f>IF(E446="○",IF(COUNTA(E$13:E446)=1,"",",")&amp;D446,"")</f>
        <v/>
      </c>
      <c r="AK446" s="4"/>
      <c r="AL446" s="4"/>
      <c r="AM446" s="4"/>
      <c r="AN446" s="4"/>
      <c r="AO446" s="4"/>
      <c r="AP446" s="4"/>
      <c r="AQ446" s="4"/>
      <c r="AR446" s="4"/>
      <c r="AS446" s="76" t="str">
        <f>"COMMENT ON COLUMN "&amp;エンティティ一覧!$O$2&amp;"."&amp;D$8&amp;"."&amp;D446&amp;" IS '"&amp;C446&amp;"';"</f>
        <v>COMMENT ON COLUMN milscm_2023_009.sny_202310_annony_bef2.shikkan428_start_date IS 'C883_疾患開始日';</v>
      </c>
    </row>
    <row r="447" spans="1:45" s="25" customFormat="1">
      <c r="A447" s="4" t="s">
        <v>5571</v>
      </c>
      <c r="B447" s="21">
        <f t="shared" si="53"/>
        <v>435</v>
      </c>
      <c r="C447" s="13" t="s">
        <v>6961</v>
      </c>
      <c r="D447" s="13" t="s">
        <v>6089</v>
      </c>
      <c r="E447" s="8"/>
      <c r="F447" s="7" t="s">
        <v>4348</v>
      </c>
      <c r="G447" s="7" t="s">
        <v>25</v>
      </c>
      <c r="H447" s="58"/>
      <c r="I447" s="23"/>
      <c r="J447" s="24"/>
      <c r="M447" s="4"/>
      <c r="N447" s="76"/>
      <c r="O447" s="76"/>
      <c r="P447" s="76" t="str">
        <f t="shared" si="54"/>
        <v>,shikkan429_start_date</v>
      </c>
      <c r="Q447" s="76" t="str">
        <f t="shared" si="55"/>
        <v>DATE</v>
      </c>
      <c r="R447" s="76" t="str">
        <f t="shared" si="56"/>
        <v/>
      </c>
      <c r="S447" s="76" t="str">
        <f t="shared" si="57"/>
        <v/>
      </c>
      <c r="T447" s="76" t="str">
        <f t="shared" si="58"/>
        <v>-- C884_疾患開始日</v>
      </c>
      <c r="U447" s="4" t="str">
        <f t="shared" si="40"/>
        <v>, CASE WHEN shikkan_disp_name = 'C884' THEN min_shikkan_start_date ::DATE ELSE NULL END AS shikkan429_start_date</v>
      </c>
      <c r="V447" s="25" t="str">
        <f t="shared" si="41"/>
        <v>, max(shikkan429_start_date)</v>
      </c>
      <c r="AA447" s="4"/>
      <c r="AB447" s="4"/>
      <c r="AC447" s="4"/>
      <c r="AD447" s="4"/>
      <c r="AE447" s="4"/>
      <c r="AF447" s="4"/>
      <c r="AG447" s="4"/>
      <c r="AH447" s="4"/>
      <c r="AI447" s="4"/>
      <c r="AJ447" s="76" t="str">
        <f>IF(E447="○",IF(COUNTA(E$13:E447)=1,"",",")&amp;D447,"")</f>
        <v/>
      </c>
      <c r="AK447" s="4"/>
      <c r="AL447" s="4"/>
      <c r="AM447" s="4"/>
      <c r="AN447" s="4"/>
      <c r="AO447" s="4"/>
      <c r="AP447" s="4"/>
      <c r="AQ447" s="4"/>
      <c r="AR447" s="4"/>
      <c r="AS447" s="76" t="str">
        <f>"COMMENT ON COLUMN "&amp;エンティティ一覧!$O$2&amp;"."&amp;D$8&amp;"."&amp;D447&amp;" IS '"&amp;C447&amp;"';"</f>
        <v>COMMENT ON COLUMN milscm_2023_009.sny_202310_annony_bef2.shikkan429_start_date IS 'C884_疾患開始日';</v>
      </c>
    </row>
    <row r="448" spans="1:45" s="25" customFormat="1">
      <c r="A448" s="4" t="s">
        <v>5572</v>
      </c>
      <c r="B448" s="21">
        <f t="shared" si="53"/>
        <v>436</v>
      </c>
      <c r="C448" s="13" t="s">
        <v>6962</v>
      </c>
      <c r="D448" s="13" t="s">
        <v>6090</v>
      </c>
      <c r="E448" s="8"/>
      <c r="F448" s="7" t="s">
        <v>4348</v>
      </c>
      <c r="G448" s="7" t="s">
        <v>25</v>
      </c>
      <c r="H448" s="58"/>
      <c r="I448" s="23"/>
      <c r="J448" s="24"/>
      <c r="M448" s="4"/>
      <c r="N448" s="76"/>
      <c r="O448" s="76"/>
      <c r="P448" s="76" t="str">
        <f t="shared" si="54"/>
        <v>,shikkan430_start_date</v>
      </c>
      <c r="Q448" s="76" t="str">
        <f t="shared" si="55"/>
        <v>DATE</v>
      </c>
      <c r="R448" s="76" t="str">
        <f t="shared" si="56"/>
        <v/>
      </c>
      <c r="S448" s="76" t="str">
        <f t="shared" si="57"/>
        <v/>
      </c>
      <c r="T448" s="76" t="str">
        <f t="shared" si="58"/>
        <v>-- C887_疾患開始日</v>
      </c>
      <c r="U448" s="4" t="str">
        <f t="shared" si="40"/>
        <v>, CASE WHEN shikkan_disp_name = 'C887' THEN min_shikkan_start_date ::DATE ELSE NULL END AS shikkan430_start_date</v>
      </c>
      <c r="V448" s="25" t="str">
        <f t="shared" si="41"/>
        <v>, max(shikkan430_start_date)</v>
      </c>
      <c r="AA448" s="4"/>
      <c r="AB448" s="4"/>
      <c r="AC448" s="4"/>
      <c r="AD448" s="4"/>
      <c r="AE448" s="4"/>
      <c r="AF448" s="4"/>
      <c r="AG448" s="4"/>
      <c r="AH448" s="4"/>
      <c r="AI448" s="4"/>
      <c r="AJ448" s="76" t="str">
        <f>IF(E448="○",IF(COUNTA(E$13:E448)=1,"",",")&amp;D448,"")</f>
        <v/>
      </c>
      <c r="AK448" s="4"/>
      <c r="AL448" s="4"/>
      <c r="AM448" s="4"/>
      <c r="AN448" s="4"/>
      <c r="AO448" s="4"/>
      <c r="AP448" s="4"/>
      <c r="AQ448" s="4"/>
      <c r="AR448" s="4"/>
      <c r="AS448" s="76" t="str">
        <f>"COMMENT ON COLUMN "&amp;エンティティ一覧!$O$2&amp;"."&amp;D$8&amp;"."&amp;D448&amp;" IS '"&amp;C448&amp;"';"</f>
        <v>COMMENT ON COLUMN milscm_2023_009.sny_202310_annony_bef2.shikkan430_start_date IS 'C887_疾患開始日';</v>
      </c>
    </row>
    <row r="449" spans="1:45" s="25" customFormat="1">
      <c r="A449" s="4" t="s">
        <v>5573</v>
      </c>
      <c r="B449" s="21">
        <f t="shared" si="53"/>
        <v>437</v>
      </c>
      <c r="C449" s="13" t="s">
        <v>6963</v>
      </c>
      <c r="D449" s="13" t="s">
        <v>6091</v>
      </c>
      <c r="E449" s="8"/>
      <c r="F449" s="7" t="s">
        <v>4348</v>
      </c>
      <c r="G449" s="7" t="s">
        <v>25</v>
      </c>
      <c r="H449" s="58"/>
      <c r="I449" s="23"/>
      <c r="J449" s="24"/>
      <c r="M449" s="4"/>
      <c r="N449" s="76"/>
      <c r="O449" s="76"/>
      <c r="P449" s="76" t="str">
        <f t="shared" si="54"/>
        <v>,shikkan431_start_date</v>
      </c>
      <c r="Q449" s="76" t="str">
        <f t="shared" si="55"/>
        <v>DATE</v>
      </c>
      <c r="R449" s="76" t="str">
        <f t="shared" si="56"/>
        <v/>
      </c>
      <c r="S449" s="76" t="str">
        <f t="shared" si="57"/>
        <v/>
      </c>
      <c r="T449" s="76" t="str">
        <f t="shared" si="58"/>
        <v>-- C889_疾患開始日</v>
      </c>
      <c r="U449" s="4" t="str">
        <f t="shared" si="40"/>
        <v>, CASE WHEN shikkan_disp_name = 'C889' THEN min_shikkan_start_date ::DATE ELSE NULL END AS shikkan431_start_date</v>
      </c>
      <c r="V449" s="25" t="str">
        <f t="shared" si="41"/>
        <v>, max(shikkan431_start_date)</v>
      </c>
      <c r="AA449" s="4"/>
      <c r="AB449" s="4"/>
      <c r="AC449" s="4"/>
      <c r="AD449" s="4"/>
      <c r="AE449" s="4"/>
      <c r="AF449" s="4"/>
      <c r="AG449" s="4"/>
      <c r="AH449" s="4"/>
      <c r="AI449" s="4"/>
      <c r="AJ449" s="76" t="str">
        <f>IF(E449="○",IF(COUNTA(E$13:E449)=1,"",",")&amp;D449,"")</f>
        <v/>
      </c>
      <c r="AK449" s="4"/>
      <c r="AL449" s="4"/>
      <c r="AM449" s="4"/>
      <c r="AN449" s="4"/>
      <c r="AO449" s="4"/>
      <c r="AP449" s="4"/>
      <c r="AQ449" s="4"/>
      <c r="AR449" s="4"/>
      <c r="AS449" s="76" t="str">
        <f>"COMMENT ON COLUMN "&amp;エンティティ一覧!$O$2&amp;"."&amp;D$8&amp;"."&amp;D449&amp;" IS '"&amp;C449&amp;"';"</f>
        <v>COMMENT ON COLUMN milscm_2023_009.sny_202310_annony_bef2.shikkan431_start_date IS 'C889_疾患開始日';</v>
      </c>
    </row>
    <row r="450" spans="1:45" s="25" customFormat="1">
      <c r="A450" s="4" t="s">
        <v>5574</v>
      </c>
      <c r="B450" s="21">
        <f t="shared" si="53"/>
        <v>438</v>
      </c>
      <c r="C450" s="13" t="s">
        <v>6964</v>
      </c>
      <c r="D450" s="13" t="s">
        <v>6092</v>
      </c>
      <c r="E450" s="8"/>
      <c r="F450" s="7" t="s">
        <v>4348</v>
      </c>
      <c r="G450" s="7" t="s">
        <v>99</v>
      </c>
      <c r="H450" s="58"/>
      <c r="I450" s="23"/>
      <c r="J450" s="24"/>
      <c r="M450" s="4"/>
      <c r="N450" s="76"/>
      <c r="O450" s="76"/>
      <c r="P450" s="76" t="str">
        <f t="shared" si="54"/>
        <v>,shikkan432_start_date</v>
      </c>
      <c r="Q450" s="76" t="str">
        <f t="shared" si="55"/>
        <v>DATE</v>
      </c>
      <c r="R450" s="76" t="str">
        <f t="shared" si="56"/>
        <v/>
      </c>
      <c r="S450" s="76" t="str">
        <f t="shared" si="57"/>
        <v/>
      </c>
      <c r="T450" s="76" t="str">
        <f t="shared" si="58"/>
        <v>-- C900_疾患開始日</v>
      </c>
      <c r="U450" s="4" t="str">
        <f t="shared" si="40"/>
        <v>, CASE WHEN shikkan_disp_name = 'C900' THEN min_shikkan_start_date ::DATE ELSE NULL END AS shikkan432_start_date</v>
      </c>
      <c r="V450" s="25" t="str">
        <f t="shared" si="41"/>
        <v>, max(shikkan432_start_date)</v>
      </c>
      <c r="AA450" s="4"/>
      <c r="AB450" s="4"/>
      <c r="AC450" s="4"/>
      <c r="AD450" s="4"/>
      <c r="AE450" s="4"/>
      <c r="AF450" s="4"/>
      <c r="AG450" s="4"/>
      <c r="AH450" s="4"/>
      <c r="AI450" s="4"/>
      <c r="AJ450" s="76" t="str">
        <f>IF(E450="○",IF(COUNTA(E$13:E450)=1,"",",")&amp;D450,"")</f>
        <v/>
      </c>
      <c r="AK450" s="4"/>
      <c r="AL450" s="4"/>
      <c r="AM450" s="4"/>
      <c r="AN450" s="4"/>
      <c r="AO450" s="4"/>
      <c r="AP450" s="4"/>
      <c r="AQ450" s="4"/>
      <c r="AR450" s="4"/>
      <c r="AS450" s="76" t="str">
        <f>"COMMENT ON COLUMN "&amp;エンティティ一覧!$O$2&amp;"."&amp;D$8&amp;"."&amp;D450&amp;" IS '"&amp;C450&amp;"';"</f>
        <v>COMMENT ON COLUMN milscm_2023_009.sny_202310_annony_bef2.shikkan432_start_date IS 'C900_疾患開始日';</v>
      </c>
    </row>
    <row r="451" spans="1:45" s="25" customFormat="1">
      <c r="A451" s="4" t="s">
        <v>5575</v>
      </c>
      <c r="B451" s="21">
        <f t="shared" si="53"/>
        <v>439</v>
      </c>
      <c r="C451" s="13" t="s">
        <v>6965</v>
      </c>
      <c r="D451" s="13" t="s">
        <v>6093</v>
      </c>
      <c r="E451" s="8"/>
      <c r="F451" s="7" t="s">
        <v>4348</v>
      </c>
      <c r="G451" s="7" t="s">
        <v>25</v>
      </c>
      <c r="H451" s="58"/>
      <c r="I451" s="23"/>
      <c r="J451" s="24"/>
      <c r="M451" s="4"/>
      <c r="N451" s="76"/>
      <c r="O451" s="76"/>
      <c r="P451" s="76" t="str">
        <f t="shared" si="54"/>
        <v>,shikkan433_start_date</v>
      </c>
      <c r="Q451" s="76" t="str">
        <f t="shared" si="55"/>
        <v>DATE</v>
      </c>
      <c r="R451" s="76" t="str">
        <f t="shared" si="56"/>
        <v/>
      </c>
      <c r="S451" s="76" t="str">
        <f t="shared" si="57"/>
        <v/>
      </c>
      <c r="T451" s="76" t="str">
        <f t="shared" si="58"/>
        <v>-- C901_疾患開始日</v>
      </c>
      <c r="U451" s="4" t="str">
        <f t="shared" si="40"/>
        <v>, CASE WHEN shikkan_disp_name = 'C901' THEN min_shikkan_start_date ::DATE ELSE NULL END AS shikkan433_start_date</v>
      </c>
      <c r="V451" s="25" t="str">
        <f t="shared" si="41"/>
        <v>, max(shikkan433_start_date)</v>
      </c>
      <c r="AA451" s="4"/>
      <c r="AB451" s="4"/>
      <c r="AC451" s="4"/>
      <c r="AD451" s="4"/>
      <c r="AE451" s="4"/>
      <c r="AF451" s="4"/>
      <c r="AG451" s="4"/>
      <c r="AH451" s="4"/>
      <c r="AI451" s="4"/>
      <c r="AJ451" s="76" t="str">
        <f>IF(E451="○",IF(COUNTA(E$13:E451)=1,"",",")&amp;D451,"")</f>
        <v/>
      </c>
      <c r="AK451" s="4"/>
      <c r="AL451" s="4"/>
      <c r="AM451" s="4"/>
      <c r="AN451" s="4"/>
      <c r="AO451" s="4"/>
      <c r="AP451" s="4"/>
      <c r="AQ451" s="4"/>
      <c r="AR451" s="4"/>
      <c r="AS451" s="76" t="str">
        <f>"COMMENT ON COLUMN "&amp;エンティティ一覧!$O$2&amp;"."&amp;D$8&amp;"."&amp;D451&amp;" IS '"&amp;C451&amp;"';"</f>
        <v>COMMENT ON COLUMN milscm_2023_009.sny_202310_annony_bef2.shikkan433_start_date IS 'C901_疾患開始日';</v>
      </c>
    </row>
    <row r="452" spans="1:45" s="25" customFormat="1">
      <c r="A452" s="4" t="s">
        <v>5576</v>
      </c>
      <c r="B452" s="21">
        <f t="shared" si="53"/>
        <v>440</v>
      </c>
      <c r="C452" s="13" t="s">
        <v>6966</v>
      </c>
      <c r="D452" s="13" t="s">
        <v>6094</v>
      </c>
      <c r="E452" s="8"/>
      <c r="F452" s="7" t="s">
        <v>4348</v>
      </c>
      <c r="G452" s="7" t="s">
        <v>25</v>
      </c>
      <c r="H452" s="58"/>
      <c r="I452" s="23"/>
      <c r="J452" s="24"/>
      <c r="M452" s="4"/>
      <c r="N452" s="76"/>
      <c r="O452" s="76"/>
      <c r="P452" s="76" t="str">
        <f t="shared" si="54"/>
        <v>,shikkan434_start_date</v>
      </c>
      <c r="Q452" s="76" t="str">
        <f t="shared" si="55"/>
        <v>DATE</v>
      </c>
      <c r="R452" s="76" t="str">
        <f t="shared" si="56"/>
        <v/>
      </c>
      <c r="S452" s="76" t="str">
        <f t="shared" si="57"/>
        <v/>
      </c>
      <c r="T452" s="76" t="str">
        <f t="shared" si="58"/>
        <v>-- C902_疾患開始日</v>
      </c>
      <c r="U452" s="4" t="str">
        <f t="shared" si="40"/>
        <v>, CASE WHEN shikkan_disp_name = 'C902' THEN min_shikkan_start_date ::DATE ELSE NULL END AS shikkan434_start_date</v>
      </c>
      <c r="V452" s="25" t="str">
        <f t="shared" si="41"/>
        <v>, max(shikkan434_start_date)</v>
      </c>
      <c r="AA452" s="4"/>
      <c r="AB452" s="4"/>
      <c r="AC452" s="4"/>
      <c r="AD452" s="4"/>
      <c r="AE452" s="4"/>
      <c r="AF452" s="4"/>
      <c r="AG452" s="4"/>
      <c r="AH452" s="4"/>
      <c r="AI452" s="4"/>
      <c r="AJ452" s="76" t="str">
        <f>IF(E452="○",IF(COUNTA(E$13:E452)=1,"",",")&amp;D452,"")</f>
        <v/>
      </c>
      <c r="AK452" s="4"/>
      <c r="AL452" s="4"/>
      <c r="AM452" s="4"/>
      <c r="AN452" s="4"/>
      <c r="AO452" s="4"/>
      <c r="AP452" s="4"/>
      <c r="AQ452" s="4"/>
      <c r="AR452" s="4"/>
      <c r="AS452" s="76" t="str">
        <f>"COMMENT ON COLUMN "&amp;エンティティ一覧!$O$2&amp;"."&amp;D$8&amp;"."&amp;D452&amp;" IS '"&amp;C452&amp;"';"</f>
        <v>COMMENT ON COLUMN milscm_2023_009.sny_202310_annony_bef2.shikkan434_start_date IS 'C902_疾患開始日';</v>
      </c>
    </row>
    <row r="453" spans="1:45" s="25" customFormat="1">
      <c r="A453" s="4" t="s">
        <v>5577</v>
      </c>
      <c r="B453" s="21">
        <f t="shared" si="53"/>
        <v>441</v>
      </c>
      <c r="C453" s="13" t="s">
        <v>6967</v>
      </c>
      <c r="D453" s="13" t="s">
        <v>6095</v>
      </c>
      <c r="E453" s="8"/>
      <c r="F453" s="7" t="s">
        <v>4348</v>
      </c>
      <c r="G453" s="7" t="s">
        <v>25</v>
      </c>
      <c r="H453" s="58"/>
      <c r="I453" s="23"/>
      <c r="J453" s="24"/>
      <c r="M453" s="4"/>
      <c r="N453" s="76"/>
      <c r="O453" s="76"/>
      <c r="P453" s="76" t="str">
        <f t="shared" si="54"/>
        <v>,shikkan435_start_date</v>
      </c>
      <c r="Q453" s="76" t="str">
        <f t="shared" si="55"/>
        <v>DATE</v>
      </c>
      <c r="R453" s="76" t="str">
        <f t="shared" si="56"/>
        <v/>
      </c>
      <c r="S453" s="76" t="str">
        <f t="shared" si="57"/>
        <v/>
      </c>
      <c r="T453" s="76" t="str">
        <f t="shared" si="58"/>
        <v>-- C903_疾患開始日</v>
      </c>
      <c r="U453" s="4" t="str">
        <f t="shared" si="40"/>
        <v>, CASE WHEN shikkan_disp_name = 'C903' THEN min_shikkan_start_date ::DATE ELSE NULL END AS shikkan435_start_date</v>
      </c>
      <c r="V453" s="25" t="str">
        <f t="shared" si="41"/>
        <v>, max(shikkan435_start_date)</v>
      </c>
      <c r="AA453" s="4"/>
      <c r="AB453" s="4"/>
      <c r="AC453" s="4"/>
      <c r="AD453" s="4"/>
      <c r="AE453" s="4"/>
      <c r="AF453" s="4"/>
      <c r="AG453" s="4"/>
      <c r="AH453" s="4"/>
      <c r="AI453" s="4"/>
      <c r="AJ453" s="76" t="str">
        <f>IF(E453="○",IF(COUNTA(E$13:E453)=1,"",",")&amp;D453,"")</f>
        <v/>
      </c>
      <c r="AK453" s="4"/>
      <c r="AL453" s="4"/>
      <c r="AM453" s="4"/>
      <c r="AN453" s="4"/>
      <c r="AO453" s="4"/>
      <c r="AP453" s="4"/>
      <c r="AQ453" s="4"/>
      <c r="AR453" s="4"/>
      <c r="AS453" s="76" t="str">
        <f>"COMMENT ON COLUMN "&amp;エンティティ一覧!$O$2&amp;"."&amp;D$8&amp;"."&amp;D453&amp;" IS '"&amp;C453&amp;"';"</f>
        <v>COMMENT ON COLUMN milscm_2023_009.sny_202310_annony_bef2.shikkan435_start_date IS 'C903_疾患開始日';</v>
      </c>
    </row>
    <row r="454" spans="1:45" s="25" customFormat="1">
      <c r="A454" s="4" t="s">
        <v>5578</v>
      </c>
      <c r="B454" s="21">
        <f t="shared" si="53"/>
        <v>442</v>
      </c>
      <c r="C454" s="13" t="s">
        <v>6968</v>
      </c>
      <c r="D454" s="13" t="s">
        <v>6096</v>
      </c>
      <c r="E454" s="8"/>
      <c r="F454" s="7" t="s">
        <v>4348</v>
      </c>
      <c r="G454" s="7" t="s">
        <v>25</v>
      </c>
      <c r="H454" s="58"/>
      <c r="I454" s="23"/>
      <c r="J454" s="24"/>
      <c r="M454" s="4"/>
      <c r="N454" s="76"/>
      <c r="O454" s="76"/>
      <c r="P454" s="76" t="str">
        <f t="shared" si="54"/>
        <v>,shikkan436_start_date</v>
      </c>
      <c r="Q454" s="76" t="str">
        <f t="shared" si="55"/>
        <v>DATE</v>
      </c>
      <c r="R454" s="76" t="str">
        <f t="shared" si="56"/>
        <v/>
      </c>
      <c r="S454" s="76" t="str">
        <f t="shared" si="57"/>
        <v/>
      </c>
      <c r="T454" s="76" t="str">
        <f t="shared" si="58"/>
        <v>-- C910_疾患開始日</v>
      </c>
      <c r="U454" s="4" t="str">
        <f t="shared" si="40"/>
        <v>, CASE WHEN shikkan_disp_name = 'C910' THEN min_shikkan_start_date ::DATE ELSE NULL END AS shikkan436_start_date</v>
      </c>
      <c r="V454" s="25" t="str">
        <f t="shared" si="41"/>
        <v>, max(shikkan436_start_date)</v>
      </c>
      <c r="AA454" s="4"/>
      <c r="AB454" s="4"/>
      <c r="AC454" s="4"/>
      <c r="AD454" s="4"/>
      <c r="AE454" s="4"/>
      <c r="AF454" s="4"/>
      <c r="AG454" s="4"/>
      <c r="AH454" s="4"/>
      <c r="AI454" s="4"/>
      <c r="AJ454" s="76" t="str">
        <f>IF(E454="○",IF(COUNTA(E$13:E454)=1,"",",")&amp;D454,"")</f>
        <v/>
      </c>
      <c r="AK454" s="4"/>
      <c r="AL454" s="4"/>
      <c r="AM454" s="4"/>
      <c r="AN454" s="4"/>
      <c r="AO454" s="4"/>
      <c r="AP454" s="4"/>
      <c r="AQ454" s="4"/>
      <c r="AR454" s="4"/>
      <c r="AS454" s="76" t="str">
        <f>"COMMENT ON COLUMN "&amp;エンティティ一覧!$O$2&amp;"."&amp;D$8&amp;"."&amp;D454&amp;" IS '"&amp;C454&amp;"';"</f>
        <v>COMMENT ON COLUMN milscm_2023_009.sny_202310_annony_bef2.shikkan436_start_date IS 'C910_疾患開始日';</v>
      </c>
    </row>
    <row r="455" spans="1:45" s="25" customFormat="1">
      <c r="A455" s="4" t="s">
        <v>5579</v>
      </c>
      <c r="B455" s="21">
        <f t="shared" si="53"/>
        <v>443</v>
      </c>
      <c r="C455" s="13" t="s">
        <v>6969</v>
      </c>
      <c r="D455" s="13" t="s">
        <v>6097</v>
      </c>
      <c r="E455" s="8"/>
      <c r="F455" s="7" t="s">
        <v>4348</v>
      </c>
      <c r="G455" s="7" t="s">
        <v>25</v>
      </c>
      <c r="H455" s="58"/>
      <c r="I455" s="23"/>
      <c r="J455" s="24"/>
      <c r="M455" s="4"/>
      <c r="N455" s="76"/>
      <c r="O455" s="76"/>
      <c r="P455" s="76" t="str">
        <f t="shared" si="54"/>
        <v>,shikkan437_start_date</v>
      </c>
      <c r="Q455" s="76" t="str">
        <f t="shared" si="55"/>
        <v>DATE</v>
      </c>
      <c r="R455" s="76" t="str">
        <f t="shared" si="56"/>
        <v/>
      </c>
      <c r="S455" s="76" t="str">
        <f t="shared" si="57"/>
        <v/>
      </c>
      <c r="T455" s="76" t="str">
        <f t="shared" si="58"/>
        <v>-- C911_疾患開始日</v>
      </c>
      <c r="U455" s="4" t="str">
        <f t="shared" si="40"/>
        <v>, CASE WHEN shikkan_disp_name = 'C911' THEN min_shikkan_start_date ::DATE ELSE NULL END AS shikkan437_start_date</v>
      </c>
      <c r="V455" s="25" t="str">
        <f t="shared" si="41"/>
        <v>, max(shikkan437_start_date)</v>
      </c>
      <c r="AA455" s="4"/>
      <c r="AB455" s="4"/>
      <c r="AC455" s="4"/>
      <c r="AD455" s="4"/>
      <c r="AE455" s="4"/>
      <c r="AF455" s="4"/>
      <c r="AG455" s="4"/>
      <c r="AH455" s="4"/>
      <c r="AI455" s="4"/>
      <c r="AJ455" s="76" t="str">
        <f>IF(E455="○",IF(COUNTA(E$13:E455)=1,"",",")&amp;D455,"")</f>
        <v/>
      </c>
      <c r="AK455" s="4"/>
      <c r="AL455" s="4"/>
      <c r="AM455" s="4"/>
      <c r="AN455" s="4"/>
      <c r="AO455" s="4"/>
      <c r="AP455" s="4"/>
      <c r="AQ455" s="4"/>
      <c r="AR455" s="4"/>
      <c r="AS455" s="76" t="str">
        <f>"COMMENT ON COLUMN "&amp;エンティティ一覧!$O$2&amp;"."&amp;D$8&amp;"."&amp;D455&amp;" IS '"&amp;C455&amp;"';"</f>
        <v>COMMENT ON COLUMN milscm_2023_009.sny_202310_annony_bef2.shikkan437_start_date IS 'C911_疾患開始日';</v>
      </c>
    </row>
    <row r="456" spans="1:45" s="25" customFormat="1">
      <c r="A456" s="4" t="s">
        <v>5580</v>
      </c>
      <c r="B456" s="21">
        <f t="shared" si="53"/>
        <v>444</v>
      </c>
      <c r="C456" s="13" t="s">
        <v>6970</v>
      </c>
      <c r="D456" s="13" t="s">
        <v>6098</v>
      </c>
      <c r="E456" s="8"/>
      <c r="F456" s="7" t="s">
        <v>4348</v>
      </c>
      <c r="G456" s="7" t="s">
        <v>25</v>
      </c>
      <c r="H456" s="58"/>
      <c r="I456" s="23"/>
      <c r="J456" s="24"/>
      <c r="M456" s="4"/>
      <c r="N456" s="76"/>
      <c r="O456" s="76"/>
      <c r="P456" s="76" t="str">
        <f t="shared" si="54"/>
        <v>,shikkan438_start_date</v>
      </c>
      <c r="Q456" s="76" t="str">
        <f t="shared" si="55"/>
        <v>DATE</v>
      </c>
      <c r="R456" s="76" t="str">
        <f t="shared" si="56"/>
        <v/>
      </c>
      <c r="S456" s="76" t="str">
        <f t="shared" si="57"/>
        <v/>
      </c>
      <c r="T456" s="76" t="str">
        <f t="shared" si="58"/>
        <v>-- C913_疾患開始日</v>
      </c>
      <c r="U456" s="4" t="str">
        <f t="shared" si="40"/>
        <v>, CASE WHEN shikkan_disp_name = 'C913' THEN min_shikkan_start_date ::DATE ELSE NULL END AS shikkan438_start_date</v>
      </c>
      <c r="V456" s="25" t="str">
        <f t="shared" si="41"/>
        <v>, max(shikkan438_start_date)</v>
      </c>
      <c r="AA456" s="4"/>
      <c r="AB456" s="4"/>
      <c r="AC456" s="4"/>
      <c r="AD456" s="4"/>
      <c r="AE456" s="4"/>
      <c r="AF456" s="4"/>
      <c r="AG456" s="4"/>
      <c r="AH456" s="4"/>
      <c r="AI456" s="4"/>
      <c r="AJ456" s="76" t="str">
        <f>IF(E456="○",IF(COUNTA(E$13:E456)=1,"",",")&amp;D456,"")</f>
        <v/>
      </c>
      <c r="AK456" s="4"/>
      <c r="AL456" s="4"/>
      <c r="AM456" s="4"/>
      <c r="AN456" s="4"/>
      <c r="AO456" s="4"/>
      <c r="AP456" s="4"/>
      <c r="AQ456" s="4"/>
      <c r="AR456" s="4"/>
      <c r="AS456" s="76" t="str">
        <f>"COMMENT ON COLUMN "&amp;エンティティ一覧!$O$2&amp;"."&amp;D$8&amp;"."&amp;D456&amp;" IS '"&amp;C456&amp;"';"</f>
        <v>COMMENT ON COLUMN milscm_2023_009.sny_202310_annony_bef2.shikkan438_start_date IS 'C913_疾患開始日';</v>
      </c>
    </row>
    <row r="457" spans="1:45" s="25" customFormat="1">
      <c r="A457" s="4" t="s">
        <v>5581</v>
      </c>
      <c r="B457" s="21">
        <f t="shared" si="53"/>
        <v>445</v>
      </c>
      <c r="C457" s="13" t="s">
        <v>6971</v>
      </c>
      <c r="D457" s="13" t="s">
        <v>6099</v>
      </c>
      <c r="E457" s="8"/>
      <c r="F457" s="7" t="s">
        <v>4348</v>
      </c>
      <c r="G457" s="7" t="s">
        <v>25</v>
      </c>
      <c r="H457" s="58"/>
      <c r="I457" s="23"/>
      <c r="J457" s="24"/>
      <c r="M457" s="4"/>
      <c r="N457" s="76"/>
      <c r="O457" s="76"/>
      <c r="P457" s="76" t="str">
        <f t="shared" si="54"/>
        <v>,shikkan439_start_date</v>
      </c>
      <c r="Q457" s="76" t="str">
        <f t="shared" si="55"/>
        <v>DATE</v>
      </c>
      <c r="R457" s="76" t="str">
        <f t="shared" si="56"/>
        <v/>
      </c>
      <c r="S457" s="76" t="str">
        <f t="shared" si="57"/>
        <v/>
      </c>
      <c r="T457" s="76" t="str">
        <f t="shared" si="58"/>
        <v>-- C914_疾患開始日</v>
      </c>
      <c r="U457" s="4" t="str">
        <f t="shared" si="40"/>
        <v>, CASE WHEN shikkan_disp_name = 'C914' THEN min_shikkan_start_date ::DATE ELSE NULL END AS shikkan439_start_date</v>
      </c>
      <c r="V457" s="25" t="str">
        <f t="shared" si="41"/>
        <v>, max(shikkan439_start_date)</v>
      </c>
      <c r="AA457" s="4"/>
      <c r="AB457" s="4"/>
      <c r="AC457" s="4"/>
      <c r="AD457" s="4"/>
      <c r="AE457" s="4"/>
      <c r="AF457" s="4"/>
      <c r="AG457" s="4"/>
      <c r="AH457" s="4"/>
      <c r="AI457" s="4"/>
      <c r="AJ457" s="76" t="str">
        <f>IF(E457="○",IF(COUNTA(E$13:E457)=1,"",",")&amp;D457,"")</f>
        <v/>
      </c>
      <c r="AK457" s="4"/>
      <c r="AL457" s="4"/>
      <c r="AM457" s="4"/>
      <c r="AN457" s="4"/>
      <c r="AO457" s="4"/>
      <c r="AP457" s="4"/>
      <c r="AQ457" s="4"/>
      <c r="AR457" s="4"/>
      <c r="AS457" s="76" t="str">
        <f>"COMMENT ON COLUMN "&amp;エンティティ一覧!$O$2&amp;"."&amp;D$8&amp;"."&amp;D457&amp;" IS '"&amp;C457&amp;"';"</f>
        <v>COMMENT ON COLUMN milscm_2023_009.sny_202310_annony_bef2.shikkan439_start_date IS 'C914_疾患開始日';</v>
      </c>
    </row>
    <row r="458" spans="1:45" s="25" customFormat="1">
      <c r="A458" s="4" t="s">
        <v>5582</v>
      </c>
      <c r="B458" s="21">
        <f t="shared" si="53"/>
        <v>446</v>
      </c>
      <c r="C458" s="13" t="s">
        <v>6972</v>
      </c>
      <c r="D458" s="13" t="s">
        <v>6100</v>
      </c>
      <c r="E458" s="8"/>
      <c r="F458" s="7" t="s">
        <v>4348</v>
      </c>
      <c r="G458" s="7" t="s">
        <v>25</v>
      </c>
      <c r="H458" s="58"/>
      <c r="I458" s="23"/>
      <c r="J458" s="24"/>
      <c r="M458" s="4"/>
      <c r="N458" s="76"/>
      <c r="O458" s="76"/>
      <c r="P458" s="76" t="str">
        <f t="shared" si="54"/>
        <v>,shikkan440_start_date</v>
      </c>
      <c r="Q458" s="76" t="str">
        <f t="shared" si="55"/>
        <v>DATE</v>
      </c>
      <c r="R458" s="76" t="str">
        <f t="shared" si="56"/>
        <v/>
      </c>
      <c r="S458" s="76" t="str">
        <f t="shared" si="57"/>
        <v/>
      </c>
      <c r="T458" s="76" t="str">
        <f t="shared" si="58"/>
        <v>-- C915_疾患開始日</v>
      </c>
      <c r="U458" s="4" t="str">
        <f t="shared" si="40"/>
        <v>, CASE WHEN shikkan_disp_name = 'C915' THEN min_shikkan_start_date ::DATE ELSE NULL END AS shikkan440_start_date</v>
      </c>
      <c r="V458" s="25" t="str">
        <f t="shared" si="41"/>
        <v>, max(shikkan440_start_date)</v>
      </c>
      <c r="AA458" s="4"/>
      <c r="AB458" s="4"/>
      <c r="AC458" s="4"/>
      <c r="AD458" s="4"/>
      <c r="AE458" s="4"/>
      <c r="AF458" s="4"/>
      <c r="AG458" s="4"/>
      <c r="AH458" s="4"/>
      <c r="AI458" s="4"/>
      <c r="AJ458" s="76" t="str">
        <f>IF(E458="○",IF(COUNTA(E$13:E458)=1,"",",")&amp;D458,"")</f>
        <v/>
      </c>
      <c r="AK458" s="4"/>
      <c r="AL458" s="4"/>
      <c r="AM458" s="4"/>
      <c r="AN458" s="4"/>
      <c r="AO458" s="4"/>
      <c r="AP458" s="4"/>
      <c r="AQ458" s="4"/>
      <c r="AR458" s="4"/>
      <c r="AS458" s="76" t="str">
        <f>"COMMENT ON COLUMN "&amp;エンティティ一覧!$O$2&amp;"."&amp;D$8&amp;"."&amp;D458&amp;" IS '"&amp;C458&amp;"';"</f>
        <v>COMMENT ON COLUMN milscm_2023_009.sny_202310_annony_bef2.shikkan440_start_date IS 'C915_疾患開始日';</v>
      </c>
    </row>
    <row r="459" spans="1:45" s="25" customFormat="1">
      <c r="A459" s="4" t="s">
        <v>5583</v>
      </c>
      <c r="B459" s="21">
        <f t="shared" si="53"/>
        <v>447</v>
      </c>
      <c r="C459" s="13" t="s">
        <v>6973</v>
      </c>
      <c r="D459" s="13" t="s">
        <v>6101</v>
      </c>
      <c r="E459" s="8"/>
      <c r="F459" s="7" t="s">
        <v>4348</v>
      </c>
      <c r="G459" s="7" t="s">
        <v>25</v>
      </c>
      <c r="H459" s="58"/>
      <c r="I459" s="23"/>
      <c r="J459" s="24"/>
      <c r="M459" s="4"/>
      <c r="N459" s="76"/>
      <c r="O459" s="76"/>
      <c r="P459" s="76" t="str">
        <f t="shared" si="54"/>
        <v>,shikkan441_start_date</v>
      </c>
      <c r="Q459" s="76" t="str">
        <f t="shared" si="55"/>
        <v>DATE</v>
      </c>
      <c r="R459" s="76" t="str">
        <f t="shared" si="56"/>
        <v/>
      </c>
      <c r="S459" s="76" t="str">
        <f t="shared" si="57"/>
        <v/>
      </c>
      <c r="T459" s="76" t="str">
        <f t="shared" si="58"/>
        <v>-- C916_疾患開始日</v>
      </c>
      <c r="U459" s="4" t="str">
        <f t="shared" si="40"/>
        <v>, CASE WHEN shikkan_disp_name = 'C916' THEN min_shikkan_start_date ::DATE ELSE NULL END AS shikkan441_start_date</v>
      </c>
      <c r="V459" s="25" t="str">
        <f t="shared" si="41"/>
        <v>, max(shikkan441_start_date)</v>
      </c>
      <c r="AA459" s="4"/>
      <c r="AB459" s="4"/>
      <c r="AC459" s="4"/>
      <c r="AD459" s="4"/>
      <c r="AE459" s="4"/>
      <c r="AF459" s="4"/>
      <c r="AG459" s="4"/>
      <c r="AH459" s="4"/>
      <c r="AI459" s="4"/>
      <c r="AJ459" s="76" t="str">
        <f>IF(E459="○",IF(COUNTA(E$13:E459)=1,"",",")&amp;D459,"")</f>
        <v/>
      </c>
      <c r="AK459" s="4"/>
      <c r="AL459" s="4"/>
      <c r="AM459" s="4"/>
      <c r="AN459" s="4"/>
      <c r="AO459" s="4"/>
      <c r="AP459" s="4"/>
      <c r="AQ459" s="4"/>
      <c r="AR459" s="4"/>
      <c r="AS459" s="76" t="str">
        <f>"COMMENT ON COLUMN "&amp;エンティティ一覧!$O$2&amp;"."&amp;D$8&amp;"."&amp;D459&amp;" IS '"&amp;C459&amp;"';"</f>
        <v>COMMENT ON COLUMN milscm_2023_009.sny_202310_annony_bef2.shikkan441_start_date IS 'C916_疾患開始日';</v>
      </c>
    </row>
    <row r="460" spans="1:45" s="25" customFormat="1">
      <c r="A460" s="4" t="s">
        <v>5584</v>
      </c>
      <c r="B460" s="21">
        <f t="shared" si="53"/>
        <v>448</v>
      </c>
      <c r="C460" s="13" t="s">
        <v>6974</v>
      </c>
      <c r="D460" s="13" t="s">
        <v>6102</v>
      </c>
      <c r="E460" s="8"/>
      <c r="F460" s="7" t="s">
        <v>4348</v>
      </c>
      <c r="G460" s="7" t="s">
        <v>25</v>
      </c>
      <c r="H460" s="58"/>
      <c r="I460" s="23"/>
      <c r="J460" s="24"/>
      <c r="M460" s="4"/>
      <c r="N460" s="76"/>
      <c r="O460" s="76"/>
      <c r="P460" s="76" t="str">
        <f t="shared" si="54"/>
        <v>,shikkan442_start_date</v>
      </c>
      <c r="Q460" s="76" t="str">
        <f t="shared" si="55"/>
        <v>DATE</v>
      </c>
      <c r="R460" s="76" t="str">
        <f t="shared" si="56"/>
        <v/>
      </c>
      <c r="S460" s="76" t="str">
        <f t="shared" si="57"/>
        <v/>
      </c>
      <c r="T460" s="76" t="str">
        <f t="shared" si="58"/>
        <v>-- C917_疾患開始日</v>
      </c>
      <c r="U460" s="4" t="str">
        <f t="shared" si="40"/>
        <v>, CASE WHEN shikkan_disp_name = 'C917' THEN min_shikkan_start_date ::DATE ELSE NULL END AS shikkan442_start_date</v>
      </c>
      <c r="V460" s="25" t="str">
        <f t="shared" si="41"/>
        <v>, max(shikkan442_start_date)</v>
      </c>
      <c r="AA460" s="4"/>
      <c r="AB460" s="4"/>
      <c r="AC460" s="4"/>
      <c r="AD460" s="4"/>
      <c r="AE460" s="4"/>
      <c r="AF460" s="4"/>
      <c r="AG460" s="4"/>
      <c r="AH460" s="4"/>
      <c r="AI460" s="4"/>
      <c r="AJ460" s="76" t="str">
        <f>IF(E460="○",IF(COUNTA(E$13:E460)=1,"",",")&amp;D460,"")</f>
        <v/>
      </c>
      <c r="AK460" s="4"/>
      <c r="AL460" s="4"/>
      <c r="AM460" s="4"/>
      <c r="AN460" s="4"/>
      <c r="AO460" s="4"/>
      <c r="AP460" s="4"/>
      <c r="AQ460" s="4"/>
      <c r="AR460" s="4"/>
      <c r="AS460" s="76" t="str">
        <f>"COMMENT ON COLUMN "&amp;エンティティ一覧!$O$2&amp;"."&amp;D$8&amp;"."&amp;D460&amp;" IS '"&amp;C460&amp;"';"</f>
        <v>COMMENT ON COLUMN milscm_2023_009.sny_202310_annony_bef2.shikkan442_start_date IS 'C917_疾患開始日';</v>
      </c>
    </row>
    <row r="461" spans="1:45" s="25" customFormat="1">
      <c r="A461" s="4" t="s">
        <v>5585</v>
      </c>
      <c r="B461" s="21">
        <f t="shared" si="53"/>
        <v>449</v>
      </c>
      <c r="C461" s="13" t="s">
        <v>6975</v>
      </c>
      <c r="D461" s="13" t="s">
        <v>6103</v>
      </c>
      <c r="E461" s="8"/>
      <c r="F461" s="7" t="s">
        <v>4348</v>
      </c>
      <c r="G461" s="7" t="s">
        <v>25</v>
      </c>
      <c r="H461" s="58"/>
      <c r="I461" s="23"/>
      <c r="J461" s="24"/>
      <c r="M461" s="4"/>
      <c r="N461" s="76"/>
      <c r="O461" s="76"/>
      <c r="P461" s="76" t="str">
        <f t="shared" si="54"/>
        <v>,shikkan443_start_date</v>
      </c>
      <c r="Q461" s="76" t="str">
        <f t="shared" si="55"/>
        <v>DATE</v>
      </c>
      <c r="R461" s="76" t="str">
        <f t="shared" si="56"/>
        <v/>
      </c>
      <c r="S461" s="76" t="str">
        <f t="shared" si="57"/>
        <v/>
      </c>
      <c r="T461" s="76" t="str">
        <f t="shared" si="58"/>
        <v>-- C918_疾患開始日</v>
      </c>
      <c r="U461" s="4" t="str">
        <f t="shared" si="40"/>
        <v>, CASE WHEN shikkan_disp_name = 'C918' THEN min_shikkan_start_date ::DATE ELSE NULL END AS shikkan443_start_date</v>
      </c>
      <c r="V461" s="25" t="str">
        <f t="shared" si="41"/>
        <v>, max(shikkan443_start_date)</v>
      </c>
      <c r="AA461" s="4"/>
      <c r="AB461" s="4"/>
      <c r="AC461" s="4"/>
      <c r="AD461" s="4"/>
      <c r="AE461" s="4"/>
      <c r="AF461" s="4"/>
      <c r="AG461" s="4"/>
      <c r="AH461" s="4"/>
      <c r="AI461" s="4"/>
      <c r="AJ461" s="76" t="str">
        <f>IF(E461="○",IF(COUNTA(E$13:E461)=1,"",",")&amp;D461,"")</f>
        <v/>
      </c>
      <c r="AK461" s="4"/>
      <c r="AL461" s="4"/>
      <c r="AM461" s="4"/>
      <c r="AN461" s="4"/>
      <c r="AO461" s="4"/>
      <c r="AP461" s="4"/>
      <c r="AQ461" s="4"/>
      <c r="AR461" s="4"/>
      <c r="AS461" s="76" t="str">
        <f>"COMMENT ON COLUMN "&amp;エンティティ一覧!$O$2&amp;"."&amp;D$8&amp;"."&amp;D461&amp;" IS '"&amp;C461&amp;"';"</f>
        <v>COMMENT ON COLUMN milscm_2023_009.sny_202310_annony_bef2.shikkan443_start_date IS 'C918_疾患開始日';</v>
      </c>
    </row>
    <row r="462" spans="1:45" s="25" customFormat="1">
      <c r="A462" s="4" t="s">
        <v>5586</v>
      </c>
      <c r="B462" s="21">
        <f t="shared" si="53"/>
        <v>450</v>
      </c>
      <c r="C462" s="13" t="s">
        <v>6976</v>
      </c>
      <c r="D462" s="13" t="s">
        <v>6104</v>
      </c>
      <c r="E462" s="8"/>
      <c r="F462" s="7" t="s">
        <v>4348</v>
      </c>
      <c r="G462" s="7" t="s">
        <v>25</v>
      </c>
      <c r="H462" s="58"/>
      <c r="I462" s="23"/>
      <c r="J462" s="24"/>
      <c r="M462" s="4"/>
      <c r="N462" s="76"/>
      <c r="O462" s="76"/>
      <c r="P462" s="76" t="str">
        <f t="shared" si="54"/>
        <v>,shikkan444_start_date</v>
      </c>
      <c r="Q462" s="76" t="str">
        <f t="shared" si="55"/>
        <v>DATE</v>
      </c>
      <c r="R462" s="76" t="str">
        <f t="shared" si="56"/>
        <v/>
      </c>
      <c r="S462" s="76" t="str">
        <f t="shared" si="57"/>
        <v/>
      </c>
      <c r="T462" s="76" t="str">
        <f t="shared" si="58"/>
        <v>-- C919_疾患開始日</v>
      </c>
      <c r="U462" s="4" t="str">
        <f t="shared" si="40"/>
        <v>, CASE WHEN shikkan_disp_name = 'C919' THEN min_shikkan_start_date ::DATE ELSE NULL END AS shikkan444_start_date</v>
      </c>
      <c r="V462" s="25" t="str">
        <f t="shared" si="41"/>
        <v>, max(shikkan444_start_date)</v>
      </c>
      <c r="AA462" s="4"/>
      <c r="AB462" s="4"/>
      <c r="AC462" s="4"/>
      <c r="AD462" s="4"/>
      <c r="AE462" s="4"/>
      <c r="AF462" s="4"/>
      <c r="AG462" s="4"/>
      <c r="AH462" s="4"/>
      <c r="AI462" s="4"/>
      <c r="AJ462" s="76" t="str">
        <f>IF(E462="○",IF(COUNTA(E$13:E462)=1,"",",")&amp;D462,"")</f>
        <v/>
      </c>
      <c r="AK462" s="4"/>
      <c r="AL462" s="4"/>
      <c r="AM462" s="4"/>
      <c r="AN462" s="4"/>
      <c r="AO462" s="4"/>
      <c r="AP462" s="4"/>
      <c r="AQ462" s="4"/>
      <c r="AR462" s="4"/>
      <c r="AS462" s="76" t="str">
        <f>"COMMENT ON COLUMN "&amp;エンティティ一覧!$O$2&amp;"."&amp;D$8&amp;"."&amp;D462&amp;" IS '"&amp;C462&amp;"';"</f>
        <v>COMMENT ON COLUMN milscm_2023_009.sny_202310_annony_bef2.shikkan444_start_date IS 'C919_疾患開始日';</v>
      </c>
    </row>
    <row r="463" spans="1:45" s="25" customFormat="1">
      <c r="A463" s="4" t="s">
        <v>5587</v>
      </c>
      <c r="B463" s="21">
        <f t="shared" si="53"/>
        <v>451</v>
      </c>
      <c r="C463" s="13" t="s">
        <v>6977</v>
      </c>
      <c r="D463" s="13" t="s">
        <v>6105</v>
      </c>
      <c r="E463" s="8"/>
      <c r="F463" s="7" t="s">
        <v>4348</v>
      </c>
      <c r="G463" s="7" t="s">
        <v>25</v>
      </c>
      <c r="H463" s="58"/>
      <c r="I463" s="23"/>
      <c r="J463" s="24"/>
      <c r="M463" s="4"/>
      <c r="N463" s="76"/>
      <c r="O463" s="76"/>
      <c r="P463" s="76" t="str">
        <f t="shared" si="54"/>
        <v>,shikkan445_start_date</v>
      </c>
      <c r="Q463" s="76" t="str">
        <f t="shared" si="55"/>
        <v>DATE</v>
      </c>
      <c r="R463" s="76" t="str">
        <f t="shared" si="56"/>
        <v/>
      </c>
      <c r="S463" s="76" t="str">
        <f t="shared" si="57"/>
        <v/>
      </c>
      <c r="T463" s="76" t="str">
        <f t="shared" si="58"/>
        <v>-- C920_疾患開始日</v>
      </c>
      <c r="U463" s="4" t="str">
        <f t="shared" si="40"/>
        <v>, CASE WHEN shikkan_disp_name = 'C920' THEN min_shikkan_start_date ::DATE ELSE NULL END AS shikkan445_start_date</v>
      </c>
      <c r="V463" s="25" t="str">
        <f t="shared" si="41"/>
        <v>, max(shikkan445_start_date)</v>
      </c>
      <c r="AA463" s="4"/>
      <c r="AB463" s="4"/>
      <c r="AC463" s="4"/>
      <c r="AD463" s="4"/>
      <c r="AE463" s="4"/>
      <c r="AF463" s="4"/>
      <c r="AG463" s="4"/>
      <c r="AH463" s="4"/>
      <c r="AI463" s="4"/>
      <c r="AJ463" s="76" t="str">
        <f>IF(E463="○",IF(COUNTA(E$13:E463)=1,"",",")&amp;D463,"")</f>
        <v/>
      </c>
      <c r="AK463" s="4"/>
      <c r="AL463" s="4"/>
      <c r="AM463" s="4"/>
      <c r="AN463" s="4"/>
      <c r="AO463" s="4"/>
      <c r="AP463" s="4"/>
      <c r="AQ463" s="4"/>
      <c r="AR463" s="4"/>
      <c r="AS463" s="76" t="str">
        <f>"COMMENT ON COLUMN "&amp;エンティティ一覧!$O$2&amp;"."&amp;D$8&amp;"."&amp;D463&amp;" IS '"&amp;C463&amp;"';"</f>
        <v>COMMENT ON COLUMN milscm_2023_009.sny_202310_annony_bef2.shikkan445_start_date IS 'C920_疾患開始日';</v>
      </c>
    </row>
    <row r="464" spans="1:45" s="25" customFormat="1">
      <c r="A464" s="4" t="s">
        <v>5588</v>
      </c>
      <c r="B464" s="21">
        <f t="shared" si="53"/>
        <v>452</v>
      </c>
      <c r="C464" s="13" t="s">
        <v>6978</v>
      </c>
      <c r="D464" s="13" t="s">
        <v>6106</v>
      </c>
      <c r="E464" s="8"/>
      <c r="F464" s="7" t="s">
        <v>4348</v>
      </c>
      <c r="G464" s="7" t="s">
        <v>25</v>
      </c>
      <c r="H464" s="58"/>
      <c r="I464" s="23"/>
      <c r="J464" s="24"/>
      <c r="M464" s="4"/>
      <c r="N464" s="76"/>
      <c r="O464" s="76"/>
      <c r="P464" s="76" t="str">
        <f t="shared" si="54"/>
        <v>,shikkan446_start_date</v>
      </c>
      <c r="Q464" s="76" t="str">
        <f t="shared" si="55"/>
        <v>DATE</v>
      </c>
      <c r="R464" s="76" t="str">
        <f t="shared" si="56"/>
        <v/>
      </c>
      <c r="S464" s="76" t="str">
        <f t="shared" si="57"/>
        <v/>
      </c>
      <c r="T464" s="76" t="str">
        <f t="shared" si="58"/>
        <v>-- C921_疾患開始日</v>
      </c>
      <c r="U464" s="4" t="str">
        <f t="shared" si="40"/>
        <v>, CASE WHEN shikkan_disp_name = 'C921' THEN min_shikkan_start_date ::DATE ELSE NULL END AS shikkan446_start_date</v>
      </c>
      <c r="V464" s="25" t="str">
        <f t="shared" si="41"/>
        <v>, max(shikkan446_start_date)</v>
      </c>
      <c r="AA464" s="4"/>
      <c r="AB464" s="4"/>
      <c r="AC464" s="4"/>
      <c r="AD464" s="4"/>
      <c r="AE464" s="4"/>
      <c r="AF464" s="4"/>
      <c r="AG464" s="4"/>
      <c r="AH464" s="4"/>
      <c r="AI464" s="4"/>
      <c r="AJ464" s="76" t="str">
        <f>IF(E464="○",IF(COUNTA(E$13:E464)=1,"",",")&amp;D464,"")</f>
        <v/>
      </c>
      <c r="AK464" s="4"/>
      <c r="AL464" s="4"/>
      <c r="AM464" s="4"/>
      <c r="AN464" s="4"/>
      <c r="AO464" s="4"/>
      <c r="AP464" s="4"/>
      <c r="AQ464" s="4"/>
      <c r="AR464" s="4"/>
      <c r="AS464" s="76" t="str">
        <f>"COMMENT ON COLUMN "&amp;エンティティ一覧!$O$2&amp;"."&amp;D$8&amp;"."&amp;D464&amp;" IS '"&amp;C464&amp;"';"</f>
        <v>COMMENT ON COLUMN milscm_2023_009.sny_202310_annony_bef2.shikkan446_start_date IS 'C921_疾患開始日';</v>
      </c>
    </row>
    <row r="465" spans="1:45" s="25" customFormat="1">
      <c r="A465" s="4" t="s">
        <v>5589</v>
      </c>
      <c r="B465" s="21">
        <f t="shared" si="53"/>
        <v>453</v>
      </c>
      <c r="C465" s="13" t="s">
        <v>6979</v>
      </c>
      <c r="D465" s="13" t="s">
        <v>6107</v>
      </c>
      <c r="E465" s="8"/>
      <c r="F465" s="7" t="s">
        <v>4348</v>
      </c>
      <c r="G465" s="7" t="s">
        <v>25</v>
      </c>
      <c r="H465" s="58"/>
      <c r="I465" s="23"/>
      <c r="J465" s="24"/>
      <c r="M465" s="4"/>
      <c r="N465" s="76"/>
      <c r="O465" s="76"/>
      <c r="P465" s="76" t="str">
        <f t="shared" si="54"/>
        <v>,shikkan447_start_date</v>
      </c>
      <c r="Q465" s="76" t="str">
        <f t="shared" si="55"/>
        <v>DATE</v>
      </c>
      <c r="R465" s="76" t="str">
        <f t="shared" si="56"/>
        <v/>
      </c>
      <c r="S465" s="76" t="str">
        <f t="shared" si="57"/>
        <v/>
      </c>
      <c r="T465" s="76" t="str">
        <f t="shared" si="58"/>
        <v>-- C922_疾患開始日</v>
      </c>
      <c r="U465" s="4" t="str">
        <f t="shared" si="40"/>
        <v>, CASE WHEN shikkan_disp_name = 'C922' THEN min_shikkan_start_date ::DATE ELSE NULL END AS shikkan447_start_date</v>
      </c>
      <c r="V465" s="25" t="str">
        <f t="shared" si="41"/>
        <v>, max(shikkan447_start_date)</v>
      </c>
      <c r="AA465" s="4"/>
      <c r="AB465" s="4"/>
      <c r="AC465" s="4"/>
      <c r="AD465" s="4"/>
      <c r="AE465" s="4"/>
      <c r="AF465" s="4"/>
      <c r="AG465" s="4"/>
      <c r="AH465" s="4"/>
      <c r="AI465" s="4"/>
      <c r="AJ465" s="76" t="str">
        <f>IF(E465="○",IF(COUNTA(E$13:E465)=1,"",",")&amp;D465,"")</f>
        <v/>
      </c>
      <c r="AK465" s="4"/>
      <c r="AL465" s="4"/>
      <c r="AM465" s="4"/>
      <c r="AN465" s="4"/>
      <c r="AO465" s="4"/>
      <c r="AP465" s="4"/>
      <c r="AQ465" s="4"/>
      <c r="AR465" s="4"/>
      <c r="AS465" s="76" t="str">
        <f>"COMMENT ON COLUMN "&amp;エンティティ一覧!$O$2&amp;"."&amp;D$8&amp;"."&amp;D465&amp;" IS '"&amp;C465&amp;"';"</f>
        <v>COMMENT ON COLUMN milscm_2023_009.sny_202310_annony_bef2.shikkan447_start_date IS 'C922_疾患開始日';</v>
      </c>
    </row>
    <row r="466" spans="1:45" s="25" customFormat="1">
      <c r="A466" s="4" t="s">
        <v>5590</v>
      </c>
      <c r="B466" s="21">
        <f t="shared" si="53"/>
        <v>454</v>
      </c>
      <c r="C466" s="13" t="s">
        <v>6980</v>
      </c>
      <c r="D466" s="13" t="s">
        <v>6108</v>
      </c>
      <c r="E466" s="8"/>
      <c r="F466" s="7" t="s">
        <v>4348</v>
      </c>
      <c r="G466" s="7" t="s">
        <v>99</v>
      </c>
      <c r="H466" s="58"/>
      <c r="I466" s="23"/>
      <c r="J466" s="24"/>
      <c r="M466" s="4"/>
      <c r="N466" s="76"/>
      <c r="O466" s="76"/>
      <c r="P466" s="76" t="str">
        <f t="shared" si="54"/>
        <v>,shikkan448_start_date</v>
      </c>
      <c r="Q466" s="76" t="str">
        <f t="shared" si="55"/>
        <v>DATE</v>
      </c>
      <c r="R466" s="76" t="str">
        <f t="shared" si="56"/>
        <v/>
      </c>
      <c r="S466" s="76" t="str">
        <f t="shared" si="57"/>
        <v/>
      </c>
      <c r="T466" s="76" t="str">
        <f t="shared" si="58"/>
        <v>-- C923_疾患開始日</v>
      </c>
      <c r="U466" s="4" t="str">
        <f t="shared" si="40"/>
        <v>, CASE WHEN shikkan_disp_name = 'C923' THEN min_shikkan_start_date ::DATE ELSE NULL END AS shikkan448_start_date</v>
      </c>
      <c r="V466" s="25" t="str">
        <f t="shared" si="41"/>
        <v>, max(shikkan448_start_date)</v>
      </c>
      <c r="AA466" s="4"/>
      <c r="AB466" s="4"/>
      <c r="AC466" s="4"/>
      <c r="AD466" s="4"/>
      <c r="AE466" s="4"/>
      <c r="AF466" s="4"/>
      <c r="AG466" s="4"/>
      <c r="AH466" s="4"/>
      <c r="AI466" s="4"/>
      <c r="AJ466" s="76" t="str">
        <f>IF(E466="○",IF(COUNTA(E$13:E466)=1,"",",")&amp;D466,"")</f>
        <v/>
      </c>
      <c r="AK466" s="4"/>
      <c r="AL466" s="4"/>
      <c r="AM466" s="4"/>
      <c r="AN466" s="4"/>
      <c r="AO466" s="4"/>
      <c r="AP466" s="4"/>
      <c r="AQ466" s="4"/>
      <c r="AR466" s="4"/>
      <c r="AS466" s="76" t="str">
        <f>"COMMENT ON COLUMN "&amp;エンティティ一覧!$O$2&amp;"."&amp;D$8&amp;"."&amp;D466&amp;" IS '"&amp;C466&amp;"';"</f>
        <v>COMMENT ON COLUMN milscm_2023_009.sny_202310_annony_bef2.shikkan448_start_date IS 'C923_疾患開始日';</v>
      </c>
    </row>
    <row r="467" spans="1:45" s="25" customFormat="1">
      <c r="A467" s="4" t="s">
        <v>5591</v>
      </c>
      <c r="B467" s="21">
        <f t="shared" si="53"/>
        <v>455</v>
      </c>
      <c r="C467" s="13" t="s">
        <v>6981</v>
      </c>
      <c r="D467" s="13" t="s">
        <v>6109</v>
      </c>
      <c r="E467" s="8"/>
      <c r="F467" s="7" t="s">
        <v>4348</v>
      </c>
      <c r="G467" s="7" t="s">
        <v>25</v>
      </c>
      <c r="H467" s="58"/>
      <c r="I467" s="23"/>
      <c r="J467" s="24"/>
      <c r="M467" s="4"/>
      <c r="N467" s="76"/>
      <c r="O467" s="76"/>
      <c r="P467" s="76" t="str">
        <f t="shared" si="54"/>
        <v>,shikkan449_start_date</v>
      </c>
      <c r="Q467" s="76" t="str">
        <f t="shared" si="55"/>
        <v>DATE</v>
      </c>
      <c r="R467" s="76" t="str">
        <f t="shared" si="56"/>
        <v/>
      </c>
      <c r="S467" s="76" t="str">
        <f t="shared" si="57"/>
        <v/>
      </c>
      <c r="T467" s="76" t="str">
        <f t="shared" si="58"/>
        <v>-- C924_疾患開始日</v>
      </c>
      <c r="U467" s="4" t="str">
        <f t="shared" si="40"/>
        <v>, CASE WHEN shikkan_disp_name = 'C924' THEN min_shikkan_start_date ::DATE ELSE NULL END AS shikkan449_start_date</v>
      </c>
      <c r="V467" s="25" t="str">
        <f t="shared" si="41"/>
        <v>, max(shikkan449_start_date)</v>
      </c>
      <c r="AA467" s="4"/>
      <c r="AB467" s="4"/>
      <c r="AC467" s="4"/>
      <c r="AD467" s="4"/>
      <c r="AE467" s="4"/>
      <c r="AF467" s="4"/>
      <c r="AG467" s="4"/>
      <c r="AH467" s="4"/>
      <c r="AI467" s="4"/>
      <c r="AJ467" s="76" t="str">
        <f>IF(E467="○",IF(COUNTA(E$13:E467)=1,"",",")&amp;D467,"")</f>
        <v/>
      </c>
      <c r="AK467" s="4"/>
      <c r="AL467" s="4"/>
      <c r="AM467" s="4"/>
      <c r="AN467" s="4"/>
      <c r="AO467" s="4"/>
      <c r="AP467" s="4"/>
      <c r="AQ467" s="4"/>
      <c r="AR467" s="4"/>
      <c r="AS467" s="76" t="str">
        <f>"COMMENT ON COLUMN "&amp;エンティティ一覧!$O$2&amp;"."&amp;D$8&amp;"."&amp;D467&amp;" IS '"&amp;C467&amp;"';"</f>
        <v>COMMENT ON COLUMN milscm_2023_009.sny_202310_annony_bef2.shikkan449_start_date IS 'C924_疾患開始日';</v>
      </c>
    </row>
    <row r="468" spans="1:45" s="25" customFormat="1">
      <c r="A468" s="4" t="s">
        <v>5592</v>
      </c>
      <c r="B468" s="21">
        <f t="shared" si="53"/>
        <v>456</v>
      </c>
      <c r="C468" s="13" t="s">
        <v>6982</v>
      </c>
      <c r="D468" s="13" t="s">
        <v>6110</v>
      </c>
      <c r="E468" s="8"/>
      <c r="F468" s="7" t="s">
        <v>4348</v>
      </c>
      <c r="G468" s="7" t="s">
        <v>25</v>
      </c>
      <c r="H468" s="58"/>
      <c r="I468" s="23"/>
      <c r="J468" s="24"/>
      <c r="M468" s="4"/>
      <c r="N468" s="76"/>
      <c r="O468" s="76"/>
      <c r="P468" s="76" t="str">
        <f t="shared" si="54"/>
        <v>,shikkan450_start_date</v>
      </c>
      <c r="Q468" s="76" t="str">
        <f t="shared" si="55"/>
        <v>DATE</v>
      </c>
      <c r="R468" s="76" t="str">
        <f t="shared" si="56"/>
        <v/>
      </c>
      <c r="S468" s="76" t="str">
        <f t="shared" si="57"/>
        <v/>
      </c>
      <c r="T468" s="76" t="str">
        <f t="shared" si="58"/>
        <v>-- C925_疾患開始日</v>
      </c>
      <c r="U468" s="4" t="str">
        <f t="shared" si="40"/>
        <v>, CASE WHEN shikkan_disp_name = 'C925' THEN min_shikkan_start_date ::DATE ELSE NULL END AS shikkan450_start_date</v>
      </c>
      <c r="V468" s="25" t="str">
        <f t="shared" si="41"/>
        <v>, max(shikkan450_start_date)</v>
      </c>
      <c r="AA468" s="4"/>
      <c r="AB468" s="4"/>
      <c r="AC468" s="4"/>
      <c r="AD468" s="4"/>
      <c r="AE468" s="4"/>
      <c r="AF468" s="4"/>
      <c r="AG468" s="4"/>
      <c r="AH468" s="4"/>
      <c r="AI468" s="4"/>
      <c r="AJ468" s="76" t="str">
        <f>IF(E468="○",IF(COUNTA(E$13:E468)=1,"",",")&amp;D468,"")</f>
        <v/>
      </c>
      <c r="AK468" s="4"/>
      <c r="AL468" s="4"/>
      <c r="AM468" s="4"/>
      <c r="AN468" s="4"/>
      <c r="AO468" s="4"/>
      <c r="AP468" s="4"/>
      <c r="AQ468" s="4"/>
      <c r="AR468" s="4"/>
      <c r="AS468" s="76" t="str">
        <f>"COMMENT ON COLUMN "&amp;エンティティ一覧!$O$2&amp;"."&amp;D$8&amp;"."&amp;D468&amp;" IS '"&amp;C468&amp;"';"</f>
        <v>COMMENT ON COLUMN milscm_2023_009.sny_202310_annony_bef2.shikkan450_start_date IS 'C925_疾患開始日';</v>
      </c>
    </row>
    <row r="469" spans="1:45" s="25" customFormat="1">
      <c r="A469" s="4" t="s">
        <v>5593</v>
      </c>
      <c r="B469" s="21">
        <f t="shared" ref="B469:B532" si="59">ROW()-12</f>
        <v>457</v>
      </c>
      <c r="C469" s="13" t="s">
        <v>6983</v>
      </c>
      <c r="D469" s="13" t="s">
        <v>6111</v>
      </c>
      <c r="E469" s="8"/>
      <c r="F469" s="7" t="s">
        <v>4348</v>
      </c>
      <c r="G469" s="7" t="s">
        <v>25</v>
      </c>
      <c r="H469" s="58"/>
      <c r="I469" s="23"/>
      <c r="J469" s="24"/>
      <c r="M469" s="4"/>
      <c r="N469" s="76"/>
      <c r="O469" s="76"/>
      <c r="P469" s="76" t="str">
        <f t="shared" si="54"/>
        <v>,shikkan451_start_date</v>
      </c>
      <c r="Q469" s="76" t="str">
        <f t="shared" si="55"/>
        <v>DATE</v>
      </c>
      <c r="R469" s="76" t="str">
        <f t="shared" si="56"/>
        <v/>
      </c>
      <c r="S469" s="76" t="str">
        <f t="shared" si="57"/>
        <v/>
      </c>
      <c r="T469" s="76" t="str">
        <f t="shared" si="58"/>
        <v>-- C926_疾患開始日</v>
      </c>
      <c r="U469" s="4" t="str">
        <f t="shared" si="40"/>
        <v>, CASE WHEN shikkan_disp_name = 'C926' THEN min_shikkan_start_date ::DATE ELSE NULL END AS shikkan451_start_date</v>
      </c>
      <c r="V469" s="25" t="str">
        <f t="shared" si="41"/>
        <v>, max(shikkan451_start_date)</v>
      </c>
      <c r="AA469" s="4"/>
      <c r="AB469" s="4"/>
      <c r="AC469" s="4"/>
      <c r="AD469" s="4"/>
      <c r="AE469" s="4"/>
      <c r="AF469" s="4"/>
      <c r="AG469" s="4"/>
      <c r="AH469" s="4"/>
      <c r="AI469" s="4"/>
      <c r="AJ469" s="76" t="str">
        <f>IF(E469="○",IF(COUNTA(E$13:E469)=1,"",",")&amp;D469,"")</f>
        <v/>
      </c>
      <c r="AK469" s="4"/>
      <c r="AL469" s="4"/>
      <c r="AM469" s="4"/>
      <c r="AN469" s="4"/>
      <c r="AO469" s="4"/>
      <c r="AP469" s="4"/>
      <c r="AQ469" s="4"/>
      <c r="AR469" s="4"/>
      <c r="AS469" s="76" t="str">
        <f>"COMMENT ON COLUMN "&amp;エンティティ一覧!$O$2&amp;"."&amp;D$8&amp;"."&amp;D469&amp;" IS '"&amp;C469&amp;"';"</f>
        <v>COMMENT ON COLUMN milscm_2023_009.sny_202310_annony_bef2.shikkan451_start_date IS 'C926_疾患開始日';</v>
      </c>
    </row>
    <row r="470" spans="1:45" s="25" customFormat="1">
      <c r="A470" s="4" t="s">
        <v>5594</v>
      </c>
      <c r="B470" s="21">
        <f t="shared" si="59"/>
        <v>458</v>
      </c>
      <c r="C470" s="13" t="s">
        <v>6984</v>
      </c>
      <c r="D470" s="13" t="s">
        <v>6112</v>
      </c>
      <c r="E470" s="8"/>
      <c r="F470" s="7" t="s">
        <v>4348</v>
      </c>
      <c r="G470" s="7" t="s">
        <v>25</v>
      </c>
      <c r="H470" s="58"/>
      <c r="I470" s="23"/>
      <c r="J470" s="24"/>
      <c r="M470" s="4"/>
      <c r="N470" s="76"/>
      <c r="O470" s="76"/>
      <c r="P470" s="76" t="str">
        <f t="shared" si="54"/>
        <v>,shikkan452_start_date</v>
      </c>
      <c r="Q470" s="76" t="str">
        <f t="shared" si="55"/>
        <v>DATE</v>
      </c>
      <c r="R470" s="76" t="str">
        <f t="shared" si="56"/>
        <v/>
      </c>
      <c r="S470" s="76" t="str">
        <f t="shared" si="57"/>
        <v/>
      </c>
      <c r="T470" s="76" t="str">
        <f t="shared" si="58"/>
        <v>-- C927_疾患開始日</v>
      </c>
      <c r="U470" s="4" t="str">
        <f t="shared" si="40"/>
        <v>, CASE WHEN shikkan_disp_name = 'C927' THEN min_shikkan_start_date ::DATE ELSE NULL END AS shikkan452_start_date</v>
      </c>
      <c r="V470" s="25" t="str">
        <f t="shared" si="41"/>
        <v>, max(shikkan452_start_date)</v>
      </c>
      <c r="AA470" s="4"/>
      <c r="AB470" s="4"/>
      <c r="AC470" s="4"/>
      <c r="AD470" s="4"/>
      <c r="AE470" s="4"/>
      <c r="AF470" s="4"/>
      <c r="AG470" s="4"/>
      <c r="AH470" s="4"/>
      <c r="AI470" s="4"/>
      <c r="AJ470" s="76" t="str">
        <f>IF(E470="○",IF(COUNTA(E$13:E470)=1,"",",")&amp;D470,"")</f>
        <v/>
      </c>
      <c r="AK470" s="4"/>
      <c r="AL470" s="4"/>
      <c r="AM470" s="4"/>
      <c r="AN470" s="4"/>
      <c r="AO470" s="4"/>
      <c r="AP470" s="4"/>
      <c r="AQ470" s="4"/>
      <c r="AR470" s="4"/>
      <c r="AS470" s="76" t="str">
        <f>"COMMENT ON COLUMN "&amp;エンティティ一覧!$O$2&amp;"."&amp;D$8&amp;"."&amp;D470&amp;" IS '"&amp;C470&amp;"';"</f>
        <v>COMMENT ON COLUMN milscm_2023_009.sny_202310_annony_bef2.shikkan452_start_date IS 'C927_疾患開始日';</v>
      </c>
    </row>
    <row r="471" spans="1:45" s="25" customFormat="1">
      <c r="A471" s="4" t="s">
        <v>5595</v>
      </c>
      <c r="B471" s="21">
        <f t="shared" si="59"/>
        <v>459</v>
      </c>
      <c r="C471" s="13" t="s">
        <v>6985</v>
      </c>
      <c r="D471" s="13" t="s">
        <v>6113</v>
      </c>
      <c r="E471" s="8"/>
      <c r="F471" s="7" t="s">
        <v>4348</v>
      </c>
      <c r="G471" s="7" t="s">
        <v>25</v>
      </c>
      <c r="H471" s="58"/>
      <c r="I471" s="23"/>
      <c r="J471" s="24"/>
      <c r="M471" s="4"/>
      <c r="N471" s="76"/>
      <c r="O471" s="76"/>
      <c r="P471" s="76" t="str">
        <f t="shared" si="54"/>
        <v>,shikkan453_start_date</v>
      </c>
      <c r="Q471" s="76" t="str">
        <f t="shared" si="55"/>
        <v>DATE</v>
      </c>
      <c r="R471" s="76" t="str">
        <f t="shared" si="56"/>
        <v/>
      </c>
      <c r="S471" s="76" t="str">
        <f t="shared" si="57"/>
        <v/>
      </c>
      <c r="T471" s="76" t="str">
        <f t="shared" si="58"/>
        <v>-- C928_疾患開始日</v>
      </c>
      <c r="U471" s="4" t="str">
        <f t="shared" si="40"/>
        <v>, CASE WHEN shikkan_disp_name = 'C928' THEN min_shikkan_start_date ::DATE ELSE NULL END AS shikkan453_start_date</v>
      </c>
      <c r="V471" s="25" t="str">
        <f t="shared" si="41"/>
        <v>, max(shikkan453_start_date)</v>
      </c>
      <c r="AA471" s="4"/>
      <c r="AB471" s="4"/>
      <c r="AC471" s="4"/>
      <c r="AD471" s="4"/>
      <c r="AE471" s="4"/>
      <c r="AF471" s="4"/>
      <c r="AG471" s="4"/>
      <c r="AH471" s="4"/>
      <c r="AI471" s="4"/>
      <c r="AJ471" s="76" t="str">
        <f>IF(E471="○",IF(COUNTA(E$13:E471)=1,"",",")&amp;D471,"")</f>
        <v/>
      </c>
      <c r="AK471" s="4"/>
      <c r="AL471" s="4"/>
      <c r="AM471" s="4"/>
      <c r="AN471" s="4"/>
      <c r="AO471" s="4"/>
      <c r="AP471" s="4"/>
      <c r="AQ471" s="4"/>
      <c r="AR471" s="4"/>
      <c r="AS471" s="76" t="str">
        <f>"COMMENT ON COLUMN "&amp;エンティティ一覧!$O$2&amp;"."&amp;D$8&amp;"."&amp;D471&amp;" IS '"&amp;C471&amp;"';"</f>
        <v>COMMENT ON COLUMN milscm_2023_009.sny_202310_annony_bef2.shikkan453_start_date IS 'C928_疾患開始日';</v>
      </c>
    </row>
    <row r="472" spans="1:45" s="25" customFormat="1">
      <c r="A472" s="4" t="s">
        <v>5596</v>
      </c>
      <c r="B472" s="21">
        <f t="shared" si="59"/>
        <v>460</v>
      </c>
      <c r="C472" s="13" t="s">
        <v>6986</v>
      </c>
      <c r="D472" s="13" t="s">
        <v>6114</v>
      </c>
      <c r="E472" s="8"/>
      <c r="F472" s="7" t="s">
        <v>4348</v>
      </c>
      <c r="G472" s="7" t="s">
        <v>25</v>
      </c>
      <c r="H472" s="58"/>
      <c r="I472" s="23"/>
      <c r="J472" s="24"/>
      <c r="M472" s="4"/>
      <c r="N472" s="76"/>
      <c r="O472" s="76"/>
      <c r="P472" s="76" t="str">
        <f t="shared" si="54"/>
        <v>,shikkan454_start_date</v>
      </c>
      <c r="Q472" s="76" t="str">
        <f t="shared" si="55"/>
        <v>DATE</v>
      </c>
      <c r="R472" s="76" t="str">
        <f t="shared" si="56"/>
        <v/>
      </c>
      <c r="S472" s="76" t="str">
        <f t="shared" si="57"/>
        <v/>
      </c>
      <c r="T472" s="76" t="str">
        <f t="shared" si="58"/>
        <v>-- C929_疾患開始日</v>
      </c>
      <c r="U472" s="4" t="str">
        <f t="shared" si="40"/>
        <v>, CASE WHEN shikkan_disp_name = 'C929' THEN min_shikkan_start_date ::DATE ELSE NULL END AS shikkan454_start_date</v>
      </c>
      <c r="V472" s="25" t="str">
        <f t="shared" si="41"/>
        <v>, max(shikkan454_start_date)</v>
      </c>
      <c r="AA472" s="4"/>
      <c r="AB472" s="4"/>
      <c r="AC472" s="4"/>
      <c r="AD472" s="4"/>
      <c r="AE472" s="4"/>
      <c r="AF472" s="4"/>
      <c r="AG472" s="4"/>
      <c r="AH472" s="4"/>
      <c r="AI472" s="4"/>
      <c r="AJ472" s="76" t="str">
        <f>IF(E472="○",IF(COUNTA(E$13:E472)=1,"",",")&amp;D472,"")</f>
        <v/>
      </c>
      <c r="AK472" s="4"/>
      <c r="AL472" s="4"/>
      <c r="AM472" s="4"/>
      <c r="AN472" s="4"/>
      <c r="AO472" s="4"/>
      <c r="AP472" s="4"/>
      <c r="AQ472" s="4"/>
      <c r="AR472" s="4"/>
      <c r="AS472" s="76" t="str">
        <f>"COMMENT ON COLUMN "&amp;エンティティ一覧!$O$2&amp;"."&amp;D$8&amp;"."&amp;D472&amp;" IS '"&amp;C472&amp;"';"</f>
        <v>COMMENT ON COLUMN milscm_2023_009.sny_202310_annony_bef2.shikkan454_start_date IS 'C929_疾患開始日';</v>
      </c>
    </row>
    <row r="473" spans="1:45" s="25" customFormat="1">
      <c r="A473" s="4" t="s">
        <v>5597</v>
      </c>
      <c r="B473" s="21">
        <f t="shared" si="59"/>
        <v>461</v>
      </c>
      <c r="C473" s="13" t="s">
        <v>6987</v>
      </c>
      <c r="D473" s="13" t="s">
        <v>6115</v>
      </c>
      <c r="E473" s="8"/>
      <c r="F473" s="7" t="s">
        <v>4348</v>
      </c>
      <c r="G473" s="7" t="s">
        <v>25</v>
      </c>
      <c r="H473" s="58"/>
      <c r="I473" s="23"/>
      <c r="J473" s="24"/>
      <c r="M473" s="4"/>
      <c r="N473" s="76"/>
      <c r="O473" s="76"/>
      <c r="P473" s="76" t="str">
        <f t="shared" si="54"/>
        <v>,shikkan455_start_date</v>
      </c>
      <c r="Q473" s="76" t="str">
        <f t="shared" si="55"/>
        <v>DATE</v>
      </c>
      <c r="R473" s="76" t="str">
        <f t="shared" si="56"/>
        <v/>
      </c>
      <c r="S473" s="76" t="str">
        <f t="shared" si="57"/>
        <v/>
      </c>
      <c r="T473" s="76" t="str">
        <f t="shared" si="58"/>
        <v>-- C930_疾患開始日</v>
      </c>
      <c r="U473" s="4" t="str">
        <f t="shared" si="40"/>
        <v>, CASE WHEN shikkan_disp_name = 'C930' THEN min_shikkan_start_date ::DATE ELSE NULL END AS shikkan455_start_date</v>
      </c>
      <c r="V473" s="25" t="str">
        <f t="shared" si="41"/>
        <v>, max(shikkan455_start_date)</v>
      </c>
      <c r="AA473" s="4"/>
      <c r="AB473" s="4"/>
      <c r="AC473" s="4"/>
      <c r="AD473" s="4"/>
      <c r="AE473" s="4"/>
      <c r="AF473" s="4"/>
      <c r="AG473" s="4"/>
      <c r="AH473" s="4"/>
      <c r="AI473" s="4"/>
      <c r="AJ473" s="76" t="str">
        <f>IF(E473="○",IF(COUNTA(E$13:E473)=1,"",",")&amp;D473,"")</f>
        <v/>
      </c>
      <c r="AK473" s="4"/>
      <c r="AL473" s="4"/>
      <c r="AM473" s="4"/>
      <c r="AN473" s="4"/>
      <c r="AO473" s="4"/>
      <c r="AP473" s="4"/>
      <c r="AQ473" s="4"/>
      <c r="AR473" s="4"/>
      <c r="AS473" s="76" t="str">
        <f>"COMMENT ON COLUMN "&amp;エンティティ一覧!$O$2&amp;"."&amp;D$8&amp;"."&amp;D473&amp;" IS '"&amp;C473&amp;"';"</f>
        <v>COMMENT ON COLUMN milscm_2023_009.sny_202310_annony_bef2.shikkan455_start_date IS 'C930_疾患開始日';</v>
      </c>
    </row>
    <row r="474" spans="1:45" s="25" customFormat="1">
      <c r="A474" s="4" t="s">
        <v>5598</v>
      </c>
      <c r="B474" s="21">
        <f t="shared" si="59"/>
        <v>462</v>
      </c>
      <c r="C474" s="13" t="s">
        <v>6988</v>
      </c>
      <c r="D474" s="13" t="s">
        <v>6116</v>
      </c>
      <c r="E474" s="8"/>
      <c r="F474" s="7" t="s">
        <v>4348</v>
      </c>
      <c r="G474" s="7" t="s">
        <v>25</v>
      </c>
      <c r="H474" s="58"/>
      <c r="I474" s="23"/>
      <c r="J474" s="24"/>
      <c r="M474" s="4"/>
      <c r="N474" s="76"/>
      <c r="O474" s="76"/>
      <c r="P474" s="76" t="str">
        <f t="shared" si="54"/>
        <v>,shikkan456_start_date</v>
      </c>
      <c r="Q474" s="76" t="str">
        <f t="shared" si="55"/>
        <v>DATE</v>
      </c>
      <c r="R474" s="76" t="str">
        <f t="shared" si="56"/>
        <v/>
      </c>
      <c r="S474" s="76" t="str">
        <f t="shared" si="57"/>
        <v/>
      </c>
      <c r="T474" s="76" t="str">
        <f t="shared" si="58"/>
        <v>-- C931_疾患開始日</v>
      </c>
      <c r="U474" s="4" t="str">
        <f t="shared" si="40"/>
        <v>, CASE WHEN shikkan_disp_name = 'C931' THEN min_shikkan_start_date ::DATE ELSE NULL END AS shikkan456_start_date</v>
      </c>
      <c r="V474" s="25" t="str">
        <f t="shared" si="41"/>
        <v>, max(shikkan456_start_date)</v>
      </c>
      <c r="AA474" s="4"/>
      <c r="AB474" s="4"/>
      <c r="AC474" s="4"/>
      <c r="AD474" s="4"/>
      <c r="AE474" s="4"/>
      <c r="AF474" s="4"/>
      <c r="AG474" s="4"/>
      <c r="AH474" s="4"/>
      <c r="AI474" s="4"/>
      <c r="AJ474" s="76" t="str">
        <f>IF(E474="○",IF(COUNTA(E$13:E474)=1,"",",")&amp;D474,"")</f>
        <v/>
      </c>
      <c r="AK474" s="4"/>
      <c r="AL474" s="4"/>
      <c r="AM474" s="4"/>
      <c r="AN474" s="4"/>
      <c r="AO474" s="4"/>
      <c r="AP474" s="4"/>
      <c r="AQ474" s="4"/>
      <c r="AR474" s="4"/>
      <c r="AS474" s="76" t="str">
        <f>"COMMENT ON COLUMN "&amp;エンティティ一覧!$O$2&amp;"."&amp;D$8&amp;"."&amp;D474&amp;" IS '"&amp;C474&amp;"';"</f>
        <v>COMMENT ON COLUMN milscm_2023_009.sny_202310_annony_bef2.shikkan456_start_date IS 'C931_疾患開始日';</v>
      </c>
    </row>
    <row r="475" spans="1:45" s="25" customFormat="1">
      <c r="A475" s="4" t="s">
        <v>5599</v>
      </c>
      <c r="B475" s="21">
        <f t="shared" si="59"/>
        <v>463</v>
      </c>
      <c r="C475" s="13" t="s">
        <v>6989</v>
      </c>
      <c r="D475" s="13" t="s">
        <v>6117</v>
      </c>
      <c r="E475" s="8"/>
      <c r="F475" s="7" t="s">
        <v>4348</v>
      </c>
      <c r="G475" s="7" t="s">
        <v>25</v>
      </c>
      <c r="H475" s="58"/>
      <c r="I475" s="23"/>
      <c r="J475" s="24"/>
      <c r="M475" s="4"/>
      <c r="N475" s="76"/>
      <c r="O475" s="76"/>
      <c r="P475" s="76" t="str">
        <f t="shared" si="54"/>
        <v>,shikkan457_start_date</v>
      </c>
      <c r="Q475" s="76" t="str">
        <f t="shared" si="55"/>
        <v>DATE</v>
      </c>
      <c r="R475" s="76" t="str">
        <f t="shared" si="56"/>
        <v/>
      </c>
      <c r="S475" s="76" t="str">
        <f t="shared" si="57"/>
        <v/>
      </c>
      <c r="T475" s="76" t="str">
        <f t="shared" si="58"/>
        <v>-- C933_疾患開始日</v>
      </c>
      <c r="U475" s="4" t="str">
        <f t="shared" si="40"/>
        <v>, CASE WHEN shikkan_disp_name = 'C933' THEN min_shikkan_start_date ::DATE ELSE NULL END AS shikkan457_start_date</v>
      </c>
      <c r="V475" s="25" t="str">
        <f t="shared" si="41"/>
        <v>, max(shikkan457_start_date)</v>
      </c>
      <c r="AA475" s="4"/>
      <c r="AB475" s="4"/>
      <c r="AC475" s="4"/>
      <c r="AD475" s="4"/>
      <c r="AE475" s="4"/>
      <c r="AF475" s="4"/>
      <c r="AG475" s="4"/>
      <c r="AH475" s="4"/>
      <c r="AI475" s="4"/>
      <c r="AJ475" s="76" t="str">
        <f>IF(E475="○",IF(COUNTA(E$13:E475)=1,"",",")&amp;D475,"")</f>
        <v/>
      </c>
      <c r="AK475" s="4"/>
      <c r="AL475" s="4"/>
      <c r="AM475" s="4"/>
      <c r="AN475" s="4"/>
      <c r="AO475" s="4"/>
      <c r="AP475" s="4"/>
      <c r="AQ475" s="4"/>
      <c r="AR475" s="4"/>
      <c r="AS475" s="76" t="str">
        <f>"COMMENT ON COLUMN "&amp;エンティティ一覧!$O$2&amp;"."&amp;D$8&amp;"."&amp;D475&amp;" IS '"&amp;C475&amp;"';"</f>
        <v>COMMENT ON COLUMN milscm_2023_009.sny_202310_annony_bef2.shikkan457_start_date IS 'C933_疾患開始日';</v>
      </c>
    </row>
    <row r="476" spans="1:45" s="25" customFormat="1">
      <c r="A476" s="4" t="s">
        <v>5600</v>
      </c>
      <c r="B476" s="21">
        <f t="shared" si="59"/>
        <v>464</v>
      </c>
      <c r="C476" s="13" t="s">
        <v>6990</v>
      </c>
      <c r="D476" s="13" t="s">
        <v>6118</v>
      </c>
      <c r="E476" s="8"/>
      <c r="F476" s="7" t="s">
        <v>4348</v>
      </c>
      <c r="G476" s="7" t="s">
        <v>25</v>
      </c>
      <c r="H476" s="58"/>
      <c r="I476" s="23"/>
      <c r="J476" s="24"/>
      <c r="M476" s="4"/>
      <c r="N476" s="76"/>
      <c r="O476" s="76"/>
      <c r="P476" s="76" t="str">
        <f t="shared" si="54"/>
        <v>,shikkan458_start_date</v>
      </c>
      <c r="Q476" s="76" t="str">
        <f t="shared" si="55"/>
        <v>DATE</v>
      </c>
      <c r="R476" s="76" t="str">
        <f t="shared" si="56"/>
        <v/>
      </c>
      <c r="S476" s="76" t="str">
        <f t="shared" si="57"/>
        <v/>
      </c>
      <c r="T476" s="76" t="str">
        <f t="shared" si="58"/>
        <v>-- C937_疾患開始日</v>
      </c>
      <c r="U476" s="4" t="str">
        <f t="shared" si="40"/>
        <v>, CASE WHEN shikkan_disp_name = 'C937' THEN min_shikkan_start_date ::DATE ELSE NULL END AS shikkan458_start_date</v>
      </c>
      <c r="V476" s="25" t="str">
        <f t="shared" si="41"/>
        <v>, max(shikkan458_start_date)</v>
      </c>
      <c r="AA476" s="4"/>
      <c r="AB476" s="4"/>
      <c r="AC476" s="4"/>
      <c r="AD476" s="4"/>
      <c r="AE476" s="4"/>
      <c r="AF476" s="4"/>
      <c r="AG476" s="4"/>
      <c r="AH476" s="4"/>
      <c r="AI476" s="4"/>
      <c r="AJ476" s="76" t="str">
        <f>IF(E476="○",IF(COUNTA(E$13:E476)=1,"",",")&amp;D476,"")</f>
        <v/>
      </c>
      <c r="AK476" s="4"/>
      <c r="AL476" s="4"/>
      <c r="AM476" s="4"/>
      <c r="AN476" s="4"/>
      <c r="AO476" s="4"/>
      <c r="AP476" s="4"/>
      <c r="AQ476" s="4"/>
      <c r="AR476" s="4"/>
      <c r="AS476" s="76" t="str">
        <f>"COMMENT ON COLUMN "&amp;エンティティ一覧!$O$2&amp;"."&amp;D$8&amp;"."&amp;D476&amp;" IS '"&amp;C476&amp;"';"</f>
        <v>COMMENT ON COLUMN milscm_2023_009.sny_202310_annony_bef2.shikkan458_start_date IS 'C937_疾患開始日';</v>
      </c>
    </row>
    <row r="477" spans="1:45" s="25" customFormat="1">
      <c r="A477" s="4" t="s">
        <v>5601</v>
      </c>
      <c r="B477" s="21">
        <f t="shared" si="59"/>
        <v>465</v>
      </c>
      <c r="C477" s="13" t="s">
        <v>6991</v>
      </c>
      <c r="D477" s="13" t="s">
        <v>6119</v>
      </c>
      <c r="E477" s="8"/>
      <c r="F477" s="7" t="s">
        <v>4348</v>
      </c>
      <c r="G477" s="7" t="s">
        <v>25</v>
      </c>
      <c r="H477" s="58"/>
      <c r="I477" s="23"/>
      <c r="J477" s="24"/>
      <c r="M477" s="4"/>
      <c r="N477" s="76"/>
      <c r="O477" s="76"/>
      <c r="P477" s="76" t="str">
        <f t="shared" si="54"/>
        <v>,shikkan459_start_date</v>
      </c>
      <c r="Q477" s="76" t="str">
        <f t="shared" si="55"/>
        <v>DATE</v>
      </c>
      <c r="R477" s="76" t="str">
        <f t="shared" si="56"/>
        <v/>
      </c>
      <c r="S477" s="76" t="str">
        <f t="shared" si="57"/>
        <v/>
      </c>
      <c r="T477" s="76" t="str">
        <f t="shared" si="58"/>
        <v>-- C939_疾患開始日</v>
      </c>
      <c r="U477" s="4" t="str">
        <f t="shared" si="40"/>
        <v>, CASE WHEN shikkan_disp_name = 'C939' THEN min_shikkan_start_date ::DATE ELSE NULL END AS shikkan459_start_date</v>
      </c>
      <c r="V477" s="25" t="str">
        <f t="shared" si="41"/>
        <v>, max(shikkan459_start_date)</v>
      </c>
      <c r="AA477" s="4"/>
      <c r="AB477" s="4"/>
      <c r="AC477" s="4"/>
      <c r="AD477" s="4"/>
      <c r="AE477" s="4"/>
      <c r="AF477" s="4"/>
      <c r="AG477" s="4"/>
      <c r="AH477" s="4"/>
      <c r="AI477" s="4"/>
      <c r="AJ477" s="76" t="str">
        <f>IF(E477="○",IF(COUNTA(E$13:E477)=1,"",",")&amp;D477,"")</f>
        <v/>
      </c>
      <c r="AK477" s="4"/>
      <c r="AL477" s="4"/>
      <c r="AM477" s="4"/>
      <c r="AN477" s="4"/>
      <c r="AO477" s="4"/>
      <c r="AP477" s="4"/>
      <c r="AQ477" s="4"/>
      <c r="AR477" s="4"/>
      <c r="AS477" s="76" t="str">
        <f>"COMMENT ON COLUMN "&amp;エンティティ一覧!$O$2&amp;"."&amp;D$8&amp;"."&amp;D477&amp;" IS '"&amp;C477&amp;"';"</f>
        <v>COMMENT ON COLUMN milscm_2023_009.sny_202310_annony_bef2.shikkan459_start_date IS 'C939_疾患開始日';</v>
      </c>
    </row>
    <row r="478" spans="1:45" s="25" customFormat="1">
      <c r="A478" s="4" t="s">
        <v>5602</v>
      </c>
      <c r="B478" s="21">
        <f t="shared" si="59"/>
        <v>466</v>
      </c>
      <c r="C478" s="13" t="s">
        <v>6992</v>
      </c>
      <c r="D478" s="13" t="s">
        <v>6120</v>
      </c>
      <c r="E478" s="8"/>
      <c r="F478" s="7" t="s">
        <v>4348</v>
      </c>
      <c r="G478" s="7" t="s">
        <v>25</v>
      </c>
      <c r="H478" s="58"/>
      <c r="I478" s="23"/>
      <c r="J478" s="24"/>
      <c r="M478" s="4"/>
      <c r="N478" s="76"/>
      <c r="O478" s="76"/>
      <c r="P478" s="76" t="str">
        <f t="shared" si="54"/>
        <v>,shikkan460_start_date</v>
      </c>
      <c r="Q478" s="76" t="str">
        <f t="shared" si="55"/>
        <v>DATE</v>
      </c>
      <c r="R478" s="76" t="str">
        <f t="shared" si="56"/>
        <v/>
      </c>
      <c r="S478" s="76" t="str">
        <f t="shared" si="57"/>
        <v/>
      </c>
      <c r="T478" s="76" t="str">
        <f t="shared" si="58"/>
        <v>-- C940_疾患開始日</v>
      </c>
      <c r="U478" s="4" t="str">
        <f t="shared" si="40"/>
        <v>, CASE WHEN shikkan_disp_name = 'C940' THEN min_shikkan_start_date ::DATE ELSE NULL END AS shikkan460_start_date</v>
      </c>
      <c r="V478" s="25" t="str">
        <f t="shared" si="41"/>
        <v>, max(shikkan460_start_date)</v>
      </c>
      <c r="AA478" s="4"/>
      <c r="AB478" s="4"/>
      <c r="AC478" s="4"/>
      <c r="AD478" s="4"/>
      <c r="AE478" s="4"/>
      <c r="AF478" s="4"/>
      <c r="AG478" s="4"/>
      <c r="AH478" s="4"/>
      <c r="AI478" s="4"/>
      <c r="AJ478" s="76" t="str">
        <f>IF(E478="○",IF(COUNTA(E$13:E478)=1,"",",")&amp;D478,"")</f>
        <v/>
      </c>
      <c r="AK478" s="4"/>
      <c r="AL478" s="4"/>
      <c r="AM478" s="4"/>
      <c r="AN478" s="4"/>
      <c r="AO478" s="4"/>
      <c r="AP478" s="4"/>
      <c r="AQ478" s="4"/>
      <c r="AR478" s="4"/>
      <c r="AS478" s="76" t="str">
        <f>"COMMENT ON COLUMN "&amp;エンティティ一覧!$O$2&amp;"."&amp;D$8&amp;"."&amp;D478&amp;" IS '"&amp;C478&amp;"';"</f>
        <v>COMMENT ON COLUMN milscm_2023_009.sny_202310_annony_bef2.shikkan460_start_date IS 'C940_疾患開始日';</v>
      </c>
    </row>
    <row r="479" spans="1:45" s="25" customFormat="1">
      <c r="A479" s="4" t="s">
        <v>5603</v>
      </c>
      <c r="B479" s="21">
        <f t="shared" si="59"/>
        <v>467</v>
      </c>
      <c r="C479" s="13" t="s">
        <v>6993</v>
      </c>
      <c r="D479" s="13" t="s">
        <v>6121</v>
      </c>
      <c r="E479" s="8"/>
      <c r="F479" s="7" t="s">
        <v>4348</v>
      </c>
      <c r="G479" s="7" t="s">
        <v>25</v>
      </c>
      <c r="H479" s="58"/>
      <c r="I479" s="23"/>
      <c r="J479" s="24"/>
      <c r="M479" s="4"/>
      <c r="N479" s="76"/>
      <c r="O479" s="76"/>
      <c r="P479" s="76" t="str">
        <f t="shared" si="54"/>
        <v>,shikkan461_start_date</v>
      </c>
      <c r="Q479" s="76" t="str">
        <f t="shared" si="55"/>
        <v>DATE</v>
      </c>
      <c r="R479" s="76" t="str">
        <f t="shared" si="56"/>
        <v/>
      </c>
      <c r="S479" s="76" t="str">
        <f t="shared" si="57"/>
        <v/>
      </c>
      <c r="T479" s="76" t="str">
        <f t="shared" si="58"/>
        <v>-- C942_疾患開始日</v>
      </c>
      <c r="U479" s="4" t="str">
        <f t="shared" si="40"/>
        <v>, CASE WHEN shikkan_disp_name = 'C942' THEN min_shikkan_start_date ::DATE ELSE NULL END AS shikkan461_start_date</v>
      </c>
      <c r="V479" s="25" t="str">
        <f t="shared" si="41"/>
        <v>, max(shikkan461_start_date)</v>
      </c>
      <c r="AA479" s="4"/>
      <c r="AB479" s="4"/>
      <c r="AC479" s="4"/>
      <c r="AD479" s="4"/>
      <c r="AE479" s="4"/>
      <c r="AF479" s="4"/>
      <c r="AG479" s="4"/>
      <c r="AH479" s="4"/>
      <c r="AI479" s="4"/>
      <c r="AJ479" s="76" t="str">
        <f>IF(E479="○",IF(COUNTA(E$13:E479)=1,"",",")&amp;D479,"")</f>
        <v/>
      </c>
      <c r="AK479" s="4"/>
      <c r="AL479" s="4"/>
      <c r="AM479" s="4"/>
      <c r="AN479" s="4"/>
      <c r="AO479" s="4"/>
      <c r="AP479" s="4"/>
      <c r="AQ479" s="4"/>
      <c r="AR479" s="4"/>
      <c r="AS479" s="76" t="str">
        <f>"COMMENT ON COLUMN "&amp;エンティティ一覧!$O$2&amp;"."&amp;D$8&amp;"."&amp;D479&amp;" IS '"&amp;C479&amp;"';"</f>
        <v>COMMENT ON COLUMN milscm_2023_009.sny_202310_annony_bef2.shikkan461_start_date IS 'C942_疾患開始日';</v>
      </c>
    </row>
    <row r="480" spans="1:45" s="25" customFormat="1">
      <c r="A480" s="4" t="s">
        <v>5604</v>
      </c>
      <c r="B480" s="21">
        <f t="shared" si="59"/>
        <v>468</v>
      </c>
      <c r="C480" s="13" t="s">
        <v>6994</v>
      </c>
      <c r="D480" s="13" t="s">
        <v>6122</v>
      </c>
      <c r="E480" s="8"/>
      <c r="F480" s="7" t="s">
        <v>4348</v>
      </c>
      <c r="G480" s="7" t="s">
        <v>25</v>
      </c>
      <c r="H480" s="58"/>
      <c r="I480" s="23"/>
      <c r="J480" s="24"/>
      <c r="M480" s="4"/>
      <c r="N480" s="76"/>
      <c r="O480" s="76"/>
      <c r="P480" s="76" t="str">
        <f t="shared" si="54"/>
        <v>,shikkan462_start_date</v>
      </c>
      <c r="Q480" s="76" t="str">
        <f t="shared" si="55"/>
        <v>DATE</v>
      </c>
      <c r="R480" s="76" t="str">
        <f t="shared" si="56"/>
        <v/>
      </c>
      <c r="S480" s="76" t="str">
        <f t="shared" si="57"/>
        <v/>
      </c>
      <c r="T480" s="76" t="str">
        <f t="shared" si="58"/>
        <v>-- C943_疾患開始日</v>
      </c>
      <c r="U480" s="4" t="str">
        <f t="shared" si="40"/>
        <v>, CASE WHEN shikkan_disp_name = 'C943' THEN min_shikkan_start_date ::DATE ELSE NULL END AS shikkan462_start_date</v>
      </c>
      <c r="V480" s="25" t="str">
        <f t="shared" si="41"/>
        <v>, max(shikkan462_start_date)</v>
      </c>
      <c r="AA480" s="4"/>
      <c r="AB480" s="4"/>
      <c r="AC480" s="4"/>
      <c r="AD480" s="4"/>
      <c r="AE480" s="4"/>
      <c r="AF480" s="4"/>
      <c r="AG480" s="4"/>
      <c r="AH480" s="4"/>
      <c r="AI480" s="4"/>
      <c r="AJ480" s="76" t="str">
        <f>IF(E480="○",IF(COUNTA(E$13:E480)=1,"",",")&amp;D480,"")</f>
        <v/>
      </c>
      <c r="AK480" s="4"/>
      <c r="AL480" s="4"/>
      <c r="AM480" s="4"/>
      <c r="AN480" s="4"/>
      <c r="AO480" s="4"/>
      <c r="AP480" s="4"/>
      <c r="AQ480" s="4"/>
      <c r="AR480" s="4"/>
      <c r="AS480" s="76" t="str">
        <f>"COMMENT ON COLUMN "&amp;エンティティ一覧!$O$2&amp;"."&amp;D$8&amp;"."&amp;D480&amp;" IS '"&amp;C480&amp;"';"</f>
        <v>COMMENT ON COLUMN milscm_2023_009.sny_202310_annony_bef2.shikkan462_start_date IS 'C943_疾患開始日';</v>
      </c>
    </row>
    <row r="481" spans="1:45" s="25" customFormat="1">
      <c r="A481" s="4" t="s">
        <v>5605</v>
      </c>
      <c r="B481" s="21">
        <f t="shared" si="59"/>
        <v>469</v>
      </c>
      <c r="C481" s="13" t="s">
        <v>6995</v>
      </c>
      <c r="D481" s="13" t="s">
        <v>6123</v>
      </c>
      <c r="E481" s="8"/>
      <c r="F481" s="7" t="s">
        <v>4348</v>
      </c>
      <c r="G481" s="7" t="s">
        <v>25</v>
      </c>
      <c r="H481" s="58"/>
      <c r="I481" s="23"/>
      <c r="J481" s="24"/>
      <c r="M481" s="4"/>
      <c r="N481" s="76"/>
      <c r="O481" s="76"/>
      <c r="P481" s="76" t="str">
        <f t="shared" si="54"/>
        <v>,shikkan463_start_date</v>
      </c>
      <c r="Q481" s="76" t="str">
        <f t="shared" si="55"/>
        <v>DATE</v>
      </c>
      <c r="R481" s="76" t="str">
        <f t="shared" si="56"/>
        <v/>
      </c>
      <c r="S481" s="76" t="str">
        <f t="shared" si="57"/>
        <v/>
      </c>
      <c r="T481" s="76" t="str">
        <f t="shared" si="58"/>
        <v>-- C944_疾患開始日</v>
      </c>
      <c r="U481" s="4" t="str">
        <f t="shared" si="40"/>
        <v>, CASE WHEN shikkan_disp_name = 'C944' THEN min_shikkan_start_date ::DATE ELSE NULL END AS shikkan463_start_date</v>
      </c>
      <c r="V481" s="25" t="str">
        <f t="shared" si="41"/>
        <v>, max(shikkan463_start_date)</v>
      </c>
      <c r="AA481" s="4"/>
      <c r="AB481" s="4"/>
      <c r="AC481" s="4"/>
      <c r="AD481" s="4"/>
      <c r="AE481" s="4"/>
      <c r="AF481" s="4"/>
      <c r="AG481" s="4"/>
      <c r="AH481" s="4"/>
      <c r="AI481" s="4"/>
      <c r="AJ481" s="76" t="str">
        <f>IF(E481="○",IF(COUNTA(E$13:E481)=1,"",",")&amp;D481,"")</f>
        <v/>
      </c>
      <c r="AK481" s="4"/>
      <c r="AL481" s="4"/>
      <c r="AM481" s="4"/>
      <c r="AN481" s="4"/>
      <c r="AO481" s="4"/>
      <c r="AP481" s="4"/>
      <c r="AQ481" s="4"/>
      <c r="AR481" s="4"/>
      <c r="AS481" s="76" t="str">
        <f>"COMMENT ON COLUMN "&amp;エンティティ一覧!$O$2&amp;"."&amp;D$8&amp;"."&amp;D481&amp;" IS '"&amp;C481&amp;"';"</f>
        <v>COMMENT ON COLUMN milscm_2023_009.sny_202310_annony_bef2.shikkan463_start_date IS 'C944_疾患開始日';</v>
      </c>
    </row>
    <row r="482" spans="1:45" s="25" customFormat="1">
      <c r="A482" s="4" t="s">
        <v>5606</v>
      </c>
      <c r="B482" s="21">
        <f t="shared" si="59"/>
        <v>470</v>
      </c>
      <c r="C482" s="13" t="s">
        <v>6996</v>
      </c>
      <c r="D482" s="13" t="s">
        <v>6124</v>
      </c>
      <c r="E482" s="8"/>
      <c r="F482" s="7" t="s">
        <v>4348</v>
      </c>
      <c r="G482" s="7" t="s">
        <v>99</v>
      </c>
      <c r="H482" s="58"/>
      <c r="I482" s="23"/>
      <c r="J482" s="24"/>
      <c r="M482" s="4"/>
      <c r="N482" s="76"/>
      <c r="O482" s="76"/>
      <c r="P482" s="76" t="str">
        <f t="shared" si="54"/>
        <v>,shikkan464_start_date</v>
      </c>
      <c r="Q482" s="76" t="str">
        <f t="shared" si="55"/>
        <v>DATE</v>
      </c>
      <c r="R482" s="76" t="str">
        <f t="shared" si="56"/>
        <v/>
      </c>
      <c r="S482" s="76" t="str">
        <f t="shared" si="57"/>
        <v/>
      </c>
      <c r="T482" s="76" t="str">
        <f t="shared" si="58"/>
        <v>-- C946_疾患開始日</v>
      </c>
      <c r="U482" s="4" t="str">
        <f t="shared" si="40"/>
        <v>, CASE WHEN shikkan_disp_name = 'C946' THEN min_shikkan_start_date ::DATE ELSE NULL END AS shikkan464_start_date</v>
      </c>
      <c r="V482" s="25" t="str">
        <f t="shared" si="41"/>
        <v>, max(shikkan464_start_date)</v>
      </c>
      <c r="AA482" s="4"/>
      <c r="AB482" s="4"/>
      <c r="AC482" s="4"/>
      <c r="AD482" s="4"/>
      <c r="AE482" s="4"/>
      <c r="AF482" s="4"/>
      <c r="AG482" s="4"/>
      <c r="AH482" s="4"/>
      <c r="AI482" s="4"/>
      <c r="AJ482" s="76" t="str">
        <f>IF(E482="○",IF(COUNTA(E$13:E482)=1,"",",")&amp;D482,"")</f>
        <v/>
      </c>
      <c r="AK482" s="4"/>
      <c r="AL482" s="4"/>
      <c r="AM482" s="4"/>
      <c r="AN482" s="4"/>
      <c r="AO482" s="4"/>
      <c r="AP482" s="4"/>
      <c r="AQ482" s="4"/>
      <c r="AR482" s="4"/>
      <c r="AS482" s="76" t="str">
        <f>"COMMENT ON COLUMN "&amp;エンティティ一覧!$O$2&amp;"."&amp;D$8&amp;"."&amp;D482&amp;" IS '"&amp;C482&amp;"';"</f>
        <v>COMMENT ON COLUMN milscm_2023_009.sny_202310_annony_bef2.shikkan464_start_date IS 'C946_疾患開始日';</v>
      </c>
    </row>
    <row r="483" spans="1:45" s="25" customFormat="1">
      <c r="A483" s="4" t="s">
        <v>5607</v>
      </c>
      <c r="B483" s="21">
        <f t="shared" si="59"/>
        <v>471</v>
      </c>
      <c r="C483" s="13" t="s">
        <v>6997</v>
      </c>
      <c r="D483" s="13" t="s">
        <v>6125</v>
      </c>
      <c r="E483" s="8"/>
      <c r="F483" s="7" t="s">
        <v>4348</v>
      </c>
      <c r="G483" s="7" t="s">
        <v>25</v>
      </c>
      <c r="H483" s="58"/>
      <c r="I483" s="23"/>
      <c r="J483" s="24"/>
      <c r="M483" s="4"/>
      <c r="N483" s="76"/>
      <c r="O483" s="76"/>
      <c r="P483" s="76" t="str">
        <f t="shared" si="54"/>
        <v>,shikkan465_start_date</v>
      </c>
      <c r="Q483" s="76" t="str">
        <f t="shared" si="55"/>
        <v>DATE</v>
      </c>
      <c r="R483" s="76" t="str">
        <f t="shared" si="56"/>
        <v/>
      </c>
      <c r="S483" s="76" t="str">
        <f t="shared" si="57"/>
        <v/>
      </c>
      <c r="T483" s="76" t="str">
        <f t="shared" si="58"/>
        <v>-- C947_疾患開始日</v>
      </c>
      <c r="U483" s="4" t="str">
        <f t="shared" si="40"/>
        <v>, CASE WHEN shikkan_disp_name = 'C947' THEN min_shikkan_start_date ::DATE ELSE NULL END AS shikkan465_start_date</v>
      </c>
      <c r="V483" s="25" t="str">
        <f t="shared" si="41"/>
        <v>, max(shikkan465_start_date)</v>
      </c>
      <c r="AA483" s="4"/>
      <c r="AB483" s="4"/>
      <c r="AC483" s="4"/>
      <c r="AD483" s="4"/>
      <c r="AE483" s="4"/>
      <c r="AF483" s="4"/>
      <c r="AG483" s="4"/>
      <c r="AH483" s="4"/>
      <c r="AI483" s="4"/>
      <c r="AJ483" s="76" t="str">
        <f>IF(E483="○",IF(COUNTA(E$13:E483)=1,"",",")&amp;D483,"")</f>
        <v/>
      </c>
      <c r="AK483" s="4"/>
      <c r="AL483" s="4"/>
      <c r="AM483" s="4"/>
      <c r="AN483" s="4"/>
      <c r="AO483" s="4"/>
      <c r="AP483" s="4"/>
      <c r="AQ483" s="4"/>
      <c r="AR483" s="4"/>
      <c r="AS483" s="76" t="str">
        <f>"COMMENT ON COLUMN "&amp;エンティティ一覧!$O$2&amp;"."&amp;D$8&amp;"."&amp;D483&amp;" IS '"&amp;C483&amp;"';"</f>
        <v>COMMENT ON COLUMN milscm_2023_009.sny_202310_annony_bef2.shikkan465_start_date IS 'C947_疾患開始日';</v>
      </c>
    </row>
    <row r="484" spans="1:45" s="25" customFormat="1">
      <c r="A484" s="4" t="s">
        <v>5608</v>
      </c>
      <c r="B484" s="21">
        <f t="shared" si="59"/>
        <v>472</v>
      </c>
      <c r="C484" s="13" t="s">
        <v>6998</v>
      </c>
      <c r="D484" s="13" t="s">
        <v>6126</v>
      </c>
      <c r="E484" s="8"/>
      <c r="F484" s="7" t="s">
        <v>4348</v>
      </c>
      <c r="G484" s="7" t="s">
        <v>25</v>
      </c>
      <c r="H484" s="58"/>
      <c r="I484" s="23"/>
      <c r="J484" s="24"/>
      <c r="M484" s="4"/>
      <c r="N484" s="76"/>
      <c r="O484" s="76"/>
      <c r="P484" s="76" t="str">
        <f t="shared" ref="P484:P547" si="60">IF(B484&lt;&gt;1,","&amp;D484,D484)</f>
        <v>,shikkan466_start_date</v>
      </c>
      <c r="Q484" s="76" t="str">
        <f t="shared" ref="Q484:Q547" si="61">UPPER(G484)</f>
        <v>DATE</v>
      </c>
      <c r="R484" s="76" t="str">
        <f t="shared" ref="R484:R547" si="62">IF(H484&lt;&gt;"","default "&amp;IF(G484="text","'"&amp;H484&amp;"'",H484),"")</f>
        <v/>
      </c>
      <c r="S484" s="76" t="str">
        <f t="shared" ref="S484:S547" si="63">IF(I484="○","NOT NULL","")</f>
        <v/>
      </c>
      <c r="T484" s="76" t="str">
        <f t="shared" ref="T484:T547" si="64">"-- "&amp;C484</f>
        <v>-- C950_疾患開始日</v>
      </c>
      <c r="U484" s="4" t="str">
        <f t="shared" si="40"/>
        <v>, CASE WHEN shikkan_disp_name = 'C950' THEN min_shikkan_start_date ::DATE ELSE NULL END AS shikkan466_start_date</v>
      </c>
      <c r="V484" s="25" t="str">
        <f t="shared" si="41"/>
        <v>, max(shikkan466_start_date)</v>
      </c>
      <c r="AA484" s="4"/>
      <c r="AB484" s="4"/>
      <c r="AC484" s="4"/>
      <c r="AD484" s="4"/>
      <c r="AE484" s="4"/>
      <c r="AF484" s="4"/>
      <c r="AG484" s="4"/>
      <c r="AH484" s="4"/>
      <c r="AI484" s="4"/>
      <c r="AJ484" s="76" t="str">
        <f>IF(E484="○",IF(COUNTA(E$13:E484)=1,"",",")&amp;D484,"")</f>
        <v/>
      </c>
      <c r="AK484" s="4"/>
      <c r="AL484" s="4"/>
      <c r="AM484" s="4"/>
      <c r="AN484" s="4"/>
      <c r="AO484" s="4"/>
      <c r="AP484" s="4"/>
      <c r="AQ484" s="4"/>
      <c r="AR484" s="4"/>
      <c r="AS484" s="76" t="str">
        <f>"COMMENT ON COLUMN "&amp;エンティティ一覧!$O$2&amp;"."&amp;D$8&amp;"."&amp;D484&amp;" IS '"&amp;C484&amp;"';"</f>
        <v>COMMENT ON COLUMN milscm_2023_009.sny_202310_annony_bef2.shikkan466_start_date IS 'C950_疾患開始日';</v>
      </c>
    </row>
    <row r="485" spans="1:45" s="25" customFormat="1">
      <c r="A485" s="4" t="s">
        <v>5609</v>
      </c>
      <c r="B485" s="21">
        <f t="shared" si="59"/>
        <v>473</v>
      </c>
      <c r="C485" s="13" t="s">
        <v>6999</v>
      </c>
      <c r="D485" s="13" t="s">
        <v>6127</v>
      </c>
      <c r="E485" s="8"/>
      <c r="F485" s="7" t="s">
        <v>4348</v>
      </c>
      <c r="G485" s="7" t="s">
        <v>25</v>
      </c>
      <c r="H485" s="58"/>
      <c r="I485" s="23"/>
      <c r="J485" s="24"/>
      <c r="M485" s="4"/>
      <c r="N485" s="76"/>
      <c r="O485" s="76"/>
      <c r="P485" s="76" t="str">
        <f t="shared" si="60"/>
        <v>,shikkan467_start_date</v>
      </c>
      <c r="Q485" s="76" t="str">
        <f t="shared" si="61"/>
        <v>DATE</v>
      </c>
      <c r="R485" s="76" t="str">
        <f t="shared" si="62"/>
        <v/>
      </c>
      <c r="S485" s="76" t="str">
        <f t="shared" si="63"/>
        <v/>
      </c>
      <c r="T485" s="76" t="str">
        <f t="shared" si="64"/>
        <v>-- C951_疾患開始日</v>
      </c>
      <c r="U485" s="4" t="str">
        <f t="shared" si="40"/>
        <v>, CASE WHEN shikkan_disp_name = 'C951' THEN min_shikkan_start_date ::DATE ELSE NULL END AS shikkan467_start_date</v>
      </c>
      <c r="V485" s="25" t="str">
        <f t="shared" si="41"/>
        <v>, max(shikkan467_start_date)</v>
      </c>
      <c r="AA485" s="4"/>
      <c r="AB485" s="4"/>
      <c r="AC485" s="4"/>
      <c r="AD485" s="4"/>
      <c r="AE485" s="4"/>
      <c r="AF485" s="4"/>
      <c r="AG485" s="4"/>
      <c r="AH485" s="4"/>
      <c r="AI485" s="4"/>
      <c r="AJ485" s="76" t="str">
        <f>IF(E485="○",IF(COUNTA(E$13:E485)=1,"",",")&amp;D485,"")</f>
        <v/>
      </c>
      <c r="AK485" s="4"/>
      <c r="AL485" s="4"/>
      <c r="AM485" s="4"/>
      <c r="AN485" s="4"/>
      <c r="AO485" s="4"/>
      <c r="AP485" s="4"/>
      <c r="AQ485" s="4"/>
      <c r="AR485" s="4"/>
      <c r="AS485" s="76" t="str">
        <f>"COMMENT ON COLUMN "&amp;エンティティ一覧!$O$2&amp;"."&amp;D$8&amp;"."&amp;D485&amp;" IS '"&amp;C485&amp;"';"</f>
        <v>COMMENT ON COLUMN milscm_2023_009.sny_202310_annony_bef2.shikkan467_start_date IS 'C951_疾患開始日';</v>
      </c>
    </row>
    <row r="486" spans="1:45" s="25" customFormat="1">
      <c r="A486" s="4" t="s">
        <v>5610</v>
      </c>
      <c r="B486" s="21">
        <f t="shared" si="59"/>
        <v>474</v>
      </c>
      <c r="C486" s="13" t="s">
        <v>7000</v>
      </c>
      <c r="D486" s="13" t="s">
        <v>6128</v>
      </c>
      <c r="E486" s="8"/>
      <c r="F486" s="7" t="s">
        <v>4348</v>
      </c>
      <c r="G486" s="7" t="s">
        <v>25</v>
      </c>
      <c r="H486" s="58"/>
      <c r="I486" s="23"/>
      <c r="J486" s="24"/>
      <c r="M486" s="4"/>
      <c r="N486" s="76"/>
      <c r="O486" s="76"/>
      <c r="P486" s="76" t="str">
        <f t="shared" si="60"/>
        <v>,shikkan468_start_date</v>
      </c>
      <c r="Q486" s="76" t="str">
        <f t="shared" si="61"/>
        <v>DATE</v>
      </c>
      <c r="R486" s="76" t="str">
        <f t="shared" si="62"/>
        <v/>
      </c>
      <c r="S486" s="76" t="str">
        <f t="shared" si="63"/>
        <v/>
      </c>
      <c r="T486" s="76" t="str">
        <f t="shared" si="64"/>
        <v>-- C957_疾患開始日</v>
      </c>
      <c r="U486" s="4" t="str">
        <f t="shared" si="40"/>
        <v>, CASE WHEN shikkan_disp_name = 'C957' THEN min_shikkan_start_date ::DATE ELSE NULL END AS shikkan468_start_date</v>
      </c>
      <c r="V486" s="25" t="str">
        <f t="shared" si="41"/>
        <v>, max(shikkan468_start_date)</v>
      </c>
      <c r="AA486" s="4"/>
      <c r="AB486" s="4"/>
      <c r="AC486" s="4"/>
      <c r="AD486" s="4"/>
      <c r="AE486" s="4"/>
      <c r="AF486" s="4"/>
      <c r="AG486" s="4"/>
      <c r="AH486" s="4"/>
      <c r="AI486" s="4"/>
      <c r="AJ486" s="76" t="str">
        <f>IF(E486="○",IF(COUNTA(E$13:E486)=1,"",",")&amp;D486,"")</f>
        <v/>
      </c>
      <c r="AK486" s="4"/>
      <c r="AL486" s="4"/>
      <c r="AM486" s="4"/>
      <c r="AN486" s="4"/>
      <c r="AO486" s="4"/>
      <c r="AP486" s="4"/>
      <c r="AQ486" s="4"/>
      <c r="AR486" s="4"/>
      <c r="AS486" s="76" t="str">
        <f>"COMMENT ON COLUMN "&amp;エンティティ一覧!$O$2&amp;"."&amp;D$8&amp;"."&amp;D486&amp;" IS '"&amp;C486&amp;"';"</f>
        <v>COMMENT ON COLUMN milscm_2023_009.sny_202310_annony_bef2.shikkan468_start_date IS 'C957_疾患開始日';</v>
      </c>
    </row>
    <row r="487" spans="1:45" s="25" customFormat="1">
      <c r="A487" s="4" t="s">
        <v>5611</v>
      </c>
      <c r="B487" s="21">
        <f t="shared" si="59"/>
        <v>475</v>
      </c>
      <c r="C487" s="13" t="s">
        <v>7001</v>
      </c>
      <c r="D487" s="13" t="s">
        <v>6129</v>
      </c>
      <c r="E487" s="8"/>
      <c r="F487" s="7" t="s">
        <v>4348</v>
      </c>
      <c r="G487" s="7" t="s">
        <v>25</v>
      </c>
      <c r="H487" s="58"/>
      <c r="I487" s="23"/>
      <c r="J487" s="24"/>
      <c r="M487" s="4"/>
      <c r="N487" s="76"/>
      <c r="O487" s="76"/>
      <c r="P487" s="76" t="str">
        <f t="shared" si="60"/>
        <v>,shikkan469_start_date</v>
      </c>
      <c r="Q487" s="76" t="str">
        <f t="shared" si="61"/>
        <v>DATE</v>
      </c>
      <c r="R487" s="76" t="str">
        <f t="shared" si="62"/>
        <v/>
      </c>
      <c r="S487" s="76" t="str">
        <f t="shared" si="63"/>
        <v/>
      </c>
      <c r="T487" s="76" t="str">
        <f t="shared" si="64"/>
        <v>-- C959_疾患開始日</v>
      </c>
      <c r="U487" s="4" t="str">
        <f t="shared" si="40"/>
        <v>, CASE WHEN shikkan_disp_name = 'C959' THEN min_shikkan_start_date ::DATE ELSE NULL END AS shikkan469_start_date</v>
      </c>
      <c r="V487" s="25" t="str">
        <f t="shared" si="41"/>
        <v>, max(shikkan469_start_date)</v>
      </c>
      <c r="AA487" s="4"/>
      <c r="AB487" s="4"/>
      <c r="AC487" s="4"/>
      <c r="AD487" s="4"/>
      <c r="AE487" s="4"/>
      <c r="AF487" s="4"/>
      <c r="AG487" s="4"/>
      <c r="AH487" s="4"/>
      <c r="AI487" s="4"/>
      <c r="AJ487" s="76" t="str">
        <f>IF(E487="○",IF(COUNTA(E$13:E487)=1,"",",")&amp;D487,"")</f>
        <v/>
      </c>
      <c r="AK487" s="4"/>
      <c r="AL487" s="4"/>
      <c r="AM487" s="4"/>
      <c r="AN487" s="4"/>
      <c r="AO487" s="4"/>
      <c r="AP487" s="4"/>
      <c r="AQ487" s="4"/>
      <c r="AR487" s="4"/>
      <c r="AS487" s="76" t="str">
        <f>"COMMENT ON COLUMN "&amp;エンティティ一覧!$O$2&amp;"."&amp;D$8&amp;"."&amp;D487&amp;" IS '"&amp;C487&amp;"';"</f>
        <v>COMMENT ON COLUMN milscm_2023_009.sny_202310_annony_bef2.shikkan469_start_date IS 'C959_疾患開始日';</v>
      </c>
    </row>
    <row r="488" spans="1:45" s="25" customFormat="1">
      <c r="A488" s="4" t="s">
        <v>5612</v>
      </c>
      <c r="B488" s="21">
        <f t="shared" si="59"/>
        <v>476</v>
      </c>
      <c r="C488" s="13" t="s">
        <v>7002</v>
      </c>
      <c r="D488" s="13" t="s">
        <v>6130</v>
      </c>
      <c r="E488" s="8"/>
      <c r="F488" s="7" t="s">
        <v>4348</v>
      </c>
      <c r="G488" s="7" t="s">
        <v>25</v>
      </c>
      <c r="H488" s="58"/>
      <c r="I488" s="23"/>
      <c r="J488" s="24"/>
      <c r="M488" s="4"/>
      <c r="N488" s="76"/>
      <c r="O488" s="76"/>
      <c r="P488" s="76" t="str">
        <f t="shared" si="60"/>
        <v>,shikkan470_start_date</v>
      </c>
      <c r="Q488" s="76" t="str">
        <f t="shared" si="61"/>
        <v>DATE</v>
      </c>
      <c r="R488" s="76" t="str">
        <f t="shared" si="62"/>
        <v/>
      </c>
      <c r="S488" s="76" t="str">
        <f t="shared" si="63"/>
        <v/>
      </c>
      <c r="T488" s="76" t="str">
        <f t="shared" si="64"/>
        <v>-- C960_疾患開始日</v>
      </c>
      <c r="U488" s="4" t="str">
        <f t="shared" si="40"/>
        <v>, CASE WHEN shikkan_disp_name = 'C960' THEN min_shikkan_start_date ::DATE ELSE NULL END AS shikkan470_start_date</v>
      </c>
      <c r="V488" s="25" t="str">
        <f t="shared" si="41"/>
        <v>, max(shikkan470_start_date)</v>
      </c>
      <c r="AA488" s="4"/>
      <c r="AB488" s="4"/>
      <c r="AC488" s="4"/>
      <c r="AD488" s="4"/>
      <c r="AE488" s="4"/>
      <c r="AF488" s="4"/>
      <c r="AG488" s="4"/>
      <c r="AH488" s="4"/>
      <c r="AI488" s="4"/>
      <c r="AJ488" s="76" t="str">
        <f>IF(E488="○",IF(COUNTA(E$13:E488)=1,"",",")&amp;D488,"")</f>
        <v/>
      </c>
      <c r="AK488" s="4"/>
      <c r="AL488" s="4"/>
      <c r="AM488" s="4"/>
      <c r="AN488" s="4"/>
      <c r="AO488" s="4"/>
      <c r="AP488" s="4"/>
      <c r="AQ488" s="4"/>
      <c r="AR488" s="4"/>
      <c r="AS488" s="76" t="str">
        <f>"COMMENT ON COLUMN "&amp;エンティティ一覧!$O$2&amp;"."&amp;D$8&amp;"."&amp;D488&amp;" IS '"&amp;C488&amp;"';"</f>
        <v>COMMENT ON COLUMN milscm_2023_009.sny_202310_annony_bef2.shikkan470_start_date IS 'C960_疾患開始日';</v>
      </c>
    </row>
    <row r="489" spans="1:45" s="25" customFormat="1">
      <c r="A489" s="4" t="s">
        <v>5613</v>
      </c>
      <c r="B489" s="21">
        <f t="shared" si="59"/>
        <v>477</v>
      </c>
      <c r="C489" s="13" t="s">
        <v>7003</v>
      </c>
      <c r="D489" s="13" t="s">
        <v>6131</v>
      </c>
      <c r="E489" s="8"/>
      <c r="F489" s="7" t="s">
        <v>4348</v>
      </c>
      <c r="G489" s="7" t="s">
        <v>25</v>
      </c>
      <c r="H489" s="58"/>
      <c r="I489" s="23"/>
      <c r="J489" s="24"/>
      <c r="M489" s="4"/>
      <c r="N489" s="76"/>
      <c r="O489" s="76"/>
      <c r="P489" s="76" t="str">
        <f t="shared" si="60"/>
        <v>,shikkan471_start_date</v>
      </c>
      <c r="Q489" s="76" t="str">
        <f t="shared" si="61"/>
        <v>DATE</v>
      </c>
      <c r="R489" s="76" t="str">
        <f t="shared" si="62"/>
        <v/>
      </c>
      <c r="S489" s="76" t="str">
        <f t="shared" si="63"/>
        <v/>
      </c>
      <c r="T489" s="76" t="str">
        <f t="shared" si="64"/>
        <v>-- C962_疾患開始日</v>
      </c>
      <c r="U489" s="4" t="str">
        <f t="shared" si="40"/>
        <v>, CASE WHEN shikkan_disp_name = 'C962' THEN min_shikkan_start_date ::DATE ELSE NULL END AS shikkan471_start_date</v>
      </c>
      <c r="V489" s="25" t="str">
        <f t="shared" si="41"/>
        <v>, max(shikkan471_start_date)</v>
      </c>
      <c r="AA489" s="4"/>
      <c r="AB489" s="4"/>
      <c r="AC489" s="4"/>
      <c r="AD489" s="4"/>
      <c r="AE489" s="4"/>
      <c r="AF489" s="4"/>
      <c r="AG489" s="4"/>
      <c r="AH489" s="4"/>
      <c r="AI489" s="4"/>
      <c r="AJ489" s="76" t="str">
        <f>IF(E489="○",IF(COUNTA(E$13:E489)=1,"",",")&amp;D489,"")</f>
        <v/>
      </c>
      <c r="AK489" s="4"/>
      <c r="AL489" s="4"/>
      <c r="AM489" s="4"/>
      <c r="AN489" s="4"/>
      <c r="AO489" s="4"/>
      <c r="AP489" s="4"/>
      <c r="AQ489" s="4"/>
      <c r="AR489" s="4"/>
      <c r="AS489" s="76" t="str">
        <f>"COMMENT ON COLUMN "&amp;エンティティ一覧!$O$2&amp;"."&amp;D$8&amp;"."&amp;D489&amp;" IS '"&amp;C489&amp;"';"</f>
        <v>COMMENT ON COLUMN milscm_2023_009.sny_202310_annony_bef2.shikkan471_start_date IS 'C962_疾患開始日';</v>
      </c>
    </row>
    <row r="490" spans="1:45" s="25" customFormat="1">
      <c r="A490" s="4" t="s">
        <v>5614</v>
      </c>
      <c r="B490" s="21">
        <f t="shared" si="59"/>
        <v>478</v>
      </c>
      <c r="C490" s="13" t="s">
        <v>7004</v>
      </c>
      <c r="D490" s="13" t="s">
        <v>6132</v>
      </c>
      <c r="E490" s="8"/>
      <c r="F490" s="7" t="s">
        <v>4348</v>
      </c>
      <c r="G490" s="7" t="s">
        <v>25</v>
      </c>
      <c r="H490" s="58"/>
      <c r="I490" s="23"/>
      <c r="J490" s="24"/>
      <c r="M490" s="4"/>
      <c r="N490" s="76"/>
      <c r="O490" s="76"/>
      <c r="P490" s="76" t="str">
        <f t="shared" si="60"/>
        <v>,shikkan472_start_date</v>
      </c>
      <c r="Q490" s="76" t="str">
        <f t="shared" si="61"/>
        <v>DATE</v>
      </c>
      <c r="R490" s="76" t="str">
        <f t="shared" si="62"/>
        <v/>
      </c>
      <c r="S490" s="76" t="str">
        <f t="shared" si="63"/>
        <v/>
      </c>
      <c r="T490" s="76" t="str">
        <f t="shared" si="64"/>
        <v>-- C964_疾患開始日</v>
      </c>
      <c r="U490" s="4" t="str">
        <f t="shared" si="40"/>
        <v>, CASE WHEN shikkan_disp_name = 'C964' THEN min_shikkan_start_date ::DATE ELSE NULL END AS shikkan472_start_date</v>
      </c>
      <c r="V490" s="25" t="str">
        <f t="shared" si="41"/>
        <v>, max(shikkan472_start_date)</v>
      </c>
      <c r="AA490" s="4"/>
      <c r="AB490" s="4"/>
      <c r="AC490" s="4"/>
      <c r="AD490" s="4"/>
      <c r="AE490" s="4"/>
      <c r="AF490" s="4"/>
      <c r="AG490" s="4"/>
      <c r="AH490" s="4"/>
      <c r="AI490" s="4"/>
      <c r="AJ490" s="76" t="str">
        <f>IF(E490="○",IF(COUNTA(E$13:E490)=1,"",",")&amp;D490,"")</f>
        <v/>
      </c>
      <c r="AK490" s="4"/>
      <c r="AL490" s="4"/>
      <c r="AM490" s="4"/>
      <c r="AN490" s="4"/>
      <c r="AO490" s="4"/>
      <c r="AP490" s="4"/>
      <c r="AQ490" s="4"/>
      <c r="AR490" s="4"/>
      <c r="AS490" s="76" t="str">
        <f>"COMMENT ON COLUMN "&amp;エンティティ一覧!$O$2&amp;"."&amp;D$8&amp;"."&amp;D490&amp;" IS '"&amp;C490&amp;"';"</f>
        <v>COMMENT ON COLUMN milscm_2023_009.sny_202310_annony_bef2.shikkan472_start_date IS 'C964_疾患開始日';</v>
      </c>
    </row>
    <row r="491" spans="1:45" s="25" customFormat="1">
      <c r="A491" s="4" t="s">
        <v>5615</v>
      </c>
      <c r="B491" s="21">
        <f t="shared" si="59"/>
        <v>479</v>
      </c>
      <c r="C491" s="13" t="s">
        <v>7005</v>
      </c>
      <c r="D491" s="13" t="s">
        <v>6133</v>
      </c>
      <c r="E491" s="8"/>
      <c r="F491" s="7" t="s">
        <v>4348</v>
      </c>
      <c r="G491" s="7" t="s">
        <v>25</v>
      </c>
      <c r="H491" s="58"/>
      <c r="I491" s="23"/>
      <c r="J491" s="24"/>
      <c r="M491" s="4"/>
      <c r="N491" s="76"/>
      <c r="O491" s="76"/>
      <c r="P491" s="76" t="str">
        <f t="shared" si="60"/>
        <v>,shikkan473_start_date</v>
      </c>
      <c r="Q491" s="76" t="str">
        <f t="shared" si="61"/>
        <v>DATE</v>
      </c>
      <c r="R491" s="76" t="str">
        <f t="shared" si="62"/>
        <v/>
      </c>
      <c r="S491" s="76" t="str">
        <f t="shared" si="63"/>
        <v/>
      </c>
      <c r="T491" s="76" t="str">
        <f t="shared" si="64"/>
        <v>-- C965_疾患開始日</v>
      </c>
      <c r="U491" s="4" t="str">
        <f t="shared" si="40"/>
        <v>, CASE WHEN shikkan_disp_name = 'C965' THEN min_shikkan_start_date ::DATE ELSE NULL END AS shikkan473_start_date</v>
      </c>
      <c r="V491" s="25" t="str">
        <f t="shared" si="41"/>
        <v>, max(shikkan473_start_date)</v>
      </c>
      <c r="AA491" s="4"/>
      <c r="AB491" s="4"/>
      <c r="AC491" s="4"/>
      <c r="AD491" s="4"/>
      <c r="AE491" s="4"/>
      <c r="AF491" s="4"/>
      <c r="AG491" s="4"/>
      <c r="AH491" s="4"/>
      <c r="AI491" s="4"/>
      <c r="AJ491" s="76" t="str">
        <f>IF(E491="○",IF(COUNTA(E$13:E491)=1,"",",")&amp;D491,"")</f>
        <v/>
      </c>
      <c r="AK491" s="4"/>
      <c r="AL491" s="4"/>
      <c r="AM491" s="4"/>
      <c r="AN491" s="4"/>
      <c r="AO491" s="4"/>
      <c r="AP491" s="4"/>
      <c r="AQ491" s="4"/>
      <c r="AR491" s="4"/>
      <c r="AS491" s="76" t="str">
        <f>"COMMENT ON COLUMN "&amp;エンティティ一覧!$O$2&amp;"."&amp;D$8&amp;"."&amp;D491&amp;" IS '"&amp;C491&amp;"';"</f>
        <v>COMMENT ON COLUMN milscm_2023_009.sny_202310_annony_bef2.shikkan473_start_date IS 'C965_疾患開始日';</v>
      </c>
    </row>
    <row r="492" spans="1:45" s="25" customFormat="1">
      <c r="A492" s="4" t="s">
        <v>5616</v>
      </c>
      <c r="B492" s="21">
        <f t="shared" si="59"/>
        <v>480</v>
      </c>
      <c r="C492" s="13" t="s">
        <v>7006</v>
      </c>
      <c r="D492" s="13" t="s">
        <v>6134</v>
      </c>
      <c r="E492" s="8"/>
      <c r="F492" s="7" t="s">
        <v>4348</v>
      </c>
      <c r="G492" s="7" t="s">
        <v>25</v>
      </c>
      <c r="H492" s="58"/>
      <c r="I492" s="23"/>
      <c r="J492" s="24"/>
      <c r="M492" s="4"/>
      <c r="N492" s="76"/>
      <c r="O492" s="76"/>
      <c r="P492" s="76" t="str">
        <f t="shared" si="60"/>
        <v>,shikkan474_start_date</v>
      </c>
      <c r="Q492" s="76" t="str">
        <f t="shared" si="61"/>
        <v>DATE</v>
      </c>
      <c r="R492" s="76" t="str">
        <f t="shared" si="62"/>
        <v/>
      </c>
      <c r="S492" s="76" t="str">
        <f t="shared" si="63"/>
        <v/>
      </c>
      <c r="T492" s="76" t="str">
        <f t="shared" si="64"/>
        <v>-- C966_疾患開始日</v>
      </c>
      <c r="U492" s="4" t="str">
        <f t="shared" si="40"/>
        <v>, CASE WHEN shikkan_disp_name = 'C966' THEN min_shikkan_start_date ::DATE ELSE NULL END AS shikkan474_start_date</v>
      </c>
      <c r="V492" s="25" t="str">
        <f t="shared" si="41"/>
        <v>, max(shikkan474_start_date)</v>
      </c>
      <c r="AA492" s="4"/>
      <c r="AB492" s="4"/>
      <c r="AC492" s="4"/>
      <c r="AD492" s="4"/>
      <c r="AE492" s="4"/>
      <c r="AF492" s="4"/>
      <c r="AG492" s="4"/>
      <c r="AH492" s="4"/>
      <c r="AI492" s="4"/>
      <c r="AJ492" s="76" t="str">
        <f>IF(E492="○",IF(COUNTA(E$13:E492)=1,"",",")&amp;D492,"")</f>
        <v/>
      </c>
      <c r="AK492" s="4"/>
      <c r="AL492" s="4"/>
      <c r="AM492" s="4"/>
      <c r="AN492" s="4"/>
      <c r="AO492" s="4"/>
      <c r="AP492" s="4"/>
      <c r="AQ492" s="4"/>
      <c r="AR492" s="4"/>
      <c r="AS492" s="76" t="str">
        <f>"COMMENT ON COLUMN "&amp;エンティティ一覧!$O$2&amp;"."&amp;D$8&amp;"."&amp;D492&amp;" IS '"&amp;C492&amp;"';"</f>
        <v>COMMENT ON COLUMN milscm_2023_009.sny_202310_annony_bef2.shikkan474_start_date IS 'C966_疾患開始日';</v>
      </c>
    </row>
    <row r="493" spans="1:45" s="25" customFormat="1">
      <c r="A493" s="4" t="s">
        <v>5617</v>
      </c>
      <c r="B493" s="21">
        <f t="shared" si="59"/>
        <v>481</v>
      </c>
      <c r="C493" s="13" t="s">
        <v>7007</v>
      </c>
      <c r="D493" s="13" t="s">
        <v>6135</v>
      </c>
      <c r="E493" s="8"/>
      <c r="F493" s="7" t="s">
        <v>4348</v>
      </c>
      <c r="G493" s="7" t="s">
        <v>25</v>
      </c>
      <c r="H493" s="58"/>
      <c r="I493" s="23"/>
      <c r="J493" s="24"/>
      <c r="M493" s="4"/>
      <c r="N493" s="76"/>
      <c r="O493" s="76"/>
      <c r="P493" s="76" t="str">
        <f t="shared" si="60"/>
        <v>,shikkan475_start_date</v>
      </c>
      <c r="Q493" s="76" t="str">
        <f t="shared" si="61"/>
        <v>DATE</v>
      </c>
      <c r="R493" s="76" t="str">
        <f t="shared" si="62"/>
        <v/>
      </c>
      <c r="S493" s="76" t="str">
        <f t="shared" si="63"/>
        <v/>
      </c>
      <c r="T493" s="76" t="str">
        <f t="shared" si="64"/>
        <v>-- C967_疾患開始日</v>
      </c>
      <c r="U493" s="4" t="str">
        <f t="shared" si="40"/>
        <v>, CASE WHEN shikkan_disp_name = 'C967' THEN min_shikkan_start_date ::DATE ELSE NULL END AS shikkan475_start_date</v>
      </c>
      <c r="V493" s="25" t="str">
        <f t="shared" si="41"/>
        <v>, max(shikkan475_start_date)</v>
      </c>
      <c r="AA493" s="4"/>
      <c r="AB493" s="4"/>
      <c r="AC493" s="4"/>
      <c r="AD493" s="4"/>
      <c r="AE493" s="4"/>
      <c r="AF493" s="4"/>
      <c r="AG493" s="4"/>
      <c r="AH493" s="4"/>
      <c r="AI493" s="4"/>
      <c r="AJ493" s="76" t="str">
        <f>IF(E493="○",IF(COUNTA(E$13:E493)=1,"",",")&amp;D493,"")</f>
        <v/>
      </c>
      <c r="AK493" s="4"/>
      <c r="AL493" s="4"/>
      <c r="AM493" s="4"/>
      <c r="AN493" s="4"/>
      <c r="AO493" s="4"/>
      <c r="AP493" s="4"/>
      <c r="AQ493" s="4"/>
      <c r="AR493" s="4"/>
      <c r="AS493" s="76" t="str">
        <f>"COMMENT ON COLUMN "&amp;エンティティ一覧!$O$2&amp;"."&amp;D$8&amp;"."&amp;D493&amp;" IS '"&amp;C493&amp;"';"</f>
        <v>COMMENT ON COLUMN milscm_2023_009.sny_202310_annony_bef2.shikkan475_start_date IS 'C967_疾患開始日';</v>
      </c>
    </row>
    <row r="494" spans="1:45" s="25" customFormat="1">
      <c r="A494" s="4" t="s">
        <v>5618</v>
      </c>
      <c r="B494" s="21">
        <f t="shared" si="59"/>
        <v>482</v>
      </c>
      <c r="C494" s="13" t="s">
        <v>7008</v>
      </c>
      <c r="D494" s="13" t="s">
        <v>6136</v>
      </c>
      <c r="E494" s="8"/>
      <c r="F494" s="7" t="s">
        <v>4348</v>
      </c>
      <c r="G494" s="7" t="s">
        <v>25</v>
      </c>
      <c r="H494" s="58"/>
      <c r="I494" s="23"/>
      <c r="J494" s="24"/>
      <c r="M494" s="4"/>
      <c r="N494" s="76"/>
      <c r="O494" s="76"/>
      <c r="P494" s="76" t="str">
        <f t="shared" si="60"/>
        <v>,shikkan476_start_date</v>
      </c>
      <c r="Q494" s="76" t="str">
        <f t="shared" si="61"/>
        <v>DATE</v>
      </c>
      <c r="R494" s="76" t="str">
        <f t="shared" si="62"/>
        <v/>
      </c>
      <c r="S494" s="76" t="str">
        <f t="shared" si="63"/>
        <v/>
      </c>
      <c r="T494" s="76" t="str">
        <f t="shared" si="64"/>
        <v>-- C968_疾患開始日</v>
      </c>
      <c r="U494" s="4" t="str">
        <f t="shared" si="40"/>
        <v>, CASE WHEN shikkan_disp_name = 'C968' THEN min_shikkan_start_date ::DATE ELSE NULL END AS shikkan476_start_date</v>
      </c>
      <c r="V494" s="25" t="str">
        <f t="shared" si="41"/>
        <v>, max(shikkan476_start_date)</v>
      </c>
      <c r="AA494" s="4"/>
      <c r="AB494" s="4"/>
      <c r="AC494" s="4"/>
      <c r="AD494" s="4"/>
      <c r="AE494" s="4"/>
      <c r="AF494" s="4"/>
      <c r="AG494" s="4"/>
      <c r="AH494" s="4"/>
      <c r="AI494" s="4"/>
      <c r="AJ494" s="76" t="str">
        <f>IF(E494="○",IF(COUNTA(E$13:E494)=1,"",",")&amp;D494,"")</f>
        <v/>
      </c>
      <c r="AK494" s="4"/>
      <c r="AL494" s="4"/>
      <c r="AM494" s="4"/>
      <c r="AN494" s="4"/>
      <c r="AO494" s="4"/>
      <c r="AP494" s="4"/>
      <c r="AQ494" s="4"/>
      <c r="AR494" s="4"/>
      <c r="AS494" s="76" t="str">
        <f>"COMMENT ON COLUMN "&amp;エンティティ一覧!$O$2&amp;"."&amp;D$8&amp;"."&amp;D494&amp;" IS '"&amp;C494&amp;"';"</f>
        <v>COMMENT ON COLUMN milscm_2023_009.sny_202310_annony_bef2.shikkan476_start_date IS 'C968_疾患開始日';</v>
      </c>
    </row>
    <row r="495" spans="1:45" s="25" customFormat="1">
      <c r="A495" s="4" t="s">
        <v>5619</v>
      </c>
      <c r="B495" s="21">
        <f t="shared" si="59"/>
        <v>483</v>
      </c>
      <c r="C495" s="13" t="s">
        <v>7009</v>
      </c>
      <c r="D495" s="13" t="s">
        <v>6137</v>
      </c>
      <c r="E495" s="8"/>
      <c r="F495" s="7" t="s">
        <v>4348</v>
      </c>
      <c r="G495" s="7" t="s">
        <v>25</v>
      </c>
      <c r="H495" s="58"/>
      <c r="I495" s="23"/>
      <c r="J495" s="24"/>
      <c r="M495" s="4"/>
      <c r="N495" s="76"/>
      <c r="O495" s="76"/>
      <c r="P495" s="76" t="str">
        <f t="shared" si="60"/>
        <v>,shikkan477_start_date</v>
      </c>
      <c r="Q495" s="76" t="str">
        <f t="shared" si="61"/>
        <v>DATE</v>
      </c>
      <c r="R495" s="76" t="str">
        <f t="shared" si="62"/>
        <v/>
      </c>
      <c r="S495" s="76" t="str">
        <f t="shared" si="63"/>
        <v/>
      </c>
      <c r="T495" s="76" t="str">
        <f t="shared" si="64"/>
        <v>-- C969_疾患開始日</v>
      </c>
      <c r="U495" s="4" t="str">
        <f t="shared" si="40"/>
        <v>, CASE WHEN shikkan_disp_name = 'C969' THEN min_shikkan_start_date ::DATE ELSE NULL END AS shikkan477_start_date</v>
      </c>
      <c r="V495" s="25" t="str">
        <f t="shared" si="41"/>
        <v>, max(shikkan477_start_date)</v>
      </c>
      <c r="AA495" s="4"/>
      <c r="AB495" s="4"/>
      <c r="AC495" s="4"/>
      <c r="AD495" s="4"/>
      <c r="AE495" s="4"/>
      <c r="AF495" s="4"/>
      <c r="AG495" s="4"/>
      <c r="AH495" s="4"/>
      <c r="AI495" s="4"/>
      <c r="AJ495" s="76" t="str">
        <f>IF(E495="○",IF(COUNTA(E$13:E495)=1,"",",")&amp;D495,"")</f>
        <v/>
      </c>
      <c r="AK495" s="4"/>
      <c r="AL495" s="4"/>
      <c r="AM495" s="4"/>
      <c r="AN495" s="4"/>
      <c r="AO495" s="4"/>
      <c r="AP495" s="4"/>
      <c r="AQ495" s="4"/>
      <c r="AR495" s="4"/>
      <c r="AS495" s="76" t="str">
        <f>"COMMENT ON COLUMN "&amp;エンティティ一覧!$O$2&amp;"."&amp;D$8&amp;"."&amp;D495&amp;" IS '"&amp;C495&amp;"';"</f>
        <v>COMMENT ON COLUMN milscm_2023_009.sny_202310_annony_bef2.shikkan477_start_date IS 'C969_疾患開始日';</v>
      </c>
    </row>
    <row r="496" spans="1:45" s="25" customFormat="1">
      <c r="A496" s="4" t="s">
        <v>5157</v>
      </c>
      <c r="B496" s="21">
        <f t="shared" si="59"/>
        <v>484</v>
      </c>
      <c r="C496" s="13" t="s">
        <v>4767</v>
      </c>
      <c r="D496" s="13" t="s">
        <v>6138</v>
      </c>
      <c r="E496" s="8"/>
      <c r="F496" s="7" t="s">
        <v>4348</v>
      </c>
      <c r="G496" s="7" t="s">
        <v>25</v>
      </c>
      <c r="H496" s="58"/>
      <c r="I496" s="23"/>
      <c r="J496" s="24"/>
      <c r="M496" s="4"/>
      <c r="N496" s="76"/>
      <c r="O496" s="76"/>
      <c r="P496" s="76" t="str">
        <f t="shared" si="60"/>
        <v>,shikkan478_start_date</v>
      </c>
      <c r="Q496" s="76" t="str">
        <f t="shared" si="61"/>
        <v>DATE</v>
      </c>
      <c r="R496" s="76" t="str">
        <f t="shared" si="62"/>
        <v/>
      </c>
      <c r="S496" s="76" t="str">
        <f t="shared" si="63"/>
        <v/>
      </c>
      <c r="T496" s="76" t="str">
        <f t="shared" si="64"/>
        <v>-- C97_疾患開始日</v>
      </c>
      <c r="U496" s="4" t="str">
        <f t="shared" si="40"/>
        <v>, CASE WHEN shikkan_disp_name = 'C97' THEN min_shikkan_start_date ::DATE ELSE NULL END AS shikkan478_start_date</v>
      </c>
      <c r="V496" s="25" t="str">
        <f t="shared" si="41"/>
        <v>, max(shikkan478_start_date)</v>
      </c>
      <c r="AA496" s="4"/>
      <c r="AB496" s="4"/>
      <c r="AC496" s="4"/>
      <c r="AD496" s="4"/>
      <c r="AE496" s="4"/>
      <c r="AF496" s="4"/>
      <c r="AG496" s="4"/>
      <c r="AH496" s="4"/>
      <c r="AI496" s="4"/>
      <c r="AJ496" s="76" t="str">
        <f>IF(E496="○",IF(COUNTA(E$13:E496)=1,"",",")&amp;D496,"")</f>
        <v/>
      </c>
      <c r="AK496" s="4"/>
      <c r="AL496" s="4"/>
      <c r="AM496" s="4"/>
      <c r="AN496" s="4"/>
      <c r="AO496" s="4"/>
      <c r="AP496" s="4"/>
      <c r="AQ496" s="4"/>
      <c r="AR496" s="4"/>
      <c r="AS496" s="76" t="str">
        <f>"COMMENT ON COLUMN "&amp;エンティティ一覧!$O$2&amp;"."&amp;D$8&amp;"."&amp;D496&amp;" IS '"&amp;C496&amp;"';"</f>
        <v>COMMENT ON COLUMN milscm_2023_009.sny_202310_annony_bef2.shikkan478_start_date IS 'C97_疾患開始日';</v>
      </c>
    </row>
    <row r="497" spans="1:45" s="25" customFormat="1">
      <c r="A497" s="4" t="s">
        <v>5088</v>
      </c>
      <c r="B497" s="21">
        <f t="shared" si="59"/>
        <v>485</v>
      </c>
      <c r="C497" s="13" t="s">
        <v>4698</v>
      </c>
      <c r="D497" s="13" t="s">
        <v>6139</v>
      </c>
      <c r="E497" s="8"/>
      <c r="F497" s="7" t="s">
        <v>4348</v>
      </c>
      <c r="G497" s="7" t="s">
        <v>25</v>
      </c>
      <c r="H497" s="58"/>
      <c r="I497" s="23"/>
      <c r="J497" s="24"/>
      <c r="M497" s="4"/>
      <c r="N497" s="76"/>
      <c r="O497" s="76"/>
      <c r="P497" s="76" t="str">
        <f t="shared" si="60"/>
        <v>,shikkan479_start_date</v>
      </c>
      <c r="Q497" s="76" t="str">
        <f t="shared" si="61"/>
        <v>DATE</v>
      </c>
      <c r="R497" s="76" t="str">
        <f t="shared" si="62"/>
        <v/>
      </c>
      <c r="S497" s="76" t="str">
        <f t="shared" si="63"/>
        <v/>
      </c>
      <c r="T497" s="76" t="str">
        <f t="shared" si="64"/>
        <v>-- E100_疾患開始日</v>
      </c>
      <c r="U497" s="4" t="str">
        <f t="shared" si="40"/>
        <v>, CASE WHEN shikkan_disp_name = 'E100' THEN min_shikkan_start_date ::DATE ELSE NULL END AS shikkan479_start_date</v>
      </c>
      <c r="V497" s="25" t="str">
        <f t="shared" si="41"/>
        <v>, max(shikkan479_start_date)</v>
      </c>
      <c r="AA497" s="4"/>
      <c r="AB497" s="4"/>
      <c r="AC497" s="4"/>
      <c r="AD497" s="4"/>
      <c r="AE497" s="4"/>
      <c r="AF497" s="4"/>
      <c r="AG497" s="4"/>
      <c r="AH497" s="4"/>
      <c r="AI497" s="4"/>
      <c r="AJ497" s="76" t="str">
        <f>IF(E497="○",IF(COUNTA(E$13:E497)=1,"",",")&amp;D497,"")</f>
        <v/>
      </c>
      <c r="AK497" s="4"/>
      <c r="AL497" s="4"/>
      <c r="AM497" s="4"/>
      <c r="AN497" s="4"/>
      <c r="AO497" s="4"/>
      <c r="AP497" s="4"/>
      <c r="AQ497" s="4"/>
      <c r="AR497" s="4"/>
      <c r="AS497" s="76" t="str">
        <f>"COMMENT ON COLUMN "&amp;エンティティ一覧!$O$2&amp;"."&amp;D$8&amp;"."&amp;D497&amp;" IS '"&amp;C497&amp;"';"</f>
        <v>COMMENT ON COLUMN milscm_2023_009.sny_202310_annony_bef2.shikkan479_start_date IS 'E100_疾患開始日';</v>
      </c>
    </row>
    <row r="498" spans="1:45" s="25" customFormat="1">
      <c r="A498" s="4" t="s">
        <v>5089</v>
      </c>
      <c r="B498" s="21">
        <f t="shared" si="59"/>
        <v>486</v>
      </c>
      <c r="C498" s="13" t="s">
        <v>4699</v>
      </c>
      <c r="D498" s="13" t="s">
        <v>6140</v>
      </c>
      <c r="E498" s="8"/>
      <c r="F498" s="7" t="s">
        <v>4348</v>
      </c>
      <c r="G498" s="7" t="s">
        <v>99</v>
      </c>
      <c r="H498" s="58"/>
      <c r="I498" s="23"/>
      <c r="J498" s="24"/>
      <c r="M498" s="4"/>
      <c r="N498" s="76"/>
      <c r="O498" s="76"/>
      <c r="P498" s="76" t="str">
        <f t="shared" si="60"/>
        <v>,shikkan480_start_date</v>
      </c>
      <c r="Q498" s="76" t="str">
        <f t="shared" si="61"/>
        <v>DATE</v>
      </c>
      <c r="R498" s="76" t="str">
        <f t="shared" si="62"/>
        <v/>
      </c>
      <c r="S498" s="76" t="str">
        <f t="shared" si="63"/>
        <v/>
      </c>
      <c r="T498" s="76" t="str">
        <f t="shared" si="64"/>
        <v>-- E101_疾患開始日</v>
      </c>
      <c r="U498" s="4" t="str">
        <f t="shared" si="40"/>
        <v>, CASE WHEN shikkan_disp_name = 'E101' THEN min_shikkan_start_date ::DATE ELSE NULL END AS shikkan480_start_date</v>
      </c>
      <c r="V498" s="25" t="str">
        <f t="shared" si="41"/>
        <v>, max(shikkan480_start_date)</v>
      </c>
      <c r="AA498" s="4"/>
      <c r="AB498" s="4"/>
      <c r="AC498" s="4"/>
      <c r="AD498" s="4"/>
      <c r="AE498" s="4"/>
      <c r="AF498" s="4"/>
      <c r="AG498" s="4"/>
      <c r="AH498" s="4"/>
      <c r="AI498" s="4"/>
      <c r="AJ498" s="76" t="str">
        <f>IF(E498="○",IF(COUNTA(E$13:E498)=1,"",",")&amp;D498,"")</f>
        <v/>
      </c>
      <c r="AK498" s="4"/>
      <c r="AL498" s="4"/>
      <c r="AM498" s="4"/>
      <c r="AN498" s="4"/>
      <c r="AO498" s="4"/>
      <c r="AP498" s="4"/>
      <c r="AQ498" s="4"/>
      <c r="AR498" s="4"/>
      <c r="AS498" s="76" t="str">
        <f>"COMMENT ON COLUMN "&amp;エンティティ一覧!$O$2&amp;"."&amp;D$8&amp;"."&amp;D498&amp;" IS '"&amp;C498&amp;"';"</f>
        <v>COMMENT ON COLUMN milscm_2023_009.sny_202310_annony_bef2.shikkan480_start_date IS 'E101_疾患開始日';</v>
      </c>
    </row>
    <row r="499" spans="1:45" s="25" customFormat="1">
      <c r="A499" s="4" t="s">
        <v>5113</v>
      </c>
      <c r="B499" s="21">
        <f t="shared" si="59"/>
        <v>487</v>
      </c>
      <c r="C499" s="13" t="s">
        <v>4723</v>
      </c>
      <c r="D499" s="13" t="s">
        <v>6141</v>
      </c>
      <c r="E499" s="8"/>
      <c r="F499" s="7" t="s">
        <v>4348</v>
      </c>
      <c r="G499" s="7" t="s">
        <v>25</v>
      </c>
      <c r="H499" s="58"/>
      <c r="I499" s="23"/>
      <c r="J499" s="24"/>
      <c r="M499" s="4"/>
      <c r="N499" s="76"/>
      <c r="O499" s="76"/>
      <c r="P499" s="76" t="str">
        <f t="shared" si="60"/>
        <v>,shikkan481_start_date</v>
      </c>
      <c r="Q499" s="76" t="str">
        <f t="shared" si="61"/>
        <v>DATE</v>
      </c>
      <c r="R499" s="76" t="str">
        <f t="shared" si="62"/>
        <v/>
      </c>
      <c r="S499" s="76" t="str">
        <f t="shared" si="63"/>
        <v/>
      </c>
      <c r="T499" s="76" t="str">
        <f t="shared" si="64"/>
        <v>-- E102_疾患開始日</v>
      </c>
      <c r="U499" s="4" t="str">
        <f t="shared" si="40"/>
        <v>, CASE WHEN shikkan_disp_name = 'E102' THEN min_shikkan_start_date ::DATE ELSE NULL END AS shikkan481_start_date</v>
      </c>
      <c r="V499" s="25" t="str">
        <f t="shared" si="41"/>
        <v>, max(shikkan481_start_date)</v>
      </c>
      <c r="AA499" s="4"/>
      <c r="AB499" s="4"/>
      <c r="AC499" s="4"/>
      <c r="AD499" s="4"/>
      <c r="AE499" s="4"/>
      <c r="AF499" s="4"/>
      <c r="AG499" s="4"/>
      <c r="AH499" s="4"/>
      <c r="AI499" s="4"/>
      <c r="AJ499" s="76" t="str">
        <f>IF(E499="○",IF(COUNTA(E$13:E499)=1,"",",")&amp;D499,"")</f>
        <v/>
      </c>
      <c r="AK499" s="4"/>
      <c r="AL499" s="4"/>
      <c r="AM499" s="4"/>
      <c r="AN499" s="4"/>
      <c r="AO499" s="4"/>
      <c r="AP499" s="4"/>
      <c r="AQ499" s="4"/>
      <c r="AR499" s="4"/>
      <c r="AS499" s="76" t="str">
        <f>"COMMENT ON COLUMN "&amp;エンティティ一覧!$O$2&amp;"."&amp;D$8&amp;"."&amp;D499&amp;" IS '"&amp;C499&amp;"';"</f>
        <v>COMMENT ON COLUMN milscm_2023_009.sny_202310_annony_bef2.shikkan481_start_date IS 'E102_疾患開始日';</v>
      </c>
    </row>
    <row r="500" spans="1:45" s="25" customFormat="1">
      <c r="A500" s="4" t="s">
        <v>5114</v>
      </c>
      <c r="B500" s="21">
        <f t="shared" si="59"/>
        <v>488</v>
      </c>
      <c r="C500" s="13" t="s">
        <v>4724</v>
      </c>
      <c r="D500" s="13" t="s">
        <v>6142</v>
      </c>
      <c r="E500" s="8"/>
      <c r="F500" s="7" t="s">
        <v>4348</v>
      </c>
      <c r="G500" s="7" t="s">
        <v>25</v>
      </c>
      <c r="H500" s="58"/>
      <c r="I500" s="23"/>
      <c r="J500" s="24"/>
      <c r="M500" s="4"/>
      <c r="N500" s="76"/>
      <c r="O500" s="76"/>
      <c r="P500" s="76" t="str">
        <f t="shared" si="60"/>
        <v>,shikkan482_start_date</v>
      </c>
      <c r="Q500" s="76" t="str">
        <f t="shared" si="61"/>
        <v>DATE</v>
      </c>
      <c r="R500" s="76" t="str">
        <f t="shared" si="62"/>
        <v/>
      </c>
      <c r="S500" s="76" t="str">
        <f t="shared" si="63"/>
        <v/>
      </c>
      <c r="T500" s="76" t="str">
        <f t="shared" si="64"/>
        <v>-- E103_疾患開始日</v>
      </c>
      <c r="U500" s="4" t="str">
        <f t="shared" si="40"/>
        <v>, CASE WHEN shikkan_disp_name = 'E103' THEN min_shikkan_start_date ::DATE ELSE NULL END AS shikkan482_start_date</v>
      </c>
      <c r="V500" s="25" t="str">
        <f t="shared" si="41"/>
        <v>, max(shikkan482_start_date)</v>
      </c>
      <c r="AA500" s="4"/>
      <c r="AB500" s="4"/>
      <c r="AC500" s="4"/>
      <c r="AD500" s="4"/>
      <c r="AE500" s="4"/>
      <c r="AF500" s="4"/>
      <c r="AG500" s="4"/>
      <c r="AH500" s="4"/>
      <c r="AI500" s="4"/>
      <c r="AJ500" s="76" t="str">
        <f>IF(E500="○",IF(COUNTA(E$13:E500)=1,"",",")&amp;D500,"")</f>
        <v/>
      </c>
      <c r="AK500" s="4"/>
      <c r="AL500" s="4"/>
      <c r="AM500" s="4"/>
      <c r="AN500" s="4"/>
      <c r="AO500" s="4"/>
      <c r="AP500" s="4"/>
      <c r="AQ500" s="4"/>
      <c r="AR500" s="4"/>
      <c r="AS500" s="76" t="str">
        <f>"COMMENT ON COLUMN "&amp;エンティティ一覧!$O$2&amp;"."&amp;D$8&amp;"."&amp;D500&amp;" IS '"&amp;C500&amp;"';"</f>
        <v>COMMENT ON COLUMN milscm_2023_009.sny_202310_annony_bef2.shikkan482_start_date IS 'E103_疾患開始日';</v>
      </c>
    </row>
    <row r="501" spans="1:45" s="25" customFormat="1">
      <c r="A501" s="4" t="s">
        <v>5115</v>
      </c>
      <c r="B501" s="21">
        <f t="shared" si="59"/>
        <v>489</v>
      </c>
      <c r="C501" s="13" t="s">
        <v>4725</v>
      </c>
      <c r="D501" s="13" t="s">
        <v>6143</v>
      </c>
      <c r="E501" s="8"/>
      <c r="F501" s="7" t="s">
        <v>4348</v>
      </c>
      <c r="G501" s="7" t="s">
        <v>25</v>
      </c>
      <c r="H501" s="58"/>
      <c r="I501" s="23"/>
      <c r="J501" s="24"/>
      <c r="M501" s="4"/>
      <c r="N501" s="76"/>
      <c r="O501" s="76"/>
      <c r="P501" s="76" t="str">
        <f t="shared" si="60"/>
        <v>,shikkan483_start_date</v>
      </c>
      <c r="Q501" s="76" t="str">
        <f t="shared" si="61"/>
        <v>DATE</v>
      </c>
      <c r="R501" s="76" t="str">
        <f t="shared" si="62"/>
        <v/>
      </c>
      <c r="S501" s="76" t="str">
        <f t="shared" si="63"/>
        <v/>
      </c>
      <c r="T501" s="76" t="str">
        <f t="shared" si="64"/>
        <v>-- E104_疾患開始日</v>
      </c>
      <c r="U501" s="4" t="str">
        <f t="shared" si="40"/>
        <v>, CASE WHEN shikkan_disp_name = 'E104' THEN min_shikkan_start_date ::DATE ELSE NULL END AS shikkan483_start_date</v>
      </c>
      <c r="V501" s="25" t="str">
        <f t="shared" si="41"/>
        <v>, max(shikkan483_start_date)</v>
      </c>
      <c r="AA501" s="4"/>
      <c r="AB501" s="4"/>
      <c r="AC501" s="4"/>
      <c r="AD501" s="4"/>
      <c r="AE501" s="4"/>
      <c r="AF501" s="4"/>
      <c r="AG501" s="4"/>
      <c r="AH501" s="4"/>
      <c r="AI501" s="4"/>
      <c r="AJ501" s="76" t="str">
        <f>IF(E501="○",IF(COUNTA(E$13:E501)=1,"",",")&amp;D501,"")</f>
        <v/>
      </c>
      <c r="AK501" s="4"/>
      <c r="AL501" s="4"/>
      <c r="AM501" s="4"/>
      <c r="AN501" s="4"/>
      <c r="AO501" s="4"/>
      <c r="AP501" s="4"/>
      <c r="AQ501" s="4"/>
      <c r="AR501" s="4"/>
      <c r="AS501" s="76" t="str">
        <f>"COMMENT ON COLUMN "&amp;エンティティ一覧!$O$2&amp;"."&amp;D$8&amp;"."&amp;D501&amp;" IS '"&amp;C501&amp;"';"</f>
        <v>COMMENT ON COLUMN milscm_2023_009.sny_202310_annony_bef2.shikkan483_start_date IS 'E104_疾患開始日';</v>
      </c>
    </row>
    <row r="502" spans="1:45" s="25" customFormat="1">
      <c r="A502" s="4" t="s">
        <v>5116</v>
      </c>
      <c r="B502" s="21">
        <f t="shared" si="59"/>
        <v>490</v>
      </c>
      <c r="C502" s="13" t="s">
        <v>4726</v>
      </c>
      <c r="D502" s="13" t="s">
        <v>6144</v>
      </c>
      <c r="E502" s="8"/>
      <c r="F502" s="7" t="s">
        <v>4348</v>
      </c>
      <c r="G502" s="7" t="s">
        <v>25</v>
      </c>
      <c r="H502" s="58"/>
      <c r="I502" s="23"/>
      <c r="J502" s="24"/>
      <c r="M502" s="4"/>
      <c r="N502" s="76"/>
      <c r="O502" s="76"/>
      <c r="P502" s="76" t="str">
        <f t="shared" si="60"/>
        <v>,shikkan484_start_date</v>
      </c>
      <c r="Q502" s="76" t="str">
        <f t="shared" si="61"/>
        <v>DATE</v>
      </c>
      <c r="R502" s="76" t="str">
        <f t="shared" si="62"/>
        <v/>
      </c>
      <c r="S502" s="76" t="str">
        <f t="shared" si="63"/>
        <v/>
      </c>
      <c r="T502" s="76" t="str">
        <f t="shared" si="64"/>
        <v>-- E105_疾患開始日</v>
      </c>
      <c r="U502" s="4" t="str">
        <f t="shared" si="40"/>
        <v>, CASE WHEN shikkan_disp_name = 'E105' THEN min_shikkan_start_date ::DATE ELSE NULL END AS shikkan484_start_date</v>
      </c>
      <c r="V502" s="25" t="str">
        <f t="shared" si="41"/>
        <v>, max(shikkan484_start_date)</v>
      </c>
      <c r="AA502" s="4"/>
      <c r="AB502" s="4"/>
      <c r="AC502" s="4"/>
      <c r="AD502" s="4"/>
      <c r="AE502" s="4"/>
      <c r="AF502" s="4"/>
      <c r="AG502" s="4"/>
      <c r="AH502" s="4"/>
      <c r="AI502" s="4"/>
      <c r="AJ502" s="76" t="str">
        <f>IF(E502="○",IF(COUNTA(E$13:E502)=1,"",",")&amp;D502,"")</f>
        <v/>
      </c>
      <c r="AK502" s="4"/>
      <c r="AL502" s="4"/>
      <c r="AM502" s="4"/>
      <c r="AN502" s="4"/>
      <c r="AO502" s="4"/>
      <c r="AP502" s="4"/>
      <c r="AQ502" s="4"/>
      <c r="AR502" s="4"/>
      <c r="AS502" s="76" t="str">
        <f>"COMMENT ON COLUMN "&amp;エンティティ一覧!$O$2&amp;"."&amp;D$8&amp;"."&amp;D502&amp;" IS '"&amp;C502&amp;"';"</f>
        <v>COMMENT ON COLUMN milscm_2023_009.sny_202310_annony_bef2.shikkan484_start_date IS 'E105_疾患開始日';</v>
      </c>
    </row>
    <row r="503" spans="1:45" s="25" customFormat="1">
      <c r="A503" s="4" t="s">
        <v>5090</v>
      </c>
      <c r="B503" s="21">
        <f t="shared" si="59"/>
        <v>491</v>
      </c>
      <c r="C503" s="13" t="s">
        <v>4700</v>
      </c>
      <c r="D503" s="13" t="s">
        <v>6145</v>
      </c>
      <c r="E503" s="8"/>
      <c r="F503" s="7" t="s">
        <v>4348</v>
      </c>
      <c r="G503" s="7" t="s">
        <v>25</v>
      </c>
      <c r="H503" s="58"/>
      <c r="I503" s="23"/>
      <c r="J503" s="24"/>
      <c r="M503" s="4"/>
      <c r="N503" s="76"/>
      <c r="O503" s="76"/>
      <c r="P503" s="76" t="str">
        <f t="shared" si="60"/>
        <v>,shikkan485_start_date</v>
      </c>
      <c r="Q503" s="76" t="str">
        <f t="shared" si="61"/>
        <v>DATE</v>
      </c>
      <c r="R503" s="76" t="str">
        <f t="shared" si="62"/>
        <v/>
      </c>
      <c r="S503" s="76" t="str">
        <f t="shared" si="63"/>
        <v/>
      </c>
      <c r="T503" s="76" t="str">
        <f t="shared" si="64"/>
        <v>-- E106_疾患開始日</v>
      </c>
      <c r="U503" s="4" t="str">
        <f t="shared" si="40"/>
        <v>, CASE WHEN shikkan_disp_name = 'E106' THEN min_shikkan_start_date ::DATE ELSE NULL END AS shikkan485_start_date</v>
      </c>
      <c r="V503" s="25" t="str">
        <f t="shared" si="41"/>
        <v>, max(shikkan485_start_date)</v>
      </c>
      <c r="AA503" s="4"/>
      <c r="AB503" s="4"/>
      <c r="AC503" s="4"/>
      <c r="AD503" s="4"/>
      <c r="AE503" s="4"/>
      <c r="AF503" s="4"/>
      <c r="AG503" s="4"/>
      <c r="AH503" s="4"/>
      <c r="AI503" s="4"/>
      <c r="AJ503" s="76" t="str">
        <f>IF(E503="○",IF(COUNTA(E$13:E503)=1,"",",")&amp;D503,"")</f>
        <v/>
      </c>
      <c r="AK503" s="4"/>
      <c r="AL503" s="4"/>
      <c r="AM503" s="4"/>
      <c r="AN503" s="4"/>
      <c r="AO503" s="4"/>
      <c r="AP503" s="4"/>
      <c r="AQ503" s="4"/>
      <c r="AR503" s="4"/>
      <c r="AS503" s="76" t="str">
        <f>"COMMENT ON COLUMN "&amp;エンティティ一覧!$O$2&amp;"."&amp;D$8&amp;"."&amp;D503&amp;" IS '"&amp;C503&amp;"';"</f>
        <v>COMMENT ON COLUMN milscm_2023_009.sny_202310_annony_bef2.shikkan485_start_date IS 'E106_疾患開始日';</v>
      </c>
    </row>
    <row r="504" spans="1:45" s="25" customFormat="1">
      <c r="A504" s="4" t="s">
        <v>5091</v>
      </c>
      <c r="B504" s="21">
        <f t="shared" si="59"/>
        <v>492</v>
      </c>
      <c r="C504" s="13" t="s">
        <v>4701</v>
      </c>
      <c r="D504" s="13" t="s">
        <v>6146</v>
      </c>
      <c r="E504" s="8"/>
      <c r="F504" s="7" t="s">
        <v>4348</v>
      </c>
      <c r="G504" s="7" t="s">
        <v>25</v>
      </c>
      <c r="H504" s="58"/>
      <c r="I504" s="23"/>
      <c r="J504" s="24"/>
      <c r="M504" s="4"/>
      <c r="N504" s="76"/>
      <c r="O504" s="76"/>
      <c r="P504" s="76" t="str">
        <f t="shared" si="60"/>
        <v>,shikkan486_start_date</v>
      </c>
      <c r="Q504" s="76" t="str">
        <f t="shared" si="61"/>
        <v>DATE</v>
      </c>
      <c r="R504" s="76" t="str">
        <f t="shared" si="62"/>
        <v/>
      </c>
      <c r="S504" s="76" t="str">
        <f t="shared" si="63"/>
        <v/>
      </c>
      <c r="T504" s="76" t="str">
        <f t="shared" si="64"/>
        <v>-- E108_疾患開始日</v>
      </c>
      <c r="U504" s="4" t="str">
        <f t="shared" si="40"/>
        <v>, CASE WHEN shikkan_disp_name = 'E108' THEN min_shikkan_start_date ::DATE ELSE NULL END AS shikkan486_start_date</v>
      </c>
      <c r="V504" s="25" t="str">
        <f t="shared" si="41"/>
        <v>, max(shikkan486_start_date)</v>
      </c>
      <c r="AA504" s="4"/>
      <c r="AB504" s="4"/>
      <c r="AC504" s="4"/>
      <c r="AD504" s="4"/>
      <c r="AE504" s="4"/>
      <c r="AF504" s="4"/>
      <c r="AG504" s="4"/>
      <c r="AH504" s="4"/>
      <c r="AI504" s="4"/>
      <c r="AJ504" s="76" t="str">
        <f>IF(E504="○",IF(COUNTA(E$13:E504)=1,"",",")&amp;D504,"")</f>
        <v/>
      </c>
      <c r="AK504" s="4"/>
      <c r="AL504" s="4"/>
      <c r="AM504" s="4"/>
      <c r="AN504" s="4"/>
      <c r="AO504" s="4"/>
      <c r="AP504" s="4"/>
      <c r="AQ504" s="4"/>
      <c r="AR504" s="4"/>
      <c r="AS504" s="76" t="str">
        <f>"COMMENT ON COLUMN "&amp;エンティティ一覧!$O$2&amp;"."&amp;D$8&amp;"."&amp;D504&amp;" IS '"&amp;C504&amp;"';"</f>
        <v>COMMENT ON COLUMN milscm_2023_009.sny_202310_annony_bef2.shikkan486_start_date IS 'E108_疾患開始日';</v>
      </c>
    </row>
    <row r="505" spans="1:45" s="25" customFormat="1">
      <c r="A505" s="4" t="s">
        <v>5092</v>
      </c>
      <c r="B505" s="21">
        <f t="shared" si="59"/>
        <v>493</v>
      </c>
      <c r="C505" s="13" t="s">
        <v>4702</v>
      </c>
      <c r="D505" s="13" t="s">
        <v>6147</v>
      </c>
      <c r="E505" s="8"/>
      <c r="F505" s="7" t="s">
        <v>4348</v>
      </c>
      <c r="G505" s="7" t="s">
        <v>25</v>
      </c>
      <c r="H505" s="58"/>
      <c r="I505" s="23"/>
      <c r="J505" s="24"/>
      <c r="M505" s="4"/>
      <c r="N505" s="76"/>
      <c r="O505" s="76"/>
      <c r="P505" s="76" t="str">
        <f t="shared" si="60"/>
        <v>,shikkan487_start_date</v>
      </c>
      <c r="Q505" s="76" t="str">
        <f t="shared" si="61"/>
        <v>DATE</v>
      </c>
      <c r="R505" s="76" t="str">
        <f t="shared" si="62"/>
        <v/>
      </c>
      <c r="S505" s="76" t="str">
        <f t="shared" si="63"/>
        <v/>
      </c>
      <c r="T505" s="76" t="str">
        <f t="shared" si="64"/>
        <v>-- E109_疾患開始日</v>
      </c>
      <c r="U505" s="4" t="str">
        <f t="shared" si="40"/>
        <v>, CASE WHEN shikkan_disp_name = 'E109' THEN min_shikkan_start_date ::DATE ELSE NULL END AS shikkan487_start_date</v>
      </c>
      <c r="V505" s="25" t="str">
        <f t="shared" si="41"/>
        <v>, max(shikkan487_start_date)</v>
      </c>
      <c r="AA505" s="4"/>
      <c r="AB505" s="4"/>
      <c r="AC505" s="4"/>
      <c r="AD505" s="4"/>
      <c r="AE505" s="4"/>
      <c r="AF505" s="4"/>
      <c r="AG505" s="4"/>
      <c r="AH505" s="4"/>
      <c r="AI505" s="4"/>
      <c r="AJ505" s="76" t="str">
        <f>IF(E505="○",IF(COUNTA(E$13:E505)=1,"",",")&amp;D505,"")</f>
        <v/>
      </c>
      <c r="AK505" s="4"/>
      <c r="AL505" s="4"/>
      <c r="AM505" s="4"/>
      <c r="AN505" s="4"/>
      <c r="AO505" s="4"/>
      <c r="AP505" s="4"/>
      <c r="AQ505" s="4"/>
      <c r="AR505" s="4"/>
      <c r="AS505" s="76" t="str">
        <f>"COMMENT ON COLUMN "&amp;エンティティ一覧!$O$2&amp;"."&amp;D$8&amp;"."&amp;D505&amp;" IS '"&amp;C505&amp;"';"</f>
        <v>COMMENT ON COLUMN milscm_2023_009.sny_202310_annony_bef2.shikkan487_start_date IS 'E109_疾患開始日';</v>
      </c>
    </row>
    <row r="506" spans="1:45" s="25" customFormat="1">
      <c r="A506" s="4" t="s">
        <v>5093</v>
      </c>
      <c r="B506" s="21">
        <f t="shared" si="59"/>
        <v>494</v>
      </c>
      <c r="C506" s="13" t="s">
        <v>4703</v>
      </c>
      <c r="D506" s="13" t="s">
        <v>6148</v>
      </c>
      <c r="E506" s="8"/>
      <c r="F506" s="7" t="s">
        <v>4348</v>
      </c>
      <c r="G506" s="7" t="s">
        <v>25</v>
      </c>
      <c r="H506" s="58"/>
      <c r="I506" s="23"/>
      <c r="J506" s="24"/>
      <c r="M506" s="4"/>
      <c r="N506" s="76"/>
      <c r="O506" s="76"/>
      <c r="P506" s="76" t="str">
        <f t="shared" si="60"/>
        <v>,shikkan488_start_date</v>
      </c>
      <c r="Q506" s="76" t="str">
        <f t="shared" si="61"/>
        <v>DATE</v>
      </c>
      <c r="R506" s="76" t="str">
        <f t="shared" si="62"/>
        <v/>
      </c>
      <c r="S506" s="76" t="str">
        <f t="shared" si="63"/>
        <v/>
      </c>
      <c r="T506" s="76" t="str">
        <f t="shared" si="64"/>
        <v>-- E110_疾患開始日</v>
      </c>
      <c r="U506" s="4" t="str">
        <f t="shared" si="40"/>
        <v>, CASE WHEN shikkan_disp_name = 'E110' THEN min_shikkan_start_date ::DATE ELSE NULL END AS shikkan488_start_date</v>
      </c>
      <c r="V506" s="25" t="str">
        <f t="shared" si="41"/>
        <v>, max(shikkan488_start_date)</v>
      </c>
      <c r="AA506" s="4"/>
      <c r="AB506" s="4"/>
      <c r="AC506" s="4"/>
      <c r="AD506" s="4"/>
      <c r="AE506" s="4"/>
      <c r="AF506" s="4"/>
      <c r="AG506" s="4"/>
      <c r="AH506" s="4"/>
      <c r="AI506" s="4"/>
      <c r="AJ506" s="76" t="str">
        <f>IF(E506="○",IF(COUNTA(E$13:E506)=1,"",",")&amp;D506,"")</f>
        <v/>
      </c>
      <c r="AK506" s="4"/>
      <c r="AL506" s="4"/>
      <c r="AM506" s="4"/>
      <c r="AN506" s="4"/>
      <c r="AO506" s="4"/>
      <c r="AP506" s="4"/>
      <c r="AQ506" s="4"/>
      <c r="AR506" s="4"/>
      <c r="AS506" s="76" t="str">
        <f>"COMMENT ON COLUMN "&amp;エンティティ一覧!$O$2&amp;"."&amp;D$8&amp;"."&amp;D506&amp;" IS '"&amp;C506&amp;"';"</f>
        <v>COMMENT ON COLUMN milscm_2023_009.sny_202310_annony_bef2.shikkan488_start_date IS 'E110_疾患開始日';</v>
      </c>
    </row>
    <row r="507" spans="1:45" s="25" customFormat="1">
      <c r="A507" s="4" t="s">
        <v>5094</v>
      </c>
      <c r="B507" s="21">
        <f t="shared" si="59"/>
        <v>495</v>
      </c>
      <c r="C507" s="13" t="s">
        <v>4704</v>
      </c>
      <c r="D507" s="13" t="s">
        <v>6149</v>
      </c>
      <c r="E507" s="8"/>
      <c r="F507" s="7" t="s">
        <v>4348</v>
      </c>
      <c r="G507" s="7" t="s">
        <v>25</v>
      </c>
      <c r="H507" s="58"/>
      <c r="I507" s="23"/>
      <c r="J507" s="24"/>
      <c r="M507" s="4"/>
      <c r="N507" s="76"/>
      <c r="O507" s="76"/>
      <c r="P507" s="76" t="str">
        <f t="shared" si="60"/>
        <v>,shikkan489_start_date</v>
      </c>
      <c r="Q507" s="76" t="str">
        <f t="shared" si="61"/>
        <v>DATE</v>
      </c>
      <c r="R507" s="76" t="str">
        <f t="shared" si="62"/>
        <v/>
      </c>
      <c r="S507" s="76" t="str">
        <f t="shared" si="63"/>
        <v/>
      </c>
      <c r="T507" s="76" t="str">
        <f t="shared" si="64"/>
        <v>-- E111_疾患開始日</v>
      </c>
      <c r="U507" s="4" t="str">
        <f t="shared" si="40"/>
        <v>, CASE WHEN shikkan_disp_name = 'E111' THEN min_shikkan_start_date ::DATE ELSE NULL END AS shikkan489_start_date</v>
      </c>
      <c r="V507" s="25" t="str">
        <f t="shared" si="41"/>
        <v>, max(shikkan489_start_date)</v>
      </c>
      <c r="AA507" s="4"/>
      <c r="AB507" s="4"/>
      <c r="AC507" s="4"/>
      <c r="AD507" s="4"/>
      <c r="AE507" s="4"/>
      <c r="AF507" s="4"/>
      <c r="AG507" s="4"/>
      <c r="AH507" s="4"/>
      <c r="AI507" s="4"/>
      <c r="AJ507" s="76" t="str">
        <f>IF(E507="○",IF(COUNTA(E$13:E507)=1,"",",")&amp;D507,"")</f>
        <v/>
      </c>
      <c r="AK507" s="4"/>
      <c r="AL507" s="4"/>
      <c r="AM507" s="4"/>
      <c r="AN507" s="4"/>
      <c r="AO507" s="4"/>
      <c r="AP507" s="4"/>
      <c r="AQ507" s="4"/>
      <c r="AR507" s="4"/>
      <c r="AS507" s="76" t="str">
        <f>"COMMENT ON COLUMN "&amp;エンティティ一覧!$O$2&amp;"."&amp;D$8&amp;"."&amp;D507&amp;" IS '"&amp;C507&amp;"';"</f>
        <v>COMMENT ON COLUMN milscm_2023_009.sny_202310_annony_bef2.shikkan489_start_date IS 'E111_疾患開始日';</v>
      </c>
    </row>
    <row r="508" spans="1:45" s="25" customFormat="1">
      <c r="A508" s="4" t="s">
        <v>5117</v>
      </c>
      <c r="B508" s="21">
        <f t="shared" si="59"/>
        <v>496</v>
      </c>
      <c r="C508" s="13" t="s">
        <v>4727</v>
      </c>
      <c r="D508" s="13" t="s">
        <v>6150</v>
      </c>
      <c r="E508" s="8"/>
      <c r="F508" s="7" t="s">
        <v>4348</v>
      </c>
      <c r="G508" s="7" t="s">
        <v>25</v>
      </c>
      <c r="H508" s="58"/>
      <c r="I508" s="23"/>
      <c r="J508" s="24"/>
      <c r="M508" s="4"/>
      <c r="N508" s="76"/>
      <c r="O508" s="76"/>
      <c r="P508" s="76" t="str">
        <f t="shared" si="60"/>
        <v>,shikkan490_start_date</v>
      </c>
      <c r="Q508" s="76" t="str">
        <f t="shared" si="61"/>
        <v>DATE</v>
      </c>
      <c r="R508" s="76" t="str">
        <f t="shared" si="62"/>
        <v/>
      </c>
      <c r="S508" s="76" t="str">
        <f t="shared" si="63"/>
        <v/>
      </c>
      <c r="T508" s="76" t="str">
        <f t="shared" si="64"/>
        <v>-- E112_疾患開始日</v>
      </c>
      <c r="U508" s="4" t="str">
        <f t="shared" si="40"/>
        <v>, CASE WHEN shikkan_disp_name = 'E112' THEN min_shikkan_start_date ::DATE ELSE NULL END AS shikkan490_start_date</v>
      </c>
      <c r="V508" s="25" t="str">
        <f t="shared" si="41"/>
        <v>, max(shikkan490_start_date)</v>
      </c>
      <c r="AA508" s="4"/>
      <c r="AB508" s="4"/>
      <c r="AC508" s="4"/>
      <c r="AD508" s="4"/>
      <c r="AE508" s="4"/>
      <c r="AF508" s="4"/>
      <c r="AG508" s="4"/>
      <c r="AH508" s="4"/>
      <c r="AI508" s="4"/>
      <c r="AJ508" s="76" t="str">
        <f>IF(E508="○",IF(COUNTA(E$13:E508)=1,"",",")&amp;D508,"")</f>
        <v/>
      </c>
      <c r="AK508" s="4"/>
      <c r="AL508" s="4"/>
      <c r="AM508" s="4"/>
      <c r="AN508" s="4"/>
      <c r="AO508" s="4"/>
      <c r="AP508" s="4"/>
      <c r="AQ508" s="4"/>
      <c r="AR508" s="4"/>
      <c r="AS508" s="76" t="str">
        <f>"COMMENT ON COLUMN "&amp;エンティティ一覧!$O$2&amp;"."&amp;D$8&amp;"."&amp;D508&amp;" IS '"&amp;C508&amp;"';"</f>
        <v>COMMENT ON COLUMN milscm_2023_009.sny_202310_annony_bef2.shikkan490_start_date IS 'E112_疾患開始日';</v>
      </c>
    </row>
    <row r="509" spans="1:45" s="25" customFormat="1">
      <c r="A509" s="4" t="s">
        <v>5118</v>
      </c>
      <c r="B509" s="21">
        <f t="shared" si="59"/>
        <v>497</v>
      </c>
      <c r="C509" s="13" t="s">
        <v>4728</v>
      </c>
      <c r="D509" s="13" t="s">
        <v>6151</v>
      </c>
      <c r="E509" s="8"/>
      <c r="F509" s="7" t="s">
        <v>4348</v>
      </c>
      <c r="G509" s="7" t="s">
        <v>25</v>
      </c>
      <c r="H509" s="58"/>
      <c r="I509" s="23"/>
      <c r="J509" s="24"/>
      <c r="M509" s="4"/>
      <c r="N509" s="76"/>
      <c r="O509" s="76"/>
      <c r="P509" s="76" t="str">
        <f t="shared" si="60"/>
        <v>,shikkan491_start_date</v>
      </c>
      <c r="Q509" s="76" t="str">
        <f t="shared" si="61"/>
        <v>DATE</v>
      </c>
      <c r="R509" s="76" t="str">
        <f t="shared" si="62"/>
        <v/>
      </c>
      <c r="S509" s="76" t="str">
        <f t="shared" si="63"/>
        <v/>
      </c>
      <c r="T509" s="76" t="str">
        <f t="shared" si="64"/>
        <v>-- E113_疾患開始日</v>
      </c>
      <c r="U509" s="4" t="str">
        <f t="shared" si="40"/>
        <v>, CASE WHEN shikkan_disp_name = 'E113' THEN min_shikkan_start_date ::DATE ELSE NULL END AS shikkan491_start_date</v>
      </c>
      <c r="V509" s="25" t="str">
        <f t="shared" si="41"/>
        <v>, max(shikkan491_start_date)</v>
      </c>
      <c r="AA509" s="4"/>
      <c r="AB509" s="4"/>
      <c r="AC509" s="4"/>
      <c r="AD509" s="4"/>
      <c r="AE509" s="4"/>
      <c r="AF509" s="4"/>
      <c r="AG509" s="4"/>
      <c r="AH509" s="4"/>
      <c r="AI509" s="4"/>
      <c r="AJ509" s="76" t="str">
        <f>IF(E509="○",IF(COUNTA(E$13:E509)=1,"",",")&amp;D509,"")</f>
        <v/>
      </c>
      <c r="AK509" s="4"/>
      <c r="AL509" s="4"/>
      <c r="AM509" s="4"/>
      <c r="AN509" s="4"/>
      <c r="AO509" s="4"/>
      <c r="AP509" s="4"/>
      <c r="AQ509" s="4"/>
      <c r="AR509" s="4"/>
      <c r="AS509" s="76" t="str">
        <f>"COMMENT ON COLUMN "&amp;エンティティ一覧!$O$2&amp;"."&amp;D$8&amp;"."&amp;D509&amp;" IS '"&amp;C509&amp;"';"</f>
        <v>COMMENT ON COLUMN milscm_2023_009.sny_202310_annony_bef2.shikkan491_start_date IS 'E113_疾患開始日';</v>
      </c>
    </row>
    <row r="510" spans="1:45" s="25" customFormat="1">
      <c r="A510" s="4" t="s">
        <v>5119</v>
      </c>
      <c r="B510" s="21">
        <f t="shared" si="59"/>
        <v>498</v>
      </c>
      <c r="C510" s="13" t="s">
        <v>4729</v>
      </c>
      <c r="D510" s="13" t="s">
        <v>6152</v>
      </c>
      <c r="E510" s="8"/>
      <c r="F510" s="7" t="s">
        <v>4348</v>
      </c>
      <c r="G510" s="7" t="s">
        <v>25</v>
      </c>
      <c r="H510" s="58"/>
      <c r="I510" s="23"/>
      <c r="J510" s="24"/>
      <c r="M510" s="4"/>
      <c r="N510" s="76"/>
      <c r="O510" s="76"/>
      <c r="P510" s="76" t="str">
        <f t="shared" si="60"/>
        <v>,shikkan492_start_date</v>
      </c>
      <c r="Q510" s="76" t="str">
        <f t="shared" si="61"/>
        <v>DATE</v>
      </c>
      <c r="R510" s="76" t="str">
        <f t="shared" si="62"/>
        <v/>
      </c>
      <c r="S510" s="76" t="str">
        <f t="shared" si="63"/>
        <v/>
      </c>
      <c r="T510" s="76" t="str">
        <f t="shared" si="64"/>
        <v>-- E114_疾患開始日</v>
      </c>
      <c r="U510" s="4" t="str">
        <f t="shared" si="40"/>
        <v>, CASE WHEN shikkan_disp_name = 'E114' THEN min_shikkan_start_date ::DATE ELSE NULL END AS shikkan492_start_date</v>
      </c>
      <c r="V510" s="25" t="str">
        <f t="shared" si="41"/>
        <v>, max(shikkan492_start_date)</v>
      </c>
      <c r="AA510" s="4"/>
      <c r="AB510" s="4"/>
      <c r="AC510" s="4"/>
      <c r="AD510" s="4"/>
      <c r="AE510" s="4"/>
      <c r="AF510" s="4"/>
      <c r="AG510" s="4"/>
      <c r="AH510" s="4"/>
      <c r="AI510" s="4"/>
      <c r="AJ510" s="76" t="str">
        <f>IF(E510="○",IF(COUNTA(E$13:E510)=1,"",",")&amp;D510,"")</f>
        <v/>
      </c>
      <c r="AK510" s="4"/>
      <c r="AL510" s="4"/>
      <c r="AM510" s="4"/>
      <c r="AN510" s="4"/>
      <c r="AO510" s="4"/>
      <c r="AP510" s="4"/>
      <c r="AQ510" s="4"/>
      <c r="AR510" s="4"/>
      <c r="AS510" s="76" t="str">
        <f>"COMMENT ON COLUMN "&amp;エンティティ一覧!$O$2&amp;"."&amp;D$8&amp;"."&amp;D510&amp;" IS '"&amp;C510&amp;"';"</f>
        <v>COMMENT ON COLUMN milscm_2023_009.sny_202310_annony_bef2.shikkan492_start_date IS 'E114_疾患開始日';</v>
      </c>
    </row>
    <row r="511" spans="1:45" s="25" customFormat="1">
      <c r="A511" s="4" t="s">
        <v>5120</v>
      </c>
      <c r="B511" s="21">
        <f t="shared" si="59"/>
        <v>499</v>
      </c>
      <c r="C511" s="13" t="s">
        <v>4730</v>
      </c>
      <c r="D511" s="13" t="s">
        <v>6153</v>
      </c>
      <c r="E511" s="8"/>
      <c r="F511" s="7" t="s">
        <v>4348</v>
      </c>
      <c r="G511" s="7" t="s">
        <v>25</v>
      </c>
      <c r="H511" s="58"/>
      <c r="I511" s="23"/>
      <c r="J511" s="24"/>
      <c r="M511" s="4"/>
      <c r="N511" s="76"/>
      <c r="O511" s="76"/>
      <c r="P511" s="76" t="str">
        <f t="shared" si="60"/>
        <v>,shikkan493_start_date</v>
      </c>
      <c r="Q511" s="76" t="str">
        <f t="shared" si="61"/>
        <v>DATE</v>
      </c>
      <c r="R511" s="76" t="str">
        <f t="shared" si="62"/>
        <v/>
      </c>
      <c r="S511" s="76" t="str">
        <f t="shared" si="63"/>
        <v/>
      </c>
      <c r="T511" s="76" t="str">
        <f t="shared" si="64"/>
        <v>-- E115_疾患開始日</v>
      </c>
      <c r="U511" s="4" t="str">
        <f t="shared" si="40"/>
        <v>, CASE WHEN shikkan_disp_name = 'E115' THEN min_shikkan_start_date ::DATE ELSE NULL END AS shikkan493_start_date</v>
      </c>
      <c r="V511" s="25" t="str">
        <f t="shared" si="41"/>
        <v>, max(shikkan493_start_date)</v>
      </c>
      <c r="AA511" s="4"/>
      <c r="AB511" s="4"/>
      <c r="AC511" s="4"/>
      <c r="AD511" s="4"/>
      <c r="AE511" s="4"/>
      <c r="AF511" s="4"/>
      <c r="AG511" s="4"/>
      <c r="AH511" s="4"/>
      <c r="AI511" s="4"/>
      <c r="AJ511" s="76" t="str">
        <f>IF(E511="○",IF(COUNTA(E$13:E511)=1,"",",")&amp;D511,"")</f>
        <v/>
      </c>
      <c r="AK511" s="4"/>
      <c r="AL511" s="4"/>
      <c r="AM511" s="4"/>
      <c r="AN511" s="4"/>
      <c r="AO511" s="4"/>
      <c r="AP511" s="4"/>
      <c r="AQ511" s="4"/>
      <c r="AR511" s="4"/>
      <c r="AS511" s="76" t="str">
        <f>"COMMENT ON COLUMN "&amp;エンティティ一覧!$O$2&amp;"."&amp;D$8&amp;"."&amp;D511&amp;" IS '"&amp;C511&amp;"';"</f>
        <v>COMMENT ON COLUMN milscm_2023_009.sny_202310_annony_bef2.shikkan493_start_date IS 'E115_疾患開始日';</v>
      </c>
    </row>
    <row r="512" spans="1:45" s="25" customFormat="1">
      <c r="A512" s="4" t="s">
        <v>5095</v>
      </c>
      <c r="B512" s="21">
        <f t="shared" si="59"/>
        <v>500</v>
      </c>
      <c r="C512" s="13" t="s">
        <v>4705</v>
      </c>
      <c r="D512" s="13" t="s">
        <v>6154</v>
      </c>
      <c r="E512" s="8"/>
      <c r="F512" s="7" t="s">
        <v>4348</v>
      </c>
      <c r="G512" s="7" t="s">
        <v>25</v>
      </c>
      <c r="H512" s="58"/>
      <c r="I512" s="23"/>
      <c r="J512" s="24"/>
      <c r="M512" s="4"/>
      <c r="N512" s="76"/>
      <c r="O512" s="76"/>
      <c r="P512" s="76" t="str">
        <f t="shared" si="60"/>
        <v>,shikkan494_start_date</v>
      </c>
      <c r="Q512" s="76" t="str">
        <f t="shared" si="61"/>
        <v>DATE</v>
      </c>
      <c r="R512" s="76" t="str">
        <f t="shared" si="62"/>
        <v/>
      </c>
      <c r="S512" s="76" t="str">
        <f t="shared" si="63"/>
        <v/>
      </c>
      <c r="T512" s="76" t="str">
        <f t="shared" si="64"/>
        <v>-- E116_疾患開始日</v>
      </c>
      <c r="U512" s="4" t="str">
        <f t="shared" si="40"/>
        <v>, CASE WHEN shikkan_disp_name = 'E116' THEN min_shikkan_start_date ::DATE ELSE NULL END AS shikkan494_start_date</v>
      </c>
      <c r="V512" s="25" t="str">
        <f t="shared" si="41"/>
        <v>, max(shikkan494_start_date)</v>
      </c>
      <c r="AA512" s="4"/>
      <c r="AB512" s="4"/>
      <c r="AC512" s="4"/>
      <c r="AD512" s="4"/>
      <c r="AE512" s="4"/>
      <c r="AF512" s="4"/>
      <c r="AG512" s="4"/>
      <c r="AH512" s="4"/>
      <c r="AI512" s="4"/>
      <c r="AJ512" s="76" t="str">
        <f>IF(E512="○",IF(COUNTA(E$13:E512)=1,"",",")&amp;D512,"")</f>
        <v/>
      </c>
      <c r="AK512" s="4"/>
      <c r="AL512" s="4"/>
      <c r="AM512" s="4"/>
      <c r="AN512" s="4"/>
      <c r="AO512" s="4"/>
      <c r="AP512" s="4"/>
      <c r="AQ512" s="4"/>
      <c r="AR512" s="4"/>
      <c r="AS512" s="76" t="str">
        <f>"COMMENT ON COLUMN "&amp;エンティティ一覧!$O$2&amp;"."&amp;D$8&amp;"."&amp;D512&amp;" IS '"&amp;C512&amp;"';"</f>
        <v>COMMENT ON COLUMN milscm_2023_009.sny_202310_annony_bef2.shikkan494_start_date IS 'E116_疾患開始日';</v>
      </c>
    </row>
    <row r="513" spans="1:45" s="25" customFormat="1">
      <c r="A513" s="4" t="s">
        <v>5121</v>
      </c>
      <c r="B513" s="21">
        <f t="shared" si="59"/>
        <v>501</v>
      </c>
      <c r="C513" s="13" t="s">
        <v>4731</v>
      </c>
      <c r="D513" s="13" t="s">
        <v>6155</v>
      </c>
      <c r="E513" s="8"/>
      <c r="F513" s="7" t="s">
        <v>4348</v>
      </c>
      <c r="G513" s="7" t="s">
        <v>25</v>
      </c>
      <c r="H513" s="58"/>
      <c r="I513" s="23"/>
      <c r="J513" s="24"/>
      <c r="M513" s="4"/>
      <c r="N513" s="76"/>
      <c r="O513" s="76"/>
      <c r="P513" s="76" t="str">
        <f t="shared" si="60"/>
        <v>,shikkan495_start_date</v>
      </c>
      <c r="Q513" s="76" t="str">
        <f t="shared" si="61"/>
        <v>DATE</v>
      </c>
      <c r="R513" s="76" t="str">
        <f t="shared" si="62"/>
        <v/>
      </c>
      <c r="S513" s="76" t="str">
        <f t="shared" si="63"/>
        <v/>
      </c>
      <c r="T513" s="76" t="str">
        <f t="shared" si="64"/>
        <v>-- E117_疾患開始日</v>
      </c>
      <c r="U513" s="4" t="str">
        <f t="shared" si="40"/>
        <v>, CASE WHEN shikkan_disp_name = 'E117' THEN min_shikkan_start_date ::DATE ELSE NULL END AS shikkan495_start_date</v>
      </c>
      <c r="V513" s="25" t="str">
        <f t="shared" si="41"/>
        <v>, max(shikkan495_start_date)</v>
      </c>
      <c r="AA513" s="4"/>
      <c r="AB513" s="4"/>
      <c r="AC513" s="4"/>
      <c r="AD513" s="4"/>
      <c r="AE513" s="4"/>
      <c r="AF513" s="4"/>
      <c r="AG513" s="4"/>
      <c r="AH513" s="4"/>
      <c r="AI513" s="4"/>
      <c r="AJ513" s="76" t="str">
        <f>IF(E513="○",IF(COUNTA(E$13:E513)=1,"",",")&amp;D513,"")</f>
        <v/>
      </c>
      <c r="AK513" s="4"/>
      <c r="AL513" s="4"/>
      <c r="AM513" s="4"/>
      <c r="AN513" s="4"/>
      <c r="AO513" s="4"/>
      <c r="AP513" s="4"/>
      <c r="AQ513" s="4"/>
      <c r="AR513" s="4"/>
      <c r="AS513" s="76" t="str">
        <f>"COMMENT ON COLUMN "&amp;エンティティ一覧!$O$2&amp;"."&amp;D$8&amp;"."&amp;D513&amp;" IS '"&amp;C513&amp;"';"</f>
        <v>COMMENT ON COLUMN milscm_2023_009.sny_202310_annony_bef2.shikkan495_start_date IS 'E117_疾患開始日';</v>
      </c>
    </row>
    <row r="514" spans="1:45" s="25" customFormat="1">
      <c r="A514" s="4" t="s">
        <v>5096</v>
      </c>
      <c r="B514" s="21">
        <f t="shared" si="59"/>
        <v>502</v>
      </c>
      <c r="C514" s="13" t="s">
        <v>4706</v>
      </c>
      <c r="D514" s="13" t="s">
        <v>6156</v>
      </c>
      <c r="E514" s="8"/>
      <c r="F514" s="7" t="s">
        <v>4348</v>
      </c>
      <c r="G514" s="7" t="s">
        <v>99</v>
      </c>
      <c r="H514" s="58"/>
      <c r="I514" s="23"/>
      <c r="J514" s="24"/>
      <c r="M514" s="4"/>
      <c r="N514" s="76"/>
      <c r="O514" s="76"/>
      <c r="P514" s="76" t="str">
        <f t="shared" si="60"/>
        <v>,shikkan496_start_date</v>
      </c>
      <c r="Q514" s="76" t="str">
        <f t="shared" si="61"/>
        <v>DATE</v>
      </c>
      <c r="R514" s="76" t="str">
        <f t="shared" si="62"/>
        <v/>
      </c>
      <c r="S514" s="76" t="str">
        <f t="shared" si="63"/>
        <v/>
      </c>
      <c r="T514" s="76" t="str">
        <f t="shared" si="64"/>
        <v>-- E118_疾患開始日</v>
      </c>
      <c r="U514" s="4" t="str">
        <f t="shared" si="40"/>
        <v>, CASE WHEN shikkan_disp_name = 'E118' THEN min_shikkan_start_date ::DATE ELSE NULL END AS shikkan496_start_date</v>
      </c>
      <c r="V514" s="25" t="str">
        <f t="shared" si="41"/>
        <v>, max(shikkan496_start_date)</v>
      </c>
      <c r="AA514" s="4"/>
      <c r="AB514" s="4"/>
      <c r="AC514" s="4"/>
      <c r="AD514" s="4"/>
      <c r="AE514" s="4"/>
      <c r="AF514" s="4"/>
      <c r="AG514" s="4"/>
      <c r="AH514" s="4"/>
      <c r="AI514" s="4"/>
      <c r="AJ514" s="76" t="str">
        <f>IF(E514="○",IF(COUNTA(E$13:E514)=1,"",",")&amp;D514,"")</f>
        <v/>
      </c>
      <c r="AK514" s="4"/>
      <c r="AL514" s="4"/>
      <c r="AM514" s="4"/>
      <c r="AN514" s="4"/>
      <c r="AO514" s="4"/>
      <c r="AP514" s="4"/>
      <c r="AQ514" s="4"/>
      <c r="AR514" s="4"/>
      <c r="AS514" s="76" t="str">
        <f>"COMMENT ON COLUMN "&amp;エンティティ一覧!$O$2&amp;"."&amp;D$8&amp;"."&amp;D514&amp;" IS '"&amp;C514&amp;"';"</f>
        <v>COMMENT ON COLUMN milscm_2023_009.sny_202310_annony_bef2.shikkan496_start_date IS 'E118_疾患開始日';</v>
      </c>
    </row>
    <row r="515" spans="1:45" s="25" customFormat="1">
      <c r="A515" s="4" t="s">
        <v>5097</v>
      </c>
      <c r="B515" s="21">
        <f t="shared" si="59"/>
        <v>503</v>
      </c>
      <c r="C515" s="13" t="s">
        <v>4707</v>
      </c>
      <c r="D515" s="13" t="s">
        <v>6157</v>
      </c>
      <c r="E515" s="8"/>
      <c r="F515" s="7" t="s">
        <v>4348</v>
      </c>
      <c r="G515" s="7" t="s">
        <v>25</v>
      </c>
      <c r="H515" s="58"/>
      <c r="I515" s="23"/>
      <c r="J515" s="24"/>
      <c r="M515" s="4"/>
      <c r="N515" s="76"/>
      <c r="O515" s="76"/>
      <c r="P515" s="76" t="str">
        <f t="shared" si="60"/>
        <v>,shikkan497_start_date</v>
      </c>
      <c r="Q515" s="76" t="str">
        <f t="shared" si="61"/>
        <v>DATE</v>
      </c>
      <c r="R515" s="76" t="str">
        <f t="shared" si="62"/>
        <v/>
      </c>
      <c r="S515" s="76" t="str">
        <f t="shared" si="63"/>
        <v/>
      </c>
      <c r="T515" s="76" t="str">
        <f t="shared" si="64"/>
        <v>-- E119_疾患開始日</v>
      </c>
      <c r="U515" s="4" t="str">
        <f t="shared" si="40"/>
        <v>, CASE WHEN shikkan_disp_name = 'E119' THEN min_shikkan_start_date ::DATE ELSE NULL END AS shikkan497_start_date</v>
      </c>
      <c r="V515" s="25" t="str">
        <f t="shared" si="41"/>
        <v>, max(shikkan497_start_date)</v>
      </c>
      <c r="AA515" s="4"/>
      <c r="AB515" s="4"/>
      <c r="AC515" s="4"/>
      <c r="AD515" s="4"/>
      <c r="AE515" s="4"/>
      <c r="AF515" s="4"/>
      <c r="AG515" s="4"/>
      <c r="AH515" s="4"/>
      <c r="AI515" s="4"/>
      <c r="AJ515" s="76" t="str">
        <f>IF(E515="○",IF(COUNTA(E$13:E515)=1,"",",")&amp;D515,"")</f>
        <v/>
      </c>
      <c r="AK515" s="4"/>
      <c r="AL515" s="4"/>
      <c r="AM515" s="4"/>
      <c r="AN515" s="4"/>
      <c r="AO515" s="4"/>
      <c r="AP515" s="4"/>
      <c r="AQ515" s="4"/>
      <c r="AR515" s="4"/>
      <c r="AS515" s="76" t="str">
        <f>"COMMENT ON COLUMN "&amp;エンティティ一覧!$O$2&amp;"."&amp;D$8&amp;"."&amp;D515&amp;" IS '"&amp;C515&amp;"';"</f>
        <v>COMMENT ON COLUMN milscm_2023_009.sny_202310_annony_bef2.shikkan497_start_date IS 'E119_疾患開始日';</v>
      </c>
    </row>
    <row r="516" spans="1:45" s="25" customFormat="1">
      <c r="A516" s="4" t="s">
        <v>5098</v>
      </c>
      <c r="B516" s="21">
        <f t="shared" si="59"/>
        <v>504</v>
      </c>
      <c r="C516" s="13" t="s">
        <v>4708</v>
      </c>
      <c r="D516" s="13" t="s">
        <v>6158</v>
      </c>
      <c r="E516" s="8"/>
      <c r="F516" s="7" t="s">
        <v>4348</v>
      </c>
      <c r="G516" s="7" t="s">
        <v>25</v>
      </c>
      <c r="H516" s="58"/>
      <c r="I516" s="23"/>
      <c r="J516" s="24"/>
      <c r="M516" s="4"/>
      <c r="N516" s="76"/>
      <c r="O516" s="76"/>
      <c r="P516" s="76" t="str">
        <f t="shared" si="60"/>
        <v>,shikkan498_start_date</v>
      </c>
      <c r="Q516" s="76" t="str">
        <f t="shared" si="61"/>
        <v>DATE</v>
      </c>
      <c r="R516" s="76" t="str">
        <f t="shared" si="62"/>
        <v/>
      </c>
      <c r="S516" s="76" t="str">
        <f t="shared" si="63"/>
        <v/>
      </c>
      <c r="T516" s="76" t="str">
        <f t="shared" si="64"/>
        <v>-- E120_疾患開始日</v>
      </c>
      <c r="U516" s="4" t="str">
        <f t="shared" si="40"/>
        <v>, CASE WHEN shikkan_disp_name = 'E120' THEN min_shikkan_start_date ::DATE ELSE NULL END AS shikkan498_start_date</v>
      </c>
      <c r="V516" s="25" t="str">
        <f t="shared" si="41"/>
        <v>, max(shikkan498_start_date)</v>
      </c>
      <c r="AA516" s="4"/>
      <c r="AB516" s="4"/>
      <c r="AC516" s="4"/>
      <c r="AD516" s="4"/>
      <c r="AE516" s="4"/>
      <c r="AF516" s="4"/>
      <c r="AG516" s="4"/>
      <c r="AH516" s="4"/>
      <c r="AI516" s="4"/>
      <c r="AJ516" s="76" t="str">
        <f>IF(E516="○",IF(COUNTA(E$13:E516)=1,"",",")&amp;D516,"")</f>
        <v/>
      </c>
      <c r="AK516" s="4"/>
      <c r="AL516" s="4"/>
      <c r="AM516" s="4"/>
      <c r="AN516" s="4"/>
      <c r="AO516" s="4"/>
      <c r="AP516" s="4"/>
      <c r="AQ516" s="4"/>
      <c r="AR516" s="4"/>
      <c r="AS516" s="76" t="str">
        <f>"COMMENT ON COLUMN "&amp;エンティティ一覧!$O$2&amp;"."&amp;D$8&amp;"."&amp;D516&amp;" IS '"&amp;C516&amp;"';"</f>
        <v>COMMENT ON COLUMN milscm_2023_009.sny_202310_annony_bef2.shikkan498_start_date IS 'E120_疾患開始日';</v>
      </c>
    </row>
    <row r="517" spans="1:45" s="25" customFormat="1">
      <c r="A517" s="4" t="s">
        <v>5099</v>
      </c>
      <c r="B517" s="21">
        <f t="shared" si="59"/>
        <v>505</v>
      </c>
      <c r="C517" s="13" t="s">
        <v>4709</v>
      </c>
      <c r="D517" s="13" t="s">
        <v>6159</v>
      </c>
      <c r="E517" s="8"/>
      <c r="F517" s="7" t="s">
        <v>4348</v>
      </c>
      <c r="G517" s="7" t="s">
        <v>25</v>
      </c>
      <c r="H517" s="58"/>
      <c r="I517" s="23"/>
      <c r="J517" s="24"/>
      <c r="M517" s="4"/>
      <c r="N517" s="76"/>
      <c r="O517" s="76"/>
      <c r="P517" s="76" t="str">
        <f t="shared" si="60"/>
        <v>,shikkan499_start_date</v>
      </c>
      <c r="Q517" s="76" t="str">
        <f t="shared" si="61"/>
        <v>DATE</v>
      </c>
      <c r="R517" s="76" t="str">
        <f t="shared" si="62"/>
        <v/>
      </c>
      <c r="S517" s="76" t="str">
        <f t="shared" si="63"/>
        <v/>
      </c>
      <c r="T517" s="76" t="str">
        <f t="shared" si="64"/>
        <v>-- E121_疾患開始日</v>
      </c>
      <c r="U517" s="4" t="str">
        <f t="shared" si="40"/>
        <v>, CASE WHEN shikkan_disp_name = 'E121' THEN min_shikkan_start_date ::DATE ELSE NULL END AS shikkan499_start_date</v>
      </c>
      <c r="V517" s="25" t="str">
        <f t="shared" si="41"/>
        <v>, max(shikkan499_start_date)</v>
      </c>
      <c r="AA517" s="4"/>
      <c r="AB517" s="4"/>
      <c r="AC517" s="4"/>
      <c r="AD517" s="4"/>
      <c r="AE517" s="4"/>
      <c r="AF517" s="4"/>
      <c r="AG517" s="4"/>
      <c r="AH517" s="4"/>
      <c r="AI517" s="4"/>
      <c r="AJ517" s="76" t="str">
        <f>IF(E517="○",IF(COUNTA(E$13:E517)=1,"",",")&amp;D517,"")</f>
        <v/>
      </c>
      <c r="AK517" s="4"/>
      <c r="AL517" s="4"/>
      <c r="AM517" s="4"/>
      <c r="AN517" s="4"/>
      <c r="AO517" s="4"/>
      <c r="AP517" s="4"/>
      <c r="AQ517" s="4"/>
      <c r="AR517" s="4"/>
      <c r="AS517" s="76" t="str">
        <f>"COMMENT ON COLUMN "&amp;エンティティ一覧!$O$2&amp;"."&amp;D$8&amp;"."&amp;D517&amp;" IS '"&amp;C517&amp;"';"</f>
        <v>COMMENT ON COLUMN milscm_2023_009.sny_202310_annony_bef2.shikkan499_start_date IS 'E121_疾患開始日';</v>
      </c>
    </row>
    <row r="518" spans="1:45" s="25" customFormat="1">
      <c r="A518" s="4" t="s">
        <v>5122</v>
      </c>
      <c r="B518" s="21">
        <f t="shared" si="59"/>
        <v>506</v>
      </c>
      <c r="C518" s="13" t="s">
        <v>4732</v>
      </c>
      <c r="D518" s="13" t="s">
        <v>6160</v>
      </c>
      <c r="E518" s="8"/>
      <c r="F518" s="7" t="s">
        <v>4348</v>
      </c>
      <c r="G518" s="7" t="s">
        <v>25</v>
      </c>
      <c r="H518" s="58"/>
      <c r="I518" s="23"/>
      <c r="J518" s="24"/>
      <c r="M518" s="4"/>
      <c r="N518" s="76"/>
      <c r="O518" s="76"/>
      <c r="P518" s="76" t="str">
        <f t="shared" si="60"/>
        <v>,shikkan500_start_date</v>
      </c>
      <c r="Q518" s="76" t="str">
        <f t="shared" si="61"/>
        <v>DATE</v>
      </c>
      <c r="R518" s="76" t="str">
        <f t="shared" si="62"/>
        <v/>
      </c>
      <c r="S518" s="76" t="str">
        <f t="shared" si="63"/>
        <v/>
      </c>
      <c r="T518" s="76" t="str">
        <f t="shared" si="64"/>
        <v>-- E122_疾患開始日</v>
      </c>
      <c r="U518" s="4" t="str">
        <f t="shared" si="40"/>
        <v>, CASE WHEN shikkan_disp_name = 'E122' THEN min_shikkan_start_date ::DATE ELSE NULL END AS shikkan500_start_date</v>
      </c>
      <c r="V518" s="25" t="str">
        <f t="shared" si="41"/>
        <v>, max(shikkan500_start_date)</v>
      </c>
      <c r="AA518" s="4"/>
      <c r="AB518" s="4"/>
      <c r="AC518" s="4"/>
      <c r="AD518" s="4"/>
      <c r="AE518" s="4"/>
      <c r="AF518" s="4"/>
      <c r="AG518" s="4"/>
      <c r="AH518" s="4"/>
      <c r="AI518" s="4"/>
      <c r="AJ518" s="76" t="str">
        <f>IF(E518="○",IF(COUNTA(E$13:E518)=1,"",",")&amp;D518,"")</f>
        <v/>
      </c>
      <c r="AK518" s="4"/>
      <c r="AL518" s="4"/>
      <c r="AM518" s="4"/>
      <c r="AN518" s="4"/>
      <c r="AO518" s="4"/>
      <c r="AP518" s="4"/>
      <c r="AQ518" s="4"/>
      <c r="AR518" s="4"/>
      <c r="AS518" s="76" t="str">
        <f>"COMMENT ON COLUMN "&amp;エンティティ一覧!$O$2&amp;"."&amp;D$8&amp;"."&amp;D518&amp;" IS '"&amp;C518&amp;"';"</f>
        <v>COMMENT ON COLUMN milscm_2023_009.sny_202310_annony_bef2.shikkan500_start_date IS 'E122_疾患開始日';</v>
      </c>
    </row>
    <row r="519" spans="1:45" s="25" customFormat="1">
      <c r="A519" s="4" t="s">
        <v>5123</v>
      </c>
      <c r="B519" s="21">
        <f t="shared" si="59"/>
        <v>507</v>
      </c>
      <c r="C519" s="13" t="s">
        <v>4733</v>
      </c>
      <c r="D519" s="13" t="s">
        <v>6161</v>
      </c>
      <c r="E519" s="8"/>
      <c r="F519" s="7" t="s">
        <v>4348</v>
      </c>
      <c r="G519" s="7" t="s">
        <v>25</v>
      </c>
      <c r="H519" s="58"/>
      <c r="I519" s="23"/>
      <c r="J519" s="24"/>
      <c r="M519" s="4"/>
      <c r="N519" s="76"/>
      <c r="O519" s="76"/>
      <c r="P519" s="76" t="str">
        <f t="shared" si="60"/>
        <v>,shikkan501_start_date</v>
      </c>
      <c r="Q519" s="76" t="str">
        <f t="shared" si="61"/>
        <v>DATE</v>
      </c>
      <c r="R519" s="76" t="str">
        <f t="shared" si="62"/>
        <v/>
      </c>
      <c r="S519" s="76" t="str">
        <f t="shared" si="63"/>
        <v/>
      </c>
      <c r="T519" s="76" t="str">
        <f t="shared" si="64"/>
        <v>-- E123_疾患開始日</v>
      </c>
      <c r="U519" s="4" t="str">
        <f t="shared" si="40"/>
        <v>, CASE WHEN shikkan_disp_name = 'E123' THEN min_shikkan_start_date ::DATE ELSE NULL END AS shikkan501_start_date</v>
      </c>
      <c r="V519" s="25" t="str">
        <f t="shared" si="41"/>
        <v>, max(shikkan501_start_date)</v>
      </c>
      <c r="AA519" s="4"/>
      <c r="AB519" s="4"/>
      <c r="AC519" s="4"/>
      <c r="AD519" s="4"/>
      <c r="AE519" s="4"/>
      <c r="AF519" s="4"/>
      <c r="AG519" s="4"/>
      <c r="AH519" s="4"/>
      <c r="AI519" s="4"/>
      <c r="AJ519" s="76" t="str">
        <f>IF(E519="○",IF(COUNTA(E$13:E519)=1,"",",")&amp;D519,"")</f>
        <v/>
      </c>
      <c r="AK519" s="4"/>
      <c r="AL519" s="4"/>
      <c r="AM519" s="4"/>
      <c r="AN519" s="4"/>
      <c r="AO519" s="4"/>
      <c r="AP519" s="4"/>
      <c r="AQ519" s="4"/>
      <c r="AR519" s="4"/>
      <c r="AS519" s="76" t="str">
        <f>"COMMENT ON COLUMN "&amp;エンティティ一覧!$O$2&amp;"."&amp;D$8&amp;"."&amp;D519&amp;" IS '"&amp;C519&amp;"';"</f>
        <v>COMMENT ON COLUMN milscm_2023_009.sny_202310_annony_bef2.shikkan501_start_date IS 'E123_疾患開始日';</v>
      </c>
    </row>
    <row r="520" spans="1:45" s="25" customFormat="1">
      <c r="A520" s="4" t="s">
        <v>5124</v>
      </c>
      <c r="B520" s="21">
        <f t="shared" si="59"/>
        <v>508</v>
      </c>
      <c r="C520" s="13" t="s">
        <v>4734</v>
      </c>
      <c r="D520" s="13" t="s">
        <v>6162</v>
      </c>
      <c r="E520" s="8"/>
      <c r="F520" s="7" t="s">
        <v>4348</v>
      </c>
      <c r="G520" s="7" t="s">
        <v>25</v>
      </c>
      <c r="H520" s="58"/>
      <c r="I520" s="23"/>
      <c r="J520" s="24"/>
      <c r="M520" s="4"/>
      <c r="N520" s="76"/>
      <c r="O520" s="76"/>
      <c r="P520" s="76" t="str">
        <f t="shared" si="60"/>
        <v>,shikkan502_start_date</v>
      </c>
      <c r="Q520" s="76" t="str">
        <f t="shared" si="61"/>
        <v>DATE</v>
      </c>
      <c r="R520" s="76" t="str">
        <f t="shared" si="62"/>
        <v/>
      </c>
      <c r="S520" s="76" t="str">
        <f t="shared" si="63"/>
        <v/>
      </c>
      <c r="T520" s="76" t="str">
        <f t="shared" si="64"/>
        <v>-- E124_疾患開始日</v>
      </c>
      <c r="U520" s="4" t="str">
        <f t="shared" si="40"/>
        <v>, CASE WHEN shikkan_disp_name = 'E124' THEN min_shikkan_start_date ::DATE ELSE NULL END AS shikkan502_start_date</v>
      </c>
      <c r="V520" s="25" t="str">
        <f t="shared" si="41"/>
        <v>, max(shikkan502_start_date)</v>
      </c>
      <c r="AA520" s="4"/>
      <c r="AB520" s="4"/>
      <c r="AC520" s="4"/>
      <c r="AD520" s="4"/>
      <c r="AE520" s="4"/>
      <c r="AF520" s="4"/>
      <c r="AG520" s="4"/>
      <c r="AH520" s="4"/>
      <c r="AI520" s="4"/>
      <c r="AJ520" s="76" t="str">
        <f>IF(E520="○",IF(COUNTA(E$13:E520)=1,"",",")&amp;D520,"")</f>
        <v/>
      </c>
      <c r="AK520" s="4"/>
      <c r="AL520" s="4"/>
      <c r="AM520" s="4"/>
      <c r="AN520" s="4"/>
      <c r="AO520" s="4"/>
      <c r="AP520" s="4"/>
      <c r="AQ520" s="4"/>
      <c r="AR520" s="4"/>
      <c r="AS520" s="76" t="str">
        <f>"COMMENT ON COLUMN "&amp;エンティティ一覧!$O$2&amp;"."&amp;D$8&amp;"."&amp;D520&amp;" IS '"&amp;C520&amp;"';"</f>
        <v>COMMENT ON COLUMN milscm_2023_009.sny_202310_annony_bef2.shikkan502_start_date IS 'E124_疾患開始日';</v>
      </c>
    </row>
    <row r="521" spans="1:45" s="25" customFormat="1">
      <c r="A521" s="4" t="s">
        <v>5125</v>
      </c>
      <c r="B521" s="21">
        <f t="shared" si="59"/>
        <v>509</v>
      </c>
      <c r="C521" s="13" t="s">
        <v>4735</v>
      </c>
      <c r="D521" s="13" t="s">
        <v>6163</v>
      </c>
      <c r="E521" s="8"/>
      <c r="F521" s="7" t="s">
        <v>4348</v>
      </c>
      <c r="G521" s="7" t="s">
        <v>25</v>
      </c>
      <c r="H521" s="58"/>
      <c r="I521" s="23"/>
      <c r="J521" s="24"/>
      <c r="M521" s="4"/>
      <c r="N521" s="76"/>
      <c r="O521" s="76"/>
      <c r="P521" s="76" t="str">
        <f t="shared" si="60"/>
        <v>,shikkan503_start_date</v>
      </c>
      <c r="Q521" s="76" t="str">
        <f t="shared" si="61"/>
        <v>DATE</v>
      </c>
      <c r="R521" s="76" t="str">
        <f t="shared" si="62"/>
        <v/>
      </c>
      <c r="S521" s="76" t="str">
        <f t="shared" si="63"/>
        <v/>
      </c>
      <c r="T521" s="76" t="str">
        <f t="shared" si="64"/>
        <v>-- E125_疾患開始日</v>
      </c>
      <c r="U521" s="4" t="str">
        <f t="shared" si="40"/>
        <v>, CASE WHEN shikkan_disp_name = 'E125' THEN min_shikkan_start_date ::DATE ELSE NULL END AS shikkan503_start_date</v>
      </c>
      <c r="V521" s="25" t="str">
        <f t="shared" si="41"/>
        <v>, max(shikkan503_start_date)</v>
      </c>
      <c r="AA521" s="4"/>
      <c r="AB521" s="4"/>
      <c r="AC521" s="4"/>
      <c r="AD521" s="4"/>
      <c r="AE521" s="4"/>
      <c r="AF521" s="4"/>
      <c r="AG521" s="4"/>
      <c r="AH521" s="4"/>
      <c r="AI521" s="4"/>
      <c r="AJ521" s="76" t="str">
        <f>IF(E521="○",IF(COUNTA(E$13:E521)=1,"",",")&amp;D521,"")</f>
        <v/>
      </c>
      <c r="AK521" s="4"/>
      <c r="AL521" s="4"/>
      <c r="AM521" s="4"/>
      <c r="AN521" s="4"/>
      <c r="AO521" s="4"/>
      <c r="AP521" s="4"/>
      <c r="AQ521" s="4"/>
      <c r="AR521" s="4"/>
      <c r="AS521" s="76" t="str">
        <f>"COMMENT ON COLUMN "&amp;エンティティ一覧!$O$2&amp;"."&amp;D$8&amp;"."&amp;D521&amp;" IS '"&amp;C521&amp;"';"</f>
        <v>COMMENT ON COLUMN milscm_2023_009.sny_202310_annony_bef2.shikkan503_start_date IS 'E125_疾患開始日';</v>
      </c>
    </row>
    <row r="522" spans="1:45" s="25" customFormat="1">
      <c r="A522" s="4" t="s">
        <v>5100</v>
      </c>
      <c r="B522" s="21">
        <f t="shared" si="59"/>
        <v>510</v>
      </c>
      <c r="C522" s="13" t="s">
        <v>4710</v>
      </c>
      <c r="D522" s="13" t="s">
        <v>6164</v>
      </c>
      <c r="E522" s="8"/>
      <c r="F522" s="7" t="s">
        <v>4348</v>
      </c>
      <c r="G522" s="7" t="s">
        <v>25</v>
      </c>
      <c r="H522" s="58"/>
      <c r="I522" s="23"/>
      <c r="J522" s="24"/>
      <c r="M522" s="4"/>
      <c r="N522" s="76"/>
      <c r="O522" s="76"/>
      <c r="P522" s="76" t="str">
        <f t="shared" si="60"/>
        <v>,shikkan504_start_date</v>
      </c>
      <c r="Q522" s="76" t="str">
        <f t="shared" si="61"/>
        <v>DATE</v>
      </c>
      <c r="R522" s="76" t="str">
        <f t="shared" si="62"/>
        <v/>
      </c>
      <c r="S522" s="76" t="str">
        <f t="shared" si="63"/>
        <v/>
      </c>
      <c r="T522" s="76" t="str">
        <f t="shared" si="64"/>
        <v>-- E126_疾患開始日</v>
      </c>
      <c r="U522" s="4" t="str">
        <f t="shared" si="40"/>
        <v>, CASE WHEN shikkan_disp_name = 'E126' THEN min_shikkan_start_date ::DATE ELSE NULL END AS shikkan504_start_date</v>
      </c>
      <c r="V522" s="25" t="str">
        <f t="shared" si="41"/>
        <v>, max(shikkan504_start_date)</v>
      </c>
      <c r="AA522" s="4"/>
      <c r="AB522" s="4"/>
      <c r="AC522" s="4"/>
      <c r="AD522" s="4"/>
      <c r="AE522" s="4"/>
      <c r="AF522" s="4"/>
      <c r="AG522" s="4"/>
      <c r="AH522" s="4"/>
      <c r="AI522" s="4"/>
      <c r="AJ522" s="76" t="str">
        <f>IF(E522="○",IF(COUNTA(E$13:E522)=1,"",",")&amp;D522,"")</f>
        <v/>
      </c>
      <c r="AK522" s="4"/>
      <c r="AL522" s="4"/>
      <c r="AM522" s="4"/>
      <c r="AN522" s="4"/>
      <c r="AO522" s="4"/>
      <c r="AP522" s="4"/>
      <c r="AQ522" s="4"/>
      <c r="AR522" s="4"/>
      <c r="AS522" s="76" t="str">
        <f>"COMMENT ON COLUMN "&amp;エンティティ一覧!$O$2&amp;"."&amp;D$8&amp;"."&amp;D522&amp;" IS '"&amp;C522&amp;"';"</f>
        <v>COMMENT ON COLUMN milscm_2023_009.sny_202310_annony_bef2.shikkan504_start_date IS 'E126_疾患開始日';</v>
      </c>
    </row>
    <row r="523" spans="1:45" s="25" customFormat="1">
      <c r="A523" s="4" t="s">
        <v>5126</v>
      </c>
      <c r="B523" s="21">
        <f t="shared" si="59"/>
        <v>511</v>
      </c>
      <c r="C523" s="13" t="s">
        <v>4736</v>
      </c>
      <c r="D523" s="13" t="s">
        <v>6165</v>
      </c>
      <c r="E523" s="8"/>
      <c r="F523" s="7" t="s">
        <v>4348</v>
      </c>
      <c r="G523" s="7" t="s">
        <v>25</v>
      </c>
      <c r="H523" s="58"/>
      <c r="I523" s="23"/>
      <c r="J523" s="24"/>
      <c r="M523" s="4"/>
      <c r="N523" s="76"/>
      <c r="O523" s="76"/>
      <c r="P523" s="76" t="str">
        <f t="shared" si="60"/>
        <v>,shikkan505_start_date</v>
      </c>
      <c r="Q523" s="76" t="str">
        <f t="shared" si="61"/>
        <v>DATE</v>
      </c>
      <c r="R523" s="76" t="str">
        <f t="shared" si="62"/>
        <v/>
      </c>
      <c r="S523" s="76" t="str">
        <f t="shared" si="63"/>
        <v/>
      </c>
      <c r="T523" s="76" t="str">
        <f t="shared" si="64"/>
        <v>-- E127_疾患開始日</v>
      </c>
      <c r="U523" s="4" t="str">
        <f t="shared" si="40"/>
        <v>, CASE WHEN shikkan_disp_name = 'E127' THEN min_shikkan_start_date ::DATE ELSE NULL END AS shikkan505_start_date</v>
      </c>
      <c r="V523" s="25" t="str">
        <f t="shared" si="41"/>
        <v>, max(shikkan505_start_date)</v>
      </c>
      <c r="AA523" s="4"/>
      <c r="AB523" s="4"/>
      <c r="AC523" s="4"/>
      <c r="AD523" s="4"/>
      <c r="AE523" s="4"/>
      <c r="AF523" s="4"/>
      <c r="AG523" s="4"/>
      <c r="AH523" s="4"/>
      <c r="AI523" s="4"/>
      <c r="AJ523" s="76" t="str">
        <f>IF(E523="○",IF(COUNTA(E$13:E523)=1,"",",")&amp;D523,"")</f>
        <v/>
      </c>
      <c r="AK523" s="4"/>
      <c r="AL523" s="4"/>
      <c r="AM523" s="4"/>
      <c r="AN523" s="4"/>
      <c r="AO523" s="4"/>
      <c r="AP523" s="4"/>
      <c r="AQ523" s="4"/>
      <c r="AR523" s="4"/>
      <c r="AS523" s="76" t="str">
        <f>"COMMENT ON COLUMN "&amp;エンティティ一覧!$O$2&amp;"."&amp;D$8&amp;"."&amp;D523&amp;" IS '"&amp;C523&amp;"';"</f>
        <v>COMMENT ON COLUMN milscm_2023_009.sny_202310_annony_bef2.shikkan505_start_date IS 'E127_疾患開始日';</v>
      </c>
    </row>
    <row r="524" spans="1:45" s="25" customFormat="1">
      <c r="A524" s="4" t="s">
        <v>5101</v>
      </c>
      <c r="B524" s="21">
        <f t="shared" si="59"/>
        <v>512</v>
      </c>
      <c r="C524" s="13" t="s">
        <v>4711</v>
      </c>
      <c r="D524" s="13" t="s">
        <v>6166</v>
      </c>
      <c r="E524" s="8"/>
      <c r="F524" s="7" t="s">
        <v>4348</v>
      </c>
      <c r="G524" s="7" t="s">
        <v>25</v>
      </c>
      <c r="H524" s="58"/>
      <c r="I524" s="23"/>
      <c r="J524" s="24"/>
      <c r="M524" s="4"/>
      <c r="N524" s="76"/>
      <c r="O524" s="76"/>
      <c r="P524" s="76" t="str">
        <f t="shared" si="60"/>
        <v>,shikkan506_start_date</v>
      </c>
      <c r="Q524" s="76" t="str">
        <f t="shared" si="61"/>
        <v>DATE</v>
      </c>
      <c r="R524" s="76" t="str">
        <f t="shared" si="62"/>
        <v/>
      </c>
      <c r="S524" s="76" t="str">
        <f t="shared" si="63"/>
        <v/>
      </c>
      <c r="T524" s="76" t="str">
        <f t="shared" si="64"/>
        <v>-- E128_疾患開始日</v>
      </c>
      <c r="U524" s="4" t="str">
        <f t="shared" si="40"/>
        <v>, CASE WHEN shikkan_disp_name = 'E128' THEN min_shikkan_start_date ::DATE ELSE NULL END AS shikkan506_start_date</v>
      </c>
      <c r="V524" s="25" t="str">
        <f t="shared" si="41"/>
        <v>, max(shikkan506_start_date)</v>
      </c>
      <c r="AA524" s="4"/>
      <c r="AB524" s="4"/>
      <c r="AC524" s="4"/>
      <c r="AD524" s="4"/>
      <c r="AE524" s="4"/>
      <c r="AF524" s="4"/>
      <c r="AG524" s="4"/>
      <c r="AH524" s="4"/>
      <c r="AI524" s="4"/>
      <c r="AJ524" s="76" t="str">
        <f>IF(E524="○",IF(COUNTA(E$13:E524)=1,"",",")&amp;D524,"")</f>
        <v/>
      </c>
      <c r="AK524" s="4"/>
      <c r="AL524" s="4"/>
      <c r="AM524" s="4"/>
      <c r="AN524" s="4"/>
      <c r="AO524" s="4"/>
      <c r="AP524" s="4"/>
      <c r="AQ524" s="4"/>
      <c r="AR524" s="4"/>
      <c r="AS524" s="76" t="str">
        <f>"COMMENT ON COLUMN "&amp;エンティティ一覧!$O$2&amp;"."&amp;D$8&amp;"."&amp;D524&amp;" IS '"&amp;C524&amp;"';"</f>
        <v>COMMENT ON COLUMN milscm_2023_009.sny_202310_annony_bef2.shikkan506_start_date IS 'E128_疾患開始日';</v>
      </c>
    </row>
    <row r="525" spans="1:45" s="25" customFormat="1">
      <c r="A525" s="4" t="s">
        <v>5102</v>
      </c>
      <c r="B525" s="21">
        <f t="shared" si="59"/>
        <v>513</v>
      </c>
      <c r="C525" s="13" t="s">
        <v>4712</v>
      </c>
      <c r="D525" s="13" t="s">
        <v>6167</v>
      </c>
      <c r="E525" s="8"/>
      <c r="F525" s="7" t="s">
        <v>4348</v>
      </c>
      <c r="G525" s="7" t="s">
        <v>25</v>
      </c>
      <c r="H525" s="58"/>
      <c r="I525" s="23"/>
      <c r="J525" s="24"/>
      <c r="M525" s="4"/>
      <c r="N525" s="76"/>
      <c r="O525" s="76"/>
      <c r="P525" s="76" t="str">
        <f t="shared" si="60"/>
        <v>,shikkan507_start_date</v>
      </c>
      <c r="Q525" s="76" t="str">
        <f t="shared" si="61"/>
        <v>DATE</v>
      </c>
      <c r="R525" s="76" t="str">
        <f t="shared" si="62"/>
        <v/>
      </c>
      <c r="S525" s="76" t="str">
        <f t="shared" si="63"/>
        <v/>
      </c>
      <c r="T525" s="76" t="str">
        <f t="shared" si="64"/>
        <v>-- E129_疾患開始日</v>
      </c>
      <c r="U525" s="4" t="str">
        <f t="shared" si="40"/>
        <v>, CASE WHEN shikkan_disp_name = 'E129' THEN min_shikkan_start_date ::DATE ELSE NULL END AS shikkan507_start_date</v>
      </c>
      <c r="V525" s="25" t="str">
        <f t="shared" si="41"/>
        <v>, max(shikkan507_start_date)</v>
      </c>
      <c r="AA525" s="4"/>
      <c r="AB525" s="4"/>
      <c r="AC525" s="4"/>
      <c r="AD525" s="4"/>
      <c r="AE525" s="4"/>
      <c r="AF525" s="4"/>
      <c r="AG525" s="4"/>
      <c r="AH525" s="4"/>
      <c r="AI525" s="4"/>
      <c r="AJ525" s="76" t="str">
        <f>IF(E525="○",IF(COUNTA(E$13:E525)=1,"",",")&amp;D525,"")</f>
        <v/>
      </c>
      <c r="AK525" s="4"/>
      <c r="AL525" s="4"/>
      <c r="AM525" s="4"/>
      <c r="AN525" s="4"/>
      <c r="AO525" s="4"/>
      <c r="AP525" s="4"/>
      <c r="AQ525" s="4"/>
      <c r="AR525" s="4"/>
      <c r="AS525" s="76" t="str">
        <f>"COMMENT ON COLUMN "&amp;エンティティ一覧!$O$2&amp;"."&amp;D$8&amp;"."&amp;D525&amp;" IS '"&amp;C525&amp;"';"</f>
        <v>COMMENT ON COLUMN milscm_2023_009.sny_202310_annony_bef2.shikkan507_start_date IS 'E129_疾患開始日';</v>
      </c>
    </row>
    <row r="526" spans="1:45" s="25" customFormat="1">
      <c r="A526" s="4" t="s">
        <v>5103</v>
      </c>
      <c r="B526" s="21">
        <f t="shared" si="59"/>
        <v>514</v>
      </c>
      <c r="C526" s="13" t="s">
        <v>4713</v>
      </c>
      <c r="D526" s="13" t="s">
        <v>6168</v>
      </c>
      <c r="E526" s="8"/>
      <c r="F526" s="7" t="s">
        <v>4348</v>
      </c>
      <c r="G526" s="7" t="s">
        <v>25</v>
      </c>
      <c r="H526" s="58"/>
      <c r="I526" s="23"/>
      <c r="J526" s="24"/>
      <c r="M526" s="4"/>
      <c r="N526" s="76"/>
      <c r="O526" s="76"/>
      <c r="P526" s="76" t="str">
        <f t="shared" si="60"/>
        <v>,shikkan508_start_date</v>
      </c>
      <c r="Q526" s="76" t="str">
        <f t="shared" si="61"/>
        <v>DATE</v>
      </c>
      <c r="R526" s="76" t="str">
        <f t="shared" si="62"/>
        <v/>
      </c>
      <c r="S526" s="76" t="str">
        <f t="shared" si="63"/>
        <v/>
      </c>
      <c r="T526" s="76" t="str">
        <f t="shared" si="64"/>
        <v>-- E130_疾患開始日</v>
      </c>
      <c r="U526" s="4" t="str">
        <f t="shared" si="40"/>
        <v>, CASE WHEN shikkan_disp_name = 'E130' THEN min_shikkan_start_date ::DATE ELSE NULL END AS shikkan508_start_date</v>
      </c>
      <c r="V526" s="25" t="str">
        <f t="shared" si="41"/>
        <v>, max(shikkan508_start_date)</v>
      </c>
      <c r="AA526" s="4"/>
      <c r="AB526" s="4"/>
      <c r="AC526" s="4"/>
      <c r="AD526" s="4"/>
      <c r="AE526" s="4"/>
      <c r="AF526" s="4"/>
      <c r="AG526" s="4"/>
      <c r="AH526" s="4"/>
      <c r="AI526" s="4"/>
      <c r="AJ526" s="76" t="str">
        <f>IF(E526="○",IF(COUNTA(E$13:E526)=1,"",",")&amp;D526,"")</f>
        <v/>
      </c>
      <c r="AK526" s="4"/>
      <c r="AL526" s="4"/>
      <c r="AM526" s="4"/>
      <c r="AN526" s="4"/>
      <c r="AO526" s="4"/>
      <c r="AP526" s="4"/>
      <c r="AQ526" s="4"/>
      <c r="AR526" s="4"/>
      <c r="AS526" s="76" t="str">
        <f>"COMMENT ON COLUMN "&amp;エンティティ一覧!$O$2&amp;"."&amp;D$8&amp;"."&amp;D526&amp;" IS '"&amp;C526&amp;"';"</f>
        <v>COMMENT ON COLUMN milscm_2023_009.sny_202310_annony_bef2.shikkan508_start_date IS 'E130_疾患開始日';</v>
      </c>
    </row>
    <row r="527" spans="1:45" s="25" customFormat="1">
      <c r="A527" s="4" t="s">
        <v>5104</v>
      </c>
      <c r="B527" s="21">
        <f t="shared" si="59"/>
        <v>515</v>
      </c>
      <c r="C527" s="13" t="s">
        <v>4714</v>
      </c>
      <c r="D527" s="13" t="s">
        <v>6169</v>
      </c>
      <c r="E527" s="8"/>
      <c r="F527" s="7" t="s">
        <v>4348</v>
      </c>
      <c r="G527" s="7" t="s">
        <v>25</v>
      </c>
      <c r="H527" s="58"/>
      <c r="I527" s="23"/>
      <c r="J527" s="24"/>
      <c r="M527" s="4"/>
      <c r="N527" s="76"/>
      <c r="O527" s="76"/>
      <c r="P527" s="76" t="str">
        <f t="shared" si="60"/>
        <v>,shikkan509_start_date</v>
      </c>
      <c r="Q527" s="76" t="str">
        <f t="shared" si="61"/>
        <v>DATE</v>
      </c>
      <c r="R527" s="76" t="str">
        <f t="shared" si="62"/>
        <v/>
      </c>
      <c r="S527" s="76" t="str">
        <f t="shared" si="63"/>
        <v/>
      </c>
      <c r="T527" s="76" t="str">
        <f t="shared" si="64"/>
        <v>-- E131_疾患開始日</v>
      </c>
      <c r="U527" s="4" t="str">
        <f t="shared" si="40"/>
        <v>, CASE WHEN shikkan_disp_name = 'E131' THEN min_shikkan_start_date ::DATE ELSE NULL END AS shikkan509_start_date</v>
      </c>
      <c r="V527" s="25" t="str">
        <f t="shared" si="41"/>
        <v>, max(shikkan509_start_date)</v>
      </c>
      <c r="AA527" s="4"/>
      <c r="AB527" s="4"/>
      <c r="AC527" s="4"/>
      <c r="AD527" s="4"/>
      <c r="AE527" s="4"/>
      <c r="AF527" s="4"/>
      <c r="AG527" s="4"/>
      <c r="AH527" s="4"/>
      <c r="AI527" s="4"/>
      <c r="AJ527" s="76" t="str">
        <f>IF(E527="○",IF(COUNTA(E$13:E527)=1,"",",")&amp;D527,"")</f>
        <v/>
      </c>
      <c r="AK527" s="4"/>
      <c r="AL527" s="4"/>
      <c r="AM527" s="4"/>
      <c r="AN527" s="4"/>
      <c r="AO527" s="4"/>
      <c r="AP527" s="4"/>
      <c r="AQ527" s="4"/>
      <c r="AR527" s="4"/>
      <c r="AS527" s="76" t="str">
        <f>"COMMENT ON COLUMN "&amp;エンティティ一覧!$O$2&amp;"."&amp;D$8&amp;"."&amp;D527&amp;" IS '"&amp;C527&amp;"';"</f>
        <v>COMMENT ON COLUMN milscm_2023_009.sny_202310_annony_bef2.shikkan509_start_date IS 'E131_疾患開始日';</v>
      </c>
    </row>
    <row r="528" spans="1:45" s="25" customFormat="1">
      <c r="A528" s="4" t="s">
        <v>5127</v>
      </c>
      <c r="B528" s="21">
        <f t="shared" si="59"/>
        <v>516</v>
      </c>
      <c r="C528" s="13" t="s">
        <v>4737</v>
      </c>
      <c r="D528" s="13" t="s">
        <v>6170</v>
      </c>
      <c r="E528" s="8"/>
      <c r="F528" s="7" t="s">
        <v>4348</v>
      </c>
      <c r="G528" s="7" t="s">
        <v>25</v>
      </c>
      <c r="H528" s="58"/>
      <c r="I528" s="23"/>
      <c r="J528" s="24"/>
      <c r="M528" s="4"/>
      <c r="N528" s="76"/>
      <c r="O528" s="76"/>
      <c r="P528" s="76" t="str">
        <f t="shared" si="60"/>
        <v>,shikkan510_start_date</v>
      </c>
      <c r="Q528" s="76" t="str">
        <f t="shared" si="61"/>
        <v>DATE</v>
      </c>
      <c r="R528" s="76" t="str">
        <f t="shared" si="62"/>
        <v/>
      </c>
      <c r="S528" s="76" t="str">
        <f t="shared" si="63"/>
        <v/>
      </c>
      <c r="T528" s="76" t="str">
        <f t="shared" si="64"/>
        <v>-- E132_疾患開始日</v>
      </c>
      <c r="U528" s="4" t="str">
        <f t="shared" si="40"/>
        <v>, CASE WHEN shikkan_disp_name = 'E132' THEN min_shikkan_start_date ::DATE ELSE NULL END AS shikkan510_start_date</v>
      </c>
      <c r="V528" s="25" t="str">
        <f t="shared" si="41"/>
        <v>, max(shikkan510_start_date)</v>
      </c>
      <c r="AA528" s="4"/>
      <c r="AB528" s="4"/>
      <c r="AC528" s="4"/>
      <c r="AD528" s="4"/>
      <c r="AE528" s="4"/>
      <c r="AF528" s="4"/>
      <c r="AG528" s="4"/>
      <c r="AH528" s="4"/>
      <c r="AI528" s="4"/>
      <c r="AJ528" s="76" t="str">
        <f>IF(E528="○",IF(COUNTA(E$13:E528)=1,"",",")&amp;D528,"")</f>
        <v/>
      </c>
      <c r="AK528" s="4"/>
      <c r="AL528" s="4"/>
      <c r="AM528" s="4"/>
      <c r="AN528" s="4"/>
      <c r="AO528" s="4"/>
      <c r="AP528" s="4"/>
      <c r="AQ528" s="4"/>
      <c r="AR528" s="4"/>
      <c r="AS528" s="76" t="str">
        <f>"COMMENT ON COLUMN "&amp;エンティティ一覧!$O$2&amp;"."&amp;D$8&amp;"."&amp;D528&amp;" IS '"&amp;C528&amp;"';"</f>
        <v>COMMENT ON COLUMN milscm_2023_009.sny_202310_annony_bef2.shikkan510_start_date IS 'E132_疾患開始日';</v>
      </c>
    </row>
    <row r="529" spans="1:45" s="25" customFormat="1">
      <c r="A529" s="4" t="s">
        <v>5128</v>
      </c>
      <c r="B529" s="21">
        <f t="shared" si="59"/>
        <v>517</v>
      </c>
      <c r="C529" s="13" t="s">
        <v>4738</v>
      </c>
      <c r="D529" s="13" t="s">
        <v>6171</v>
      </c>
      <c r="E529" s="8"/>
      <c r="F529" s="7" t="s">
        <v>4348</v>
      </c>
      <c r="G529" s="7" t="s">
        <v>25</v>
      </c>
      <c r="H529" s="58"/>
      <c r="I529" s="23"/>
      <c r="J529" s="24"/>
      <c r="M529" s="4"/>
      <c r="N529" s="76"/>
      <c r="O529" s="76"/>
      <c r="P529" s="76" t="str">
        <f t="shared" si="60"/>
        <v>,shikkan511_start_date</v>
      </c>
      <c r="Q529" s="76" t="str">
        <f t="shared" si="61"/>
        <v>DATE</v>
      </c>
      <c r="R529" s="76" t="str">
        <f t="shared" si="62"/>
        <v/>
      </c>
      <c r="S529" s="76" t="str">
        <f t="shared" si="63"/>
        <v/>
      </c>
      <c r="T529" s="76" t="str">
        <f t="shared" si="64"/>
        <v>-- E133_疾患開始日</v>
      </c>
      <c r="U529" s="4" t="str">
        <f t="shared" si="40"/>
        <v>, CASE WHEN shikkan_disp_name = 'E133' THEN min_shikkan_start_date ::DATE ELSE NULL END AS shikkan511_start_date</v>
      </c>
      <c r="V529" s="25" t="str">
        <f t="shared" si="41"/>
        <v>, max(shikkan511_start_date)</v>
      </c>
      <c r="AA529" s="4"/>
      <c r="AB529" s="4"/>
      <c r="AC529" s="4"/>
      <c r="AD529" s="4"/>
      <c r="AE529" s="4"/>
      <c r="AF529" s="4"/>
      <c r="AG529" s="4"/>
      <c r="AH529" s="4"/>
      <c r="AI529" s="4"/>
      <c r="AJ529" s="76" t="str">
        <f>IF(E529="○",IF(COUNTA(E$13:E529)=1,"",",")&amp;D529,"")</f>
        <v/>
      </c>
      <c r="AK529" s="4"/>
      <c r="AL529" s="4"/>
      <c r="AM529" s="4"/>
      <c r="AN529" s="4"/>
      <c r="AO529" s="4"/>
      <c r="AP529" s="4"/>
      <c r="AQ529" s="4"/>
      <c r="AR529" s="4"/>
      <c r="AS529" s="76" t="str">
        <f>"COMMENT ON COLUMN "&amp;エンティティ一覧!$O$2&amp;"."&amp;D$8&amp;"."&amp;D529&amp;" IS '"&amp;C529&amp;"';"</f>
        <v>COMMENT ON COLUMN milscm_2023_009.sny_202310_annony_bef2.shikkan511_start_date IS 'E133_疾患開始日';</v>
      </c>
    </row>
    <row r="530" spans="1:45" s="25" customFormat="1">
      <c r="A530" s="4" t="s">
        <v>5129</v>
      </c>
      <c r="B530" s="21">
        <f t="shared" si="59"/>
        <v>518</v>
      </c>
      <c r="C530" s="13" t="s">
        <v>4739</v>
      </c>
      <c r="D530" s="13" t="s">
        <v>6172</v>
      </c>
      <c r="E530" s="8"/>
      <c r="F530" s="7" t="s">
        <v>4348</v>
      </c>
      <c r="G530" s="7" t="s">
        <v>99</v>
      </c>
      <c r="H530" s="58"/>
      <c r="I530" s="23"/>
      <c r="J530" s="24"/>
      <c r="M530" s="4"/>
      <c r="N530" s="76"/>
      <c r="O530" s="76"/>
      <c r="P530" s="76" t="str">
        <f t="shared" si="60"/>
        <v>,shikkan512_start_date</v>
      </c>
      <c r="Q530" s="76" t="str">
        <f t="shared" si="61"/>
        <v>DATE</v>
      </c>
      <c r="R530" s="76" t="str">
        <f t="shared" si="62"/>
        <v/>
      </c>
      <c r="S530" s="76" t="str">
        <f t="shared" si="63"/>
        <v/>
      </c>
      <c r="T530" s="76" t="str">
        <f t="shared" si="64"/>
        <v>-- E134_疾患開始日</v>
      </c>
      <c r="U530" s="4" t="str">
        <f t="shared" si="40"/>
        <v>, CASE WHEN shikkan_disp_name = 'E134' THEN min_shikkan_start_date ::DATE ELSE NULL END AS shikkan512_start_date</v>
      </c>
      <c r="V530" s="25" t="str">
        <f t="shared" si="41"/>
        <v>, max(shikkan512_start_date)</v>
      </c>
      <c r="AA530" s="4"/>
      <c r="AB530" s="4"/>
      <c r="AC530" s="4"/>
      <c r="AD530" s="4"/>
      <c r="AE530" s="4"/>
      <c r="AF530" s="4"/>
      <c r="AG530" s="4"/>
      <c r="AH530" s="4"/>
      <c r="AI530" s="4"/>
      <c r="AJ530" s="76" t="str">
        <f>IF(E530="○",IF(COUNTA(E$13:E530)=1,"",",")&amp;D530,"")</f>
        <v/>
      </c>
      <c r="AK530" s="4"/>
      <c r="AL530" s="4"/>
      <c r="AM530" s="4"/>
      <c r="AN530" s="4"/>
      <c r="AO530" s="4"/>
      <c r="AP530" s="4"/>
      <c r="AQ530" s="4"/>
      <c r="AR530" s="4"/>
      <c r="AS530" s="76" t="str">
        <f>"COMMENT ON COLUMN "&amp;エンティティ一覧!$O$2&amp;"."&amp;D$8&amp;"."&amp;D530&amp;" IS '"&amp;C530&amp;"';"</f>
        <v>COMMENT ON COLUMN milscm_2023_009.sny_202310_annony_bef2.shikkan512_start_date IS 'E134_疾患開始日';</v>
      </c>
    </row>
    <row r="531" spans="1:45" s="25" customFormat="1">
      <c r="A531" s="4" t="s">
        <v>5130</v>
      </c>
      <c r="B531" s="21">
        <f t="shared" si="59"/>
        <v>519</v>
      </c>
      <c r="C531" s="13" t="s">
        <v>4740</v>
      </c>
      <c r="D531" s="13" t="s">
        <v>6173</v>
      </c>
      <c r="E531" s="8"/>
      <c r="F531" s="7" t="s">
        <v>4348</v>
      </c>
      <c r="G531" s="7" t="s">
        <v>25</v>
      </c>
      <c r="H531" s="58"/>
      <c r="I531" s="23"/>
      <c r="J531" s="24"/>
      <c r="M531" s="4"/>
      <c r="N531" s="76"/>
      <c r="O531" s="76"/>
      <c r="P531" s="76" t="str">
        <f t="shared" si="60"/>
        <v>,shikkan513_start_date</v>
      </c>
      <c r="Q531" s="76" t="str">
        <f t="shared" si="61"/>
        <v>DATE</v>
      </c>
      <c r="R531" s="76" t="str">
        <f t="shared" si="62"/>
        <v/>
      </c>
      <c r="S531" s="76" t="str">
        <f t="shared" si="63"/>
        <v/>
      </c>
      <c r="T531" s="76" t="str">
        <f t="shared" si="64"/>
        <v>-- E135_疾患開始日</v>
      </c>
      <c r="U531" s="4" t="str">
        <f t="shared" ref="U531:U594" si="65">", CASE WHEN shikkan_disp_name = '"&amp;A531&amp;"' THEN min_shikkan_start_date ::DATE ELSE NULL END AS "&amp;D531</f>
        <v>, CASE WHEN shikkan_disp_name = 'E135' THEN min_shikkan_start_date ::DATE ELSE NULL END AS shikkan513_start_date</v>
      </c>
      <c r="V531" s="25" t="str">
        <f t="shared" ref="V531:V594" si="66">", max("&amp;D531&amp;")"</f>
        <v>, max(shikkan513_start_date)</v>
      </c>
      <c r="AA531" s="4"/>
      <c r="AB531" s="4"/>
      <c r="AC531" s="4"/>
      <c r="AD531" s="4"/>
      <c r="AE531" s="4"/>
      <c r="AF531" s="4"/>
      <c r="AG531" s="4"/>
      <c r="AH531" s="4"/>
      <c r="AI531" s="4"/>
      <c r="AJ531" s="76" t="str">
        <f>IF(E531="○",IF(COUNTA(E$13:E531)=1,"",",")&amp;D531,"")</f>
        <v/>
      </c>
      <c r="AK531" s="4"/>
      <c r="AL531" s="4"/>
      <c r="AM531" s="4"/>
      <c r="AN531" s="4"/>
      <c r="AO531" s="4"/>
      <c r="AP531" s="4"/>
      <c r="AQ531" s="4"/>
      <c r="AR531" s="4"/>
      <c r="AS531" s="76" t="str">
        <f>"COMMENT ON COLUMN "&amp;エンティティ一覧!$O$2&amp;"."&amp;D$8&amp;"."&amp;D531&amp;" IS '"&amp;C531&amp;"';"</f>
        <v>COMMENT ON COLUMN milscm_2023_009.sny_202310_annony_bef2.shikkan513_start_date IS 'E135_疾患開始日';</v>
      </c>
    </row>
    <row r="532" spans="1:45" s="25" customFormat="1">
      <c r="A532" s="4" t="s">
        <v>5105</v>
      </c>
      <c r="B532" s="21">
        <f t="shared" si="59"/>
        <v>520</v>
      </c>
      <c r="C532" s="13" t="s">
        <v>4715</v>
      </c>
      <c r="D532" s="13" t="s">
        <v>6174</v>
      </c>
      <c r="E532" s="8"/>
      <c r="F532" s="7" t="s">
        <v>4348</v>
      </c>
      <c r="G532" s="7" t="s">
        <v>25</v>
      </c>
      <c r="H532" s="58"/>
      <c r="I532" s="23"/>
      <c r="J532" s="24"/>
      <c r="M532" s="4"/>
      <c r="N532" s="76"/>
      <c r="O532" s="76"/>
      <c r="P532" s="76" t="str">
        <f t="shared" si="60"/>
        <v>,shikkan514_start_date</v>
      </c>
      <c r="Q532" s="76" t="str">
        <f t="shared" si="61"/>
        <v>DATE</v>
      </c>
      <c r="R532" s="76" t="str">
        <f t="shared" si="62"/>
        <v/>
      </c>
      <c r="S532" s="76" t="str">
        <f t="shared" si="63"/>
        <v/>
      </c>
      <c r="T532" s="76" t="str">
        <f t="shared" si="64"/>
        <v>-- E136_疾患開始日</v>
      </c>
      <c r="U532" s="4" t="str">
        <f t="shared" si="65"/>
        <v>, CASE WHEN shikkan_disp_name = 'E136' THEN min_shikkan_start_date ::DATE ELSE NULL END AS shikkan514_start_date</v>
      </c>
      <c r="V532" s="25" t="str">
        <f t="shared" si="66"/>
        <v>, max(shikkan514_start_date)</v>
      </c>
      <c r="AA532" s="4"/>
      <c r="AB532" s="4"/>
      <c r="AC532" s="4"/>
      <c r="AD532" s="4"/>
      <c r="AE532" s="4"/>
      <c r="AF532" s="4"/>
      <c r="AG532" s="4"/>
      <c r="AH532" s="4"/>
      <c r="AI532" s="4"/>
      <c r="AJ532" s="76" t="str">
        <f>IF(E532="○",IF(COUNTA(E$13:E532)=1,"",",")&amp;D532,"")</f>
        <v/>
      </c>
      <c r="AK532" s="4"/>
      <c r="AL532" s="4"/>
      <c r="AM532" s="4"/>
      <c r="AN532" s="4"/>
      <c r="AO532" s="4"/>
      <c r="AP532" s="4"/>
      <c r="AQ532" s="4"/>
      <c r="AR532" s="4"/>
      <c r="AS532" s="76" t="str">
        <f>"COMMENT ON COLUMN "&amp;エンティティ一覧!$O$2&amp;"."&amp;D$8&amp;"."&amp;D532&amp;" IS '"&amp;C532&amp;"';"</f>
        <v>COMMENT ON COLUMN milscm_2023_009.sny_202310_annony_bef2.shikkan514_start_date IS 'E136_疾患開始日';</v>
      </c>
    </row>
    <row r="533" spans="1:45" s="25" customFormat="1">
      <c r="A533" s="4" t="s">
        <v>5131</v>
      </c>
      <c r="B533" s="21">
        <f t="shared" ref="B533:B596" si="67">ROW()-12</f>
        <v>521</v>
      </c>
      <c r="C533" s="13" t="s">
        <v>4741</v>
      </c>
      <c r="D533" s="13" t="s">
        <v>6175</v>
      </c>
      <c r="E533" s="8"/>
      <c r="F533" s="7" t="s">
        <v>4348</v>
      </c>
      <c r="G533" s="7" t="s">
        <v>25</v>
      </c>
      <c r="H533" s="58"/>
      <c r="I533" s="23"/>
      <c r="J533" s="24"/>
      <c r="M533" s="4"/>
      <c r="N533" s="76"/>
      <c r="O533" s="76"/>
      <c r="P533" s="76" t="str">
        <f t="shared" si="60"/>
        <v>,shikkan515_start_date</v>
      </c>
      <c r="Q533" s="76" t="str">
        <f t="shared" si="61"/>
        <v>DATE</v>
      </c>
      <c r="R533" s="76" t="str">
        <f t="shared" si="62"/>
        <v/>
      </c>
      <c r="S533" s="76" t="str">
        <f t="shared" si="63"/>
        <v/>
      </c>
      <c r="T533" s="76" t="str">
        <f t="shared" si="64"/>
        <v>-- E137_疾患開始日</v>
      </c>
      <c r="U533" s="4" t="str">
        <f t="shared" si="65"/>
        <v>, CASE WHEN shikkan_disp_name = 'E137' THEN min_shikkan_start_date ::DATE ELSE NULL END AS shikkan515_start_date</v>
      </c>
      <c r="V533" s="25" t="str">
        <f t="shared" si="66"/>
        <v>, max(shikkan515_start_date)</v>
      </c>
      <c r="AA533" s="4"/>
      <c r="AB533" s="4"/>
      <c r="AC533" s="4"/>
      <c r="AD533" s="4"/>
      <c r="AE533" s="4"/>
      <c r="AF533" s="4"/>
      <c r="AG533" s="4"/>
      <c r="AH533" s="4"/>
      <c r="AI533" s="4"/>
      <c r="AJ533" s="76" t="str">
        <f>IF(E533="○",IF(COUNTA(E$13:E533)=1,"",",")&amp;D533,"")</f>
        <v/>
      </c>
      <c r="AK533" s="4"/>
      <c r="AL533" s="4"/>
      <c r="AM533" s="4"/>
      <c r="AN533" s="4"/>
      <c r="AO533" s="4"/>
      <c r="AP533" s="4"/>
      <c r="AQ533" s="4"/>
      <c r="AR533" s="4"/>
      <c r="AS533" s="76" t="str">
        <f>"COMMENT ON COLUMN "&amp;エンティティ一覧!$O$2&amp;"."&amp;D$8&amp;"."&amp;D533&amp;" IS '"&amp;C533&amp;"';"</f>
        <v>COMMENT ON COLUMN milscm_2023_009.sny_202310_annony_bef2.shikkan515_start_date IS 'E137_疾患開始日';</v>
      </c>
    </row>
    <row r="534" spans="1:45" s="25" customFormat="1">
      <c r="A534" s="4" t="s">
        <v>5106</v>
      </c>
      <c r="B534" s="21">
        <f t="shared" si="67"/>
        <v>522</v>
      </c>
      <c r="C534" s="13" t="s">
        <v>4716</v>
      </c>
      <c r="D534" s="13" t="s">
        <v>6176</v>
      </c>
      <c r="E534" s="8"/>
      <c r="F534" s="7" t="s">
        <v>4348</v>
      </c>
      <c r="G534" s="7" t="s">
        <v>25</v>
      </c>
      <c r="H534" s="58"/>
      <c r="I534" s="23"/>
      <c r="J534" s="24"/>
      <c r="M534" s="4"/>
      <c r="N534" s="76"/>
      <c r="O534" s="76"/>
      <c r="P534" s="76" t="str">
        <f t="shared" si="60"/>
        <v>,shikkan516_start_date</v>
      </c>
      <c r="Q534" s="76" t="str">
        <f t="shared" si="61"/>
        <v>DATE</v>
      </c>
      <c r="R534" s="76" t="str">
        <f t="shared" si="62"/>
        <v/>
      </c>
      <c r="S534" s="76" t="str">
        <f t="shared" si="63"/>
        <v/>
      </c>
      <c r="T534" s="76" t="str">
        <f t="shared" si="64"/>
        <v>-- E138_疾患開始日</v>
      </c>
      <c r="U534" s="4" t="str">
        <f t="shared" si="65"/>
        <v>, CASE WHEN shikkan_disp_name = 'E138' THEN min_shikkan_start_date ::DATE ELSE NULL END AS shikkan516_start_date</v>
      </c>
      <c r="V534" s="25" t="str">
        <f t="shared" si="66"/>
        <v>, max(shikkan516_start_date)</v>
      </c>
      <c r="AA534" s="4"/>
      <c r="AB534" s="4"/>
      <c r="AC534" s="4"/>
      <c r="AD534" s="4"/>
      <c r="AE534" s="4"/>
      <c r="AF534" s="4"/>
      <c r="AG534" s="4"/>
      <c r="AH534" s="4"/>
      <c r="AI534" s="4"/>
      <c r="AJ534" s="76" t="str">
        <f>IF(E534="○",IF(COUNTA(E$13:E534)=1,"",",")&amp;D534,"")</f>
        <v/>
      </c>
      <c r="AK534" s="4"/>
      <c r="AL534" s="4"/>
      <c r="AM534" s="4"/>
      <c r="AN534" s="4"/>
      <c r="AO534" s="4"/>
      <c r="AP534" s="4"/>
      <c r="AQ534" s="4"/>
      <c r="AR534" s="4"/>
      <c r="AS534" s="76" t="str">
        <f>"COMMENT ON COLUMN "&amp;エンティティ一覧!$O$2&amp;"."&amp;D$8&amp;"."&amp;D534&amp;" IS '"&amp;C534&amp;"';"</f>
        <v>COMMENT ON COLUMN milscm_2023_009.sny_202310_annony_bef2.shikkan516_start_date IS 'E138_疾患開始日';</v>
      </c>
    </row>
    <row r="535" spans="1:45" s="25" customFormat="1">
      <c r="A535" s="4" t="s">
        <v>5107</v>
      </c>
      <c r="B535" s="21">
        <f t="shared" si="67"/>
        <v>523</v>
      </c>
      <c r="C535" s="13" t="s">
        <v>4717</v>
      </c>
      <c r="D535" s="13" t="s">
        <v>6177</v>
      </c>
      <c r="E535" s="8"/>
      <c r="F535" s="7" t="s">
        <v>4348</v>
      </c>
      <c r="G535" s="7" t="s">
        <v>25</v>
      </c>
      <c r="H535" s="58"/>
      <c r="I535" s="23"/>
      <c r="J535" s="24"/>
      <c r="M535" s="4"/>
      <c r="N535" s="76"/>
      <c r="O535" s="76"/>
      <c r="P535" s="76" t="str">
        <f t="shared" si="60"/>
        <v>,shikkan517_start_date</v>
      </c>
      <c r="Q535" s="76" t="str">
        <f t="shared" si="61"/>
        <v>DATE</v>
      </c>
      <c r="R535" s="76" t="str">
        <f t="shared" si="62"/>
        <v/>
      </c>
      <c r="S535" s="76" t="str">
        <f t="shared" si="63"/>
        <v/>
      </c>
      <c r="T535" s="76" t="str">
        <f t="shared" si="64"/>
        <v>-- E139_疾患開始日</v>
      </c>
      <c r="U535" s="4" t="str">
        <f t="shared" si="65"/>
        <v>, CASE WHEN shikkan_disp_name = 'E139' THEN min_shikkan_start_date ::DATE ELSE NULL END AS shikkan517_start_date</v>
      </c>
      <c r="V535" s="25" t="str">
        <f t="shared" si="66"/>
        <v>, max(shikkan517_start_date)</v>
      </c>
      <c r="AA535" s="4"/>
      <c r="AB535" s="4"/>
      <c r="AC535" s="4"/>
      <c r="AD535" s="4"/>
      <c r="AE535" s="4"/>
      <c r="AF535" s="4"/>
      <c r="AG535" s="4"/>
      <c r="AH535" s="4"/>
      <c r="AI535" s="4"/>
      <c r="AJ535" s="76" t="str">
        <f>IF(E535="○",IF(COUNTA(E$13:E535)=1,"",",")&amp;D535,"")</f>
        <v/>
      </c>
      <c r="AK535" s="4"/>
      <c r="AL535" s="4"/>
      <c r="AM535" s="4"/>
      <c r="AN535" s="4"/>
      <c r="AO535" s="4"/>
      <c r="AP535" s="4"/>
      <c r="AQ535" s="4"/>
      <c r="AR535" s="4"/>
      <c r="AS535" s="76" t="str">
        <f>"COMMENT ON COLUMN "&amp;エンティティ一覧!$O$2&amp;"."&amp;D$8&amp;"."&amp;D535&amp;" IS '"&amp;C535&amp;"';"</f>
        <v>COMMENT ON COLUMN milscm_2023_009.sny_202310_annony_bef2.shikkan517_start_date IS 'E139_疾患開始日';</v>
      </c>
    </row>
    <row r="536" spans="1:45" s="25" customFormat="1">
      <c r="A536" s="4" t="s">
        <v>5108</v>
      </c>
      <c r="B536" s="21">
        <f t="shared" si="67"/>
        <v>524</v>
      </c>
      <c r="C536" s="13" t="s">
        <v>4718</v>
      </c>
      <c r="D536" s="13" t="s">
        <v>6178</v>
      </c>
      <c r="E536" s="8"/>
      <c r="F536" s="7" t="s">
        <v>4348</v>
      </c>
      <c r="G536" s="7" t="s">
        <v>25</v>
      </c>
      <c r="H536" s="58"/>
      <c r="I536" s="23"/>
      <c r="J536" s="24"/>
      <c r="M536" s="4"/>
      <c r="N536" s="76"/>
      <c r="O536" s="76"/>
      <c r="P536" s="76" t="str">
        <f t="shared" si="60"/>
        <v>,shikkan518_start_date</v>
      </c>
      <c r="Q536" s="76" t="str">
        <f t="shared" si="61"/>
        <v>DATE</v>
      </c>
      <c r="R536" s="76" t="str">
        <f t="shared" si="62"/>
        <v/>
      </c>
      <c r="S536" s="76" t="str">
        <f t="shared" si="63"/>
        <v/>
      </c>
      <c r="T536" s="76" t="str">
        <f t="shared" si="64"/>
        <v>-- E140_疾患開始日</v>
      </c>
      <c r="U536" s="4" t="str">
        <f t="shared" si="65"/>
        <v>, CASE WHEN shikkan_disp_name = 'E140' THEN min_shikkan_start_date ::DATE ELSE NULL END AS shikkan518_start_date</v>
      </c>
      <c r="V536" s="25" t="str">
        <f t="shared" si="66"/>
        <v>, max(shikkan518_start_date)</v>
      </c>
      <c r="AA536" s="4"/>
      <c r="AB536" s="4"/>
      <c r="AC536" s="4"/>
      <c r="AD536" s="4"/>
      <c r="AE536" s="4"/>
      <c r="AF536" s="4"/>
      <c r="AG536" s="4"/>
      <c r="AH536" s="4"/>
      <c r="AI536" s="4"/>
      <c r="AJ536" s="76" t="str">
        <f>IF(E536="○",IF(COUNTA(E$13:E536)=1,"",",")&amp;D536,"")</f>
        <v/>
      </c>
      <c r="AK536" s="4"/>
      <c r="AL536" s="4"/>
      <c r="AM536" s="4"/>
      <c r="AN536" s="4"/>
      <c r="AO536" s="4"/>
      <c r="AP536" s="4"/>
      <c r="AQ536" s="4"/>
      <c r="AR536" s="4"/>
      <c r="AS536" s="76" t="str">
        <f>"COMMENT ON COLUMN "&amp;エンティティ一覧!$O$2&amp;"."&amp;D$8&amp;"."&amp;D536&amp;" IS '"&amp;C536&amp;"';"</f>
        <v>COMMENT ON COLUMN milscm_2023_009.sny_202310_annony_bef2.shikkan518_start_date IS 'E140_疾患開始日';</v>
      </c>
    </row>
    <row r="537" spans="1:45" s="25" customFormat="1">
      <c r="A537" s="4" t="s">
        <v>5109</v>
      </c>
      <c r="B537" s="21">
        <f t="shared" si="67"/>
        <v>525</v>
      </c>
      <c r="C537" s="13" t="s">
        <v>4719</v>
      </c>
      <c r="D537" s="13" t="s">
        <v>6179</v>
      </c>
      <c r="E537" s="8"/>
      <c r="F537" s="7" t="s">
        <v>4348</v>
      </c>
      <c r="G537" s="7" t="s">
        <v>25</v>
      </c>
      <c r="H537" s="58"/>
      <c r="I537" s="23"/>
      <c r="J537" s="24"/>
      <c r="M537" s="4"/>
      <c r="N537" s="76"/>
      <c r="O537" s="76"/>
      <c r="P537" s="76" t="str">
        <f t="shared" si="60"/>
        <v>,shikkan519_start_date</v>
      </c>
      <c r="Q537" s="76" t="str">
        <f t="shared" si="61"/>
        <v>DATE</v>
      </c>
      <c r="R537" s="76" t="str">
        <f t="shared" si="62"/>
        <v/>
      </c>
      <c r="S537" s="76" t="str">
        <f t="shared" si="63"/>
        <v/>
      </c>
      <c r="T537" s="76" t="str">
        <f t="shared" si="64"/>
        <v>-- E141_疾患開始日</v>
      </c>
      <c r="U537" s="4" t="str">
        <f t="shared" si="65"/>
        <v>, CASE WHEN shikkan_disp_name = 'E141' THEN min_shikkan_start_date ::DATE ELSE NULL END AS shikkan519_start_date</v>
      </c>
      <c r="V537" s="25" t="str">
        <f t="shared" si="66"/>
        <v>, max(shikkan519_start_date)</v>
      </c>
      <c r="AA537" s="4"/>
      <c r="AB537" s="4"/>
      <c r="AC537" s="4"/>
      <c r="AD537" s="4"/>
      <c r="AE537" s="4"/>
      <c r="AF537" s="4"/>
      <c r="AG537" s="4"/>
      <c r="AH537" s="4"/>
      <c r="AI537" s="4"/>
      <c r="AJ537" s="76" t="str">
        <f>IF(E537="○",IF(COUNTA(E$13:E537)=1,"",",")&amp;D537,"")</f>
        <v/>
      </c>
      <c r="AK537" s="4"/>
      <c r="AL537" s="4"/>
      <c r="AM537" s="4"/>
      <c r="AN537" s="4"/>
      <c r="AO537" s="4"/>
      <c r="AP537" s="4"/>
      <c r="AQ537" s="4"/>
      <c r="AR537" s="4"/>
      <c r="AS537" s="76" t="str">
        <f>"COMMENT ON COLUMN "&amp;エンティティ一覧!$O$2&amp;"."&amp;D$8&amp;"."&amp;D537&amp;" IS '"&amp;C537&amp;"';"</f>
        <v>COMMENT ON COLUMN milscm_2023_009.sny_202310_annony_bef2.shikkan519_start_date IS 'E141_疾患開始日';</v>
      </c>
    </row>
    <row r="538" spans="1:45" s="25" customFormat="1">
      <c r="A538" s="4" t="s">
        <v>5132</v>
      </c>
      <c r="B538" s="21">
        <f t="shared" si="67"/>
        <v>526</v>
      </c>
      <c r="C538" s="13" t="s">
        <v>4742</v>
      </c>
      <c r="D538" s="13" t="s">
        <v>6180</v>
      </c>
      <c r="E538" s="8"/>
      <c r="F538" s="7" t="s">
        <v>4348</v>
      </c>
      <c r="G538" s="7" t="s">
        <v>25</v>
      </c>
      <c r="H538" s="58"/>
      <c r="I538" s="23"/>
      <c r="J538" s="24"/>
      <c r="M538" s="4"/>
      <c r="N538" s="76"/>
      <c r="O538" s="76"/>
      <c r="P538" s="76" t="str">
        <f t="shared" si="60"/>
        <v>,shikkan520_start_date</v>
      </c>
      <c r="Q538" s="76" t="str">
        <f t="shared" si="61"/>
        <v>DATE</v>
      </c>
      <c r="R538" s="76" t="str">
        <f t="shared" si="62"/>
        <v/>
      </c>
      <c r="S538" s="76" t="str">
        <f t="shared" si="63"/>
        <v/>
      </c>
      <c r="T538" s="76" t="str">
        <f t="shared" si="64"/>
        <v>-- E142_疾患開始日</v>
      </c>
      <c r="U538" s="4" t="str">
        <f t="shared" si="65"/>
        <v>, CASE WHEN shikkan_disp_name = 'E142' THEN min_shikkan_start_date ::DATE ELSE NULL END AS shikkan520_start_date</v>
      </c>
      <c r="V538" s="25" t="str">
        <f t="shared" si="66"/>
        <v>, max(shikkan520_start_date)</v>
      </c>
      <c r="AA538" s="4"/>
      <c r="AB538" s="4"/>
      <c r="AC538" s="4"/>
      <c r="AD538" s="4"/>
      <c r="AE538" s="4"/>
      <c r="AF538" s="4"/>
      <c r="AG538" s="4"/>
      <c r="AH538" s="4"/>
      <c r="AI538" s="4"/>
      <c r="AJ538" s="76" t="str">
        <f>IF(E538="○",IF(COUNTA(E$13:E538)=1,"",",")&amp;D538,"")</f>
        <v/>
      </c>
      <c r="AK538" s="4"/>
      <c r="AL538" s="4"/>
      <c r="AM538" s="4"/>
      <c r="AN538" s="4"/>
      <c r="AO538" s="4"/>
      <c r="AP538" s="4"/>
      <c r="AQ538" s="4"/>
      <c r="AR538" s="4"/>
      <c r="AS538" s="76" t="str">
        <f>"COMMENT ON COLUMN "&amp;エンティティ一覧!$O$2&amp;"."&amp;D$8&amp;"."&amp;D538&amp;" IS '"&amp;C538&amp;"';"</f>
        <v>COMMENT ON COLUMN milscm_2023_009.sny_202310_annony_bef2.shikkan520_start_date IS 'E142_疾患開始日';</v>
      </c>
    </row>
    <row r="539" spans="1:45" s="25" customFormat="1">
      <c r="A539" s="4" t="s">
        <v>5133</v>
      </c>
      <c r="B539" s="21">
        <f t="shared" si="67"/>
        <v>527</v>
      </c>
      <c r="C539" s="13" t="s">
        <v>4743</v>
      </c>
      <c r="D539" s="13" t="s">
        <v>6181</v>
      </c>
      <c r="E539" s="8"/>
      <c r="F539" s="7" t="s">
        <v>4348</v>
      </c>
      <c r="G539" s="7" t="s">
        <v>25</v>
      </c>
      <c r="H539" s="58"/>
      <c r="I539" s="23"/>
      <c r="J539" s="24"/>
      <c r="M539" s="4"/>
      <c r="N539" s="76"/>
      <c r="O539" s="76"/>
      <c r="P539" s="76" t="str">
        <f t="shared" si="60"/>
        <v>,shikkan521_start_date</v>
      </c>
      <c r="Q539" s="76" t="str">
        <f t="shared" si="61"/>
        <v>DATE</v>
      </c>
      <c r="R539" s="76" t="str">
        <f t="shared" si="62"/>
        <v/>
      </c>
      <c r="S539" s="76" t="str">
        <f t="shared" si="63"/>
        <v/>
      </c>
      <c r="T539" s="76" t="str">
        <f t="shared" si="64"/>
        <v>-- E143_疾患開始日</v>
      </c>
      <c r="U539" s="4" t="str">
        <f t="shared" si="65"/>
        <v>, CASE WHEN shikkan_disp_name = 'E143' THEN min_shikkan_start_date ::DATE ELSE NULL END AS shikkan521_start_date</v>
      </c>
      <c r="V539" s="25" t="str">
        <f t="shared" si="66"/>
        <v>, max(shikkan521_start_date)</v>
      </c>
      <c r="AA539" s="4"/>
      <c r="AB539" s="4"/>
      <c r="AC539" s="4"/>
      <c r="AD539" s="4"/>
      <c r="AE539" s="4"/>
      <c r="AF539" s="4"/>
      <c r="AG539" s="4"/>
      <c r="AH539" s="4"/>
      <c r="AI539" s="4"/>
      <c r="AJ539" s="76" t="str">
        <f>IF(E539="○",IF(COUNTA(E$13:E539)=1,"",",")&amp;D539,"")</f>
        <v/>
      </c>
      <c r="AK539" s="4"/>
      <c r="AL539" s="4"/>
      <c r="AM539" s="4"/>
      <c r="AN539" s="4"/>
      <c r="AO539" s="4"/>
      <c r="AP539" s="4"/>
      <c r="AQ539" s="4"/>
      <c r="AR539" s="4"/>
      <c r="AS539" s="76" t="str">
        <f>"COMMENT ON COLUMN "&amp;エンティティ一覧!$O$2&amp;"."&amp;D$8&amp;"."&amp;D539&amp;" IS '"&amp;C539&amp;"';"</f>
        <v>COMMENT ON COLUMN milscm_2023_009.sny_202310_annony_bef2.shikkan521_start_date IS 'E143_疾患開始日';</v>
      </c>
    </row>
    <row r="540" spans="1:45" s="25" customFormat="1">
      <c r="A540" s="4" t="s">
        <v>5134</v>
      </c>
      <c r="B540" s="21">
        <f t="shared" si="67"/>
        <v>528</v>
      </c>
      <c r="C540" s="13" t="s">
        <v>4744</v>
      </c>
      <c r="D540" s="13" t="s">
        <v>6182</v>
      </c>
      <c r="E540" s="8"/>
      <c r="F540" s="7" t="s">
        <v>4348</v>
      </c>
      <c r="G540" s="7" t="s">
        <v>25</v>
      </c>
      <c r="H540" s="58"/>
      <c r="I540" s="23"/>
      <c r="J540" s="24"/>
      <c r="M540" s="4"/>
      <c r="N540" s="76"/>
      <c r="O540" s="76"/>
      <c r="P540" s="76" t="str">
        <f t="shared" si="60"/>
        <v>,shikkan522_start_date</v>
      </c>
      <c r="Q540" s="76" t="str">
        <f t="shared" si="61"/>
        <v>DATE</v>
      </c>
      <c r="R540" s="76" t="str">
        <f t="shared" si="62"/>
        <v/>
      </c>
      <c r="S540" s="76" t="str">
        <f t="shared" si="63"/>
        <v/>
      </c>
      <c r="T540" s="76" t="str">
        <f t="shared" si="64"/>
        <v>-- E144_疾患開始日</v>
      </c>
      <c r="U540" s="4" t="str">
        <f t="shared" si="65"/>
        <v>, CASE WHEN shikkan_disp_name = 'E144' THEN min_shikkan_start_date ::DATE ELSE NULL END AS shikkan522_start_date</v>
      </c>
      <c r="V540" s="25" t="str">
        <f t="shared" si="66"/>
        <v>, max(shikkan522_start_date)</v>
      </c>
      <c r="AA540" s="4"/>
      <c r="AB540" s="4"/>
      <c r="AC540" s="4"/>
      <c r="AD540" s="4"/>
      <c r="AE540" s="4"/>
      <c r="AF540" s="4"/>
      <c r="AG540" s="4"/>
      <c r="AH540" s="4"/>
      <c r="AI540" s="4"/>
      <c r="AJ540" s="76" t="str">
        <f>IF(E540="○",IF(COUNTA(E$13:E540)=1,"",",")&amp;D540,"")</f>
        <v/>
      </c>
      <c r="AK540" s="4"/>
      <c r="AL540" s="4"/>
      <c r="AM540" s="4"/>
      <c r="AN540" s="4"/>
      <c r="AO540" s="4"/>
      <c r="AP540" s="4"/>
      <c r="AQ540" s="4"/>
      <c r="AR540" s="4"/>
      <c r="AS540" s="76" t="str">
        <f>"COMMENT ON COLUMN "&amp;エンティティ一覧!$O$2&amp;"."&amp;D$8&amp;"."&amp;D540&amp;" IS '"&amp;C540&amp;"';"</f>
        <v>COMMENT ON COLUMN milscm_2023_009.sny_202310_annony_bef2.shikkan522_start_date IS 'E144_疾患開始日';</v>
      </c>
    </row>
    <row r="541" spans="1:45" s="25" customFormat="1">
      <c r="A541" s="4" t="s">
        <v>5135</v>
      </c>
      <c r="B541" s="21">
        <f t="shared" si="67"/>
        <v>529</v>
      </c>
      <c r="C541" s="13" t="s">
        <v>4745</v>
      </c>
      <c r="D541" s="13" t="s">
        <v>6183</v>
      </c>
      <c r="E541" s="8"/>
      <c r="F541" s="7" t="s">
        <v>4348</v>
      </c>
      <c r="G541" s="7" t="s">
        <v>25</v>
      </c>
      <c r="H541" s="58"/>
      <c r="I541" s="23"/>
      <c r="J541" s="24"/>
      <c r="M541" s="4"/>
      <c r="N541" s="76"/>
      <c r="O541" s="76"/>
      <c r="P541" s="76" t="str">
        <f t="shared" si="60"/>
        <v>,shikkan523_start_date</v>
      </c>
      <c r="Q541" s="76" t="str">
        <f t="shared" si="61"/>
        <v>DATE</v>
      </c>
      <c r="R541" s="76" t="str">
        <f t="shared" si="62"/>
        <v/>
      </c>
      <c r="S541" s="76" t="str">
        <f t="shared" si="63"/>
        <v/>
      </c>
      <c r="T541" s="76" t="str">
        <f t="shared" si="64"/>
        <v>-- E145_疾患開始日</v>
      </c>
      <c r="U541" s="4" t="str">
        <f t="shared" si="65"/>
        <v>, CASE WHEN shikkan_disp_name = 'E145' THEN min_shikkan_start_date ::DATE ELSE NULL END AS shikkan523_start_date</v>
      </c>
      <c r="V541" s="25" t="str">
        <f t="shared" si="66"/>
        <v>, max(shikkan523_start_date)</v>
      </c>
      <c r="AA541" s="4"/>
      <c r="AB541" s="4"/>
      <c r="AC541" s="4"/>
      <c r="AD541" s="4"/>
      <c r="AE541" s="4"/>
      <c r="AF541" s="4"/>
      <c r="AG541" s="4"/>
      <c r="AH541" s="4"/>
      <c r="AI541" s="4"/>
      <c r="AJ541" s="76" t="str">
        <f>IF(E541="○",IF(COUNTA(E$13:E541)=1,"",",")&amp;D541,"")</f>
        <v/>
      </c>
      <c r="AK541" s="4"/>
      <c r="AL541" s="4"/>
      <c r="AM541" s="4"/>
      <c r="AN541" s="4"/>
      <c r="AO541" s="4"/>
      <c r="AP541" s="4"/>
      <c r="AQ541" s="4"/>
      <c r="AR541" s="4"/>
      <c r="AS541" s="76" t="str">
        <f>"COMMENT ON COLUMN "&amp;エンティティ一覧!$O$2&amp;"."&amp;D$8&amp;"."&amp;D541&amp;" IS '"&amp;C541&amp;"';"</f>
        <v>COMMENT ON COLUMN milscm_2023_009.sny_202310_annony_bef2.shikkan523_start_date IS 'E145_疾患開始日';</v>
      </c>
    </row>
    <row r="542" spans="1:45" s="25" customFormat="1">
      <c r="A542" s="4" t="s">
        <v>5110</v>
      </c>
      <c r="B542" s="21">
        <f t="shared" si="67"/>
        <v>530</v>
      </c>
      <c r="C542" s="13" t="s">
        <v>4720</v>
      </c>
      <c r="D542" s="13" t="s">
        <v>6184</v>
      </c>
      <c r="E542" s="8"/>
      <c r="F542" s="7" t="s">
        <v>4348</v>
      </c>
      <c r="G542" s="7" t="s">
        <v>25</v>
      </c>
      <c r="H542" s="58"/>
      <c r="I542" s="23"/>
      <c r="J542" s="24"/>
      <c r="M542" s="4"/>
      <c r="N542" s="76"/>
      <c r="O542" s="76"/>
      <c r="P542" s="76" t="str">
        <f t="shared" si="60"/>
        <v>,shikkan524_start_date</v>
      </c>
      <c r="Q542" s="76" t="str">
        <f t="shared" si="61"/>
        <v>DATE</v>
      </c>
      <c r="R542" s="76" t="str">
        <f t="shared" si="62"/>
        <v/>
      </c>
      <c r="S542" s="76" t="str">
        <f t="shared" si="63"/>
        <v/>
      </c>
      <c r="T542" s="76" t="str">
        <f t="shared" si="64"/>
        <v>-- E146_疾患開始日</v>
      </c>
      <c r="U542" s="4" t="str">
        <f t="shared" si="65"/>
        <v>, CASE WHEN shikkan_disp_name = 'E146' THEN min_shikkan_start_date ::DATE ELSE NULL END AS shikkan524_start_date</v>
      </c>
      <c r="V542" s="25" t="str">
        <f t="shared" si="66"/>
        <v>, max(shikkan524_start_date)</v>
      </c>
      <c r="AA542" s="4"/>
      <c r="AB542" s="4"/>
      <c r="AC542" s="4"/>
      <c r="AD542" s="4"/>
      <c r="AE542" s="4"/>
      <c r="AF542" s="4"/>
      <c r="AG542" s="4"/>
      <c r="AH542" s="4"/>
      <c r="AI542" s="4"/>
      <c r="AJ542" s="76" t="str">
        <f>IF(E542="○",IF(COUNTA(E$13:E542)=1,"",",")&amp;D542,"")</f>
        <v/>
      </c>
      <c r="AK542" s="4"/>
      <c r="AL542" s="4"/>
      <c r="AM542" s="4"/>
      <c r="AN542" s="4"/>
      <c r="AO542" s="4"/>
      <c r="AP542" s="4"/>
      <c r="AQ542" s="4"/>
      <c r="AR542" s="4"/>
      <c r="AS542" s="76" t="str">
        <f>"COMMENT ON COLUMN "&amp;エンティティ一覧!$O$2&amp;"."&amp;D$8&amp;"."&amp;D542&amp;" IS '"&amp;C542&amp;"';"</f>
        <v>COMMENT ON COLUMN milscm_2023_009.sny_202310_annony_bef2.shikkan524_start_date IS 'E146_疾患開始日';</v>
      </c>
    </row>
    <row r="543" spans="1:45" s="25" customFormat="1">
      <c r="A543" s="4" t="s">
        <v>5136</v>
      </c>
      <c r="B543" s="21">
        <f t="shared" si="67"/>
        <v>531</v>
      </c>
      <c r="C543" s="13" t="s">
        <v>4746</v>
      </c>
      <c r="D543" s="13" t="s">
        <v>6185</v>
      </c>
      <c r="E543" s="8"/>
      <c r="F543" s="7" t="s">
        <v>4348</v>
      </c>
      <c r="G543" s="7" t="s">
        <v>25</v>
      </c>
      <c r="H543" s="58"/>
      <c r="I543" s="23"/>
      <c r="J543" s="24"/>
      <c r="M543" s="4"/>
      <c r="N543" s="76"/>
      <c r="O543" s="76"/>
      <c r="P543" s="76" t="str">
        <f t="shared" si="60"/>
        <v>,shikkan525_start_date</v>
      </c>
      <c r="Q543" s="76" t="str">
        <f t="shared" si="61"/>
        <v>DATE</v>
      </c>
      <c r="R543" s="76" t="str">
        <f t="shared" si="62"/>
        <v/>
      </c>
      <c r="S543" s="76" t="str">
        <f t="shared" si="63"/>
        <v/>
      </c>
      <c r="T543" s="76" t="str">
        <f t="shared" si="64"/>
        <v>-- E147_疾患開始日</v>
      </c>
      <c r="U543" s="4" t="str">
        <f t="shared" si="65"/>
        <v>, CASE WHEN shikkan_disp_name = 'E147' THEN min_shikkan_start_date ::DATE ELSE NULL END AS shikkan525_start_date</v>
      </c>
      <c r="V543" s="25" t="str">
        <f t="shared" si="66"/>
        <v>, max(shikkan525_start_date)</v>
      </c>
      <c r="AA543" s="4"/>
      <c r="AB543" s="4"/>
      <c r="AC543" s="4"/>
      <c r="AD543" s="4"/>
      <c r="AE543" s="4"/>
      <c r="AF543" s="4"/>
      <c r="AG543" s="4"/>
      <c r="AH543" s="4"/>
      <c r="AI543" s="4"/>
      <c r="AJ543" s="76" t="str">
        <f>IF(E543="○",IF(COUNTA(E$13:E543)=1,"",",")&amp;D543,"")</f>
        <v/>
      </c>
      <c r="AK543" s="4"/>
      <c r="AL543" s="4"/>
      <c r="AM543" s="4"/>
      <c r="AN543" s="4"/>
      <c r="AO543" s="4"/>
      <c r="AP543" s="4"/>
      <c r="AQ543" s="4"/>
      <c r="AR543" s="4"/>
      <c r="AS543" s="76" t="str">
        <f>"COMMENT ON COLUMN "&amp;エンティティ一覧!$O$2&amp;"."&amp;D$8&amp;"."&amp;D543&amp;" IS '"&amp;C543&amp;"';"</f>
        <v>COMMENT ON COLUMN milscm_2023_009.sny_202310_annony_bef2.shikkan525_start_date IS 'E147_疾患開始日';</v>
      </c>
    </row>
    <row r="544" spans="1:45" s="25" customFormat="1">
      <c r="A544" s="4" t="s">
        <v>5111</v>
      </c>
      <c r="B544" s="21">
        <f t="shared" si="67"/>
        <v>532</v>
      </c>
      <c r="C544" s="13" t="s">
        <v>4721</v>
      </c>
      <c r="D544" s="13" t="s">
        <v>6186</v>
      </c>
      <c r="E544" s="8"/>
      <c r="F544" s="7" t="s">
        <v>4348</v>
      </c>
      <c r="G544" s="7" t="s">
        <v>25</v>
      </c>
      <c r="H544" s="58"/>
      <c r="I544" s="23"/>
      <c r="J544" s="24"/>
      <c r="M544" s="4"/>
      <c r="N544" s="76"/>
      <c r="O544" s="76"/>
      <c r="P544" s="76" t="str">
        <f t="shared" si="60"/>
        <v>,shikkan526_start_date</v>
      </c>
      <c r="Q544" s="76" t="str">
        <f t="shared" si="61"/>
        <v>DATE</v>
      </c>
      <c r="R544" s="76" t="str">
        <f t="shared" si="62"/>
        <v/>
      </c>
      <c r="S544" s="76" t="str">
        <f t="shared" si="63"/>
        <v/>
      </c>
      <c r="T544" s="76" t="str">
        <f t="shared" si="64"/>
        <v>-- E148_疾患開始日</v>
      </c>
      <c r="U544" s="4" t="str">
        <f t="shared" si="65"/>
        <v>, CASE WHEN shikkan_disp_name = 'E148' THEN min_shikkan_start_date ::DATE ELSE NULL END AS shikkan526_start_date</v>
      </c>
      <c r="V544" s="25" t="str">
        <f t="shared" si="66"/>
        <v>, max(shikkan526_start_date)</v>
      </c>
      <c r="AA544" s="4"/>
      <c r="AB544" s="4"/>
      <c r="AC544" s="4"/>
      <c r="AD544" s="4"/>
      <c r="AE544" s="4"/>
      <c r="AF544" s="4"/>
      <c r="AG544" s="4"/>
      <c r="AH544" s="4"/>
      <c r="AI544" s="4"/>
      <c r="AJ544" s="76" t="str">
        <f>IF(E544="○",IF(COUNTA(E$13:E544)=1,"",",")&amp;D544,"")</f>
        <v/>
      </c>
      <c r="AK544" s="4"/>
      <c r="AL544" s="4"/>
      <c r="AM544" s="4"/>
      <c r="AN544" s="4"/>
      <c r="AO544" s="4"/>
      <c r="AP544" s="4"/>
      <c r="AQ544" s="4"/>
      <c r="AR544" s="4"/>
      <c r="AS544" s="76" t="str">
        <f>"COMMENT ON COLUMN "&amp;エンティティ一覧!$O$2&amp;"."&amp;D$8&amp;"."&amp;D544&amp;" IS '"&amp;C544&amp;"';"</f>
        <v>COMMENT ON COLUMN milscm_2023_009.sny_202310_annony_bef2.shikkan526_start_date IS 'E148_疾患開始日';</v>
      </c>
    </row>
    <row r="545" spans="1:45" s="25" customFormat="1">
      <c r="A545" s="4" t="s">
        <v>5112</v>
      </c>
      <c r="B545" s="21">
        <f t="shared" si="67"/>
        <v>533</v>
      </c>
      <c r="C545" s="13" t="s">
        <v>4722</v>
      </c>
      <c r="D545" s="13" t="s">
        <v>6187</v>
      </c>
      <c r="E545" s="8"/>
      <c r="F545" s="7" t="s">
        <v>4348</v>
      </c>
      <c r="G545" s="7" t="s">
        <v>25</v>
      </c>
      <c r="H545" s="58"/>
      <c r="I545" s="23"/>
      <c r="J545" s="24"/>
      <c r="M545" s="4"/>
      <c r="N545" s="76"/>
      <c r="O545" s="76"/>
      <c r="P545" s="76" t="str">
        <f t="shared" si="60"/>
        <v>,shikkan527_start_date</v>
      </c>
      <c r="Q545" s="76" t="str">
        <f t="shared" si="61"/>
        <v>DATE</v>
      </c>
      <c r="R545" s="76" t="str">
        <f t="shared" si="62"/>
        <v/>
      </c>
      <c r="S545" s="76" t="str">
        <f t="shared" si="63"/>
        <v/>
      </c>
      <c r="T545" s="76" t="str">
        <f t="shared" si="64"/>
        <v>-- E149_疾患開始日</v>
      </c>
      <c r="U545" s="4" t="str">
        <f t="shared" si="65"/>
        <v>, CASE WHEN shikkan_disp_name = 'E149' THEN min_shikkan_start_date ::DATE ELSE NULL END AS shikkan527_start_date</v>
      </c>
      <c r="V545" s="25" t="str">
        <f t="shared" si="66"/>
        <v>, max(shikkan527_start_date)</v>
      </c>
      <c r="AA545" s="4"/>
      <c r="AB545" s="4"/>
      <c r="AC545" s="4"/>
      <c r="AD545" s="4"/>
      <c r="AE545" s="4"/>
      <c r="AF545" s="4"/>
      <c r="AG545" s="4"/>
      <c r="AH545" s="4"/>
      <c r="AI545" s="4"/>
      <c r="AJ545" s="76" t="str">
        <f>IF(E545="○",IF(COUNTA(E$13:E545)=1,"",",")&amp;D545,"")</f>
        <v/>
      </c>
      <c r="AK545" s="4"/>
      <c r="AL545" s="4"/>
      <c r="AM545" s="4"/>
      <c r="AN545" s="4"/>
      <c r="AO545" s="4"/>
      <c r="AP545" s="4"/>
      <c r="AQ545" s="4"/>
      <c r="AR545" s="4"/>
      <c r="AS545" s="76" t="str">
        <f>"COMMENT ON COLUMN "&amp;エンティティ一覧!$O$2&amp;"."&amp;D$8&amp;"."&amp;D545&amp;" IS '"&amp;C545&amp;"';"</f>
        <v>COMMENT ON COLUMN milscm_2023_009.sny_202310_annony_bef2.shikkan527_start_date IS 'E149_疾患開始日';</v>
      </c>
    </row>
    <row r="546" spans="1:45" s="25" customFormat="1">
      <c r="A546" s="4" t="s">
        <v>5620</v>
      </c>
      <c r="B546" s="21">
        <f t="shared" si="67"/>
        <v>534</v>
      </c>
      <c r="C546" s="13" t="s">
        <v>7010</v>
      </c>
      <c r="D546" s="13" t="s">
        <v>6188</v>
      </c>
      <c r="E546" s="8"/>
      <c r="F546" s="7" t="s">
        <v>4348</v>
      </c>
      <c r="G546" s="7" t="s">
        <v>99</v>
      </c>
      <c r="H546" s="58"/>
      <c r="I546" s="23"/>
      <c r="J546" s="24"/>
      <c r="M546" s="4"/>
      <c r="N546" s="76"/>
      <c r="O546" s="76"/>
      <c r="P546" s="76" t="str">
        <f t="shared" si="60"/>
        <v>,shikkan528_start_date</v>
      </c>
      <c r="Q546" s="76" t="str">
        <f t="shared" si="61"/>
        <v>DATE</v>
      </c>
      <c r="R546" s="76" t="str">
        <f t="shared" si="62"/>
        <v/>
      </c>
      <c r="S546" s="76" t="str">
        <f t="shared" si="63"/>
        <v/>
      </c>
      <c r="T546" s="76" t="str">
        <f t="shared" si="64"/>
        <v>-- F000_疾患開始日</v>
      </c>
      <c r="U546" s="4" t="str">
        <f t="shared" si="65"/>
        <v>, CASE WHEN shikkan_disp_name = 'F000' THEN min_shikkan_start_date ::DATE ELSE NULL END AS shikkan528_start_date</v>
      </c>
      <c r="V546" s="25" t="str">
        <f t="shared" si="66"/>
        <v>, max(shikkan528_start_date)</v>
      </c>
      <c r="AA546" s="4"/>
      <c r="AB546" s="4"/>
      <c r="AC546" s="4"/>
      <c r="AD546" s="4"/>
      <c r="AE546" s="4"/>
      <c r="AF546" s="4"/>
      <c r="AG546" s="4"/>
      <c r="AH546" s="4"/>
      <c r="AI546" s="4"/>
      <c r="AJ546" s="76" t="str">
        <f>IF(E546="○",IF(COUNTA(E$13:E546)=1,"",",")&amp;D546,"")</f>
        <v/>
      </c>
      <c r="AK546" s="4"/>
      <c r="AL546" s="4"/>
      <c r="AM546" s="4"/>
      <c r="AN546" s="4"/>
      <c r="AO546" s="4"/>
      <c r="AP546" s="4"/>
      <c r="AQ546" s="4"/>
      <c r="AR546" s="4"/>
      <c r="AS546" s="76" t="str">
        <f>"COMMENT ON COLUMN "&amp;エンティティ一覧!$O$2&amp;"."&amp;D$8&amp;"."&amp;D546&amp;" IS '"&amp;C546&amp;"';"</f>
        <v>COMMENT ON COLUMN milscm_2023_009.sny_202310_annony_bef2.shikkan528_start_date IS 'F000_疾患開始日';</v>
      </c>
    </row>
    <row r="547" spans="1:45" s="25" customFormat="1">
      <c r="A547" s="4" t="s">
        <v>5621</v>
      </c>
      <c r="B547" s="21">
        <f t="shared" si="67"/>
        <v>535</v>
      </c>
      <c r="C547" s="13" t="s">
        <v>7011</v>
      </c>
      <c r="D547" s="13" t="s">
        <v>6189</v>
      </c>
      <c r="E547" s="8"/>
      <c r="F547" s="7" t="s">
        <v>4348</v>
      </c>
      <c r="G547" s="7" t="s">
        <v>25</v>
      </c>
      <c r="H547" s="58"/>
      <c r="I547" s="23"/>
      <c r="J547" s="24"/>
      <c r="M547" s="4"/>
      <c r="N547" s="76"/>
      <c r="O547" s="76"/>
      <c r="P547" s="76" t="str">
        <f t="shared" si="60"/>
        <v>,shikkan529_start_date</v>
      </c>
      <c r="Q547" s="76" t="str">
        <f t="shared" si="61"/>
        <v>DATE</v>
      </c>
      <c r="R547" s="76" t="str">
        <f t="shared" si="62"/>
        <v/>
      </c>
      <c r="S547" s="76" t="str">
        <f t="shared" si="63"/>
        <v/>
      </c>
      <c r="T547" s="76" t="str">
        <f t="shared" si="64"/>
        <v>-- F001_疾患開始日</v>
      </c>
      <c r="U547" s="4" t="str">
        <f t="shared" si="65"/>
        <v>, CASE WHEN shikkan_disp_name = 'F001' THEN min_shikkan_start_date ::DATE ELSE NULL END AS shikkan529_start_date</v>
      </c>
      <c r="V547" s="25" t="str">
        <f t="shared" si="66"/>
        <v>, max(shikkan529_start_date)</v>
      </c>
      <c r="AA547" s="4"/>
      <c r="AB547" s="4"/>
      <c r="AC547" s="4"/>
      <c r="AD547" s="4"/>
      <c r="AE547" s="4"/>
      <c r="AF547" s="4"/>
      <c r="AG547" s="4"/>
      <c r="AH547" s="4"/>
      <c r="AI547" s="4"/>
      <c r="AJ547" s="76" t="str">
        <f>IF(E547="○",IF(COUNTA(E$13:E547)=1,"",",")&amp;D547,"")</f>
        <v/>
      </c>
      <c r="AK547" s="4"/>
      <c r="AL547" s="4"/>
      <c r="AM547" s="4"/>
      <c r="AN547" s="4"/>
      <c r="AO547" s="4"/>
      <c r="AP547" s="4"/>
      <c r="AQ547" s="4"/>
      <c r="AR547" s="4"/>
      <c r="AS547" s="76" t="str">
        <f>"COMMENT ON COLUMN "&amp;エンティティ一覧!$O$2&amp;"."&amp;D$8&amp;"."&amp;D547&amp;" IS '"&amp;C547&amp;"';"</f>
        <v>COMMENT ON COLUMN milscm_2023_009.sny_202310_annony_bef2.shikkan529_start_date IS 'F001_疾患開始日';</v>
      </c>
    </row>
    <row r="548" spans="1:45" s="25" customFormat="1">
      <c r="A548" s="4" t="s">
        <v>5622</v>
      </c>
      <c r="B548" s="21">
        <f t="shared" si="67"/>
        <v>536</v>
      </c>
      <c r="C548" s="13" t="s">
        <v>7012</v>
      </c>
      <c r="D548" s="13" t="s">
        <v>6190</v>
      </c>
      <c r="E548" s="8"/>
      <c r="F548" s="7" t="s">
        <v>4348</v>
      </c>
      <c r="G548" s="7" t="s">
        <v>25</v>
      </c>
      <c r="H548" s="58"/>
      <c r="I548" s="23"/>
      <c r="J548" s="24"/>
      <c r="M548" s="4"/>
      <c r="N548" s="76"/>
      <c r="O548" s="76"/>
      <c r="P548" s="76" t="str">
        <f t="shared" ref="P548:P611" si="68">IF(B548&lt;&gt;1,","&amp;D548,D548)</f>
        <v>,shikkan530_start_date</v>
      </c>
      <c r="Q548" s="76" t="str">
        <f t="shared" ref="Q548:Q611" si="69">UPPER(G548)</f>
        <v>DATE</v>
      </c>
      <c r="R548" s="76" t="str">
        <f t="shared" ref="R548:R611" si="70">IF(H548&lt;&gt;"","default "&amp;IF(G548="text","'"&amp;H548&amp;"'",H548),"")</f>
        <v/>
      </c>
      <c r="S548" s="76" t="str">
        <f t="shared" ref="S548:S611" si="71">IF(I548="○","NOT NULL","")</f>
        <v/>
      </c>
      <c r="T548" s="76" t="str">
        <f t="shared" ref="T548:T611" si="72">"-- "&amp;C548</f>
        <v>-- F002_疾患開始日</v>
      </c>
      <c r="U548" s="4" t="str">
        <f t="shared" si="65"/>
        <v>, CASE WHEN shikkan_disp_name = 'F002' THEN min_shikkan_start_date ::DATE ELSE NULL END AS shikkan530_start_date</v>
      </c>
      <c r="V548" s="25" t="str">
        <f t="shared" si="66"/>
        <v>, max(shikkan530_start_date)</v>
      </c>
      <c r="AA548" s="4"/>
      <c r="AB548" s="4"/>
      <c r="AC548" s="4"/>
      <c r="AD548" s="4"/>
      <c r="AE548" s="4"/>
      <c r="AF548" s="4"/>
      <c r="AG548" s="4"/>
      <c r="AH548" s="4"/>
      <c r="AI548" s="4"/>
      <c r="AJ548" s="76" t="str">
        <f>IF(E548="○",IF(COUNTA(E$13:E548)=1,"",",")&amp;D548,"")</f>
        <v/>
      </c>
      <c r="AK548" s="4"/>
      <c r="AL548" s="4"/>
      <c r="AM548" s="4"/>
      <c r="AN548" s="4"/>
      <c r="AO548" s="4"/>
      <c r="AP548" s="4"/>
      <c r="AQ548" s="4"/>
      <c r="AR548" s="4"/>
      <c r="AS548" s="76" t="str">
        <f>"COMMENT ON COLUMN "&amp;エンティティ一覧!$O$2&amp;"."&amp;D$8&amp;"."&amp;D548&amp;" IS '"&amp;C548&amp;"';"</f>
        <v>COMMENT ON COLUMN milscm_2023_009.sny_202310_annony_bef2.shikkan530_start_date IS 'F002_疾患開始日';</v>
      </c>
    </row>
    <row r="549" spans="1:45" s="25" customFormat="1">
      <c r="A549" s="4" t="s">
        <v>5623</v>
      </c>
      <c r="B549" s="21">
        <f t="shared" si="67"/>
        <v>537</v>
      </c>
      <c r="C549" s="13" t="s">
        <v>7013</v>
      </c>
      <c r="D549" s="13" t="s">
        <v>6191</v>
      </c>
      <c r="E549" s="8"/>
      <c r="F549" s="7" t="s">
        <v>4348</v>
      </c>
      <c r="G549" s="7" t="s">
        <v>25</v>
      </c>
      <c r="H549" s="58"/>
      <c r="I549" s="23"/>
      <c r="J549" s="24"/>
      <c r="M549" s="4"/>
      <c r="N549" s="76"/>
      <c r="O549" s="76"/>
      <c r="P549" s="76" t="str">
        <f t="shared" si="68"/>
        <v>,shikkan531_start_date</v>
      </c>
      <c r="Q549" s="76" t="str">
        <f t="shared" si="69"/>
        <v>DATE</v>
      </c>
      <c r="R549" s="76" t="str">
        <f t="shared" si="70"/>
        <v/>
      </c>
      <c r="S549" s="76" t="str">
        <f t="shared" si="71"/>
        <v/>
      </c>
      <c r="T549" s="76" t="str">
        <f t="shared" si="72"/>
        <v>-- F009_疾患開始日</v>
      </c>
      <c r="U549" s="4" t="str">
        <f t="shared" si="65"/>
        <v>, CASE WHEN shikkan_disp_name = 'F009' THEN min_shikkan_start_date ::DATE ELSE NULL END AS shikkan531_start_date</v>
      </c>
      <c r="V549" s="25" t="str">
        <f t="shared" si="66"/>
        <v>, max(shikkan531_start_date)</v>
      </c>
      <c r="AA549" s="4"/>
      <c r="AB549" s="4"/>
      <c r="AC549" s="4"/>
      <c r="AD549" s="4"/>
      <c r="AE549" s="4"/>
      <c r="AF549" s="4"/>
      <c r="AG549" s="4"/>
      <c r="AH549" s="4"/>
      <c r="AI549" s="4"/>
      <c r="AJ549" s="76" t="str">
        <f>IF(E549="○",IF(COUNTA(E$13:E549)=1,"",",")&amp;D549,"")</f>
        <v/>
      </c>
      <c r="AK549" s="4"/>
      <c r="AL549" s="4"/>
      <c r="AM549" s="4"/>
      <c r="AN549" s="4"/>
      <c r="AO549" s="4"/>
      <c r="AP549" s="4"/>
      <c r="AQ549" s="4"/>
      <c r="AR549" s="4"/>
      <c r="AS549" s="76" t="str">
        <f>"COMMENT ON COLUMN "&amp;エンティティ一覧!$O$2&amp;"."&amp;D$8&amp;"."&amp;D549&amp;" IS '"&amp;C549&amp;"';"</f>
        <v>COMMENT ON COLUMN milscm_2023_009.sny_202310_annony_bef2.shikkan531_start_date IS 'F009_疾患開始日';</v>
      </c>
    </row>
    <row r="550" spans="1:45" s="25" customFormat="1">
      <c r="A550" s="4" t="s">
        <v>5624</v>
      </c>
      <c r="B550" s="21">
        <f t="shared" si="67"/>
        <v>538</v>
      </c>
      <c r="C550" s="13" t="s">
        <v>7014</v>
      </c>
      <c r="D550" s="13" t="s">
        <v>6192</v>
      </c>
      <c r="E550" s="8"/>
      <c r="F550" s="7" t="s">
        <v>4348</v>
      </c>
      <c r="G550" s="7" t="s">
        <v>25</v>
      </c>
      <c r="H550" s="58"/>
      <c r="I550" s="23"/>
      <c r="J550" s="24"/>
      <c r="M550" s="4"/>
      <c r="N550" s="76"/>
      <c r="O550" s="76"/>
      <c r="P550" s="76" t="str">
        <f t="shared" si="68"/>
        <v>,shikkan532_start_date</v>
      </c>
      <c r="Q550" s="76" t="str">
        <f t="shared" si="69"/>
        <v>DATE</v>
      </c>
      <c r="R550" s="76" t="str">
        <f t="shared" si="70"/>
        <v/>
      </c>
      <c r="S550" s="76" t="str">
        <f t="shared" si="71"/>
        <v/>
      </c>
      <c r="T550" s="76" t="str">
        <f t="shared" si="72"/>
        <v>-- F010_疾患開始日</v>
      </c>
      <c r="U550" s="4" t="str">
        <f t="shared" si="65"/>
        <v>, CASE WHEN shikkan_disp_name = 'F010' THEN min_shikkan_start_date ::DATE ELSE NULL END AS shikkan532_start_date</v>
      </c>
      <c r="V550" s="25" t="str">
        <f t="shared" si="66"/>
        <v>, max(shikkan532_start_date)</v>
      </c>
      <c r="AA550" s="4"/>
      <c r="AB550" s="4"/>
      <c r="AC550" s="4"/>
      <c r="AD550" s="4"/>
      <c r="AE550" s="4"/>
      <c r="AF550" s="4"/>
      <c r="AG550" s="4"/>
      <c r="AH550" s="4"/>
      <c r="AI550" s="4"/>
      <c r="AJ550" s="76" t="str">
        <f>IF(E550="○",IF(COUNTA(E$13:E550)=1,"",",")&amp;D550,"")</f>
        <v/>
      </c>
      <c r="AK550" s="4"/>
      <c r="AL550" s="4"/>
      <c r="AM550" s="4"/>
      <c r="AN550" s="4"/>
      <c r="AO550" s="4"/>
      <c r="AP550" s="4"/>
      <c r="AQ550" s="4"/>
      <c r="AR550" s="4"/>
      <c r="AS550" s="76" t="str">
        <f>"COMMENT ON COLUMN "&amp;エンティティ一覧!$O$2&amp;"."&amp;D$8&amp;"."&amp;D550&amp;" IS '"&amp;C550&amp;"';"</f>
        <v>COMMENT ON COLUMN milscm_2023_009.sny_202310_annony_bef2.shikkan532_start_date IS 'F010_疾患開始日';</v>
      </c>
    </row>
    <row r="551" spans="1:45" s="25" customFormat="1">
      <c r="A551" s="4" t="s">
        <v>5625</v>
      </c>
      <c r="B551" s="21">
        <f t="shared" si="67"/>
        <v>539</v>
      </c>
      <c r="C551" s="13" t="s">
        <v>7015</v>
      </c>
      <c r="D551" s="13" t="s">
        <v>6193</v>
      </c>
      <c r="E551" s="8"/>
      <c r="F551" s="7" t="s">
        <v>4348</v>
      </c>
      <c r="G551" s="7" t="s">
        <v>25</v>
      </c>
      <c r="H551" s="58"/>
      <c r="I551" s="23"/>
      <c r="J551" s="24"/>
      <c r="M551" s="4"/>
      <c r="N551" s="76"/>
      <c r="O551" s="76"/>
      <c r="P551" s="76" t="str">
        <f t="shared" si="68"/>
        <v>,shikkan533_start_date</v>
      </c>
      <c r="Q551" s="76" t="str">
        <f t="shared" si="69"/>
        <v>DATE</v>
      </c>
      <c r="R551" s="76" t="str">
        <f t="shared" si="70"/>
        <v/>
      </c>
      <c r="S551" s="76" t="str">
        <f t="shared" si="71"/>
        <v/>
      </c>
      <c r="T551" s="76" t="str">
        <f t="shared" si="72"/>
        <v>-- F011_疾患開始日</v>
      </c>
      <c r="U551" s="4" t="str">
        <f t="shared" si="65"/>
        <v>, CASE WHEN shikkan_disp_name = 'F011' THEN min_shikkan_start_date ::DATE ELSE NULL END AS shikkan533_start_date</v>
      </c>
      <c r="V551" s="25" t="str">
        <f t="shared" si="66"/>
        <v>, max(shikkan533_start_date)</v>
      </c>
      <c r="AA551" s="4"/>
      <c r="AB551" s="4"/>
      <c r="AC551" s="4"/>
      <c r="AD551" s="4"/>
      <c r="AE551" s="4"/>
      <c r="AF551" s="4"/>
      <c r="AG551" s="4"/>
      <c r="AH551" s="4"/>
      <c r="AI551" s="4"/>
      <c r="AJ551" s="76" t="str">
        <f>IF(E551="○",IF(COUNTA(E$13:E551)=1,"",",")&amp;D551,"")</f>
        <v/>
      </c>
      <c r="AK551" s="4"/>
      <c r="AL551" s="4"/>
      <c r="AM551" s="4"/>
      <c r="AN551" s="4"/>
      <c r="AO551" s="4"/>
      <c r="AP551" s="4"/>
      <c r="AQ551" s="4"/>
      <c r="AR551" s="4"/>
      <c r="AS551" s="76" t="str">
        <f>"COMMENT ON COLUMN "&amp;エンティティ一覧!$O$2&amp;"."&amp;D$8&amp;"."&amp;D551&amp;" IS '"&amp;C551&amp;"';"</f>
        <v>COMMENT ON COLUMN milscm_2023_009.sny_202310_annony_bef2.shikkan533_start_date IS 'F011_疾患開始日';</v>
      </c>
    </row>
    <row r="552" spans="1:45" s="25" customFormat="1">
      <c r="A552" s="4" t="s">
        <v>5626</v>
      </c>
      <c r="B552" s="21">
        <f t="shared" si="67"/>
        <v>540</v>
      </c>
      <c r="C552" s="13" t="s">
        <v>7016</v>
      </c>
      <c r="D552" s="13" t="s">
        <v>6194</v>
      </c>
      <c r="E552" s="8"/>
      <c r="F552" s="7" t="s">
        <v>4348</v>
      </c>
      <c r="G552" s="7" t="s">
        <v>25</v>
      </c>
      <c r="H552" s="58"/>
      <c r="I552" s="23"/>
      <c r="J552" s="24"/>
      <c r="M552" s="4"/>
      <c r="N552" s="76"/>
      <c r="O552" s="76"/>
      <c r="P552" s="76" t="str">
        <f t="shared" si="68"/>
        <v>,shikkan534_start_date</v>
      </c>
      <c r="Q552" s="76" t="str">
        <f t="shared" si="69"/>
        <v>DATE</v>
      </c>
      <c r="R552" s="76" t="str">
        <f t="shared" si="70"/>
        <v/>
      </c>
      <c r="S552" s="76" t="str">
        <f t="shared" si="71"/>
        <v/>
      </c>
      <c r="T552" s="76" t="str">
        <f t="shared" si="72"/>
        <v>-- F012_疾患開始日</v>
      </c>
      <c r="U552" s="4" t="str">
        <f t="shared" si="65"/>
        <v>, CASE WHEN shikkan_disp_name = 'F012' THEN min_shikkan_start_date ::DATE ELSE NULL END AS shikkan534_start_date</v>
      </c>
      <c r="V552" s="25" t="str">
        <f t="shared" si="66"/>
        <v>, max(shikkan534_start_date)</v>
      </c>
      <c r="AA552" s="4"/>
      <c r="AB552" s="4"/>
      <c r="AC552" s="4"/>
      <c r="AD552" s="4"/>
      <c r="AE552" s="4"/>
      <c r="AF552" s="4"/>
      <c r="AG552" s="4"/>
      <c r="AH552" s="4"/>
      <c r="AI552" s="4"/>
      <c r="AJ552" s="76" t="str">
        <f>IF(E552="○",IF(COUNTA(E$13:E552)=1,"",",")&amp;D552,"")</f>
        <v/>
      </c>
      <c r="AK552" s="4"/>
      <c r="AL552" s="4"/>
      <c r="AM552" s="4"/>
      <c r="AN552" s="4"/>
      <c r="AO552" s="4"/>
      <c r="AP552" s="4"/>
      <c r="AQ552" s="4"/>
      <c r="AR552" s="4"/>
      <c r="AS552" s="76" t="str">
        <f>"COMMENT ON COLUMN "&amp;エンティティ一覧!$O$2&amp;"."&amp;D$8&amp;"."&amp;D552&amp;" IS '"&amp;C552&amp;"';"</f>
        <v>COMMENT ON COLUMN milscm_2023_009.sny_202310_annony_bef2.shikkan534_start_date IS 'F012_疾患開始日';</v>
      </c>
    </row>
    <row r="553" spans="1:45" s="25" customFormat="1">
      <c r="A553" s="4" t="s">
        <v>5627</v>
      </c>
      <c r="B553" s="21">
        <f t="shared" si="67"/>
        <v>541</v>
      </c>
      <c r="C553" s="13" t="s">
        <v>7017</v>
      </c>
      <c r="D553" s="13" t="s">
        <v>6195</v>
      </c>
      <c r="E553" s="8"/>
      <c r="F553" s="7" t="s">
        <v>4348</v>
      </c>
      <c r="G553" s="7" t="s">
        <v>25</v>
      </c>
      <c r="H553" s="58"/>
      <c r="I553" s="23"/>
      <c r="J553" s="24"/>
      <c r="M553" s="4"/>
      <c r="N553" s="76"/>
      <c r="O553" s="76"/>
      <c r="P553" s="76" t="str">
        <f t="shared" si="68"/>
        <v>,shikkan535_start_date</v>
      </c>
      <c r="Q553" s="76" t="str">
        <f t="shared" si="69"/>
        <v>DATE</v>
      </c>
      <c r="R553" s="76" t="str">
        <f t="shared" si="70"/>
        <v/>
      </c>
      <c r="S553" s="76" t="str">
        <f t="shared" si="71"/>
        <v/>
      </c>
      <c r="T553" s="76" t="str">
        <f t="shared" si="72"/>
        <v>-- F013_疾患開始日</v>
      </c>
      <c r="U553" s="4" t="str">
        <f t="shared" si="65"/>
        <v>, CASE WHEN shikkan_disp_name = 'F013' THEN min_shikkan_start_date ::DATE ELSE NULL END AS shikkan535_start_date</v>
      </c>
      <c r="V553" s="25" t="str">
        <f t="shared" si="66"/>
        <v>, max(shikkan535_start_date)</v>
      </c>
      <c r="AA553" s="4"/>
      <c r="AB553" s="4"/>
      <c r="AC553" s="4"/>
      <c r="AD553" s="4"/>
      <c r="AE553" s="4"/>
      <c r="AF553" s="4"/>
      <c r="AG553" s="4"/>
      <c r="AH553" s="4"/>
      <c r="AI553" s="4"/>
      <c r="AJ553" s="76" t="str">
        <f>IF(E553="○",IF(COUNTA(E$13:E553)=1,"",",")&amp;D553,"")</f>
        <v/>
      </c>
      <c r="AK553" s="4"/>
      <c r="AL553" s="4"/>
      <c r="AM553" s="4"/>
      <c r="AN553" s="4"/>
      <c r="AO553" s="4"/>
      <c r="AP553" s="4"/>
      <c r="AQ553" s="4"/>
      <c r="AR553" s="4"/>
      <c r="AS553" s="76" t="str">
        <f>"COMMENT ON COLUMN "&amp;エンティティ一覧!$O$2&amp;"."&amp;D$8&amp;"."&amp;D553&amp;" IS '"&amp;C553&amp;"';"</f>
        <v>COMMENT ON COLUMN milscm_2023_009.sny_202310_annony_bef2.shikkan535_start_date IS 'F013_疾患開始日';</v>
      </c>
    </row>
    <row r="554" spans="1:45" s="25" customFormat="1">
      <c r="A554" s="4" t="s">
        <v>5628</v>
      </c>
      <c r="B554" s="21">
        <f t="shared" si="67"/>
        <v>542</v>
      </c>
      <c r="C554" s="13" t="s">
        <v>7018</v>
      </c>
      <c r="D554" s="13" t="s">
        <v>6196</v>
      </c>
      <c r="E554" s="8"/>
      <c r="F554" s="7" t="s">
        <v>4348</v>
      </c>
      <c r="G554" s="7" t="s">
        <v>25</v>
      </c>
      <c r="H554" s="58"/>
      <c r="I554" s="23"/>
      <c r="J554" s="24"/>
      <c r="M554" s="4"/>
      <c r="N554" s="76"/>
      <c r="O554" s="76"/>
      <c r="P554" s="76" t="str">
        <f t="shared" si="68"/>
        <v>,shikkan536_start_date</v>
      </c>
      <c r="Q554" s="76" t="str">
        <f t="shared" si="69"/>
        <v>DATE</v>
      </c>
      <c r="R554" s="76" t="str">
        <f t="shared" si="70"/>
        <v/>
      </c>
      <c r="S554" s="76" t="str">
        <f t="shared" si="71"/>
        <v/>
      </c>
      <c r="T554" s="76" t="str">
        <f t="shared" si="72"/>
        <v>-- F018_疾患開始日</v>
      </c>
      <c r="U554" s="4" t="str">
        <f t="shared" si="65"/>
        <v>, CASE WHEN shikkan_disp_name = 'F018' THEN min_shikkan_start_date ::DATE ELSE NULL END AS shikkan536_start_date</v>
      </c>
      <c r="V554" s="25" t="str">
        <f t="shared" si="66"/>
        <v>, max(shikkan536_start_date)</v>
      </c>
      <c r="AA554" s="4"/>
      <c r="AB554" s="4"/>
      <c r="AC554" s="4"/>
      <c r="AD554" s="4"/>
      <c r="AE554" s="4"/>
      <c r="AF554" s="4"/>
      <c r="AG554" s="4"/>
      <c r="AH554" s="4"/>
      <c r="AI554" s="4"/>
      <c r="AJ554" s="76" t="str">
        <f>IF(E554="○",IF(COUNTA(E$13:E554)=1,"",",")&amp;D554,"")</f>
        <v/>
      </c>
      <c r="AK554" s="4"/>
      <c r="AL554" s="4"/>
      <c r="AM554" s="4"/>
      <c r="AN554" s="4"/>
      <c r="AO554" s="4"/>
      <c r="AP554" s="4"/>
      <c r="AQ554" s="4"/>
      <c r="AR554" s="4"/>
      <c r="AS554" s="76" t="str">
        <f>"COMMENT ON COLUMN "&amp;エンティティ一覧!$O$2&amp;"."&amp;D$8&amp;"."&amp;D554&amp;" IS '"&amp;C554&amp;"';"</f>
        <v>COMMENT ON COLUMN milscm_2023_009.sny_202310_annony_bef2.shikkan536_start_date IS 'F018_疾患開始日';</v>
      </c>
    </row>
    <row r="555" spans="1:45" s="25" customFormat="1">
      <c r="A555" s="4" t="s">
        <v>5629</v>
      </c>
      <c r="B555" s="21">
        <f t="shared" si="67"/>
        <v>543</v>
      </c>
      <c r="C555" s="13" t="s">
        <v>7019</v>
      </c>
      <c r="D555" s="13" t="s">
        <v>6197</v>
      </c>
      <c r="E555" s="8"/>
      <c r="F555" s="7" t="s">
        <v>4348</v>
      </c>
      <c r="G555" s="7" t="s">
        <v>25</v>
      </c>
      <c r="H555" s="58"/>
      <c r="I555" s="23"/>
      <c r="J555" s="24"/>
      <c r="M555" s="4"/>
      <c r="N555" s="76"/>
      <c r="O555" s="76"/>
      <c r="P555" s="76" t="str">
        <f t="shared" si="68"/>
        <v>,shikkan537_start_date</v>
      </c>
      <c r="Q555" s="76" t="str">
        <f t="shared" si="69"/>
        <v>DATE</v>
      </c>
      <c r="R555" s="76" t="str">
        <f t="shared" si="70"/>
        <v/>
      </c>
      <c r="S555" s="76" t="str">
        <f t="shared" si="71"/>
        <v/>
      </c>
      <c r="T555" s="76" t="str">
        <f t="shared" si="72"/>
        <v>-- F019_疾患開始日</v>
      </c>
      <c r="U555" s="4" t="str">
        <f t="shared" si="65"/>
        <v>, CASE WHEN shikkan_disp_name = 'F019' THEN min_shikkan_start_date ::DATE ELSE NULL END AS shikkan537_start_date</v>
      </c>
      <c r="V555" s="25" t="str">
        <f t="shared" si="66"/>
        <v>, max(shikkan537_start_date)</v>
      </c>
      <c r="AA555" s="4"/>
      <c r="AB555" s="4"/>
      <c r="AC555" s="4"/>
      <c r="AD555" s="4"/>
      <c r="AE555" s="4"/>
      <c r="AF555" s="4"/>
      <c r="AG555" s="4"/>
      <c r="AH555" s="4"/>
      <c r="AI555" s="4"/>
      <c r="AJ555" s="76" t="str">
        <f>IF(E555="○",IF(COUNTA(E$13:E555)=1,"",",")&amp;D555,"")</f>
        <v/>
      </c>
      <c r="AK555" s="4"/>
      <c r="AL555" s="4"/>
      <c r="AM555" s="4"/>
      <c r="AN555" s="4"/>
      <c r="AO555" s="4"/>
      <c r="AP555" s="4"/>
      <c r="AQ555" s="4"/>
      <c r="AR555" s="4"/>
      <c r="AS555" s="76" t="str">
        <f>"COMMENT ON COLUMN "&amp;エンティティ一覧!$O$2&amp;"."&amp;D$8&amp;"."&amp;D555&amp;" IS '"&amp;C555&amp;"';"</f>
        <v>COMMENT ON COLUMN milscm_2023_009.sny_202310_annony_bef2.shikkan537_start_date IS 'F019_疾患開始日';</v>
      </c>
    </row>
    <row r="556" spans="1:45" s="25" customFormat="1">
      <c r="A556" s="4" t="s">
        <v>5630</v>
      </c>
      <c r="B556" s="21">
        <f t="shared" si="67"/>
        <v>544</v>
      </c>
      <c r="C556" s="13" t="s">
        <v>7020</v>
      </c>
      <c r="D556" s="13" t="s">
        <v>6198</v>
      </c>
      <c r="E556" s="8"/>
      <c r="F556" s="7" t="s">
        <v>4348</v>
      </c>
      <c r="G556" s="7" t="s">
        <v>25</v>
      </c>
      <c r="H556" s="58"/>
      <c r="I556" s="23"/>
      <c r="J556" s="24"/>
      <c r="M556" s="4"/>
      <c r="N556" s="76"/>
      <c r="O556" s="76"/>
      <c r="P556" s="76" t="str">
        <f t="shared" si="68"/>
        <v>,shikkan538_start_date</v>
      </c>
      <c r="Q556" s="76" t="str">
        <f t="shared" si="69"/>
        <v>DATE</v>
      </c>
      <c r="R556" s="76" t="str">
        <f t="shared" si="70"/>
        <v/>
      </c>
      <c r="S556" s="76" t="str">
        <f t="shared" si="71"/>
        <v/>
      </c>
      <c r="T556" s="76" t="str">
        <f t="shared" si="72"/>
        <v>-- F020_疾患開始日</v>
      </c>
      <c r="U556" s="4" t="str">
        <f t="shared" si="65"/>
        <v>, CASE WHEN shikkan_disp_name = 'F020' THEN min_shikkan_start_date ::DATE ELSE NULL END AS shikkan538_start_date</v>
      </c>
      <c r="V556" s="25" t="str">
        <f t="shared" si="66"/>
        <v>, max(shikkan538_start_date)</v>
      </c>
      <c r="AA556" s="4"/>
      <c r="AB556" s="4"/>
      <c r="AC556" s="4"/>
      <c r="AD556" s="4"/>
      <c r="AE556" s="4"/>
      <c r="AF556" s="4"/>
      <c r="AG556" s="4"/>
      <c r="AH556" s="4"/>
      <c r="AI556" s="4"/>
      <c r="AJ556" s="76" t="str">
        <f>IF(E556="○",IF(COUNTA(E$13:E556)=1,"",",")&amp;D556,"")</f>
        <v/>
      </c>
      <c r="AK556" s="4"/>
      <c r="AL556" s="4"/>
      <c r="AM556" s="4"/>
      <c r="AN556" s="4"/>
      <c r="AO556" s="4"/>
      <c r="AP556" s="4"/>
      <c r="AQ556" s="4"/>
      <c r="AR556" s="4"/>
      <c r="AS556" s="76" t="str">
        <f>"COMMENT ON COLUMN "&amp;エンティティ一覧!$O$2&amp;"."&amp;D$8&amp;"."&amp;D556&amp;" IS '"&amp;C556&amp;"';"</f>
        <v>COMMENT ON COLUMN milscm_2023_009.sny_202310_annony_bef2.shikkan538_start_date IS 'F020_疾患開始日';</v>
      </c>
    </row>
    <row r="557" spans="1:45" s="25" customFormat="1">
      <c r="A557" s="4" t="s">
        <v>5631</v>
      </c>
      <c r="B557" s="21">
        <f t="shared" si="67"/>
        <v>545</v>
      </c>
      <c r="C557" s="13" t="s">
        <v>7021</v>
      </c>
      <c r="D557" s="13" t="s">
        <v>6199</v>
      </c>
      <c r="E557" s="8"/>
      <c r="F557" s="7" t="s">
        <v>4348</v>
      </c>
      <c r="G557" s="7" t="s">
        <v>25</v>
      </c>
      <c r="H557" s="58"/>
      <c r="I557" s="23"/>
      <c r="J557" s="24"/>
      <c r="M557" s="4"/>
      <c r="N557" s="76"/>
      <c r="O557" s="76"/>
      <c r="P557" s="76" t="str">
        <f t="shared" si="68"/>
        <v>,shikkan539_start_date</v>
      </c>
      <c r="Q557" s="76" t="str">
        <f t="shared" si="69"/>
        <v>DATE</v>
      </c>
      <c r="R557" s="76" t="str">
        <f t="shared" si="70"/>
        <v/>
      </c>
      <c r="S557" s="76" t="str">
        <f t="shared" si="71"/>
        <v/>
      </c>
      <c r="T557" s="76" t="str">
        <f t="shared" si="72"/>
        <v>-- F021_疾患開始日</v>
      </c>
      <c r="U557" s="4" t="str">
        <f t="shared" si="65"/>
        <v>, CASE WHEN shikkan_disp_name = 'F021' THEN min_shikkan_start_date ::DATE ELSE NULL END AS shikkan539_start_date</v>
      </c>
      <c r="V557" s="25" t="str">
        <f t="shared" si="66"/>
        <v>, max(shikkan539_start_date)</v>
      </c>
      <c r="AA557" s="4"/>
      <c r="AB557" s="4"/>
      <c r="AC557" s="4"/>
      <c r="AD557" s="4"/>
      <c r="AE557" s="4"/>
      <c r="AF557" s="4"/>
      <c r="AG557" s="4"/>
      <c r="AH557" s="4"/>
      <c r="AI557" s="4"/>
      <c r="AJ557" s="76" t="str">
        <f>IF(E557="○",IF(COUNTA(E$13:E557)=1,"",",")&amp;D557,"")</f>
        <v/>
      </c>
      <c r="AK557" s="4"/>
      <c r="AL557" s="4"/>
      <c r="AM557" s="4"/>
      <c r="AN557" s="4"/>
      <c r="AO557" s="4"/>
      <c r="AP557" s="4"/>
      <c r="AQ557" s="4"/>
      <c r="AR557" s="4"/>
      <c r="AS557" s="76" t="str">
        <f>"COMMENT ON COLUMN "&amp;エンティティ一覧!$O$2&amp;"."&amp;D$8&amp;"."&amp;D557&amp;" IS '"&amp;C557&amp;"';"</f>
        <v>COMMENT ON COLUMN milscm_2023_009.sny_202310_annony_bef2.shikkan539_start_date IS 'F021_疾患開始日';</v>
      </c>
    </row>
    <row r="558" spans="1:45" s="25" customFormat="1">
      <c r="A558" s="4" t="s">
        <v>5632</v>
      </c>
      <c r="B558" s="21">
        <f t="shared" si="67"/>
        <v>546</v>
      </c>
      <c r="C558" s="13" t="s">
        <v>7022</v>
      </c>
      <c r="D558" s="13" t="s">
        <v>6200</v>
      </c>
      <c r="E558" s="8"/>
      <c r="F558" s="7" t="s">
        <v>4348</v>
      </c>
      <c r="G558" s="7" t="s">
        <v>25</v>
      </c>
      <c r="H558" s="58"/>
      <c r="I558" s="23"/>
      <c r="J558" s="24"/>
      <c r="M558" s="4"/>
      <c r="N558" s="76"/>
      <c r="O558" s="76"/>
      <c r="P558" s="76" t="str">
        <f t="shared" si="68"/>
        <v>,shikkan540_start_date</v>
      </c>
      <c r="Q558" s="76" t="str">
        <f t="shared" si="69"/>
        <v>DATE</v>
      </c>
      <c r="R558" s="76" t="str">
        <f t="shared" si="70"/>
        <v/>
      </c>
      <c r="S558" s="76" t="str">
        <f t="shared" si="71"/>
        <v/>
      </c>
      <c r="T558" s="76" t="str">
        <f t="shared" si="72"/>
        <v>-- F022_疾患開始日</v>
      </c>
      <c r="U558" s="4" t="str">
        <f t="shared" si="65"/>
        <v>, CASE WHEN shikkan_disp_name = 'F022' THEN min_shikkan_start_date ::DATE ELSE NULL END AS shikkan540_start_date</v>
      </c>
      <c r="V558" s="25" t="str">
        <f t="shared" si="66"/>
        <v>, max(shikkan540_start_date)</v>
      </c>
      <c r="AA558" s="4"/>
      <c r="AB558" s="4"/>
      <c r="AC558" s="4"/>
      <c r="AD558" s="4"/>
      <c r="AE558" s="4"/>
      <c r="AF558" s="4"/>
      <c r="AG558" s="4"/>
      <c r="AH558" s="4"/>
      <c r="AI558" s="4"/>
      <c r="AJ558" s="76" t="str">
        <f>IF(E558="○",IF(COUNTA(E$13:E558)=1,"",",")&amp;D558,"")</f>
        <v/>
      </c>
      <c r="AK558" s="4"/>
      <c r="AL558" s="4"/>
      <c r="AM558" s="4"/>
      <c r="AN558" s="4"/>
      <c r="AO558" s="4"/>
      <c r="AP558" s="4"/>
      <c r="AQ558" s="4"/>
      <c r="AR558" s="4"/>
      <c r="AS558" s="76" t="str">
        <f>"COMMENT ON COLUMN "&amp;エンティティ一覧!$O$2&amp;"."&amp;D$8&amp;"."&amp;D558&amp;" IS '"&amp;C558&amp;"';"</f>
        <v>COMMENT ON COLUMN milscm_2023_009.sny_202310_annony_bef2.shikkan540_start_date IS 'F022_疾患開始日';</v>
      </c>
    </row>
    <row r="559" spans="1:45" s="25" customFormat="1">
      <c r="A559" s="4" t="s">
        <v>5633</v>
      </c>
      <c r="B559" s="21">
        <f t="shared" si="67"/>
        <v>547</v>
      </c>
      <c r="C559" s="13" t="s">
        <v>7023</v>
      </c>
      <c r="D559" s="13" t="s">
        <v>6201</v>
      </c>
      <c r="E559" s="8"/>
      <c r="F559" s="7" t="s">
        <v>4348</v>
      </c>
      <c r="G559" s="7" t="s">
        <v>25</v>
      </c>
      <c r="H559" s="58"/>
      <c r="I559" s="23"/>
      <c r="J559" s="24"/>
      <c r="M559" s="4"/>
      <c r="N559" s="76"/>
      <c r="O559" s="76"/>
      <c r="P559" s="76" t="str">
        <f t="shared" si="68"/>
        <v>,shikkan541_start_date</v>
      </c>
      <c r="Q559" s="76" t="str">
        <f t="shared" si="69"/>
        <v>DATE</v>
      </c>
      <c r="R559" s="76" t="str">
        <f t="shared" si="70"/>
        <v/>
      </c>
      <c r="S559" s="76" t="str">
        <f t="shared" si="71"/>
        <v/>
      </c>
      <c r="T559" s="76" t="str">
        <f t="shared" si="72"/>
        <v>-- F023_疾患開始日</v>
      </c>
      <c r="U559" s="4" t="str">
        <f t="shared" si="65"/>
        <v>, CASE WHEN shikkan_disp_name = 'F023' THEN min_shikkan_start_date ::DATE ELSE NULL END AS shikkan541_start_date</v>
      </c>
      <c r="V559" s="25" t="str">
        <f t="shared" si="66"/>
        <v>, max(shikkan541_start_date)</v>
      </c>
      <c r="AA559" s="4"/>
      <c r="AB559" s="4"/>
      <c r="AC559" s="4"/>
      <c r="AD559" s="4"/>
      <c r="AE559" s="4"/>
      <c r="AF559" s="4"/>
      <c r="AG559" s="4"/>
      <c r="AH559" s="4"/>
      <c r="AI559" s="4"/>
      <c r="AJ559" s="76" t="str">
        <f>IF(E559="○",IF(COUNTA(E$13:E559)=1,"",",")&amp;D559,"")</f>
        <v/>
      </c>
      <c r="AK559" s="4"/>
      <c r="AL559" s="4"/>
      <c r="AM559" s="4"/>
      <c r="AN559" s="4"/>
      <c r="AO559" s="4"/>
      <c r="AP559" s="4"/>
      <c r="AQ559" s="4"/>
      <c r="AR559" s="4"/>
      <c r="AS559" s="76" t="str">
        <f>"COMMENT ON COLUMN "&amp;エンティティ一覧!$O$2&amp;"."&amp;D$8&amp;"."&amp;D559&amp;" IS '"&amp;C559&amp;"';"</f>
        <v>COMMENT ON COLUMN milscm_2023_009.sny_202310_annony_bef2.shikkan541_start_date IS 'F023_疾患開始日';</v>
      </c>
    </row>
    <row r="560" spans="1:45" s="25" customFormat="1">
      <c r="A560" s="4" t="s">
        <v>5634</v>
      </c>
      <c r="B560" s="21">
        <f t="shared" si="67"/>
        <v>548</v>
      </c>
      <c r="C560" s="13" t="s">
        <v>7024</v>
      </c>
      <c r="D560" s="13" t="s">
        <v>6202</v>
      </c>
      <c r="E560" s="8"/>
      <c r="F560" s="7" t="s">
        <v>4348</v>
      </c>
      <c r="G560" s="7" t="s">
        <v>25</v>
      </c>
      <c r="H560" s="58"/>
      <c r="I560" s="23"/>
      <c r="J560" s="24"/>
      <c r="M560" s="4"/>
      <c r="N560" s="76"/>
      <c r="O560" s="76"/>
      <c r="P560" s="76" t="str">
        <f t="shared" si="68"/>
        <v>,shikkan542_start_date</v>
      </c>
      <c r="Q560" s="76" t="str">
        <f t="shared" si="69"/>
        <v>DATE</v>
      </c>
      <c r="R560" s="76" t="str">
        <f t="shared" si="70"/>
        <v/>
      </c>
      <c r="S560" s="76" t="str">
        <f t="shared" si="71"/>
        <v/>
      </c>
      <c r="T560" s="76" t="str">
        <f t="shared" si="72"/>
        <v>-- F024_疾患開始日</v>
      </c>
      <c r="U560" s="4" t="str">
        <f t="shared" si="65"/>
        <v>, CASE WHEN shikkan_disp_name = 'F024' THEN min_shikkan_start_date ::DATE ELSE NULL END AS shikkan542_start_date</v>
      </c>
      <c r="V560" s="25" t="str">
        <f t="shared" si="66"/>
        <v>, max(shikkan542_start_date)</v>
      </c>
      <c r="AA560" s="4"/>
      <c r="AB560" s="4"/>
      <c r="AC560" s="4"/>
      <c r="AD560" s="4"/>
      <c r="AE560" s="4"/>
      <c r="AF560" s="4"/>
      <c r="AG560" s="4"/>
      <c r="AH560" s="4"/>
      <c r="AI560" s="4"/>
      <c r="AJ560" s="76" t="str">
        <f>IF(E560="○",IF(COUNTA(E$13:E560)=1,"",",")&amp;D560,"")</f>
        <v/>
      </c>
      <c r="AK560" s="4"/>
      <c r="AL560" s="4"/>
      <c r="AM560" s="4"/>
      <c r="AN560" s="4"/>
      <c r="AO560" s="4"/>
      <c r="AP560" s="4"/>
      <c r="AQ560" s="4"/>
      <c r="AR560" s="4"/>
      <c r="AS560" s="76" t="str">
        <f>"COMMENT ON COLUMN "&amp;エンティティ一覧!$O$2&amp;"."&amp;D$8&amp;"."&amp;D560&amp;" IS '"&amp;C560&amp;"';"</f>
        <v>COMMENT ON COLUMN milscm_2023_009.sny_202310_annony_bef2.shikkan542_start_date IS 'F024_疾患開始日';</v>
      </c>
    </row>
    <row r="561" spans="1:45" s="25" customFormat="1">
      <c r="A561" s="4" t="s">
        <v>5635</v>
      </c>
      <c r="B561" s="21">
        <f t="shared" si="67"/>
        <v>549</v>
      </c>
      <c r="C561" s="13" t="s">
        <v>7025</v>
      </c>
      <c r="D561" s="13" t="s">
        <v>6203</v>
      </c>
      <c r="E561" s="8"/>
      <c r="F561" s="7" t="s">
        <v>4348</v>
      </c>
      <c r="G561" s="7" t="s">
        <v>25</v>
      </c>
      <c r="H561" s="58"/>
      <c r="I561" s="23"/>
      <c r="J561" s="24"/>
      <c r="M561" s="4"/>
      <c r="N561" s="76"/>
      <c r="O561" s="76"/>
      <c r="P561" s="76" t="str">
        <f t="shared" si="68"/>
        <v>,shikkan543_start_date</v>
      </c>
      <c r="Q561" s="76" t="str">
        <f t="shared" si="69"/>
        <v>DATE</v>
      </c>
      <c r="R561" s="76" t="str">
        <f t="shared" si="70"/>
        <v/>
      </c>
      <c r="S561" s="76" t="str">
        <f t="shared" si="71"/>
        <v/>
      </c>
      <c r="T561" s="76" t="str">
        <f t="shared" si="72"/>
        <v>-- F028_疾患開始日</v>
      </c>
      <c r="U561" s="4" t="str">
        <f t="shared" si="65"/>
        <v>, CASE WHEN shikkan_disp_name = 'F028' THEN min_shikkan_start_date ::DATE ELSE NULL END AS shikkan543_start_date</v>
      </c>
      <c r="V561" s="25" t="str">
        <f t="shared" si="66"/>
        <v>, max(shikkan543_start_date)</v>
      </c>
      <c r="AA561" s="4"/>
      <c r="AB561" s="4"/>
      <c r="AC561" s="4"/>
      <c r="AD561" s="4"/>
      <c r="AE561" s="4"/>
      <c r="AF561" s="4"/>
      <c r="AG561" s="4"/>
      <c r="AH561" s="4"/>
      <c r="AI561" s="4"/>
      <c r="AJ561" s="76" t="str">
        <f>IF(E561="○",IF(COUNTA(E$13:E561)=1,"",",")&amp;D561,"")</f>
        <v/>
      </c>
      <c r="AK561" s="4"/>
      <c r="AL561" s="4"/>
      <c r="AM561" s="4"/>
      <c r="AN561" s="4"/>
      <c r="AO561" s="4"/>
      <c r="AP561" s="4"/>
      <c r="AQ561" s="4"/>
      <c r="AR561" s="4"/>
      <c r="AS561" s="76" t="str">
        <f>"COMMENT ON COLUMN "&amp;エンティティ一覧!$O$2&amp;"."&amp;D$8&amp;"."&amp;D561&amp;" IS '"&amp;C561&amp;"';"</f>
        <v>COMMENT ON COLUMN milscm_2023_009.sny_202310_annony_bef2.shikkan543_start_date IS 'F028_疾患開始日';</v>
      </c>
    </row>
    <row r="562" spans="1:45" s="25" customFormat="1">
      <c r="A562" s="4" t="s">
        <v>5063</v>
      </c>
      <c r="B562" s="21">
        <f t="shared" si="67"/>
        <v>550</v>
      </c>
      <c r="C562" s="13" t="s">
        <v>4673</v>
      </c>
      <c r="D562" s="13" t="s">
        <v>6204</v>
      </c>
      <c r="E562" s="8"/>
      <c r="F562" s="7" t="s">
        <v>4348</v>
      </c>
      <c r="G562" s="7" t="s">
        <v>25</v>
      </c>
      <c r="H562" s="58"/>
      <c r="I562" s="23"/>
      <c r="J562" s="24"/>
      <c r="M562" s="4"/>
      <c r="N562" s="76"/>
      <c r="O562" s="76"/>
      <c r="P562" s="76" t="str">
        <f t="shared" si="68"/>
        <v>,shikkan544_start_date</v>
      </c>
      <c r="Q562" s="76" t="str">
        <f t="shared" si="69"/>
        <v>DATE</v>
      </c>
      <c r="R562" s="76" t="str">
        <f t="shared" si="70"/>
        <v/>
      </c>
      <c r="S562" s="76" t="str">
        <f t="shared" si="71"/>
        <v/>
      </c>
      <c r="T562" s="76" t="str">
        <f t="shared" si="72"/>
        <v>-- F03_疾患開始日</v>
      </c>
      <c r="U562" s="4" t="str">
        <f t="shared" si="65"/>
        <v>, CASE WHEN shikkan_disp_name = 'F03' THEN min_shikkan_start_date ::DATE ELSE NULL END AS shikkan544_start_date</v>
      </c>
      <c r="V562" s="25" t="str">
        <f t="shared" si="66"/>
        <v>, max(shikkan544_start_date)</v>
      </c>
      <c r="AA562" s="4"/>
      <c r="AB562" s="4"/>
      <c r="AC562" s="4"/>
      <c r="AD562" s="4"/>
      <c r="AE562" s="4"/>
      <c r="AF562" s="4"/>
      <c r="AG562" s="4"/>
      <c r="AH562" s="4"/>
      <c r="AI562" s="4"/>
      <c r="AJ562" s="76" t="str">
        <f>IF(E562="○",IF(COUNTA(E$13:E562)=1,"",",")&amp;D562,"")</f>
        <v/>
      </c>
      <c r="AK562" s="4"/>
      <c r="AL562" s="4"/>
      <c r="AM562" s="4"/>
      <c r="AN562" s="4"/>
      <c r="AO562" s="4"/>
      <c r="AP562" s="4"/>
      <c r="AQ562" s="4"/>
      <c r="AR562" s="4"/>
      <c r="AS562" s="76" t="str">
        <f>"COMMENT ON COLUMN "&amp;エンティティ一覧!$O$2&amp;"."&amp;D$8&amp;"."&amp;D562&amp;" IS '"&amp;C562&amp;"';"</f>
        <v>COMMENT ON COLUMN milscm_2023_009.sny_202310_annony_bef2.shikkan544_start_date IS 'F03_疾患開始日';</v>
      </c>
    </row>
    <row r="563" spans="1:45" s="25" customFormat="1">
      <c r="A563" s="4" t="s">
        <v>5636</v>
      </c>
      <c r="B563" s="21">
        <f t="shared" si="67"/>
        <v>551</v>
      </c>
      <c r="C563" s="13" t="s">
        <v>7026</v>
      </c>
      <c r="D563" s="13" t="s">
        <v>6205</v>
      </c>
      <c r="E563" s="8"/>
      <c r="F563" s="7" t="s">
        <v>4348</v>
      </c>
      <c r="G563" s="7" t="s">
        <v>25</v>
      </c>
      <c r="H563" s="58"/>
      <c r="I563" s="23"/>
      <c r="J563" s="24"/>
      <c r="M563" s="4"/>
      <c r="N563" s="76"/>
      <c r="O563" s="76"/>
      <c r="P563" s="76" t="str">
        <f t="shared" si="68"/>
        <v>,shikkan545_start_date</v>
      </c>
      <c r="Q563" s="76" t="str">
        <f t="shared" si="69"/>
        <v>DATE</v>
      </c>
      <c r="R563" s="76" t="str">
        <f t="shared" si="70"/>
        <v/>
      </c>
      <c r="S563" s="76" t="str">
        <f t="shared" si="71"/>
        <v/>
      </c>
      <c r="T563" s="76" t="str">
        <f t="shared" si="72"/>
        <v>-- F051_疾患開始日</v>
      </c>
      <c r="U563" s="4" t="str">
        <f t="shared" si="65"/>
        <v>, CASE WHEN shikkan_disp_name = 'F051' THEN min_shikkan_start_date ::DATE ELSE NULL END AS shikkan545_start_date</v>
      </c>
      <c r="V563" s="25" t="str">
        <f t="shared" si="66"/>
        <v>, max(shikkan545_start_date)</v>
      </c>
      <c r="AA563" s="4"/>
      <c r="AB563" s="4"/>
      <c r="AC563" s="4"/>
      <c r="AD563" s="4"/>
      <c r="AE563" s="4"/>
      <c r="AF563" s="4"/>
      <c r="AG563" s="4"/>
      <c r="AH563" s="4"/>
      <c r="AI563" s="4"/>
      <c r="AJ563" s="76" t="str">
        <f>IF(E563="○",IF(COUNTA(E$13:E563)=1,"",",")&amp;D563,"")</f>
        <v/>
      </c>
      <c r="AK563" s="4"/>
      <c r="AL563" s="4"/>
      <c r="AM563" s="4"/>
      <c r="AN563" s="4"/>
      <c r="AO563" s="4"/>
      <c r="AP563" s="4"/>
      <c r="AQ563" s="4"/>
      <c r="AR563" s="4"/>
      <c r="AS563" s="76" t="str">
        <f>"COMMENT ON COLUMN "&amp;エンティティ一覧!$O$2&amp;"."&amp;D$8&amp;"."&amp;D563&amp;" IS '"&amp;C563&amp;"';"</f>
        <v>COMMENT ON COLUMN milscm_2023_009.sny_202310_annony_bef2.shikkan545_start_date IS 'F051_疾患開始日';</v>
      </c>
    </row>
    <row r="564" spans="1:45" s="25" customFormat="1">
      <c r="A564" s="4" t="s">
        <v>5637</v>
      </c>
      <c r="B564" s="21">
        <f t="shared" si="67"/>
        <v>552</v>
      </c>
      <c r="C564" s="13" t="s">
        <v>7027</v>
      </c>
      <c r="D564" s="13" t="s">
        <v>6206</v>
      </c>
      <c r="E564" s="8"/>
      <c r="F564" s="7" t="s">
        <v>4348</v>
      </c>
      <c r="G564" s="7" t="s">
        <v>25</v>
      </c>
      <c r="H564" s="58"/>
      <c r="I564" s="23"/>
      <c r="J564" s="24"/>
      <c r="M564" s="4"/>
      <c r="N564" s="76"/>
      <c r="O564" s="76"/>
      <c r="P564" s="76" t="str">
        <f t="shared" si="68"/>
        <v>,shikkan546_start_date</v>
      </c>
      <c r="Q564" s="76" t="str">
        <f t="shared" si="69"/>
        <v>DATE</v>
      </c>
      <c r="R564" s="76" t="str">
        <f t="shared" si="70"/>
        <v/>
      </c>
      <c r="S564" s="76" t="str">
        <f t="shared" si="71"/>
        <v/>
      </c>
      <c r="T564" s="76" t="str">
        <f t="shared" si="72"/>
        <v>-- G041_疾患開始日</v>
      </c>
      <c r="U564" s="4" t="str">
        <f t="shared" si="65"/>
        <v>, CASE WHEN shikkan_disp_name = 'G041' THEN min_shikkan_start_date ::DATE ELSE NULL END AS shikkan546_start_date</v>
      </c>
      <c r="V564" s="25" t="str">
        <f t="shared" si="66"/>
        <v>, max(shikkan546_start_date)</v>
      </c>
      <c r="AA564" s="4"/>
      <c r="AB564" s="4"/>
      <c r="AC564" s="4"/>
      <c r="AD564" s="4"/>
      <c r="AE564" s="4"/>
      <c r="AF564" s="4"/>
      <c r="AG564" s="4"/>
      <c r="AH564" s="4"/>
      <c r="AI564" s="4"/>
      <c r="AJ564" s="76" t="str">
        <f>IF(E564="○",IF(COUNTA(E$13:E564)=1,"",",")&amp;D564,"")</f>
        <v/>
      </c>
      <c r="AK564" s="4"/>
      <c r="AL564" s="4"/>
      <c r="AM564" s="4"/>
      <c r="AN564" s="4"/>
      <c r="AO564" s="4"/>
      <c r="AP564" s="4"/>
      <c r="AQ564" s="4"/>
      <c r="AR564" s="4"/>
      <c r="AS564" s="76" t="str">
        <f>"COMMENT ON COLUMN "&amp;エンティティ一覧!$O$2&amp;"."&amp;D$8&amp;"."&amp;D564&amp;" IS '"&amp;C564&amp;"';"</f>
        <v>COMMENT ON COLUMN milscm_2023_009.sny_202310_annony_bef2.shikkan546_start_date IS 'G041_疾患開始日';</v>
      </c>
    </row>
    <row r="565" spans="1:45" s="25" customFormat="1">
      <c r="A565" s="4" t="s">
        <v>5638</v>
      </c>
      <c r="B565" s="21">
        <f t="shared" si="67"/>
        <v>553</v>
      </c>
      <c r="C565" s="13" t="s">
        <v>7028</v>
      </c>
      <c r="D565" s="13" t="s">
        <v>6207</v>
      </c>
      <c r="E565" s="8"/>
      <c r="F565" s="7" t="s">
        <v>4348</v>
      </c>
      <c r="G565" s="7" t="s">
        <v>25</v>
      </c>
      <c r="H565" s="58"/>
      <c r="I565" s="23"/>
      <c r="J565" s="24"/>
      <c r="M565" s="4"/>
      <c r="N565" s="76"/>
      <c r="O565" s="76"/>
      <c r="P565" s="76" t="str">
        <f t="shared" si="68"/>
        <v>,shikkan547_start_date</v>
      </c>
      <c r="Q565" s="76" t="str">
        <f t="shared" si="69"/>
        <v>DATE</v>
      </c>
      <c r="R565" s="76" t="str">
        <f t="shared" si="70"/>
        <v/>
      </c>
      <c r="S565" s="76" t="str">
        <f t="shared" si="71"/>
        <v/>
      </c>
      <c r="T565" s="76" t="str">
        <f t="shared" si="72"/>
        <v>-- G114_疾患開始日</v>
      </c>
      <c r="U565" s="4" t="str">
        <f t="shared" si="65"/>
        <v>, CASE WHEN shikkan_disp_name = 'G114' THEN min_shikkan_start_date ::DATE ELSE NULL END AS shikkan547_start_date</v>
      </c>
      <c r="V565" s="25" t="str">
        <f t="shared" si="66"/>
        <v>, max(shikkan547_start_date)</v>
      </c>
      <c r="AA565" s="4"/>
      <c r="AB565" s="4"/>
      <c r="AC565" s="4"/>
      <c r="AD565" s="4"/>
      <c r="AE565" s="4"/>
      <c r="AF565" s="4"/>
      <c r="AG565" s="4"/>
      <c r="AH565" s="4"/>
      <c r="AI565" s="4"/>
      <c r="AJ565" s="76" t="str">
        <f>IF(E565="○",IF(COUNTA(E$13:E565)=1,"",",")&amp;D565,"")</f>
        <v/>
      </c>
      <c r="AK565" s="4"/>
      <c r="AL565" s="4"/>
      <c r="AM565" s="4"/>
      <c r="AN565" s="4"/>
      <c r="AO565" s="4"/>
      <c r="AP565" s="4"/>
      <c r="AQ565" s="4"/>
      <c r="AR565" s="4"/>
      <c r="AS565" s="76" t="str">
        <f>"COMMENT ON COLUMN "&amp;エンティティ一覧!$O$2&amp;"."&amp;D$8&amp;"."&amp;D565&amp;" IS '"&amp;C565&amp;"';"</f>
        <v>COMMENT ON COLUMN milscm_2023_009.sny_202310_annony_bef2.shikkan547_start_date IS 'G114_疾患開始日';</v>
      </c>
    </row>
    <row r="566" spans="1:45" s="25" customFormat="1">
      <c r="A566" s="4" t="s">
        <v>5639</v>
      </c>
      <c r="B566" s="21">
        <f t="shared" si="67"/>
        <v>554</v>
      </c>
      <c r="C566" s="13" t="s">
        <v>7029</v>
      </c>
      <c r="D566" s="13" t="s">
        <v>6208</v>
      </c>
      <c r="E566" s="8"/>
      <c r="F566" s="7" t="s">
        <v>4348</v>
      </c>
      <c r="G566" s="7" t="s">
        <v>25</v>
      </c>
      <c r="H566" s="58"/>
      <c r="I566" s="23"/>
      <c r="J566" s="24"/>
      <c r="M566" s="4"/>
      <c r="N566" s="76"/>
      <c r="O566" s="76"/>
      <c r="P566" s="76" t="str">
        <f t="shared" si="68"/>
        <v>,shikkan548_start_date</v>
      </c>
      <c r="Q566" s="76" t="str">
        <f t="shared" si="69"/>
        <v>DATE</v>
      </c>
      <c r="R566" s="76" t="str">
        <f t="shared" si="70"/>
        <v/>
      </c>
      <c r="S566" s="76" t="str">
        <f t="shared" si="71"/>
        <v/>
      </c>
      <c r="T566" s="76" t="str">
        <f t="shared" si="72"/>
        <v>-- G300_疾患開始日</v>
      </c>
      <c r="U566" s="4" t="str">
        <f t="shared" si="65"/>
        <v>, CASE WHEN shikkan_disp_name = 'G300' THEN min_shikkan_start_date ::DATE ELSE NULL END AS shikkan548_start_date</v>
      </c>
      <c r="V566" s="25" t="str">
        <f t="shared" si="66"/>
        <v>, max(shikkan548_start_date)</v>
      </c>
      <c r="AA566" s="4"/>
      <c r="AB566" s="4"/>
      <c r="AC566" s="4"/>
      <c r="AD566" s="4"/>
      <c r="AE566" s="4"/>
      <c r="AF566" s="4"/>
      <c r="AG566" s="4"/>
      <c r="AH566" s="4"/>
      <c r="AI566" s="4"/>
      <c r="AJ566" s="76" t="str">
        <f>IF(E566="○",IF(COUNTA(E$13:E566)=1,"",",")&amp;D566,"")</f>
        <v/>
      </c>
      <c r="AK566" s="4"/>
      <c r="AL566" s="4"/>
      <c r="AM566" s="4"/>
      <c r="AN566" s="4"/>
      <c r="AO566" s="4"/>
      <c r="AP566" s="4"/>
      <c r="AQ566" s="4"/>
      <c r="AR566" s="4"/>
      <c r="AS566" s="76" t="str">
        <f>"COMMENT ON COLUMN "&amp;エンティティ一覧!$O$2&amp;"."&amp;D$8&amp;"."&amp;D566&amp;" IS '"&amp;C566&amp;"';"</f>
        <v>COMMENT ON COLUMN milscm_2023_009.sny_202310_annony_bef2.shikkan548_start_date IS 'G300_疾患開始日';</v>
      </c>
    </row>
    <row r="567" spans="1:45" s="25" customFormat="1">
      <c r="A567" s="4" t="s">
        <v>5640</v>
      </c>
      <c r="B567" s="21">
        <f t="shared" si="67"/>
        <v>555</v>
      </c>
      <c r="C567" s="13" t="s">
        <v>7030</v>
      </c>
      <c r="D567" s="13" t="s">
        <v>6209</v>
      </c>
      <c r="E567" s="8"/>
      <c r="F567" s="7" t="s">
        <v>4348</v>
      </c>
      <c r="G567" s="7" t="s">
        <v>25</v>
      </c>
      <c r="H567" s="58"/>
      <c r="I567" s="23"/>
      <c r="J567" s="24"/>
      <c r="M567" s="4"/>
      <c r="N567" s="76"/>
      <c r="O567" s="76"/>
      <c r="P567" s="76" t="str">
        <f t="shared" si="68"/>
        <v>,shikkan549_start_date</v>
      </c>
      <c r="Q567" s="76" t="str">
        <f t="shared" si="69"/>
        <v>DATE</v>
      </c>
      <c r="R567" s="76" t="str">
        <f t="shared" si="70"/>
        <v/>
      </c>
      <c r="S567" s="76" t="str">
        <f t="shared" si="71"/>
        <v/>
      </c>
      <c r="T567" s="76" t="str">
        <f t="shared" si="72"/>
        <v>-- G301_疾患開始日</v>
      </c>
      <c r="U567" s="4" t="str">
        <f t="shared" si="65"/>
        <v>, CASE WHEN shikkan_disp_name = 'G301' THEN min_shikkan_start_date ::DATE ELSE NULL END AS shikkan549_start_date</v>
      </c>
      <c r="V567" s="25" t="str">
        <f t="shared" si="66"/>
        <v>, max(shikkan549_start_date)</v>
      </c>
      <c r="AA567" s="4"/>
      <c r="AB567" s="4"/>
      <c r="AC567" s="4"/>
      <c r="AD567" s="4"/>
      <c r="AE567" s="4"/>
      <c r="AF567" s="4"/>
      <c r="AG567" s="4"/>
      <c r="AH567" s="4"/>
      <c r="AI567" s="4"/>
      <c r="AJ567" s="76" t="str">
        <f>IF(E567="○",IF(COUNTA(E$13:E567)=1,"",",")&amp;D567,"")</f>
        <v/>
      </c>
      <c r="AK567" s="4"/>
      <c r="AL567" s="4"/>
      <c r="AM567" s="4"/>
      <c r="AN567" s="4"/>
      <c r="AO567" s="4"/>
      <c r="AP567" s="4"/>
      <c r="AQ567" s="4"/>
      <c r="AR567" s="4"/>
      <c r="AS567" s="76" t="str">
        <f>"COMMENT ON COLUMN "&amp;エンティティ一覧!$O$2&amp;"."&amp;D$8&amp;"."&amp;D567&amp;" IS '"&amp;C567&amp;"';"</f>
        <v>COMMENT ON COLUMN milscm_2023_009.sny_202310_annony_bef2.shikkan549_start_date IS 'G301_疾患開始日';</v>
      </c>
    </row>
    <row r="568" spans="1:45" s="25" customFormat="1">
      <c r="A568" s="4" t="s">
        <v>5641</v>
      </c>
      <c r="B568" s="21">
        <f t="shared" si="67"/>
        <v>556</v>
      </c>
      <c r="C568" s="13" t="s">
        <v>7031</v>
      </c>
      <c r="D568" s="13" t="s">
        <v>6210</v>
      </c>
      <c r="E568" s="8"/>
      <c r="F568" s="7" t="s">
        <v>4348</v>
      </c>
      <c r="G568" s="7" t="s">
        <v>25</v>
      </c>
      <c r="H568" s="58"/>
      <c r="I568" s="23"/>
      <c r="J568" s="24"/>
      <c r="M568" s="4"/>
      <c r="N568" s="76"/>
      <c r="O568" s="76"/>
      <c r="P568" s="76" t="str">
        <f t="shared" si="68"/>
        <v>,shikkan550_start_date</v>
      </c>
      <c r="Q568" s="76" t="str">
        <f t="shared" si="69"/>
        <v>DATE</v>
      </c>
      <c r="R568" s="76" t="str">
        <f t="shared" si="70"/>
        <v/>
      </c>
      <c r="S568" s="76" t="str">
        <f t="shared" si="71"/>
        <v/>
      </c>
      <c r="T568" s="76" t="str">
        <f t="shared" si="72"/>
        <v>-- G308_疾患開始日</v>
      </c>
      <c r="U568" s="4" t="str">
        <f t="shared" si="65"/>
        <v>, CASE WHEN shikkan_disp_name = 'G308' THEN min_shikkan_start_date ::DATE ELSE NULL END AS shikkan550_start_date</v>
      </c>
      <c r="V568" s="25" t="str">
        <f t="shared" si="66"/>
        <v>, max(shikkan550_start_date)</v>
      </c>
      <c r="AA568" s="4"/>
      <c r="AB568" s="4"/>
      <c r="AC568" s="4"/>
      <c r="AD568" s="4"/>
      <c r="AE568" s="4"/>
      <c r="AF568" s="4"/>
      <c r="AG568" s="4"/>
      <c r="AH568" s="4"/>
      <c r="AI568" s="4"/>
      <c r="AJ568" s="76" t="str">
        <f>IF(E568="○",IF(COUNTA(E$13:E568)=1,"",",")&amp;D568,"")</f>
        <v/>
      </c>
      <c r="AK568" s="4"/>
      <c r="AL568" s="4"/>
      <c r="AM568" s="4"/>
      <c r="AN568" s="4"/>
      <c r="AO568" s="4"/>
      <c r="AP568" s="4"/>
      <c r="AQ568" s="4"/>
      <c r="AR568" s="4"/>
      <c r="AS568" s="76" t="str">
        <f>"COMMENT ON COLUMN "&amp;エンティティ一覧!$O$2&amp;"."&amp;D$8&amp;"."&amp;D568&amp;" IS '"&amp;C568&amp;"';"</f>
        <v>COMMENT ON COLUMN milscm_2023_009.sny_202310_annony_bef2.shikkan550_start_date IS 'G308_疾患開始日';</v>
      </c>
    </row>
    <row r="569" spans="1:45" s="25" customFormat="1">
      <c r="A569" s="4" t="s">
        <v>5642</v>
      </c>
      <c r="B569" s="21">
        <f t="shared" si="67"/>
        <v>557</v>
      </c>
      <c r="C569" s="13" t="s">
        <v>7032</v>
      </c>
      <c r="D569" s="13" t="s">
        <v>6211</v>
      </c>
      <c r="E569" s="8"/>
      <c r="F569" s="7" t="s">
        <v>4348</v>
      </c>
      <c r="G569" s="7" t="s">
        <v>25</v>
      </c>
      <c r="H569" s="58"/>
      <c r="I569" s="23"/>
      <c r="J569" s="24"/>
      <c r="M569" s="4"/>
      <c r="N569" s="76"/>
      <c r="O569" s="76"/>
      <c r="P569" s="76" t="str">
        <f t="shared" si="68"/>
        <v>,shikkan551_start_date</v>
      </c>
      <c r="Q569" s="76" t="str">
        <f t="shared" si="69"/>
        <v>DATE</v>
      </c>
      <c r="R569" s="76" t="str">
        <f t="shared" si="70"/>
        <v/>
      </c>
      <c r="S569" s="76" t="str">
        <f t="shared" si="71"/>
        <v/>
      </c>
      <c r="T569" s="76" t="str">
        <f t="shared" si="72"/>
        <v>-- G309_疾患開始日</v>
      </c>
      <c r="U569" s="4" t="str">
        <f t="shared" si="65"/>
        <v>, CASE WHEN shikkan_disp_name = 'G309' THEN min_shikkan_start_date ::DATE ELSE NULL END AS shikkan551_start_date</v>
      </c>
      <c r="V569" s="25" t="str">
        <f t="shared" si="66"/>
        <v>, max(shikkan551_start_date)</v>
      </c>
      <c r="AA569" s="4"/>
      <c r="AB569" s="4"/>
      <c r="AC569" s="4"/>
      <c r="AD569" s="4"/>
      <c r="AE569" s="4"/>
      <c r="AF569" s="4"/>
      <c r="AG569" s="4"/>
      <c r="AH569" s="4"/>
      <c r="AI569" s="4"/>
      <c r="AJ569" s="76" t="str">
        <f>IF(E569="○",IF(COUNTA(E$13:E569)=1,"",",")&amp;D569,"")</f>
        <v/>
      </c>
      <c r="AK569" s="4"/>
      <c r="AL569" s="4"/>
      <c r="AM569" s="4"/>
      <c r="AN569" s="4"/>
      <c r="AO569" s="4"/>
      <c r="AP569" s="4"/>
      <c r="AQ569" s="4"/>
      <c r="AR569" s="4"/>
      <c r="AS569" s="76" t="str">
        <f>"COMMENT ON COLUMN "&amp;エンティティ一覧!$O$2&amp;"."&amp;D$8&amp;"."&amp;D569&amp;" IS '"&amp;C569&amp;"';"</f>
        <v>COMMENT ON COLUMN milscm_2023_009.sny_202310_annony_bef2.shikkan551_start_date IS 'G309_疾患開始日';</v>
      </c>
    </row>
    <row r="570" spans="1:45" s="25" customFormat="1">
      <c r="A570" s="4" t="s">
        <v>5643</v>
      </c>
      <c r="B570" s="21">
        <f t="shared" si="67"/>
        <v>558</v>
      </c>
      <c r="C570" s="13" t="s">
        <v>7033</v>
      </c>
      <c r="D570" s="13" t="s">
        <v>6212</v>
      </c>
      <c r="E570" s="8"/>
      <c r="F570" s="7" t="s">
        <v>4348</v>
      </c>
      <c r="G570" s="7" t="s">
        <v>25</v>
      </c>
      <c r="H570" s="58"/>
      <c r="I570" s="23"/>
      <c r="J570" s="24"/>
      <c r="M570" s="4"/>
      <c r="N570" s="76"/>
      <c r="O570" s="76"/>
      <c r="P570" s="76" t="str">
        <f t="shared" si="68"/>
        <v>,shikkan552_start_date</v>
      </c>
      <c r="Q570" s="76" t="str">
        <f t="shared" si="69"/>
        <v>DATE</v>
      </c>
      <c r="R570" s="76" t="str">
        <f t="shared" si="70"/>
        <v/>
      </c>
      <c r="S570" s="76" t="str">
        <f t="shared" si="71"/>
        <v/>
      </c>
      <c r="T570" s="76" t="str">
        <f t="shared" si="72"/>
        <v>-- G311_疾患開始日</v>
      </c>
      <c r="U570" s="4" t="str">
        <f t="shared" si="65"/>
        <v>, CASE WHEN shikkan_disp_name = 'G311' THEN min_shikkan_start_date ::DATE ELSE NULL END AS shikkan552_start_date</v>
      </c>
      <c r="V570" s="25" t="str">
        <f t="shared" si="66"/>
        <v>, max(shikkan552_start_date)</v>
      </c>
      <c r="AA570" s="4"/>
      <c r="AB570" s="4"/>
      <c r="AC570" s="4"/>
      <c r="AD570" s="4"/>
      <c r="AE570" s="4"/>
      <c r="AF570" s="4"/>
      <c r="AG570" s="4"/>
      <c r="AH570" s="4"/>
      <c r="AI570" s="4"/>
      <c r="AJ570" s="76" t="str">
        <f>IF(E570="○",IF(COUNTA(E$13:E570)=1,"",",")&amp;D570,"")</f>
        <v/>
      </c>
      <c r="AK570" s="4"/>
      <c r="AL570" s="4"/>
      <c r="AM570" s="4"/>
      <c r="AN570" s="4"/>
      <c r="AO570" s="4"/>
      <c r="AP570" s="4"/>
      <c r="AQ570" s="4"/>
      <c r="AR570" s="4"/>
      <c r="AS570" s="76" t="str">
        <f>"COMMENT ON COLUMN "&amp;エンティティ一覧!$O$2&amp;"."&amp;D$8&amp;"."&amp;D570&amp;" IS '"&amp;C570&amp;"';"</f>
        <v>COMMENT ON COLUMN milscm_2023_009.sny_202310_annony_bef2.shikkan552_start_date IS 'G311_疾患開始日';</v>
      </c>
    </row>
    <row r="571" spans="1:45" s="25" customFormat="1">
      <c r="A571" s="4" t="s">
        <v>5644</v>
      </c>
      <c r="B571" s="21">
        <f t="shared" si="67"/>
        <v>559</v>
      </c>
      <c r="C571" s="13" t="s">
        <v>7034</v>
      </c>
      <c r="D571" s="13" t="s">
        <v>6213</v>
      </c>
      <c r="E571" s="8"/>
      <c r="F571" s="7" t="s">
        <v>4348</v>
      </c>
      <c r="G571" s="7" t="s">
        <v>25</v>
      </c>
      <c r="H571" s="58"/>
      <c r="I571" s="23"/>
      <c r="J571" s="24"/>
      <c r="M571" s="4"/>
      <c r="N571" s="76"/>
      <c r="O571" s="76"/>
      <c r="P571" s="76" t="str">
        <f t="shared" si="68"/>
        <v>,shikkan553_start_date</v>
      </c>
      <c r="Q571" s="76" t="str">
        <f t="shared" si="69"/>
        <v>DATE</v>
      </c>
      <c r="R571" s="76" t="str">
        <f t="shared" si="70"/>
        <v/>
      </c>
      <c r="S571" s="76" t="str">
        <f t="shared" si="71"/>
        <v/>
      </c>
      <c r="T571" s="76" t="str">
        <f t="shared" si="72"/>
        <v>-- G450_疾患開始日</v>
      </c>
      <c r="U571" s="4" t="str">
        <f t="shared" si="65"/>
        <v>, CASE WHEN shikkan_disp_name = 'G450' THEN min_shikkan_start_date ::DATE ELSE NULL END AS shikkan553_start_date</v>
      </c>
      <c r="V571" s="25" t="str">
        <f t="shared" si="66"/>
        <v>, max(shikkan553_start_date)</v>
      </c>
      <c r="AA571" s="4"/>
      <c r="AB571" s="4"/>
      <c r="AC571" s="4"/>
      <c r="AD571" s="4"/>
      <c r="AE571" s="4"/>
      <c r="AF571" s="4"/>
      <c r="AG571" s="4"/>
      <c r="AH571" s="4"/>
      <c r="AI571" s="4"/>
      <c r="AJ571" s="76" t="str">
        <f>IF(E571="○",IF(COUNTA(E$13:E571)=1,"",",")&amp;D571,"")</f>
        <v/>
      </c>
      <c r="AK571" s="4"/>
      <c r="AL571" s="4"/>
      <c r="AM571" s="4"/>
      <c r="AN571" s="4"/>
      <c r="AO571" s="4"/>
      <c r="AP571" s="4"/>
      <c r="AQ571" s="4"/>
      <c r="AR571" s="4"/>
      <c r="AS571" s="76" t="str">
        <f>"COMMENT ON COLUMN "&amp;エンティティ一覧!$O$2&amp;"."&amp;D$8&amp;"."&amp;D571&amp;" IS '"&amp;C571&amp;"';"</f>
        <v>COMMENT ON COLUMN milscm_2023_009.sny_202310_annony_bef2.shikkan553_start_date IS 'G450_疾患開始日';</v>
      </c>
    </row>
    <row r="572" spans="1:45" s="25" customFormat="1">
      <c r="A572" s="4" t="s">
        <v>5645</v>
      </c>
      <c r="B572" s="21">
        <f t="shared" si="67"/>
        <v>560</v>
      </c>
      <c r="C572" s="13" t="s">
        <v>7035</v>
      </c>
      <c r="D572" s="13" t="s">
        <v>6214</v>
      </c>
      <c r="E572" s="8"/>
      <c r="F572" s="7" t="s">
        <v>4348</v>
      </c>
      <c r="G572" s="7" t="s">
        <v>25</v>
      </c>
      <c r="H572" s="58"/>
      <c r="I572" s="23"/>
      <c r="J572" s="24"/>
      <c r="M572" s="4"/>
      <c r="N572" s="76"/>
      <c r="O572" s="76"/>
      <c r="P572" s="76" t="str">
        <f t="shared" si="68"/>
        <v>,shikkan554_start_date</v>
      </c>
      <c r="Q572" s="76" t="str">
        <f t="shared" si="69"/>
        <v>DATE</v>
      </c>
      <c r="R572" s="76" t="str">
        <f t="shared" si="70"/>
        <v/>
      </c>
      <c r="S572" s="76" t="str">
        <f t="shared" si="71"/>
        <v/>
      </c>
      <c r="T572" s="76" t="str">
        <f t="shared" si="72"/>
        <v>-- G451_疾患開始日</v>
      </c>
      <c r="U572" s="4" t="str">
        <f t="shared" si="65"/>
        <v>, CASE WHEN shikkan_disp_name = 'G451' THEN min_shikkan_start_date ::DATE ELSE NULL END AS shikkan554_start_date</v>
      </c>
      <c r="V572" s="25" t="str">
        <f t="shared" si="66"/>
        <v>, max(shikkan554_start_date)</v>
      </c>
      <c r="AA572" s="4"/>
      <c r="AB572" s="4"/>
      <c r="AC572" s="4"/>
      <c r="AD572" s="4"/>
      <c r="AE572" s="4"/>
      <c r="AF572" s="4"/>
      <c r="AG572" s="4"/>
      <c r="AH572" s="4"/>
      <c r="AI572" s="4"/>
      <c r="AJ572" s="76" t="str">
        <f>IF(E572="○",IF(COUNTA(E$13:E572)=1,"",",")&amp;D572,"")</f>
        <v/>
      </c>
      <c r="AK572" s="4"/>
      <c r="AL572" s="4"/>
      <c r="AM572" s="4"/>
      <c r="AN572" s="4"/>
      <c r="AO572" s="4"/>
      <c r="AP572" s="4"/>
      <c r="AQ572" s="4"/>
      <c r="AR572" s="4"/>
      <c r="AS572" s="76" t="str">
        <f>"COMMENT ON COLUMN "&amp;エンティティ一覧!$O$2&amp;"."&amp;D$8&amp;"."&amp;D572&amp;" IS '"&amp;C572&amp;"';"</f>
        <v>COMMENT ON COLUMN milscm_2023_009.sny_202310_annony_bef2.shikkan554_start_date IS 'G451_疾患開始日';</v>
      </c>
    </row>
    <row r="573" spans="1:45" s="25" customFormat="1">
      <c r="A573" s="4" t="s">
        <v>5646</v>
      </c>
      <c r="B573" s="21">
        <f t="shared" si="67"/>
        <v>561</v>
      </c>
      <c r="C573" s="13" t="s">
        <v>7036</v>
      </c>
      <c r="D573" s="13" t="s">
        <v>6215</v>
      </c>
      <c r="E573" s="8"/>
      <c r="F573" s="7" t="s">
        <v>4348</v>
      </c>
      <c r="G573" s="7" t="s">
        <v>25</v>
      </c>
      <c r="H573" s="58"/>
      <c r="I573" s="23"/>
      <c r="J573" s="24"/>
      <c r="M573" s="4"/>
      <c r="N573" s="76"/>
      <c r="O573" s="76"/>
      <c r="P573" s="76" t="str">
        <f t="shared" si="68"/>
        <v>,shikkan555_start_date</v>
      </c>
      <c r="Q573" s="76" t="str">
        <f t="shared" si="69"/>
        <v>DATE</v>
      </c>
      <c r="R573" s="76" t="str">
        <f t="shared" si="70"/>
        <v/>
      </c>
      <c r="S573" s="76" t="str">
        <f t="shared" si="71"/>
        <v/>
      </c>
      <c r="T573" s="76" t="str">
        <f t="shared" si="72"/>
        <v>-- G452_疾患開始日</v>
      </c>
      <c r="U573" s="4" t="str">
        <f t="shared" si="65"/>
        <v>, CASE WHEN shikkan_disp_name = 'G452' THEN min_shikkan_start_date ::DATE ELSE NULL END AS shikkan555_start_date</v>
      </c>
      <c r="V573" s="25" t="str">
        <f t="shared" si="66"/>
        <v>, max(shikkan555_start_date)</v>
      </c>
      <c r="AA573" s="4"/>
      <c r="AB573" s="4"/>
      <c r="AC573" s="4"/>
      <c r="AD573" s="4"/>
      <c r="AE573" s="4"/>
      <c r="AF573" s="4"/>
      <c r="AG573" s="4"/>
      <c r="AH573" s="4"/>
      <c r="AI573" s="4"/>
      <c r="AJ573" s="76" t="str">
        <f>IF(E573="○",IF(COUNTA(E$13:E573)=1,"",",")&amp;D573,"")</f>
        <v/>
      </c>
      <c r="AK573" s="4"/>
      <c r="AL573" s="4"/>
      <c r="AM573" s="4"/>
      <c r="AN573" s="4"/>
      <c r="AO573" s="4"/>
      <c r="AP573" s="4"/>
      <c r="AQ573" s="4"/>
      <c r="AR573" s="4"/>
      <c r="AS573" s="76" t="str">
        <f>"COMMENT ON COLUMN "&amp;エンティティ一覧!$O$2&amp;"."&amp;D$8&amp;"."&amp;D573&amp;" IS '"&amp;C573&amp;"';"</f>
        <v>COMMENT ON COLUMN milscm_2023_009.sny_202310_annony_bef2.shikkan555_start_date IS 'G452_疾患開始日';</v>
      </c>
    </row>
    <row r="574" spans="1:45" s="25" customFormat="1">
      <c r="A574" s="4" t="s">
        <v>5647</v>
      </c>
      <c r="B574" s="21">
        <f t="shared" si="67"/>
        <v>562</v>
      </c>
      <c r="C574" s="13" t="s">
        <v>7037</v>
      </c>
      <c r="D574" s="13" t="s">
        <v>6216</v>
      </c>
      <c r="E574" s="8"/>
      <c r="F574" s="7" t="s">
        <v>4348</v>
      </c>
      <c r="G574" s="7" t="s">
        <v>25</v>
      </c>
      <c r="H574" s="58"/>
      <c r="I574" s="23"/>
      <c r="J574" s="24"/>
      <c r="M574" s="4"/>
      <c r="N574" s="76"/>
      <c r="O574" s="76"/>
      <c r="P574" s="76" t="str">
        <f t="shared" si="68"/>
        <v>,shikkan556_start_date</v>
      </c>
      <c r="Q574" s="76" t="str">
        <f t="shared" si="69"/>
        <v>DATE</v>
      </c>
      <c r="R574" s="76" t="str">
        <f t="shared" si="70"/>
        <v/>
      </c>
      <c r="S574" s="76" t="str">
        <f t="shared" si="71"/>
        <v/>
      </c>
      <c r="T574" s="76" t="str">
        <f t="shared" si="72"/>
        <v>-- G453_疾患開始日</v>
      </c>
      <c r="U574" s="4" t="str">
        <f t="shared" si="65"/>
        <v>, CASE WHEN shikkan_disp_name = 'G453' THEN min_shikkan_start_date ::DATE ELSE NULL END AS shikkan556_start_date</v>
      </c>
      <c r="V574" s="25" t="str">
        <f t="shared" si="66"/>
        <v>, max(shikkan556_start_date)</v>
      </c>
      <c r="AA574" s="4"/>
      <c r="AB574" s="4"/>
      <c r="AC574" s="4"/>
      <c r="AD574" s="4"/>
      <c r="AE574" s="4"/>
      <c r="AF574" s="4"/>
      <c r="AG574" s="4"/>
      <c r="AH574" s="4"/>
      <c r="AI574" s="4"/>
      <c r="AJ574" s="76" t="str">
        <f>IF(E574="○",IF(COUNTA(E$13:E574)=1,"",",")&amp;D574,"")</f>
        <v/>
      </c>
      <c r="AK574" s="4"/>
      <c r="AL574" s="4"/>
      <c r="AM574" s="4"/>
      <c r="AN574" s="4"/>
      <c r="AO574" s="4"/>
      <c r="AP574" s="4"/>
      <c r="AQ574" s="4"/>
      <c r="AR574" s="4"/>
      <c r="AS574" s="76" t="str">
        <f>"COMMENT ON COLUMN "&amp;エンティティ一覧!$O$2&amp;"."&amp;D$8&amp;"."&amp;D574&amp;" IS '"&amp;C574&amp;"';"</f>
        <v>COMMENT ON COLUMN milscm_2023_009.sny_202310_annony_bef2.shikkan556_start_date IS 'G453_疾患開始日';</v>
      </c>
    </row>
    <row r="575" spans="1:45" s="25" customFormat="1">
      <c r="A575" s="4" t="s">
        <v>5648</v>
      </c>
      <c r="B575" s="21">
        <f t="shared" si="67"/>
        <v>563</v>
      </c>
      <c r="C575" s="13" t="s">
        <v>7038</v>
      </c>
      <c r="D575" s="13" t="s">
        <v>6217</v>
      </c>
      <c r="E575" s="8"/>
      <c r="F575" s="7" t="s">
        <v>4348</v>
      </c>
      <c r="G575" s="7" t="s">
        <v>25</v>
      </c>
      <c r="H575" s="58"/>
      <c r="I575" s="23"/>
      <c r="J575" s="24"/>
      <c r="M575" s="4"/>
      <c r="N575" s="76"/>
      <c r="O575" s="76"/>
      <c r="P575" s="76" t="str">
        <f t="shared" si="68"/>
        <v>,shikkan557_start_date</v>
      </c>
      <c r="Q575" s="76" t="str">
        <f t="shared" si="69"/>
        <v>DATE</v>
      </c>
      <c r="R575" s="76" t="str">
        <f t="shared" si="70"/>
        <v/>
      </c>
      <c r="S575" s="76" t="str">
        <f t="shared" si="71"/>
        <v/>
      </c>
      <c r="T575" s="76" t="str">
        <f t="shared" si="72"/>
        <v>-- G454_疾患開始日</v>
      </c>
      <c r="U575" s="4" t="str">
        <f t="shared" si="65"/>
        <v>, CASE WHEN shikkan_disp_name = 'G454' THEN min_shikkan_start_date ::DATE ELSE NULL END AS shikkan557_start_date</v>
      </c>
      <c r="V575" s="25" t="str">
        <f t="shared" si="66"/>
        <v>, max(shikkan557_start_date)</v>
      </c>
      <c r="AA575" s="4"/>
      <c r="AB575" s="4"/>
      <c r="AC575" s="4"/>
      <c r="AD575" s="4"/>
      <c r="AE575" s="4"/>
      <c r="AF575" s="4"/>
      <c r="AG575" s="4"/>
      <c r="AH575" s="4"/>
      <c r="AI575" s="4"/>
      <c r="AJ575" s="76" t="str">
        <f>IF(E575="○",IF(COUNTA(E$13:E575)=1,"",",")&amp;D575,"")</f>
        <v/>
      </c>
      <c r="AK575" s="4"/>
      <c r="AL575" s="4"/>
      <c r="AM575" s="4"/>
      <c r="AN575" s="4"/>
      <c r="AO575" s="4"/>
      <c r="AP575" s="4"/>
      <c r="AQ575" s="4"/>
      <c r="AR575" s="4"/>
      <c r="AS575" s="76" t="str">
        <f>"COMMENT ON COLUMN "&amp;エンティティ一覧!$O$2&amp;"."&amp;D$8&amp;"."&amp;D575&amp;" IS '"&amp;C575&amp;"';"</f>
        <v>COMMENT ON COLUMN milscm_2023_009.sny_202310_annony_bef2.shikkan557_start_date IS 'G454_疾患開始日';</v>
      </c>
    </row>
    <row r="576" spans="1:45" s="25" customFormat="1">
      <c r="A576" s="4" t="s">
        <v>5649</v>
      </c>
      <c r="B576" s="21">
        <f t="shared" si="67"/>
        <v>564</v>
      </c>
      <c r="C576" s="13" t="s">
        <v>7039</v>
      </c>
      <c r="D576" s="13" t="s">
        <v>6218</v>
      </c>
      <c r="E576" s="8"/>
      <c r="F576" s="7" t="s">
        <v>4348</v>
      </c>
      <c r="G576" s="7" t="s">
        <v>25</v>
      </c>
      <c r="H576" s="58"/>
      <c r="I576" s="23"/>
      <c r="J576" s="24"/>
      <c r="M576" s="4"/>
      <c r="N576" s="76"/>
      <c r="O576" s="76"/>
      <c r="P576" s="76" t="str">
        <f t="shared" si="68"/>
        <v>,shikkan558_start_date</v>
      </c>
      <c r="Q576" s="76" t="str">
        <f t="shared" si="69"/>
        <v>DATE</v>
      </c>
      <c r="R576" s="76" t="str">
        <f t="shared" si="70"/>
        <v/>
      </c>
      <c r="S576" s="76" t="str">
        <f t="shared" si="71"/>
        <v/>
      </c>
      <c r="T576" s="76" t="str">
        <f t="shared" si="72"/>
        <v>-- G458_疾患開始日</v>
      </c>
      <c r="U576" s="4" t="str">
        <f t="shared" si="65"/>
        <v>, CASE WHEN shikkan_disp_name = 'G458' THEN min_shikkan_start_date ::DATE ELSE NULL END AS shikkan558_start_date</v>
      </c>
      <c r="V576" s="25" t="str">
        <f t="shared" si="66"/>
        <v>, max(shikkan558_start_date)</v>
      </c>
      <c r="AA576" s="4"/>
      <c r="AB576" s="4"/>
      <c r="AC576" s="4"/>
      <c r="AD576" s="4"/>
      <c r="AE576" s="4"/>
      <c r="AF576" s="4"/>
      <c r="AG576" s="4"/>
      <c r="AH576" s="4"/>
      <c r="AI576" s="4"/>
      <c r="AJ576" s="76" t="str">
        <f>IF(E576="○",IF(COUNTA(E$13:E576)=1,"",",")&amp;D576,"")</f>
        <v/>
      </c>
      <c r="AK576" s="4"/>
      <c r="AL576" s="4"/>
      <c r="AM576" s="4"/>
      <c r="AN576" s="4"/>
      <c r="AO576" s="4"/>
      <c r="AP576" s="4"/>
      <c r="AQ576" s="4"/>
      <c r="AR576" s="4"/>
      <c r="AS576" s="76" t="str">
        <f>"COMMENT ON COLUMN "&amp;エンティティ一覧!$O$2&amp;"."&amp;D$8&amp;"."&amp;D576&amp;" IS '"&amp;C576&amp;"';"</f>
        <v>COMMENT ON COLUMN milscm_2023_009.sny_202310_annony_bef2.shikkan558_start_date IS 'G458_疾患開始日';</v>
      </c>
    </row>
    <row r="577" spans="1:45" s="25" customFormat="1">
      <c r="A577" s="4" t="s">
        <v>5650</v>
      </c>
      <c r="B577" s="21">
        <f t="shared" si="67"/>
        <v>565</v>
      </c>
      <c r="C577" s="13" t="s">
        <v>7040</v>
      </c>
      <c r="D577" s="13" t="s">
        <v>6219</v>
      </c>
      <c r="E577" s="8"/>
      <c r="F577" s="7" t="s">
        <v>4348</v>
      </c>
      <c r="G577" s="7" t="s">
        <v>25</v>
      </c>
      <c r="H577" s="58"/>
      <c r="I577" s="23"/>
      <c r="J577" s="24"/>
      <c r="M577" s="4"/>
      <c r="N577" s="76"/>
      <c r="O577" s="76"/>
      <c r="P577" s="76" t="str">
        <f t="shared" si="68"/>
        <v>,shikkan559_start_date</v>
      </c>
      <c r="Q577" s="76" t="str">
        <f t="shared" si="69"/>
        <v>DATE</v>
      </c>
      <c r="R577" s="76" t="str">
        <f t="shared" si="70"/>
        <v/>
      </c>
      <c r="S577" s="76" t="str">
        <f t="shared" si="71"/>
        <v/>
      </c>
      <c r="T577" s="76" t="str">
        <f t="shared" si="72"/>
        <v>-- G459_疾患開始日</v>
      </c>
      <c r="U577" s="4" t="str">
        <f t="shared" si="65"/>
        <v>, CASE WHEN shikkan_disp_name = 'G459' THEN min_shikkan_start_date ::DATE ELSE NULL END AS shikkan559_start_date</v>
      </c>
      <c r="V577" s="25" t="str">
        <f t="shared" si="66"/>
        <v>, max(shikkan559_start_date)</v>
      </c>
      <c r="AA577" s="4"/>
      <c r="AB577" s="4"/>
      <c r="AC577" s="4"/>
      <c r="AD577" s="4"/>
      <c r="AE577" s="4"/>
      <c r="AF577" s="4"/>
      <c r="AG577" s="4"/>
      <c r="AH577" s="4"/>
      <c r="AI577" s="4"/>
      <c r="AJ577" s="76" t="str">
        <f>IF(E577="○",IF(COUNTA(E$13:E577)=1,"",",")&amp;D577,"")</f>
        <v/>
      </c>
      <c r="AK577" s="4"/>
      <c r="AL577" s="4"/>
      <c r="AM577" s="4"/>
      <c r="AN577" s="4"/>
      <c r="AO577" s="4"/>
      <c r="AP577" s="4"/>
      <c r="AQ577" s="4"/>
      <c r="AR577" s="4"/>
      <c r="AS577" s="76" t="str">
        <f>"COMMENT ON COLUMN "&amp;エンティティ一覧!$O$2&amp;"."&amp;D$8&amp;"."&amp;D577&amp;" IS '"&amp;C577&amp;"';"</f>
        <v>COMMENT ON COLUMN milscm_2023_009.sny_202310_annony_bef2.shikkan559_start_date IS 'G459_疾患開始日';</v>
      </c>
    </row>
    <row r="578" spans="1:45" s="25" customFormat="1">
      <c r="A578" s="4" t="s">
        <v>5651</v>
      </c>
      <c r="B578" s="21">
        <f t="shared" si="67"/>
        <v>566</v>
      </c>
      <c r="C578" s="13" t="s">
        <v>7041</v>
      </c>
      <c r="D578" s="13" t="s">
        <v>6220</v>
      </c>
      <c r="E578" s="8"/>
      <c r="F578" s="7" t="s">
        <v>4348</v>
      </c>
      <c r="G578" s="7" t="s">
        <v>25</v>
      </c>
      <c r="H578" s="58"/>
      <c r="I578" s="23"/>
      <c r="J578" s="24"/>
      <c r="M578" s="4"/>
      <c r="N578" s="76"/>
      <c r="O578" s="76"/>
      <c r="P578" s="76" t="str">
        <f t="shared" si="68"/>
        <v>,shikkan560_start_date</v>
      </c>
      <c r="Q578" s="76" t="str">
        <f t="shared" si="69"/>
        <v>DATE</v>
      </c>
      <c r="R578" s="76" t="str">
        <f t="shared" si="70"/>
        <v/>
      </c>
      <c r="S578" s="76" t="str">
        <f t="shared" si="71"/>
        <v/>
      </c>
      <c r="T578" s="76" t="str">
        <f t="shared" si="72"/>
        <v>-- G460_疾患開始日</v>
      </c>
      <c r="U578" s="4" t="str">
        <f t="shared" si="65"/>
        <v>, CASE WHEN shikkan_disp_name = 'G460' THEN min_shikkan_start_date ::DATE ELSE NULL END AS shikkan560_start_date</v>
      </c>
      <c r="V578" s="25" t="str">
        <f t="shared" si="66"/>
        <v>, max(shikkan560_start_date)</v>
      </c>
      <c r="AA578" s="4"/>
      <c r="AB578" s="4"/>
      <c r="AC578" s="4"/>
      <c r="AD578" s="4"/>
      <c r="AE578" s="4"/>
      <c r="AF578" s="4"/>
      <c r="AG578" s="4"/>
      <c r="AH578" s="4"/>
      <c r="AI578" s="4"/>
      <c r="AJ578" s="76" t="str">
        <f>IF(E578="○",IF(COUNTA(E$13:E578)=1,"",",")&amp;D578,"")</f>
        <v/>
      </c>
      <c r="AK578" s="4"/>
      <c r="AL578" s="4"/>
      <c r="AM578" s="4"/>
      <c r="AN578" s="4"/>
      <c r="AO578" s="4"/>
      <c r="AP578" s="4"/>
      <c r="AQ578" s="4"/>
      <c r="AR578" s="4"/>
      <c r="AS578" s="76" t="str">
        <f>"COMMENT ON COLUMN "&amp;エンティティ一覧!$O$2&amp;"."&amp;D$8&amp;"."&amp;D578&amp;" IS '"&amp;C578&amp;"';"</f>
        <v>COMMENT ON COLUMN milscm_2023_009.sny_202310_annony_bef2.shikkan560_start_date IS 'G460_疾患開始日';</v>
      </c>
    </row>
    <row r="579" spans="1:45" s="25" customFormat="1">
      <c r="A579" s="4" t="s">
        <v>5652</v>
      </c>
      <c r="B579" s="21">
        <f t="shared" si="67"/>
        <v>567</v>
      </c>
      <c r="C579" s="13" t="s">
        <v>7042</v>
      </c>
      <c r="D579" s="13" t="s">
        <v>6221</v>
      </c>
      <c r="E579" s="8"/>
      <c r="F579" s="7" t="s">
        <v>4348</v>
      </c>
      <c r="G579" s="7" t="s">
        <v>25</v>
      </c>
      <c r="H579" s="58"/>
      <c r="I579" s="23"/>
      <c r="J579" s="24"/>
      <c r="M579" s="4"/>
      <c r="N579" s="76"/>
      <c r="O579" s="76"/>
      <c r="P579" s="76" t="str">
        <f t="shared" si="68"/>
        <v>,shikkan561_start_date</v>
      </c>
      <c r="Q579" s="76" t="str">
        <f t="shared" si="69"/>
        <v>DATE</v>
      </c>
      <c r="R579" s="76" t="str">
        <f t="shared" si="70"/>
        <v/>
      </c>
      <c r="S579" s="76" t="str">
        <f t="shared" si="71"/>
        <v/>
      </c>
      <c r="T579" s="76" t="str">
        <f t="shared" si="72"/>
        <v>-- G461_疾患開始日</v>
      </c>
      <c r="U579" s="4" t="str">
        <f t="shared" si="65"/>
        <v>, CASE WHEN shikkan_disp_name = 'G461' THEN min_shikkan_start_date ::DATE ELSE NULL END AS shikkan561_start_date</v>
      </c>
      <c r="V579" s="25" t="str">
        <f t="shared" si="66"/>
        <v>, max(shikkan561_start_date)</v>
      </c>
      <c r="AA579" s="4"/>
      <c r="AB579" s="4"/>
      <c r="AC579" s="4"/>
      <c r="AD579" s="4"/>
      <c r="AE579" s="4"/>
      <c r="AF579" s="4"/>
      <c r="AG579" s="4"/>
      <c r="AH579" s="4"/>
      <c r="AI579" s="4"/>
      <c r="AJ579" s="76" t="str">
        <f>IF(E579="○",IF(COUNTA(E$13:E579)=1,"",",")&amp;D579,"")</f>
        <v/>
      </c>
      <c r="AK579" s="4"/>
      <c r="AL579" s="4"/>
      <c r="AM579" s="4"/>
      <c r="AN579" s="4"/>
      <c r="AO579" s="4"/>
      <c r="AP579" s="4"/>
      <c r="AQ579" s="4"/>
      <c r="AR579" s="4"/>
      <c r="AS579" s="76" t="str">
        <f>"COMMENT ON COLUMN "&amp;エンティティ一覧!$O$2&amp;"."&amp;D$8&amp;"."&amp;D579&amp;" IS '"&amp;C579&amp;"';"</f>
        <v>COMMENT ON COLUMN milscm_2023_009.sny_202310_annony_bef2.shikkan561_start_date IS 'G461_疾患開始日';</v>
      </c>
    </row>
    <row r="580" spans="1:45" s="25" customFormat="1">
      <c r="A580" s="4" t="s">
        <v>5653</v>
      </c>
      <c r="B580" s="21">
        <f t="shared" si="67"/>
        <v>568</v>
      </c>
      <c r="C580" s="13" t="s">
        <v>7043</v>
      </c>
      <c r="D580" s="13" t="s">
        <v>6222</v>
      </c>
      <c r="E580" s="8"/>
      <c r="F580" s="7" t="s">
        <v>4348</v>
      </c>
      <c r="G580" s="7" t="s">
        <v>25</v>
      </c>
      <c r="H580" s="58"/>
      <c r="I580" s="23"/>
      <c r="J580" s="24"/>
      <c r="M580" s="4"/>
      <c r="N580" s="76"/>
      <c r="O580" s="76"/>
      <c r="P580" s="76" t="str">
        <f t="shared" si="68"/>
        <v>,shikkan562_start_date</v>
      </c>
      <c r="Q580" s="76" t="str">
        <f t="shared" si="69"/>
        <v>DATE</v>
      </c>
      <c r="R580" s="76" t="str">
        <f t="shared" si="70"/>
        <v/>
      </c>
      <c r="S580" s="76" t="str">
        <f t="shared" si="71"/>
        <v/>
      </c>
      <c r="T580" s="76" t="str">
        <f t="shared" si="72"/>
        <v>-- G462_疾患開始日</v>
      </c>
      <c r="U580" s="4" t="str">
        <f t="shared" si="65"/>
        <v>, CASE WHEN shikkan_disp_name = 'G462' THEN min_shikkan_start_date ::DATE ELSE NULL END AS shikkan562_start_date</v>
      </c>
      <c r="V580" s="25" t="str">
        <f t="shared" si="66"/>
        <v>, max(shikkan562_start_date)</v>
      </c>
      <c r="AA580" s="4"/>
      <c r="AB580" s="4"/>
      <c r="AC580" s="4"/>
      <c r="AD580" s="4"/>
      <c r="AE580" s="4"/>
      <c r="AF580" s="4"/>
      <c r="AG580" s="4"/>
      <c r="AH580" s="4"/>
      <c r="AI580" s="4"/>
      <c r="AJ580" s="76" t="str">
        <f>IF(E580="○",IF(COUNTA(E$13:E580)=1,"",",")&amp;D580,"")</f>
        <v/>
      </c>
      <c r="AK580" s="4"/>
      <c r="AL580" s="4"/>
      <c r="AM580" s="4"/>
      <c r="AN580" s="4"/>
      <c r="AO580" s="4"/>
      <c r="AP580" s="4"/>
      <c r="AQ580" s="4"/>
      <c r="AR580" s="4"/>
      <c r="AS580" s="76" t="str">
        <f>"COMMENT ON COLUMN "&amp;エンティティ一覧!$O$2&amp;"."&amp;D$8&amp;"."&amp;D580&amp;" IS '"&amp;C580&amp;"';"</f>
        <v>COMMENT ON COLUMN milscm_2023_009.sny_202310_annony_bef2.shikkan562_start_date IS 'G462_疾患開始日';</v>
      </c>
    </row>
    <row r="581" spans="1:45" s="25" customFormat="1">
      <c r="A581" s="4" t="s">
        <v>5654</v>
      </c>
      <c r="B581" s="21">
        <f t="shared" si="67"/>
        <v>569</v>
      </c>
      <c r="C581" s="13" t="s">
        <v>7044</v>
      </c>
      <c r="D581" s="13" t="s">
        <v>6223</v>
      </c>
      <c r="E581" s="8"/>
      <c r="F581" s="7" t="s">
        <v>4348</v>
      </c>
      <c r="G581" s="7" t="s">
        <v>25</v>
      </c>
      <c r="H581" s="58"/>
      <c r="I581" s="23"/>
      <c r="J581" s="24"/>
      <c r="M581" s="4"/>
      <c r="N581" s="76"/>
      <c r="O581" s="76"/>
      <c r="P581" s="76" t="str">
        <f t="shared" si="68"/>
        <v>,shikkan563_start_date</v>
      </c>
      <c r="Q581" s="76" t="str">
        <f t="shared" si="69"/>
        <v>DATE</v>
      </c>
      <c r="R581" s="76" t="str">
        <f t="shared" si="70"/>
        <v/>
      </c>
      <c r="S581" s="76" t="str">
        <f t="shared" si="71"/>
        <v/>
      </c>
      <c r="T581" s="76" t="str">
        <f t="shared" si="72"/>
        <v>-- G463_疾患開始日</v>
      </c>
      <c r="U581" s="4" t="str">
        <f t="shared" si="65"/>
        <v>, CASE WHEN shikkan_disp_name = 'G463' THEN min_shikkan_start_date ::DATE ELSE NULL END AS shikkan563_start_date</v>
      </c>
      <c r="V581" s="25" t="str">
        <f t="shared" si="66"/>
        <v>, max(shikkan563_start_date)</v>
      </c>
      <c r="AA581" s="4"/>
      <c r="AB581" s="4"/>
      <c r="AC581" s="4"/>
      <c r="AD581" s="4"/>
      <c r="AE581" s="4"/>
      <c r="AF581" s="4"/>
      <c r="AG581" s="4"/>
      <c r="AH581" s="4"/>
      <c r="AI581" s="4"/>
      <c r="AJ581" s="76" t="str">
        <f>IF(E581="○",IF(COUNTA(E$13:E581)=1,"",",")&amp;D581,"")</f>
        <v/>
      </c>
      <c r="AK581" s="4"/>
      <c r="AL581" s="4"/>
      <c r="AM581" s="4"/>
      <c r="AN581" s="4"/>
      <c r="AO581" s="4"/>
      <c r="AP581" s="4"/>
      <c r="AQ581" s="4"/>
      <c r="AR581" s="4"/>
      <c r="AS581" s="76" t="str">
        <f>"COMMENT ON COLUMN "&amp;エンティティ一覧!$O$2&amp;"."&amp;D$8&amp;"."&amp;D581&amp;" IS '"&amp;C581&amp;"';"</f>
        <v>COMMENT ON COLUMN milscm_2023_009.sny_202310_annony_bef2.shikkan563_start_date IS 'G463_疾患開始日';</v>
      </c>
    </row>
    <row r="582" spans="1:45" s="25" customFormat="1">
      <c r="A582" s="4" t="s">
        <v>5655</v>
      </c>
      <c r="B582" s="21">
        <f t="shared" si="67"/>
        <v>570</v>
      </c>
      <c r="C582" s="13" t="s">
        <v>7045</v>
      </c>
      <c r="D582" s="13" t="s">
        <v>6224</v>
      </c>
      <c r="E582" s="8"/>
      <c r="F582" s="7" t="s">
        <v>4348</v>
      </c>
      <c r="G582" s="7" t="s">
        <v>25</v>
      </c>
      <c r="H582" s="58"/>
      <c r="I582" s="23"/>
      <c r="J582" s="24"/>
      <c r="M582" s="4"/>
      <c r="N582" s="76"/>
      <c r="O582" s="76"/>
      <c r="P582" s="76" t="str">
        <f t="shared" si="68"/>
        <v>,shikkan564_start_date</v>
      </c>
      <c r="Q582" s="76" t="str">
        <f t="shared" si="69"/>
        <v>DATE</v>
      </c>
      <c r="R582" s="76" t="str">
        <f t="shared" si="70"/>
        <v/>
      </c>
      <c r="S582" s="76" t="str">
        <f t="shared" si="71"/>
        <v/>
      </c>
      <c r="T582" s="76" t="str">
        <f t="shared" si="72"/>
        <v>-- G464_疾患開始日</v>
      </c>
      <c r="U582" s="4" t="str">
        <f t="shared" si="65"/>
        <v>, CASE WHEN shikkan_disp_name = 'G464' THEN min_shikkan_start_date ::DATE ELSE NULL END AS shikkan564_start_date</v>
      </c>
      <c r="V582" s="25" t="str">
        <f t="shared" si="66"/>
        <v>, max(shikkan564_start_date)</v>
      </c>
      <c r="AA582" s="4"/>
      <c r="AB582" s="4"/>
      <c r="AC582" s="4"/>
      <c r="AD582" s="4"/>
      <c r="AE582" s="4"/>
      <c r="AF582" s="4"/>
      <c r="AG582" s="4"/>
      <c r="AH582" s="4"/>
      <c r="AI582" s="4"/>
      <c r="AJ582" s="76" t="str">
        <f>IF(E582="○",IF(COUNTA(E$13:E582)=1,"",",")&amp;D582,"")</f>
        <v/>
      </c>
      <c r="AK582" s="4"/>
      <c r="AL582" s="4"/>
      <c r="AM582" s="4"/>
      <c r="AN582" s="4"/>
      <c r="AO582" s="4"/>
      <c r="AP582" s="4"/>
      <c r="AQ582" s="4"/>
      <c r="AR582" s="4"/>
      <c r="AS582" s="76" t="str">
        <f>"COMMENT ON COLUMN "&amp;エンティティ一覧!$O$2&amp;"."&amp;D$8&amp;"."&amp;D582&amp;" IS '"&amp;C582&amp;"';"</f>
        <v>COMMENT ON COLUMN milscm_2023_009.sny_202310_annony_bef2.shikkan564_start_date IS 'G464_疾患開始日';</v>
      </c>
    </row>
    <row r="583" spans="1:45" s="25" customFormat="1">
      <c r="A583" s="4" t="s">
        <v>5656</v>
      </c>
      <c r="B583" s="21">
        <f t="shared" si="67"/>
        <v>571</v>
      </c>
      <c r="C583" s="13" t="s">
        <v>7046</v>
      </c>
      <c r="D583" s="13" t="s">
        <v>6225</v>
      </c>
      <c r="E583" s="8"/>
      <c r="F583" s="7" t="s">
        <v>4348</v>
      </c>
      <c r="G583" s="7" t="s">
        <v>25</v>
      </c>
      <c r="H583" s="58"/>
      <c r="I583" s="23"/>
      <c r="J583" s="24"/>
      <c r="M583" s="4"/>
      <c r="N583" s="76"/>
      <c r="O583" s="76"/>
      <c r="P583" s="76" t="str">
        <f t="shared" si="68"/>
        <v>,shikkan565_start_date</v>
      </c>
      <c r="Q583" s="76" t="str">
        <f t="shared" si="69"/>
        <v>DATE</v>
      </c>
      <c r="R583" s="76" t="str">
        <f t="shared" si="70"/>
        <v/>
      </c>
      <c r="S583" s="76" t="str">
        <f t="shared" si="71"/>
        <v/>
      </c>
      <c r="T583" s="76" t="str">
        <f t="shared" si="72"/>
        <v>-- G465_疾患開始日</v>
      </c>
      <c r="U583" s="4" t="str">
        <f t="shared" si="65"/>
        <v>, CASE WHEN shikkan_disp_name = 'G465' THEN min_shikkan_start_date ::DATE ELSE NULL END AS shikkan565_start_date</v>
      </c>
      <c r="V583" s="25" t="str">
        <f t="shared" si="66"/>
        <v>, max(shikkan565_start_date)</v>
      </c>
      <c r="AA583" s="4"/>
      <c r="AB583" s="4"/>
      <c r="AC583" s="4"/>
      <c r="AD583" s="4"/>
      <c r="AE583" s="4"/>
      <c r="AF583" s="4"/>
      <c r="AG583" s="4"/>
      <c r="AH583" s="4"/>
      <c r="AI583" s="4"/>
      <c r="AJ583" s="76" t="str">
        <f>IF(E583="○",IF(COUNTA(E$13:E583)=1,"",",")&amp;D583,"")</f>
        <v/>
      </c>
      <c r="AK583" s="4"/>
      <c r="AL583" s="4"/>
      <c r="AM583" s="4"/>
      <c r="AN583" s="4"/>
      <c r="AO583" s="4"/>
      <c r="AP583" s="4"/>
      <c r="AQ583" s="4"/>
      <c r="AR583" s="4"/>
      <c r="AS583" s="76" t="str">
        <f>"COMMENT ON COLUMN "&amp;エンティティ一覧!$O$2&amp;"."&amp;D$8&amp;"."&amp;D583&amp;" IS '"&amp;C583&amp;"';"</f>
        <v>COMMENT ON COLUMN milscm_2023_009.sny_202310_annony_bef2.shikkan565_start_date IS 'G465_疾患開始日';</v>
      </c>
    </row>
    <row r="584" spans="1:45" s="25" customFormat="1">
      <c r="A584" s="4" t="s">
        <v>5657</v>
      </c>
      <c r="B584" s="21">
        <f t="shared" si="67"/>
        <v>572</v>
      </c>
      <c r="C584" s="13" t="s">
        <v>7047</v>
      </c>
      <c r="D584" s="13" t="s">
        <v>6226</v>
      </c>
      <c r="E584" s="8"/>
      <c r="F584" s="7" t="s">
        <v>4348</v>
      </c>
      <c r="G584" s="7" t="s">
        <v>25</v>
      </c>
      <c r="H584" s="58"/>
      <c r="I584" s="23"/>
      <c r="J584" s="24"/>
      <c r="M584" s="4"/>
      <c r="N584" s="76"/>
      <c r="O584" s="76"/>
      <c r="P584" s="76" t="str">
        <f t="shared" si="68"/>
        <v>,shikkan566_start_date</v>
      </c>
      <c r="Q584" s="76" t="str">
        <f t="shared" si="69"/>
        <v>DATE</v>
      </c>
      <c r="R584" s="76" t="str">
        <f t="shared" si="70"/>
        <v/>
      </c>
      <c r="S584" s="76" t="str">
        <f t="shared" si="71"/>
        <v/>
      </c>
      <c r="T584" s="76" t="str">
        <f t="shared" si="72"/>
        <v>-- G466_疾患開始日</v>
      </c>
      <c r="U584" s="4" t="str">
        <f t="shared" si="65"/>
        <v>, CASE WHEN shikkan_disp_name = 'G466' THEN min_shikkan_start_date ::DATE ELSE NULL END AS shikkan566_start_date</v>
      </c>
      <c r="V584" s="25" t="str">
        <f t="shared" si="66"/>
        <v>, max(shikkan566_start_date)</v>
      </c>
      <c r="AA584" s="4"/>
      <c r="AB584" s="4"/>
      <c r="AC584" s="4"/>
      <c r="AD584" s="4"/>
      <c r="AE584" s="4"/>
      <c r="AF584" s="4"/>
      <c r="AG584" s="4"/>
      <c r="AH584" s="4"/>
      <c r="AI584" s="4"/>
      <c r="AJ584" s="76" t="str">
        <f>IF(E584="○",IF(COUNTA(E$13:E584)=1,"",",")&amp;D584,"")</f>
        <v/>
      </c>
      <c r="AK584" s="4"/>
      <c r="AL584" s="4"/>
      <c r="AM584" s="4"/>
      <c r="AN584" s="4"/>
      <c r="AO584" s="4"/>
      <c r="AP584" s="4"/>
      <c r="AQ584" s="4"/>
      <c r="AR584" s="4"/>
      <c r="AS584" s="76" t="str">
        <f>"COMMENT ON COLUMN "&amp;エンティティ一覧!$O$2&amp;"."&amp;D$8&amp;"."&amp;D584&amp;" IS '"&amp;C584&amp;"';"</f>
        <v>COMMENT ON COLUMN milscm_2023_009.sny_202310_annony_bef2.shikkan566_start_date IS 'G466_疾患開始日';</v>
      </c>
    </row>
    <row r="585" spans="1:45" s="25" customFormat="1">
      <c r="A585" s="4" t="s">
        <v>5658</v>
      </c>
      <c r="B585" s="21">
        <f t="shared" si="67"/>
        <v>573</v>
      </c>
      <c r="C585" s="13" t="s">
        <v>7048</v>
      </c>
      <c r="D585" s="13" t="s">
        <v>6227</v>
      </c>
      <c r="E585" s="8"/>
      <c r="F585" s="7" t="s">
        <v>4348</v>
      </c>
      <c r="G585" s="7" t="s">
        <v>25</v>
      </c>
      <c r="H585" s="58"/>
      <c r="I585" s="23"/>
      <c r="J585" s="24"/>
      <c r="M585" s="4"/>
      <c r="N585" s="76"/>
      <c r="O585" s="76"/>
      <c r="P585" s="76" t="str">
        <f t="shared" si="68"/>
        <v>,shikkan567_start_date</v>
      </c>
      <c r="Q585" s="76" t="str">
        <f t="shared" si="69"/>
        <v>DATE</v>
      </c>
      <c r="R585" s="76" t="str">
        <f t="shared" si="70"/>
        <v/>
      </c>
      <c r="S585" s="76" t="str">
        <f t="shared" si="71"/>
        <v/>
      </c>
      <c r="T585" s="76" t="str">
        <f t="shared" si="72"/>
        <v>-- G467_疾患開始日</v>
      </c>
      <c r="U585" s="4" t="str">
        <f t="shared" si="65"/>
        <v>, CASE WHEN shikkan_disp_name = 'G467' THEN min_shikkan_start_date ::DATE ELSE NULL END AS shikkan567_start_date</v>
      </c>
      <c r="V585" s="25" t="str">
        <f t="shared" si="66"/>
        <v>, max(shikkan567_start_date)</v>
      </c>
      <c r="AA585" s="4"/>
      <c r="AB585" s="4"/>
      <c r="AC585" s="4"/>
      <c r="AD585" s="4"/>
      <c r="AE585" s="4"/>
      <c r="AF585" s="4"/>
      <c r="AG585" s="4"/>
      <c r="AH585" s="4"/>
      <c r="AI585" s="4"/>
      <c r="AJ585" s="76" t="str">
        <f>IF(E585="○",IF(COUNTA(E$13:E585)=1,"",",")&amp;D585,"")</f>
        <v/>
      </c>
      <c r="AK585" s="4"/>
      <c r="AL585" s="4"/>
      <c r="AM585" s="4"/>
      <c r="AN585" s="4"/>
      <c r="AO585" s="4"/>
      <c r="AP585" s="4"/>
      <c r="AQ585" s="4"/>
      <c r="AR585" s="4"/>
      <c r="AS585" s="76" t="str">
        <f>"COMMENT ON COLUMN "&amp;エンティティ一覧!$O$2&amp;"."&amp;D$8&amp;"."&amp;D585&amp;" IS '"&amp;C585&amp;"';"</f>
        <v>COMMENT ON COLUMN milscm_2023_009.sny_202310_annony_bef2.shikkan567_start_date IS 'G467_疾患開始日';</v>
      </c>
    </row>
    <row r="586" spans="1:45" s="25" customFormat="1">
      <c r="A586" s="4" t="s">
        <v>5659</v>
      </c>
      <c r="B586" s="21">
        <f t="shared" si="67"/>
        <v>574</v>
      </c>
      <c r="C586" s="13" t="s">
        <v>7049</v>
      </c>
      <c r="D586" s="13" t="s">
        <v>6228</v>
      </c>
      <c r="E586" s="8"/>
      <c r="F586" s="7" t="s">
        <v>4348</v>
      </c>
      <c r="G586" s="7" t="s">
        <v>25</v>
      </c>
      <c r="H586" s="58"/>
      <c r="I586" s="23"/>
      <c r="J586" s="24"/>
      <c r="M586" s="4"/>
      <c r="N586" s="76"/>
      <c r="O586" s="76"/>
      <c r="P586" s="76" t="str">
        <f t="shared" si="68"/>
        <v>,shikkan568_start_date</v>
      </c>
      <c r="Q586" s="76" t="str">
        <f t="shared" si="69"/>
        <v>DATE</v>
      </c>
      <c r="R586" s="76" t="str">
        <f t="shared" si="70"/>
        <v/>
      </c>
      <c r="S586" s="76" t="str">
        <f t="shared" si="71"/>
        <v/>
      </c>
      <c r="T586" s="76" t="str">
        <f t="shared" si="72"/>
        <v>-- G468_疾患開始日</v>
      </c>
      <c r="U586" s="4" t="str">
        <f t="shared" si="65"/>
        <v>, CASE WHEN shikkan_disp_name = 'G468' THEN min_shikkan_start_date ::DATE ELSE NULL END AS shikkan568_start_date</v>
      </c>
      <c r="V586" s="25" t="str">
        <f t="shared" si="66"/>
        <v>, max(shikkan568_start_date)</v>
      </c>
      <c r="AA586" s="4"/>
      <c r="AB586" s="4"/>
      <c r="AC586" s="4"/>
      <c r="AD586" s="4"/>
      <c r="AE586" s="4"/>
      <c r="AF586" s="4"/>
      <c r="AG586" s="4"/>
      <c r="AH586" s="4"/>
      <c r="AI586" s="4"/>
      <c r="AJ586" s="76" t="str">
        <f>IF(E586="○",IF(COUNTA(E$13:E586)=1,"",",")&amp;D586,"")</f>
        <v/>
      </c>
      <c r="AK586" s="4"/>
      <c r="AL586" s="4"/>
      <c r="AM586" s="4"/>
      <c r="AN586" s="4"/>
      <c r="AO586" s="4"/>
      <c r="AP586" s="4"/>
      <c r="AQ586" s="4"/>
      <c r="AR586" s="4"/>
      <c r="AS586" s="76" t="str">
        <f>"COMMENT ON COLUMN "&amp;エンティティ一覧!$O$2&amp;"."&amp;D$8&amp;"."&amp;D586&amp;" IS '"&amp;C586&amp;"';"</f>
        <v>COMMENT ON COLUMN milscm_2023_009.sny_202310_annony_bef2.shikkan568_start_date IS 'G468_疾患開始日';</v>
      </c>
    </row>
    <row r="587" spans="1:45" s="25" customFormat="1">
      <c r="A587" s="4" t="s">
        <v>5660</v>
      </c>
      <c r="B587" s="21">
        <f t="shared" si="67"/>
        <v>575</v>
      </c>
      <c r="C587" s="13" t="s">
        <v>7050</v>
      </c>
      <c r="D587" s="13" t="s">
        <v>6229</v>
      </c>
      <c r="E587" s="8"/>
      <c r="F587" s="7" t="s">
        <v>4348</v>
      </c>
      <c r="G587" s="7" t="s">
        <v>25</v>
      </c>
      <c r="H587" s="58"/>
      <c r="I587" s="23"/>
      <c r="J587" s="24"/>
      <c r="M587" s="4"/>
      <c r="N587" s="76"/>
      <c r="O587" s="76"/>
      <c r="P587" s="76" t="str">
        <f t="shared" si="68"/>
        <v>,shikkan569_start_date</v>
      </c>
      <c r="Q587" s="76" t="str">
        <f t="shared" si="69"/>
        <v>DATE</v>
      </c>
      <c r="R587" s="76" t="str">
        <f t="shared" si="70"/>
        <v/>
      </c>
      <c r="S587" s="76" t="str">
        <f t="shared" si="71"/>
        <v/>
      </c>
      <c r="T587" s="76" t="str">
        <f t="shared" si="72"/>
        <v>-- G801_疾患開始日</v>
      </c>
      <c r="U587" s="4" t="str">
        <f t="shared" si="65"/>
        <v>, CASE WHEN shikkan_disp_name = 'G801' THEN min_shikkan_start_date ::DATE ELSE NULL END AS shikkan569_start_date</v>
      </c>
      <c r="V587" s="25" t="str">
        <f t="shared" si="66"/>
        <v>, max(shikkan569_start_date)</v>
      </c>
      <c r="AA587" s="4"/>
      <c r="AB587" s="4"/>
      <c r="AC587" s="4"/>
      <c r="AD587" s="4"/>
      <c r="AE587" s="4"/>
      <c r="AF587" s="4"/>
      <c r="AG587" s="4"/>
      <c r="AH587" s="4"/>
      <c r="AI587" s="4"/>
      <c r="AJ587" s="76" t="str">
        <f>IF(E587="○",IF(COUNTA(E$13:E587)=1,"",",")&amp;D587,"")</f>
        <v/>
      </c>
      <c r="AK587" s="4"/>
      <c r="AL587" s="4"/>
      <c r="AM587" s="4"/>
      <c r="AN587" s="4"/>
      <c r="AO587" s="4"/>
      <c r="AP587" s="4"/>
      <c r="AQ587" s="4"/>
      <c r="AR587" s="4"/>
      <c r="AS587" s="76" t="str">
        <f>"COMMENT ON COLUMN "&amp;エンティティ一覧!$O$2&amp;"."&amp;D$8&amp;"."&amp;D587&amp;" IS '"&amp;C587&amp;"';"</f>
        <v>COMMENT ON COLUMN milscm_2023_009.sny_202310_annony_bef2.shikkan569_start_date IS 'G801_疾患開始日';</v>
      </c>
    </row>
    <row r="588" spans="1:45" s="25" customFormat="1">
      <c r="A588" s="4" t="s">
        <v>5661</v>
      </c>
      <c r="B588" s="21">
        <f t="shared" si="67"/>
        <v>576</v>
      </c>
      <c r="C588" s="13" t="s">
        <v>7051</v>
      </c>
      <c r="D588" s="13" t="s">
        <v>6230</v>
      </c>
      <c r="E588" s="8"/>
      <c r="F588" s="7" t="s">
        <v>4348</v>
      </c>
      <c r="G588" s="7" t="s">
        <v>25</v>
      </c>
      <c r="H588" s="58"/>
      <c r="I588" s="23"/>
      <c r="J588" s="24"/>
      <c r="M588" s="4"/>
      <c r="N588" s="76"/>
      <c r="O588" s="76"/>
      <c r="P588" s="76" t="str">
        <f t="shared" si="68"/>
        <v>,shikkan570_start_date</v>
      </c>
      <c r="Q588" s="76" t="str">
        <f t="shared" si="69"/>
        <v>DATE</v>
      </c>
      <c r="R588" s="76" t="str">
        <f t="shared" si="70"/>
        <v/>
      </c>
      <c r="S588" s="76" t="str">
        <f t="shared" si="71"/>
        <v/>
      </c>
      <c r="T588" s="76" t="str">
        <f t="shared" si="72"/>
        <v>-- G802_疾患開始日</v>
      </c>
      <c r="U588" s="4" t="str">
        <f t="shared" si="65"/>
        <v>, CASE WHEN shikkan_disp_name = 'G802' THEN min_shikkan_start_date ::DATE ELSE NULL END AS shikkan570_start_date</v>
      </c>
      <c r="V588" s="25" t="str">
        <f t="shared" si="66"/>
        <v>, max(shikkan570_start_date)</v>
      </c>
      <c r="AA588" s="4"/>
      <c r="AB588" s="4"/>
      <c r="AC588" s="4"/>
      <c r="AD588" s="4"/>
      <c r="AE588" s="4"/>
      <c r="AF588" s="4"/>
      <c r="AG588" s="4"/>
      <c r="AH588" s="4"/>
      <c r="AI588" s="4"/>
      <c r="AJ588" s="76" t="str">
        <f>IF(E588="○",IF(COUNTA(E$13:E588)=1,"",",")&amp;D588,"")</f>
        <v/>
      </c>
      <c r="AK588" s="4"/>
      <c r="AL588" s="4"/>
      <c r="AM588" s="4"/>
      <c r="AN588" s="4"/>
      <c r="AO588" s="4"/>
      <c r="AP588" s="4"/>
      <c r="AQ588" s="4"/>
      <c r="AR588" s="4"/>
      <c r="AS588" s="76" t="str">
        <f>"COMMENT ON COLUMN "&amp;エンティティ一覧!$O$2&amp;"."&amp;D$8&amp;"."&amp;D588&amp;" IS '"&amp;C588&amp;"';"</f>
        <v>COMMENT ON COLUMN milscm_2023_009.sny_202310_annony_bef2.shikkan570_start_date IS 'G802_疾患開始日';</v>
      </c>
    </row>
    <row r="589" spans="1:45" s="25" customFormat="1">
      <c r="A589" s="4" t="s">
        <v>5662</v>
      </c>
      <c r="B589" s="21">
        <f t="shared" si="67"/>
        <v>577</v>
      </c>
      <c r="C589" s="13" t="s">
        <v>7052</v>
      </c>
      <c r="D589" s="13" t="s">
        <v>6231</v>
      </c>
      <c r="E589" s="8"/>
      <c r="F589" s="7" t="s">
        <v>4348</v>
      </c>
      <c r="G589" s="7" t="s">
        <v>25</v>
      </c>
      <c r="H589" s="58"/>
      <c r="I589" s="23"/>
      <c r="J589" s="24"/>
      <c r="M589" s="4"/>
      <c r="N589" s="76"/>
      <c r="O589" s="76"/>
      <c r="P589" s="76" t="str">
        <f t="shared" si="68"/>
        <v>,shikkan571_start_date</v>
      </c>
      <c r="Q589" s="76" t="str">
        <f t="shared" si="69"/>
        <v>DATE</v>
      </c>
      <c r="R589" s="76" t="str">
        <f t="shared" si="70"/>
        <v/>
      </c>
      <c r="S589" s="76" t="str">
        <f t="shared" si="71"/>
        <v/>
      </c>
      <c r="T589" s="76" t="str">
        <f t="shared" si="72"/>
        <v>-- G810_疾患開始日</v>
      </c>
      <c r="U589" s="4" t="str">
        <f t="shared" si="65"/>
        <v>, CASE WHEN shikkan_disp_name = 'G810' THEN min_shikkan_start_date ::DATE ELSE NULL END AS shikkan571_start_date</v>
      </c>
      <c r="V589" s="25" t="str">
        <f t="shared" si="66"/>
        <v>, max(shikkan571_start_date)</v>
      </c>
      <c r="AA589" s="4"/>
      <c r="AB589" s="4"/>
      <c r="AC589" s="4"/>
      <c r="AD589" s="4"/>
      <c r="AE589" s="4"/>
      <c r="AF589" s="4"/>
      <c r="AG589" s="4"/>
      <c r="AH589" s="4"/>
      <c r="AI589" s="4"/>
      <c r="AJ589" s="76" t="str">
        <f>IF(E589="○",IF(COUNTA(E$13:E589)=1,"",",")&amp;D589,"")</f>
        <v/>
      </c>
      <c r="AK589" s="4"/>
      <c r="AL589" s="4"/>
      <c r="AM589" s="4"/>
      <c r="AN589" s="4"/>
      <c r="AO589" s="4"/>
      <c r="AP589" s="4"/>
      <c r="AQ589" s="4"/>
      <c r="AR589" s="4"/>
      <c r="AS589" s="76" t="str">
        <f>"COMMENT ON COLUMN "&amp;エンティティ一覧!$O$2&amp;"."&amp;D$8&amp;"."&amp;D589&amp;" IS '"&amp;C589&amp;"';"</f>
        <v>COMMENT ON COLUMN milscm_2023_009.sny_202310_annony_bef2.shikkan571_start_date IS 'G810_疾患開始日';</v>
      </c>
    </row>
    <row r="590" spans="1:45" s="25" customFormat="1">
      <c r="A590" s="4" t="s">
        <v>5663</v>
      </c>
      <c r="B590" s="21">
        <f t="shared" si="67"/>
        <v>578</v>
      </c>
      <c r="C590" s="13" t="s">
        <v>7053</v>
      </c>
      <c r="D590" s="13" t="s">
        <v>6232</v>
      </c>
      <c r="E590" s="8"/>
      <c r="F590" s="7" t="s">
        <v>4348</v>
      </c>
      <c r="G590" s="7" t="s">
        <v>25</v>
      </c>
      <c r="H590" s="58"/>
      <c r="I590" s="23"/>
      <c r="J590" s="24"/>
      <c r="M590" s="4"/>
      <c r="N590" s="76"/>
      <c r="O590" s="76"/>
      <c r="P590" s="76" t="str">
        <f t="shared" si="68"/>
        <v>,shikkan572_start_date</v>
      </c>
      <c r="Q590" s="76" t="str">
        <f t="shared" si="69"/>
        <v>DATE</v>
      </c>
      <c r="R590" s="76" t="str">
        <f t="shared" si="70"/>
        <v/>
      </c>
      <c r="S590" s="76" t="str">
        <f t="shared" si="71"/>
        <v/>
      </c>
      <c r="T590" s="76" t="str">
        <f t="shared" si="72"/>
        <v>-- G811_疾患開始日</v>
      </c>
      <c r="U590" s="4" t="str">
        <f t="shared" si="65"/>
        <v>, CASE WHEN shikkan_disp_name = 'G811' THEN min_shikkan_start_date ::DATE ELSE NULL END AS shikkan572_start_date</v>
      </c>
      <c r="V590" s="25" t="str">
        <f t="shared" si="66"/>
        <v>, max(shikkan572_start_date)</v>
      </c>
      <c r="AA590" s="4"/>
      <c r="AB590" s="4"/>
      <c r="AC590" s="4"/>
      <c r="AD590" s="4"/>
      <c r="AE590" s="4"/>
      <c r="AF590" s="4"/>
      <c r="AG590" s="4"/>
      <c r="AH590" s="4"/>
      <c r="AI590" s="4"/>
      <c r="AJ590" s="76" t="str">
        <f>IF(E590="○",IF(COUNTA(E$13:E590)=1,"",",")&amp;D590,"")</f>
        <v/>
      </c>
      <c r="AK590" s="4"/>
      <c r="AL590" s="4"/>
      <c r="AM590" s="4"/>
      <c r="AN590" s="4"/>
      <c r="AO590" s="4"/>
      <c r="AP590" s="4"/>
      <c r="AQ590" s="4"/>
      <c r="AR590" s="4"/>
      <c r="AS590" s="76" t="str">
        <f>"COMMENT ON COLUMN "&amp;エンティティ一覧!$O$2&amp;"."&amp;D$8&amp;"."&amp;D590&amp;" IS '"&amp;C590&amp;"';"</f>
        <v>COMMENT ON COLUMN milscm_2023_009.sny_202310_annony_bef2.shikkan572_start_date IS 'G811_疾患開始日';</v>
      </c>
    </row>
    <row r="591" spans="1:45" s="25" customFormat="1">
      <c r="A591" s="4" t="s">
        <v>5664</v>
      </c>
      <c r="B591" s="21">
        <f t="shared" si="67"/>
        <v>579</v>
      </c>
      <c r="C591" s="13" t="s">
        <v>7054</v>
      </c>
      <c r="D591" s="13" t="s">
        <v>6233</v>
      </c>
      <c r="E591" s="8"/>
      <c r="F591" s="7" t="s">
        <v>4348</v>
      </c>
      <c r="G591" s="7" t="s">
        <v>25</v>
      </c>
      <c r="H591" s="58"/>
      <c r="I591" s="23"/>
      <c r="J591" s="24"/>
      <c r="M591" s="4"/>
      <c r="N591" s="76"/>
      <c r="O591" s="76"/>
      <c r="P591" s="76" t="str">
        <f t="shared" si="68"/>
        <v>,shikkan573_start_date</v>
      </c>
      <c r="Q591" s="76" t="str">
        <f t="shared" si="69"/>
        <v>DATE</v>
      </c>
      <c r="R591" s="76" t="str">
        <f t="shared" si="70"/>
        <v/>
      </c>
      <c r="S591" s="76" t="str">
        <f t="shared" si="71"/>
        <v/>
      </c>
      <c r="T591" s="76" t="str">
        <f t="shared" si="72"/>
        <v>-- G819_疾患開始日</v>
      </c>
      <c r="U591" s="4" t="str">
        <f t="shared" si="65"/>
        <v>, CASE WHEN shikkan_disp_name = 'G819' THEN min_shikkan_start_date ::DATE ELSE NULL END AS shikkan573_start_date</v>
      </c>
      <c r="V591" s="25" t="str">
        <f t="shared" si="66"/>
        <v>, max(shikkan573_start_date)</v>
      </c>
      <c r="AA591" s="4"/>
      <c r="AB591" s="4"/>
      <c r="AC591" s="4"/>
      <c r="AD591" s="4"/>
      <c r="AE591" s="4"/>
      <c r="AF591" s="4"/>
      <c r="AG591" s="4"/>
      <c r="AH591" s="4"/>
      <c r="AI591" s="4"/>
      <c r="AJ591" s="76" t="str">
        <f>IF(E591="○",IF(COUNTA(E$13:E591)=1,"",",")&amp;D591,"")</f>
        <v/>
      </c>
      <c r="AK591" s="4"/>
      <c r="AL591" s="4"/>
      <c r="AM591" s="4"/>
      <c r="AN591" s="4"/>
      <c r="AO591" s="4"/>
      <c r="AP591" s="4"/>
      <c r="AQ591" s="4"/>
      <c r="AR591" s="4"/>
      <c r="AS591" s="76" t="str">
        <f>"COMMENT ON COLUMN "&amp;エンティティ一覧!$O$2&amp;"."&amp;D$8&amp;"."&amp;D591&amp;" IS '"&amp;C591&amp;"';"</f>
        <v>COMMENT ON COLUMN milscm_2023_009.sny_202310_annony_bef2.shikkan573_start_date IS 'G819_疾患開始日';</v>
      </c>
    </row>
    <row r="592" spans="1:45" s="25" customFormat="1">
      <c r="A592" s="4" t="s">
        <v>5665</v>
      </c>
      <c r="B592" s="21">
        <f t="shared" si="67"/>
        <v>580</v>
      </c>
      <c r="C592" s="13" t="s">
        <v>7055</v>
      </c>
      <c r="D592" s="13" t="s">
        <v>6234</v>
      </c>
      <c r="E592" s="8"/>
      <c r="F592" s="7" t="s">
        <v>4348</v>
      </c>
      <c r="G592" s="7" t="s">
        <v>25</v>
      </c>
      <c r="H592" s="58"/>
      <c r="I592" s="23"/>
      <c r="J592" s="24"/>
      <c r="M592" s="4"/>
      <c r="N592" s="76"/>
      <c r="O592" s="76"/>
      <c r="P592" s="76" t="str">
        <f t="shared" si="68"/>
        <v>,shikkan574_start_date</v>
      </c>
      <c r="Q592" s="76" t="str">
        <f t="shared" si="69"/>
        <v>DATE</v>
      </c>
      <c r="R592" s="76" t="str">
        <f t="shared" si="70"/>
        <v/>
      </c>
      <c r="S592" s="76" t="str">
        <f t="shared" si="71"/>
        <v/>
      </c>
      <c r="T592" s="76" t="str">
        <f t="shared" si="72"/>
        <v>-- G820_疾患開始日</v>
      </c>
      <c r="U592" s="4" t="str">
        <f t="shared" si="65"/>
        <v>, CASE WHEN shikkan_disp_name = 'G820' THEN min_shikkan_start_date ::DATE ELSE NULL END AS shikkan574_start_date</v>
      </c>
      <c r="V592" s="25" t="str">
        <f t="shared" si="66"/>
        <v>, max(shikkan574_start_date)</v>
      </c>
      <c r="AA592" s="4"/>
      <c r="AB592" s="4"/>
      <c r="AC592" s="4"/>
      <c r="AD592" s="4"/>
      <c r="AE592" s="4"/>
      <c r="AF592" s="4"/>
      <c r="AG592" s="4"/>
      <c r="AH592" s="4"/>
      <c r="AI592" s="4"/>
      <c r="AJ592" s="76" t="str">
        <f>IF(E592="○",IF(COUNTA(E$13:E592)=1,"",",")&amp;D592,"")</f>
        <v/>
      </c>
      <c r="AK592" s="4"/>
      <c r="AL592" s="4"/>
      <c r="AM592" s="4"/>
      <c r="AN592" s="4"/>
      <c r="AO592" s="4"/>
      <c r="AP592" s="4"/>
      <c r="AQ592" s="4"/>
      <c r="AR592" s="4"/>
      <c r="AS592" s="76" t="str">
        <f>"COMMENT ON COLUMN "&amp;エンティティ一覧!$O$2&amp;"."&amp;D$8&amp;"."&amp;D592&amp;" IS '"&amp;C592&amp;"';"</f>
        <v>COMMENT ON COLUMN milscm_2023_009.sny_202310_annony_bef2.shikkan574_start_date IS 'G820_疾患開始日';</v>
      </c>
    </row>
    <row r="593" spans="1:45" s="25" customFormat="1">
      <c r="A593" s="4" t="s">
        <v>5666</v>
      </c>
      <c r="B593" s="21">
        <f t="shared" si="67"/>
        <v>581</v>
      </c>
      <c r="C593" s="13" t="s">
        <v>7056</v>
      </c>
      <c r="D593" s="13" t="s">
        <v>6235</v>
      </c>
      <c r="E593" s="8"/>
      <c r="F593" s="7" t="s">
        <v>4348</v>
      </c>
      <c r="G593" s="7" t="s">
        <v>25</v>
      </c>
      <c r="H593" s="58"/>
      <c r="I593" s="23"/>
      <c r="J593" s="24"/>
      <c r="M593" s="4"/>
      <c r="N593" s="76"/>
      <c r="O593" s="76"/>
      <c r="P593" s="76" t="str">
        <f t="shared" si="68"/>
        <v>,shikkan575_start_date</v>
      </c>
      <c r="Q593" s="76" t="str">
        <f t="shared" si="69"/>
        <v>DATE</v>
      </c>
      <c r="R593" s="76" t="str">
        <f t="shared" si="70"/>
        <v/>
      </c>
      <c r="S593" s="76" t="str">
        <f t="shared" si="71"/>
        <v/>
      </c>
      <c r="T593" s="76" t="str">
        <f t="shared" si="72"/>
        <v>-- G821_疾患開始日</v>
      </c>
      <c r="U593" s="4" t="str">
        <f t="shared" si="65"/>
        <v>, CASE WHEN shikkan_disp_name = 'G821' THEN min_shikkan_start_date ::DATE ELSE NULL END AS shikkan575_start_date</v>
      </c>
      <c r="V593" s="25" t="str">
        <f t="shared" si="66"/>
        <v>, max(shikkan575_start_date)</v>
      </c>
      <c r="AA593" s="4"/>
      <c r="AB593" s="4"/>
      <c r="AC593" s="4"/>
      <c r="AD593" s="4"/>
      <c r="AE593" s="4"/>
      <c r="AF593" s="4"/>
      <c r="AG593" s="4"/>
      <c r="AH593" s="4"/>
      <c r="AI593" s="4"/>
      <c r="AJ593" s="76" t="str">
        <f>IF(E593="○",IF(COUNTA(E$13:E593)=1,"",",")&amp;D593,"")</f>
        <v/>
      </c>
      <c r="AK593" s="4"/>
      <c r="AL593" s="4"/>
      <c r="AM593" s="4"/>
      <c r="AN593" s="4"/>
      <c r="AO593" s="4"/>
      <c r="AP593" s="4"/>
      <c r="AQ593" s="4"/>
      <c r="AR593" s="4"/>
      <c r="AS593" s="76" t="str">
        <f>"COMMENT ON COLUMN "&amp;エンティティ一覧!$O$2&amp;"."&amp;D$8&amp;"."&amp;D593&amp;" IS '"&amp;C593&amp;"';"</f>
        <v>COMMENT ON COLUMN milscm_2023_009.sny_202310_annony_bef2.shikkan575_start_date IS 'G821_疾患開始日';</v>
      </c>
    </row>
    <row r="594" spans="1:45" s="25" customFormat="1">
      <c r="A594" s="4" t="s">
        <v>5667</v>
      </c>
      <c r="B594" s="21">
        <f t="shared" si="67"/>
        <v>582</v>
      </c>
      <c r="C594" s="13" t="s">
        <v>7057</v>
      </c>
      <c r="D594" s="13" t="s">
        <v>6236</v>
      </c>
      <c r="E594" s="8"/>
      <c r="F594" s="7" t="s">
        <v>4348</v>
      </c>
      <c r="G594" s="7" t="s">
        <v>25</v>
      </c>
      <c r="H594" s="58"/>
      <c r="I594" s="23"/>
      <c r="J594" s="24"/>
      <c r="M594" s="4"/>
      <c r="N594" s="76"/>
      <c r="O594" s="76"/>
      <c r="P594" s="76" t="str">
        <f t="shared" si="68"/>
        <v>,shikkan576_start_date</v>
      </c>
      <c r="Q594" s="76" t="str">
        <f t="shared" si="69"/>
        <v>DATE</v>
      </c>
      <c r="R594" s="76" t="str">
        <f t="shared" si="70"/>
        <v/>
      </c>
      <c r="S594" s="76" t="str">
        <f t="shared" si="71"/>
        <v/>
      </c>
      <c r="T594" s="76" t="str">
        <f t="shared" si="72"/>
        <v>-- G822_疾患開始日</v>
      </c>
      <c r="U594" s="4" t="str">
        <f t="shared" si="65"/>
        <v>, CASE WHEN shikkan_disp_name = 'G822' THEN min_shikkan_start_date ::DATE ELSE NULL END AS shikkan576_start_date</v>
      </c>
      <c r="V594" s="25" t="str">
        <f t="shared" si="66"/>
        <v>, max(shikkan576_start_date)</v>
      </c>
      <c r="AA594" s="4"/>
      <c r="AB594" s="4"/>
      <c r="AC594" s="4"/>
      <c r="AD594" s="4"/>
      <c r="AE594" s="4"/>
      <c r="AF594" s="4"/>
      <c r="AG594" s="4"/>
      <c r="AH594" s="4"/>
      <c r="AI594" s="4"/>
      <c r="AJ594" s="76" t="str">
        <f>IF(E594="○",IF(COUNTA(E$13:E594)=1,"",",")&amp;D594,"")</f>
        <v/>
      </c>
      <c r="AK594" s="4"/>
      <c r="AL594" s="4"/>
      <c r="AM594" s="4"/>
      <c r="AN594" s="4"/>
      <c r="AO594" s="4"/>
      <c r="AP594" s="4"/>
      <c r="AQ594" s="4"/>
      <c r="AR594" s="4"/>
      <c r="AS594" s="76" t="str">
        <f>"COMMENT ON COLUMN "&amp;エンティティ一覧!$O$2&amp;"."&amp;D$8&amp;"."&amp;D594&amp;" IS '"&amp;C594&amp;"';"</f>
        <v>COMMENT ON COLUMN milscm_2023_009.sny_202310_annony_bef2.shikkan576_start_date IS 'G822_疾患開始日';</v>
      </c>
    </row>
    <row r="595" spans="1:45" s="25" customFormat="1">
      <c r="A595" s="4" t="s">
        <v>5668</v>
      </c>
      <c r="B595" s="21">
        <f t="shared" si="67"/>
        <v>583</v>
      </c>
      <c r="C595" s="13" t="s">
        <v>7058</v>
      </c>
      <c r="D595" s="13" t="s">
        <v>6237</v>
      </c>
      <c r="E595" s="8"/>
      <c r="F595" s="7" t="s">
        <v>4348</v>
      </c>
      <c r="G595" s="7" t="s">
        <v>25</v>
      </c>
      <c r="H595" s="58"/>
      <c r="I595" s="23"/>
      <c r="J595" s="24"/>
      <c r="M595" s="4"/>
      <c r="N595" s="76"/>
      <c r="O595" s="76"/>
      <c r="P595" s="76" t="str">
        <f t="shared" si="68"/>
        <v>,shikkan577_start_date</v>
      </c>
      <c r="Q595" s="76" t="str">
        <f t="shared" si="69"/>
        <v>DATE</v>
      </c>
      <c r="R595" s="76" t="str">
        <f t="shared" si="70"/>
        <v/>
      </c>
      <c r="S595" s="76" t="str">
        <f t="shared" si="71"/>
        <v/>
      </c>
      <c r="T595" s="76" t="str">
        <f t="shared" si="72"/>
        <v>-- G823_疾患開始日</v>
      </c>
      <c r="U595" s="4" t="str">
        <f t="shared" ref="U595:U849" si="73">", CASE WHEN shikkan_disp_name = '"&amp;A595&amp;"' THEN min_shikkan_start_date ::DATE ELSE NULL END AS "&amp;D595</f>
        <v>, CASE WHEN shikkan_disp_name = 'G823' THEN min_shikkan_start_date ::DATE ELSE NULL END AS shikkan577_start_date</v>
      </c>
      <c r="V595" s="25" t="str">
        <f t="shared" ref="V595:V849" si="74">", max("&amp;D595&amp;")"</f>
        <v>, max(shikkan577_start_date)</v>
      </c>
      <c r="AA595" s="4"/>
      <c r="AB595" s="4"/>
      <c r="AC595" s="4"/>
      <c r="AD595" s="4"/>
      <c r="AE595" s="4"/>
      <c r="AF595" s="4"/>
      <c r="AG595" s="4"/>
      <c r="AH595" s="4"/>
      <c r="AI595" s="4"/>
      <c r="AJ595" s="76" t="str">
        <f>IF(E595="○",IF(COUNTA(E$13:E595)=1,"",",")&amp;D595,"")</f>
        <v/>
      </c>
      <c r="AK595" s="4"/>
      <c r="AL595" s="4"/>
      <c r="AM595" s="4"/>
      <c r="AN595" s="4"/>
      <c r="AO595" s="4"/>
      <c r="AP595" s="4"/>
      <c r="AQ595" s="4"/>
      <c r="AR595" s="4"/>
      <c r="AS595" s="76" t="str">
        <f>"COMMENT ON COLUMN "&amp;エンティティ一覧!$O$2&amp;"."&amp;D$8&amp;"."&amp;D595&amp;" IS '"&amp;C595&amp;"';"</f>
        <v>COMMENT ON COLUMN milscm_2023_009.sny_202310_annony_bef2.shikkan577_start_date IS 'G823_疾患開始日';</v>
      </c>
    </row>
    <row r="596" spans="1:45" s="25" customFormat="1">
      <c r="A596" s="4" t="s">
        <v>5669</v>
      </c>
      <c r="B596" s="21">
        <f t="shared" si="67"/>
        <v>584</v>
      </c>
      <c r="C596" s="13" t="s">
        <v>7059</v>
      </c>
      <c r="D596" s="13" t="s">
        <v>6238</v>
      </c>
      <c r="E596" s="8"/>
      <c r="F596" s="7" t="s">
        <v>4348</v>
      </c>
      <c r="G596" s="7" t="s">
        <v>25</v>
      </c>
      <c r="H596" s="58"/>
      <c r="I596" s="23"/>
      <c r="J596" s="24"/>
      <c r="M596" s="4"/>
      <c r="N596" s="76"/>
      <c r="O596" s="76"/>
      <c r="P596" s="76" t="str">
        <f t="shared" si="68"/>
        <v>,shikkan578_start_date</v>
      </c>
      <c r="Q596" s="76" t="str">
        <f t="shared" si="69"/>
        <v>DATE</v>
      </c>
      <c r="R596" s="76" t="str">
        <f t="shared" si="70"/>
        <v/>
      </c>
      <c r="S596" s="76" t="str">
        <f t="shared" si="71"/>
        <v/>
      </c>
      <c r="T596" s="76" t="str">
        <f t="shared" si="72"/>
        <v>-- G824_疾患開始日</v>
      </c>
      <c r="U596" s="4" t="str">
        <f t="shared" si="73"/>
        <v>, CASE WHEN shikkan_disp_name = 'G824' THEN min_shikkan_start_date ::DATE ELSE NULL END AS shikkan578_start_date</v>
      </c>
      <c r="V596" s="25" t="str">
        <f t="shared" si="74"/>
        <v>, max(shikkan578_start_date)</v>
      </c>
      <c r="AA596" s="4"/>
      <c r="AB596" s="4"/>
      <c r="AC596" s="4"/>
      <c r="AD596" s="4"/>
      <c r="AE596" s="4"/>
      <c r="AF596" s="4"/>
      <c r="AG596" s="4"/>
      <c r="AH596" s="4"/>
      <c r="AI596" s="4"/>
      <c r="AJ596" s="76" t="str">
        <f>IF(E596="○",IF(COUNTA(E$13:E596)=1,"",",")&amp;D596,"")</f>
        <v/>
      </c>
      <c r="AK596" s="4"/>
      <c r="AL596" s="4"/>
      <c r="AM596" s="4"/>
      <c r="AN596" s="4"/>
      <c r="AO596" s="4"/>
      <c r="AP596" s="4"/>
      <c r="AQ596" s="4"/>
      <c r="AR596" s="4"/>
      <c r="AS596" s="76" t="str">
        <f>"COMMENT ON COLUMN "&amp;エンティティ一覧!$O$2&amp;"."&amp;D$8&amp;"."&amp;D596&amp;" IS '"&amp;C596&amp;"';"</f>
        <v>COMMENT ON COLUMN milscm_2023_009.sny_202310_annony_bef2.shikkan578_start_date IS 'G824_疾患開始日';</v>
      </c>
    </row>
    <row r="597" spans="1:45" s="25" customFormat="1">
      <c r="A597" s="4" t="s">
        <v>5670</v>
      </c>
      <c r="B597" s="21">
        <f t="shared" ref="B597:B660" si="75">ROW()-12</f>
        <v>585</v>
      </c>
      <c r="C597" s="13" t="s">
        <v>7060</v>
      </c>
      <c r="D597" s="13" t="s">
        <v>6239</v>
      </c>
      <c r="E597" s="8"/>
      <c r="F597" s="7" t="s">
        <v>4348</v>
      </c>
      <c r="G597" s="7" t="s">
        <v>25</v>
      </c>
      <c r="H597" s="58"/>
      <c r="I597" s="23"/>
      <c r="J597" s="24"/>
      <c r="M597" s="4"/>
      <c r="N597" s="76"/>
      <c r="O597" s="76"/>
      <c r="P597" s="76" t="str">
        <f t="shared" si="68"/>
        <v>,shikkan579_start_date</v>
      </c>
      <c r="Q597" s="76" t="str">
        <f t="shared" si="69"/>
        <v>DATE</v>
      </c>
      <c r="R597" s="76" t="str">
        <f t="shared" si="70"/>
        <v/>
      </c>
      <c r="S597" s="76" t="str">
        <f t="shared" si="71"/>
        <v/>
      </c>
      <c r="T597" s="76" t="str">
        <f t="shared" si="72"/>
        <v>-- G825_疾患開始日</v>
      </c>
      <c r="U597" s="4" t="str">
        <f t="shared" si="73"/>
        <v>, CASE WHEN shikkan_disp_name = 'G825' THEN min_shikkan_start_date ::DATE ELSE NULL END AS shikkan579_start_date</v>
      </c>
      <c r="V597" s="25" t="str">
        <f t="shared" si="74"/>
        <v>, max(shikkan579_start_date)</v>
      </c>
      <c r="AA597" s="4"/>
      <c r="AB597" s="4"/>
      <c r="AC597" s="4"/>
      <c r="AD597" s="4"/>
      <c r="AE597" s="4"/>
      <c r="AF597" s="4"/>
      <c r="AG597" s="4"/>
      <c r="AH597" s="4"/>
      <c r="AI597" s="4"/>
      <c r="AJ597" s="76" t="str">
        <f>IF(E597="○",IF(COUNTA(E$13:E597)=1,"",",")&amp;D597,"")</f>
        <v/>
      </c>
      <c r="AK597" s="4"/>
      <c r="AL597" s="4"/>
      <c r="AM597" s="4"/>
      <c r="AN597" s="4"/>
      <c r="AO597" s="4"/>
      <c r="AP597" s="4"/>
      <c r="AQ597" s="4"/>
      <c r="AR597" s="4"/>
      <c r="AS597" s="76" t="str">
        <f>"COMMENT ON COLUMN "&amp;エンティティ一覧!$O$2&amp;"."&amp;D$8&amp;"."&amp;D597&amp;" IS '"&amp;C597&amp;"';"</f>
        <v>COMMENT ON COLUMN milscm_2023_009.sny_202310_annony_bef2.shikkan579_start_date IS 'G825_疾患開始日';</v>
      </c>
    </row>
    <row r="598" spans="1:45" s="25" customFormat="1">
      <c r="A598" s="4" t="s">
        <v>5671</v>
      </c>
      <c r="B598" s="21">
        <f t="shared" si="75"/>
        <v>586</v>
      </c>
      <c r="C598" s="13" t="s">
        <v>7061</v>
      </c>
      <c r="D598" s="13" t="s">
        <v>6240</v>
      </c>
      <c r="E598" s="8"/>
      <c r="F598" s="7" t="s">
        <v>4348</v>
      </c>
      <c r="G598" s="7" t="s">
        <v>25</v>
      </c>
      <c r="H598" s="58"/>
      <c r="I598" s="23"/>
      <c r="J598" s="24"/>
      <c r="M598" s="4"/>
      <c r="N598" s="76"/>
      <c r="O598" s="76"/>
      <c r="P598" s="76" t="str">
        <f t="shared" si="68"/>
        <v>,shikkan580_start_date</v>
      </c>
      <c r="Q598" s="76" t="str">
        <f t="shared" si="69"/>
        <v>DATE</v>
      </c>
      <c r="R598" s="76" t="str">
        <f t="shared" si="70"/>
        <v/>
      </c>
      <c r="S598" s="76" t="str">
        <f t="shared" si="71"/>
        <v/>
      </c>
      <c r="T598" s="76" t="str">
        <f t="shared" si="72"/>
        <v>-- G830_疾患開始日</v>
      </c>
      <c r="U598" s="4" t="str">
        <f t="shared" si="73"/>
        <v>, CASE WHEN shikkan_disp_name = 'G830' THEN min_shikkan_start_date ::DATE ELSE NULL END AS shikkan580_start_date</v>
      </c>
      <c r="V598" s="25" t="str">
        <f t="shared" si="74"/>
        <v>, max(shikkan580_start_date)</v>
      </c>
      <c r="AA598" s="4"/>
      <c r="AB598" s="4"/>
      <c r="AC598" s="4"/>
      <c r="AD598" s="4"/>
      <c r="AE598" s="4"/>
      <c r="AF598" s="4"/>
      <c r="AG598" s="4"/>
      <c r="AH598" s="4"/>
      <c r="AI598" s="4"/>
      <c r="AJ598" s="76" t="str">
        <f>IF(E598="○",IF(COUNTA(E$13:E598)=1,"",",")&amp;D598,"")</f>
        <v/>
      </c>
      <c r="AK598" s="4"/>
      <c r="AL598" s="4"/>
      <c r="AM598" s="4"/>
      <c r="AN598" s="4"/>
      <c r="AO598" s="4"/>
      <c r="AP598" s="4"/>
      <c r="AQ598" s="4"/>
      <c r="AR598" s="4"/>
      <c r="AS598" s="76" t="str">
        <f>"COMMENT ON COLUMN "&amp;エンティティ一覧!$O$2&amp;"."&amp;D$8&amp;"."&amp;D598&amp;" IS '"&amp;C598&amp;"';"</f>
        <v>COMMENT ON COLUMN milscm_2023_009.sny_202310_annony_bef2.shikkan580_start_date IS 'G830_疾患開始日';</v>
      </c>
    </row>
    <row r="599" spans="1:45" s="25" customFormat="1">
      <c r="A599" s="4" t="s">
        <v>5672</v>
      </c>
      <c r="B599" s="21">
        <f t="shared" si="75"/>
        <v>587</v>
      </c>
      <c r="C599" s="13" t="s">
        <v>7062</v>
      </c>
      <c r="D599" s="13" t="s">
        <v>6241</v>
      </c>
      <c r="E599" s="8"/>
      <c r="F599" s="7" t="s">
        <v>4348</v>
      </c>
      <c r="G599" s="7" t="s">
        <v>25</v>
      </c>
      <c r="H599" s="58"/>
      <c r="I599" s="23"/>
      <c r="J599" s="24"/>
      <c r="M599" s="4"/>
      <c r="N599" s="76"/>
      <c r="O599" s="76"/>
      <c r="P599" s="76" t="str">
        <f t="shared" si="68"/>
        <v>,shikkan581_start_date</v>
      </c>
      <c r="Q599" s="76" t="str">
        <f t="shared" si="69"/>
        <v>DATE</v>
      </c>
      <c r="R599" s="76" t="str">
        <f t="shared" si="70"/>
        <v/>
      </c>
      <c r="S599" s="76" t="str">
        <f t="shared" si="71"/>
        <v/>
      </c>
      <c r="T599" s="76" t="str">
        <f t="shared" si="72"/>
        <v>-- G831_疾患開始日</v>
      </c>
      <c r="U599" s="4" t="str">
        <f t="shared" si="73"/>
        <v>, CASE WHEN shikkan_disp_name = 'G831' THEN min_shikkan_start_date ::DATE ELSE NULL END AS shikkan581_start_date</v>
      </c>
      <c r="V599" s="25" t="str">
        <f t="shared" si="74"/>
        <v>, max(shikkan581_start_date)</v>
      </c>
      <c r="AA599" s="4"/>
      <c r="AB599" s="4"/>
      <c r="AC599" s="4"/>
      <c r="AD599" s="4"/>
      <c r="AE599" s="4"/>
      <c r="AF599" s="4"/>
      <c r="AG599" s="4"/>
      <c r="AH599" s="4"/>
      <c r="AI599" s="4"/>
      <c r="AJ599" s="76" t="str">
        <f>IF(E599="○",IF(COUNTA(E$13:E599)=1,"",",")&amp;D599,"")</f>
        <v/>
      </c>
      <c r="AK599" s="4"/>
      <c r="AL599" s="4"/>
      <c r="AM599" s="4"/>
      <c r="AN599" s="4"/>
      <c r="AO599" s="4"/>
      <c r="AP599" s="4"/>
      <c r="AQ599" s="4"/>
      <c r="AR599" s="4"/>
      <c r="AS599" s="76" t="str">
        <f>"COMMENT ON COLUMN "&amp;エンティティ一覧!$O$2&amp;"."&amp;D$8&amp;"."&amp;D599&amp;" IS '"&amp;C599&amp;"';"</f>
        <v>COMMENT ON COLUMN milscm_2023_009.sny_202310_annony_bef2.shikkan581_start_date IS 'G831_疾患開始日';</v>
      </c>
    </row>
    <row r="600" spans="1:45" s="25" customFormat="1">
      <c r="A600" s="4" t="s">
        <v>5673</v>
      </c>
      <c r="B600" s="21">
        <f t="shared" si="75"/>
        <v>588</v>
      </c>
      <c r="C600" s="13" t="s">
        <v>7063</v>
      </c>
      <c r="D600" s="13" t="s">
        <v>6242</v>
      </c>
      <c r="E600" s="8"/>
      <c r="F600" s="7" t="s">
        <v>4348</v>
      </c>
      <c r="G600" s="7" t="s">
        <v>25</v>
      </c>
      <c r="H600" s="58"/>
      <c r="I600" s="23"/>
      <c r="J600" s="24"/>
      <c r="M600" s="4"/>
      <c r="N600" s="76"/>
      <c r="O600" s="76"/>
      <c r="P600" s="76" t="str">
        <f t="shared" si="68"/>
        <v>,shikkan582_start_date</v>
      </c>
      <c r="Q600" s="76" t="str">
        <f t="shared" si="69"/>
        <v>DATE</v>
      </c>
      <c r="R600" s="76" t="str">
        <f t="shared" si="70"/>
        <v/>
      </c>
      <c r="S600" s="76" t="str">
        <f t="shared" si="71"/>
        <v/>
      </c>
      <c r="T600" s="76" t="str">
        <f t="shared" si="72"/>
        <v>-- G832_疾患開始日</v>
      </c>
      <c r="U600" s="4" t="str">
        <f t="shared" si="73"/>
        <v>, CASE WHEN shikkan_disp_name = 'G832' THEN min_shikkan_start_date ::DATE ELSE NULL END AS shikkan582_start_date</v>
      </c>
      <c r="V600" s="25" t="str">
        <f t="shared" si="74"/>
        <v>, max(shikkan582_start_date)</v>
      </c>
      <c r="AA600" s="4"/>
      <c r="AB600" s="4"/>
      <c r="AC600" s="4"/>
      <c r="AD600" s="4"/>
      <c r="AE600" s="4"/>
      <c r="AF600" s="4"/>
      <c r="AG600" s="4"/>
      <c r="AH600" s="4"/>
      <c r="AI600" s="4"/>
      <c r="AJ600" s="76" t="str">
        <f>IF(E600="○",IF(COUNTA(E$13:E600)=1,"",",")&amp;D600,"")</f>
        <v/>
      </c>
      <c r="AK600" s="4"/>
      <c r="AL600" s="4"/>
      <c r="AM600" s="4"/>
      <c r="AN600" s="4"/>
      <c r="AO600" s="4"/>
      <c r="AP600" s="4"/>
      <c r="AQ600" s="4"/>
      <c r="AR600" s="4"/>
      <c r="AS600" s="76" t="str">
        <f>"COMMENT ON COLUMN "&amp;エンティティ一覧!$O$2&amp;"."&amp;D$8&amp;"."&amp;D600&amp;" IS '"&amp;C600&amp;"';"</f>
        <v>COMMENT ON COLUMN milscm_2023_009.sny_202310_annony_bef2.shikkan582_start_date IS 'G832_疾患開始日';</v>
      </c>
    </row>
    <row r="601" spans="1:45" s="25" customFormat="1">
      <c r="A601" s="4" t="s">
        <v>5674</v>
      </c>
      <c r="B601" s="21">
        <f t="shared" si="75"/>
        <v>589</v>
      </c>
      <c r="C601" s="13" t="s">
        <v>7064</v>
      </c>
      <c r="D601" s="13" t="s">
        <v>6243</v>
      </c>
      <c r="E601" s="8"/>
      <c r="F601" s="7" t="s">
        <v>4348</v>
      </c>
      <c r="G601" s="7" t="s">
        <v>25</v>
      </c>
      <c r="H601" s="58"/>
      <c r="I601" s="23"/>
      <c r="J601" s="24"/>
      <c r="M601" s="4"/>
      <c r="N601" s="76"/>
      <c r="O601" s="76"/>
      <c r="P601" s="76" t="str">
        <f t="shared" si="68"/>
        <v>,shikkan583_start_date</v>
      </c>
      <c r="Q601" s="76" t="str">
        <f t="shared" si="69"/>
        <v>DATE</v>
      </c>
      <c r="R601" s="76" t="str">
        <f t="shared" si="70"/>
        <v/>
      </c>
      <c r="S601" s="76" t="str">
        <f t="shared" si="71"/>
        <v/>
      </c>
      <c r="T601" s="76" t="str">
        <f t="shared" si="72"/>
        <v>-- G833_疾患開始日</v>
      </c>
      <c r="U601" s="4" t="str">
        <f t="shared" si="73"/>
        <v>, CASE WHEN shikkan_disp_name = 'G833' THEN min_shikkan_start_date ::DATE ELSE NULL END AS shikkan583_start_date</v>
      </c>
      <c r="V601" s="25" t="str">
        <f t="shared" si="74"/>
        <v>, max(shikkan583_start_date)</v>
      </c>
      <c r="AA601" s="4"/>
      <c r="AB601" s="4"/>
      <c r="AC601" s="4"/>
      <c r="AD601" s="4"/>
      <c r="AE601" s="4"/>
      <c r="AF601" s="4"/>
      <c r="AG601" s="4"/>
      <c r="AH601" s="4"/>
      <c r="AI601" s="4"/>
      <c r="AJ601" s="76" t="str">
        <f>IF(E601="○",IF(COUNTA(E$13:E601)=1,"",",")&amp;D601,"")</f>
        <v/>
      </c>
      <c r="AK601" s="4"/>
      <c r="AL601" s="4"/>
      <c r="AM601" s="4"/>
      <c r="AN601" s="4"/>
      <c r="AO601" s="4"/>
      <c r="AP601" s="4"/>
      <c r="AQ601" s="4"/>
      <c r="AR601" s="4"/>
      <c r="AS601" s="76" t="str">
        <f>"COMMENT ON COLUMN "&amp;エンティティ一覧!$O$2&amp;"."&amp;D$8&amp;"."&amp;D601&amp;" IS '"&amp;C601&amp;"';"</f>
        <v>COMMENT ON COLUMN milscm_2023_009.sny_202310_annony_bef2.shikkan583_start_date IS 'G833_疾患開始日';</v>
      </c>
    </row>
    <row r="602" spans="1:45" s="25" customFormat="1">
      <c r="A602" s="4" t="s">
        <v>5675</v>
      </c>
      <c r="B602" s="21">
        <f t="shared" si="75"/>
        <v>590</v>
      </c>
      <c r="C602" s="13" t="s">
        <v>7065</v>
      </c>
      <c r="D602" s="13" t="s">
        <v>6244</v>
      </c>
      <c r="E602" s="8"/>
      <c r="F602" s="7" t="s">
        <v>4348</v>
      </c>
      <c r="G602" s="7" t="s">
        <v>25</v>
      </c>
      <c r="H602" s="58"/>
      <c r="I602" s="23"/>
      <c r="J602" s="24"/>
      <c r="M602" s="4"/>
      <c r="N602" s="76"/>
      <c r="O602" s="76"/>
      <c r="P602" s="76" t="str">
        <f t="shared" si="68"/>
        <v>,shikkan584_start_date</v>
      </c>
      <c r="Q602" s="76" t="str">
        <f t="shared" si="69"/>
        <v>DATE</v>
      </c>
      <c r="R602" s="76" t="str">
        <f t="shared" si="70"/>
        <v/>
      </c>
      <c r="S602" s="76" t="str">
        <f t="shared" si="71"/>
        <v/>
      </c>
      <c r="T602" s="76" t="str">
        <f t="shared" si="72"/>
        <v>-- G834_疾患開始日</v>
      </c>
      <c r="U602" s="4" t="str">
        <f t="shared" si="73"/>
        <v>, CASE WHEN shikkan_disp_name = 'G834' THEN min_shikkan_start_date ::DATE ELSE NULL END AS shikkan584_start_date</v>
      </c>
      <c r="V602" s="25" t="str">
        <f t="shared" si="74"/>
        <v>, max(shikkan584_start_date)</v>
      </c>
      <c r="AA602" s="4"/>
      <c r="AB602" s="4"/>
      <c r="AC602" s="4"/>
      <c r="AD602" s="4"/>
      <c r="AE602" s="4"/>
      <c r="AF602" s="4"/>
      <c r="AG602" s="4"/>
      <c r="AH602" s="4"/>
      <c r="AI602" s="4"/>
      <c r="AJ602" s="76" t="str">
        <f>IF(E602="○",IF(COUNTA(E$13:E602)=1,"",",")&amp;D602,"")</f>
        <v/>
      </c>
      <c r="AK602" s="4"/>
      <c r="AL602" s="4"/>
      <c r="AM602" s="4"/>
      <c r="AN602" s="4"/>
      <c r="AO602" s="4"/>
      <c r="AP602" s="4"/>
      <c r="AQ602" s="4"/>
      <c r="AR602" s="4"/>
      <c r="AS602" s="76" t="str">
        <f>"COMMENT ON COLUMN "&amp;エンティティ一覧!$O$2&amp;"."&amp;D$8&amp;"."&amp;D602&amp;" IS '"&amp;C602&amp;"';"</f>
        <v>COMMENT ON COLUMN milscm_2023_009.sny_202310_annony_bef2.shikkan584_start_date IS 'G834_疾患開始日';</v>
      </c>
    </row>
    <row r="603" spans="1:45" s="25" customFormat="1">
      <c r="A603" s="4" t="s">
        <v>5676</v>
      </c>
      <c r="B603" s="21">
        <f t="shared" si="75"/>
        <v>591</v>
      </c>
      <c r="C603" s="13" t="s">
        <v>7066</v>
      </c>
      <c r="D603" s="13" t="s">
        <v>6245</v>
      </c>
      <c r="E603" s="8"/>
      <c r="F603" s="7" t="s">
        <v>4348</v>
      </c>
      <c r="G603" s="7" t="s">
        <v>25</v>
      </c>
      <c r="H603" s="58"/>
      <c r="I603" s="23"/>
      <c r="J603" s="24"/>
      <c r="M603" s="4"/>
      <c r="N603" s="76"/>
      <c r="O603" s="76"/>
      <c r="P603" s="76" t="str">
        <f t="shared" si="68"/>
        <v>,shikkan585_start_date</v>
      </c>
      <c r="Q603" s="76" t="str">
        <f t="shared" si="69"/>
        <v>DATE</v>
      </c>
      <c r="R603" s="76" t="str">
        <f t="shared" si="70"/>
        <v/>
      </c>
      <c r="S603" s="76" t="str">
        <f t="shared" si="71"/>
        <v/>
      </c>
      <c r="T603" s="76" t="str">
        <f t="shared" si="72"/>
        <v>-- G839_疾患開始日</v>
      </c>
      <c r="U603" s="4" t="str">
        <f t="shared" si="73"/>
        <v>, CASE WHEN shikkan_disp_name = 'G839' THEN min_shikkan_start_date ::DATE ELSE NULL END AS shikkan585_start_date</v>
      </c>
      <c r="V603" s="25" t="str">
        <f t="shared" si="74"/>
        <v>, max(shikkan585_start_date)</v>
      </c>
      <c r="AA603" s="4"/>
      <c r="AB603" s="4"/>
      <c r="AC603" s="4"/>
      <c r="AD603" s="4"/>
      <c r="AE603" s="4"/>
      <c r="AF603" s="4"/>
      <c r="AG603" s="4"/>
      <c r="AH603" s="4"/>
      <c r="AI603" s="4"/>
      <c r="AJ603" s="76" t="str">
        <f>IF(E603="○",IF(COUNTA(E$13:E603)=1,"",",")&amp;D603,"")</f>
        <v/>
      </c>
      <c r="AK603" s="4"/>
      <c r="AL603" s="4"/>
      <c r="AM603" s="4"/>
      <c r="AN603" s="4"/>
      <c r="AO603" s="4"/>
      <c r="AP603" s="4"/>
      <c r="AQ603" s="4"/>
      <c r="AR603" s="4"/>
      <c r="AS603" s="76" t="str">
        <f>"COMMENT ON COLUMN "&amp;エンティティ一覧!$O$2&amp;"."&amp;D$8&amp;"."&amp;D603&amp;" IS '"&amp;C603&amp;"';"</f>
        <v>COMMENT ON COLUMN milscm_2023_009.sny_202310_annony_bef2.shikkan585_start_date IS 'G839_疾患開始日';</v>
      </c>
    </row>
    <row r="604" spans="1:45" s="25" customFormat="1">
      <c r="A604" s="4" t="s">
        <v>5677</v>
      </c>
      <c r="B604" s="21">
        <f t="shared" si="75"/>
        <v>592</v>
      </c>
      <c r="C604" s="13" t="s">
        <v>7067</v>
      </c>
      <c r="D604" s="13" t="s">
        <v>6246</v>
      </c>
      <c r="E604" s="8"/>
      <c r="F604" s="7" t="s">
        <v>4348</v>
      </c>
      <c r="G604" s="7" t="s">
        <v>25</v>
      </c>
      <c r="H604" s="58"/>
      <c r="I604" s="23"/>
      <c r="J604" s="24"/>
      <c r="M604" s="4"/>
      <c r="N604" s="76"/>
      <c r="O604" s="76"/>
      <c r="P604" s="76" t="str">
        <f t="shared" si="68"/>
        <v>,shikkan586_start_date</v>
      </c>
      <c r="Q604" s="76" t="str">
        <f t="shared" si="69"/>
        <v>DATE</v>
      </c>
      <c r="R604" s="76" t="str">
        <f t="shared" si="70"/>
        <v/>
      </c>
      <c r="S604" s="76" t="str">
        <f t="shared" si="71"/>
        <v/>
      </c>
      <c r="T604" s="76" t="str">
        <f t="shared" si="72"/>
        <v>-- H340_疾患開始日</v>
      </c>
      <c r="U604" s="4" t="str">
        <f t="shared" si="73"/>
        <v>, CASE WHEN shikkan_disp_name = 'H340' THEN min_shikkan_start_date ::DATE ELSE NULL END AS shikkan586_start_date</v>
      </c>
      <c r="V604" s="25" t="str">
        <f t="shared" si="74"/>
        <v>, max(shikkan586_start_date)</v>
      </c>
      <c r="AA604" s="4"/>
      <c r="AB604" s="4"/>
      <c r="AC604" s="4"/>
      <c r="AD604" s="4"/>
      <c r="AE604" s="4"/>
      <c r="AF604" s="4"/>
      <c r="AG604" s="4"/>
      <c r="AH604" s="4"/>
      <c r="AI604" s="4"/>
      <c r="AJ604" s="76" t="str">
        <f>IF(E604="○",IF(COUNTA(E$13:E604)=1,"",",")&amp;D604,"")</f>
        <v/>
      </c>
      <c r="AK604" s="4"/>
      <c r="AL604" s="4"/>
      <c r="AM604" s="4"/>
      <c r="AN604" s="4"/>
      <c r="AO604" s="4"/>
      <c r="AP604" s="4"/>
      <c r="AQ604" s="4"/>
      <c r="AR604" s="4"/>
      <c r="AS604" s="76" t="str">
        <f>"COMMENT ON COLUMN "&amp;エンティティ一覧!$O$2&amp;"."&amp;D$8&amp;"."&amp;D604&amp;" IS '"&amp;C604&amp;"';"</f>
        <v>COMMENT ON COLUMN milscm_2023_009.sny_202310_annony_bef2.shikkan586_start_date IS 'H340_疾患開始日';</v>
      </c>
    </row>
    <row r="605" spans="1:45" s="25" customFormat="1">
      <c r="A605" s="4" t="s">
        <v>5678</v>
      </c>
      <c r="B605" s="21">
        <f t="shared" si="75"/>
        <v>593</v>
      </c>
      <c r="C605" s="13" t="s">
        <v>7068</v>
      </c>
      <c r="D605" s="13" t="s">
        <v>6247</v>
      </c>
      <c r="E605" s="8"/>
      <c r="F605" s="7" t="s">
        <v>4348</v>
      </c>
      <c r="G605" s="7" t="s">
        <v>25</v>
      </c>
      <c r="H605" s="58"/>
      <c r="I605" s="23"/>
      <c r="J605" s="24"/>
      <c r="M605" s="4"/>
      <c r="N605" s="76"/>
      <c r="O605" s="76"/>
      <c r="P605" s="76" t="str">
        <f t="shared" si="68"/>
        <v>,shikkan587_start_date</v>
      </c>
      <c r="Q605" s="76" t="str">
        <f t="shared" si="69"/>
        <v>DATE</v>
      </c>
      <c r="R605" s="76" t="str">
        <f t="shared" si="70"/>
        <v/>
      </c>
      <c r="S605" s="76" t="str">
        <f t="shared" si="71"/>
        <v/>
      </c>
      <c r="T605" s="76" t="str">
        <f t="shared" si="72"/>
        <v>-- I099_疾患開始日</v>
      </c>
      <c r="U605" s="4" t="str">
        <f t="shared" si="73"/>
        <v>, CASE WHEN shikkan_disp_name = 'I099' THEN min_shikkan_start_date ::DATE ELSE NULL END AS shikkan587_start_date</v>
      </c>
      <c r="V605" s="25" t="str">
        <f t="shared" si="74"/>
        <v>, max(shikkan587_start_date)</v>
      </c>
      <c r="AA605" s="4"/>
      <c r="AB605" s="4"/>
      <c r="AC605" s="4"/>
      <c r="AD605" s="4"/>
      <c r="AE605" s="4"/>
      <c r="AF605" s="4"/>
      <c r="AG605" s="4"/>
      <c r="AH605" s="4"/>
      <c r="AI605" s="4"/>
      <c r="AJ605" s="76" t="str">
        <f>IF(E605="○",IF(COUNTA(E$13:E605)=1,"",",")&amp;D605,"")</f>
        <v/>
      </c>
      <c r="AK605" s="4"/>
      <c r="AL605" s="4"/>
      <c r="AM605" s="4"/>
      <c r="AN605" s="4"/>
      <c r="AO605" s="4"/>
      <c r="AP605" s="4"/>
      <c r="AQ605" s="4"/>
      <c r="AR605" s="4"/>
      <c r="AS605" s="76" t="str">
        <f>"COMMENT ON COLUMN "&amp;エンティティ一覧!$O$2&amp;"."&amp;D$8&amp;"."&amp;D605&amp;" IS '"&amp;C605&amp;"';"</f>
        <v>COMMENT ON COLUMN milscm_2023_009.sny_202310_annony_bef2.shikkan587_start_date IS 'I099_疾患開始日';</v>
      </c>
    </row>
    <row r="606" spans="1:45" s="25" customFormat="1">
      <c r="A606" s="4" t="s">
        <v>5679</v>
      </c>
      <c r="B606" s="21">
        <f t="shared" si="75"/>
        <v>594</v>
      </c>
      <c r="C606" s="13" t="s">
        <v>7069</v>
      </c>
      <c r="D606" s="13" t="s">
        <v>6248</v>
      </c>
      <c r="E606" s="8"/>
      <c r="F606" s="7" t="s">
        <v>4348</v>
      </c>
      <c r="G606" s="7" t="s">
        <v>25</v>
      </c>
      <c r="H606" s="58"/>
      <c r="I606" s="23"/>
      <c r="J606" s="24"/>
      <c r="M606" s="4"/>
      <c r="N606" s="76"/>
      <c r="O606" s="76"/>
      <c r="P606" s="76" t="str">
        <f t="shared" si="68"/>
        <v>,shikkan588_start_date</v>
      </c>
      <c r="Q606" s="76" t="str">
        <f t="shared" si="69"/>
        <v>DATE</v>
      </c>
      <c r="R606" s="76" t="str">
        <f t="shared" si="70"/>
        <v/>
      </c>
      <c r="S606" s="76" t="str">
        <f t="shared" si="71"/>
        <v/>
      </c>
      <c r="T606" s="76" t="str">
        <f t="shared" si="72"/>
        <v>-- I110_疾患開始日</v>
      </c>
      <c r="U606" s="4" t="str">
        <f t="shared" si="73"/>
        <v>, CASE WHEN shikkan_disp_name = 'I110' THEN min_shikkan_start_date ::DATE ELSE NULL END AS shikkan588_start_date</v>
      </c>
      <c r="V606" s="25" t="str">
        <f t="shared" si="74"/>
        <v>, max(shikkan588_start_date)</v>
      </c>
      <c r="AA606" s="4"/>
      <c r="AB606" s="4"/>
      <c r="AC606" s="4"/>
      <c r="AD606" s="4"/>
      <c r="AE606" s="4"/>
      <c r="AF606" s="4"/>
      <c r="AG606" s="4"/>
      <c r="AH606" s="4"/>
      <c r="AI606" s="4"/>
      <c r="AJ606" s="76" t="str">
        <f>IF(E606="○",IF(COUNTA(E$13:E606)=1,"",",")&amp;D606,"")</f>
        <v/>
      </c>
      <c r="AK606" s="4"/>
      <c r="AL606" s="4"/>
      <c r="AM606" s="4"/>
      <c r="AN606" s="4"/>
      <c r="AO606" s="4"/>
      <c r="AP606" s="4"/>
      <c r="AQ606" s="4"/>
      <c r="AR606" s="4"/>
      <c r="AS606" s="76" t="str">
        <f>"COMMENT ON COLUMN "&amp;エンティティ一覧!$O$2&amp;"."&amp;D$8&amp;"."&amp;D606&amp;" IS '"&amp;C606&amp;"';"</f>
        <v>COMMENT ON COLUMN milscm_2023_009.sny_202310_annony_bef2.shikkan588_start_date IS 'I110_疾患開始日';</v>
      </c>
    </row>
    <row r="607" spans="1:45" s="25" customFormat="1">
      <c r="A607" s="4" t="s">
        <v>5680</v>
      </c>
      <c r="B607" s="21">
        <f t="shared" si="75"/>
        <v>595</v>
      </c>
      <c r="C607" s="13" t="s">
        <v>7070</v>
      </c>
      <c r="D607" s="13" t="s">
        <v>6249</v>
      </c>
      <c r="E607" s="8"/>
      <c r="F607" s="7" t="s">
        <v>4348</v>
      </c>
      <c r="G607" s="7" t="s">
        <v>25</v>
      </c>
      <c r="H607" s="58"/>
      <c r="I607" s="23"/>
      <c r="J607" s="24"/>
      <c r="M607" s="4"/>
      <c r="N607" s="76"/>
      <c r="O607" s="76"/>
      <c r="P607" s="76" t="str">
        <f t="shared" si="68"/>
        <v>,shikkan589_start_date</v>
      </c>
      <c r="Q607" s="76" t="str">
        <f t="shared" si="69"/>
        <v>DATE</v>
      </c>
      <c r="R607" s="76" t="str">
        <f t="shared" si="70"/>
        <v/>
      </c>
      <c r="S607" s="76" t="str">
        <f t="shared" si="71"/>
        <v/>
      </c>
      <c r="T607" s="76" t="str">
        <f t="shared" si="72"/>
        <v>-- I120_疾患開始日</v>
      </c>
      <c r="U607" s="4" t="str">
        <f t="shared" si="73"/>
        <v>, CASE WHEN shikkan_disp_name = 'I120' THEN min_shikkan_start_date ::DATE ELSE NULL END AS shikkan589_start_date</v>
      </c>
      <c r="V607" s="25" t="str">
        <f t="shared" si="74"/>
        <v>, max(shikkan589_start_date)</v>
      </c>
      <c r="AA607" s="4"/>
      <c r="AB607" s="4"/>
      <c r="AC607" s="4"/>
      <c r="AD607" s="4"/>
      <c r="AE607" s="4"/>
      <c r="AF607" s="4"/>
      <c r="AG607" s="4"/>
      <c r="AH607" s="4"/>
      <c r="AI607" s="4"/>
      <c r="AJ607" s="76" t="str">
        <f>IF(E607="○",IF(COUNTA(E$13:E607)=1,"",",")&amp;D607,"")</f>
        <v/>
      </c>
      <c r="AK607" s="4"/>
      <c r="AL607" s="4"/>
      <c r="AM607" s="4"/>
      <c r="AN607" s="4"/>
      <c r="AO607" s="4"/>
      <c r="AP607" s="4"/>
      <c r="AQ607" s="4"/>
      <c r="AR607" s="4"/>
      <c r="AS607" s="76" t="str">
        <f>"COMMENT ON COLUMN "&amp;エンティティ一覧!$O$2&amp;"."&amp;D$8&amp;"."&amp;D607&amp;" IS '"&amp;C607&amp;"';"</f>
        <v>COMMENT ON COLUMN milscm_2023_009.sny_202310_annony_bef2.shikkan589_start_date IS 'I120_疾患開始日';</v>
      </c>
    </row>
    <row r="608" spans="1:45" s="25" customFormat="1">
      <c r="A608" s="4" t="s">
        <v>5059</v>
      </c>
      <c r="B608" s="21">
        <f t="shared" si="75"/>
        <v>596</v>
      </c>
      <c r="C608" s="13" t="s">
        <v>4669</v>
      </c>
      <c r="D608" s="13" t="s">
        <v>6250</v>
      </c>
      <c r="E608" s="8"/>
      <c r="F608" s="7" t="s">
        <v>4348</v>
      </c>
      <c r="G608" s="7" t="s">
        <v>25</v>
      </c>
      <c r="H608" s="58"/>
      <c r="I608" s="23"/>
      <c r="J608" s="24"/>
      <c r="M608" s="4"/>
      <c r="N608" s="76"/>
      <c r="O608" s="76"/>
      <c r="P608" s="76" t="str">
        <f t="shared" si="68"/>
        <v>,shikkan590_start_date</v>
      </c>
      <c r="Q608" s="76" t="str">
        <f t="shared" si="69"/>
        <v>DATE</v>
      </c>
      <c r="R608" s="76" t="str">
        <f t="shared" si="70"/>
        <v/>
      </c>
      <c r="S608" s="76" t="str">
        <f t="shared" si="71"/>
        <v/>
      </c>
      <c r="T608" s="76" t="str">
        <f t="shared" si="72"/>
        <v>-- I130_疾患開始日</v>
      </c>
      <c r="U608" s="4" t="str">
        <f t="shared" si="73"/>
        <v>, CASE WHEN shikkan_disp_name = 'I130' THEN min_shikkan_start_date ::DATE ELSE NULL END AS shikkan590_start_date</v>
      </c>
      <c r="V608" s="25" t="str">
        <f t="shared" si="74"/>
        <v>, max(shikkan590_start_date)</v>
      </c>
      <c r="AA608" s="4"/>
      <c r="AB608" s="4"/>
      <c r="AC608" s="4"/>
      <c r="AD608" s="4"/>
      <c r="AE608" s="4"/>
      <c r="AF608" s="4"/>
      <c r="AG608" s="4"/>
      <c r="AH608" s="4"/>
      <c r="AI608" s="4"/>
      <c r="AJ608" s="76" t="str">
        <f>IF(E608="○",IF(COUNTA(E$13:E608)=1,"",",")&amp;D608,"")</f>
        <v/>
      </c>
      <c r="AK608" s="4"/>
      <c r="AL608" s="4"/>
      <c r="AM608" s="4"/>
      <c r="AN608" s="4"/>
      <c r="AO608" s="4"/>
      <c r="AP608" s="4"/>
      <c r="AQ608" s="4"/>
      <c r="AR608" s="4"/>
      <c r="AS608" s="76" t="str">
        <f>"COMMENT ON COLUMN "&amp;エンティティ一覧!$O$2&amp;"."&amp;D$8&amp;"."&amp;D608&amp;" IS '"&amp;C608&amp;"';"</f>
        <v>COMMENT ON COLUMN milscm_2023_009.sny_202310_annony_bef2.shikkan590_start_date IS 'I130_疾患開始日';</v>
      </c>
    </row>
    <row r="609" spans="1:45" s="25" customFormat="1">
      <c r="A609" s="4" t="s">
        <v>5137</v>
      </c>
      <c r="B609" s="21">
        <f t="shared" si="75"/>
        <v>597</v>
      </c>
      <c r="C609" s="13" t="s">
        <v>4747</v>
      </c>
      <c r="D609" s="13" t="s">
        <v>6251</v>
      </c>
      <c r="E609" s="8"/>
      <c r="F609" s="7" t="s">
        <v>4348</v>
      </c>
      <c r="G609" s="7" t="s">
        <v>99</v>
      </c>
      <c r="H609" s="58"/>
      <c r="I609" s="23"/>
      <c r="J609" s="24"/>
      <c r="M609" s="4"/>
      <c r="N609" s="76"/>
      <c r="O609" s="76"/>
      <c r="P609" s="76" t="str">
        <f t="shared" si="68"/>
        <v>,shikkan591_start_date</v>
      </c>
      <c r="Q609" s="76" t="str">
        <f t="shared" si="69"/>
        <v>DATE</v>
      </c>
      <c r="R609" s="76" t="str">
        <f t="shared" si="70"/>
        <v/>
      </c>
      <c r="S609" s="76" t="str">
        <f t="shared" si="71"/>
        <v/>
      </c>
      <c r="T609" s="76" t="str">
        <f t="shared" si="72"/>
        <v>-- I131_疾患開始日</v>
      </c>
      <c r="U609" s="4" t="str">
        <f t="shared" si="73"/>
        <v>, CASE WHEN shikkan_disp_name = 'I131' THEN min_shikkan_start_date ::DATE ELSE NULL END AS shikkan591_start_date</v>
      </c>
      <c r="V609" s="25" t="str">
        <f t="shared" si="74"/>
        <v>, max(shikkan591_start_date)</v>
      </c>
      <c r="AA609" s="4"/>
      <c r="AB609" s="4"/>
      <c r="AC609" s="4"/>
      <c r="AD609" s="4"/>
      <c r="AE609" s="4"/>
      <c r="AF609" s="4"/>
      <c r="AG609" s="4"/>
      <c r="AH609" s="4"/>
      <c r="AI609" s="4"/>
      <c r="AJ609" s="76" t="str">
        <f>IF(E609="○",IF(COUNTA(E$13:E609)=1,"",",")&amp;D609,"")</f>
        <v/>
      </c>
      <c r="AK609" s="4"/>
      <c r="AL609" s="4"/>
      <c r="AM609" s="4"/>
      <c r="AN609" s="4"/>
      <c r="AO609" s="4"/>
      <c r="AP609" s="4"/>
      <c r="AQ609" s="4"/>
      <c r="AR609" s="4"/>
      <c r="AS609" s="76" t="str">
        <f>"COMMENT ON COLUMN "&amp;エンティティ一覧!$O$2&amp;"."&amp;D$8&amp;"."&amp;D609&amp;" IS '"&amp;C609&amp;"';"</f>
        <v>COMMENT ON COLUMN milscm_2023_009.sny_202310_annony_bef2.shikkan591_start_date IS 'I131_疾患開始日';</v>
      </c>
    </row>
    <row r="610" spans="1:45" s="25" customFormat="1">
      <c r="A610" s="4" t="s">
        <v>5060</v>
      </c>
      <c r="B610" s="21">
        <f t="shared" si="75"/>
        <v>598</v>
      </c>
      <c r="C610" s="13" t="s">
        <v>4670</v>
      </c>
      <c r="D610" s="13" t="s">
        <v>6252</v>
      </c>
      <c r="E610" s="8"/>
      <c r="F610" s="7" t="s">
        <v>4348</v>
      </c>
      <c r="G610" s="7" t="s">
        <v>25</v>
      </c>
      <c r="H610" s="58"/>
      <c r="I610" s="23"/>
      <c r="J610" s="24"/>
      <c r="M610" s="4"/>
      <c r="N610" s="76"/>
      <c r="O610" s="76"/>
      <c r="P610" s="76" t="str">
        <f t="shared" si="68"/>
        <v>,shikkan592_start_date</v>
      </c>
      <c r="Q610" s="76" t="str">
        <f t="shared" si="69"/>
        <v>DATE</v>
      </c>
      <c r="R610" s="76" t="str">
        <f t="shared" si="70"/>
        <v/>
      </c>
      <c r="S610" s="76" t="str">
        <f t="shared" si="71"/>
        <v/>
      </c>
      <c r="T610" s="76" t="str">
        <f t="shared" si="72"/>
        <v>-- I132_疾患開始日</v>
      </c>
      <c r="U610" s="4" t="str">
        <f t="shared" si="73"/>
        <v>, CASE WHEN shikkan_disp_name = 'I132' THEN min_shikkan_start_date ::DATE ELSE NULL END AS shikkan592_start_date</v>
      </c>
      <c r="V610" s="25" t="str">
        <f t="shared" si="74"/>
        <v>, max(shikkan592_start_date)</v>
      </c>
      <c r="AA610" s="4"/>
      <c r="AB610" s="4"/>
      <c r="AC610" s="4"/>
      <c r="AD610" s="4"/>
      <c r="AE610" s="4"/>
      <c r="AF610" s="4"/>
      <c r="AG610" s="4"/>
      <c r="AH610" s="4"/>
      <c r="AI610" s="4"/>
      <c r="AJ610" s="76" t="str">
        <f>IF(E610="○",IF(COUNTA(E$13:E610)=1,"",",")&amp;D610,"")</f>
        <v/>
      </c>
      <c r="AK610" s="4"/>
      <c r="AL610" s="4"/>
      <c r="AM610" s="4"/>
      <c r="AN610" s="4"/>
      <c r="AO610" s="4"/>
      <c r="AP610" s="4"/>
      <c r="AQ610" s="4"/>
      <c r="AR610" s="4"/>
      <c r="AS610" s="76" t="str">
        <f>"COMMENT ON COLUMN "&amp;エンティティ一覧!$O$2&amp;"."&amp;D$8&amp;"."&amp;D610&amp;" IS '"&amp;C610&amp;"';"</f>
        <v>COMMENT ON COLUMN milscm_2023_009.sny_202310_annony_bef2.shikkan592_start_date IS 'I132_疾患開始日';</v>
      </c>
    </row>
    <row r="611" spans="1:45" s="25" customFormat="1">
      <c r="A611" s="4" t="s">
        <v>5681</v>
      </c>
      <c r="B611" s="21">
        <f t="shared" si="75"/>
        <v>599</v>
      </c>
      <c r="C611" s="13" t="s">
        <v>7071</v>
      </c>
      <c r="D611" s="13" t="s">
        <v>6253</v>
      </c>
      <c r="E611" s="8"/>
      <c r="F611" s="7" t="s">
        <v>4348</v>
      </c>
      <c r="G611" s="7" t="s">
        <v>25</v>
      </c>
      <c r="H611" s="58"/>
      <c r="I611" s="23"/>
      <c r="J611" s="24"/>
      <c r="M611" s="4"/>
      <c r="N611" s="76"/>
      <c r="O611" s="76"/>
      <c r="P611" s="76" t="str">
        <f t="shared" si="68"/>
        <v>,shikkan593_start_date</v>
      </c>
      <c r="Q611" s="76" t="str">
        <f t="shared" si="69"/>
        <v>DATE</v>
      </c>
      <c r="R611" s="76" t="str">
        <f t="shared" si="70"/>
        <v/>
      </c>
      <c r="S611" s="76" t="str">
        <f t="shared" si="71"/>
        <v/>
      </c>
      <c r="T611" s="76" t="str">
        <f t="shared" si="72"/>
        <v>-- I210_疾患開始日</v>
      </c>
      <c r="U611" s="4" t="str">
        <f t="shared" si="73"/>
        <v>, CASE WHEN shikkan_disp_name = 'I210' THEN min_shikkan_start_date ::DATE ELSE NULL END AS shikkan593_start_date</v>
      </c>
      <c r="V611" s="25" t="str">
        <f t="shared" si="74"/>
        <v>, max(shikkan593_start_date)</v>
      </c>
      <c r="AA611" s="4"/>
      <c r="AB611" s="4"/>
      <c r="AC611" s="4"/>
      <c r="AD611" s="4"/>
      <c r="AE611" s="4"/>
      <c r="AF611" s="4"/>
      <c r="AG611" s="4"/>
      <c r="AH611" s="4"/>
      <c r="AI611" s="4"/>
      <c r="AJ611" s="76" t="str">
        <f>IF(E611="○",IF(COUNTA(E$13:E611)=1,"",",")&amp;D611,"")</f>
        <v/>
      </c>
      <c r="AK611" s="4"/>
      <c r="AL611" s="4"/>
      <c r="AM611" s="4"/>
      <c r="AN611" s="4"/>
      <c r="AO611" s="4"/>
      <c r="AP611" s="4"/>
      <c r="AQ611" s="4"/>
      <c r="AR611" s="4"/>
      <c r="AS611" s="76" t="str">
        <f>"COMMENT ON COLUMN "&amp;エンティティ一覧!$O$2&amp;"."&amp;D$8&amp;"."&amp;D611&amp;" IS '"&amp;C611&amp;"';"</f>
        <v>COMMENT ON COLUMN milscm_2023_009.sny_202310_annony_bef2.shikkan593_start_date IS 'I210_疾患開始日';</v>
      </c>
    </row>
    <row r="612" spans="1:45" s="25" customFormat="1">
      <c r="A612" s="4" t="s">
        <v>5682</v>
      </c>
      <c r="B612" s="21">
        <f t="shared" si="75"/>
        <v>600</v>
      </c>
      <c r="C612" s="13" t="s">
        <v>7072</v>
      </c>
      <c r="D612" s="13" t="s">
        <v>6254</v>
      </c>
      <c r="E612" s="8"/>
      <c r="F612" s="7" t="s">
        <v>4348</v>
      </c>
      <c r="G612" s="7" t="s">
        <v>25</v>
      </c>
      <c r="H612" s="58"/>
      <c r="I612" s="23"/>
      <c r="J612" s="24"/>
      <c r="M612" s="4"/>
      <c r="N612" s="76"/>
      <c r="O612" s="76"/>
      <c r="P612" s="76" t="str">
        <f t="shared" ref="P612:P675" si="76">IF(B612&lt;&gt;1,","&amp;D612,D612)</f>
        <v>,shikkan594_start_date</v>
      </c>
      <c r="Q612" s="76" t="str">
        <f t="shared" ref="Q612:Q675" si="77">UPPER(G612)</f>
        <v>DATE</v>
      </c>
      <c r="R612" s="76" t="str">
        <f t="shared" ref="R612:R675" si="78">IF(H612&lt;&gt;"","default "&amp;IF(G612="text","'"&amp;H612&amp;"'",H612),"")</f>
        <v/>
      </c>
      <c r="S612" s="76" t="str">
        <f t="shared" ref="S612:S675" si="79">IF(I612="○","NOT NULL","")</f>
        <v/>
      </c>
      <c r="T612" s="76" t="str">
        <f t="shared" ref="T612:T675" si="80">"-- "&amp;C612</f>
        <v>-- I211_疾患開始日</v>
      </c>
      <c r="U612" s="4" t="str">
        <f t="shared" si="73"/>
        <v>, CASE WHEN shikkan_disp_name = 'I211' THEN min_shikkan_start_date ::DATE ELSE NULL END AS shikkan594_start_date</v>
      </c>
      <c r="V612" s="25" t="str">
        <f t="shared" si="74"/>
        <v>, max(shikkan594_start_date)</v>
      </c>
      <c r="AA612" s="4"/>
      <c r="AB612" s="4"/>
      <c r="AC612" s="4"/>
      <c r="AD612" s="4"/>
      <c r="AE612" s="4"/>
      <c r="AF612" s="4"/>
      <c r="AG612" s="4"/>
      <c r="AH612" s="4"/>
      <c r="AI612" s="4"/>
      <c r="AJ612" s="76" t="str">
        <f>IF(E612="○",IF(COUNTA(E$13:E612)=1,"",",")&amp;D612,"")</f>
        <v/>
      </c>
      <c r="AK612" s="4"/>
      <c r="AL612" s="4"/>
      <c r="AM612" s="4"/>
      <c r="AN612" s="4"/>
      <c r="AO612" s="4"/>
      <c r="AP612" s="4"/>
      <c r="AQ612" s="4"/>
      <c r="AR612" s="4"/>
      <c r="AS612" s="76" t="str">
        <f>"COMMENT ON COLUMN "&amp;エンティティ一覧!$O$2&amp;"."&amp;D$8&amp;"."&amp;D612&amp;" IS '"&amp;C612&amp;"';"</f>
        <v>COMMENT ON COLUMN milscm_2023_009.sny_202310_annony_bef2.shikkan594_start_date IS 'I211_疾患開始日';</v>
      </c>
    </row>
    <row r="613" spans="1:45" s="25" customFormat="1">
      <c r="A613" s="4" t="s">
        <v>5683</v>
      </c>
      <c r="B613" s="21">
        <f t="shared" si="75"/>
        <v>601</v>
      </c>
      <c r="C613" s="13" t="s">
        <v>7073</v>
      </c>
      <c r="D613" s="13" t="s">
        <v>6255</v>
      </c>
      <c r="E613" s="8"/>
      <c r="F613" s="7" t="s">
        <v>4348</v>
      </c>
      <c r="G613" s="7" t="s">
        <v>25</v>
      </c>
      <c r="H613" s="58"/>
      <c r="I613" s="23"/>
      <c r="J613" s="24"/>
      <c r="M613" s="4"/>
      <c r="N613" s="76"/>
      <c r="O613" s="76"/>
      <c r="P613" s="76" t="str">
        <f t="shared" si="76"/>
        <v>,shikkan595_start_date</v>
      </c>
      <c r="Q613" s="76" t="str">
        <f t="shared" si="77"/>
        <v>DATE</v>
      </c>
      <c r="R613" s="76" t="str">
        <f t="shared" si="78"/>
        <v/>
      </c>
      <c r="S613" s="76" t="str">
        <f t="shared" si="79"/>
        <v/>
      </c>
      <c r="T613" s="76" t="str">
        <f t="shared" si="80"/>
        <v>-- I212_疾患開始日</v>
      </c>
      <c r="U613" s="4" t="str">
        <f t="shared" si="73"/>
        <v>, CASE WHEN shikkan_disp_name = 'I212' THEN min_shikkan_start_date ::DATE ELSE NULL END AS shikkan595_start_date</v>
      </c>
      <c r="V613" s="25" t="str">
        <f t="shared" si="74"/>
        <v>, max(shikkan595_start_date)</v>
      </c>
      <c r="AA613" s="4"/>
      <c r="AB613" s="4"/>
      <c r="AC613" s="4"/>
      <c r="AD613" s="4"/>
      <c r="AE613" s="4"/>
      <c r="AF613" s="4"/>
      <c r="AG613" s="4"/>
      <c r="AH613" s="4"/>
      <c r="AI613" s="4"/>
      <c r="AJ613" s="76" t="str">
        <f>IF(E613="○",IF(COUNTA(E$13:E613)=1,"",",")&amp;D613,"")</f>
        <v/>
      </c>
      <c r="AK613" s="4"/>
      <c r="AL613" s="4"/>
      <c r="AM613" s="4"/>
      <c r="AN613" s="4"/>
      <c r="AO613" s="4"/>
      <c r="AP613" s="4"/>
      <c r="AQ613" s="4"/>
      <c r="AR613" s="4"/>
      <c r="AS613" s="76" t="str">
        <f>"COMMENT ON COLUMN "&amp;エンティティ一覧!$O$2&amp;"."&amp;D$8&amp;"."&amp;D613&amp;" IS '"&amp;C613&amp;"';"</f>
        <v>COMMENT ON COLUMN milscm_2023_009.sny_202310_annony_bef2.shikkan595_start_date IS 'I212_疾患開始日';</v>
      </c>
    </row>
    <row r="614" spans="1:45" s="25" customFormat="1">
      <c r="A614" s="4" t="s">
        <v>5684</v>
      </c>
      <c r="B614" s="21">
        <f t="shared" si="75"/>
        <v>602</v>
      </c>
      <c r="C614" s="13" t="s">
        <v>7074</v>
      </c>
      <c r="D614" s="13" t="s">
        <v>6256</v>
      </c>
      <c r="E614" s="8"/>
      <c r="F614" s="7" t="s">
        <v>4348</v>
      </c>
      <c r="G614" s="7" t="s">
        <v>25</v>
      </c>
      <c r="H614" s="58"/>
      <c r="I614" s="23"/>
      <c r="J614" s="24"/>
      <c r="M614" s="4"/>
      <c r="N614" s="76"/>
      <c r="O614" s="76"/>
      <c r="P614" s="76" t="str">
        <f t="shared" si="76"/>
        <v>,shikkan596_start_date</v>
      </c>
      <c r="Q614" s="76" t="str">
        <f t="shared" si="77"/>
        <v>DATE</v>
      </c>
      <c r="R614" s="76" t="str">
        <f t="shared" si="78"/>
        <v/>
      </c>
      <c r="S614" s="76" t="str">
        <f t="shared" si="79"/>
        <v/>
      </c>
      <c r="T614" s="76" t="str">
        <f t="shared" si="80"/>
        <v>-- I213_疾患開始日</v>
      </c>
      <c r="U614" s="4" t="str">
        <f t="shared" si="73"/>
        <v>, CASE WHEN shikkan_disp_name = 'I213' THEN min_shikkan_start_date ::DATE ELSE NULL END AS shikkan596_start_date</v>
      </c>
      <c r="V614" s="25" t="str">
        <f t="shared" si="74"/>
        <v>, max(shikkan596_start_date)</v>
      </c>
      <c r="AA614" s="4"/>
      <c r="AB614" s="4"/>
      <c r="AC614" s="4"/>
      <c r="AD614" s="4"/>
      <c r="AE614" s="4"/>
      <c r="AF614" s="4"/>
      <c r="AG614" s="4"/>
      <c r="AH614" s="4"/>
      <c r="AI614" s="4"/>
      <c r="AJ614" s="76" t="str">
        <f>IF(E614="○",IF(COUNTA(E$13:E614)=1,"",",")&amp;D614,"")</f>
        <v/>
      </c>
      <c r="AK614" s="4"/>
      <c r="AL614" s="4"/>
      <c r="AM614" s="4"/>
      <c r="AN614" s="4"/>
      <c r="AO614" s="4"/>
      <c r="AP614" s="4"/>
      <c r="AQ614" s="4"/>
      <c r="AR614" s="4"/>
      <c r="AS614" s="76" t="str">
        <f>"COMMENT ON COLUMN "&amp;エンティティ一覧!$O$2&amp;"."&amp;D$8&amp;"."&amp;D614&amp;" IS '"&amp;C614&amp;"';"</f>
        <v>COMMENT ON COLUMN milscm_2023_009.sny_202310_annony_bef2.shikkan596_start_date IS 'I213_疾患開始日';</v>
      </c>
    </row>
    <row r="615" spans="1:45" s="25" customFormat="1">
      <c r="A615" s="4" t="s">
        <v>5685</v>
      </c>
      <c r="B615" s="21">
        <f t="shared" si="75"/>
        <v>603</v>
      </c>
      <c r="C615" s="13" t="s">
        <v>7075</v>
      </c>
      <c r="D615" s="13" t="s">
        <v>6257</v>
      </c>
      <c r="E615" s="8"/>
      <c r="F615" s="7" t="s">
        <v>4348</v>
      </c>
      <c r="G615" s="7" t="s">
        <v>25</v>
      </c>
      <c r="H615" s="58"/>
      <c r="I615" s="23"/>
      <c r="J615" s="24"/>
      <c r="M615" s="4"/>
      <c r="N615" s="76"/>
      <c r="O615" s="76"/>
      <c r="P615" s="76" t="str">
        <f t="shared" si="76"/>
        <v>,shikkan597_start_date</v>
      </c>
      <c r="Q615" s="76" t="str">
        <f t="shared" si="77"/>
        <v>DATE</v>
      </c>
      <c r="R615" s="76" t="str">
        <f t="shared" si="78"/>
        <v/>
      </c>
      <c r="S615" s="76" t="str">
        <f t="shared" si="79"/>
        <v/>
      </c>
      <c r="T615" s="76" t="str">
        <f t="shared" si="80"/>
        <v>-- I214_疾患開始日</v>
      </c>
      <c r="U615" s="4" t="str">
        <f t="shared" si="73"/>
        <v>, CASE WHEN shikkan_disp_name = 'I214' THEN min_shikkan_start_date ::DATE ELSE NULL END AS shikkan597_start_date</v>
      </c>
      <c r="V615" s="25" t="str">
        <f t="shared" si="74"/>
        <v>, max(shikkan597_start_date)</v>
      </c>
      <c r="AA615" s="4"/>
      <c r="AB615" s="4"/>
      <c r="AC615" s="4"/>
      <c r="AD615" s="4"/>
      <c r="AE615" s="4"/>
      <c r="AF615" s="4"/>
      <c r="AG615" s="4"/>
      <c r="AH615" s="4"/>
      <c r="AI615" s="4"/>
      <c r="AJ615" s="76" t="str">
        <f>IF(E615="○",IF(COUNTA(E$13:E615)=1,"",",")&amp;D615,"")</f>
        <v/>
      </c>
      <c r="AK615" s="4"/>
      <c r="AL615" s="4"/>
      <c r="AM615" s="4"/>
      <c r="AN615" s="4"/>
      <c r="AO615" s="4"/>
      <c r="AP615" s="4"/>
      <c r="AQ615" s="4"/>
      <c r="AR615" s="4"/>
      <c r="AS615" s="76" t="str">
        <f>"COMMENT ON COLUMN "&amp;エンティティ一覧!$O$2&amp;"."&amp;D$8&amp;"."&amp;D615&amp;" IS '"&amp;C615&amp;"';"</f>
        <v>COMMENT ON COLUMN milscm_2023_009.sny_202310_annony_bef2.shikkan597_start_date IS 'I214_疾患開始日';</v>
      </c>
    </row>
    <row r="616" spans="1:45" s="25" customFormat="1">
      <c r="A616" s="4" t="s">
        <v>5686</v>
      </c>
      <c r="B616" s="21">
        <f t="shared" si="75"/>
        <v>604</v>
      </c>
      <c r="C616" s="13" t="s">
        <v>7076</v>
      </c>
      <c r="D616" s="13" t="s">
        <v>6258</v>
      </c>
      <c r="E616" s="8"/>
      <c r="F616" s="7" t="s">
        <v>4348</v>
      </c>
      <c r="G616" s="7" t="s">
        <v>25</v>
      </c>
      <c r="H616" s="58"/>
      <c r="I616" s="23"/>
      <c r="J616" s="24"/>
      <c r="M616" s="4"/>
      <c r="N616" s="76"/>
      <c r="O616" s="76"/>
      <c r="P616" s="76" t="str">
        <f t="shared" si="76"/>
        <v>,shikkan598_start_date</v>
      </c>
      <c r="Q616" s="76" t="str">
        <f t="shared" si="77"/>
        <v>DATE</v>
      </c>
      <c r="R616" s="76" t="str">
        <f t="shared" si="78"/>
        <v/>
      </c>
      <c r="S616" s="76" t="str">
        <f t="shared" si="79"/>
        <v/>
      </c>
      <c r="T616" s="76" t="str">
        <f t="shared" si="80"/>
        <v>-- I219_疾患開始日</v>
      </c>
      <c r="U616" s="4" t="str">
        <f t="shared" si="73"/>
        <v>, CASE WHEN shikkan_disp_name = 'I219' THEN min_shikkan_start_date ::DATE ELSE NULL END AS shikkan598_start_date</v>
      </c>
      <c r="V616" s="25" t="str">
        <f t="shared" si="74"/>
        <v>, max(shikkan598_start_date)</v>
      </c>
      <c r="AA616" s="4"/>
      <c r="AB616" s="4"/>
      <c r="AC616" s="4"/>
      <c r="AD616" s="4"/>
      <c r="AE616" s="4"/>
      <c r="AF616" s="4"/>
      <c r="AG616" s="4"/>
      <c r="AH616" s="4"/>
      <c r="AI616" s="4"/>
      <c r="AJ616" s="76" t="str">
        <f>IF(E616="○",IF(COUNTA(E$13:E616)=1,"",",")&amp;D616,"")</f>
        <v/>
      </c>
      <c r="AK616" s="4"/>
      <c r="AL616" s="4"/>
      <c r="AM616" s="4"/>
      <c r="AN616" s="4"/>
      <c r="AO616" s="4"/>
      <c r="AP616" s="4"/>
      <c r="AQ616" s="4"/>
      <c r="AR616" s="4"/>
      <c r="AS616" s="76" t="str">
        <f>"COMMENT ON COLUMN "&amp;エンティティ一覧!$O$2&amp;"."&amp;D$8&amp;"."&amp;D616&amp;" IS '"&amp;C616&amp;"';"</f>
        <v>COMMENT ON COLUMN milscm_2023_009.sny_202310_annony_bef2.shikkan598_start_date IS 'I219_疾患開始日';</v>
      </c>
    </row>
    <row r="617" spans="1:45" s="25" customFormat="1">
      <c r="A617" s="4" t="s">
        <v>5687</v>
      </c>
      <c r="B617" s="21">
        <f t="shared" si="75"/>
        <v>605</v>
      </c>
      <c r="C617" s="13" t="s">
        <v>7077</v>
      </c>
      <c r="D617" s="13" t="s">
        <v>6259</v>
      </c>
      <c r="E617" s="8"/>
      <c r="F617" s="7" t="s">
        <v>4348</v>
      </c>
      <c r="G617" s="7" t="s">
        <v>25</v>
      </c>
      <c r="H617" s="58"/>
      <c r="I617" s="23"/>
      <c r="J617" s="24"/>
      <c r="M617" s="4"/>
      <c r="N617" s="76"/>
      <c r="O617" s="76"/>
      <c r="P617" s="76" t="str">
        <f t="shared" si="76"/>
        <v>,shikkan599_start_date</v>
      </c>
      <c r="Q617" s="76" t="str">
        <f t="shared" si="77"/>
        <v>DATE</v>
      </c>
      <c r="R617" s="76" t="str">
        <f t="shared" si="78"/>
        <v/>
      </c>
      <c r="S617" s="76" t="str">
        <f t="shared" si="79"/>
        <v/>
      </c>
      <c r="T617" s="76" t="str">
        <f t="shared" si="80"/>
        <v>-- I220_疾患開始日</v>
      </c>
      <c r="U617" s="4" t="str">
        <f t="shared" si="73"/>
        <v>, CASE WHEN shikkan_disp_name = 'I220' THEN min_shikkan_start_date ::DATE ELSE NULL END AS shikkan599_start_date</v>
      </c>
      <c r="V617" s="25" t="str">
        <f t="shared" si="74"/>
        <v>, max(shikkan599_start_date)</v>
      </c>
      <c r="AA617" s="4"/>
      <c r="AB617" s="4"/>
      <c r="AC617" s="4"/>
      <c r="AD617" s="4"/>
      <c r="AE617" s="4"/>
      <c r="AF617" s="4"/>
      <c r="AG617" s="4"/>
      <c r="AH617" s="4"/>
      <c r="AI617" s="4"/>
      <c r="AJ617" s="76" t="str">
        <f>IF(E617="○",IF(COUNTA(E$13:E617)=1,"",",")&amp;D617,"")</f>
        <v/>
      </c>
      <c r="AK617" s="4"/>
      <c r="AL617" s="4"/>
      <c r="AM617" s="4"/>
      <c r="AN617" s="4"/>
      <c r="AO617" s="4"/>
      <c r="AP617" s="4"/>
      <c r="AQ617" s="4"/>
      <c r="AR617" s="4"/>
      <c r="AS617" s="76" t="str">
        <f>"COMMENT ON COLUMN "&amp;エンティティ一覧!$O$2&amp;"."&amp;D$8&amp;"."&amp;D617&amp;" IS '"&amp;C617&amp;"';"</f>
        <v>COMMENT ON COLUMN milscm_2023_009.sny_202310_annony_bef2.shikkan599_start_date IS 'I220_疾患開始日';</v>
      </c>
    </row>
    <row r="618" spans="1:45" s="25" customFormat="1">
      <c r="A618" s="4" t="s">
        <v>5688</v>
      </c>
      <c r="B618" s="21">
        <f t="shared" si="75"/>
        <v>606</v>
      </c>
      <c r="C618" s="13" t="s">
        <v>7078</v>
      </c>
      <c r="D618" s="13" t="s">
        <v>6260</v>
      </c>
      <c r="E618" s="8"/>
      <c r="F618" s="7" t="s">
        <v>4348</v>
      </c>
      <c r="G618" s="7" t="s">
        <v>25</v>
      </c>
      <c r="H618" s="58"/>
      <c r="I618" s="23"/>
      <c r="J618" s="24"/>
      <c r="M618" s="4"/>
      <c r="N618" s="76"/>
      <c r="O618" s="76"/>
      <c r="P618" s="76" t="str">
        <f t="shared" si="76"/>
        <v>,shikkan600_start_date</v>
      </c>
      <c r="Q618" s="76" t="str">
        <f t="shared" si="77"/>
        <v>DATE</v>
      </c>
      <c r="R618" s="76" t="str">
        <f t="shared" si="78"/>
        <v/>
      </c>
      <c r="S618" s="76" t="str">
        <f t="shared" si="79"/>
        <v/>
      </c>
      <c r="T618" s="76" t="str">
        <f t="shared" si="80"/>
        <v>-- I221_疾患開始日</v>
      </c>
      <c r="U618" s="4" t="str">
        <f t="shared" si="73"/>
        <v>, CASE WHEN shikkan_disp_name = 'I221' THEN min_shikkan_start_date ::DATE ELSE NULL END AS shikkan600_start_date</v>
      </c>
      <c r="V618" s="25" t="str">
        <f t="shared" si="74"/>
        <v>, max(shikkan600_start_date)</v>
      </c>
      <c r="AA618" s="4"/>
      <c r="AB618" s="4"/>
      <c r="AC618" s="4"/>
      <c r="AD618" s="4"/>
      <c r="AE618" s="4"/>
      <c r="AF618" s="4"/>
      <c r="AG618" s="4"/>
      <c r="AH618" s="4"/>
      <c r="AI618" s="4"/>
      <c r="AJ618" s="76" t="str">
        <f>IF(E618="○",IF(COUNTA(E$13:E618)=1,"",",")&amp;D618,"")</f>
        <v/>
      </c>
      <c r="AK618" s="4"/>
      <c r="AL618" s="4"/>
      <c r="AM618" s="4"/>
      <c r="AN618" s="4"/>
      <c r="AO618" s="4"/>
      <c r="AP618" s="4"/>
      <c r="AQ618" s="4"/>
      <c r="AR618" s="4"/>
      <c r="AS618" s="76" t="str">
        <f>"COMMENT ON COLUMN "&amp;エンティティ一覧!$O$2&amp;"."&amp;D$8&amp;"."&amp;D618&amp;" IS '"&amp;C618&amp;"';"</f>
        <v>COMMENT ON COLUMN milscm_2023_009.sny_202310_annony_bef2.shikkan600_start_date IS 'I221_疾患開始日';</v>
      </c>
    </row>
    <row r="619" spans="1:45" s="25" customFormat="1">
      <c r="A619" s="4" t="s">
        <v>5689</v>
      </c>
      <c r="B619" s="21">
        <f t="shared" si="75"/>
        <v>607</v>
      </c>
      <c r="C619" s="13" t="s">
        <v>7079</v>
      </c>
      <c r="D619" s="13" t="s">
        <v>6261</v>
      </c>
      <c r="E619" s="8"/>
      <c r="F619" s="7" t="s">
        <v>4348</v>
      </c>
      <c r="G619" s="7" t="s">
        <v>25</v>
      </c>
      <c r="H619" s="58"/>
      <c r="I619" s="23"/>
      <c r="J619" s="24"/>
      <c r="M619" s="4"/>
      <c r="N619" s="76"/>
      <c r="O619" s="76"/>
      <c r="P619" s="76" t="str">
        <f t="shared" si="76"/>
        <v>,shikkan601_start_date</v>
      </c>
      <c r="Q619" s="76" t="str">
        <f t="shared" si="77"/>
        <v>DATE</v>
      </c>
      <c r="R619" s="76" t="str">
        <f t="shared" si="78"/>
        <v/>
      </c>
      <c r="S619" s="76" t="str">
        <f t="shared" si="79"/>
        <v/>
      </c>
      <c r="T619" s="76" t="str">
        <f t="shared" si="80"/>
        <v>-- I228_疾患開始日</v>
      </c>
      <c r="U619" s="4" t="str">
        <f t="shared" si="73"/>
        <v>, CASE WHEN shikkan_disp_name = 'I228' THEN min_shikkan_start_date ::DATE ELSE NULL END AS shikkan601_start_date</v>
      </c>
      <c r="V619" s="25" t="str">
        <f t="shared" si="74"/>
        <v>, max(shikkan601_start_date)</v>
      </c>
      <c r="AA619" s="4"/>
      <c r="AB619" s="4"/>
      <c r="AC619" s="4"/>
      <c r="AD619" s="4"/>
      <c r="AE619" s="4"/>
      <c r="AF619" s="4"/>
      <c r="AG619" s="4"/>
      <c r="AH619" s="4"/>
      <c r="AI619" s="4"/>
      <c r="AJ619" s="76" t="str">
        <f>IF(E619="○",IF(COUNTA(E$13:E619)=1,"",",")&amp;D619,"")</f>
        <v/>
      </c>
      <c r="AK619" s="4"/>
      <c r="AL619" s="4"/>
      <c r="AM619" s="4"/>
      <c r="AN619" s="4"/>
      <c r="AO619" s="4"/>
      <c r="AP619" s="4"/>
      <c r="AQ619" s="4"/>
      <c r="AR619" s="4"/>
      <c r="AS619" s="76" t="str">
        <f>"COMMENT ON COLUMN "&amp;エンティティ一覧!$O$2&amp;"."&amp;D$8&amp;"."&amp;D619&amp;" IS '"&amp;C619&amp;"';"</f>
        <v>COMMENT ON COLUMN milscm_2023_009.sny_202310_annony_bef2.shikkan601_start_date IS 'I228_疾患開始日';</v>
      </c>
    </row>
    <row r="620" spans="1:45" s="25" customFormat="1">
      <c r="A620" s="4" t="s">
        <v>5690</v>
      </c>
      <c r="B620" s="21">
        <f t="shared" si="75"/>
        <v>608</v>
      </c>
      <c r="C620" s="13" t="s">
        <v>7080</v>
      </c>
      <c r="D620" s="13" t="s">
        <v>6262</v>
      </c>
      <c r="E620" s="8"/>
      <c r="F620" s="7" t="s">
        <v>4348</v>
      </c>
      <c r="G620" s="7" t="s">
        <v>25</v>
      </c>
      <c r="H620" s="58"/>
      <c r="I620" s="23"/>
      <c r="J620" s="24"/>
      <c r="M620" s="4"/>
      <c r="N620" s="76"/>
      <c r="O620" s="76"/>
      <c r="P620" s="76" t="str">
        <f t="shared" si="76"/>
        <v>,shikkan602_start_date</v>
      </c>
      <c r="Q620" s="76" t="str">
        <f t="shared" si="77"/>
        <v>DATE</v>
      </c>
      <c r="R620" s="76" t="str">
        <f t="shared" si="78"/>
        <v/>
      </c>
      <c r="S620" s="76" t="str">
        <f t="shared" si="79"/>
        <v/>
      </c>
      <c r="T620" s="76" t="str">
        <f t="shared" si="80"/>
        <v>-- I229_疾患開始日</v>
      </c>
      <c r="U620" s="4" t="str">
        <f t="shared" si="73"/>
        <v>, CASE WHEN shikkan_disp_name = 'I229' THEN min_shikkan_start_date ::DATE ELSE NULL END AS shikkan602_start_date</v>
      </c>
      <c r="V620" s="25" t="str">
        <f t="shared" si="74"/>
        <v>, max(shikkan602_start_date)</v>
      </c>
      <c r="AA620" s="4"/>
      <c r="AB620" s="4"/>
      <c r="AC620" s="4"/>
      <c r="AD620" s="4"/>
      <c r="AE620" s="4"/>
      <c r="AF620" s="4"/>
      <c r="AG620" s="4"/>
      <c r="AH620" s="4"/>
      <c r="AI620" s="4"/>
      <c r="AJ620" s="76" t="str">
        <f>IF(E620="○",IF(COUNTA(E$13:E620)=1,"",",")&amp;D620,"")</f>
        <v/>
      </c>
      <c r="AK620" s="4"/>
      <c r="AL620" s="4"/>
      <c r="AM620" s="4"/>
      <c r="AN620" s="4"/>
      <c r="AO620" s="4"/>
      <c r="AP620" s="4"/>
      <c r="AQ620" s="4"/>
      <c r="AR620" s="4"/>
      <c r="AS620" s="76" t="str">
        <f>"COMMENT ON COLUMN "&amp;エンティティ一覧!$O$2&amp;"."&amp;D$8&amp;"."&amp;D620&amp;" IS '"&amp;C620&amp;"';"</f>
        <v>COMMENT ON COLUMN milscm_2023_009.sny_202310_annony_bef2.shikkan602_start_date IS 'I229_疾患開始日';</v>
      </c>
    </row>
    <row r="621" spans="1:45" s="25" customFormat="1">
      <c r="A621" s="4" t="s">
        <v>5058</v>
      </c>
      <c r="B621" s="21">
        <f t="shared" si="75"/>
        <v>609</v>
      </c>
      <c r="C621" s="13" t="s">
        <v>4668</v>
      </c>
      <c r="D621" s="13" t="s">
        <v>6263</v>
      </c>
      <c r="E621" s="8"/>
      <c r="F621" s="7" t="s">
        <v>4348</v>
      </c>
      <c r="G621" s="7" t="s">
        <v>25</v>
      </c>
      <c r="H621" s="58"/>
      <c r="I621" s="23"/>
      <c r="J621" s="24"/>
      <c r="M621" s="4"/>
      <c r="N621" s="76"/>
      <c r="O621" s="76"/>
      <c r="P621" s="76" t="str">
        <f t="shared" si="76"/>
        <v>,shikkan603_start_date</v>
      </c>
      <c r="Q621" s="76" t="str">
        <f t="shared" si="77"/>
        <v>DATE</v>
      </c>
      <c r="R621" s="76" t="str">
        <f t="shared" si="78"/>
        <v/>
      </c>
      <c r="S621" s="76" t="str">
        <f t="shared" si="79"/>
        <v/>
      </c>
      <c r="T621" s="76" t="str">
        <f t="shared" si="80"/>
        <v>-- I252_疾患開始日</v>
      </c>
      <c r="U621" s="4" t="str">
        <f t="shared" si="73"/>
        <v>, CASE WHEN shikkan_disp_name = 'I252' THEN min_shikkan_start_date ::DATE ELSE NULL END AS shikkan603_start_date</v>
      </c>
      <c r="V621" s="25" t="str">
        <f t="shared" si="74"/>
        <v>, max(shikkan603_start_date)</v>
      </c>
      <c r="AA621" s="4"/>
      <c r="AB621" s="4"/>
      <c r="AC621" s="4"/>
      <c r="AD621" s="4"/>
      <c r="AE621" s="4"/>
      <c r="AF621" s="4"/>
      <c r="AG621" s="4"/>
      <c r="AH621" s="4"/>
      <c r="AI621" s="4"/>
      <c r="AJ621" s="76" t="str">
        <f>IF(E621="○",IF(COUNTA(E$13:E621)=1,"",",")&amp;D621,"")</f>
        <v/>
      </c>
      <c r="AK621" s="4"/>
      <c r="AL621" s="4"/>
      <c r="AM621" s="4"/>
      <c r="AN621" s="4"/>
      <c r="AO621" s="4"/>
      <c r="AP621" s="4"/>
      <c r="AQ621" s="4"/>
      <c r="AR621" s="4"/>
      <c r="AS621" s="76" t="str">
        <f>"COMMENT ON COLUMN "&amp;エンティティ一覧!$O$2&amp;"."&amp;D$8&amp;"."&amp;D621&amp;" IS '"&amp;C621&amp;"';"</f>
        <v>COMMENT ON COLUMN milscm_2023_009.sny_202310_annony_bef2.shikkan603_start_date IS 'I252_疾患開始日';</v>
      </c>
    </row>
    <row r="622" spans="1:45" s="25" customFormat="1">
      <c r="A622" s="4" t="s">
        <v>5061</v>
      </c>
      <c r="B622" s="21">
        <f t="shared" si="75"/>
        <v>610</v>
      </c>
      <c r="C622" s="13" t="s">
        <v>4671</v>
      </c>
      <c r="D622" s="13" t="s">
        <v>6264</v>
      </c>
      <c r="E622" s="8"/>
      <c r="F622" s="7" t="s">
        <v>4348</v>
      </c>
      <c r="G622" s="7" t="s">
        <v>25</v>
      </c>
      <c r="H622" s="58"/>
      <c r="I622" s="23"/>
      <c r="J622" s="24"/>
      <c r="M622" s="4"/>
      <c r="N622" s="76"/>
      <c r="O622" s="76"/>
      <c r="P622" s="76" t="str">
        <f t="shared" si="76"/>
        <v>,shikkan604_start_date</v>
      </c>
      <c r="Q622" s="76" t="str">
        <f t="shared" si="77"/>
        <v>DATE</v>
      </c>
      <c r="R622" s="76" t="str">
        <f t="shared" si="78"/>
        <v/>
      </c>
      <c r="S622" s="76" t="str">
        <f t="shared" si="79"/>
        <v/>
      </c>
      <c r="T622" s="76" t="str">
        <f t="shared" si="80"/>
        <v>-- I255_疾患開始日</v>
      </c>
      <c r="U622" s="4" t="str">
        <f t="shared" si="73"/>
        <v>, CASE WHEN shikkan_disp_name = 'I255' THEN min_shikkan_start_date ::DATE ELSE NULL END AS shikkan604_start_date</v>
      </c>
      <c r="V622" s="25" t="str">
        <f t="shared" si="74"/>
        <v>, max(shikkan604_start_date)</v>
      </c>
      <c r="AA622" s="4"/>
      <c r="AB622" s="4"/>
      <c r="AC622" s="4"/>
      <c r="AD622" s="4"/>
      <c r="AE622" s="4"/>
      <c r="AF622" s="4"/>
      <c r="AG622" s="4"/>
      <c r="AH622" s="4"/>
      <c r="AI622" s="4"/>
      <c r="AJ622" s="76" t="str">
        <f>IF(E622="○",IF(COUNTA(E$13:E622)=1,"",",")&amp;D622,"")</f>
        <v/>
      </c>
      <c r="AK622" s="4"/>
      <c r="AL622" s="4"/>
      <c r="AM622" s="4"/>
      <c r="AN622" s="4"/>
      <c r="AO622" s="4"/>
      <c r="AP622" s="4"/>
      <c r="AQ622" s="4"/>
      <c r="AR622" s="4"/>
      <c r="AS622" s="76" t="str">
        <f>"COMMENT ON COLUMN "&amp;エンティティ一覧!$O$2&amp;"."&amp;D$8&amp;"."&amp;D622&amp;" IS '"&amp;C622&amp;"';"</f>
        <v>COMMENT ON COLUMN milscm_2023_009.sny_202310_annony_bef2.shikkan604_start_date IS 'I255_疾患開始日';</v>
      </c>
    </row>
    <row r="623" spans="1:45" s="25" customFormat="1">
      <c r="A623" s="4" t="s">
        <v>5691</v>
      </c>
      <c r="B623" s="21">
        <f t="shared" si="75"/>
        <v>611</v>
      </c>
      <c r="C623" s="13" t="s">
        <v>7081</v>
      </c>
      <c r="D623" s="13" t="s">
        <v>6265</v>
      </c>
      <c r="E623" s="8"/>
      <c r="F623" s="7" t="s">
        <v>4348</v>
      </c>
      <c r="G623" s="7" t="s">
        <v>25</v>
      </c>
      <c r="H623" s="58"/>
      <c r="I623" s="23"/>
      <c r="J623" s="24"/>
      <c r="M623" s="4"/>
      <c r="N623" s="76"/>
      <c r="O623" s="76"/>
      <c r="P623" s="76" t="str">
        <f t="shared" si="76"/>
        <v>,shikkan605_start_date</v>
      </c>
      <c r="Q623" s="76" t="str">
        <f t="shared" si="77"/>
        <v>DATE</v>
      </c>
      <c r="R623" s="76" t="str">
        <f t="shared" si="78"/>
        <v/>
      </c>
      <c r="S623" s="76" t="str">
        <f t="shared" si="79"/>
        <v/>
      </c>
      <c r="T623" s="76" t="str">
        <f t="shared" si="80"/>
        <v>-- I278_疾患開始日</v>
      </c>
      <c r="U623" s="4" t="str">
        <f t="shared" si="73"/>
        <v>, CASE WHEN shikkan_disp_name = 'I278' THEN min_shikkan_start_date ::DATE ELSE NULL END AS shikkan605_start_date</v>
      </c>
      <c r="V623" s="25" t="str">
        <f t="shared" si="74"/>
        <v>, max(shikkan605_start_date)</v>
      </c>
      <c r="AA623" s="4"/>
      <c r="AB623" s="4"/>
      <c r="AC623" s="4"/>
      <c r="AD623" s="4"/>
      <c r="AE623" s="4"/>
      <c r="AF623" s="4"/>
      <c r="AG623" s="4"/>
      <c r="AH623" s="4"/>
      <c r="AI623" s="4"/>
      <c r="AJ623" s="76" t="str">
        <f>IF(E623="○",IF(COUNTA(E$13:E623)=1,"",",")&amp;D623,"")</f>
        <v/>
      </c>
      <c r="AK623" s="4"/>
      <c r="AL623" s="4"/>
      <c r="AM623" s="4"/>
      <c r="AN623" s="4"/>
      <c r="AO623" s="4"/>
      <c r="AP623" s="4"/>
      <c r="AQ623" s="4"/>
      <c r="AR623" s="4"/>
      <c r="AS623" s="76" t="str">
        <f>"COMMENT ON COLUMN "&amp;エンティティ一覧!$O$2&amp;"."&amp;D$8&amp;"."&amp;D623&amp;" IS '"&amp;C623&amp;"';"</f>
        <v>COMMENT ON COLUMN milscm_2023_009.sny_202310_annony_bef2.shikkan605_start_date IS 'I278_疾患開始日';</v>
      </c>
    </row>
    <row r="624" spans="1:45" s="25" customFormat="1">
      <c r="A624" s="4" t="s">
        <v>5692</v>
      </c>
      <c r="B624" s="21">
        <f t="shared" si="75"/>
        <v>612</v>
      </c>
      <c r="C624" s="13" t="s">
        <v>7082</v>
      </c>
      <c r="D624" s="13" t="s">
        <v>6266</v>
      </c>
      <c r="E624" s="8"/>
      <c r="F624" s="7" t="s">
        <v>4348</v>
      </c>
      <c r="G624" s="7" t="s">
        <v>25</v>
      </c>
      <c r="H624" s="58"/>
      <c r="I624" s="23"/>
      <c r="J624" s="24"/>
      <c r="M624" s="4"/>
      <c r="N624" s="76"/>
      <c r="O624" s="76"/>
      <c r="P624" s="76" t="str">
        <f t="shared" si="76"/>
        <v>,shikkan606_start_date</v>
      </c>
      <c r="Q624" s="76" t="str">
        <f t="shared" si="77"/>
        <v>DATE</v>
      </c>
      <c r="R624" s="76" t="str">
        <f t="shared" si="78"/>
        <v/>
      </c>
      <c r="S624" s="76" t="str">
        <f t="shared" si="79"/>
        <v/>
      </c>
      <c r="T624" s="76" t="str">
        <f t="shared" si="80"/>
        <v>-- I279_疾患開始日</v>
      </c>
      <c r="U624" s="4" t="str">
        <f t="shared" si="73"/>
        <v>, CASE WHEN shikkan_disp_name = 'I279' THEN min_shikkan_start_date ::DATE ELSE NULL END AS shikkan606_start_date</v>
      </c>
      <c r="V624" s="25" t="str">
        <f t="shared" si="74"/>
        <v>, max(shikkan606_start_date)</v>
      </c>
      <c r="AA624" s="4"/>
      <c r="AB624" s="4"/>
      <c r="AC624" s="4"/>
      <c r="AD624" s="4"/>
      <c r="AE624" s="4"/>
      <c r="AF624" s="4"/>
      <c r="AG624" s="4"/>
      <c r="AH624" s="4"/>
      <c r="AI624" s="4"/>
      <c r="AJ624" s="76" t="str">
        <f>IF(E624="○",IF(COUNTA(E$13:E624)=1,"",",")&amp;D624,"")</f>
        <v/>
      </c>
      <c r="AK624" s="4"/>
      <c r="AL624" s="4"/>
      <c r="AM624" s="4"/>
      <c r="AN624" s="4"/>
      <c r="AO624" s="4"/>
      <c r="AP624" s="4"/>
      <c r="AQ624" s="4"/>
      <c r="AR624" s="4"/>
      <c r="AS624" s="76" t="str">
        <f>"COMMENT ON COLUMN "&amp;エンティティ一覧!$O$2&amp;"."&amp;D$8&amp;"."&amp;D624&amp;" IS '"&amp;C624&amp;"';"</f>
        <v>COMMENT ON COLUMN milscm_2023_009.sny_202310_annony_bef2.shikkan606_start_date IS 'I279_疾患開始日';</v>
      </c>
    </row>
    <row r="625" spans="1:45" s="25" customFormat="1">
      <c r="A625" s="4" t="s">
        <v>5693</v>
      </c>
      <c r="B625" s="21">
        <f t="shared" si="75"/>
        <v>613</v>
      </c>
      <c r="C625" s="13" t="s">
        <v>7083</v>
      </c>
      <c r="D625" s="13" t="s">
        <v>6267</v>
      </c>
      <c r="E625" s="8"/>
      <c r="F625" s="7" t="s">
        <v>4348</v>
      </c>
      <c r="G625" s="7" t="s">
        <v>99</v>
      </c>
      <c r="H625" s="58"/>
      <c r="I625" s="23"/>
      <c r="J625" s="24"/>
      <c r="M625" s="4"/>
      <c r="N625" s="76"/>
      <c r="O625" s="76"/>
      <c r="P625" s="76" t="str">
        <f t="shared" si="76"/>
        <v>,shikkan607_start_date</v>
      </c>
      <c r="Q625" s="76" t="str">
        <f t="shared" si="77"/>
        <v>DATE</v>
      </c>
      <c r="R625" s="76" t="str">
        <f t="shared" si="78"/>
        <v/>
      </c>
      <c r="S625" s="76" t="str">
        <f t="shared" si="79"/>
        <v/>
      </c>
      <c r="T625" s="76" t="str">
        <f t="shared" si="80"/>
        <v>-- I420_疾患開始日</v>
      </c>
      <c r="U625" s="4" t="str">
        <f t="shared" si="73"/>
        <v>, CASE WHEN shikkan_disp_name = 'I420' THEN min_shikkan_start_date ::DATE ELSE NULL END AS shikkan607_start_date</v>
      </c>
      <c r="V625" s="25" t="str">
        <f t="shared" si="74"/>
        <v>, max(shikkan607_start_date)</v>
      </c>
      <c r="AA625" s="4"/>
      <c r="AB625" s="4"/>
      <c r="AC625" s="4"/>
      <c r="AD625" s="4"/>
      <c r="AE625" s="4"/>
      <c r="AF625" s="4"/>
      <c r="AG625" s="4"/>
      <c r="AH625" s="4"/>
      <c r="AI625" s="4"/>
      <c r="AJ625" s="76" t="str">
        <f>IF(E625="○",IF(COUNTA(E$13:E625)=1,"",",")&amp;D625,"")</f>
        <v/>
      </c>
      <c r="AK625" s="4"/>
      <c r="AL625" s="4"/>
      <c r="AM625" s="4"/>
      <c r="AN625" s="4"/>
      <c r="AO625" s="4"/>
      <c r="AP625" s="4"/>
      <c r="AQ625" s="4"/>
      <c r="AR625" s="4"/>
      <c r="AS625" s="76" t="str">
        <f>"COMMENT ON COLUMN "&amp;エンティティ一覧!$O$2&amp;"."&amp;D$8&amp;"."&amp;D625&amp;" IS '"&amp;C625&amp;"';"</f>
        <v>COMMENT ON COLUMN milscm_2023_009.sny_202310_annony_bef2.shikkan607_start_date IS 'I420_疾患開始日';</v>
      </c>
    </row>
    <row r="626" spans="1:45" s="25" customFormat="1">
      <c r="A626" s="4" t="s">
        <v>5694</v>
      </c>
      <c r="B626" s="21">
        <f t="shared" si="75"/>
        <v>614</v>
      </c>
      <c r="C626" s="13" t="s">
        <v>7084</v>
      </c>
      <c r="D626" s="13" t="s">
        <v>6268</v>
      </c>
      <c r="E626" s="8"/>
      <c r="F626" s="7" t="s">
        <v>4348</v>
      </c>
      <c r="G626" s="7" t="s">
        <v>25</v>
      </c>
      <c r="H626" s="58"/>
      <c r="I626" s="23"/>
      <c r="J626" s="24"/>
      <c r="M626" s="4"/>
      <c r="N626" s="76"/>
      <c r="O626" s="76"/>
      <c r="P626" s="76" t="str">
        <f t="shared" si="76"/>
        <v>,shikkan608_start_date</v>
      </c>
      <c r="Q626" s="76" t="str">
        <f t="shared" si="77"/>
        <v>DATE</v>
      </c>
      <c r="R626" s="76" t="str">
        <f t="shared" si="78"/>
        <v/>
      </c>
      <c r="S626" s="76" t="str">
        <f t="shared" si="79"/>
        <v/>
      </c>
      <c r="T626" s="76" t="str">
        <f t="shared" si="80"/>
        <v>-- I425_疾患開始日</v>
      </c>
      <c r="U626" s="4" t="str">
        <f t="shared" si="73"/>
        <v>, CASE WHEN shikkan_disp_name = 'I425' THEN min_shikkan_start_date ::DATE ELSE NULL END AS shikkan608_start_date</v>
      </c>
      <c r="V626" s="25" t="str">
        <f t="shared" si="74"/>
        <v>, max(shikkan608_start_date)</v>
      </c>
      <c r="AA626" s="4"/>
      <c r="AB626" s="4"/>
      <c r="AC626" s="4"/>
      <c r="AD626" s="4"/>
      <c r="AE626" s="4"/>
      <c r="AF626" s="4"/>
      <c r="AG626" s="4"/>
      <c r="AH626" s="4"/>
      <c r="AI626" s="4"/>
      <c r="AJ626" s="76" t="str">
        <f>IF(E626="○",IF(COUNTA(E$13:E626)=1,"",",")&amp;D626,"")</f>
        <v/>
      </c>
      <c r="AK626" s="4"/>
      <c r="AL626" s="4"/>
      <c r="AM626" s="4"/>
      <c r="AN626" s="4"/>
      <c r="AO626" s="4"/>
      <c r="AP626" s="4"/>
      <c r="AQ626" s="4"/>
      <c r="AR626" s="4"/>
      <c r="AS626" s="76" t="str">
        <f>"COMMENT ON COLUMN "&amp;エンティティ一覧!$O$2&amp;"."&amp;D$8&amp;"."&amp;D626&amp;" IS '"&amp;C626&amp;"';"</f>
        <v>COMMENT ON COLUMN milscm_2023_009.sny_202310_annony_bef2.shikkan608_start_date IS 'I425_疾患開始日';</v>
      </c>
    </row>
    <row r="627" spans="1:45" s="25" customFormat="1">
      <c r="A627" s="4" t="s">
        <v>5695</v>
      </c>
      <c r="B627" s="21">
        <f t="shared" si="75"/>
        <v>615</v>
      </c>
      <c r="C627" s="13" t="s">
        <v>7085</v>
      </c>
      <c r="D627" s="13" t="s">
        <v>6269</v>
      </c>
      <c r="E627" s="8"/>
      <c r="F627" s="7" t="s">
        <v>4348</v>
      </c>
      <c r="G627" s="7" t="s">
        <v>25</v>
      </c>
      <c r="H627" s="58"/>
      <c r="I627" s="23"/>
      <c r="J627" s="24"/>
      <c r="M627" s="4"/>
      <c r="N627" s="76"/>
      <c r="O627" s="76"/>
      <c r="P627" s="76" t="str">
        <f t="shared" si="76"/>
        <v>,shikkan609_start_date</v>
      </c>
      <c r="Q627" s="76" t="str">
        <f t="shared" si="77"/>
        <v>DATE</v>
      </c>
      <c r="R627" s="76" t="str">
        <f t="shared" si="78"/>
        <v/>
      </c>
      <c r="S627" s="76" t="str">
        <f t="shared" si="79"/>
        <v/>
      </c>
      <c r="T627" s="76" t="str">
        <f t="shared" si="80"/>
        <v>-- I426_疾患開始日</v>
      </c>
      <c r="U627" s="4" t="str">
        <f t="shared" si="73"/>
        <v>, CASE WHEN shikkan_disp_name = 'I426' THEN min_shikkan_start_date ::DATE ELSE NULL END AS shikkan609_start_date</v>
      </c>
      <c r="V627" s="25" t="str">
        <f t="shared" si="74"/>
        <v>, max(shikkan609_start_date)</v>
      </c>
      <c r="AA627" s="4"/>
      <c r="AB627" s="4"/>
      <c r="AC627" s="4"/>
      <c r="AD627" s="4"/>
      <c r="AE627" s="4"/>
      <c r="AF627" s="4"/>
      <c r="AG627" s="4"/>
      <c r="AH627" s="4"/>
      <c r="AI627" s="4"/>
      <c r="AJ627" s="76" t="str">
        <f>IF(E627="○",IF(COUNTA(E$13:E627)=1,"",",")&amp;D627,"")</f>
        <v/>
      </c>
      <c r="AK627" s="4"/>
      <c r="AL627" s="4"/>
      <c r="AM627" s="4"/>
      <c r="AN627" s="4"/>
      <c r="AO627" s="4"/>
      <c r="AP627" s="4"/>
      <c r="AQ627" s="4"/>
      <c r="AR627" s="4"/>
      <c r="AS627" s="76" t="str">
        <f>"COMMENT ON COLUMN "&amp;エンティティ一覧!$O$2&amp;"."&amp;D$8&amp;"."&amp;D627&amp;" IS '"&amp;C627&amp;"';"</f>
        <v>COMMENT ON COLUMN milscm_2023_009.sny_202310_annony_bef2.shikkan609_start_date IS 'I426_疾患開始日';</v>
      </c>
    </row>
    <row r="628" spans="1:45" s="25" customFormat="1">
      <c r="A628" s="4" t="s">
        <v>5696</v>
      </c>
      <c r="B628" s="21">
        <f t="shared" si="75"/>
        <v>616</v>
      </c>
      <c r="C628" s="13" t="s">
        <v>7086</v>
      </c>
      <c r="D628" s="13" t="s">
        <v>6270</v>
      </c>
      <c r="E628" s="8"/>
      <c r="F628" s="7" t="s">
        <v>4348</v>
      </c>
      <c r="G628" s="7" t="s">
        <v>25</v>
      </c>
      <c r="H628" s="58"/>
      <c r="I628" s="23"/>
      <c r="J628" s="24"/>
      <c r="M628" s="4"/>
      <c r="N628" s="76"/>
      <c r="O628" s="76"/>
      <c r="P628" s="76" t="str">
        <f t="shared" si="76"/>
        <v>,shikkan610_start_date</v>
      </c>
      <c r="Q628" s="76" t="str">
        <f t="shared" si="77"/>
        <v>DATE</v>
      </c>
      <c r="R628" s="76" t="str">
        <f t="shared" si="78"/>
        <v/>
      </c>
      <c r="S628" s="76" t="str">
        <f t="shared" si="79"/>
        <v/>
      </c>
      <c r="T628" s="76" t="str">
        <f t="shared" si="80"/>
        <v>-- I427_疾患開始日</v>
      </c>
      <c r="U628" s="4" t="str">
        <f t="shared" si="73"/>
        <v>, CASE WHEN shikkan_disp_name = 'I427' THEN min_shikkan_start_date ::DATE ELSE NULL END AS shikkan610_start_date</v>
      </c>
      <c r="V628" s="25" t="str">
        <f t="shared" si="74"/>
        <v>, max(shikkan610_start_date)</v>
      </c>
      <c r="AA628" s="4"/>
      <c r="AB628" s="4"/>
      <c r="AC628" s="4"/>
      <c r="AD628" s="4"/>
      <c r="AE628" s="4"/>
      <c r="AF628" s="4"/>
      <c r="AG628" s="4"/>
      <c r="AH628" s="4"/>
      <c r="AI628" s="4"/>
      <c r="AJ628" s="76" t="str">
        <f>IF(E628="○",IF(COUNTA(E$13:E628)=1,"",",")&amp;D628,"")</f>
        <v/>
      </c>
      <c r="AK628" s="4"/>
      <c r="AL628" s="4"/>
      <c r="AM628" s="4"/>
      <c r="AN628" s="4"/>
      <c r="AO628" s="4"/>
      <c r="AP628" s="4"/>
      <c r="AQ628" s="4"/>
      <c r="AR628" s="4"/>
      <c r="AS628" s="76" t="str">
        <f>"COMMENT ON COLUMN "&amp;エンティティ一覧!$O$2&amp;"."&amp;D$8&amp;"."&amp;D628&amp;" IS '"&amp;C628&amp;"';"</f>
        <v>COMMENT ON COLUMN milscm_2023_009.sny_202310_annony_bef2.shikkan610_start_date IS 'I427_疾患開始日';</v>
      </c>
    </row>
    <row r="629" spans="1:45" s="25" customFormat="1">
      <c r="A629" s="4" t="s">
        <v>5697</v>
      </c>
      <c r="B629" s="21">
        <f t="shared" si="75"/>
        <v>617</v>
      </c>
      <c r="C629" s="13" t="s">
        <v>7087</v>
      </c>
      <c r="D629" s="13" t="s">
        <v>6271</v>
      </c>
      <c r="E629" s="8"/>
      <c r="F629" s="7" t="s">
        <v>4348</v>
      </c>
      <c r="G629" s="7" t="s">
        <v>25</v>
      </c>
      <c r="H629" s="58"/>
      <c r="I629" s="23"/>
      <c r="J629" s="24"/>
      <c r="M629" s="4"/>
      <c r="N629" s="76"/>
      <c r="O629" s="76"/>
      <c r="P629" s="76" t="str">
        <f t="shared" si="76"/>
        <v>,shikkan611_start_date</v>
      </c>
      <c r="Q629" s="76" t="str">
        <f t="shared" si="77"/>
        <v>DATE</v>
      </c>
      <c r="R629" s="76" t="str">
        <f t="shared" si="78"/>
        <v/>
      </c>
      <c r="S629" s="76" t="str">
        <f t="shared" si="79"/>
        <v/>
      </c>
      <c r="T629" s="76" t="str">
        <f t="shared" si="80"/>
        <v>-- I428_疾患開始日</v>
      </c>
      <c r="U629" s="4" t="str">
        <f t="shared" si="73"/>
        <v>, CASE WHEN shikkan_disp_name = 'I428' THEN min_shikkan_start_date ::DATE ELSE NULL END AS shikkan611_start_date</v>
      </c>
      <c r="V629" s="25" t="str">
        <f t="shared" si="74"/>
        <v>, max(shikkan611_start_date)</v>
      </c>
      <c r="AA629" s="4"/>
      <c r="AB629" s="4"/>
      <c r="AC629" s="4"/>
      <c r="AD629" s="4"/>
      <c r="AE629" s="4"/>
      <c r="AF629" s="4"/>
      <c r="AG629" s="4"/>
      <c r="AH629" s="4"/>
      <c r="AI629" s="4"/>
      <c r="AJ629" s="76" t="str">
        <f>IF(E629="○",IF(COUNTA(E$13:E629)=1,"",",")&amp;D629,"")</f>
        <v/>
      </c>
      <c r="AK629" s="4"/>
      <c r="AL629" s="4"/>
      <c r="AM629" s="4"/>
      <c r="AN629" s="4"/>
      <c r="AO629" s="4"/>
      <c r="AP629" s="4"/>
      <c r="AQ629" s="4"/>
      <c r="AR629" s="4"/>
      <c r="AS629" s="76" t="str">
        <f>"COMMENT ON COLUMN "&amp;エンティティ一覧!$O$2&amp;"."&amp;D$8&amp;"."&amp;D629&amp;" IS '"&amp;C629&amp;"';"</f>
        <v>COMMENT ON COLUMN milscm_2023_009.sny_202310_annony_bef2.shikkan611_start_date IS 'I428_疾患開始日';</v>
      </c>
    </row>
    <row r="630" spans="1:45" s="25" customFormat="1">
      <c r="A630" s="4" t="s">
        <v>5698</v>
      </c>
      <c r="B630" s="21">
        <f t="shared" si="75"/>
        <v>618</v>
      </c>
      <c r="C630" s="13" t="s">
        <v>7088</v>
      </c>
      <c r="D630" s="13" t="s">
        <v>6272</v>
      </c>
      <c r="E630" s="8"/>
      <c r="F630" s="7" t="s">
        <v>4348</v>
      </c>
      <c r="G630" s="7" t="s">
        <v>25</v>
      </c>
      <c r="H630" s="58"/>
      <c r="I630" s="23"/>
      <c r="J630" s="24"/>
      <c r="M630" s="4"/>
      <c r="N630" s="76"/>
      <c r="O630" s="76"/>
      <c r="P630" s="76" t="str">
        <f t="shared" si="76"/>
        <v>,shikkan612_start_date</v>
      </c>
      <c r="Q630" s="76" t="str">
        <f t="shared" si="77"/>
        <v>DATE</v>
      </c>
      <c r="R630" s="76" t="str">
        <f t="shared" si="78"/>
        <v/>
      </c>
      <c r="S630" s="76" t="str">
        <f t="shared" si="79"/>
        <v/>
      </c>
      <c r="T630" s="76" t="str">
        <f t="shared" si="80"/>
        <v>-- I429_疾患開始日</v>
      </c>
      <c r="U630" s="4" t="str">
        <f t="shared" si="73"/>
        <v>, CASE WHEN shikkan_disp_name = 'I429' THEN min_shikkan_start_date ::DATE ELSE NULL END AS shikkan612_start_date</v>
      </c>
      <c r="V630" s="25" t="str">
        <f t="shared" si="74"/>
        <v>, max(shikkan612_start_date)</v>
      </c>
      <c r="AA630" s="4"/>
      <c r="AB630" s="4"/>
      <c r="AC630" s="4"/>
      <c r="AD630" s="4"/>
      <c r="AE630" s="4"/>
      <c r="AF630" s="4"/>
      <c r="AG630" s="4"/>
      <c r="AH630" s="4"/>
      <c r="AI630" s="4"/>
      <c r="AJ630" s="76" t="str">
        <f>IF(E630="○",IF(COUNTA(E$13:E630)=1,"",",")&amp;D630,"")</f>
        <v/>
      </c>
      <c r="AK630" s="4"/>
      <c r="AL630" s="4"/>
      <c r="AM630" s="4"/>
      <c r="AN630" s="4"/>
      <c r="AO630" s="4"/>
      <c r="AP630" s="4"/>
      <c r="AQ630" s="4"/>
      <c r="AR630" s="4"/>
      <c r="AS630" s="76" t="str">
        <f>"COMMENT ON COLUMN "&amp;エンティティ一覧!$O$2&amp;"."&amp;D$8&amp;"."&amp;D630&amp;" IS '"&amp;C630&amp;"';"</f>
        <v>COMMENT ON COLUMN milscm_2023_009.sny_202310_annony_bef2.shikkan612_start_date IS 'I429_疾患開始日';</v>
      </c>
    </row>
    <row r="631" spans="1:45" s="25" customFormat="1">
      <c r="A631" s="4" t="s">
        <v>5699</v>
      </c>
      <c r="B631" s="21">
        <f t="shared" si="75"/>
        <v>619</v>
      </c>
      <c r="C631" s="13" t="s">
        <v>7089</v>
      </c>
      <c r="D631" s="13" t="s">
        <v>6273</v>
      </c>
      <c r="E631" s="8"/>
      <c r="F631" s="7" t="s">
        <v>4348</v>
      </c>
      <c r="G631" s="7" t="s">
        <v>25</v>
      </c>
      <c r="H631" s="58"/>
      <c r="I631" s="23"/>
      <c r="J631" s="24"/>
      <c r="M631" s="4"/>
      <c r="N631" s="76"/>
      <c r="O631" s="76"/>
      <c r="P631" s="76" t="str">
        <f t="shared" si="76"/>
        <v>,shikkan613_start_date</v>
      </c>
      <c r="Q631" s="76" t="str">
        <f t="shared" si="77"/>
        <v>DATE</v>
      </c>
      <c r="R631" s="76" t="str">
        <f t="shared" si="78"/>
        <v/>
      </c>
      <c r="S631" s="76" t="str">
        <f t="shared" si="79"/>
        <v/>
      </c>
      <c r="T631" s="76" t="str">
        <f t="shared" si="80"/>
        <v>-- I430_疾患開始日</v>
      </c>
      <c r="U631" s="4" t="str">
        <f t="shared" si="73"/>
        <v>, CASE WHEN shikkan_disp_name = 'I430' THEN min_shikkan_start_date ::DATE ELSE NULL END AS shikkan613_start_date</v>
      </c>
      <c r="V631" s="25" t="str">
        <f t="shared" si="74"/>
        <v>, max(shikkan613_start_date)</v>
      </c>
      <c r="AA631" s="4"/>
      <c r="AB631" s="4"/>
      <c r="AC631" s="4"/>
      <c r="AD631" s="4"/>
      <c r="AE631" s="4"/>
      <c r="AF631" s="4"/>
      <c r="AG631" s="4"/>
      <c r="AH631" s="4"/>
      <c r="AI631" s="4"/>
      <c r="AJ631" s="76" t="str">
        <f>IF(E631="○",IF(COUNTA(E$13:E631)=1,"",",")&amp;D631,"")</f>
        <v/>
      </c>
      <c r="AK631" s="4"/>
      <c r="AL631" s="4"/>
      <c r="AM631" s="4"/>
      <c r="AN631" s="4"/>
      <c r="AO631" s="4"/>
      <c r="AP631" s="4"/>
      <c r="AQ631" s="4"/>
      <c r="AR631" s="4"/>
      <c r="AS631" s="76" t="str">
        <f>"COMMENT ON COLUMN "&amp;エンティティ一覧!$O$2&amp;"."&amp;D$8&amp;"."&amp;D631&amp;" IS '"&amp;C631&amp;"';"</f>
        <v>COMMENT ON COLUMN milscm_2023_009.sny_202310_annony_bef2.shikkan613_start_date IS 'I430_疾患開始日';</v>
      </c>
    </row>
    <row r="632" spans="1:45" s="25" customFormat="1">
      <c r="A632" s="4" t="s">
        <v>5700</v>
      </c>
      <c r="B632" s="21">
        <f t="shared" si="75"/>
        <v>620</v>
      </c>
      <c r="C632" s="13" t="s">
        <v>7090</v>
      </c>
      <c r="D632" s="13" t="s">
        <v>6274</v>
      </c>
      <c r="E632" s="8"/>
      <c r="F632" s="7" t="s">
        <v>4348</v>
      </c>
      <c r="G632" s="7" t="s">
        <v>25</v>
      </c>
      <c r="H632" s="58"/>
      <c r="I632" s="23"/>
      <c r="J632" s="24"/>
      <c r="M632" s="4"/>
      <c r="N632" s="76"/>
      <c r="O632" s="76"/>
      <c r="P632" s="76" t="str">
        <f t="shared" si="76"/>
        <v>,shikkan614_start_date</v>
      </c>
      <c r="Q632" s="76" t="str">
        <f t="shared" si="77"/>
        <v>DATE</v>
      </c>
      <c r="R632" s="76" t="str">
        <f t="shared" si="78"/>
        <v/>
      </c>
      <c r="S632" s="76" t="str">
        <f t="shared" si="79"/>
        <v/>
      </c>
      <c r="T632" s="76" t="str">
        <f t="shared" si="80"/>
        <v>-- I431_疾患開始日</v>
      </c>
      <c r="U632" s="4" t="str">
        <f t="shared" si="73"/>
        <v>, CASE WHEN shikkan_disp_name = 'I431' THEN min_shikkan_start_date ::DATE ELSE NULL END AS shikkan614_start_date</v>
      </c>
      <c r="V632" s="25" t="str">
        <f t="shared" si="74"/>
        <v>, max(shikkan614_start_date)</v>
      </c>
      <c r="AA632" s="4"/>
      <c r="AB632" s="4"/>
      <c r="AC632" s="4"/>
      <c r="AD632" s="4"/>
      <c r="AE632" s="4"/>
      <c r="AF632" s="4"/>
      <c r="AG632" s="4"/>
      <c r="AH632" s="4"/>
      <c r="AI632" s="4"/>
      <c r="AJ632" s="76" t="str">
        <f>IF(E632="○",IF(COUNTA(E$13:E632)=1,"",",")&amp;D632,"")</f>
        <v/>
      </c>
      <c r="AK632" s="4"/>
      <c r="AL632" s="4"/>
      <c r="AM632" s="4"/>
      <c r="AN632" s="4"/>
      <c r="AO632" s="4"/>
      <c r="AP632" s="4"/>
      <c r="AQ632" s="4"/>
      <c r="AR632" s="4"/>
      <c r="AS632" s="76" t="str">
        <f>"COMMENT ON COLUMN "&amp;エンティティ一覧!$O$2&amp;"."&amp;D$8&amp;"."&amp;D632&amp;" IS '"&amp;C632&amp;"';"</f>
        <v>COMMENT ON COLUMN milscm_2023_009.sny_202310_annony_bef2.shikkan614_start_date IS 'I431_疾患開始日';</v>
      </c>
    </row>
    <row r="633" spans="1:45" s="25" customFormat="1">
      <c r="A633" s="4" t="s">
        <v>5701</v>
      </c>
      <c r="B633" s="21">
        <f t="shared" si="75"/>
        <v>621</v>
      </c>
      <c r="C633" s="13" t="s">
        <v>7091</v>
      </c>
      <c r="D633" s="13" t="s">
        <v>6275</v>
      </c>
      <c r="E633" s="8"/>
      <c r="F633" s="7" t="s">
        <v>4348</v>
      </c>
      <c r="G633" s="7" t="s">
        <v>25</v>
      </c>
      <c r="H633" s="58"/>
      <c r="I633" s="23"/>
      <c r="J633" s="24"/>
      <c r="M633" s="4"/>
      <c r="N633" s="76"/>
      <c r="O633" s="76"/>
      <c r="P633" s="76" t="str">
        <f t="shared" si="76"/>
        <v>,shikkan615_start_date</v>
      </c>
      <c r="Q633" s="76" t="str">
        <f t="shared" si="77"/>
        <v>DATE</v>
      </c>
      <c r="R633" s="76" t="str">
        <f t="shared" si="78"/>
        <v/>
      </c>
      <c r="S633" s="76" t="str">
        <f t="shared" si="79"/>
        <v/>
      </c>
      <c r="T633" s="76" t="str">
        <f t="shared" si="80"/>
        <v>-- I432_疾患開始日</v>
      </c>
      <c r="U633" s="4" t="str">
        <f t="shared" si="73"/>
        <v>, CASE WHEN shikkan_disp_name = 'I432' THEN min_shikkan_start_date ::DATE ELSE NULL END AS shikkan615_start_date</v>
      </c>
      <c r="V633" s="25" t="str">
        <f t="shared" si="74"/>
        <v>, max(shikkan615_start_date)</v>
      </c>
      <c r="AA633" s="4"/>
      <c r="AB633" s="4"/>
      <c r="AC633" s="4"/>
      <c r="AD633" s="4"/>
      <c r="AE633" s="4"/>
      <c r="AF633" s="4"/>
      <c r="AG633" s="4"/>
      <c r="AH633" s="4"/>
      <c r="AI633" s="4"/>
      <c r="AJ633" s="76" t="str">
        <f>IF(E633="○",IF(COUNTA(E$13:E633)=1,"",",")&amp;D633,"")</f>
        <v/>
      </c>
      <c r="AK633" s="4"/>
      <c r="AL633" s="4"/>
      <c r="AM633" s="4"/>
      <c r="AN633" s="4"/>
      <c r="AO633" s="4"/>
      <c r="AP633" s="4"/>
      <c r="AQ633" s="4"/>
      <c r="AR633" s="4"/>
      <c r="AS633" s="76" t="str">
        <f>"COMMENT ON COLUMN "&amp;エンティティ一覧!$O$2&amp;"."&amp;D$8&amp;"."&amp;D633&amp;" IS '"&amp;C633&amp;"';"</f>
        <v>COMMENT ON COLUMN milscm_2023_009.sny_202310_annony_bef2.shikkan615_start_date IS 'I432_疾患開始日';</v>
      </c>
    </row>
    <row r="634" spans="1:45" s="25" customFormat="1">
      <c r="A634" s="4" t="s">
        <v>5702</v>
      </c>
      <c r="B634" s="21">
        <f t="shared" si="75"/>
        <v>622</v>
      </c>
      <c r="C634" s="13" t="s">
        <v>7092</v>
      </c>
      <c r="D634" s="13" t="s">
        <v>6276</v>
      </c>
      <c r="E634" s="8"/>
      <c r="F634" s="7" t="s">
        <v>4348</v>
      </c>
      <c r="G634" s="7" t="s">
        <v>25</v>
      </c>
      <c r="H634" s="58"/>
      <c r="I634" s="23"/>
      <c r="J634" s="24"/>
      <c r="M634" s="4"/>
      <c r="N634" s="76"/>
      <c r="O634" s="76"/>
      <c r="P634" s="76" t="str">
        <f t="shared" si="76"/>
        <v>,shikkan616_start_date</v>
      </c>
      <c r="Q634" s="76" t="str">
        <f t="shared" si="77"/>
        <v>DATE</v>
      </c>
      <c r="R634" s="76" t="str">
        <f t="shared" si="78"/>
        <v/>
      </c>
      <c r="S634" s="76" t="str">
        <f t="shared" si="79"/>
        <v/>
      </c>
      <c r="T634" s="76" t="str">
        <f t="shared" si="80"/>
        <v>-- I438_疾患開始日</v>
      </c>
      <c r="U634" s="4" t="str">
        <f t="shared" si="73"/>
        <v>, CASE WHEN shikkan_disp_name = 'I438' THEN min_shikkan_start_date ::DATE ELSE NULL END AS shikkan616_start_date</v>
      </c>
      <c r="V634" s="25" t="str">
        <f t="shared" si="74"/>
        <v>, max(shikkan616_start_date)</v>
      </c>
      <c r="AA634" s="4"/>
      <c r="AB634" s="4"/>
      <c r="AC634" s="4"/>
      <c r="AD634" s="4"/>
      <c r="AE634" s="4"/>
      <c r="AF634" s="4"/>
      <c r="AG634" s="4"/>
      <c r="AH634" s="4"/>
      <c r="AI634" s="4"/>
      <c r="AJ634" s="76" t="str">
        <f>IF(E634="○",IF(COUNTA(E$13:E634)=1,"",",")&amp;D634,"")</f>
        <v/>
      </c>
      <c r="AK634" s="4"/>
      <c r="AL634" s="4"/>
      <c r="AM634" s="4"/>
      <c r="AN634" s="4"/>
      <c r="AO634" s="4"/>
      <c r="AP634" s="4"/>
      <c r="AQ634" s="4"/>
      <c r="AR634" s="4"/>
      <c r="AS634" s="76" t="str">
        <f>"COMMENT ON COLUMN "&amp;エンティティ一覧!$O$2&amp;"."&amp;D$8&amp;"."&amp;D634&amp;" IS '"&amp;C634&amp;"';"</f>
        <v>COMMENT ON COLUMN milscm_2023_009.sny_202310_annony_bef2.shikkan616_start_date IS 'I438_疾患開始日';</v>
      </c>
    </row>
    <row r="635" spans="1:45" s="25" customFormat="1">
      <c r="A635" s="4" t="s">
        <v>5703</v>
      </c>
      <c r="B635" s="21">
        <f t="shared" si="75"/>
        <v>623</v>
      </c>
      <c r="C635" s="13" t="s">
        <v>7093</v>
      </c>
      <c r="D635" s="13" t="s">
        <v>6277</v>
      </c>
      <c r="E635" s="8"/>
      <c r="F635" s="7" t="s">
        <v>4348</v>
      </c>
      <c r="G635" s="7" t="s">
        <v>25</v>
      </c>
      <c r="H635" s="58"/>
      <c r="I635" s="23"/>
      <c r="J635" s="24"/>
      <c r="M635" s="4"/>
      <c r="N635" s="76"/>
      <c r="O635" s="76"/>
      <c r="P635" s="76" t="str">
        <f t="shared" si="76"/>
        <v>,shikkan617_start_date</v>
      </c>
      <c r="Q635" s="76" t="str">
        <f t="shared" si="77"/>
        <v>DATE</v>
      </c>
      <c r="R635" s="76" t="str">
        <f t="shared" si="78"/>
        <v/>
      </c>
      <c r="S635" s="76" t="str">
        <f t="shared" si="79"/>
        <v/>
      </c>
      <c r="T635" s="76" t="str">
        <f t="shared" si="80"/>
        <v>-- I500_疾患開始日</v>
      </c>
      <c r="U635" s="4" t="str">
        <f t="shared" si="73"/>
        <v>, CASE WHEN shikkan_disp_name = 'I500' THEN min_shikkan_start_date ::DATE ELSE NULL END AS shikkan617_start_date</v>
      </c>
      <c r="V635" s="25" t="str">
        <f t="shared" si="74"/>
        <v>, max(shikkan617_start_date)</v>
      </c>
      <c r="AA635" s="4"/>
      <c r="AB635" s="4"/>
      <c r="AC635" s="4"/>
      <c r="AD635" s="4"/>
      <c r="AE635" s="4"/>
      <c r="AF635" s="4"/>
      <c r="AG635" s="4"/>
      <c r="AH635" s="4"/>
      <c r="AI635" s="4"/>
      <c r="AJ635" s="76" t="str">
        <f>IF(E635="○",IF(COUNTA(E$13:E635)=1,"",",")&amp;D635,"")</f>
        <v/>
      </c>
      <c r="AK635" s="4"/>
      <c r="AL635" s="4"/>
      <c r="AM635" s="4"/>
      <c r="AN635" s="4"/>
      <c r="AO635" s="4"/>
      <c r="AP635" s="4"/>
      <c r="AQ635" s="4"/>
      <c r="AR635" s="4"/>
      <c r="AS635" s="76" t="str">
        <f>"COMMENT ON COLUMN "&amp;エンティティ一覧!$O$2&amp;"."&amp;D$8&amp;"."&amp;D635&amp;" IS '"&amp;C635&amp;"';"</f>
        <v>COMMENT ON COLUMN milscm_2023_009.sny_202310_annony_bef2.shikkan617_start_date IS 'I500_疾患開始日';</v>
      </c>
    </row>
    <row r="636" spans="1:45" s="25" customFormat="1">
      <c r="A636" s="4" t="s">
        <v>5704</v>
      </c>
      <c r="B636" s="21">
        <f t="shared" si="75"/>
        <v>624</v>
      </c>
      <c r="C636" s="13" t="s">
        <v>7094</v>
      </c>
      <c r="D636" s="13" t="s">
        <v>6278</v>
      </c>
      <c r="E636" s="8"/>
      <c r="F636" s="7" t="s">
        <v>4348</v>
      </c>
      <c r="G636" s="7" t="s">
        <v>25</v>
      </c>
      <c r="H636" s="58"/>
      <c r="I636" s="23"/>
      <c r="J636" s="24"/>
      <c r="M636" s="4"/>
      <c r="N636" s="76"/>
      <c r="O636" s="76"/>
      <c r="P636" s="76" t="str">
        <f t="shared" si="76"/>
        <v>,shikkan618_start_date</v>
      </c>
      <c r="Q636" s="76" t="str">
        <f t="shared" si="77"/>
        <v>DATE</v>
      </c>
      <c r="R636" s="76" t="str">
        <f t="shared" si="78"/>
        <v/>
      </c>
      <c r="S636" s="76" t="str">
        <f t="shared" si="79"/>
        <v/>
      </c>
      <c r="T636" s="76" t="str">
        <f t="shared" si="80"/>
        <v>-- I501_疾患開始日</v>
      </c>
      <c r="U636" s="4" t="str">
        <f t="shared" si="73"/>
        <v>, CASE WHEN shikkan_disp_name = 'I501' THEN min_shikkan_start_date ::DATE ELSE NULL END AS shikkan618_start_date</v>
      </c>
      <c r="V636" s="25" t="str">
        <f t="shared" si="74"/>
        <v>, max(shikkan618_start_date)</v>
      </c>
      <c r="AA636" s="4"/>
      <c r="AB636" s="4"/>
      <c r="AC636" s="4"/>
      <c r="AD636" s="4"/>
      <c r="AE636" s="4"/>
      <c r="AF636" s="4"/>
      <c r="AG636" s="4"/>
      <c r="AH636" s="4"/>
      <c r="AI636" s="4"/>
      <c r="AJ636" s="76" t="str">
        <f>IF(E636="○",IF(COUNTA(E$13:E636)=1,"",",")&amp;D636,"")</f>
        <v/>
      </c>
      <c r="AK636" s="4"/>
      <c r="AL636" s="4"/>
      <c r="AM636" s="4"/>
      <c r="AN636" s="4"/>
      <c r="AO636" s="4"/>
      <c r="AP636" s="4"/>
      <c r="AQ636" s="4"/>
      <c r="AR636" s="4"/>
      <c r="AS636" s="76" t="str">
        <f>"COMMENT ON COLUMN "&amp;エンティティ一覧!$O$2&amp;"."&amp;D$8&amp;"."&amp;D636&amp;" IS '"&amp;C636&amp;"';"</f>
        <v>COMMENT ON COLUMN milscm_2023_009.sny_202310_annony_bef2.shikkan618_start_date IS 'I501_疾患開始日';</v>
      </c>
    </row>
    <row r="637" spans="1:45" s="25" customFormat="1">
      <c r="A637" s="4" t="s">
        <v>5705</v>
      </c>
      <c r="B637" s="21">
        <f t="shared" si="75"/>
        <v>625</v>
      </c>
      <c r="C637" s="13" t="s">
        <v>7095</v>
      </c>
      <c r="D637" s="13" t="s">
        <v>6279</v>
      </c>
      <c r="E637" s="8"/>
      <c r="F637" s="7" t="s">
        <v>4348</v>
      </c>
      <c r="G637" s="7" t="s">
        <v>25</v>
      </c>
      <c r="H637" s="58"/>
      <c r="I637" s="23"/>
      <c r="J637" s="24"/>
      <c r="M637" s="4"/>
      <c r="N637" s="76"/>
      <c r="O637" s="76"/>
      <c r="P637" s="76" t="str">
        <f t="shared" si="76"/>
        <v>,shikkan619_start_date</v>
      </c>
      <c r="Q637" s="76" t="str">
        <f t="shared" si="77"/>
        <v>DATE</v>
      </c>
      <c r="R637" s="76" t="str">
        <f t="shared" si="78"/>
        <v/>
      </c>
      <c r="S637" s="76" t="str">
        <f t="shared" si="79"/>
        <v/>
      </c>
      <c r="T637" s="76" t="str">
        <f t="shared" si="80"/>
        <v>-- I509_疾患開始日</v>
      </c>
      <c r="U637" s="4" t="str">
        <f t="shared" si="73"/>
        <v>, CASE WHEN shikkan_disp_name = 'I509' THEN min_shikkan_start_date ::DATE ELSE NULL END AS shikkan619_start_date</v>
      </c>
      <c r="V637" s="25" t="str">
        <f t="shared" si="74"/>
        <v>, max(shikkan619_start_date)</v>
      </c>
      <c r="AA637" s="4"/>
      <c r="AB637" s="4"/>
      <c r="AC637" s="4"/>
      <c r="AD637" s="4"/>
      <c r="AE637" s="4"/>
      <c r="AF637" s="4"/>
      <c r="AG637" s="4"/>
      <c r="AH637" s="4"/>
      <c r="AI637" s="4"/>
      <c r="AJ637" s="76" t="str">
        <f>IF(E637="○",IF(COUNTA(E$13:E637)=1,"",",")&amp;D637,"")</f>
        <v/>
      </c>
      <c r="AK637" s="4"/>
      <c r="AL637" s="4"/>
      <c r="AM637" s="4"/>
      <c r="AN637" s="4"/>
      <c r="AO637" s="4"/>
      <c r="AP637" s="4"/>
      <c r="AQ637" s="4"/>
      <c r="AR637" s="4"/>
      <c r="AS637" s="76" t="str">
        <f>"COMMENT ON COLUMN "&amp;エンティティ一覧!$O$2&amp;"."&amp;D$8&amp;"."&amp;D637&amp;" IS '"&amp;C637&amp;"';"</f>
        <v>COMMENT ON COLUMN milscm_2023_009.sny_202310_annony_bef2.shikkan619_start_date IS 'I509_疾患開始日';</v>
      </c>
    </row>
    <row r="638" spans="1:45" s="25" customFormat="1">
      <c r="A638" s="4" t="s">
        <v>5706</v>
      </c>
      <c r="B638" s="21">
        <f t="shared" si="75"/>
        <v>626</v>
      </c>
      <c r="C638" s="13" t="s">
        <v>7096</v>
      </c>
      <c r="D638" s="13" t="s">
        <v>6280</v>
      </c>
      <c r="E638" s="8"/>
      <c r="F638" s="7" t="s">
        <v>4348</v>
      </c>
      <c r="G638" s="7" t="s">
        <v>25</v>
      </c>
      <c r="H638" s="58"/>
      <c r="I638" s="23"/>
      <c r="J638" s="24"/>
      <c r="M638" s="4"/>
      <c r="N638" s="76"/>
      <c r="O638" s="76"/>
      <c r="P638" s="76" t="str">
        <f t="shared" si="76"/>
        <v>,shikkan620_start_date</v>
      </c>
      <c r="Q638" s="76" t="str">
        <f t="shared" si="77"/>
        <v>DATE</v>
      </c>
      <c r="R638" s="76" t="str">
        <f t="shared" si="78"/>
        <v/>
      </c>
      <c r="S638" s="76" t="str">
        <f t="shared" si="79"/>
        <v/>
      </c>
      <c r="T638" s="76" t="str">
        <f t="shared" si="80"/>
        <v>-- I600_疾患開始日</v>
      </c>
      <c r="U638" s="4" t="str">
        <f t="shared" si="73"/>
        <v>, CASE WHEN shikkan_disp_name = 'I600' THEN min_shikkan_start_date ::DATE ELSE NULL END AS shikkan620_start_date</v>
      </c>
      <c r="V638" s="25" t="str">
        <f t="shared" si="74"/>
        <v>, max(shikkan620_start_date)</v>
      </c>
      <c r="AA638" s="4"/>
      <c r="AB638" s="4"/>
      <c r="AC638" s="4"/>
      <c r="AD638" s="4"/>
      <c r="AE638" s="4"/>
      <c r="AF638" s="4"/>
      <c r="AG638" s="4"/>
      <c r="AH638" s="4"/>
      <c r="AI638" s="4"/>
      <c r="AJ638" s="76" t="str">
        <f>IF(E638="○",IF(COUNTA(E$13:E638)=1,"",",")&amp;D638,"")</f>
        <v/>
      </c>
      <c r="AK638" s="4"/>
      <c r="AL638" s="4"/>
      <c r="AM638" s="4"/>
      <c r="AN638" s="4"/>
      <c r="AO638" s="4"/>
      <c r="AP638" s="4"/>
      <c r="AQ638" s="4"/>
      <c r="AR638" s="4"/>
      <c r="AS638" s="76" t="str">
        <f>"COMMENT ON COLUMN "&amp;エンティティ一覧!$O$2&amp;"."&amp;D$8&amp;"."&amp;D638&amp;" IS '"&amp;C638&amp;"';"</f>
        <v>COMMENT ON COLUMN milscm_2023_009.sny_202310_annony_bef2.shikkan620_start_date IS 'I600_疾患開始日';</v>
      </c>
    </row>
    <row r="639" spans="1:45" s="25" customFormat="1">
      <c r="A639" s="4" t="s">
        <v>5707</v>
      </c>
      <c r="B639" s="21">
        <f t="shared" si="75"/>
        <v>627</v>
      </c>
      <c r="C639" s="13" t="s">
        <v>7097</v>
      </c>
      <c r="D639" s="13" t="s">
        <v>6281</v>
      </c>
      <c r="E639" s="8"/>
      <c r="F639" s="7" t="s">
        <v>4348</v>
      </c>
      <c r="G639" s="7" t="s">
        <v>25</v>
      </c>
      <c r="H639" s="58"/>
      <c r="I639" s="23"/>
      <c r="J639" s="24"/>
      <c r="M639" s="4"/>
      <c r="N639" s="76"/>
      <c r="O639" s="76"/>
      <c r="P639" s="76" t="str">
        <f t="shared" si="76"/>
        <v>,shikkan621_start_date</v>
      </c>
      <c r="Q639" s="76" t="str">
        <f t="shared" si="77"/>
        <v>DATE</v>
      </c>
      <c r="R639" s="76" t="str">
        <f t="shared" si="78"/>
        <v/>
      </c>
      <c r="S639" s="76" t="str">
        <f t="shared" si="79"/>
        <v/>
      </c>
      <c r="T639" s="76" t="str">
        <f t="shared" si="80"/>
        <v>-- I601_疾患開始日</v>
      </c>
      <c r="U639" s="4" t="str">
        <f t="shared" si="73"/>
        <v>, CASE WHEN shikkan_disp_name = 'I601' THEN min_shikkan_start_date ::DATE ELSE NULL END AS shikkan621_start_date</v>
      </c>
      <c r="V639" s="25" t="str">
        <f t="shared" si="74"/>
        <v>, max(shikkan621_start_date)</v>
      </c>
      <c r="AA639" s="4"/>
      <c r="AB639" s="4"/>
      <c r="AC639" s="4"/>
      <c r="AD639" s="4"/>
      <c r="AE639" s="4"/>
      <c r="AF639" s="4"/>
      <c r="AG639" s="4"/>
      <c r="AH639" s="4"/>
      <c r="AI639" s="4"/>
      <c r="AJ639" s="76" t="str">
        <f>IF(E639="○",IF(COUNTA(E$13:E639)=1,"",",")&amp;D639,"")</f>
        <v/>
      </c>
      <c r="AK639" s="4"/>
      <c r="AL639" s="4"/>
      <c r="AM639" s="4"/>
      <c r="AN639" s="4"/>
      <c r="AO639" s="4"/>
      <c r="AP639" s="4"/>
      <c r="AQ639" s="4"/>
      <c r="AR639" s="4"/>
      <c r="AS639" s="76" t="str">
        <f>"COMMENT ON COLUMN "&amp;エンティティ一覧!$O$2&amp;"."&amp;D$8&amp;"."&amp;D639&amp;" IS '"&amp;C639&amp;"';"</f>
        <v>COMMENT ON COLUMN milscm_2023_009.sny_202310_annony_bef2.shikkan621_start_date IS 'I601_疾患開始日';</v>
      </c>
    </row>
    <row r="640" spans="1:45" s="25" customFormat="1">
      <c r="A640" s="4" t="s">
        <v>5708</v>
      </c>
      <c r="B640" s="21">
        <f t="shared" si="75"/>
        <v>628</v>
      </c>
      <c r="C640" s="13" t="s">
        <v>7098</v>
      </c>
      <c r="D640" s="13" t="s">
        <v>6282</v>
      </c>
      <c r="E640" s="8"/>
      <c r="F640" s="7" t="s">
        <v>4348</v>
      </c>
      <c r="G640" s="7" t="s">
        <v>25</v>
      </c>
      <c r="H640" s="58"/>
      <c r="I640" s="23"/>
      <c r="J640" s="24"/>
      <c r="M640" s="4"/>
      <c r="N640" s="76"/>
      <c r="O640" s="76"/>
      <c r="P640" s="76" t="str">
        <f t="shared" si="76"/>
        <v>,shikkan622_start_date</v>
      </c>
      <c r="Q640" s="76" t="str">
        <f t="shared" si="77"/>
        <v>DATE</v>
      </c>
      <c r="R640" s="76" t="str">
        <f t="shared" si="78"/>
        <v/>
      </c>
      <c r="S640" s="76" t="str">
        <f t="shared" si="79"/>
        <v/>
      </c>
      <c r="T640" s="76" t="str">
        <f t="shared" si="80"/>
        <v>-- I602_疾患開始日</v>
      </c>
      <c r="U640" s="4" t="str">
        <f t="shared" si="73"/>
        <v>, CASE WHEN shikkan_disp_name = 'I602' THEN min_shikkan_start_date ::DATE ELSE NULL END AS shikkan622_start_date</v>
      </c>
      <c r="V640" s="25" t="str">
        <f t="shared" si="74"/>
        <v>, max(shikkan622_start_date)</v>
      </c>
      <c r="AA640" s="4"/>
      <c r="AB640" s="4"/>
      <c r="AC640" s="4"/>
      <c r="AD640" s="4"/>
      <c r="AE640" s="4"/>
      <c r="AF640" s="4"/>
      <c r="AG640" s="4"/>
      <c r="AH640" s="4"/>
      <c r="AI640" s="4"/>
      <c r="AJ640" s="76" t="str">
        <f>IF(E640="○",IF(COUNTA(E$13:E640)=1,"",",")&amp;D640,"")</f>
        <v/>
      </c>
      <c r="AK640" s="4"/>
      <c r="AL640" s="4"/>
      <c r="AM640" s="4"/>
      <c r="AN640" s="4"/>
      <c r="AO640" s="4"/>
      <c r="AP640" s="4"/>
      <c r="AQ640" s="4"/>
      <c r="AR640" s="4"/>
      <c r="AS640" s="76" t="str">
        <f>"COMMENT ON COLUMN "&amp;エンティティ一覧!$O$2&amp;"."&amp;D$8&amp;"."&amp;D640&amp;" IS '"&amp;C640&amp;"';"</f>
        <v>COMMENT ON COLUMN milscm_2023_009.sny_202310_annony_bef2.shikkan622_start_date IS 'I602_疾患開始日';</v>
      </c>
    </row>
    <row r="641" spans="1:45" s="25" customFormat="1">
      <c r="A641" s="4" t="s">
        <v>5709</v>
      </c>
      <c r="B641" s="21">
        <f t="shared" si="75"/>
        <v>629</v>
      </c>
      <c r="C641" s="13" t="s">
        <v>7099</v>
      </c>
      <c r="D641" s="13" t="s">
        <v>6283</v>
      </c>
      <c r="E641" s="8"/>
      <c r="F641" s="7" t="s">
        <v>4348</v>
      </c>
      <c r="G641" s="7" t="s">
        <v>99</v>
      </c>
      <c r="H641" s="58"/>
      <c r="I641" s="23"/>
      <c r="J641" s="24"/>
      <c r="M641" s="4"/>
      <c r="N641" s="76"/>
      <c r="O641" s="76"/>
      <c r="P641" s="76" t="str">
        <f t="shared" si="76"/>
        <v>,shikkan623_start_date</v>
      </c>
      <c r="Q641" s="76" t="str">
        <f t="shared" si="77"/>
        <v>DATE</v>
      </c>
      <c r="R641" s="76" t="str">
        <f t="shared" si="78"/>
        <v/>
      </c>
      <c r="S641" s="76" t="str">
        <f t="shared" si="79"/>
        <v/>
      </c>
      <c r="T641" s="76" t="str">
        <f t="shared" si="80"/>
        <v>-- I603_疾患開始日</v>
      </c>
      <c r="U641" s="4" t="str">
        <f t="shared" si="73"/>
        <v>, CASE WHEN shikkan_disp_name = 'I603' THEN min_shikkan_start_date ::DATE ELSE NULL END AS shikkan623_start_date</v>
      </c>
      <c r="V641" s="25" t="str">
        <f t="shared" si="74"/>
        <v>, max(shikkan623_start_date)</v>
      </c>
      <c r="AA641" s="4"/>
      <c r="AB641" s="4"/>
      <c r="AC641" s="4"/>
      <c r="AD641" s="4"/>
      <c r="AE641" s="4"/>
      <c r="AF641" s="4"/>
      <c r="AG641" s="4"/>
      <c r="AH641" s="4"/>
      <c r="AI641" s="4"/>
      <c r="AJ641" s="76" t="str">
        <f>IF(E641="○",IF(COUNTA(E$13:E641)=1,"",",")&amp;D641,"")</f>
        <v/>
      </c>
      <c r="AK641" s="4"/>
      <c r="AL641" s="4"/>
      <c r="AM641" s="4"/>
      <c r="AN641" s="4"/>
      <c r="AO641" s="4"/>
      <c r="AP641" s="4"/>
      <c r="AQ641" s="4"/>
      <c r="AR641" s="4"/>
      <c r="AS641" s="76" t="str">
        <f>"COMMENT ON COLUMN "&amp;エンティティ一覧!$O$2&amp;"."&amp;D$8&amp;"."&amp;D641&amp;" IS '"&amp;C641&amp;"';"</f>
        <v>COMMENT ON COLUMN milscm_2023_009.sny_202310_annony_bef2.shikkan623_start_date IS 'I603_疾患開始日';</v>
      </c>
    </row>
    <row r="642" spans="1:45" s="25" customFormat="1">
      <c r="A642" s="4" t="s">
        <v>5710</v>
      </c>
      <c r="B642" s="21">
        <f t="shared" si="75"/>
        <v>630</v>
      </c>
      <c r="C642" s="13" t="s">
        <v>7100</v>
      </c>
      <c r="D642" s="13" t="s">
        <v>6284</v>
      </c>
      <c r="E642" s="8"/>
      <c r="F642" s="7" t="s">
        <v>4348</v>
      </c>
      <c r="G642" s="7" t="s">
        <v>25</v>
      </c>
      <c r="H642" s="58"/>
      <c r="I642" s="23"/>
      <c r="J642" s="24"/>
      <c r="M642" s="4"/>
      <c r="N642" s="76"/>
      <c r="O642" s="76"/>
      <c r="P642" s="76" t="str">
        <f t="shared" si="76"/>
        <v>,shikkan624_start_date</v>
      </c>
      <c r="Q642" s="76" t="str">
        <f t="shared" si="77"/>
        <v>DATE</v>
      </c>
      <c r="R642" s="76" t="str">
        <f t="shared" si="78"/>
        <v/>
      </c>
      <c r="S642" s="76" t="str">
        <f t="shared" si="79"/>
        <v/>
      </c>
      <c r="T642" s="76" t="str">
        <f t="shared" si="80"/>
        <v>-- I604_疾患開始日</v>
      </c>
      <c r="U642" s="4" t="str">
        <f t="shared" si="73"/>
        <v>, CASE WHEN shikkan_disp_name = 'I604' THEN min_shikkan_start_date ::DATE ELSE NULL END AS shikkan624_start_date</v>
      </c>
      <c r="V642" s="25" t="str">
        <f t="shared" si="74"/>
        <v>, max(shikkan624_start_date)</v>
      </c>
      <c r="AA642" s="4"/>
      <c r="AB642" s="4"/>
      <c r="AC642" s="4"/>
      <c r="AD642" s="4"/>
      <c r="AE642" s="4"/>
      <c r="AF642" s="4"/>
      <c r="AG642" s="4"/>
      <c r="AH642" s="4"/>
      <c r="AI642" s="4"/>
      <c r="AJ642" s="76" t="str">
        <f>IF(E642="○",IF(COUNTA(E$13:E642)=1,"",",")&amp;D642,"")</f>
        <v/>
      </c>
      <c r="AK642" s="4"/>
      <c r="AL642" s="4"/>
      <c r="AM642" s="4"/>
      <c r="AN642" s="4"/>
      <c r="AO642" s="4"/>
      <c r="AP642" s="4"/>
      <c r="AQ642" s="4"/>
      <c r="AR642" s="4"/>
      <c r="AS642" s="76" t="str">
        <f>"COMMENT ON COLUMN "&amp;エンティティ一覧!$O$2&amp;"."&amp;D$8&amp;"."&amp;D642&amp;" IS '"&amp;C642&amp;"';"</f>
        <v>COMMENT ON COLUMN milscm_2023_009.sny_202310_annony_bef2.shikkan624_start_date IS 'I604_疾患開始日';</v>
      </c>
    </row>
    <row r="643" spans="1:45" s="25" customFormat="1">
      <c r="A643" s="4" t="s">
        <v>5711</v>
      </c>
      <c r="B643" s="21">
        <f t="shared" si="75"/>
        <v>631</v>
      </c>
      <c r="C643" s="13" t="s">
        <v>7101</v>
      </c>
      <c r="D643" s="13" t="s">
        <v>6285</v>
      </c>
      <c r="E643" s="8"/>
      <c r="F643" s="7" t="s">
        <v>4348</v>
      </c>
      <c r="G643" s="7" t="s">
        <v>25</v>
      </c>
      <c r="H643" s="58"/>
      <c r="I643" s="23"/>
      <c r="J643" s="24"/>
      <c r="M643" s="4"/>
      <c r="N643" s="76"/>
      <c r="O643" s="76"/>
      <c r="P643" s="76" t="str">
        <f t="shared" si="76"/>
        <v>,shikkan625_start_date</v>
      </c>
      <c r="Q643" s="76" t="str">
        <f t="shared" si="77"/>
        <v>DATE</v>
      </c>
      <c r="R643" s="76" t="str">
        <f t="shared" si="78"/>
        <v/>
      </c>
      <c r="S643" s="76" t="str">
        <f t="shared" si="79"/>
        <v/>
      </c>
      <c r="T643" s="76" t="str">
        <f t="shared" si="80"/>
        <v>-- I605_疾患開始日</v>
      </c>
      <c r="U643" s="4" t="str">
        <f t="shared" si="73"/>
        <v>, CASE WHEN shikkan_disp_name = 'I605' THEN min_shikkan_start_date ::DATE ELSE NULL END AS shikkan625_start_date</v>
      </c>
      <c r="V643" s="25" t="str">
        <f t="shared" si="74"/>
        <v>, max(shikkan625_start_date)</v>
      </c>
      <c r="AA643" s="4"/>
      <c r="AB643" s="4"/>
      <c r="AC643" s="4"/>
      <c r="AD643" s="4"/>
      <c r="AE643" s="4"/>
      <c r="AF643" s="4"/>
      <c r="AG643" s="4"/>
      <c r="AH643" s="4"/>
      <c r="AI643" s="4"/>
      <c r="AJ643" s="76" t="str">
        <f>IF(E643="○",IF(COUNTA(E$13:E643)=1,"",",")&amp;D643,"")</f>
        <v/>
      </c>
      <c r="AK643" s="4"/>
      <c r="AL643" s="4"/>
      <c r="AM643" s="4"/>
      <c r="AN643" s="4"/>
      <c r="AO643" s="4"/>
      <c r="AP643" s="4"/>
      <c r="AQ643" s="4"/>
      <c r="AR643" s="4"/>
      <c r="AS643" s="76" t="str">
        <f>"COMMENT ON COLUMN "&amp;エンティティ一覧!$O$2&amp;"."&amp;D$8&amp;"."&amp;D643&amp;" IS '"&amp;C643&amp;"';"</f>
        <v>COMMENT ON COLUMN milscm_2023_009.sny_202310_annony_bef2.shikkan625_start_date IS 'I605_疾患開始日';</v>
      </c>
    </row>
    <row r="644" spans="1:45" s="25" customFormat="1">
      <c r="A644" s="4" t="s">
        <v>5712</v>
      </c>
      <c r="B644" s="21">
        <f t="shared" si="75"/>
        <v>632</v>
      </c>
      <c r="C644" s="13" t="s">
        <v>7102</v>
      </c>
      <c r="D644" s="13" t="s">
        <v>6286</v>
      </c>
      <c r="E644" s="8"/>
      <c r="F644" s="7" t="s">
        <v>4348</v>
      </c>
      <c r="G644" s="7" t="s">
        <v>25</v>
      </c>
      <c r="H644" s="58"/>
      <c r="I644" s="23"/>
      <c r="J644" s="24"/>
      <c r="M644" s="4"/>
      <c r="N644" s="76"/>
      <c r="O644" s="76"/>
      <c r="P644" s="76" t="str">
        <f t="shared" si="76"/>
        <v>,shikkan626_start_date</v>
      </c>
      <c r="Q644" s="76" t="str">
        <f t="shared" si="77"/>
        <v>DATE</v>
      </c>
      <c r="R644" s="76" t="str">
        <f t="shared" si="78"/>
        <v/>
      </c>
      <c r="S644" s="76" t="str">
        <f t="shared" si="79"/>
        <v/>
      </c>
      <c r="T644" s="76" t="str">
        <f t="shared" si="80"/>
        <v>-- I606_疾患開始日</v>
      </c>
      <c r="U644" s="4" t="str">
        <f t="shared" si="73"/>
        <v>, CASE WHEN shikkan_disp_name = 'I606' THEN min_shikkan_start_date ::DATE ELSE NULL END AS shikkan626_start_date</v>
      </c>
      <c r="V644" s="25" t="str">
        <f t="shared" si="74"/>
        <v>, max(shikkan626_start_date)</v>
      </c>
      <c r="AA644" s="4"/>
      <c r="AB644" s="4"/>
      <c r="AC644" s="4"/>
      <c r="AD644" s="4"/>
      <c r="AE644" s="4"/>
      <c r="AF644" s="4"/>
      <c r="AG644" s="4"/>
      <c r="AH644" s="4"/>
      <c r="AI644" s="4"/>
      <c r="AJ644" s="76" t="str">
        <f>IF(E644="○",IF(COUNTA(E$13:E644)=1,"",",")&amp;D644,"")</f>
        <v/>
      </c>
      <c r="AK644" s="4"/>
      <c r="AL644" s="4"/>
      <c r="AM644" s="4"/>
      <c r="AN644" s="4"/>
      <c r="AO644" s="4"/>
      <c r="AP644" s="4"/>
      <c r="AQ644" s="4"/>
      <c r="AR644" s="4"/>
      <c r="AS644" s="76" t="str">
        <f>"COMMENT ON COLUMN "&amp;エンティティ一覧!$O$2&amp;"."&amp;D$8&amp;"."&amp;D644&amp;" IS '"&amp;C644&amp;"';"</f>
        <v>COMMENT ON COLUMN milscm_2023_009.sny_202310_annony_bef2.shikkan626_start_date IS 'I606_疾患開始日';</v>
      </c>
    </row>
    <row r="645" spans="1:45" s="25" customFormat="1">
      <c r="A645" s="4" t="s">
        <v>5713</v>
      </c>
      <c r="B645" s="21">
        <f t="shared" si="75"/>
        <v>633</v>
      </c>
      <c r="C645" s="13" t="s">
        <v>7103</v>
      </c>
      <c r="D645" s="13" t="s">
        <v>6287</v>
      </c>
      <c r="E645" s="8"/>
      <c r="F645" s="7" t="s">
        <v>4348</v>
      </c>
      <c r="G645" s="7" t="s">
        <v>25</v>
      </c>
      <c r="H645" s="58"/>
      <c r="I645" s="23"/>
      <c r="J645" s="24"/>
      <c r="M645" s="4"/>
      <c r="N645" s="76"/>
      <c r="O645" s="76"/>
      <c r="P645" s="76" t="str">
        <f t="shared" si="76"/>
        <v>,shikkan627_start_date</v>
      </c>
      <c r="Q645" s="76" t="str">
        <f t="shared" si="77"/>
        <v>DATE</v>
      </c>
      <c r="R645" s="76" t="str">
        <f t="shared" si="78"/>
        <v/>
      </c>
      <c r="S645" s="76" t="str">
        <f t="shared" si="79"/>
        <v/>
      </c>
      <c r="T645" s="76" t="str">
        <f t="shared" si="80"/>
        <v>-- I607_疾患開始日</v>
      </c>
      <c r="U645" s="4" t="str">
        <f t="shared" si="73"/>
        <v>, CASE WHEN shikkan_disp_name = 'I607' THEN min_shikkan_start_date ::DATE ELSE NULL END AS shikkan627_start_date</v>
      </c>
      <c r="V645" s="25" t="str">
        <f t="shared" si="74"/>
        <v>, max(shikkan627_start_date)</v>
      </c>
      <c r="AA645" s="4"/>
      <c r="AB645" s="4"/>
      <c r="AC645" s="4"/>
      <c r="AD645" s="4"/>
      <c r="AE645" s="4"/>
      <c r="AF645" s="4"/>
      <c r="AG645" s="4"/>
      <c r="AH645" s="4"/>
      <c r="AI645" s="4"/>
      <c r="AJ645" s="76" t="str">
        <f>IF(E645="○",IF(COUNTA(E$13:E645)=1,"",",")&amp;D645,"")</f>
        <v/>
      </c>
      <c r="AK645" s="4"/>
      <c r="AL645" s="4"/>
      <c r="AM645" s="4"/>
      <c r="AN645" s="4"/>
      <c r="AO645" s="4"/>
      <c r="AP645" s="4"/>
      <c r="AQ645" s="4"/>
      <c r="AR645" s="4"/>
      <c r="AS645" s="76" t="str">
        <f>"COMMENT ON COLUMN "&amp;エンティティ一覧!$O$2&amp;"."&amp;D$8&amp;"."&amp;D645&amp;" IS '"&amp;C645&amp;"';"</f>
        <v>COMMENT ON COLUMN milscm_2023_009.sny_202310_annony_bef2.shikkan627_start_date IS 'I607_疾患開始日';</v>
      </c>
    </row>
    <row r="646" spans="1:45" s="25" customFormat="1">
      <c r="A646" s="4" t="s">
        <v>5714</v>
      </c>
      <c r="B646" s="21">
        <f t="shared" si="75"/>
        <v>634</v>
      </c>
      <c r="C646" s="13" t="s">
        <v>7104</v>
      </c>
      <c r="D646" s="13" t="s">
        <v>6288</v>
      </c>
      <c r="E646" s="8"/>
      <c r="F646" s="7" t="s">
        <v>4348</v>
      </c>
      <c r="G646" s="7" t="s">
        <v>25</v>
      </c>
      <c r="H646" s="58"/>
      <c r="I646" s="23"/>
      <c r="J646" s="24"/>
      <c r="M646" s="4"/>
      <c r="N646" s="76"/>
      <c r="O646" s="76"/>
      <c r="P646" s="76" t="str">
        <f t="shared" si="76"/>
        <v>,shikkan628_start_date</v>
      </c>
      <c r="Q646" s="76" t="str">
        <f t="shared" si="77"/>
        <v>DATE</v>
      </c>
      <c r="R646" s="76" t="str">
        <f t="shared" si="78"/>
        <v/>
      </c>
      <c r="S646" s="76" t="str">
        <f t="shared" si="79"/>
        <v/>
      </c>
      <c r="T646" s="76" t="str">
        <f t="shared" si="80"/>
        <v>-- I608_疾患開始日</v>
      </c>
      <c r="U646" s="4" t="str">
        <f t="shared" si="73"/>
        <v>, CASE WHEN shikkan_disp_name = 'I608' THEN min_shikkan_start_date ::DATE ELSE NULL END AS shikkan628_start_date</v>
      </c>
      <c r="V646" s="25" t="str">
        <f t="shared" si="74"/>
        <v>, max(shikkan628_start_date)</v>
      </c>
      <c r="AA646" s="4"/>
      <c r="AB646" s="4"/>
      <c r="AC646" s="4"/>
      <c r="AD646" s="4"/>
      <c r="AE646" s="4"/>
      <c r="AF646" s="4"/>
      <c r="AG646" s="4"/>
      <c r="AH646" s="4"/>
      <c r="AI646" s="4"/>
      <c r="AJ646" s="76" t="str">
        <f>IF(E646="○",IF(COUNTA(E$13:E646)=1,"",",")&amp;D646,"")</f>
        <v/>
      </c>
      <c r="AK646" s="4"/>
      <c r="AL646" s="4"/>
      <c r="AM646" s="4"/>
      <c r="AN646" s="4"/>
      <c r="AO646" s="4"/>
      <c r="AP646" s="4"/>
      <c r="AQ646" s="4"/>
      <c r="AR646" s="4"/>
      <c r="AS646" s="76" t="str">
        <f>"COMMENT ON COLUMN "&amp;エンティティ一覧!$O$2&amp;"."&amp;D$8&amp;"."&amp;D646&amp;" IS '"&amp;C646&amp;"';"</f>
        <v>COMMENT ON COLUMN milscm_2023_009.sny_202310_annony_bef2.shikkan628_start_date IS 'I608_疾患開始日';</v>
      </c>
    </row>
    <row r="647" spans="1:45" s="25" customFormat="1">
      <c r="A647" s="4" t="s">
        <v>5715</v>
      </c>
      <c r="B647" s="21">
        <f t="shared" si="75"/>
        <v>635</v>
      </c>
      <c r="C647" s="13" t="s">
        <v>7105</v>
      </c>
      <c r="D647" s="13" t="s">
        <v>6289</v>
      </c>
      <c r="E647" s="8"/>
      <c r="F647" s="7" t="s">
        <v>4348</v>
      </c>
      <c r="G647" s="7" t="s">
        <v>25</v>
      </c>
      <c r="H647" s="58"/>
      <c r="I647" s="23"/>
      <c r="J647" s="24"/>
      <c r="M647" s="4"/>
      <c r="N647" s="76"/>
      <c r="O647" s="76"/>
      <c r="P647" s="76" t="str">
        <f t="shared" si="76"/>
        <v>,shikkan629_start_date</v>
      </c>
      <c r="Q647" s="76" t="str">
        <f t="shared" si="77"/>
        <v>DATE</v>
      </c>
      <c r="R647" s="76" t="str">
        <f t="shared" si="78"/>
        <v/>
      </c>
      <c r="S647" s="76" t="str">
        <f t="shared" si="79"/>
        <v/>
      </c>
      <c r="T647" s="76" t="str">
        <f t="shared" si="80"/>
        <v>-- I609_疾患開始日</v>
      </c>
      <c r="U647" s="4" t="str">
        <f t="shared" si="73"/>
        <v>, CASE WHEN shikkan_disp_name = 'I609' THEN min_shikkan_start_date ::DATE ELSE NULL END AS shikkan629_start_date</v>
      </c>
      <c r="V647" s="25" t="str">
        <f t="shared" si="74"/>
        <v>, max(shikkan629_start_date)</v>
      </c>
      <c r="AA647" s="4"/>
      <c r="AB647" s="4"/>
      <c r="AC647" s="4"/>
      <c r="AD647" s="4"/>
      <c r="AE647" s="4"/>
      <c r="AF647" s="4"/>
      <c r="AG647" s="4"/>
      <c r="AH647" s="4"/>
      <c r="AI647" s="4"/>
      <c r="AJ647" s="76" t="str">
        <f>IF(E647="○",IF(COUNTA(E$13:E647)=1,"",",")&amp;D647,"")</f>
        <v/>
      </c>
      <c r="AK647" s="4"/>
      <c r="AL647" s="4"/>
      <c r="AM647" s="4"/>
      <c r="AN647" s="4"/>
      <c r="AO647" s="4"/>
      <c r="AP647" s="4"/>
      <c r="AQ647" s="4"/>
      <c r="AR647" s="4"/>
      <c r="AS647" s="76" t="str">
        <f>"COMMENT ON COLUMN "&amp;エンティティ一覧!$O$2&amp;"."&amp;D$8&amp;"."&amp;D647&amp;" IS '"&amp;C647&amp;"';"</f>
        <v>COMMENT ON COLUMN milscm_2023_009.sny_202310_annony_bef2.shikkan629_start_date IS 'I609_疾患開始日';</v>
      </c>
    </row>
    <row r="648" spans="1:45" s="25" customFormat="1">
      <c r="A648" s="4" t="s">
        <v>5716</v>
      </c>
      <c r="B648" s="21">
        <f t="shared" si="75"/>
        <v>636</v>
      </c>
      <c r="C648" s="13" t="s">
        <v>7106</v>
      </c>
      <c r="D648" s="13" t="s">
        <v>6290</v>
      </c>
      <c r="E648" s="8"/>
      <c r="F648" s="7" t="s">
        <v>4348</v>
      </c>
      <c r="G648" s="7" t="s">
        <v>25</v>
      </c>
      <c r="H648" s="58"/>
      <c r="I648" s="23"/>
      <c r="J648" s="24"/>
      <c r="M648" s="4"/>
      <c r="N648" s="76"/>
      <c r="O648" s="76"/>
      <c r="P648" s="76" t="str">
        <f t="shared" si="76"/>
        <v>,shikkan630_start_date</v>
      </c>
      <c r="Q648" s="76" t="str">
        <f t="shared" si="77"/>
        <v>DATE</v>
      </c>
      <c r="R648" s="76" t="str">
        <f t="shared" si="78"/>
        <v/>
      </c>
      <c r="S648" s="76" t="str">
        <f t="shared" si="79"/>
        <v/>
      </c>
      <c r="T648" s="76" t="str">
        <f t="shared" si="80"/>
        <v>-- I610_疾患開始日</v>
      </c>
      <c r="U648" s="4" t="str">
        <f t="shared" si="73"/>
        <v>, CASE WHEN shikkan_disp_name = 'I610' THEN min_shikkan_start_date ::DATE ELSE NULL END AS shikkan630_start_date</v>
      </c>
      <c r="V648" s="25" t="str">
        <f t="shared" si="74"/>
        <v>, max(shikkan630_start_date)</v>
      </c>
      <c r="AA648" s="4"/>
      <c r="AB648" s="4"/>
      <c r="AC648" s="4"/>
      <c r="AD648" s="4"/>
      <c r="AE648" s="4"/>
      <c r="AF648" s="4"/>
      <c r="AG648" s="4"/>
      <c r="AH648" s="4"/>
      <c r="AI648" s="4"/>
      <c r="AJ648" s="76" t="str">
        <f>IF(E648="○",IF(COUNTA(E$13:E648)=1,"",",")&amp;D648,"")</f>
        <v/>
      </c>
      <c r="AK648" s="4"/>
      <c r="AL648" s="4"/>
      <c r="AM648" s="4"/>
      <c r="AN648" s="4"/>
      <c r="AO648" s="4"/>
      <c r="AP648" s="4"/>
      <c r="AQ648" s="4"/>
      <c r="AR648" s="4"/>
      <c r="AS648" s="76" t="str">
        <f>"COMMENT ON COLUMN "&amp;エンティティ一覧!$O$2&amp;"."&amp;D$8&amp;"."&amp;D648&amp;" IS '"&amp;C648&amp;"';"</f>
        <v>COMMENT ON COLUMN milscm_2023_009.sny_202310_annony_bef2.shikkan630_start_date IS 'I610_疾患開始日';</v>
      </c>
    </row>
    <row r="649" spans="1:45" s="25" customFormat="1">
      <c r="A649" s="4" t="s">
        <v>5717</v>
      </c>
      <c r="B649" s="21">
        <f t="shared" si="75"/>
        <v>637</v>
      </c>
      <c r="C649" s="13" t="s">
        <v>7107</v>
      </c>
      <c r="D649" s="13" t="s">
        <v>6291</v>
      </c>
      <c r="E649" s="8"/>
      <c r="F649" s="7" t="s">
        <v>4348</v>
      </c>
      <c r="G649" s="7" t="s">
        <v>25</v>
      </c>
      <c r="H649" s="58"/>
      <c r="I649" s="23"/>
      <c r="J649" s="24"/>
      <c r="M649" s="4"/>
      <c r="N649" s="76"/>
      <c r="O649" s="76"/>
      <c r="P649" s="76" t="str">
        <f t="shared" si="76"/>
        <v>,shikkan631_start_date</v>
      </c>
      <c r="Q649" s="76" t="str">
        <f t="shared" si="77"/>
        <v>DATE</v>
      </c>
      <c r="R649" s="76" t="str">
        <f t="shared" si="78"/>
        <v/>
      </c>
      <c r="S649" s="76" t="str">
        <f t="shared" si="79"/>
        <v/>
      </c>
      <c r="T649" s="76" t="str">
        <f t="shared" si="80"/>
        <v>-- I611_疾患開始日</v>
      </c>
      <c r="U649" s="4" t="str">
        <f t="shared" si="73"/>
        <v>, CASE WHEN shikkan_disp_name = 'I611' THEN min_shikkan_start_date ::DATE ELSE NULL END AS shikkan631_start_date</v>
      </c>
      <c r="V649" s="25" t="str">
        <f t="shared" si="74"/>
        <v>, max(shikkan631_start_date)</v>
      </c>
      <c r="AA649" s="4"/>
      <c r="AB649" s="4"/>
      <c r="AC649" s="4"/>
      <c r="AD649" s="4"/>
      <c r="AE649" s="4"/>
      <c r="AF649" s="4"/>
      <c r="AG649" s="4"/>
      <c r="AH649" s="4"/>
      <c r="AI649" s="4"/>
      <c r="AJ649" s="76" t="str">
        <f>IF(E649="○",IF(COUNTA(E$13:E649)=1,"",",")&amp;D649,"")</f>
        <v/>
      </c>
      <c r="AK649" s="4"/>
      <c r="AL649" s="4"/>
      <c r="AM649" s="4"/>
      <c r="AN649" s="4"/>
      <c r="AO649" s="4"/>
      <c r="AP649" s="4"/>
      <c r="AQ649" s="4"/>
      <c r="AR649" s="4"/>
      <c r="AS649" s="76" t="str">
        <f>"COMMENT ON COLUMN "&amp;エンティティ一覧!$O$2&amp;"."&amp;D$8&amp;"."&amp;D649&amp;" IS '"&amp;C649&amp;"';"</f>
        <v>COMMENT ON COLUMN milscm_2023_009.sny_202310_annony_bef2.shikkan631_start_date IS 'I611_疾患開始日';</v>
      </c>
    </row>
    <row r="650" spans="1:45" s="25" customFormat="1">
      <c r="A650" s="4" t="s">
        <v>5718</v>
      </c>
      <c r="B650" s="21">
        <f t="shared" si="75"/>
        <v>638</v>
      </c>
      <c r="C650" s="13" t="s">
        <v>7108</v>
      </c>
      <c r="D650" s="13" t="s">
        <v>6292</v>
      </c>
      <c r="E650" s="8"/>
      <c r="F650" s="7" t="s">
        <v>4348</v>
      </c>
      <c r="G650" s="7" t="s">
        <v>25</v>
      </c>
      <c r="H650" s="58"/>
      <c r="I650" s="23"/>
      <c r="J650" s="24"/>
      <c r="M650" s="4"/>
      <c r="N650" s="76"/>
      <c r="O650" s="76"/>
      <c r="P650" s="76" t="str">
        <f t="shared" si="76"/>
        <v>,shikkan632_start_date</v>
      </c>
      <c r="Q650" s="76" t="str">
        <f t="shared" si="77"/>
        <v>DATE</v>
      </c>
      <c r="R650" s="76" t="str">
        <f t="shared" si="78"/>
        <v/>
      </c>
      <c r="S650" s="76" t="str">
        <f t="shared" si="79"/>
        <v/>
      </c>
      <c r="T650" s="76" t="str">
        <f t="shared" si="80"/>
        <v>-- I612_疾患開始日</v>
      </c>
      <c r="U650" s="4" t="str">
        <f t="shared" si="73"/>
        <v>, CASE WHEN shikkan_disp_name = 'I612' THEN min_shikkan_start_date ::DATE ELSE NULL END AS shikkan632_start_date</v>
      </c>
      <c r="V650" s="25" t="str">
        <f t="shared" si="74"/>
        <v>, max(shikkan632_start_date)</v>
      </c>
      <c r="AA650" s="4"/>
      <c r="AB650" s="4"/>
      <c r="AC650" s="4"/>
      <c r="AD650" s="4"/>
      <c r="AE650" s="4"/>
      <c r="AF650" s="4"/>
      <c r="AG650" s="4"/>
      <c r="AH650" s="4"/>
      <c r="AI650" s="4"/>
      <c r="AJ650" s="76" t="str">
        <f>IF(E650="○",IF(COUNTA(E$13:E650)=1,"",",")&amp;D650,"")</f>
        <v/>
      </c>
      <c r="AK650" s="4"/>
      <c r="AL650" s="4"/>
      <c r="AM650" s="4"/>
      <c r="AN650" s="4"/>
      <c r="AO650" s="4"/>
      <c r="AP650" s="4"/>
      <c r="AQ650" s="4"/>
      <c r="AR650" s="4"/>
      <c r="AS650" s="76" t="str">
        <f>"COMMENT ON COLUMN "&amp;エンティティ一覧!$O$2&amp;"."&amp;D$8&amp;"."&amp;D650&amp;" IS '"&amp;C650&amp;"';"</f>
        <v>COMMENT ON COLUMN milscm_2023_009.sny_202310_annony_bef2.shikkan632_start_date IS 'I612_疾患開始日';</v>
      </c>
    </row>
    <row r="651" spans="1:45" s="25" customFormat="1">
      <c r="A651" s="4" t="s">
        <v>5719</v>
      </c>
      <c r="B651" s="21">
        <f t="shared" si="75"/>
        <v>639</v>
      </c>
      <c r="C651" s="13" t="s">
        <v>7109</v>
      </c>
      <c r="D651" s="13" t="s">
        <v>6293</v>
      </c>
      <c r="E651" s="8"/>
      <c r="F651" s="7" t="s">
        <v>4348</v>
      </c>
      <c r="G651" s="7" t="s">
        <v>25</v>
      </c>
      <c r="H651" s="58"/>
      <c r="I651" s="23"/>
      <c r="J651" s="24"/>
      <c r="M651" s="4"/>
      <c r="N651" s="76"/>
      <c r="O651" s="76"/>
      <c r="P651" s="76" t="str">
        <f t="shared" si="76"/>
        <v>,shikkan633_start_date</v>
      </c>
      <c r="Q651" s="76" t="str">
        <f t="shared" si="77"/>
        <v>DATE</v>
      </c>
      <c r="R651" s="76" t="str">
        <f t="shared" si="78"/>
        <v/>
      </c>
      <c r="S651" s="76" t="str">
        <f t="shared" si="79"/>
        <v/>
      </c>
      <c r="T651" s="76" t="str">
        <f t="shared" si="80"/>
        <v>-- I613_疾患開始日</v>
      </c>
      <c r="U651" s="4" t="str">
        <f t="shared" si="73"/>
        <v>, CASE WHEN shikkan_disp_name = 'I613' THEN min_shikkan_start_date ::DATE ELSE NULL END AS shikkan633_start_date</v>
      </c>
      <c r="V651" s="25" t="str">
        <f t="shared" si="74"/>
        <v>, max(shikkan633_start_date)</v>
      </c>
      <c r="AA651" s="4"/>
      <c r="AB651" s="4"/>
      <c r="AC651" s="4"/>
      <c r="AD651" s="4"/>
      <c r="AE651" s="4"/>
      <c r="AF651" s="4"/>
      <c r="AG651" s="4"/>
      <c r="AH651" s="4"/>
      <c r="AI651" s="4"/>
      <c r="AJ651" s="76" t="str">
        <f>IF(E651="○",IF(COUNTA(E$13:E651)=1,"",",")&amp;D651,"")</f>
        <v/>
      </c>
      <c r="AK651" s="4"/>
      <c r="AL651" s="4"/>
      <c r="AM651" s="4"/>
      <c r="AN651" s="4"/>
      <c r="AO651" s="4"/>
      <c r="AP651" s="4"/>
      <c r="AQ651" s="4"/>
      <c r="AR651" s="4"/>
      <c r="AS651" s="76" t="str">
        <f>"COMMENT ON COLUMN "&amp;エンティティ一覧!$O$2&amp;"."&amp;D$8&amp;"."&amp;D651&amp;" IS '"&amp;C651&amp;"';"</f>
        <v>COMMENT ON COLUMN milscm_2023_009.sny_202310_annony_bef2.shikkan633_start_date IS 'I613_疾患開始日';</v>
      </c>
    </row>
    <row r="652" spans="1:45" s="25" customFormat="1">
      <c r="A652" s="4" t="s">
        <v>5720</v>
      </c>
      <c r="B652" s="21">
        <f t="shared" si="75"/>
        <v>640</v>
      </c>
      <c r="C652" s="13" t="s">
        <v>7110</v>
      </c>
      <c r="D652" s="13" t="s">
        <v>6294</v>
      </c>
      <c r="E652" s="8"/>
      <c r="F652" s="7" t="s">
        <v>4348</v>
      </c>
      <c r="G652" s="7" t="s">
        <v>25</v>
      </c>
      <c r="H652" s="58"/>
      <c r="I652" s="23"/>
      <c r="J652" s="24"/>
      <c r="M652" s="4"/>
      <c r="N652" s="76"/>
      <c r="O652" s="76"/>
      <c r="P652" s="76" t="str">
        <f t="shared" si="76"/>
        <v>,shikkan634_start_date</v>
      </c>
      <c r="Q652" s="76" t="str">
        <f t="shared" si="77"/>
        <v>DATE</v>
      </c>
      <c r="R652" s="76" t="str">
        <f t="shared" si="78"/>
        <v/>
      </c>
      <c r="S652" s="76" t="str">
        <f t="shared" si="79"/>
        <v/>
      </c>
      <c r="T652" s="76" t="str">
        <f t="shared" si="80"/>
        <v>-- I614_疾患開始日</v>
      </c>
      <c r="U652" s="4" t="str">
        <f t="shared" si="73"/>
        <v>, CASE WHEN shikkan_disp_name = 'I614' THEN min_shikkan_start_date ::DATE ELSE NULL END AS shikkan634_start_date</v>
      </c>
      <c r="V652" s="25" t="str">
        <f t="shared" si="74"/>
        <v>, max(shikkan634_start_date)</v>
      </c>
      <c r="AA652" s="4"/>
      <c r="AB652" s="4"/>
      <c r="AC652" s="4"/>
      <c r="AD652" s="4"/>
      <c r="AE652" s="4"/>
      <c r="AF652" s="4"/>
      <c r="AG652" s="4"/>
      <c r="AH652" s="4"/>
      <c r="AI652" s="4"/>
      <c r="AJ652" s="76" t="str">
        <f>IF(E652="○",IF(COUNTA(E$13:E652)=1,"",",")&amp;D652,"")</f>
        <v/>
      </c>
      <c r="AK652" s="4"/>
      <c r="AL652" s="4"/>
      <c r="AM652" s="4"/>
      <c r="AN652" s="4"/>
      <c r="AO652" s="4"/>
      <c r="AP652" s="4"/>
      <c r="AQ652" s="4"/>
      <c r="AR652" s="4"/>
      <c r="AS652" s="76" t="str">
        <f>"COMMENT ON COLUMN "&amp;エンティティ一覧!$O$2&amp;"."&amp;D$8&amp;"."&amp;D652&amp;" IS '"&amp;C652&amp;"';"</f>
        <v>COMMENT ON COLUMN milscm_2023_009.sny_202310_annony_bef2.shikkan634_start_date IS 'I614_疾患開始日';</v>
      </c>
    </row>
    <row r="653" spans="1:45" s="25" customFormat="1">
      <c r="A653" s="4" t="s">
        <v>5721</v>
      </c>
      <c r="B653" s="21">
        <f t="shared" si="75"/>
        <v>641</v>
      </c>
      <c r="C653" s="13" t="s">
        <v>7111</v>
      </c>
      <c r="D653" s="13" t="s">
        <v>6295</v>
      </c>
      <c r="E653" s="8"/>
      <c r="F653" s="7" t="s">
        <v>4348</v>
      </c>
      <c r="G653" s="7" t="s">
        <v>25</v>
      </c>
      <c r="H653" s="58"/>
      <c r="I653" s="23"/>
      <c r="J653" s="24"/>
      <c r="M653" s="4"/>
      <c r="N653" s="76"/>
      <c r="O653" s="76"/>
      <c r="P653" s="76" t="str">
        <f t="shared" si="76"/>
        <v>,shikkan635_start_date</v>
      </c>
      <c r="Q653" s="76" t="str">
        <f t="shared" si="77"/>
        <v>DATE</v>
      </c>
      <c r="R653" s="76" t="str">
        <f t="shared" si="78"/>
        <v/>
      </c>
      <c r="S653" s="76" t="str">
        <f t="shared" si="79"/>
        <v/>
      </c>
      <c r="T653" s="76" t="str">
        <f t="shared" si="80"/>
        <v>-- I615_疾患開始日</v>
      </c>
      <c r="U653" s="4" t="str">
        <f t="shared" si="73"/>
        <v>, CASE WHEN shikkan_disp_name = 'I615' THEN min_shikkan_start_date ::DATE ELSE NULL END AS shikkan635_start_date</v>
      </c>
      <c r="V653" s="25" t="str">
        <f t="shared" si="74"/>
        <v>, max(shikkan635_start_date)</v>
      </c>
      <c r="AA653" s="4"/>
      <c r="AB653" s="4"/>
      <c r="AC653" s="4"/>
      <c r="AD653" s="4"/>
      <c r="AE653" s="4"/>
      <c r="AF653" s="4"/>
      <c r="AG653" s="4"/>
      <c r="AH653" s="4"/>
      <c r="AI653" s="4"/>
      <c r="AJ653" s="76" t="str">
        <f>IF(E653="○",IF(COUNTA(E$13:E653)=1,"",",")&amp;D653,"")</f>
        <v/>
      </c>
      <c r="AK653" s="4"/>
      <c r="AL653" s="4"/>
      <c r="AM653" s="4"/>
      <c r="AN653" s="4"/>
      <c r="AO653" s="4"/>
      <c r="AP653" s="4"/>
      <c r="AQ653" s="4"/>
      <c r="AR653" s="4"/>
      <c r="AS653" s="76" t="str">
        <f>"COMMENT ON COLUMN "&amp;エンティティ一覧!$O$2&amp;"."&amp;D$8&amp;"."&amp;D653&amp;" IS '"&amp;C653&amp;"';"</f>
        <v>COMMENT ON COLUMN milscm_2023_009.sny_202310_annony_bef2.shikkan635_start_date IS 'I615_疾患開始日';</v>
      </c>
    </row>
    <row r="654" spans="1:45" s="25" customFormat="1">
      <c r="A654" s="4" t="s">
        <v>5722</v>
      </c>
      <c r="B654" s="21">
        <f t="shared" si="75"/>
        <v>642</v>
      </c>
      <c r="C654" s="13" t="s">
        <v>7112</v>
      </c>
      <c r="D654" s="13" t="s">
        <v>6296</v>
      </c>
      <c r="E654" s="8"/>
      <c r="F654" s="7" t="s">
        <v>4348</v>
      </c>
      <c r="G654" s="7" t="s">
        <v>25</v>
      </c>
      <c r="H654" s="58"/>
      <c r="I654" s="23"/>
      <c r="J654" s="24"/>
      <c r="M654" s="4"/>
      <c r="N654" s="76"/>
      <c r="O654" s="76"/>
      <c r="P654" s="76" t="str">
        <f t="shared" si="76"/>
        <v>,shikkan636_start_date</v>
      </c>
      <c r="Q654" s="76" t="str">
        <f t="shared" si="77"/>
        <v>DATE</v>
      </c>
      <c r="R654" s="76" t="str">
        <f t="shared" si="78"/>
        <v/>
      </c>
      <c r="S654" s="76" t="str">
        <f t="shared" si="79"/>
        <v/>
      </c>
      <c r="T654" s="76" t="str">
        <f t="shared" si="80"/>
        <v>-- I616_疾患開始日</v>
      </c>
      <c r="U654" s="4" t="str">
        <f t="shared" si="73"/>
        <v>, CASE WHEN shikkan_disp_name = 'I616' THEN min_shikkan_start_date ::DATE ELSE NULL END AS shikkan636_start_date</v>
      </c>
      <c r="V654" s="25" t="str">
        <f t="shared" si="74"/>
        <v>, max(shikkan636_start_date)</v>
      </c>
      <c r="AA654" s="4"/>
      <c r="AB654" s="4"/>
      <c r="AC654" s="4"/>
      <c r="AD654" s="4"/>
      <c r="AE654" s="4"/>
      <c r="AF654" s="4"/>
      <c r="AG654" s="4"/>
      <c r="AH654" s="4"/>
      <c r="AI654" s="4"/>
      <c r="AJ654" s="76" t="str">
        <f>IF(E654="○",IF(COUNTA(E$13:E654)=1,"",",")&amp;D654,"")</f>
        <v/>
      </c>
      <c r="AK654" s="4"/>
      <c r="AL654" s="4"/>
      <c r="AM654" s="4"/>
      <c r="AN654" s="4"/>
      <c r="AO654" s="4"/>
      <c r="AP654" s="4"/>
      <c r="AQ654" s="4"/>
      <c r="AR654" s="4"/>
      <c r="AS654" s="76" t="str">
        <f>"COMMENT ON COLUMN "&amp;エンティティ一覧!$O$2&amp;"."&amp;D$8&amp;"."&amp;D654&amp;" IS '"&amp;C654&amp;"';"</f>
        <v>COMMENT ON COLUMN milscm_2023_009.sny_202310_annony_bef2.shikkan636_start_date IS 'I616_疾患開始日';</v>
      </c>
    </row>
    <row r="655" spans="1:45" s="25" customFormat="1">
      <c r="A655" s="4" t="s">
        <v>5723</v>
      </c>
      <c r="B655" s="21">
        <f t="shared" si="75"/>
        <v>643</v>
      </c>
      <c r="C655" s="13" t="s">
        <v>7113</v>
      </c>
      <c r="D655" s="13" t="s">
        <v>6297</v>
      </c>
      <c r="E655" s="8"/>
      <c r="F655" s="7" t="s">
        <v>4348</v>
      </c>
      <c r="G655" s="7" t="s">
        <v>25</v>
      </c>
      <c r="H655" s="58"/>
      <c r="I655" s="23"/>
      <c r="J655" s="24"/>
      <c r="M655" s="4"/>
      <c r="N655" s="76"/>
      <c r="O655" s="76"/>
      <c r="P655" s="76" t="str">
        <f t="shared" si="76"/>
        <v>,shikkan637_start_date</v>
      </c>
      <c r="Q655" s="76" t="str">
        <f t="shared" si="77"/>
        <v>DATE</v>
      </c>
      <c r="R655" s="76" t="str">
        <f t="shared" si="78"/>
        <v/>
      </c>
      <c r="S655" s="76" t="str">
        <f t="shared" si="79"/>
        <v/>
      </c>
      <c r="T655" s="76" t="str">
        <f t="shared" si="80"/>
        <v>-- I618_疾患開始日</v>
      </c>
      <c r="U655" s="4" t="str">
        <f t="shared" si="73"/>
        <v>, CASE WHEN shikkan_disp_name = 'I618' THEN min_shikkan_start_date ::DATE ELSE NULL END AS shikkan637_start_date</v>
      </c>
      <c r="V655" s="25" t="str">
        <f t="shared" si="74"/>
        <v>, max(shikkan637_start_date)</v>
      </c>
      <c r="AA655" s="4"/>
      <c r="AB655" s="4"/>
      <c r="AC655" s="4"/>
      <c r="AD655" s="4"/>
      <c r="AE655" s="4"/>
      <c r="AF655" s="4"/>
      <c r="AG655" s="4"/>
      <c r="AH655" s="4"/>
      <c r="AI655" s="4"/>
      <c r="AJ655" s="76" t="str">
        <f>IF(E655="○",IF(COUNTA(E$13:E655)=1,"",",")&amp;D655,"")</f>
        <v/>
      </c>
      <c r="AK655" s="4"/>
      <c r="AL655" s="4"/>
      <c r="AM655" s="4"/>
      <c r="AN655" s="4"/>
      <c r="AO655" s="4"/>
      <c r="AP655" s="4"/>
      <c r="AQ655" s="4"/>
      <c r="AR655" s="4"/>
      <c r="AS655" s="76" t="str">
        <f>"COMMENT ON COLUMN "&amp;エンティティ一覧!$O$2&amp;"."&amp;D$8&amp;"."&amp;D655&amp;" IS '"&amp;C655&amp;"';"</f>
        <v>COMMENT ON COLUMN milscm_2023_009.sny_202310_annony_bef2.shikkan637_start_date IS 'I618_疾患開始日';</v>
      </c>
    </row>
    <row r="656" spans="1:45" s="25" customFormat="1">
      <c r="A656" s="4" t="s">
        <v>5724</v>
      </c>
      <c r="B656" s="21">
        <f t="shared" si="75"/>
        <v>644</v>
      </c>
      <c r="C656" s="13" t="s">
        <v>7114</v>
      </c>
      <c r="D656" s="13" t="s">
        <v>6298</v>
      </c>
      <c r="E656" s="8"/>
      <c r="F656" s="7" t="s">
        <v>4348</v>
      </c>
      <c r="G656" s="7" t="s">
        <v>25</v>
      </c>
      <c r="H656" s="58"/>
      <c r="I656" s="23"/>
      <c r="J656" s="24"/>
      <c r="M656" s="4"/>
      <c r="N656" s="76"/>
      <c r="O656" s="76"/>
      <c r="P656" s="76" t="str">
        <f t="shared" si="76"/>
        <v>,shikkan638_start_date</v>
      </c>
      <c r="Q656" s="76" t="str">
        <f t="shared" si="77"/>
        <v>DATE</v>
      </c>
      <c r="R656" s="76" t="str">
        <f t="shared" si="78"/>
        <v/>
      </c>
      <c r="S656" s="76" t="str">
        <f t="shared" si="79"/>
        <v/>
      </c>
      <c r="T656" s="76" t="str">
        <f t="shared" si="80"/>
        <v>-- I619_疾患開始日</v>
      </c>
      <c r="U656" s="4" t="str">
        <f t="shared" si="73"/>
        <v>, CASE WHEN shikkan_disp_name = 'I619' THEN min_shikkan_start_date ::DATE ELSE NULL END AS shikkan638_start_date</v>
      </c>
      <c r="V656" s="25" t="str">
        <f t="shared" si="74"/>
        <v>, max(shikkan638_start_date)</v>
      </c>
      <c r="AA656" s="4"/>
      <c r="AB656" s="4"/>
      <c r="AC656" s="4"/>
      <c r="AD656" s="4"/>
      <c r="AE656" s="4"/>
      <c r="AF656" s="4"/>
      <c r="AG656" s="4"/>
      <c r="AH656" s="4"/>
      <c r="AI656" s="4"/>
      <c r="AJ656" s="76" t="str">
        <f>IF(E656="○",IF(COUNTA(E$13:E656)=1,"",",")&amp;D656,"")</f>
        <v/>
      </c>
      <c r="AK656" s="4"/>
      <c r="AL656" s="4"/>
      <c r="AM656" s="4"/>
      <c r="AN656" s="4"/>
      <c r="AO656" s="4"/>
      <c r="AP656" s="4"/>
      <c r="AQ656" s="4"/>
      <c r="AR656" s="4"/>
      <c r="AS656" s="76" t="str">
        <f>"COMMENT ON COLUMN "&amp;エンティティ一覧!$O$2&amp;"."&amp;D$8&amp;"."&amp;D656&amp;" IS '"&amp;C656&amp;"';"</f>
        <v>COMMENT ON COLUMN milscm_2023_009.sny_202310_annony_bef2.shikkan638_start_date IS 'I619_疾患開始日';</v>
      </c>
    </row>
    <row r="657" spans="1:45" s="25" customFormat="1">
      <c r="A657" s="4" t="s">
        <v>5725</v>
      </c>
      <c r="B657" s="21">
        <f t="shared" si="75"/>
        <v>645</v>
      </c>
      <c r="C657" s="13" t="s">
        <v>7115</v>
      </c>
      <c r="D657" s="13" t="s">
        <v>6299</v>
      </c>
      <c r="E657" s="8"/>
      <c r="F657" s="7" t="s">
        <v>4348</v>
      </c>
      <c r="G657" s="7" t="s">
        <v>99</v>
      </c>
      <c r="H657" s="58"/>
      <c r="I657" s="23"/>
      <c r="J657" s="24"/>
      <c r="M657" s="4"/>
      <c r="N657" s="76"/>
      <c r="O657" s="76"/>
      <c r="P657" s="76" t="str">
        <f t="shared" si="76"/>
        <v>,shikkan639_start_date</v>
      </c>
      <c r="Q657" s="76" t="str">
        <f t="shared" si="77"/>
        <v>DATE</v>
      </c>
      <c r="R657" s="76" t="str">
        <f t="shared" si="78"/>
        <v/>
      </c>
      <c r="S657" s="76" t="str">
        <f t="shared" si="79"/>
        <v/>
      </c>
      <c r="T657" s="76" t="str">
        <f t="shared" si="80"/>
        <v>-- I620_疾患開始日</v>
      </c>
      <c r="U657" s="4" t="str">
        <f t="shared" si="73"/>
        <v>, CASE WHEN shikkan_disp_name = 'I620' THEN min_shikkan_start_date ::DATE ELSE NULL END AS shikkan639_start_date</v>
      </c>
      <c r="V657" s="25" t="str">
        <f t="shared" si="74"/>
        <v>, max(shikkan639_start_date)</v>
      </c>
      <c r="AA657" s="4"/>
      <c r="AB657" s="4"/>
      <c r="AC657" s="4"/>
      <c r="AD657" s="4"/>
      <c r="AE657" s="4"/>
      <c r="AF657" s="4"/>
      <c r="AG657" s="4"/>
      <c r="AH657" s="4"/>
      <c r="AI657" s="4"/>
      <c r="AJ657" s="76" t="str">
        <f>IF(E657="○",IF(COUNTA(E$13:E657)=1,"",",")&amp;D657,"")</f>
        <v/>
      </c>
      <c r="AK657" s="4"/>
      <c r="AL657" s="4"/>
      <c r="AM657" s="4"/>
      <c r="AN657" s="4"/>
      <c r="AO657" s="4"/>
      <c r="AP657" s="4"/>
      <c r="AQ657" s="4"/>
      <c r="AR657" s="4"/>
      <c r="AS657" s="76" t="str">
        <f>"COMMENT ON COLUMN "&amp;エンティティ一覧!$O$2&amp;"."&amp;D$8&amp;"."&amp;D657&amp;" IS '"&amp;C657&amp;"';"</f>
        <v>COMMENT ON COLUMN milscm_2023_009.sny_202310_annony_bef2.shikkan639_start_date IS 'I620_疾患開始日';</v>
      </c>
    </row>
    <row r="658" spans="1:45" s="25" customFormat="1">
      <c r="A658" s="4" t="s">
        <v>5726</v>
      </c>
      <c r="B658" s="21">
        <f t="shared" si="75"/>
        <v>646</v>
      </c>
      <c r="C658" s="13" t="s">
        <v>7116</v>
      </c>
      <c r="D658" s="13" t="s">
        <v>6300</v>
      </c>
      <c r="E658" s="8"/>
      <c r="F658" s="7" t="s">
        <v>4348</v>
      </c>
      <c r="G658" s="7" t="s">
        <v>25</v>
      </c>
      <c r="H658" s="58"/>
      <c r="I658" s="23"/>
      <c r="J658" s="24"/>
      <c r="M658" s="4"/>
      <c r="N658" s="76"/>
      <c r="O658" s="76"/>
      <c r="P658" s="76" t="str">
        <f t="shared" si="76"/>
        <v>,shikkan640_start_date</v>
      </c>
      <c r="Q658" s="76" t="str">
        <f t="shared" si="77"/>
        <v>DATE</v>
      </c>
      <c r="R658" s="76" t="str">
        <f t="shared" si="78"/>
        <v/>
      </c>
      <c r="S658" s="76" t="str">
        <f t="shared" si="79"/>
        <v/>
      </c>
      <c r="T658" s="76" t="str">
        <f t="shared" si="80"/>
        <v>-- I621_疾患開始日</v>
      </c>
      <c r="U658" s="4" t="str">
        <f t="shared" si="73"/>
        <v>, CASE WHEN shikkan_disp_name = 'I621' THEN min_shikkan_start_date ::DATE ELSE NULL END AS shikkan640_start_date</v>
      </c>
      <c r="V658" s="25" t="str">
        <f t="shared" si="74"/>
        <v>, max(shikkan640_start_date)</v>
      </c>
      <c r="AA658" s="4"/>
      <c r="AB658" s="4"/>
      <c r="AC658" s="4"/>
      <c r="AD658" s="4"/>
      <c r="AE658" s="4"/>
      <c r="AF658" s="4"/>
      <c r="AG658" s="4"/>
      <c r="AH658" s="4"/>
      <c r="AI658" s="4"/>
      <c r="AJ658" s="76" t="str">
        <f>IF(E658="○",IF(COUNTA(E$13:E658)=1,"",",")&amp;D658,"")</f>
        <v/>
      </c>
      <c r="AK658" s="4"/>
      <c r="AL658" s="4"/>
      <c r="AM658" s="4"/>
      <c r="AN658" s="4"/>
      <c r="AO658" s="4"/>
      <c r="AP658" s="4"/>
      <c r="AQ658" s="4"/>
      <c r="AR658" s="4"/>
      <c r="AS658" s="76" t="str">
        <f>"COMMENT ON COLUMN "&amp;エンティティ一覧!$O$2&amp;"."&amp;D$8&amp;"."&amp;D658&amp;" IS '"&amp;C658&amp;"';"</f>
        <v>COMMENT ON COLUMN milscm_2023_009.sny_202310_annony_bef2.shikkan640_start_date IS 'I621_疾患開始日';</v>
      </c>
    </row>
    <row r="659" spans="1:45" s="25" customFormat="1">
      <c r="A659" s="4" t="s">
        <v>5727</v>
      </c>
      <c r="B659" s="21">
        <f t="shared" si="75"/>
        <v>647</v>
      </c>
      <c r="C659" s="13" t="s">
        <v>7117</v>
      </c>
      <c r="D659" s="13" t="s">
        <v>6301</v>
      </c>
      <c r="E659" s="8"/>
      <c r="F659" s="7" t="s">
        <v>4348</v>
      </c>
      <c r="G659" s="7" t="s">
        <v>25</v>
      </c>
      <c r="H659" s="58"/>
      <c r="I659" s="23"/>
      <c r="J659" s="24"/>
      <c r="M659" s="4"/>
      <c r="N659" s="76"/>
      <c r="O659" s="76"/>
      <c r="P659" s="76" t="str">
        <f t="shared" si="76"/>
        <v>,shikkan641_start_date</v>
      </c>
      <c r="Q659" s="76" t="str">
        <f t="shared" si="77"/>
        <v>DATE</v>
      </c>
      <c r="R659" s="76" t="str">
        <f t="shared" si="78"/>
        <v/>
      </c>
      <c r="S659" s="76" t="str">
        <f t="shared" si="79"/>
        <v/>
      </c>
      <c r="T659" s="76" t="str">
        <f t="shared" si="80"/>
        <v>-- I629_疾患開始日</v>
      </c>
      <c r="U659" s="4" t="str">
        <f t="shared" si="73"/>
        <v>, CASE WHEN shikkan_disp_name = 'I629' THEN min_shikkan_start_date ::DATE ELSE NULL END AS shikkan641_start_date</v>
      </c>
      <c r="V659" s="25" t="str">
        <f t="shared" si="74"/>
        <v>, max(shikkan641_start_date)</v>
      </c>
      <c r="AA659" s="4"/>
      <c r="AB659" s="4"/>
      <c r="AC659" s="4"/>
      <c r="AD659" s="4"/>
      <c r="AE659" s="4"/>
      <c r="AF659" s="4"/>
      <c r="AG659" s="4"/>
      <c r="AH659" s="4"/>
      <c r="AI659" s="4"/>
      <c r="AJ659" s="76" t="str">
        <f>IF(E659="○",IF(COUNTA(E$13:E659)=1,"",",")&amp;D659,"")</f>
        <v/>
      </c>
      <c r="AK659" s="4"/>
      <c r="AL659" s="4"/>
      <c r="AM659" s="4"/>
      <c r="AN659" s="4"/>
      <c r="AO659" s="4"/>
      <c r="AP659" s="4"/>
      <c r="AQ659" s="4"/>
      <c r="AR659" s="4"/>
      <c r="AS659" s="76" t="str">
        <f>"COMMENT ON COLUMN "&amp;エンティティ一覧!$O$2&amp;"."&amp;D$8&amp;"."&amp;D659&amp;" IS '"&amp;C659&amp;"';"</f>
        <v>COMMENT ON COLUMN milscm_2023_009.sny_202310_annony_bef2.shikkan641_start_date IS 'I629_疾患開始日';</v>
      </c>
    </row>
    <row r="660" spans="1:45" s="25" customFormat="1">
      <c r="A660" s="4" t="s">
        <v>5728</v>
      </c>
      <c r="B660" s="21">
        <f t="shared" si="75"/>
        <v>648</v>
      </c>
      <c r="C660" s="13" t="s">
        <v>7118</v>
      </c>
      <c r="D660" s="13" t="s">
        <v>6302</v>
      </c>
      <c r="E660" s="8"/>
      <c r="F660" s="7" t="s">
        <v>4348</v>
      </c>
      <c r="G660" s="7" t="s">
        <v>25</v>
      </c>
      <c r="H660" s="58"/>
      <c r="I660" s="23"/>
      <c r="J660" s="24"/>
      <c r="M660" s="4"/>
      <c r="N660" s="76"/>
      <c r="O660" s="76"/>
      <c r="P660" s="76" t="str">
        <f t="shared" si="76"/>
        <v>,shikkan642_start_date</v>
      </c>
      <c r="Q660" s="76" t="str">
        <f t="shared" si="77"/>
        <v>DATE</v>
      </c>
      <c r="R660" s="76" t="str">
        <f t="shared" si="78"/>
        <v/>
      </c>
      <c r="S660" s="76" t="str">
        <f t="shared" si="79"/>
        <v/>
      </c>
      <c r="T660" s="76" t="str">
        <f t="shared" si="80"/>
        <v>-- I630_疾患開始日</v>
      </c>
      <c r="U660" s="4" t="str">
        <f t="shared" si="73"/>
        <v>, CASE WHEN shikkan_disp_name = 'I630' THEN min_shikkan_start_date ::DATE ELSE NULL END AS shikkan642_start_date</v>
      </c>
      <c r="V660" s="25" t="str">
        <f t="shared" si="74"/>
        <v>, max(shikkan642_start_date)</v>
      </c>
      <c r="AA660" s="4"/>
      <c r="AB660" s="4"/>
      <c r="AC660" s="4"/>
      <c r="AD660" s="4"/>
      <c r="AE660" s="4"/>
      <c r="AF660" s="4"/>
      <c r="AG660" s="4"/>
      <c r="AH660" s="4"/>
      <c r="AI660" s="4"/>
      <c r="AJ660" s="76" t="str">
        <f>IF(E660="○",IF(COUNTA(E$13:E660)=1,"",",")&amp;D660,"")</f>
        <v/>
      </c>
      <c r="AK660" s="4"/>
      <c r="AL660" s="4"/>
      <c r="AM660" s="4"/>
      <c r="AN660" s="4"/>
      <c r="AO660" s="4"/>
      <c r="AP660" s="4"/>
      <c r="AQ660" s="4"/>
      <c r="AR660" s="4"/>
      <c r="AS660" s="76" t="str">
        <f>"COMMENT ON COLUMN "&amp;エンティティ一覧!$O$2&amp;"."&amp;D$8&amp;"."&amp;D660&amp;" IS '"&amp;C660&amp;"';"</f>
        <v>COMMENT ON COLUMN milscm_2023_009.sny_202310_annony_bef2.shikkan642_start_date IS 'I630_疾患開始日';</v>
      </c>
    </row>
    <row r="661" spans="1:45" s="25" customFormat="1">
      <c r="A661" s="4" t="s">
        <v>5729</v>
      </c>
      <c r="B661" s="21">
        <f t="shared" ref="B661:B725" si="81">ROW()-12</f>
        <v>649</v>
      </c>
      <c r="C661" s="13" t="s">
        <v>7119</v>
      </c>
      <c r="D661" s="13" t="s">
        <v>6303</v>
      </c>
      <c r="E661" s="8"/>
      <c r="F661" s="7" t="s">
        <v>4348</v>
      </c>
      <c r="G661" s="7" t="s">
        <v>25</v>
      </c>
      <c r="H661" s="58"/>
      <c r="I661" s="23"/>
      <c r="J661" s="24"/>
      <c r="M661" s="4"/>
      <c r="N661" s="76"/>
      <c r="O661" s="76"/>
      <c r="P661" s="76" t="str">
        <f t="shared" si="76"/>
        <v>,shikkan643_start_date</v>
      </c>
      <c r="Q661" s="76" t="str">
        <f t="shared" si="77"/>
        <v>DATE</v>
      </c>
      <c r="R661" s="76" t="str">
        <f t="shared" si="78"/>
        <v/>
      </c>
      <c r="S661" s="76" t="str">
        <f t="shared" si="79"/>
        <v/>
      </c>
      <c r="T661" s="76" t="str">
        <f t="shared" si="80"/>
        <v>-- I631_疾患開始日</v>
      </c>
      <c r="U661" s="4" t="str">
        <f t="shared" si="73"/>
        <v>, CASE WHEN shikkan_disp_name = 'I631' THEN min_shikkan_start_date ::DATE ELSE NULL END AS shikkan643_start_date</v>
      </c>
      <c r="V661" s="25" t="str">
        <f t="shared" si="74"/>
        <v>, max(shikkan643_start_date)</v>
      </c>
      <c r="AA661" s="4"/>
      <c r="AB661" s="4"/>
      <c r="AC661" s="4"/>
      <c r="AD661" s="4"/>
      <c r="AE661" s="4"/>
      <c r="AF661" s="4"/>
      <c r="AG661" s="4"/>
      <c r="AH661" s="4"/>
      <c r="AI661" s="4"/>
      <c r="AJ661" s="76" t="str">
        <f>IF(E661="○",IF(COUNTA(E$13:E661)=1,"",",")&amp;D661,"")</f>
        <v/>
      </c>
      <c r="AK661" s="4"/>
      <c r="AL661" s="4"/>
      <c r="AM661" s="4"/>
      <c r="AN661" s="4"/>
      <c r="AO661" s="4"/>
      <c r="AP661" s="4"/>
      <c r="AQ661" s="4"/>
      <c r="AR661" s="4"/>
      <c r="AS661" s="76" t="str">
        <f>"COMMENT ON COLUMN "&amp;エンティティ一覧!$O$2&amp;"."&amp;D$8&amp;"."&amp;D661&amp;" IS '"&amp;C661&amp;"';"</f>
        <v>COMMENT ON COLUMN milscm_2023_009.sny_202310_annony_bef2.shikkan643_start_date IS 'I631_疾患開始日';</v>
      </c>
    </row>
    <row r="662" spans="1:45" s="25" customFormat="1">
      <c r="A662" s="4" t="s">
        <v>5730</v>
      </c>
      <c r="B662" s="21">
        <f t="shared" si="81"/>
        <v>650</v>
      </c>
      <c r="C662" s="13" t="s">
        <v>7120</v>
      </c>
      <c r="D662" s="13" t="s">
        <v>6304</v>
      </c>
      <c r="E662" s="8"/>
      <c r="F662" s="7" t="s">
        <v>4348</v>
      </c>
      <c r="G662" s="7" t="s">
        <v>25</v>
      </c>
      <c r="H662" s="58"/>
      <c r="I662" s="23"/>
      <c r="J662" s="24"/>
      <c r="M662" s="4"/>
      <c r="N662" s="76"/>
      <c r="O662" s="76"/>
      <c r="P662" s="76" t="str">
        <f t="shared" si="76"/>
        <v>,shikkan644_start_date</v>
      </c>
      <c r="Q662" s="76" t="str">
        <f t="shared" si="77"/>
        <v>DATE</v>
      </c>
      <c r="R662" s="76" t="str">
        <f t="shared" si="78"/>
        <v/>
      </c>
      <c r="S662" s="76" t="str">
        <f t="shared" si="79"/>
        <v/>
      </c>
      <c r="T662" s="76" t="str">
        <f t="shared" si="80"/>
        <v>-- I632_疾患開始日</v>
      </c>
      <c r="U662" s="4" t="str">
        <f t="shared" si="73"/>
        <v>, CASE WHEN shikkan_disp_name = 'I632' THEN min_shikkan_start_date ::DATE ELSE NULL END AS shikkan644_start_date</v>
      </c>
      <c r="V662" s="25" t="str">
        <f t="shared" si="74"/>
        <v>, max(shikkan644_start_date)</v>
      </c>
      <c r="AA662" s="4"/>
      <c r="AB662" s="4"/>
      <c r="AC662" s="4"/>
      <c r="AD662" s="4"/>
      <c r="AE662" s="4"/>
      <c r="AF662" s="4"/>
      <c r="AG662" s="4"/>
      <c r="AH662" s="4"/>
      <c r="AI662" s="4"/>
      <c r="AJ662" s="76" t="str">
        <f>IF(E662="○",IF(COUNTA(E$13:E662)=1,"",",")&amp;D662,"")</f>
        <v/>
      </c>
      <c r="AK662" s="4"/>
      <c r="AL662" s="4"/>
      <c r="AM662" s="4"/>
      <c r="AN662" s="4"/>
      <c r="AO662" s="4"/>
      <c r="AP662" s="4"/>
      <c r="AQ662" s="4"/>
      <c r="AR662" s="4"/>
      <c r="AS662" s="76" t="str">
        <f>"COMMENT ON COLUMN "&amp;エンティティ一覧!$O$2&amp;"."&amp;D$8&amp;"."&amp;D662&amp;" IS '"&amp;C662&amp;"';"</f>
        <v>COMMENT ON COLUMN milscm_2023_009.sny_202310_annony_bef2.shikkan644_start_date IS 'I632_疾患開始日';</v>
      </c>
    </row>
    <row r="663" spans="1:45" s="25" customFormat="1">
      <c r="A663" s="4" t="s">
        <v>5731</v>
      </c>
      <c r="B663" s="21">
        <f t="shared" si="81"/>
        <v>651</v>
      </c>
      <c r="C663" s="13" t="s">
        <v>7121</v>
      </c>
      <c r="D663" s="13" t="s">
        <v>6305</v>
      </c>
      <c r="E663" s="8"/>
      <c r="F663" s="7" t="s">
        <v>4348</v>
      </c>
      <c r="G663" s="7" t="s">
        <v>25</v>
      </c>
      <c r="H663" s="58"/>
      <c r="I663" s="23"/>
      <c r="J663" s="24"/>
      <c r="M663" s="4"/>
      <c r="N663" s="76"/>
      <c r="O663" s="76"/>
      <c r="P663" s="76" t="str">
        <f t="shared" si="76"/>
        <v>,shikkan645_start_date</v>
      </c>
      <c r="Q663" s="76" t="str">
        <f t="shared" si="77"/>
        <v>DATE</v>
      </c>
      <c r="R663" s="76" t="str">
        <f t="shared" si="78"/>
        <v/>
      </c>
      <c r="S663" s="76" t="str">
        <f t="shared" si="79"/>
        <v/>
      </c>
      <c r="T663" s="76" t="str">
        <f t="shared" si="80"/>
        <v>-- I633_疾患開始日</v>
      </c>
      <c r="U663" s="4" t="str">
        <f t="shared" si="73"/>
        <v>, CASE WHEN shikkan_disp_name = 'I633' THEN min_shikkan_start_date ::DATE ELSE NULL END AS shikkan645_start_date</v>
      </c>
      <c r="V663" s="25" t="str">
        <f t="shared" si="74"/>
        <v>, max(shikkan645_start_date)</v>
      </c>
      <c r="AA663" s="4"/>
      <c r="AB663" s="4"/>
      <c r="AC663" s="4"/>
      <c r="AD663" s="4"/>
      <c r="AE663" s="4"/>
      <c r="AF663" s="4"/>
      <c r="AG663" s="4"/>
      <c r="AH663" s="4"/>
      <c r="AI663" s="4"/>
      <c r="AJ663" s="76" t="str">
        <f>IF(E663="○",IF(COUNTA(E$13:E663)=1,"",",")&amp;D663,"")</f>
        <v/>
      </c>
      <c r="AK663" s="4"/>
      <c r="AL663" s="4"/>
      <c r="AM663" s="4"/>
      <c r="AN663" s="4"/>
      <c r="AO663" s="4"/>
      <c r="AP663" s="4"/>
      <c r="AQ663" s="4"/>
      <c r="AR663" s="4"/>
      <c r="AS663" s="76" t="str">
        <f>"COMMENT ON COLUMN "&amp;エンティティ一覧!$O$2&amp;"."&amp;D$8&amp;"."&amp;D663&amp;" IS '"&amp;C663&amp;"';"</f>
        <v>COMMENT ON COLUMN milscm_2023_009.sny_202310_annony_bef2.shikkan645_start_date IS 'I633_疾患開始日';</v>
      </c>
    </row>
    <row r="664" spans="1:45" s="25" customFormat="1">
      <c r="A664" s="4" t="s">
        <v>5732</v>
      </c>
      <c r="B664" s="21">
        <f t="shared" si="81"/>
        <v>652</v>
      </c>
      <c r="C664" s="13" t="s">
        <v>7122</v>
      </c>
      <c r="D664" s="13" t="s">
        <v>6306</v>
      </c>
      <c r="E664" s="8"/>
      <c r="F664" s="7" t="s">
        <v>4348</v>
      </c>
      <c r="G664" s="7" t="s">
        <v>25</v>
      </c>
      <c r="H664" s="58"/>
      <c r="I664" s="23"/>
      <c r="J664" s="24"/>
      <c r="M664" s="4"/>
      <c r="N664" s="76"/>
      <c r="O664" s="76"/>
      <c r="P664" s="76" t="str">
        <f t="shared" si="76"/>
        <v>,shikkan646_start_date</v>
      </c>
      <c r="Q664" s="76" t="str">
        <f t="shared" si="77"/>
        <v>DATE</v>
      </c>
      <c r="R664" s="76" t="str">
        <f t="shared" si="78"/>
        <v/>
      </c>
      <c r="S664" s="76" t="str">
        <f t="shared" si="79"/>
        <v/>
      </c>
      <c r="T664" s="76" t="str">
        <f t="shared" si="80"/>
        <v>-- I634_疾患開始日</v>
      </c>
      <c r="U664" s="4" t="str">
        <f t="shared" si="73"/>
        <v>, CASE WHEN shikkan_disp_name = 'I634' THEN min_shikkan_start_date ::DATE ELSE NULL END AS shikkan646_start_date</v>
      </c>
      <c r="V664" s="25" t="str">
        <f t="shared" si="74"/>
        <v>, max(shikkan646_start_date)</v>
      </c>
      <c r="AA664" s="4"/>
      <c r="AB664" s="4"/>
      <c r="AC664" s="4"/>
      <c r="AD664" s="4"/>
      <c r="AE664" s="4"/>
      <c r="AF664" s="4"/>
      <c r="AG664" s="4"/>
      <c r="AH664" s="4"/>
      <c r="AI664" s="4"/>
      <c r="AJ664" s="76" t="str">
        <f>IF(E664="○",IF(COUNTA(E$13:E664)=1,"",",")&amp;D664,"")</f>
        <v/>
      </c>
      <c r="AK664" s="4"/>
      <c r="AL664" s="4"/>
      <c r="AM664" s="4"/>
      <c r="AN664" s="4"/>
      <c r="AO664" s="4"/>
      <c r="AP664" s="4"/>
      <c r="AQ664" s="4"/>
      <c r="AR664" s="4"/>
      <c r="AS664" s="76" t="str">
        <f>"COMMENT ON COLUMN "&amp;エンティティ一覧!$O$2&amp;"."&amp;D$8&amp;"."&amp;D664&amp;" IS '"&amp;C664&amp;"';"</f>
        <v>COMMENT ON COLUMN milscm_2023_009.sny_202310_annony_bef2.shikkan646_start_date IS 'I634_疾患開始日';</v>
      </c>
    </row>
    <row r="665" spans="1:45" s="25" customFormat="1">
      <c r="A665" s="4" t="s">
        <v>5733</v>
      </c>
      <c r="B665" s="21">
        <f t="shared" si="81"/>
        <v>653</v>
      </c>
      <c r="C665" s="13" t="s">
        <v>7123</v>
      </c>
      <c r="D665" s="13" t="s">
        <v>6307</v>
      </c>
      <c r="E665" s="8"/>
      <c r="F665" s="7" t="s">
        <v>4348</v>
      </c>
      <c r="G665" s="7" t="s">
        <v>25</v>
      </c>
      <c r="H665" s="58"/>
      <c r="I665" s="23"/>
      <c r="J665" s="24"/>
      <c r="M665" s="4"/>
      <c r="N665" s="76"/>
      <c r="O665" s="76"/>
      <c r="P665" s="76" t="str">
        <f t="shared" si="76"/>
        <v>,shikkan647_start_date</v>
      </c>
      <c r="Q665" s="76" t="str">
        <f t="shared" si="77"/>
        <v>DATE</v>
      </c>
      <c r="R665" s="76" t="str">
        <f t="shared" si="78"/>
        <v/>
      </c>
      <c r="S665" s="76" t="str">
        <f t="shared" si="79"/>
        <v/>
      </c>
      <c r="T665" s="76" t="str">
        <f t="shared" si="80"/>
        <v>-- I635_疾患開始日</v>
      </c>
      <c r="U665" s="4" t="str">
        <f t="shared" si="73"/>
        <v>, CASE WHEN shikkan_disp_name = 'I635' THEN min_shikkan_start_date ::DATE ELSE NULL END AS shikkan647_start_date</v>
      </c>
      <c r="V665" s="25" t="str">
        <f t="shared" si="74"/>
        <v>, max(shikkan647_start_date)</v>
      </c>
      <c r="AA665" s="4"/>
      <c r="AB665" s="4"/>
      <c r="AC665" s="4"/>
      <c r="AD665" s="4"/>
      <c r="AE665" s="4"/>
      <c r="AF665" s="4"/>
      <c r="AG665" s="4"/>
      <c r="AH665" s="4"/>
      <c r="AI665" s="4"/>
      <c r="AJ665" s="76" t="str">
        <f>IF(E665="○",IF(COUNTA(E$13:E665)=1,"",",")&amp;D665,"")</f>
        <v/>
      </c>
      <c r="AK665" s="4"/>
      <c r="AL665" s="4"/>
      <c r="AM665" s="4"/>
      <c r="AN665" s="4"/>
      <c r="AO665" s="4"/>
      <c r="AP665" s="4"/>
      <c r="AQ665" s="4"/>
      <c r="AR665" s="4"/>
      <c r="AS665" s="76" t="str">
        <f>"COMMENT ON COLUMN "&amp;エンティティ一覧!$O$2&amp;"."&amp;D$8&amp;"."&amp;D665&amp;" IS '"&amp;C665&amp;"';"</f>
        <v>COMMENT ON COLUMN milscm_2023_009.sny_202310_annony_bef2.shikkan647_start_date IS 'I635_疾患開始日';</v>
      </c>
    </row>
    <row r="666" spans="1:45" s="25" customFormat="1">
      <c r="A666" s="4" t="s">
        <v>5734</v>
      </c>
      <c r="B666" s="21">
        <f t="shared" si="81"/>
        <v>654</v>
      </c>
      <c r="C666" s="13" t="s">
        <v>7124</v>
      </c>
      <c r="D666" s="13" t="s">
        <v>6308</v>
      </c>
      <c r="E666" s="8"/>
      <c r="F666" s="7" t="s">
        <v>4348</v>
      </c>
      <c r="G666" s="7" t="s">
        <v>25</v>
      </c>
      <c r="H666" s="58"/>
      <c r="I666" s="23"/>
      <c r="J666" s="24"/>
      <c r="M666" s="4"/>
      <c r="N666" s="76"/>
      <c r="O666" s="76"/>
      <c r="P666" s="76" t="str">
        <f t="shared" si="76"/>
        <v>,shikkan648_start_date</v>
      </c>
      <c r="Q666" s="76" t="str">
        <f t="shared" si="77"/>
        <v>DATE</v>
      </c>
      <c r="R666" s="76" t="str">
        <f t="shared" si="78"/>
        <v/>
      </c>
      <c r="S666" s="76" t="str">
        <f t="shared" si="79"/>
        <v/>
      </c>
      <c r="T666" s="76" t="str">
        <f t="shared" si="80"/>
        <v>-- I636_疾患開始日</v>
      </c>
      <c r="U666" s="4" t="str">
        <f t="shared" si="73"/>
        <v>, CASE WHEN shikkan_disp_name = 'I636' THEN min_shikkan_start_date ::DATE ELSE NULL END AS shikkan648_start_date</v>
      </c>
      <c r="V666" s="25" t="str">
        <f t="shared" si="74"/>
        <v>, max(shikkan648_start_date)</v>
      </c>
      <c r="AA666" s="4"/>
      <c r="AB666" s="4"/>
      <c r="AC666" s="4"/>
      <c r="AD666" s="4"/>
      <c r="AE666" s="4"/>
      <c r="AF666" s="4"/>
      <c r="AG666" s="4"/>
      <c r="AH666" s="4"/>
      <c r="AI666" s="4"/>
      <c r="AJ666" s="76" t="str">
        <f>IF(E666="○",IF(COUNTA(E$13:E666)=1,"",",")&amp;D666,"")</f>
        <v/>
      </c>
      <c r="AK666" s="4"/>
      <c r="AL666" s="4"/>
      <c r="AM666" s="4"/>
      <c r="AN666" s="4"/>
      <c r="AO666" s="4"/>
      <c r="AP666" s="4"/>
      <c r="AQ666" s="4"/>
      <c r="AR666" s="4"/>
      <c r="AS666" s="76" t="str">
        <f>"COMMENT ON COLUMN "&amp;エンティティ一覧!$O$2&amp;"."&amp;D$8&amp;"."&amp;D666&amp;" IS '"&amp;C666&amp;"';"</f>
        <v>COMMENT ON COLUMN milscm_2023_009.sny_202310_annony_bef2.shikkan648_start_date IS 'I636_疾患開始日';</v>
      </c>
    </row>
    <row r="667" spans="1:45" s="25" customFormat="1">
      <c r="A667" s="4" t="s">
        <v>5735</v>
      </c>
      <c r="B667" s="21">
        <f t="shared" si="81"/>
        <v>655</v>
      </c>
      <c r="C667" s="13" t="s">
        <v>7125</v>
      </c>
      <c r="D667" s="13" t="s">
        <v>6309</v>
      </c>
      <c r="E667" s="8"/>
      <c r="F667" s="7" t="s">
        <v>4348</v>
      </c>
      <c r="G667" s="7" t="s">
        <v>25</v>
      </c>
      <c r="H667" s="58"/>
      <c r="I667" s="23"/>
      <c r="J667" s="24"/>
      <c r="M667" s="4"/>
      <c r="N667" s="76"/>
      <c r="O667" s="76"/>
      <c r="P667" s="76" t="str">
        <f t="shared" si="76"/>
        <v>,shikkan649_start_date</v>
      </c>
      <c r="Q667" s="76" t="str">
        <f t="shared" si="77"/>
        <v>DATE</v>
      </c>
      <c r="R667" s="76" t="str">
        <f t="shared" si="78"/>
        <v/>
      </c>
      <c r="S667" s="76" t="str">
        <f t="shared" si="79"/>
        <v/>
      </c>
      <c r="T667" s="76" t="str">
        <f t="shared" si="80"/>
        <v>-- I638_疾患開始日</v>
      </c>
      <c r="U667" s="4" t="str">
        <f t="shared" si="73"/>
        <v>, CASE WHEN shikkan_disp_name = 'I638' THEN min_shikkan_start_date ::DATE ELSE NULL END AS shikkan649_start_date</v>
      </c>
      <c r="V667" s="25" t="str">
        <f t="shared" si="74"/>
        <v>, max(shikkan649_start_date)</v>
      </c>
      <c r="AA667" s="4"/>
      <c r="AB667" s="4"/>
      <c r="AC667" s="4"/>
      <c r="AD667" s="4"/>
      <c r="AE667" s="4"/>
      <c r="AF667" s="4"/>
      <c r="AG667" s="4"/>
      <c r="AH667" s="4"/>
      <c r="AI667" s="4"/>
      <c r="AJ667" s="76" t="str">
        <f>IF(E667="○",IF(COUNTA(E$13:E667)=1,"",",")&amp;D667,"")</f>
        <v/>
      </c>
      <c r="AK667" s="4"/>
      <c r="AL667" s="4"/>
      <c r="AM667" s="4"/>
      <c r="AN667" s="4"/>
      <c r="AO667" s="4"/>
      <c r="AP667" s="4"/>
      <c r="AQ667" s="4"/>
      <c r="AR667" s="4"/>
      <c r="AS667" s="76" t="str">
        <f>"COMMENT ON COLUMN "&amp;エンティティ一覧!$O$2&amp;"."&amp;D$8&amp;"."&amp;D667&amp;" IS '"&amp;C667&amp;"';"</f>
        <v>COMMENT ON COLUMN milscm_2023_009.sny_202310_annony_bef2.shikkan649_start_date IS 'I638_疾患開始日';</v>
      </c>
    </row>
    <row r="668" spans="1:45" s="25" customFormat="1">
      <c r="A668" s="4" t="s">
        <v>5736</v>
      </c>
      <c r="B668" s="21">
        <f t="shared" si="81"/>
        <v>656</v>
      </c>
      <c r="C668" s="13" t="s">
        <v>7126</v>
      </c>
      <c r="D668" s="13" t="s">
        <v>6310</v>
      </c>
      <c r="E668" s="8"/>
      <c r="F668" s="7" t="s">
        <v>4348</v>
      </c>
      <c r="G668" s="7" t="s">
        <v>25</v>
      </c>
      <c r="H668" s="58"/>
      <c r="I668" s="23"/>
      <c r="J668" s="24"/>
      <c r="M668" s="4"/>
      <c r="N668" s="76"/>
      <c r="O668" s="76"/>
      <c r="P668" s="76" t="str">
        <f t="shared" si="76"/>
        <v>,shikkan650_start_date</v>
      </c>
      <c r="Q668" s="76" t="str">
        <f t="shared" si="77"/>
        <v>DATE</v>
      </c>
      <c r="R668" s="76" t="str">
        <f t="shared" si="78"/>
        <v/>
      </c>
      <c r="S668" s="76" t="str">
        <f t="shared" si="79"/>
        <v/>
      </c>
      <c r="T668" s="76" t="str">
        <f t="shared" si="80"/>
        <v>-- I639_疾患開始日</v>
      </c>
      <c r="U668" s="4" t="str">
        <f t="shared" si="73"/>
        <v>, CASE WHEN shikkan_disp_name = 'I639' THEN min_shikkan_start_date ::DATE ELSE NULL END AS shikkan650_start_date</v>
      </c>
      <c r="V668" s="25" t="str">
        <f t="shared" si="74"/>
        <v>, max(shikkan650_start_date)</v>
      </c>
      <c r="AA668" s="4"/>
      <c r="AB668" s="4"/>
      <c r="AC668" s="4"/>
      <c r="AD668" s="4"/>
      <c r="AE668" s="4"/>
      <c r="AF668" s="4"/>
      <c r="AG668" s="4"/>
      <c r="AH668" s="4"/>
      <c r="AI668" s="4"/>
      <c r="AJ668" s="76" t="str">
        <f>IF(E668="○",IF(COUNTA(E$13:E668)=1,"",",")&amp;D668,"")</f>
        <v/>
      </c>
      <c r="AK668" s="4"/>
      <c r="AL668" s="4"/>
      <c r="AM668" s="4"/>
      <c r="AN668" s="4"/>
      <c r="AO668" s="4"/>
      <c r="AP668" s="4"/>
      <c r="AQ668" s="4"/>
      <c r="AR668" s="4"/>
      <c r="AS668" s="76" t="str">
        <f>"COMMENT ON COLUMN "&amp;エンティティ一覧!$O$2&amp;"."&amp;D$8&amp;"."&amp;D668&amp;" IS '"&amp;C668&amp;"';"</f>
        <v>COMMENT ON COLUMN milscm_2023_009.sny_202310_annony_bef2.shikkan650_start_date IS 'I639_疾患開始日';</v>
      </c>
    </row>
    <row r="669" spans="1:45" s="25" customFormat="1">
      <c r="A669" s="4" t="s">
        <v>5062</v>
      </c>
      <c r="B669" s="21">
        <f t="shared" si="81"/>
        <v>657</v>
      </c>
      <c r="C669" s="13" t="s">
        <v>4672</v>
      </c>
      <c r="D669" s="13" t="s">
        <v>6311</v>
      </c>
      <c r="E669" s="8"/>
      <c r="F669" s="7" t="s">
        <v>4348</v>
      </c>
      <c r="G669" s="7" t="s">
        <v>25</v>
      </c>
      <c r="H669" s="58"/>
      <c r="I669" s="23"/>
      <c r="J669" s="24"/>
      <c r="M669" s="4"/>
      <c r="N669" s="76"/>
      <c r="O669" s="76"/>
      <c r="P669" s="76" t="str">
        <f t="shared" si="76"/>
        <v>,shikkan651_start_date</v>
      </c>
      <c r="Q669" s="76" t="str">
        <f t="shared" si="77"/>
        <v>DATE</v>
      </c>
      <c r="R669" s="76" t="str">
        <f t="shared" si="78"/>
        <v/>
      </c>
      <c r="S669" s="76" t="str">
        <f t="shared" si="79"/>
        <v/>
      </c>
      <c r="T669" s="76" t="str">
        <f t="shared" si="80"/>
        <v>-- I64_疾患開始日</v>
      </c>
      <c r="U669" s="4" t="str">
        <f t="shared" si="73"/>
        <v>, CASE WHEN shikkan_disp_name = 'I64' THEN min_shikkan_start_date ::DATE ELSE NULL END AS shikkan651_start_date</v>
      </c>
      <c r="V669" s="25" t="str">
        <f t="shared" si="74"/>
        <v>, max(shikkan651_start_date)</v>
      </c>
      <c r="AA669" s="4"/>
      <c r="AB669" s="4"/>
      <c r="AC669" s="4"/>
      <c r="AD669" s="4"/>
      <c r="AE669" s="4"/>
      <c r="AF669" s="4"/>
      <c r="AG669" s="4"/>
      <c r="AH669" s="4"/>
      <c r="AI669" s="4"/>
      <c r="AJ669" s="76" t="str">
        <f>IF(E669="○",IF(COUNTA(E$13:E669)=1,"",",")&amp;D669,"")</f>
        <v/>
      </c>
      <c r="AK669" s="4"/>
      <c r="AL669" s="4"/>
      <c r="AM669" s="4"/>
      <c r="AN669" s="4"/>
      <c r="AO669" s="4"/>
      <c r="AP669" s="4"/>
      <c r="AQ669" s="4"/>
      <c r="AR669" s="4"/>
      <c r="AS669" s="76" t="str">
        <f>"COMMENT ON COLUMN "&amp;エンティティ一覧!$O$2&amp;"."&amp;D$8&amp;"."&amp;D669&amp;" IS '"&amp;C669&amp;"';"</f>
        <v>COMMENT ON COLUMN milscm_2023_009.sny_202310_annony_bef2.shikkan651_start_date IS 'I64_疾患開始日';</v>
      </c>
    </row>
    <row r="670" spans="1:45" s="25" customFormat="1">
      <c r="A670" s="4" t="s">
        <v>5737</v>
      </c>
      <c r="B670" s="21">
        <f t="shared" si="81"/>
        <v>658</v>
      </c>
      <c r="C670" s="13" t="s">
        <v>7127</v>
      </c>
      <c r="D670" s="13" t="s">
        <v>6312</v>
      </c>
      <c r="E670" s="8"/>
      <c r="F670" s="7" t="s">
        <v>4348</v>
      </c>
      <c r="G670" s="7" t="s">
        <v>25</v>
      </c>
      <c r="H670" s="58"/>
      <c r="I670" s="23"/>
      <c r="J670" s="24"/>
      <c r="M670" s="4"/>
      <c r="N670" s="76"/>
      <c r="O670" s="76"/>
      <c r="P670" s="76" t="str">
        <f t="shared" si="76"/>
        <v>,shikkan652_start_date</v>
      </c>
      <c r="Q670" s="76" t="str">
        <f t="shared" si="77"/>
        <v>DATE</v>
      </c>
      <c r="R670" s="76" t="str">
        <f t="shared" si="78"/>
        <v/>
      </c>
      <c r="S670" s="76" t="str">
        <f t="shared" si="79"/>
        <v/>
      </c>
      <c r="T670" s="76" t="str">
        <f t="shared" si="80"/>
        <v>-- I650_疾患開始日</v>
      </c>
      <c r="U670" s="4" t="str">
        <f t="shared" si="73"/>
        <v>, CASE WHEN shikkan_disp_name = 'I650' THEN min_shikkan_start_date ::DATE ELSE NULL END AS shikkan652_start_date</v>
      </c>
      <c r="V670" s="25" t="str">
        <f t="shared" si="74"/>
        <v>, max(shikkan652_start_date)</v>
      </c>
      <c r="AA670" s="4"/>
      <c r="AB670" s="4"/>
      <c r="AC670" s="4"/>
      <c r="AD670" s="4"/>
      <c r="AE670" s="4"/>
      <c r="AF670" s="4"/>
      <c r="AG670" s="4"/>
      <c r="AH670" s="4"/>
      <c r="AI670" s="4"/>
      <c r="AJ670" s="76" t="str">
        <f>IF(E670="○",IF(COUNTA(E$13:E670)=1,"",",")&amp;D670,"")</f>
        <v/>
      </c>
      <c r="AK670" s="4"/>
      <c r="AL670" s="4"/>
      <c r="AM670" s="4"/>
      <c r="AN670" s="4"/>
      <c r="AO670" s="4"/>
      <c r="AP670" s="4"/>
      <c r="AQ670" s="4"/>
      <c r="AR670" s="4"/>
      <c r="AS670" s="76" t="str">
        <f>"COMMENT ON COLUMN "&amp;エンティティ一覧!$O$2&amp;"."&amp;D$8&amp;"."&amp;D670&amp;" IS '"&amp;C670&amp;"';"</f>
        <v>COMMENT ON COLUMN milscm_2023_009.sny_202310_annony_bef2.shikkan652_start_date IS 'I650_疾患開始日';</v>
      </c>
    </row>
    <row r="671" spans="1:45" s="25" customFormat="1">
      <c r="A671" s="4" t="s">
        <v>5738</v>
      </c>
      <c r="B671" s="21">
        <f t="shared" si="81"/>
        <v>659</v>
      </c>
      <c r="C671" s="13" t="s">
        <v>7128</v>
      </c>
      <c r="D671" s="13" t="s">
        <v>6313</v>
      </c>
      <c r="E671" s="8"/>
      <c r="F671" s="7" t="s">
        <v>4348</v>
      </c>
      <c r="G671" s="7" t="s">
        <v>25</v>
      </c>
      <c r="H671" s="58"/>
      <c r="I671" s="23"/>
      <c r="J671" s="24"/>
      <c r="M671" s="4"/>
      <c r="N671" s="76"/>
      <c r="O671" s="76"/>
      <c r="P671" s="76" t="str">
        <f t="shared" si="76"/>
        <v>,shikkan653_start_date</v>
      </c>
      <c r="Q671" s="76" t="str">
        <f t="shared" si="77"/>
        <v>DATE</v>
      </c>
      <c r="R671" s="76" t="str">
        <f t="shared" si="78"/>
        <v/>
      </c>
      <c r="S671" s="76" t="str">
        <f t="shared" si="79"/>
        <v/>
      </c>
      <c r="T671" s="76" t="str">
        <f t="shared" si="80"/>
        <v>-- I651_疾患開始日</v>
      </c>
      <c r="U671" s="4" t="str">
        <f t="shared" si="73"/>
        <v>, CASE WHEN shikkan_disp_name = 'I651' THEN min_shikkan_start_date ::DATE ELSE NULL END AS shikkan653_start_date</v>
      </c>
      <c r="V671" s="25" t="str">
        <f t="shared" si="74"/>
        <v>, max(shikkan653_start_date)</v>
      </c>
      <c r="AA671" s="4"/>
      <c r="AB671" s="4"/>
      <c r="AC671" s="4"/>
      <c r="AD671" s="4"/>
      <c r="AE671" s="4"/>
      <c r="AF671" s="4"/>
      <c r="AG671" s="4"/>
      <c r="AH671" s="4"/>
      <c r="AI671" s="4"/>
      <c r="AJ671" s="76" t="str">
        <f>IF(E671="○",IF(COUNTA(E$13:E671)=1,"",",")&amp;D671,"")</f>
        <v/>
      </c>
      <c r="AK671" s="4"/>
      <c r="AL671" s="4"/>
      <c r="AM671" s="4"/>
      <c r="AN671" s="4"/>
      <c r="AO671" s="4"/>
      <c r="AP671" s="4"/>
      <c r="AQ671" s="4"/>
      <c r="AR671" s="4"/>
      <c r="AS671" s="76" t="str">
        <f>"COMMENT ON COLUMN "&amp;エンティティ一覧!$O$2&amp;"."&amp;D$8&amp;"."&amp;D671&amp;" IS '"&amp;C671&amp;"';"</f>
        <v>COMMENT ON COLUMN milscm_2023_009.sny_202310_annony_bef2.shikkan653_start_date IS 'I651_疾患開始日';</v>
      </c>
    </row>
    <row r="672" spans="1:45" s="25" customFormat="1">
      <c r="A672" s="4" t="s">
        <v>5739</v>
      </c>
      <c r="B672" s="21">
        <f t="shared" si="81"/>
        <v>660</v>
      </c>
      <c r="C672" s="13" t="s">
        <v>7129</v>
      </c>
      <c r="D672" s="13" t="s">
        <v>6314</v>
      </c>
      <c r="E672" s="8"/>
      <c r="F672" s="7" t="s">
        <v>4348</v>
      </c>
      <c r="G672" s="7" t="s">
        <v>25</v>
      </c>
      <c r="H672" s="58"/>
      <c r="I672" s="23"/>
      <c r="J672" s="24"/>
      <c r="M672" s="4"/>
      <c r="N672" s="76"/>
      <c r="O672" s="76"/>
      <c r="P672" s="76" t="str">
        <f t="shared" si="76"/>
        <v>,shikkan654_start_date</v>
      </c>
      <c r="Q672" s="76" t="str">
        <f t="shared" si="77"/>
        <v>DATE</v>
      </c>
      <c r="R672" s="76" t="str">
        <f t="shared" si="78"/>
        <v/>
      </c>
      <c r="S672" s="76" t="str">
        <f t="shared" si="79"/>
        <v/>
      </c>
      <c r="T672" s="76" t="str">
        <f t="shared" si="80"/>
        <v>-- I652_疾患開始日</v>
      </c>
      <c r="U672" s="4" t="str">
        <f t="shared" si="73"/>
        <v>, CASE WHEN shikkan_disp_name = 'I652' THEN min_shikkan_start_date ::DATE ELSE NULL END AS shikkan654_start_date</v>
      </c>
      <c r="V672" s="25" t="str">
        <f t="shared" si="74"/>
        <v>, max(shikkan654_start_date)</v>
      </c>
      <c r="AA672" s="4"/>
      <c r="AB672" s="4"/>
      <c r="AC672" s="4"/>
      <c r="AD672" s="4"/>
      <c r="AE672" s="4"/>
      <c r="AF672" s="4"/>
      <c r="AG672" s="4"/>
      <c r="AH672" s="4"/>
      <c r="AI672" s="4"/>
      <c r="AJ672" s="76" t="str">
        <f>IF(E672="○",IF(COUNTA(E$13:E672)=1,"",",")&amp;D672,"")</f>
        <v/>
      </c>
      <c r="AK672" s="4"/>
      <c r="AL672" s="4"/>
      <c r="AM672" s="4"/>
      <c r="AN672" s="4"/>
      <c r="AO672" s="4"/>
      <c r="AP672" s="4"/>
      <c r="AQ672" s="4"/>
      <c r="AR672" s="4"/>
      <c r="AS672" s="76" t="str">
        <f>"COMMENT ON COLUMN "&amp;エンティティ一覧!$O$2&amp;"."&amp;D$8&amp;"."&amp;D672&amp;" IS '"&amp;C672&amp;"';"</f>
        <v>COMMENT ON COLUMN milscm_2023_009.sny_202310_annony_bef2.shikkan654_start_date IS 'I652_疾患開始日';</v>
      </c>
    </row>
    <row r="673" spans="1:45" s="25" customFormat="1">
      <c r="A673" s="4" t="s">
        <v>5740</v>
      </c>
      <c r="B673" s="21">
        <f t="shared" si="81"/>
        <v>661</v>
      </c>
      <c r="C673" s="13" t="s">
        <v>7130</v>
      </c>
      <c r="D673" s="13" t="s">
        <v>6315</v>
      </c>
      <c r="E673" s="8"/>
      <c r="F673" s="7" t="s">
        <v>4348</v>
      </c>
      <c r="G673" s="7" t="s">
        <v>99</v>
      </c>
      <c r="H673" s="58"/>
      <c r="I673" s="23"/>
      <c r="J673" s="24"/>
      <c r="M673" s="4"/>
      <c r="N673" s="76"/>
      <c r="O673" s="76"/>
      <c r="P673" s="76" t="str">
        <f t="shared" si="76"/>
        <v>,shikkan655_start_date</v>
      </c>
      <c r="Q673" s="76" t="str">
        <f t="shared" si="77"/>
        <v>DATE</v>
      </c>
      <c r="R673" s="76" t="str">
        <f t="shared" si="78"/>
        <v/>
      </c>
      <c r="S673" s="76" t="str">
        <f t="shared" si="79"/>
        <v/>
      </c>
      <c r="T673" s="76" t="str">
        <f t="shared" si="80"/>
        <v>-- I653_疾患開始日</v>
      </c>
      <c r="U673" s="4" t="str">
        <f t="shared" si="73"/>
        <v>, CASE WHEN shikkan_disp_name = 'I653' THEN min_shikkan_start_date ::DATE ELSE NULL END AS shikkan655_start_date</v>
      </c>
      <c r="V673" s="25" t="str">
        <f t="shared" si="74"/>
        <v>, max(shikkan655_start_date)</v>
      </c>
      <c r="AA673" s="4"/>
      <c r="AB673" s="4"/>
      <c r="AC673" s="4"/>
      <c r="AD673" s="4"/>
      <c r="AE673" s="4"/>
      <c r="AF673" s="4"/>
      <c r="AG673" s="4"/>
      <c r="AH673" s="4"/>
      <c r="AI673" s="4"/>
      <c r="AJ673" s="76" t="str">
        <f>IF(E673="○",IF(COUNTA(E$13:E673)=1,"",",")&amp;D673,"")</f>
        <v/>
      </c>
      <c r="AK673" s="4"/>
      <c r="AL673" s="4"/>
      <c r="AM673" s="4"/>
      <c r="AN673" s="4"/>
      <c r="AO673" s="4"/>
      <c r="AP673" s="4"/>
      <c r="AQ673" s="4"/>
      <c r="AR673" s="4"/>
      <c r="AS673" s="76" t="str">
        <f>"COMMENT ON COLUMN "&amp;エンティティ一覧!$O$2&amp;"."&amp;D$8&amp;"."&amp;D673&amp;" IS '"&amp;C673&amp;"';"</f>
        <v>COMMENT ON COLUMN milscm_2023_009.sny_202310_annony_bef2.shikkan655_start_date IS 'I653_疾患開始日';</v>
      </c>
    </row>
    <row r="674" spans="1:45" s="25" customFormat="1">
      <c r="A674" s="4" t="s">
        <v>5741</v>
      </c>
      <c r="B674" s="21">
        <f t="shared" si="81"/>
        <v>662</v>
      </c>
      <c r="C674" s="13" t="s">
        <v>7131</v>
      </c>
      <c r="D674" s="13" t="s">
        <v>6316</v>
      </c>
      <c r="E674" s="8"/>
      <c r="F674" s="7" t="s">
        <v>4348</v>
      </c>
      <c r="G674" s="7" t="s">
        <v>25</v>
      </c>
      <c r="H674" s="58"/>
      <c r="I674" s="23"/>
      <c r="J674" s="24"/>
      <c r="M674" s="4"/>
      <c r="N674" s="76"/>
      <c r="O674" s="76"/>
      <c r="P674" s="76" t="str">
        <f t="shared" si="76"/>
        <v>,shikkan656_start_date</v>
      </c>
      <c r="Q674" s="76" t="str">
        <f t="shared" si="77"/>
        <v>DATE</v>
      </c>
      <c r="R674" s="76" t="str">
        <f t="shared" si="78"/>
        <v/>
      </c>
      <c r="S674" s="76" t="str">
        <f t="shared" si="79"/>
        <v/>
      </c>
      <c r="T674" s="76" t="str">
        <f t="shared" si="80"/>
        <v>-- I658_疾患開始日</v>
      </c>
      <c r="U674" s="4" t="str">
        <f t="shared" si="73"/>
        <v>, CASE WHEN shikkan_disp_name = 'I658' THEN min_shikkan_start_date ::DATE ELSE NULL END AS shikkan656_start_date</v>
      </c>
      <c r="V674" s="25" t="str">
        <f t="shared" si="74"/>
        <v>, max(shikkan656_start_date)</v>
      </c>
      <c r="AA674" s="4"/>
      <c r="AB674" s="4"/>
      <c r="AC674" s="4"/>
      <c r="AD674" s="4"/>
      <c r="AE674" s="4"/>
      <c r="AF674" s="4"/>
      <c r="AG674" s="4"/>
      <c r="AH674" s="4"/>
      <c r="AI674" s="4"/>
      <c r="AJ674" s="76" t="str">
        <f>IF(E674="○",IF(COUNTA(E$13:E674)=1,"",",")&amp;D674,"")</f>
        <v/>
      </c>
      <c r="AK674" s="4"/>
      <c r="AL674" s="4"/>
      <c r="AM674" s="4"/>
      <c r="AN674" s="4"/>
      <c r="AO674" s="4"/>
      <c r="AP674" s="4"/>
      <c r="AQ674" s="4"/>
      <c r="AR674" s="4"/>
      <c r="AS674" s="76" t="str">
        <f>"COMMENT ON COLUMN "&amp;エンティティ一覧!$O$2&amp;"."&amp;D$8&amp;"."&amp;D674&amp;" IS '"&amp;C674&amp;"';"</f>
        <v>COMMENT ON COLUMN milscm_2023_009.sny_202310_annony_bef2.shikkan656_start_date IS 'I658_疾患開始日';</v>
      </c>
    </row>
    <row r="675" spans="1:45" s="25" customFormat="1">
      <c r="A675" s="4" t="s">
        <v>5742</v>
      </c>
      <c r="B675" s="21">
        <f t="shared" si="81"/>
        <v>663</v>
      </c>
      <c r="C675" s="13" t="s">
        <v>7132</v>
      </c>
      <c r="D675" s="13" t="s">
        <v>6317</v>
      </c>
      <c r="E675" s="8"/>
      <c r="F675" s="7" t="s">
        <v>4348</v>
      </c>
      <c r="G675" s="7" t="s">
        <v>25</v>
      </c>
      <c r="H675" s="58"/>
      <c r="I675" s="23"/>
      <c r="J675" s="24"/>
      <c r="M675" s="4"/>
      <c r="N675" s="76"/>
      <c r="O675" s="76"/>
      <c r="P675" s="76" t="str">
        <f t="shared" si="76"/>
        <v>,shikkan657_start_date</v>
      </c>
      <c r="Q675" s="76" t="str">
        <f t="shared" si="77"/>
        <v>DATE</v>
      </c>
      <c r="R675" s="76" t="str">
        <f t="shared" si="78"/>
        <v/>
      </c>
      <c r="S675" s="76" t="str">
        <f t="shared" si="79"/>
        <v/>
      </c>
      <c r="T675" s="76" t="str">
        <f t="shared" si="80"/>
        <v>-- I659_疾患開始日</v>
      </c>
      <c r="U675" s="4" t="str">
        <f t="shared" si="73"/>
        <v>, CASE WHEN shikkan_disp_name = 'I659' THEN min_shikkan_start_date ::DATE ELSE NULL END AS shikkan657_start_date</v>
      </c>
      <c r="V675" s="25" t="str">
        <f t="shared" si="74"/>
        <v>, max(shikkan657_start_date)</v>
      </c>
      <c r="AA675" s="4"/>
      <c r="AB675" s="4"/>
      <c r="AC675" s="4"/>
      <c r="AD675" s="4"/>
      <c r="AE675" s="4"/>
      <c r="AF675" s="4"/>
      <c r="AG675" s="4"/>
      <c r="AH675" s="4"/>
      <c r="AI675" s="4"/>
      <c r="AJ675" s="76" t="str">
        <f>IF(E675="○",IF(COUNTA(E$13:E675)=1,"",",")&amp;D675,"")</f>
        <v/>
      </c>
      <c r="AK675" s="4"/>
      <c r="AL675" s="4"/>
      <c r="AM675" s="4"/>
      <c r="AN675" s="4"/>
      <c r="AO675" s="4"/>
      <c r="AP675" s="4"/>
      <c r="AQ675" s="4"/>
      <c r="AR675" s="4"/>
      <c r="AS675" s="76" t="str">
        <f>"COMMENT ON COLUMN "&amp;エンティティ一覧!$O$2&amp;"."&amp;D$8&amp;"."&amp;D675&amp;" IS '"&amp;C675&amp;"';"</f>
        <v>COMMENT ON COLUMN milscm_2023_009.sny_202310_annony_bef2.shikkan657_start_date IS 'I659_疾患開始日';</v>
      </c>
    </row>
    <row r="676" spans="1:45" s="25" customFormat="1">
      <c r="A676" s="4" t="s">
        <v>5743</v>
      </c>
      <c r="B676" s="21">
        <f t="shared" si="81"/>
        <v>664</v>
      </c>
      <c r="C676" s="13" t="s">
        <v>7133</v>
      </c>
      <c r="D676" s="13" t="s">
        <v>6318</v>
      </c>
      <c r="E676" s="8"/>
      <c r="F676" s="7" t="s">
        <v>4348</v>
      </c>
      <c r="G676" s="7" t="s">
        <v>25</v>
      </c>
      <c r="H676" s="58"/>
      <c r="I676" s="23"/>
      <c r="J676" s="24"/>
      <c r="M676" s="4"/>
      <c r="N676" s="76"/>
      <c r="O676" s="76"/>
      <c r="P676" s="76" t="str">
        <f t="shared" ref="P676:P739" si="82">IF(B676&lt;&gt;1,","&amp;D676,D676)</f>
        <v>,shikkan658_start_date</v>
      </c>
      <c r="Q676" s="76" t="str">
        <f t="shared" ref="Q676:Q739" si="83">UPPER(G676)</f>
        <v>DATE</v>
      </c>
      <c r="R676" s="76" t="str">
        <f t="shared" ref="R676:R739" si="84">IF(H676&lt;&gt;"","default "&amp;IF(G676="text","'"&amp;H676&amp;"'",H676),"")</f>
        <v/>
      </c>
      <c r="S676" s="76" t="str">
        <f t="shared" ref="S676:S739" si="85">IF(I676="○","NOT NULL","")</f>
        <v/>
      </c>
      <c r="T676" s="76" t="str">
        <f t="shared" ref="T676:T739" si="86">"-- "&amp;C676</f>
        <v>-- I660_疾患開始日</v>
      </c>
      <c r="U676" s="4" t="str">
        <f t="shared" si="73"/>
        <v>, CASE WHEN shikkan_disp_name = 'I660' THEN min_shikkan_start_date ::DATE ELSE NULL END AS shikkan658_start_date</v>
      </c>
      <c r="V676" s="25" t="str">
        <f t="shared" si="74"/>
        <v>, max(shikkan658_start_date)</v>
      </c>
      <c r="AA676" s="4"/>
      <c r="AB676" s="4"/>
      <c r="AC676" s="4"/>
      <c r="AD676" s="4"/>
      <c r="AE676" s="4"/>
      <c r="AF676" s="4"/>
      <c r="AG676" s="4"/>
      <c r="AH676" s="4"/>
      <c r="AI676" s="4"/>
      <c r="AJ676" s="76" t="str">
        <f>IF(E676="○",IF(COUNTA(E$13:E676)=1,"",",")&amp;D676,"")</f>
        <v/>
      </c>
      <c r="AK676" s="4"/>
      <c r="AL676" s="4"/>
      <c r="AM676" s="4"/>
      <c r="AN676" s="4"/>
      <c r="AO676" s="4"/>
      <c r="AP676" s="4"/>
      <c r="AQ676" s="4"/>
      <c r="AR676" s="4"/>
      <c r="AS676" s="76" t="str">
        <f>"COMMENT ON COLUMN "&amp;エンティティ一覧!$O$2&amp;"."&amp;D$8&amp;"."&amp;D676&amp;" IS '"&amp;C676&amp;"';"</f>
        <v>COMMENT ON COLUMN milscm_2023_009.sny_202310_annony_bef2.shikkan658_start_date IS 'I660_疾患開始日';</v>
      </c>
    </row>
    <row r="677" spans="1:45" s="25" customFormat="1">
      <c r="A677" s="4" t="s">
        <v>5744</v>
      </c>
      <c r="B677" s="21">
        <f t="shared" si="81"/>
        <v>665</v>
      </c>
      <c r="C677" s="13" t="s">
        <v>7134</v>
      </c>
      <c r="D677" s="13" t="s">
        <v>6319</v>
      </c>
      <c r="E677" s="8"/>
      <c r="F677" s="7" t="s">
        <v>4348</v>
      </c>
      <c r="G677" s="7" t="s">
        <v>25</v>
      </c>
      <c r="H677" s="58"/>
      <c r="I677" s="23"/>
      <c r="J677" s="24"/>
      <c r="M677" s="4"/>
      <c r="N677" s="76"/>
      <c r="O677" s="76"/>
      <c r="P677" s="76" t="str">
        <f t="shared" si="82"/>
        <v>,shikkan659_start_date</v>
      </c>
      <c r="Q677" s="76" t="str">
        <f t="shared" si="83"/>
        <v>DATE</v>
      </c>
      <c r="R677" s="76" t="str">
        <f t="shared" si="84"/>
        <v/>
      </c>
      <c r="S677" s="76" t="str">
        <f t="shared" si="85"/>
        <v/>
      </c>
      <c r="T677" s="76" t="str">
        <f t="shared" si="86"/>
        <v>-- I661_疾患開始日</v>
      </c>
      <c r="U677" s="4" t="str">
        <f t="shared" si="73"/>
        <v>, CASE WHEN shikkan_disp_name = 'I661' THEN min_shikkan_start_date ::DATE ELSE NULL END AS shikkan659_start_date</v>
      </c>
      <c r="V677" s="25" t="str">
        <f t="shared" si="74"/>
        <v>, max(shikkan659_start_date)</v>
      </c>
      <c r="AA677" s="4"/>
      <c r="AB677" s="4"/>
      <c r="AC677" s="4"/>
      <c r="AD677" s="4"/>
      <c r="AE677" s="4"/>
      <c r="AF677" s="4"/>
      <c r="AG677" s="4"/>
      <c r="AH677" s="4"/>
      <c r="AI677" s="4"/>
      <c r="AJ677" s="76" t="str">
        <f>IF(E677="○",IF(COUNTA(E$13:E677)=1,"",",")&amp;D677,"")</f>
        <v/>
      </c>
      <c r="AK677" s="4"/>
      <c r="AL677" s="4"/>
      <c r="AM677" s="4"/>
      <c r="AN677" s="4"/>
      <c r="AO677" s="4"/>
      <c r="AP677" s="4"/>
      <c r="AQ677" s="4"/>
      <c r="AR677" s="4"/>
      <c r="AS677" s="76" t="str">
        <f>"COMMENT ON COLUMN "&amp;エンティティ一覧!$O$2&amp;"."&amp;D$8&amp;"."&amp;D677&amp;" IS '"&amp;C677&amp;"';"</f>
        <v>COMMENT ON COLUMN milscm_2023_009.sny_202310_annony_bef2.shikkan659_start_date IS 'I661_疾患開始日';</v>
      </c>
    </row>
    <row r="678" spans="1:45" s="25" customFormat="1">
      <c r="A678" s="4" t="s">
        <v>5745</v>
      </c>
      <c r="B678" s="21">
        <f t="shared" si="81"/>
        <v>666</v>
      </c>
      <c r="C678" s="13" t="s">
        <v>7135</v>
      </c>
      <c r="D678" s="13" t="s">
        <v>6320</v>
      </c>
      <c r="E678" s="8"/>
      <c r="F678" s="7" t="s">
        <v>4348</v>
      </c>
      <c r="G678" s="7" t="s">
        <v>25</v>
      </c>
      <c r="H678" s="58"/>
      <c r="I678" s="23"/>
      <c r="J678" s="24"/>
      <c r="M678" s="4"/>
      <c r="N678" s="76"/>
      <c r="O678" s="76"/>
      <c r="P678" s="76" t="str">
        <f t="shared" si="82"/>
        <v>,shikkan660_start_date</v>
      </c>
      <c r="Q678" s="76" t="str">
        <f t="shared" si="83"/>
        <v>DATE</v>
      </c>
      <c r="R678" s="76" t="str">
        <f t="shared" si="84"/>
        <v/>
      </c>
      <c r="S678" s="76" t="str">
        <f t="shared" si="85"/>
        <v/>
      </c>
      <c r="T678" s="76" t="str">
        <f t="shared" si="86"/>
        <v>-- I662_疾患開始日</v>
      </c>
      <c r="U678" s="4" t="str">
        <f t="shared" si="73"/>
        <v>, CASE WHEN shikkan_disp_name = 'I662' THEN min_shikkan_start_date ::DATE ELSE NULL END AS shikkan660_start_date</v>
      </c>
      <c r="V678" s="25" t="str">
        <f t="shared" si="74"/>
        <v>, max(shikkan660_start_date)</v>
      </c>
      <c r="AA678" s="4"/>
      <c r="AB678" s="4"/>
      <c r="AC678" s="4"/>
      <c r="AD678" s="4"/>
      <c r="AE678" s="4"/>
      <c r="AF678" s="4"/>
      <c r="AG678" s="4"/>
      <c r="AH678" s="4"/>
      <c r="AI678" s="4"/>
      <c r="AJ678" s="76" t="str">
        <f>IF(E678="○",IF(COUNTA(E$13:E678)=1,"",",")&amp;D678,"")</f>
        <v/>
      </c>
      <c r="AK678" s="4"/>
      <c r="AL678" s="4"/>
      <c r="AM678" s="4"/>
      <c r="AN678" s="4"/>
      <c r="AO678" s="4"/>
      <c r="AP678" s="4"/>
      <c r="AQ678" s="4"/>
      <c r="AR678" s="4"/>
      <c r="AS678" s="76" t="str">
        <f>"COMMENT ON COLUMN "&amp;エンティティ一覧!$O$2&amp;"."&amp;D$8&amp;"."&amp;D678&amp;" IS '"&amp;C678&amp;"';"</f>
        <v>COMMENT ON COLUMN milscm_2023_009.sny_202310_annony_bef2.shikkan660_start_date IS 'I662_疾患開始日';</v>
      </c>
    </row>
    <row r="679" spans="1:45" s="25" customFormat="1">
      <c r="A679" s="4" t="s">
        <v>5746</v>
      </c>
      <c r="B679" s="21">
        <f t="shared" si="81"/>
        <v>667</v>
      </c>
      <c r="C679" s="13" t="s">
        <v>7136</v>
      </c>
      <c r="D679" s="13" t="s">
        <v>6321</v>
      </c>
      <c r="E679" s="8"/>
      <c r="F679" s="7" t="s">
        <v>4348</v>
      </c>
      <c r="G679" s="7" t="s">
        <v>25</v>
      </c>
      <c r="H679" s="58"/>
      <c r="I679" s="23"/>
      <c r="J679" s="24"/>
      <c r="M679" s="4"/>
      <c r="N679" s="76"/>
      <c r="O679" s="76"/>
      <c r="P679" s="76" t="str">
        <f t="shared" si="82"/>
        <v>,shikkan661_start_date</v>
      </c>
      <c r="Q679" s="76" t="str">
        <f t="shared" si="83"/>
        <v>DATE</v>
      </c>
      <c r="R679" s="76" t="str">
        <f t="shared" si="84"/>
        <v/>
      </c>
      <c r="S679" s="76" t="str">
        <f t="shared" si="85"/>
        <v/>
      </c>
      <c r="T679" s="76" t="str">
        <f t="shared" si="86"/>
        <v>-- I663_疾患開始日</v>
      </c>
      <c r="U679" s="4" t="str">
        <f t="shared" si="73"/>
        <v>, CASE WHEN shikkan_disp_name = 'I663' THEN min_shikkan_start_date ::DATE ELSE NULL END AS shikkan661_start_date</v>
      </c>
      <c r="V679" s="25" t="str">
        <f t="shared" si="74"/>
        <v>, max(shikkan661_start_date)</v>
      </c>
      <c r="AA679" s="4"/>
      <c r="AB679" s="4"/>
      <c r="AC679" s="4"/>
      <c r="AD679" s="4"/>
      <c r="AE679" s="4"/>
      <c r="AF679" s="4"/>
      <c r="AG679" s="4"/>
      <c r="AH679" s="4"/>
      <c r="AI679" s="4"/>
      <c r="AJ679" s="76" t="str">
        <f>IF(E679="○",IF(COUNTA(E$13:E679)=1,"",",")&amp;D679,"")</f>
        <v/>
      </c>
      <c r="AK679" s="4"/>
      <c r="AL679" s="4"/>
      <c r="AM679" s="4"/>
      <c r="AN679" s="4"/>
      <c r="AO679" s="4"/>
      <c r="AP679" s="4"/>
      <c r="AQ679" s="4"/>
      <c r="AR679" s="4"/>
      <c r="AS679" s="76" t="str">
        <f>"COMMENT ON COLUMN "&amp;エンティティ一覧!$O$2&amp;"."&amp;D$8&amp;"."&amp;D679&amp;" IS '"&amp;C679&amp;"';"</f>
        <v>COMMENT ON COLUMN milscm_2023_009.sny_202310_annony_bef2.shikkan661_start_date IS 'I663_疾患開始日';</v>
      </c>
    </row>
    <row r="680" spans="1:45" s="25" customFormat="1">
      <c r="A680" s="4" t="s">
        <v>5747</v>
      </c>
      <c r="B680" s="21">
        <f t="shared" si="81"/>
        <v>668</v>
      </c>
      <c r="C680" s="13" t="s">
        <v>7137</v>
      </c>
      <c r="D680" s="13" t="s">
        <v>6322</v>
      </c>
      <c r="E680" s="8"/>
      <c r="F680" s="7" t="s">
        <v>4348</v>
      </c>
      <c r="G680" s="7" t="s">
        <v>25</v>
      </c>
      <c r="H680" s="58"/>
      <c r="I680" s="23"/>
      <c r="J680" s="24"/>
      <c r="M680" s="4"/>
      <c r="N680" s="76"/>
      <c r="O680" s="76"/>
      <c r="P680" s="76" t="str">
        <f t="shared" si="82"/>
        <v>,shikkan662_start_date</v>
      </c>
      <c r="Q680" s="76" t="str">
        <f t="shared" si="83"/>
        <v>DATE</v>
      </c>
      <c r="R680" s="76" t="str">
        <f t="shared" si="84"/>
        <v/>
      </c>
      <c r="S680" s="76" t="str">
        <f t="shared" si="85"/>
        <v/>
      </c>
      <c r="T680" s="76" t="str">
        <f t="shared" si="86"/>
        <v>-- I664_疾患開始日</v>
      </c>
      <c r="U680" s="4" t="str">
        <f t="shared" si="73"/>
        <v>, CASE WHEN shikkan_disp_name = 'I664' THEN min_shikkan_start_date ::DATE ELSE NULL END AS shikkan662_start_date</v>
      </c>
      <c r="V680" s="25" t="str">
        <f t="shared" si="74"/>
        <v>, max(shikkan662_start_date)</v>
      </c>
      <c r="AA680" s="4"/>
      <c r="AB680" s="4"/>
      <c r="AC680" s="4"/>
      <c r="AD680" s="4"/>
      <c r="AE680" s="4"/>
      <c r="AF680" s="4"/>
      <c r="AG680" s="4"/>
      <c r="AH680" s="4"/>
      <c r="AI680" s="4"/>
      <c r="AJ680" s="76" t="str">
        <f>IF(E680="○",IF(COUNTA(E$13:E680)=1,"",",")&amp;D680,"")</f>
        <v/>
      </c>
      <c r="AK680" s="4"/>
      <c r="AL680" s="4"/>
      <c r="AM680" s="4"/>
      <c r="AN680" s="4"/>
      <c r="AO680" s="4"/>
      <c r="AP680" s="4"/>
      <c r="AQ680" s="4"/>
      <c r="AR680" s="4"/>
      <c r="AS680" s="76" t="str">
        <f>"COMMENT ON COLUMN "&amp;エンティティ一覧!$O$2&amp;"."&amp;D$8&amp;"."&amp;D680&amp;" IS '"&amp;C680&amp;"';"</f>
        <v>COMMENT ON COLUMN milscm_2023_009.sny_202310_annony_bef2.shikkan662_start_date IS 'I664_疾患開始日';</v>
      </c>
    </row>
    <row r="681" spans="1:45" s="25" customFormat="1">
      <c r="A681" s="4" t="s">
        <v>5748</v>
      </c>
      <c r="B681" s="21">
        <f t="shared" si="81"/>
        <v>669</v>
      </c>
      <c r="C681" s="13" t="s">
        <v>7138</v>
      </c>
      <c r="D681" s="13" t="s">
        <v>6323</v>
      </c>
      <c r="E681" s="8"/>
      <c r="F681" s="7" t="s">
        <v>4348</v>
      </c>
      <c r="G681" s="7" t="s">
        <v>25</v>
      </c>
      <c r="H681" s="58"/>
      <c r="I681" s="23"/>
      <c r="J681" s="24"/>
      <c r="M681" s="4"/>
      <c r="N681" s="76"/>
      <c r="O681" s="76"/>
      <c r="P681" s="76" t="str">
        <f t="shared" si="82"/>
        <v>,shikkan663_start_date</v>
      </c>
      <c r="Q681" s="76" t="str">
        <f t="shared" si="83"/>
        <v>DATE</v>
      </c>
      <c r="R681" s="76" t="str">
        <f t="shared" si="84"/>
        <v/>
      </c>
      <c r="S681" s="76" t="str">
        <f t="shared" si="85"/>
        <v/>
      </c>
      <c r="T681" s="76" t="str">
        <f t="shared" si="86"/>
        <v>-- I668_疾患開始日</v>
      </c>
      <c r="U681" s="4" t="str">
        <f t="shared" si="73"/>
        <v>, CASE WHEN shikkan_disp_name = 'I668' THEN min_shikkan_start_date ::DATE ELSE NULL END AS shikkan663_start_date</v>
      </c>
      <c r="V681" s="25" t="str">
        <f t="shared" si="74"/>
        <v>, max(shikkan663_start_date)</v>
      </c>
      <c r="AA681" s="4"/>
      <c r="AB681" s="4"/>
      <c r="AC681" s="4"/>
      <c r="AD681" s="4"/>
      <c r="AE681" s="4"/>
      <c r="AF681" s="4"/>
      <c r="AG681" s="4"/>
      <c r="AH681" s="4"/>
      <c r="AI681" s="4"/>
      <c r="AJ681" s="76" t="str">
        <f>IF(E681="○",IF(COUNTA(E$13:E681)=1,"",",")&amp;D681,"")</f>
        <v/>
      </c>
      <c r="AK681" s="4"/>
      <c r="AL681" s="4"/>
      <c r="AM681" s="4"/>
      <c r="AN681" s="4"/>
      <c r="AO681" s="4"/>
      <c r="AP681" s="4"/>
      <c r="AQ681" s="4"/>
      <c r="AR681" s="4"/>
      <c r="AS681" s="76" t="str">
        <f>"COMMENT ON COLUMN "&amp;エンティティ一覧!$O$2&amp;"."&amp;D$8&amp;"."&amp;D681&amp;" IS '"&amp;C681&amp;"';"</f>
        <v>COMMENT ON COLUMN milscm_2023_009.sny_202310_annony_bef2.shikkan663_start_date IS 'I668_疾患開始日';</v>
      </c>
    </row>
    <row r="682" spans="1:45" s="25" customFormat="1">
      <c r="A682" s="4" t="s">
        <v>5749</v>
      </c>
      <c r="B682" s="21">
        <f t="shared" si="81"/>
        <v>670</v>
      </c>
      <c r="C682" s="13" t="s">
        <v>7139</v>
      </c>
      <c r="D682" s="13" t="s">
        <v>6324</v>
      </c>
      <c r="E682" s="8"/>
      <c r="F682" s="7" t="s">
        <v>4348</v>
      </c>
      <c r="G682" s="7" t="s">
        <v>25</v>
      </c>
      <c r="H682" s="58"/>
      <c r="I682" s="23"/>
      <c r="J682" s="24"/>
      <c r="M682" s="4"/>
      <c r="N682" s="76"/>
      <c r="O682" s="76"/>
      <c r="P682" s="76" t="str">
        <f t="shared" si="82"/>
        <v>,shikkan664_start_date</v>
      </c>
      <c r="Q682" s="76" t="str">
        <f t="shared" si="83"/>
        <v>DATE</v>
      </c>
      <c r="R682" s="76" t="str">
        <f t="shared" si="84"/>
        <v/>
      </c>
      <c r="S682" s="76" t="str">
        <f t="shared" si="85"/>
        <v/>
      </c>
      <c r="T682" s="76" t="str">
        <f t="shared" si="86"/>
        <v>-- I669_疾患開始日</v>
      </c>
      <c r="U682" s="4" t="str">
        <f t="shared" si="73"/>
        <v>, CASE WHEN shikkan_disp_name = 'I669' THEN min_shikkan_start_date ::DATE ELSE NULL END AS shikkan664_start_date</v>
      </c>
      <c r="V682" s="25" t="str">
        <f t="shared" si="74"/>
        <v>, max(shikkan664_start_date)</v>
      </c>
      <c r="AA682" s="4"/>
      <c r="AB682" s="4"/>
      <c r="AC682" s="4"/>
      <c r="AD682" s="4"/>
      <c r="AE682" s="4"/>
      <c r="AF682" s="4"/>
      <c r="AG682" s="4"/>
      <c r="AH682" s="4"/>
      <c r="AI682" s="4"/>
      <c r="AJ682" s="76" t="str">
        <f>IF(E682="○",IF(COUNTA(E$13:E682)=1,"",",")&amp;D682,"")</f>
        <v/>
      </c>
      <c r="AK682" s="4"/>
      <c r="AL682" s="4"/>
      <c r="AM682" s="4"/>
      <c r="AN682" s="4"/>
      <c r="AO682" s="4"/>
      <c r="AP682" s="4"/>
      <c r="AQ682" s="4"/>
      <c r="AR682" s="4"/>
      <c r="AS682" s="76" t="str">
        <f>"COMMENT ON COLUMN "&amp;エンティティ一覧!$O$2&amp;"."&amp;D$8&amp;"."&amp;D682&amp;" IS '"&amp;C682&amp;"';"</f>
        <v>COMMENT ON COLUMN milscm_2023_009.sny_202310_annony_bef2.shikkan664_start_date IS 'I669_疾患開始日';</v>
      </c>
    </row>
    <row r="683" spans="1:45" s="25" customFormat="1">
      <c r="A683" s="4" t="s">
        <v>5750</v>
      </c>
      <c r="B683" s="21">
        <f t="shared" si="81"/>
        <v>671</v>
      </c>
      <c r="C683" s="13" t="s">
        <v>7140</v>
      </c>
      <c r="D683" s="13" t="s">
        <v>6325</v>
      </c>
      <c r="E683" s="8"/>
      <c r="F683" s="7" t="s">
        <v>4348</v>
      </c>
      <c r="G683" s="7" t="s">
        <v>25</v>
      </c>
      <c r="H683" s="58"/>
      <c r="I683" s="23"/>
      <c r="J683" s="24"/>
      <c r="M683" s="4"/>
      <c r="N683" s="76"/>
      <c r="O683" s="76"/>
      <c r="P683" s="76" t="str">
        <f t="shared" si="82"/>
        <v>,shikkan665_start_date</v>
      </c>
      <c r="Q683" s="76" t="str">
        <f t="shared" si="83"/>
        <v>DATE</v>
      </c>
      <c r="R683" s="76" t="str">
        <f t="shared" si="84"/>
        <v/>
      </c>
      <c r="S683" s="76" t="str">
        <f t="shared" si="85"/>
        <v/>
      </c>
      <c r="T683" s="76" t="str">
        <f t="shared" si="86"/>
        <v>-- I670_疾患開始日</v>
      </c>
      <c r="U683" s="4" t="str">
        <f t="shared" si="73"/>
        <v>, CASE WHEN shikkan_disp_name = 'I670' THEN min_shikkan_start_date ::DATE ELSE NULL END AS shikkan665_start_date</v>
      </c>
      <c r="V683" s="25" t="str">
        <f t="shared" si="74"/>
        <v>, max(shikkan665_start_date)</v>
      </c>
      <c r="AA683" s="4"/>
      <c r="AB683" s="4"/>
      <c r="AC683" s="4"/>
      <c r="AD683" s="4"/>
      <c r="AE683" s="4"/>
      <c r="AF683" s="4"/>
      <c r="AG683" s="4"/>
      <c r="AH683" s="4"/>
      <c r="AI683" s="4"/>
      <c r="AJ683" s="76" t="str">
        <f>IF(E683="○",IF(COUNTA(E$13:E683)=1,"",",")&amp;D683,"")</f>
        <v/>
      </c>
      <c r="AK683" s="4"/>
      <c r="AL683" s="4"/>
      <c r="AM683" s="4"/>
      <c r="AN683" s="4"/>
      <c r="AO683" s="4"/>
      <c r="AP683" s="4"/>
      <c r="AQ683" s="4"/>
      <c r="AR683" s="4"/>
      <c r="AS683" s="76" t="str">
        <f>"COMMENT ON COLUMN "&amp;エンティティ一覧!$O$2&amp;"."&amp;D$8&amp;"."&amp;D683&amp;" IS '"&amp;C683&amp;"';"</f>
        <v>COMMENT ON COLUMN milscm_2023_009.sny_202310_annony_bef2.shikkan665_start_date IS 'I670_疾患開始日';</v>
      </c>
    </row>
    <row r="684" spans="1:45" s="25" customFormat="1">
      <c r="A684" s="4" t="s">
        <v>5751</v>
      </c>
      <c r="B684" s="21">
        <f t="shared" si="81"/>
        <v>672</v>
      </c>
      <c r="C684" s="13" t="s">
        <v>7141</v>
      </c>
      <c r="D684" s="13" t="s">
        <v>6326</v>
      </c>
      <c r="E684" s="8"/>
      <c r="F684" s="7" t="s">
        <v>4348</v>
      </c>
      <c r="G684" s="7" t="s">
        <v>25</v>
      </c>
      <c r="H684" s="58"/>
      <c r="I684" s="23"/>
      <c r="J684" s="24"/>
      <c r="M684" s="4"/>
      <c r="N684" s="76"/>
      <c r="O684" s="76"/>
      <c r="P684" s="76" t="str">
        <f t="shared" si="82"/>
        <v>,shikkan666_start_date</v>
      </c>
      <c r="Q684" s="76" t="str">
        <f t="shared" si="83"/>
        <v>DATE</v>
      </c>
      <c r="R684" s="76" t="str">
        <f t="shared" si="84"/>
        <v/>
      </c>
      <c r="S684" s="76" t="str">
        <f t="shared" si="85"/>
        <v/>
      </c>
      <c r="T684" s="76" t="str">
        <f t="shared" si="86"/>
        <v>-- I671_疾患開始日</v>
      </c>
      <c r="U684" s="4" t="str">
        <f t="shared" si="73"/>
        <v>, CASE WHEN shikkan_disp_name = 'I671' THEN min_shikkan_start_date ::DATE ELSE NULL END AS shikkan666_start_date</v>
      </c>
      <c r="V684" s="25" t="str">
        <f t="shared" si="74"/>
        <v>, max(shikkan666_start_date)</v>
      </c>
      <c r="AA684" s="4"/>
      <c r="AB684" s="4"/>
      <c r="AC684" s="4"/>
      <c r="AD684" s="4"/>
      <c r="AE684" s="4"/>
      <c r="AF684" s="4"/>
      <c r="AG684" s="4"/>
      <c r="AH684" s="4"/>
      <c r="AI684" s="4"/>
      <c r="AJ684" s="76" t="str">
        <f>IF(E684="○",IF(COUNTA(E$13:E684)=1,"",",")&amp;D684,"")</f>
        <v/>
      </c>
      <c r="AK684" s="4"/>
      <c r="AL684" s="4"/>
      <c r="AM684" s="4"/>
      <c r="AN684" s="4"/>
      <c r="AO684" s="4"/>
      <c r="AP684" s="4"/>
      <c r="AQ684" s="4"/>
      <c r="AR684" s="4"/>
      <c r="AS684" s="76" t="str">
        <f>"COMMENT ON COLUMN "&amp;エンティティ一覧!$O$2&amp;"."&amp;D$8&amp;"."&amp;D684&amp;" IS '"&amp;C684&amp;"';"</f>
        <v>COMMENT ON COLUMN milscm_2023_009.sny_202310_annony_bef2.shikkan666_start_date IS 'I671_疾患開始日';</v>
      </c>
    </row>
    <row r="685" spans="1:45" s="25" customFormat="1">
      <c r="A685" s="4" t="s">
        <v>5752</v>
      </c>
      <c r="B685" s="21">
        <f t="shared" si="81"/>
        <v>673</v>
      </c>
      <c r="C685" s="13" t="s">
        <v>7142</v>
      </c>
      <c r="D685" s="13" t="s">
        <v>6327</v>
      </c>
      <c r="E685" s="8"/>
      <c r="F685" s="7" t="s">
        <v>4348</v>
      </c>
      <c r="G685" s="7" t="s">
        <v>25</v>
      </c>
      <c r="H685" s="58"/>
      <c r="I685" s="23"/>
      <c r="J685" s="24"/>
      <c r="M685" s="4"/>
      <c r="N685" s="76"/>
      <c r="O685" s="76"/>
      <c r="P685" s="76" t="str">
        <f t="shared" si="82"/>
        <v>,shikkan667_start_date</v>
      </c>
      <c r="Q685" s="76" t="str">
        <f t="shared" si="83"/>
        <v>DATE</v>
      </c>
      <c r="R685" s="76" t="str">
        <f t="shared" si="84"/>
        <v/>
      </c>
      <c r="S685" s="76" t="str">
        <f t="shared" si="85"/>
        <v/>
      </c>
      <c r="T685" s="76" t="str">
        <f t="shared" si="86"/>
        <v>-- I672_疾患開始日</v>
      </c>
      <c r="U685" s="4" t="str">
        <f t="shared" si="73"/>
        <v>, CASE WHEN shikkan_disp_name = 'I672' THEN min_shikkan_start_date ::DATE ELSE NULL END AS shikkan667_start_date</v>
      </c>
      <c r="V685" s="25" t="str">
        <f t="shared" si="74"/>
        <v>, max(shikkan667_start_date)</v>
      </c>
      <c r="AA685" s="4"/>
      <c r="AB685" s="4"/>
      <c r="AC685" s="4"/>
      <c r="AD685" s="4"/>
      <c r="AE685" s="4"/>
      <c r="AF685" s="4"/>
      <c r="AG685" s="4"/>
      <c r="AH685" s="4"/>
      <c r="AI685" s="4"/>
      <c r="AJ685" s="76" t="str">
        <f>IF(E685="○",IF(COUNTA(E$13:E685)=1,"",",")&amp;D685,"")</f>
        <v/>
      </c>
      <c r="AK685" s="4"/>
      <c r="AL685" s="4"/>
      <c r="AM685" s="4"/>
      <c r="AN685" s="4"/>
      <c r="AO685" s="4"/>
      <c r="AP685" s="4"/>
      <c r="AQ685" s="4"/>
      <c r="AR685" s="4"/>
      <c r="AS685" s="76" t="str">
        <f>"COMMENT ON COLUMN "&amp;エンティティ一覧!$O$2&amp;"."&amp;D$8&amp;"."&amp;D685&amp;" IS '"&amp;C685&amp;"';"</f>
        <v>COMMENT ON COLUMN milscm_2023_009.sny_202310_annony_bef2.shikkan667_start_date IS 'I672_疾患開始日';</v>
      </c>
    </row>
    <row r="686" spans="1:45" s="25" customFormat="1">
      <c r="A686" s="4" t="s">
        <v>5753</v>
      </c>
      <c r="B686" s="21">
        <f t="shared" si="81"/>
        <v>674</v>
      </c>
      <c r="C686" s="13" t="s">
        <v>7143</v>
      </c>
      <c r="D686" s="13" t="s">
        <v>6328</v>
      </c>
      <c r="E686" s="8"/>
      <c r="F686" s="7" t="s">
        <v>4348</v>
      </c>
      <c r="G686" s="7" t="s">
        <v>25</v>
      </c>
      <c r="H686" s="58"/>
      <c r="I686" s="23"/>
      <c r="J686" s="24"/>
      <c r="M686" s="4"/>
      <c r="N686" s="76"/>
      <c r="O686" s="76"/>
      <c r="P686" s="76" t="str">
        <f t="shared" si="82"/>
        <v>,shikkan668_start_date</v>
      </c>
      <c r="Q686" s="76" t="str">
        <f t="shared" si="83"/>
        <v>DATE</v>
      </c>
      <c r="R686" s="76" t="str">
        <f t="shared" si="84"/>
        <v/>
      </c>
      <c r="S686" s="76" t="str">
        <f t="shared" si="85"/>
        <v/>
      </c>
      <c r="T686" s="76" t="str">
        <f t="shared" si="86"/>
        <v>-- I673_疾患開始日</v>
      </c>
      <c r="U686" s="4" t="str">
        <f t="shared" si="73"/>
        <v>, CASE WHEN shikkan_disp_name = 'I673' THEN min_shikkan_start_date ::DATE ELSE NULL END AS shikkan668_start_date</v>
      </c>
      <c r="V686" s="25" t="str">
        <f t="shared" si="74"/>
        <v>, max(shikkan668_start_date)</v>
      </c>
      <c r="AA686" s="4"/>
      <c r="AB686" s="4"/>
      <c r="AC686" s="4"/>
      <c r="AD686" s="4"/>
      <c r="AE686" s="4"/>
      <c r="AF686" s="4"/>
      <c r="AG686" s="4"/>
      <c r="AH686" s="4"/>
      <c r="AI686" s="4"/>
      <c r="AJ686" s="76" t="str">
        <f>IF(E686="○",IF(COUNTA(E$13:E686)=1,"",",")&amp;D686,"")</f>
        <v/>
      </c>
      <c r="AK686" s="4"/>
      <c r="AL686" s="4"/>
      <c r="AM686" s="4"/>
      <c r="AN686" s="4"/>
      <c r="AO686" s="4"/>
      <c r="AP686" s="4"/>
      <c r="AQ686" s="4"/>
      <c r="AR686" s="4"/>
      <c r="AS686" s="76" t="str">
        <f>"COMMENT ON COLUMN "&amp;エンティティ一覧!$O$2&amp;"."&amp;D$8&amp;"."&amp;D686&amp;" IS '"&amp;C686&amp;"';"</f>
        <v>COMMENT ON COLUMN milscm_2023_009.sny_202310_annony_bef2.shikkan668_start_date IS 'I673_疾患開始日';</v>
      </c>
    </row>
    <row r="687" spans="1:45" s="25" customFormat="1">
      <c r="A687" s="4" t="s">
        <v>5754</v>
      </c>
      <c r="B687" s="21">
        <f t="shared" si="81"/>
        <v>675</v>
      </c>
      <c r="C687" s="13" t="s">
        <v>7144</v>
      </c>
      <c r="D687" s="13" t="s">
        <v>6329</v>
      </c>
      <c r="E687" s="8"/>
      <c r="F687" s="7" t="s">
        <v>4348</v>
      </c>
      <c r="G687" s="7" t="s">
        <v>25</v>
      </c>
      <c r="H687" s="58"/>
      <c r="I687" s="23"/>
      <c r="J687" s="24"/>
      <c r="M687" s="4"/>
      <c r="N687" s="76"/>
      <c r="O687" s="76"/>
      <c r="P687" s="76" t="str">
        <f t="shared" si="82"/>
        <v>,shikkan669_start_date</v>
      </c>
      <c r="Q687" s="76" t="str">
        <f t="shared" si="83"/>
        <v>DATE</v>
      </c>
      <c r="R687" s="76" t="str">
        <f t="shared" si="84"/>
        <v/>
      </c>
      <c r="S687" s="76" t="str">
        <f t="shared" si="85"/>
        <v/>
      </c>
      <c r="T687" s="76" t="str">
        <f t="shared" si="86"/>
        <v>-- I674_疾患開始日</v>
      </c>
      <c r="U687" s="4" t="str">
        <f t="shared" si="73"/>
        <v>, CASE WHEN shikkan_disp_name = 'I674' THEN min_shikkan_start_date ::DATE ELSE NULL END AS shikkan669_start_date</v>
      </c>
      <c r="V687" s="25" t="str">
        <f t="shared" si="74"/>
        <v>, max(shikkan669_start_date)</v>
      </c>
      <c r="AA687" s="4"/>
      <c r="AB687" s="4"/>
      <c r="AC687" s="4"/>
      <c r="AD687" s="4"/>
      <c r="AE687" s="4"/>
      <c r="AF687" s="4"/>
      <c r="AG687" s="4"/>
      <c r="AH687" s="4"/>
      <c r="AI687" s="4"/>
      <c r="AJ687" s="76" t="str">
        <f>IF(E687="○",IF(COUNTA(E$13:E687)=1,"",",")&amp;D687,"")</f>
        <v/>
      </c>
      <c r="AK687" s="4"/>
      <c r="AL687" s="4"/>
      <c r="AM687" s="4"/>
      <c r="AN687" s="4"/>
      <c r="AO687" s="4"/>
      <c r="AP687" s="4"/>
      <c r="AQ687" s="4"/>
      <c r="AR687" s="4"/>
      <c r="AS687" s="76" t="str">
        <f>"COMMENT ON COLUMN "&amp;エンティティ一覧!$O$2&amp;"."&amp;D$8&amp;"."&amp;D687&amp;" IS '"&amp;C687&amp;"';"</f>
        <v>COMMENT ON COLUMN milscm_2023_009.sny_202310_annony_bef2.shikkan669_start_date IS 'I674_疾患開始日';</v>
      </c>
    </row>
    <row r="688" spans="1:45" s="25" customFormat="1">
      <c r="A688" s="4" t="s">
        <v>5755</v>
      </c>
      <c r="B688" s="21">
        <f t="shared" si="81"/>
        <v>676</v>
      </c>
      <c r="C688" s="13" t="s">
        <v>7145</v>
      </c>
      <c r="D688" s="13" t="s">
        <v>6330</v>
      </c>
      <c r="E688" s="8"/>
      <c r="F688" s="7" t="s">
        <v>4348</v>
      </c>
      <c r="G688" s="7" t="s">
        <v>25</v>
      </c>
      <c r="H688" s="58"/>
      <c r="I688" s="23"/>
      <c r="J688" s="24"/>
      <c r="M688" s="4"/>
      <c r="N688" s="76"/>
      <c r="O688" s="76"/>
      <c r="P688" s="76" t="str">
        <f t="shared" si="82"/>
        <v>,shikkan670_start_date</v>
      </c>
      <c r="Q688" s="76" t="str">
        <f t="shared" si="83"/>
        <v>DATE</v>
      </c>
      <c r="R688" s="76" t="str">
        <f t="shared" si="84"/>
        <v/>
      </c>
      <c r="S688" s="76" t="str">
        <f t="shared" si="85"/>
        <v/>
      </c>
      <c r="T688" s="76" t="str">
        <f t="shared" si="86"/>
        <v>-- I675_疾患開始日</v>
      </c>
      <c r="U688" s="4" t="str">
        <f t="shared" si="73"/>
        <v>, CASE WHEN shikkan_disp_name = 'I675' THEN min_shikkan_start_date ::DATE ELSE NULL END AS shikkan670_start_date</v>
      </c>
      <c r="V688" s="25" t="str">
        <f t="shared" si="74"/>
        <v>, max(shikkan670_start_date)</v>
      </c>
      <c r="AA688" s="4"/>
      <c r="AB688" s="4"/>
      <c r="AC688" s="4"/>
      <c r="AD688" s="4"/>
      <c r="AE688" s="4"/>
      <c r="AF688" s="4"/>
      <c r="AG688" s="4"/>
      <c r="AH688" s="4"/>
      <c r="AI688" s="4"/>
      <c r="AJ688" s="76" t="str">
        <f>IF(E688="○",IF(COUNTA(E$13:E688)=1,"",",")&amp;D688,"")</f>
        <v/>
      </c>
      <c r="AK688" s="4"/>
      <c r="AL688" s="4"/>
      <c r="AM688" s="4"/>
      <c r="AN688" s="4"/>
      <c r="AO688" s="4"/>
      <c r="AP688" s="4"/>
      <c r="AQ688" s="4"/>
      <c r="AR688" s="4"/>
      <c r="AS688" s="76" t="str">
        <f>"COMMENT ON COLUMN "&amp;エンティティ一覧!$O$2&amp;"."&amp;D$8&amp;"."&amp;D688&amp;" IS '"&amp;C688&amp;"';"</f>
        <v>COMMENT ON COLUMN milscm_2023_009.sny_202310_annony_bef2.shikkan670_start_date IS 'I675_疾患開始日';</v>
      </c>
    </row>
    <row r="689" spans="1:45" s="25" customFormat="1">
      <c r="A689" s="4" t="s">
        <v>5756</v>
      </c>
      <c r="B689" s="21">
        <f t="shared" si="81"/>
        <v>677</v>
      </c>
      <c r="C689" s="13" t="s">
        <v>7146</v>
      </c>
      <c r="D689" s="13" t="s">
        <v>6331</v>
      </c>
      <c r="E689" s="8"/>
      <c r="F689" s="7" t="s">
        <v>4348</v>
      </c>
      <c r="G689" s="7" t="s">
        <v>99</v>
      </c>
      <c r="H689" s="58"/>
      <c r="I689" s="23"/>
      <c r="J689" s="24"/>
      <c r="M689" s="4"/>
      <c r="N689" s="76"/>
      <c r="O689" s="76"/>
      <c r="P689" s="76" t="str">
        <f t="shared" si="82"/>
        <v>,shikkan671_start_date</v>
      </c>
      <c r="Q689" s="76" t="str">
        <f t="shared" si="83"/>
        <v>DATE</v>
      </c>
      <c r="R689" s="76" t="str">
        <f t="shared" si="84"/>
        <v/>
      </c>
      <c r="S689" s="76" t="str">
        <f t="shared" si="85"/>
        <v/>
      </c>
      <c r="T689" s="76" t="str">
        <f t="shared" si="86"/>
        <v>-- I676_疾患開始日</v>
      </c>
      <c r="U689" s="4" t="str">
        <f t="shared" si="73"/>
        <v>, CASE WHEN shikkan_disp_name = 'I676' THEN min_shikkan_start_date ::DATE ELSE NULL END AS shikkan671_start_date</v>
      </c>
      <c r="V689" s="25" t="str">
        <f t="shared" si="74"/>
        <v>, max(shikkan671_start_date)</v>
      </c>
      <c r="AA689" s="4"/>
      <c r="AB689" s="4"/>
      <c r="AC689" s="4"/>
      <c r="AD689" s="4"/>
      <c r="AE689" s="4"/>
      <c r="AF689" s="4"/>
      <c r="AG689" s="4"/>
      <c r="AH689" s="4"/>
      <c r="AI689" s="4"/>
      <c r="AJ689" s="76" t="str">
        <f>IF(E689="○",IF(COUNTA(E$13:E689)=1,"",",")&amp;D689,"")</f>
        <v/>
      </c>
      <c r="AK689" s="4"/>
      <c r="AL689" s="4"/>
      <c r="AM689" s="4"/>
      <c r="AN689" s="4"/>
      <c r="AO689" s="4"/>
      <c r="AP689" s="4"/>
      <c r="AQ689" s="4"/>
      <c r="AR689" s="4"/>
      <c r="AS689" s="76" t="str">
        <f>"COMMENT ON COLUMN "&amp;エンティティ一覧!$O$2&amp;"."&amp;D$8&amp;"."&amp;D689&amp;" IS '"&amp;C689&amp;"';"</f>
        <v>COMMENT ON COLUMN milscm_2023_009.sny_202310_annony_bef2.shikkan671_start_date IS 'I676_疾患開始日';</v>
      </c>
    </row>
    <row r="690" spans="1:45" s="25" customFormat="1">
      <c r="A690" s="4" t="s">
        <v>5757</v>
      </c>
      <c r="B690" s="21">
        <f t="shared" si="81"/>
        <v>678</v>
      </c>
      <c r="C690" s="13" t="s">
        <v>7147</v>
      </c>
      <c r="D690" s="13" t="s">
        <v>6332</v>
      </c>
      <c r="E690" s="8"/>
      <c r="F690" s="7" t="s">
        <v>4348</v>
      </c>
      <c r="G690" s="7" t="s">
        <v>25</v>
      </c>
      <c r="H690" s="58"/>
      <c r="I690" s="23"/>
      <c r="J690" s="24"/>
      <c r="M690" s="4"/>
      <c r="N690" s="76"/>
      <c r="O690" s="76"/>
      <c r="P690" s="76" t="str">
        <f t="shared" si="82"/>
        <v>,shikkan672_start_date</v>
      </c>
      <c r="Q690" s="76" t="str">
        <f t="shared" si="83"/>
        <v>DATE</v>
      </c>
      <c r="R690" s="76" t="str">
        <f t="shared" si="84"/>
        <v/>
      </c>
      <c r="S690" s="76" t="str">
        <f t="shared" si="85"/>
        <v/>
      </c>
      <c r="T690" s="76" t="str">
        <f t="shared" si="86"/>
        <v>-- I677_疾患開始日</v>
      </c>
      <c r="U690" s="4" t="str">
        <f t="shared" si="73"/>
        <v>, CASE WHEN shikkan_disp_name = 'I677' THEN min_shikkan_start_date ::DATE ELSE NULL END AS shikkan672_start_date</v>
      </c>
      <c r="V690" s="25" t="str">
        <f t="shared" si="74"/>
        <v>, max(shikkan672_start_date)</v>
      </c>
      <c r="AA690" s="4"/>
      <c r="AB690" s="4"/>
      <c r="AC690" s="4"/>
      <c r="AD690" s="4"/>
      <c r="AE690" s="4"/>
      <c r="AF690" s="4"/>
      <c r="AG690" s="4"/>
      <c r="AH690" s="4"/>
      <c r="AI690" s="4"/>
      <c r="AJ690" s="76" t="str">
        <f>IF(E690="○",IF(COUNTA(E$13:E690)=1,"",",")&amp;D690,"")</f>
        <v/>
      </c>
      <c r="AK690" s="4"/>
      <c r="AL690" s="4"/>
      <c r="AM690" s="4"/>
      <c r="AN690" s="4"/>
      <c r="AO690" s="4"/>
      <c r="AP690" s="4"/>
      <c r="AQ690" s="4"/>
      <c r="AR690" s="4"/>
      <c r="AS690" s="76" t="str">
        <f>"COMMENT ON COLUMN "&amp;エンティティ一覧!$O$2&amp;"."&amp;D$8&amp;"."&amp;D690&amp;" IS '"&amp;C690&amp;"';"</f>
        <v>COMMENT ON COLUMN milscm_2023_009.sny_202310_annony_bef2.shikkan672_start_date IS 'I677_疾患開始日';</v>
      </c>
    </row>
    <row r="691" spans="1:45" s="25" customFormat="1">
      <c r="A691" s="4" t="s">
        <v>5758</v>
      </c>
      <c r="B691" s="21">
        <f t="shared" si="81"/>
        <v>679</v>
      </c>
      <c r="C691" s="13" t="s">
        <v>7148</v>
      </c>
      <c r="D691" s="13" t="s">
        <v>6333</v>
      </c>
      <c r="E691" s="8"/>
      <c r="F691" s="7" t="s">
        <v>4348</v>
      </c>
      <c r="G691" s="7" t="s">
        <v>25</v>
      </c>
      <c r="H691" s="58"/>
      <c r="I691" s="23"/>
      <c r="J691" s="24"/>
      <c r="M691" s="4"/>
      <c r="N691" s="76"/>
      <c r="O691" s="76"/>
      <c r="P691" s="76" t="str">
        <f t="shared" si="82"/>
        <v>,shikkan673_start_date</v>
      </c>
      <c r="Q691" s="76" t="str">
        <f t="shared" si="83"/>
        <v>DATE</v>
      </c>
      <c r="R691" s="76" t="str">
        <f t="shared" si="84"/>
        <v/>
      </c>
      <c r="S691" s="76" t="str">
        <f t="shared" si="85"/>
        <v/>
      </c>
      <c r="T691" s="76" t="str">
        <f t="shared" si="86"/>
        <v>-- I678_疾患開始日</v>
      </c>
      <c r="U691" s="4" t="str">
        <f t="shared" si="73"/>
        <v>, CASE WHEN shikkan_disp_name = 'I678' THEN min_shikkan_start_date ::DATE ELSE NULL END AS shikkan673_start_date</v>
      </c>
      <c r="V691" s="25" t="str">
        <f t="shared" si="74"/>
        <v>, max(shikkan673_start_date)</v>
      </c>
      <c r="AA691" s="4"/>
      <c r="AB691" s="4"/>
      <c r="AC691" s="4"/>
      <c r="AD691" s="4"/>
      <c r="AE691" s="4"/>
      <c r="AF691" s="4"/>
      <c r="AG691" s="4"/>
      <c r="AH691" s="4"/>
      <c r="AI691" s="4"/>
      <c r="AJ691" s="76" t="str">
        <f>IF(E691="○",IF(COUNTA(E$13:E691)=1,"",",")&amp;D691,"")</f>
        <v/>
      </c>
      <c r="AK691" s="4"/>
      <c r="AL691" s="4"/>
      <c r="AM691" s="4"/>
      <c r="AN691" s="4"/>
      <c r="AO691" s="4"/>
      <c r="AP691" s="4"/>
      <c r="AQ691" s="4"/>
      <c r="AR691" s="4"/>
      <c r="AS691" s="76" t="str">
        <f>"COMMENT ON COLUMN "&amp;エンティティ一覧!$O$2&amp;"."&amp;D$8&amp;"."&amp;D691&amp;" IS '"&amp;C691&amp;"';"</f>
        <v>COMMENT ON COLUMN milscm_2023_009.sny_202310_annony_bef2.shikkan673_start_date IS 'I678_疾患開始日';</v>
      </c>
    </row>
    <row r="692" spans="1:45" s="25" customFormat="1">
      <c r="A692" s="4" t="s">
        <v>5759</v>
      </c>
      <c r="B692" s="21">
        <f t="shared" si="81"/>
        <v>680</v>
      </c>
      <c r="C692" s="13" t="s">
        <v>7149</v>
      </c>
      <c r="D692" s="13" t="s">
        <v>6334</v>
      </c>
      <c r="E692" s="8"/>
      <c r="F692" s="7" t="s">
        <v>4348</v>
      </c>
      <c r="G692" s="7" t="s">
        <v>25</v>
      </c>
      <c r="H692" s="58"/>
      <c r="I692" s="23"/>
      <c r="J692" s="24"/>
      <c r="M692" s="4"/>
      <c r="N692" s="76"/>
      <c r="O692" s="76"/>
      <c r="P692" s="76" t="str">
        <f t="shared" si="82"/>
        <v>,shikkan674_start_date</v>
      </c>
      <c r="Q692" s="76" t="str">
        <f t="shared" si="83"/>
        <v>DATE</v>
      </c>
      <c r="R692" s="76" t="str">
        <f t="shared" si="84"/>
        <v/>
      </c>
      <c r="S692" s="76" t="str">
        <f t="shared" si="85"/>
        <v/>
      </c>
      <c r="T692" s="76" t="str">
        <f t="shared" si="86"/>
        <v>-- I679_疾患開始日</v>
      </c>
      <c r="U692" s="4" t="str">
        <f t="shared" si="73"/>
        <v>, CASE WHEN shikkan_disp_name = 'I679' THEN min_shikkan_start_date ::DATE ELSE NULL END AS shikkan674_start_date</v>
      </c>
      <c r="V692" s="25" t="str">
        <f t="shared" si="74"/>
        <v>, max(shikkan674_start_date)</v>
      </c>
      <c r="AA692" s="4"/>
      <c r="AB692" s="4"/>
      <c r="AC692" s="4"/>
      <c r="AD692" s="4"/>
      <c r="AE692" s="4"/>
      <c r="AF692" s="4"/>
      <c r="AG692" s="4"/>
      <c r="AH692" s="4"/>
      <c r="AI692" s="4"/>
      <c r="AJ692" s="76" t="str">
        <f>IF(E692="○",IF(COUNTA(E$13:E692)=1,"",",")&amp;D692,"")</f>
        <v/>
      </c>
      <c r="AK692" s="4"/>
      <c r="AL692" s="4"/>
      <c r="AM692" s="4"/>
      <c r="AN692" s="4"/>
      <c r="AO692" s="4"/>
      <c r="AP692" s="4"/>
      <c r="AQ692" s="4"/>
      <c r="AR692" s="4"/>
      <c r="AS692" s="76" t="str">
        <f>"COMMENT ON COLUMN "&amp;エンティティ一覧!$O$2&amp;"."&amp;D$8&amp;"."&amp;D692&amp;" IS '"&amp;C692&amp;"';"</f>
        <v>COMMENT ON COLUMN milscm_2023_009.sny_202310_annony_bef2.shikkan674_start_date IS 'I679_疾患開始日';</v>
      </c>
    </row>
    <row r="693" spans="1:45" s="25" customFormat="1">
      <c r="A693" s="4" t="s">
        <v>5760</v>
      </c>
      <c r="B693" s="21">
        <f t="shared" si="81"/>
        <v>681</v>
      </c>
      <c r="C693" s="13" t="s">
        <v>7150</v>
      </c>
      <c r="D693" s="13" t="s">
        <v>6335</v>
      </c>
      <c r="E693" s="8"/>
      <c r="F693" s="7" t="s">
        <v>4348</v>
      </c>
      <c r="G693" s="7" t="s">
        <v>25</v>
      </c>
      <c r="H693" s="58"/>
      <c r="I693" s="23"/>
      <c r="J693" s="24"/>
      <c r="M693" s="4"/>
      <c r="N693" s="76"/>
      <c r="O693" s="76"/>
      <c r="P693" s="76" t="str">
        <f t="shared" si="82"/>
        <v>,shikkan675_start_date</v>
      </c>
      <c r="Q693" s="76" t="str">
        <f t="shared" si="83"/>
        <v>DATE</v>
      </c>
      <c r="R693" s="76" t="str">
        <f t="shared" si="84"/>
        <v/>
      </c>
      <c r="S693" s="76" t="str">
        <f t="shared" si="85"/>
        <v/>
      </c>
      <c r="T693" s="76" t="str">
        <f t="shared" si="86"/>
        <v>-- I680_疾患開始日</v>
      </c>
      <c r="U693" s="4" t="str">
        <f t="shared" si="73"/>
        <v>, CASE WHEN shikkan_disp_name = 'I680' THEN min_shikkan_start_date ::DATE ELSE NULL END AS shikkan675_start_date</v>
      </c>
      <c r="V693" s="25" t="str">
        <f t="shared" si="74"/>
        <v>, max(shikkan675_start_date)</v>
      </c>
      <c r="AA693" s="4"/>
      <c r="AB693" s="4"/>
      <c r="AC693" s="4"/>
      <c r="AD693" s="4"/>
      <c r="AE693" s="4"/>
      <c r="AF693" s="4"/>
      <c r="AG693" s="4"/>
      <c r="AH693" s="4"/>
      <c r="AI693" s="4"/>
      <c r="AJ693" s="76" t="str">
        <f>IF(E693="○",IF(COUNTA(E$13:E693)=1,"",",")&amp;D693,"")</f>
        <v/>
      </c>
      <c r="AK693" s="4"/>
      <c r="AL693" s="4"/>
      <c r="AM693" s="4"/>
      <c r="AN693" s="4"/>
      <c r="AO693" s="4"/>
      <c r="AP693" s="4"/>
      <c r="AQ693" s="4"/>
      <c r="AR693" s="4"/>
      <c r="AS693" s="76" t="str">
        <f>"COMMENT ON COLUMN "&amp;エンティティ一覧!$O$2&amp;"."&amp;D$8&amp;"."&amp;D693&amp;" IS '"&amp;C693&amp;"';"</f>
        <v>COMMENT ON COLUMN milscm_2023_009.sny_202310_annony_bef2.shikkan675_start_date IS 'I680_疾患開始日';</v>
      </c>
    </row>
    <row r="694" spans="1:45" s="25" customFormat="1">
      <c r="A694" s="4" t="s">
        <v>5761</v>
      </c>
      <c r="B694" s="21">
        <f t="shared" si="81"/>
        <v>682</v>
      </c>
      <c r="C694" s="13" t="s">
        <v>7151</v>
      </c>
      <c r="D694" s="13" t="s">
        <v>6336</v>
      </c>
      <c r="E694" s="8"/>
      <c r="F694" s="7" t="s">
        <v>4348</v>
      </c>
      <c r="G694" s="7" t="s">
        <v>25</v>
      </c>
      <c r="H694" s="58"/>
      <c r="I694" s="23"/>
      <c r="J694" s="24"/>
      <c r="M694" s="4"/>
      <c r="N694" s="76"/>
      <c r="O694" s="76"/>
      <c r="P694" s="76" t="str">
        <f t="shared" si="82"/>
        <v>,shikkan676_start_date</v>
      </c>
      <c r="Q694" s="76" t="str">
        <f t="shared" si="83"/>
        <v>DATE</v>
      </c>
      <c r="R694" s="76" t="str">
        <f t="shared" si="84"/>
        <v/>
      </c>
      <c r="S694" s="76" t="str">
        <f t="shared" si="85"/>
        <v/>
      </c>
      <c r="T694" s="76" t="str">
        <f t="shared" si="86"/>
        <v>-- I681_疾患開始日</v>
      </c>
      <c r="U694" s="4" t="str">
        <f t="shared" si="73"/>
        <v>, CASE WHEN shikkan_disp_name = 'I681' THEN min_shikkan_start_date ::DATE ELSE NULL END AS shikkan676_start_date</v>
      </c>
      <c r="V694" s="25" t="str">
        <f t="shared" si="74"/>
        <v>, max(shikkan676_start_date)</v>
      </c>
      <c r="AA694" s="4"/>
      <c r="AB694" s="4"/>
      <c r="AC694" s="4"/>
      <c r="AD694" s="4"/>
      <c r="AE694" s="4"/>
      <c r="AF694" s="4"/>
      <c r="AG694" s="4"/>
      <c r="AH694" s="4"/>
      <c r="AI694" s="4"/>
      <c r="AJ694" s="76" t="str">
        <f>IF(E694="○",IF(COUNTA(E$13:E694)=1,"",",")&amp;D694,"")</f>
        <v/>
      </c>
      <c r="AK694" s="4"/>
      <c r="AL694" s="4"/>
      <c r="AM694" s="4"/>
      <c r="AN694" s="4"/>
      <c r="AO694" s="4"/>
      <c r="AP694" s="4"/>
      <c r="AQ694" s="4"/>
      <c r="AR694" s="4"/>
      <c r="AS694" s="76" t="str">
        <f>"COMMENT ON COLUMN "&amp;エンティティ一覧!$O$2&amp;"."&amp;D$8&amp;"."&amp;D694&amp;" IS '"&amp;C694&amp;"';"</f>
        <v>COMMENT ON COLUMN milscm_2023_009.sny_202310_annony_bef2.shikkan676_start_date IS 'I681_疾患開始日';</v>
      </c>
    </row>
    <row r="695" spans="1:45" s="25" customFormat="1">
      <c r="A695" s="4" t="s">
        <v>5762</v>
      </c>
      <c r="B695" s="21">
        <f t="shared" si="81"/>
        <v>683</v>
      </c>
      <c r="C695" s="13" t="s">
        <v>7152</v>
      </c>
      <c r="D695" s="13" t="s">
        <v>6337</v>
      </c>
      <c r="E695" s="8"/>
      <c r="F695" s="7" t="s">
        <v>4348</v>
      </c>
      <c r="G695" s="7" t="s">
        <v>25</v>
      </c>
      <c r="H695" s="58"/>
      <c r="I695" s="23"/>
      <c r="J695" s="24"/>
      <c r="M695" s="4"/>
      <c r="N695" s="76"/>
      <c r="O695" s="76"/>
      <c r="P695" s="76" t="str">
        <f t="shared" si="82"/>
        <v>,shikkan677_start_date</v>
      </c>
      <c r="Q695" s="76" t="str">
        <f t="shared" si="83"/>
        <v>DATE</v>
      </c>
      <c r="R695" s="76" t="str">
        <f t="shared" si="84"/>
        <v/>
      </c>
      <c r="S695" s="76" t="str">
        <f t="shared" si="85"/>
        <v/>
      </c>
      <c r="T695" s="76" t="str">
        <f t="shared" si="86"/>
        <v>-- I682_疾患開始日</v>
      </c>
      <c r="U695" s="4" t="str">
        <f t="shared" si="73"/>
        <v>, CASE WHEN shikkan_disp_name = 'I682' THEN min_shikkan_start_date ::DATE ELSE NULL END AS shikkan677_start_date</v>
      </c>
      <c r="V695" s="25" t="str">
        <f t="shared" si="74"/>
        <v>, max(shikkan677_start_date)</v>
      </c>
      <c r="AA695" s="4"/>
      <c r="AB695" s="4"/>
      <c r="AC695" s="4"/>
      <c r="AD695" s="4"/>
      <c r="AE695" s="4"/>
      <c r="AF695" s="4"/>
      <c r="AG695" s="4"/>
      <c r="AH695" s="4"/>
      <c r="AI695" s="4"/>
      <c r="AJ695" s="76" t="str">
        <f>IF(E695="○",IF(COUNTA(E$13:E695)=1,"",",")&amp;D695,"")</f>
        <v/>
      </c>
      <c r="AK695" s="4"/>
      <c r="AL695" s="4"/>
      <c r="AM695" s="4"/>
      <c r="AN695" s="4"/>
      <c r="AO695" s="4"/>
      <c r="AP695" s="4"/>
      <c r="AQ695" s="4"/>
      <c r="AR695" s="4"/>
      <c r="AS695" s="76" t="str">
        <f>"COMMENT ON COLUMN "&amp;エンティティ一覧!$O$2&amp;"."&amp;D$8&amp;"."&amp;D695&amp;" IS '"&amp;C695&amp;"';"</f>
        <v>COMMENT ON COLUMN milscm_2023_009.sny_202310_annony_bef2.shikkan677_start_date IS 'I682_疾患開始日';</v>
      </c>
    </row>
    <row r="696" spans="1:45" s="25" customFormat="1">
      <c r="A696" s="4" t="s">
        <v>5763</v>
      </c>
      <c r="B696" s="21">
        <f t="shared" si="81"/>
        <v>684</v>
      </c>
      <c r="C696" s="13" t="s">
        <v>7153</v>
      </c>
      <c r="D696" s="13" t="s">
        <v>6338</v>
      </c>
      <c r="E696" s="8"/>
      <c r="F696" s="7" t="s">
        <v>4348</v>
      </c>
      <c r="G696" s="7" t="s">
        <v>25</v>
      </c>
      <c r="H696" s="58"/>
      <c r="I696" s="23"/>
      <c r="J696" s="24"/>
      <c r="M696" s="4"/>
      <c r="N696" s="76"/>
      <c r="O696" s="76"/>
      <c r="P696" s="76" t="str">
        <f t="shared" si="82"/>
        <v>,shikkan678_start_date</v>
      </c>
      <c r="Q696" s="76" t="str">
        <f t="shared" si="83"/>
        <v>DATE</v>
      </c>
      <c r="R696" s="76" t="str">
        <f t="shared" si="84"/>
        <v/>
      </c>
      <c r="S696" s="76" t="str">
        <f t="shared" si="85"/>
        <v/>
      </c>
      <c r="T696" s="76" t="str">
        <f t="shared" si="86"/>
        <v>-- I688_疾患開始日</v>
      </c>
      <c r="U696" s="4" t="str">
        <f t="shared" si="73"/>
        <v>, CASE WHEN shikkan_disp_name = 'I688' THEN min_shikkan_start_date ::DATE ELSE NULL END AS shikkan678_start_date</v>
      </c>
      <c r="V696" s="25" t="str">
        <f t="shared" si="74"/>
        <v>, max(shikkan678_start_date)</v>
      </c>
      <c r="AA696" s="4"/>
      <c r="AB696" s="4"/>
      <c r="AC696" s="4"/>
      <c r="AD696" s="4"/>
      <c r="AE696" s="4"/>
      <c r="AF696" s="4"/>
      <c r="AG696" s="4"/>
      <c r="AH696" s="4"/>
      <c r="AI696" s="4"/>
      <c r="AJ696" s="76" t="str">
        <f>IF(E696="○",IF(COUNTA(E$13:E696)=1,"",",")&amp;D696,"")</f>
        <v/>
      </c>
      <c r="AK696" s="4"/>
      <c r="AL696" s="4"/>
      <c r="AM696" s="4"/>
      <c r="AN696" s="4"/>
      <c r="AO696" s="4"/>
      <c r="AP696" s="4"/>
      <c r="AQ696" s="4"/>
      <c r="AR696" s="4"/>
      <c r="AS696" s="76" t="str">
        <f>"COMMENT ON COLUMN "&amp;エンティティ一覧!$O$2&amp;"."&amp;D$8&amp;"."&amp;D696&amp;" IS '"&amp;C696&amp;"';"</f>
        <v>COMMENT ON COLUMN milscm_2023_009.sny_202310_annony_bef2.shikkan678_start_date IS 'I688_疾患開始日';</v>
      </c>
    </row>
    <row r="697" spans="1:45" s="25" customFormat="1">
      <c r="A697" s="4" t="s">
        <v>5764</v>
      </c>
      <c r="B697" s="21">
        <f t="shared" si="81"/>
        <v>685</v>
      </c>
      <c r="C697" s="13" t="s">
        <v>7154</v>
      </c>
      <c r="D697" s="13" t="s">
        <v>6339</v>
      </c>
      <c r="E697" s="8"/>
      <c r="F697" s="7" t="s">
        <v>4348</v>
      </c>
      <c r="G697" s="7" t="s">
        <v>25</v>
      </c>
      <c r="H697" s="58"/>
      <c r="I697" s="23"/>
      <c r="J697" s="24"/>
      <c r="M697" s="4"/>
      <c r="N697" s="76"/>
      <c r="O697" s="76"/>
      <c r="P697" s="76" t="str">
        <f t="shared" si="82"/>
        <v>,shikkan679_start_date</v>
      </c>
      <c r="Q697" s="76" t="str">
        <f t="shared" si="83"/>
        <v>DATE</v>
      </c>
      <c r="R697" s="76" t="str">
        <f t="shared" si="84"/>
        <v/>
      </c>
      <c r="S697" s="76" t="str">
        <f t="shared" si="85"/>
        <v/>
      </c>
      <c r="T697" s="76" t="str">
        <f t="shared" si="86"/>
        <v>-- I690_疾患開始日</v>
      </c>
      <c r="U697" s="4" t="str">
        <f t="shared" si="73"/>
        <v>, CASE WHEN shikkan_disp_name = 'I690' THEN min_shikkan_start_date ::DATE ELSE NULL END AS shikkan679_start_date</v>
      </c>
      <c r="V697" s="25" t="str">
        <f t="shared" si="74"/>
        <v>, max(shikkan679_start_date)</v>
      </c>
      <c r="AA697" s="4"/>
      <c r="AB697" s="4"/>
      <c r="AC697" s="4"/>
      <c r="AD697" s="4"/>
      <c r="AE697" s="4"/>
      <c r="AF697" s="4"/>
      <c r="AG697" s="4"/>
      <c r="AH697" s="4"/>
      <c r="AI697" s="4"/>
      <c r="AJ697" s="76" t="str">
        <f>IF(E697="○",IF(COUNTA(E$13:E697)=1,"",",")&amp;D697,"")</f>
        <v/>
      </c>
      <c r="AK697" s="4"/>
      <c r="AL697" s="4"/>
      <c r="AM697" s="4"/>
      <c r="AN697" s="4"/>
      <c r="AO697" s="4"/>
      <c r="AP697" s="4"/>
      <c r="AQ697" s="4"/>
      <c r="AR697" s="4"/>
      <c r="AS697" s="76" t="str">
        <f>"COMMENT ON COLUMN "&amp;エンティティ一覧!$O$2&amp;"."&amp;D$8&amp;"."&amp;D697&amp;" IS '"&amp;C697&amp;"';"</f>
        <v>COMMENT ON COLUMN milscm_2023_009.sny_202310_annony_bef2.shikkan679_start_date IS 'I690_疾患開始日';</v>
      </c>
    </row>
    <row r="698" spans="1:45" s="25" customFormat="1">
      <c r="A698" s="4" t="s">
        <v>5765</v>
      </c>
      <c r="B698" s="21">
        <f t="shared" si="81"/>
        <v>686</v>
      </c>
      <c r="C698" s="13" t="s">
        <v>7155</v>
      </c>
      <c r="D698" s="13" t="s">
        <v>6340</v>
      </c>
      <c r="E698" s="8"/>
      <c r="F698" s="7" t="s">
        <v>4348</v>
      </c>
      <c r="G698" s="7" t="s">
        <v>25</v>
      </c>
      <c r="H698" s="58"/>
      <c r="I698" s="23"/>
      <c r="J698" s="24"/>
      <c r="M698" s="4"/>
      <c r="N698" s="76"/>
      <c r="O698" s="76"/>
      <c r="P698" s="76" t="str">
        <f t="shared" si="82"/>
        <v>,shikkan680_start_date</v>
      </c>
      <c r="Q698" s="76" t="str">
        <f t="shared" si="83"/>
        <v>DATE</v>
      </c>
      <c r="R698" s="76" t="str">
        <f t="shared" si="84"/>
        <v/>
      </c>
      <c r="S698" s="76" t="str">
        <f t="shared" si="85"/>
        <v/>
      </c>
      <c r="T698" s="76" t="str">
        <f t="shared" si="86"/>
        <v>-- I691_疾患開始日</v>
      </c>
      <c r="U698" s="4" t="str">
        <f t="shared" si="73"/>
        <v>, CASE WHEN shikkan_disp_name = 'I691' THEN min_shikkan_start_date ::DATE ELSE NULL END AS shikkan680_start_date</v>
      </c>
      <c r="V698" s="25" t="str">
        <f t="shared" si="74"/>
        <v>, max(shikkan680_start_date)</v>
      </c>
      <c r="AA698" s="4"/>
      <c r="AB698" s="4"/>
      <c r="AC698" s="4"/>
      <c r="AD698" s="4"/>
      <c r="AE698" s="4"/>
      <c r="AF698" s="4"/>
      <c r="AG698" s="4"/>
      <c r="AH698" s="4"/>
      <c r="AI698" s="4"/>
      <c r="AJ698" s="76" t="str">
        <f>IF(E698="○",IF(COUNTA(E$13:E698)=1,"",",")&amp;D698,"")</f>
        <v/>
      </c>
      <c r="AK698" s="4"/>
      <c r="AL698" s="4"/>
      <c r="AM698" s="4"/>
      <c r="AN698" s="4"/>
      <c r="AO698" s="4"/>
      <c r="AP698" s="4"/>
      <c r="AQ698" s="4"/>
      <c r="AR698" s="4"/>
      <c r="AS698" s="76" t="str">
        <f>"COMMENT ON COLUMN "&amp;エンティティ一覧!$O$2&amp;"."&amp;D$8&amp;"."&amp;D698&amp;" IS '"&amp;C698&amp;"';"</f>
        <v>COMMENT ON COLUMN milscm_2023_009.sny_202310_annony_bef2.shikkan680_start_date IS 'I691_疾患開始日';</v>
      </c>
    </row>
    <row r="699" spans="1:45" s="25" customFormat="1">
      <c r="A699" s="4" t="s">
        <v>5766</v>
      </c>
      <c r="B699" s="21">
        <f t="shared" si="81"/>
        <v>687</v>
      </c>
      <c r="C699" s="13" t="s">
        <v>7156</v>
      </c>
      <c r="D699" s="13" t="s">
        <v>6341</v>
      </c>
      <c r="E699" s="8"/>
      <c r="F699" s="7" t="s">
        <v>4348</v>
      </c>
      <c r="G699" s="7" t="s">
        <v>25</v>
      </c>
      <c r="H699" s="58"/>
      <c r="I699" s="23"/>
      <c r="J699" s="24"/>
      <c r="M699" s="4"/>
      <c r="N699" s="76"/>
      <c r="O699" s="76"/>
      <c r="P699" s="76" t="str">
        <f t="shared" si="82"/>
        <v>,shikkan681_start_date</v>
      </c>
      <c r="Q699" s="76" t="str">
        <f t="shared" si="83"/>
        <v>DATE</v>
      </c>
      <c r="R699" s="76" t="str">
        <f t="shared" si="84"/>
        <v/>
      </c>
      <c r="S699" s="76" t="str">
        <f t="shared" si="85"/>
        <v/>
      </c>
      <c r="T699" s="76" t="str">
        <f t="shared" si="86"/>
        <v>-- I692_疾患開始日</v>
      </c>
      <c r="U699" s="4" t="str">
        <f t="shared" si="73"/>
        <v>, CASE WHEN shikkan_disp_name = 'I692' THEN min_shikkan_start_date ::DATE ELSE NULL END AS shikkan681_start_date</v>
      </c>
      <c r="V699" s="25" t="str">
        <f t="shared" si="74"/>
        <v>, max(shikkan681_start_date)</v>
      </c>
      <c r="AA699" s="4"/>
      <c r="AB699" s="4"/>
      <c r="AC699" s="4"/>
      <c r="AD699" s="4"/>
      <c r="AE699" s="4"/>
      <c r="AF699" s="4"/>
      <c r="AG699" s="4"/>
      <c r="AH699" s="4"/>
      <c r="AI699" s="4"/>
      <c r="AJ699" s="76" t="str">
        <f>IF(E699="○",IF(COUNTA(E$13:E699)=1,"",",")&amp;D699,"")</f>
        <v/>
      </c>
      <c r="AK699" s="4"/>
      <c r="AL699" s="4"/>
      <c r="AM699" s="4"/>
      <c r="AN699" s="4"/>
      <c r="AO699" s="4"/>
      <c r="AP699" s="4"/>
      <c r="AQ699" s="4"/>
      <c r="AR699" s="4"/>
      <c r="AS699" s="76" t="str">
        <f>"COMMENT ON COLUMN "&amp;エンティティ一覧!$O$2&amp;"."&amp;D$8&amp;"."&amp;D699&amp;" IS '"&amp;C699&amp;"';"</f>
        <v>COMMENT ON COLUMN milscm_2023_009.sny_202310_annony_bef2.shikkan681_start_date IS 'I692_疾患開始日';</v>
      </c>
    </row>
    <row r="700" spans="1:45" s="25" customFormat="1">
      <c r="A700" s="4" t="s">
        <v>5767</v>
      </c>
      <c r="B700" s="21">
        <f t="shared" si="81"/>
        <v>688</v>
      </c>
      <c r="C700" s="13" t="s">
        <v>7157</v>
      </c>
      <c r="D700" s="13" t="s">
        <v>6342</v>
      </c>
      <c r="E700" s="8"/>
      <c r="F700" s="7" t="s">
        <v>4348</v>
      </c>
      <c r="G700" s="7" t="s">
        <v>25</v>
      </c>
      <c r="H700" s="58"/>
      <c r="I700" s="23"/>
      <c r="J700" s="24"/>
      <c r="M700" s="4"/>
      <c r="N700" s="76"/>
      <c r="O700" s="76"/>
      <c r="P700" s="76" t="str">
        <f t="shared" si="82"/>
        <v>,shikkan682_start_date</v>
      </c>
      <c r="Q700" s="76" t="str">
        <f t="shared" si="83"/>
        <v>DATE</v>
      </c>
      <c r="R700" s="76" t="str">
        <f t="shared" si="84"/>
        <v/>
      </c>
      <c r="S700" s="76" t="str">
        <f t="shared" si="85"/>
        <v/>
      </c>
      <c r="T700" s="76" t="str">
        <f t="shared" si="86"/>
        <v>-- I693_疾患開始日</v>
      </c>
      <c r="U700" s="4" t="str">
        <f t="shared" si="73"/>
        <v>, CASE WHEN shikkan_disp_name = 'I693' THEN min_shikkan_start_date ::DATE ELSE NULL END AS shikkan682_start_date</v>
      </c>
      <c r="V700" s="25" t="str">
        <f t="shared" si="74"/>
        <v>, max(shikkan682_start_date)</v>
      </c>
      <c r="AA700" s="4"/>
      <c r="AB700" s="4"/>
      <c r="AC700" s="4"/>
      <c r="AD700" s="4"/>
      <c r="AE700" s="4"/>
      <c r="AF700" s="4"/>
      <c r="AG700" s="4"/>
      <c r="AH700" s="4"/>
      <c r="AI700" s="4"/>
      <c r="AJ700" s="76" t="str">
        <f>IF(E700="○",IF(COUNTA(E$13:E700)=1,"",",")&amp;D700,"")</f>
        <v/>
      </c>
      <c r="AK700" s="4"/>
      <c r="AL700" s="4"/>
      <c r="AM700" s="4"/>
      <c r="AN700" s="4"/>
      <c r="AO700" s="4"/>
      <c r="AP700" s="4"/>
      <c r="AQ700" s="4"/>
      <c r="AR700" s="4"/>
      <c r="AS700" s="76" t="str">
        <f>"COMMENT ON COLUMN "&amp;エンティティ一覧!$O$2&amp;"."&amp;D$8&amp;"."&amp;D700&amp;" IS '"&amp;C700&amp;"';"</f>
        <v>COMMENT ON COLUMN milscm_2023_009.sny_202310_annony_bef2.shikkan682_start_date IS 'I693_疾患開始日';</v>
      </c>
    </row>
    <row r="701" spans="1:45" s="25" customFormat="1">
      <c r="A701" s="4" t="s">
        <v>5768</v>
      </c>
      <c r="B701" s="21">
        <f t="shared" si="81"/>
        <v>689</v>
      </c>
      <c r="C701" s="13" t="s">
        <v>7158</v>
      </c>
      <c r="D701" s="13" t="s">
        <v>6343</v>
      </c>
      <c r="E701" s="8"/>
      <c r="F701" s="7" t="s">
        <v>4348</v>
      </c>
      <c r="G701" s="7" t="s">
        <v>25</v>
      </c>
      <c r="H701" s="58"/>
      <c r="I701" s="23"/>
      <c r="J701" s="24"/>
      <c r="M701" s="4"/>
      <c r="N701" s="76"/>
      <c r="O701" s="76"/>
      <c r="P701" s="76" t="str">
        <f t="shared" si="82"/>
        <v>,shikkan683_start_date</v>
      </c>
      <c r="Q701" s="76" t="str">
        <f t="shared" si="83"/>
        <v>DATE</v>
      </c>
      <c r="R701" s="76" t="str">
        <f t="shared" si="84"/>
        <v/>
      </c>
      <c r="S701" s="76" t="str">
        <f t="shared" si="85"/>
        <v/>
      </c>
      <c r="T701" s="76" t="str">
        <f t="shared" si="86"/>
        <v>-- I694_疾患開始日</v>
      </c>
      <c r="U701" s="4" t="str">
        <f t="shared" si="73"/>
        <v>, CASE WHEN shikkan_disp_name = 'I694' THEN min_shikkan_start_date ::DATE ELSE NULL END AS shikkan683_start_date</v>
      </c>
      <c r="V701" s="25" t="str">
        <f t="shared" si="74"/>
        <v>, max(shikkan683_start_date)</v>
      </c>
      <c r="AA701" s="4"/>
      <c r="AB701" s="4"/>
      <c r="AC701" s="4"/>
      <c r="AD701" s="4"/>
      <c r="AE701" s="4"/>
      <c r="AF701" s="4"/>
      <c r="AG701" s="4"/>
      <c r="AH701" s="4"/>
      <c r="AI701" s="4"/>
      <c r="AJ701" s="76" t="str">
        <f>IF(E701="○",IF(COUNTA(E$13:E701)=1,"",",")&amp;D701,"")</f>
        <v/>
      </c>
      <c r="AK701" s="4"/>
      <c r="AL701" s="4"/>
      <c r="AM701" s="4"/>
      <c r="AN701" s="4"/>
      <c r="AO701" s="4"/>
      <c r="AP701" s="4"/>
      <c r="AQ701" s="4"/>
      <c r="AR701" s="4"/>
      <c r="AS701" s="76" t="str">
        <f>"COMMENT ON COLUMN "&amp;エンティティ一覧!$O$2&amp;"."&amp;D$8&amp;"."&amp;D701&amp;" IS '"&amp;C701&amp;"';"</f>
        <v>COMMENT ON COLUMN milscm_2023_009.sny_202310_annony_bef2.shikkan683_start_date IS 'I694_疾患開始日';</v>
      </c>
    </row>
    <row r="702" spans="1:45" s="25" customFormat="1">
      <c r="A702" s="4" t="s">
        <v>5769</v>
      </c>
      <c r="B702" s="21">
        <f t="shared" si="81"/>
        <v>690</v>
      </c>
      <c r="C702" s="13" t="s">
        <v>7159</v>
      </c>
      <c r="D702" s="13" t="s">
        <v>6344</v>
      </c>
      <c r="E702" s="8"/>
      <c r="F702" s="7" t="s">
        <v>4348</v>
      </c>
      <c r="G702" s="7" t="s">
        <v>25</v>
      </c>
      <c r="H702" s="58"/>
      <c r="I702" s="23"/>
      <c r="J702" s="24"/>
      <c r="M702" s="4"/>
      <c r="N702" s="76"/>
      <c r="O702" s="76"/>
      <c r="P702" s="76" t="str">
        <f t="shared" si="82"/>
        <v>,shikkan684_start_date</v>
      </c>
      <c r="Q702" s="76" t="str">
        <f t="shared" si="83"/>
        <v>DATE</v>
      </c>
      <c r="R702" s="76" t="str">
        <f t="shared" si="84"/>
        <v/>
      </c>
      <c r="S702" s="76" t="str">
        <f t="shared" si="85"/>
        <v/>
      </c>
      <c r="T702" s="76" t="str">
        <f t="shared" si="86"/>
        <v>-- I698_疾患開始日</v>
      </c>
      <c r="U702" s="4" t="str">
        <f t="shared" si="73"/>
        <v>, CASE WHEN shikkan_disp_name = 'I698' THEN min_shikkan_start_date ::DATE ELSE NULL END AS shikkan684_start_date</v>
      </c>
      <c r="V702" s="25" t="str">
        <f t="shared" si="74"/>
        <v>, max(shikkan684_start_date)</v>
      </c>
      <c r="AA702" s="4"/>
      <c r="AB702" s="4"/>
      <c r="AC702" s="4"/>
      <c r="AD702" s="4"/>
      <c r="AE702" s="4"/>
      <c r="AF702" s="4"/>
      <c r="AG702" s="4"/>
      <c r="AH702" s="4"/>
      <c r="AI702" s="4"/>
      <c r="AJ702" s="76" t="str">
        <f>IF(E702="○",IF(COUNTA(E$13:E702)=1,"",",")&amp;D702,"")</f>
        <v/>
      </c>
      <c r="AK702" s="4"/>
      <c r="AL702" s="4"/>
      <c r="AM702" s="4"/>
      <c r="AN702" s="4"/>
      <c r="AO702" s="4"/>
      <c r="AP702" s="4"/>
      <c r="AQ702" s="4"/>
      <c r="AR702" s="4"/>
      <c r="AS702" s="76" t="str">
        <f>"COMMENT ON COLUMN "&amp;エンティティ一覧!$O$2&amp;"."&amp;D$8&amp;"."&amp;D702&amp;" IS '"&amp;C702&amp;"';"</f>
        <v>COMMENT ON COLUMN milscm_2023_009.sny_202310_annony_bef2.shikkan684_start_date IS 'I698_疾患開始日';</v>
      </c>
    </row>
    <row r="703" spans="1:45" s="25" customFormat="1">
      <c r="A703" s="4" t="s">
        <v>5770</v>
      </c>
      <c r="B703" s="21">
        <f t="shared" si="81"/>
        <v>691</v>
      </c>
      <c r="C703" s="13" t="s">
        <v>7160</v>
      </c>
      <c r="D703" s="13" t="s">
        <v>6345</v>
      </c>
      <c r="E703" s="8"/>
      <c r="F703" s="7" t="s">
        <v>4348</v>
      </c>
      <c r="G703" s="7" t="s">
        <v>25</v>
      </c>
      <c r="H703" s="58"/>
      <c r="I703" s="23"/>
      <c r="J703" s="24"/>
      <c r="M703" s="4"/>
      <c r="N703" s="76"/>
      <c r="O703" s="76"/>
      <c r="P703" s="76" t="str">
        <f t="shared" si="82"/>
        <v>,shikkan685_start_date</v>
      </c>
      <c r="Q703" s="76" t="str">
        <f t="shared" si="83"/>
        <v>DATE</v>
      </c>
      <c r="R703" s="76" t="str">
        <f t="shared" si="84"/>
        <v/>
      </c>
      <c r="S703" s="76" t="str">
        <f t="shared" si="85"/>
        <v/>
      </c>
      <c r="T703" s="76" t="str">
        <f t="shared" si="86"/>
        <v>-- I700_疾患開始日</v>
      </c>
      <c r="U703" s="4" t="str">
        <f t="shared" si="73"/>
        <v>, CASE WHEN shikkan_disp_name = 'I700' THEN min_shikkan_start_date ::DATE ELSE NULL END AS shikkan685_start_date</v>
      </c>
      <c r="V703" s="25" t="str">
        <f t="shared" si="74"/>
        <v>, max(shikkan685_start_date)</v>
      </c>
      <c r="AA703" s="4"/>
      <c r="AB703" s="4"/>
      <c r="AC703" s="4"/>
      <c r="AD703" s="4"/>
      <c r="AE703" s="4"/>
      <c r="AF703" s="4"/>
      <c r="AG703" s="4"/>
      <c r="AH703" s="4"/>
      <c r="AI703" s="4"/>
      <c r="AJ703" s="76" t="str">
        <f>IF(E703="○",IF(COUNTA(E$13:E703)=1,"",",")&amp;D703,"")</f>
        <v/>
      </c>
      <c r="AK703" s="4"/>
      <c r="AL703" s="4"/>
      <c r="AM703" s="4"/>
      <c r="AN703" s="4"/>
      <c r="AO703" s="4"/>
      <c r="AP703" s="4"/>
      <c r="AQ703" s="4"/>
      <c r="AR703" s="4"/>
      <c r="AS703" s="76" t="str">
        <f>"COMMENT ON COLUMN "&amp;エンティティ一覧!$O$2&amp;"."&amp;D$8&amp;"."&amp;D703&amp;" IS '"&amp;C703&amp;"';"</f>
        <v>COMMENT ON COLUMN milscm_2023_009.sny_202310_annony_bef2.shikkan685_start_date IS 'I700_疾患開始日';</v>
      </c>
    </row>
    <row r="704" spans="1:45" s="25" customFormat="1">
      <c r="A704" s="4" t="s">
        <v>5771</v>
      </c>
      <c r="B704" s="21">
        <f t="shared" si="81"/>
        <v>692</v>
      </c>
      <c r="C704" s="13" t="s">
        <v>7161</v>
      </c>
      <c r="D704" s="13" t="s">
        <v>6346</v>
      </c>
      <c r="E704" s="8"/>
      <c r="F704" s="7" t="s">
        <v>4348</v>
      </c>
      <c r="G704" s="7" t="s">
        <v>25</v>
      </c>
      <c r="H704" s="58"/>
      <c r="I704" s="23"/>
      <c r="J704" s="24"/>
      <c r="M704" s="4"/>
      <c r="N704" s="76"/>
      <c r="O704" s="76"/>
      <c r="P704" s="76" t="str">
        <f t="shared" si="82"/>
        <v>,shikkan686_start_date</v>
      </c>
      <c r="Q704" s="76" t="str">
        <f t="shared" si="83"/>
        <v>DATE</v>
      </c>
      <c r="R704" s="76" t="str">
        <f t="shared" si="84"/>
        <v/>
      </c>
      <c r="S704" s="76" t="str">
        <f t="shared" si="85"/>
        <v/>
      </c>
      <c r="T704" s="76" t="str">
        <f t="shared" si="86"/>
        <v>-- I701_疾患開始日</v>
      </c>
      <c r="U704" s="4" t="str">
        <f t="shared" si="73"/>
        <v>, CASE WHEN shikkan_disp_name = 'I701' THEN min_shikkan_start_date ::DATE ELSE NULL END AS shikkan686_start_date</v>
      </c>
      <c r="V704" s="25" t="str">
        <f t="shared" si="74"/>
        <v>, max(shikkan686_start_date)</v>
      </c>
      <c r="AA704" s="4"/>
      <c r="AB704" s="4"/>
      <c r="AC704" s="4"/>
      <c r="AD704" s="4"/>
      <c r="AE704" s="4"/>
      <c r="AF704" s="4"/>
      <c r="AG704" s="4"/>
      <c r="AH704" s="4"/>
      <c r="AI704" s="4"/>
      <c r="AJ704" s="76" t="str">
        <f>IF(E704="○",IF(COUNTA(E$13:E704)=1,"",",")&amp;D704,"")</f>
        <v/>
      </c>
      <c r="AK704" s="4"/>
      <c r="AL704" s="4"/>
      <c r="AM704" s="4"/>
      <c r="AN704" s="4"/>
      <c r="AO704" s="4"/>
      <c r="AP704" s="4"/>
      <c r="AQ704" s="4"/>
      <c r="AR704" s="4"/>
      <c r="AS704" s="76" t="str">
        <f>"COMMENT ON COLUMN "&amp;エンティティ一覧!$O$2&amp;"."&amp;D$8&amp;"."&amp;D704&amp;" IS '"&amp;C704&amp;"';"</f>
        <v>COMMENT ON COLUMN milscm_2023_009.sny_202310_annony_bef2.shikkan686_start_date IS 'I701_疾患開始日';</v>
      </c>
    </row>
    <row r="705" spans="1:45" s="25" customFormat="1">
      <c r="A705" s="4" t="s">
        <v>5772</v>
      </c>
      <c r="B705" s="21">
        <f t="shared" si="81"/>
        <v>693</v>
      </c>
      <c r="C705" s="13" t="s">
        <v>7162</v>
      </c>
      <c r="D705" s="13" t="s">
        <v>6347</v>
      </c>
      <c r="E705" s="8"/>
      <c r="F705" s="7" t="s">
        <v>4348</v>
      </c>
      <c r="G705" s="7" t="s">
        <v>99</v>
      </c>
      <c r="H705" s="58"/>
      <c r="I705" s="23"/>
      <c r="J705" s="24"/>
      <c r="M705" s="4"/>
      <c r="N705" s="76"/>
      <c r="O705" s="76"/>
      <c r="P705" s="76" t="str">
        <f t="shared" si="82"/>
        <v>,shikkan687_start_date</v>
      </c>
      <c r="Q705" s="76" t="str">
        <f t="shared" si="83"/>
        <v>DATE</v>
      </c>
      <c r="R705" s="76" t="str">
        <f t="shared" si="84"/>
        <v/>
      </c>
      <c r="S705" s="76" t="str">
        <f t="shared" si="85"/>
        <v/>
      </c>
      <c r="T705" s="76" t="str">
        <f t="shared" si="86"/>
        <v>-- I702_疾患開始日</v>
      </c>
      <c r="U705" s="4" t="str">
        <f t="shared" si="73"/>
        <v>, CASE WHEN shikkan_disp_name = 'I702' THEN min_shikkan_start_date ::DATE ELSE NULL END AS shikkan687_start_date</v>
      </c>
      <c r="V705" s="25" t="str">
        <f t="shared" si="74"/>
        <v>, max(shikkan687_start_date)</v>
      </c>
      <c r="AA705" s="4"/>
      <c r="AB705" s="4"/>
      <c r="AC705" s="4"/>
      <c r="AD705" s="4"/>
      <c r="AE705" s="4"/>
      <c r="AF705" s="4"/>
      <c r="AG705" s="4"/>
      <c r="AH705" s="4"/>
      <c r="AI705" s="4"/>
      <c r="AJ705" s="76" t="str">
        <f>IF(E705="○",IF(COUNTA(E$13:E705)=1,"",",")&amp;D705,"")</f>
        <v/>
      </c>
      <c r="AK705" s="4"/>
      <c r="AL705" s="4"/>
      <c r="AM705" s="4"/>
      <c r="AN705" s="4"/>
      <c r="AO705" s="4"/>
      <c r="AP705" s="4"/>
      <c r="AQ705" s="4"/>
      <c r="AR705" s="4"/>
      <c r="AS705" s="76" t="str">
        <f>"COMMENT ON COLUMN "&amp;エンティティ一覧!$O$2&amp;"."&amp;D$8&amp;"."&amp;D705&amp;" IS '"&amp;C705&amp;"';"</f>
        <v>COMMENT ON COLUMN milscm_2023_009.sny_202310_annony_bef2.shikkan687_start_date IS 'I702_疾患開始日';</v>
      </c>
    </row>
    <row r="706" spans="1:45" s="25" customFormat="1">
      <c r="A706" s="4" t="s">
        <v>5773</v>
      </c>
      <c r="B706" s="21">
        <f t="shared" si="81"/>
        <v>694</v>
      </c>
      <c r="C706" s="13" t="s">
        <v>7163</v>
      </c>
      <c r="D706" s="13" t="s">
        <v>6348</v>
      </c>
      <c r="E706" s="8"/>
      <c r="F706" s="7" t="s">
        <v>4348</v>
      </c>
      <c r="G706" s="7" t="s">
        <v>25</v>
      </c>
      <c r="H706" s="58"/>
      <c r="I706" s="23"/>
      <c r="J706" s="24"/>
      <c r="M706" s="4"/>
      <c r="N706" s="76"/>
      <c r="O706" s="76"/>
      <c r="P706" s="76" t="str">
        <f t="shared" si="82"/>
        <v>,shikkan688_start_date</v>
      </c>
      <c r="Q706" s="76" t="str">
        <f t="shared" si="83"/>
        <v>DATE</v>
      </c>
      <c r="R706" s="76" t="str">
        <f t="shared" si="84"/>
        <v/>
      </c>
      <c r="S706" s="76" t="str">
        <f t="shared" si="85"/>
        <v/>
      </c>
      <c r="T706" s="76" t="str">
        <f t="shared" si="86"/>
        <v>-- I708_疾患開始日</v>
      </c>
      <c r="U706" s="4" t="str">
        <f t="shared" si="73"/>
        <v>, CASE WHEN shikkan_disp_name = 'I708' THEN min_shikkan_start_date ::DATE ELSE NULL END AS shikkan688_start_date</v>
      </c>
      <c r="V706" s="25" t="str">
        <f t="shared" si="74"/>
        <v>, max(shikkan688_start_date)</v>
      </c>
      <c r="AA706" s="4"/>
      <c r="AB706" s="4"/>
      <c r="AC706" s="4"/>
      <c r="AD706" s="4"/>
      <c r="AE706" s="4"/>
      <c r="AF706" s="4"/>
      <c r="AG706" s="4"/>
      <c r="AH706" s="4"/>
      <c r="AI706" s="4"/>
      <c r="AJ706" s="76" t="str">
        <f>IF(E706="○",IF(COUNTA(E$13:E706)=1,"",",")&amp;D706,"")</f>
        <v/>
      </c>
      <c r="AK706" s="4"/>
      <c r="AL706" s="4"/>
      <c r="AM706" s="4"/>
      <c r="AN706" s="4"/>
      <c r="AO706" s="4"/>
      <c r="AP706" s="4"/>
      <c r="AQ706" s="4"/>
      <c r="AR706" s="4"/>
      <c r="AS706" s="76" t="str">
        <f>"COMMENT ON COLUMN "&amp;エンティティ一覧!$O$2&amp;"."&amp;D$8&amp;"."&amp;D706&amp;" IS '"&amp;C706&amp;"';"</f>
        <v>COMMENT ON COLUMN milscm_2023_009.sny_202310_annony_bef2.shikkan688_start_date IS 'I708_疾患開始日';</v>
      </c>
    </row>
    <row r="707" spans="1:45" s="25" customFormat="1">
      <c r="A707" s="4" t="s">
        <v>5774</v>
      </c>
      <c r="B707" s="21">
        <f t="shared" si="81"/>
        <v>695</v>
      </c>
      <c r="C707" s="13" t="s">
        <v>7164</v>
      </c>
      <c r="D707" s="13" t="s">
        <v>6349</v>
      </c>
      <c r="E707" s="8"/>
      <c r="F707" s="7" t="s">
        <v>4348</v>
      </c>
      <c r="G707" s="7" t="s">
        <v>25</v>
      </c>
      <c r="H707" s="58"/>
      <c r="I707" s="23"/>
      <c r="J707" s="24"/>
      <c r="M707" s="4"/>
      <c r="N707" s="76"/>
      <c r="O707" s="76"/>
      <c r="P707" s="76" t="str">
        <f t="shared" si="82"/>
        <v>,shikkan689_start_date</v>
      </c>
      <c r="Q707" s="76" t="str">
        <f t="shared" si="83"/>
        <v>DATE</v>
      </c>
      <c r="R707" s="76" t="str">
        <f t="shared" si="84"/>
        <v/>
      </c>
      <c r="S707" s="76" t="str">
        <f t="shared" si="85"/>
        <v/>
      </c>
      <c r="T707" s="76" t="str">
        <f t="shared" si="86"/>
        <v>-- I709_疾患開始日</v>
      </c>
      <c r="U707" s="4" t="str">
        <f t="shared" si="73"/>
        <v>, CASE WHEN shikkan_disp_name = 'I709' THEN min_shikkan_start_date ::DATE ELSE NULL END AS shikkan689_start_date</v>
      </c>
      <c r="V707" s="25" t="str">
        <f t="shared" si="74"/>
        <v>, max(shikkan689_start_date)</v>
      </c>
      <c r="AA707" s="4"/>
      <c r="AB707" s="4"/>
      <c r="AC707" s="4"/>
      <c r="AD707" s="4"/>
      <c r="AE707" s="4"/>
      <c r="AF707" s="4"/>
      <c r="AG707" s="4"/>
      <c r="AH707" s="4"/>
      <c r="AI707" s="4"/>
      <c r="AJ707" s="76" t="str">
        <f>IF(E707="○",IF(COUNTA(E$13:E707)=1,"",",")&amp;D707,"")</f>
        <v/>
      </c>
      <c r="AK707" s="4"/>
      <c r="AL707" s="4"/>
      <c r="AM707" s="4"/>
      <c r="AN707" s="4"/>
      <c r="AO707" s="4"/>
      <c r="AP707" s="4"/>
      <c r="AQ707" s="4"/>
      <c r="AR707" s="4"/>
      <c r="AS707" s="76" t="str">
        <f>"COMMENT ON COLUMN "&amp;エンティティ一覧!$O$2&amp;"."&amp;D$8&amp;"."&amp;D707&amp;" IS '"&amp;C707&amp;"';"</f>
        <v>COMMENT ON COLUMN milscm_2023_009.sny_202310_annony_bef2.shikkan689_start_date IS 'I709_疾患開始日';</v>
      </c>
    </row>
    <row r="708" spans="1:45" s="25" customFormat="1">
      <c r="A708" s="4" t="s">
        <v>5775</v>
      </c>
      <c r="B708" s="21">
        <f t="shared" si="81"/>
        <v>696</v>
      </c>
      <c r="C708" s="13" t="s">
        <v>7165</v>
      </c>
      <c r="D708" s="13" t="s">
        <v>6350</v>
      </c>
      <c r="E708" s="8"/>
      <c r="F708" s="7" t="s">
        <v>4348</v>
      </c>
      <c r="G708" s="7" t="s">
        <v>25</v>
      </c>
      <c r="H708" s="58"/>
      <c r="I708" s="23"/>
      <c r="J708" s="24"/>
      <c r="M708" s="4"/>
      <c r="N708" s="76"/>
      <c r="O708" s="76"/>
      <c r="P708" s="76" t="str">
        <f t="shared" si="82"/>
        <v>,shikkan690_start_date</v>
      </c>
      <c r="Q708" s="76" t="str">
        <f t="shared" si="83"/>
        <v>DATE</v>
      </c>
      <c r="R708" s="76" t="str">
        <f t="shared" si="84"/>
        <v/>
      </c>
      <c r="S708" s="76" t="str">
        <f t="shared" si="85"/>
        <v/>
      </c>
      <c r="T708" s="76" t="str">
        <f t="shared" si="86"/>
        <v>-- I710_疾患開始日</v>
      </c>
      <c r="U708" s="4" t="str">
        <f t="shared" si="73"/>
        <v>, CASE WHEN shikkan_disp_name = 'I710' THEN min_shikkan_start_date ::DATE ELSE NULL END AS shikkan690_start_date</v>
      </c>
      <c r="V708" s="25" t="str">
        <f t="shared" si="74"/>
        <v>, max(shikkan690_start_date)</v>
      </c>
      <c r="AA708" s="4"/>
      <c r="AB708" s="4"/>
      <c r="AC708" s="4"/>
      <c r="AD708" s="4"/>
      <c r="AE708" s="4"/>
      <c r="AF708" s="4"/>
      <c r="AG708" s="4"/>
      <c r="AH708" s="4"/>
      <c r="AI708" s="4"/>
      <c r="AJ708" s="76" t="str">
        <f>IF(E708="○",IF(COUNTA(E$13:E708)=1,"",",")&amp;D708,"")</f>
        <v/>
      </c>
      <c r="AK708" s="4"/>
      <c r="AL708" s="4"/>
      <c r="AM708" s="4"/>
      <c r="AN708" s="4"/>
      <c r="AO708" s="4"/>
      <c r="AP708" s="4"/>
      <c r="AQ708" s="4"/>
      <c r="AR708" s="4"/>
      <c r="AS708" s="76" t="str">
        <f>"COMMENT ON COLUMN "&amp;エンティティ一覧!$O$2&amp;"."&amp;D$8&amp;"."&amp;D708&amp;" IS '"&amp;C708&amp;"';"</f>
        <v>COMMENT ON COLUMN milscm_2023_009.sny_202310_annony_bef2.shikkan690_start_date IS 'I710_疾患開始日';</v>
      </c>
    </row>
    <row r="709" spans="1:45" s="25" customFormat="1">
      <c r="A709" s="4" t="s">
        <v>5776</v>
      </c>
      <c r="B709" s="21">
        <f t="shared" si="81"/>
        <v>697</v>
      </c>
      <c r="C709" s="13" t="s">
        <v>7166</v>
      </c>
      <c r="D709" s="13" t="s">
        <v>6351</v>
      </c>
      <c r="E709" s="8"/>
      <c r="F709" s="7" t="s">
        <v>4348</v>
      </c>
      <c r="G709" s="7" t="s">
        <v>25</v>
      </c>
      <c r="H709" s="58"/>
      <c r="I709" s="23"/>
      <c r="J709" s="24"/>
      <c r="M709" s="4"/>
      <c r="N709" s="76"/>
      <c r="O709" s="76"/>
      <c r="P709" s="76" t="str">
        <f t="shared" si="82"/>
        <v>,shikkan691_start_date</v>
      </c>
      <c r="Q709" s="76" t="str">
        <f t="shared" si="83"/>
        <v>DATE</v>
      </c>
      <c r="R709" s="76" t="str">
        <f t="shared" si="84"/>
        <v/>
      </c>
      <c r="S709" s="76" t="str">
        <f t="shared" si="85"/>
        <v/>
      </c>
      <c r="T709" s="76" t="str">
        <f t="shared" si="86"/>
        <v>-- I711_疾患開始日</v>
      </c>
      <c r="U709" s="4" t="str">
        <f t="shared" si="73"/>
        <v>, CASE WHEN shikkan_disp_name = 'I711' THEN min_shikkan_start_date ::DATE ELSE NULL END AS shikkan691_start_date</v>
      </c>
      <c r="V709" s="25" t="str">
        <f t="shared" si="74"/>
        <v>, max(shikkan691_start_date)</v>
      </c>
      <c r="AA709" s="4"/>
      <c r="AB709" s="4"/>
      <c r="AC709" s="4"/>
      <c r="AD709" s="4"/>
      <c r="AE709" s="4"/>
      <c r="AF709" s="4"/>
      <c r="AG709" s="4"/>
      <c r="AH709" s="4"/>
      <c r="AI709" s="4"/>
      <c r="AJ709" s="76" t="str">
        <f>IF(E709="○",IF(COUNTA(E$13:E709)=1,"",",")&amp;D709,"")</f>
        <v/>
      </c>
      <c r="AK709" s="4"/>
      <c r="AL709" s="4"/>
      <c r="AM709" s="4"/>
      <c r="AN709" s="4"/>
      <c r="AO709" s="4"/>
      <c r="AP709" s="4"/>
      <c r="AQ709" s="4"/>
      <c r="AR709" s="4"/>
      <c r="AS709" s="76" t="str">
        <f>"COMMENT ON COLUMN "&amp;エンティティ一覧!$O$2&amp;"."&amp;D$8&amp;"."&amp;D709&amp;" IS '"&amp;C709&amp;"';"</f>
        <v>COMMENT ON COLUMN milscm_2023_009.sny_202310_annony_bef2.shikkan691_start_date IS 'I711_疾患開始日';</v>
      </c>
    </row>
    <row r="710" spans="1:45" s="25" customFormat="1">
      <c r="A710" s="4" t="s">
        <v>5777</v>
      </c>
      <c r="B710" s="21">
        <f t="shared" si="81"/>
        <v>698</v>
      </c>
      <c r="C710" s="13" t="s">
        <v>7167</v>
      </c>
      <c r="D710" s="13" t="s">
        <v>6352</v>
      </c>
      <c r="E710" s="8"/>
      <c r="F710" s="7" t="s">
        <v>4348</v>
      </c>
      <c r="G710" s="7" t="s">
        <v>25</v>
      </c>
      <c r="H710" s="58"/>
      <c r="I710" s="23"/>
      <c r="J710" s="24"/>
      <c r="M710" s="4"/>
      <c r="N710" s="76"/>
      <c r="O710" s="76"/>
      <c r="P710" s="76" t="str">
        <f t="shared" si="82"/>
        <v>,shikkan692_start_date</v>
      </c>
      <c r="Q710" s="76" t="str">
        <f t="shared" si="83"/>
        <v>DATE</v>
      </c>
      <c r="R710" s="76" t="str">
        <f t="shared" si="84"/>
        <v/>
      </c>
      <c r="S710" s="76" t="str">
        <f t="shared" si="85"/>
        <v/>
      </c>
      <c r="T710" s="76" t="str">
        <f t="shared" si="86"/>
        <v>-- I712_疾患開始日</v>
      </c>
      <c r="U710" s="4" t="str">
        <f t="shared" si="73"/>
        <v>, CASE WHEN shikkan_disp_name = 'I712' THEN min_shikkan_start_date ::DATE ELSE NULL END AS shikkan692_start_date</v>
      </c>
      <c r="V710" s="25" t="str">
        <f t="shared" si="74"/>
        <v>, max(shikkan692_start_date)</v>
      </c>
      <c r="AA710" s="4"/>
      <c r="AB710" s="4"/>
      <c r="AC710" s="4"/>
      <c r="AD710" s="4"/>
      <c r="AE710" s="4"/>
      <c r="AF710" s="4"/>
      <c r="AG710" s="4"/>
      <c r="AH710" s="4"/>
      <c r="AI710" s="4"/>
      <c r="AJ710" s="76" t="str">
        <f>IF(E710="○",IF(COUNTA(E$13:E710)=1,"",",")&amp;D710,"")</f>
        <v/>
      </c>
      <c r="AK710" s="4"/>
      <c r="AL710" s="4"/>
      <c r="AM710" s="4"/>
      <c r="AN710" s="4"/>
      <c r="AO710" s="4"/>
      <c r="AP710" s="4"/>
      <c r="AQ710" s="4"/>
      <c r="AR710" s="4"/>
      <c r="AS710" s="76" t="str">
        <f>"COMMENT ON COLUMN "&amp;エンティティ一覧!$O$2&amp;"."&amp;D$8&amp;"."&amp;D710&amp;" IS '"&amp;C710&amp;"';"</f>
        <v>COMMENT ON COLUMN milscm_2023_009.sny_202310_annony_bef2.shikkan692_start_date IS 'I712_疾患開始日';</v>
      </c>
    </row>
    <row r="711" spans="1:45" s="25" customFormat="1">
      <c r="A711" s="4" t="s">
        <v>5778</v>
      </c>
      <c r="B711" s="21">
        <f t="shared" si="81"/>
        <v>699</v>
      </c>
      <c r="C711" s="13" t="s">
        <v>7168</v>
      </c>
      <c r="D711" s="13" t="s">
        <v>6353</v>
      </c>
      <c r="E711" s="8"/>
      <c r="F711" s="7" t="s">
        <v>4348</v>
      </c>
      <c r="G711" s="7" t="s">
        <v>25</v>
      </c>
      <c r="H711" s="58"/>
      <c r="I711" s="23"/>
      <c r="J711" s="24"/>
      <c r="M711" s="4"/>
      <c r="N711" s="76"/>
      <c r="O711" s="76"/>
      <c r="P711" s="76" t="str">
        <f t="shared" si="82"/>
        <v>,shikkan693_start_date</v>
      </c>
      <c r="Q711" s="76" t="str">
        <f t="shared" si="83"/>
        <v>DATE</v>
      </c>
      <c r="R711" s="76" t="str">
        <f t="shared" si="84"/>
        <v/>
      </c>
      <c r="S711" s="76" t="str">
        <f t="shared" si="85"/>
        <v/>
      </c>
      <c r="T711" s="76" t="str">
        <f t="shared" si="86"/>
        <v>-- I713_疾患開始日</v>
      </c>
      <c r="U711" s="4" t="str">
        <f t="shared" si="73"/>
        <v>, CASE WHEN shikkan_disp_name = 'I713' THEN min_shikkan_start_date ::DATE ELSE NULL END AS shikkan693_start_date</v>
      </c>
      <c r="V711" s="25" t="str">
        <f t="shared" si="74"/>
        <v>, max(shikkan693_start_date)</v>
      </c>
      <c r="AA711" s="4"/>
      <c r="AB711" s="4"/>
      <c r="AC711" s="4"/>
      <c r="AD711" s="4"/>
      <c r="AE711" s="4"/>
      <c r="AF711" s="4"/>
      <c r="AG711" s="4"/>
      <c r="AH711" s="4"/>
      <c r="AI711" s="4"/>
      <c r="AJ711" s="76" t="str">
        <f>IF(E711="○",IF(COUNTA(E$13:E711)=1,"",",")&amp;D711,"")</f>
        <v/>
      </c>
      <c r="AK711" s="4"/>
      <c r="AL711" s="4"/>
      <c r="AM711" s="4"/>
      <c r="AN711" s="4"/>
      <c r="AO711" s="4"/>
      <c r="AP711" s="4"/>
      <c r="AQ711" s="4"/>
      <c r="AR711" s="4"/>
      <c r="AS711" s="76" t="str">
        <f>"COMMENT ON COLUMN "&amp;エンティティ一覧!$O$2&amp;"."&amp;D$8&amp;"."&amp;D711&amp;" IS '"&amp;C711&amp;"';"</f>
        <v>COMMENT ON COLUMN milscm_2023_009.sny_202310_annony_bef2.shikkan693_start_date IS 'I713_疾患開始日';</v>
      </c>
    </row>
    <row r="712" spans="1:45" s="25" customFormat="1">
      <c r="A712" s="4" t="s">
        <v>5779</v>
      </c>
      <c r="B712" s="21">
        <f t="shared" si="81"/>
        <v>700</v>
      </c>
      <c r="C712" s="13" t="s">
        <v>7169</v>
      </c>
      <c r="D712" s="13" t="s">
        <v>6354</v>
      </c>
      <c r="E712" s="8"/>
      <c r="F712" s="7" t="s">
        <v>4348</v>
      </c>
      <c r="G712" s="7" t="s">
        <v>25</v>
      </c>
      <c r="H712" s="58"/>
      <c r="I712" s="23"/>
      <c r="J712" s="24"/>
      <c r="M712" s="4"/>
      <c r="N712" s="76"/>
      <c r="O712" s="76"/>
      <c r="P712" s="76" t="str">
        <f t="shared" si="82"/>
        <v>,shikkan694_start_date</v>
      </c>
      <c r="Q712" s="76" t="str">
        <f t="shared" si="83"/>
        <v>DATE</v>
      </c>
      <c r="R712" s="76" t="str">
        <f t="shared" si="84"/>
        <v/>
      </c>
      <c r="S712" s="76" t="str">
        <f t="shared" si="85"/>
        <v/>
      </c>
      <c r="T712" s="76" t="str">
        <f t="shared" si="86"/>
        <v>-- I714_疾患開始日</v>
      </c>
      <c r="U712" s="4" t="str">
        <f t="shared" si="73"/>
        <v>, CASE WHEN shikkan_disp_name = 'I714' THEN min_shikkan_start_date ::DATE ELSE NULL END AS shikkan694_start_date</v>
      </c>
      <c r="V712" s="25" t="str">
        <f t="shared" si="74"/>
        <v>, max(shikkan694_start_date)</v>
      </c>
      <c r="AA712" s="4"/>
      <c r="AB712" s="4"/>
      <c r="AC712" s="4"/>
      <c r="AD712" s="4"/>
      <c r="AE712" s="4"/>
      <c r="AF712" s="4"/>
      <c r="AG712" s="4"/>
      <c r="AH712" s="4"/>
      <c r="AI712" s="4"/>
      <c r="AJ712" s="76" t="str">
        <f>IF(E712="○",IF(COUNTA(E$13:E712)=1,"",",")&amp;D712,"")</f>
        <v/>
      </c>
      <c r="AK712" s="4"/>
      <c r="AL712" s="4"/>
      <c r="AM712" s="4"/>
      <c r="AN712" s="4"/>
      <c r="AO712" s="4"/>
      <c r="AP712" s="4"/>
      <c r="AQ712" s="4"/>
      <c r="AR712" s="4"/>
      <c r="AS712" s="76" t="str">
        <f>"COMMENT ON COLUMN "&amp;エンティティ一覧!$O$2&amp;"."&amp;D$8&amp;"."&amp;D712&amp;" IS '"&amp;C712&amp;"';"</f>
        <v>COMMENT ON COLUMN milscm_2023_009.sny_202310_annony_bef2.shikkan694_start_date IS 'I714_疾患開始日';</v>
      </c>
    </row>
    <row r="713" spans="1:45" s="25" customFormat="1">
      <c r="A713" s="4" t="s">
        <v>5780</v>
      </c>
      <c r="B713" s="21">
        <f t="shared" si="81"/>
        <v>701</v>
      </c>
      <c r="C713" s="13" t="s">
        <v>7170</v>
      </c>
      <c r="D713" s="13" t="s">
        <v>6355</v>
      </c>
      <c r="E713" s="8"/>
      <c r="F713" s="7" t="s">
        <v>4348</v>
      </c>
      <c r="G713" s="7" t="s">
        <v>25</v>
      </c>
      <c r="H713" s="58"/>
      <c r="I713" s="23"/>
      <c r="J713" s="24"/>
      <c r="M713" s="4"/>
      <c r="N713" s="76"/>
      <c r="O713" s="76"/>
      <c r="P713" s="76" t="str">
        <f t="shared" si="82"/>
        <v>,shikkan695_start_date</v>
      </c>
      <c r="Q713" s="76" t="str">
        <f t="shared" si="83"/>
        <v>DATE</v>
      </c>
      <c r="R713" s="76" t="str">
        <f t="shared" si="84"/>
        <v/>
      </c>
      <c r="S713" s="76" t="str">
        <f t="shared" si="85"/>
        <v/>
      </c>
      <c r="T713" s="76" t="str">
        <f t="shared" si="86"/>
        <v>-- I715_疾患開始日</v>
      </c>
      <c r="U713" s="4" t="str">
        <f t="shared" si="73"/>
        <v>, CASE WHEN shikkan_disp_name = 'I715' THEN min_shikkan_start_date ::DATE ELSE NULL END AS shikkan695_start_date</v>
      </c>
      <c r="V713" s="25" t="str">
        <f t="shared" si="74"/>
        <v>, max(shikkan695_start_date)</v>
      </c>
      <c r="AA713" s="4"/>
      <c r="AB713" s="4"/>
      <c r="AC713" s="4"/>
      <c r="AD713" s="4"/>
      <c r="AE713" s="4"/>
      <c r="AF713" s="4"/>
      <c r="AG713" s="4"/>
      <c r="AH713" s="4"/>
      <c r="AI713" s="4"/>
      <c r="AJ713" s="76" t="str">
        <f>IF(E713="○",IF(COUNTA(E$13:E713)=1,"",",")&amp;D713,"")</f>
        <v/>
      </c>
      <c r="AK713" s="4"/>
      <c r="AL713" s="4"/>
      <c r="AM713" s="4"/>
      <c r="AN713" s="4"/>
      <c r="AO713" s="4"/>
      <c r="AP713" s="4"/>
      <c r="AQ713" s="4"/>
      <c r="AR713" s="4"/>
      <c r="AS713" s="76" t="str">
        <f>"COMMENT ON COLUMN "&amp;エンティティ一覧!$O$2&amp;"."&amp;D$8&amp;"."&amp;D713&amp;" IS '"&amp;C713&amp;"';"</f>
        <v>COMMENT ON COLUMN milscm_2023_009.sny_202310_annony_bef2.shikkan695_start_date IS 'I715_疾患開始日';</v>
      </c>
    </row>
    <row r="714" spans="1:45" s="25" customFormat="1">
      <c r="A714" s="4" t="s">
        <v>5781</v>
      </c>
      <c r="B714" s="21">
        <f t="shared" si="81"/>
        <v>702</v>
      </c>
      <c r="C714" s="13" t="s">
        <v>7171</v>
      </c>
      <c r="D714" s="13" t="s">
        <v>6356</v>
      </c>
      <c r="E714" s="8"/>
      <c r="F714" s="7" t="s">
        <v>4348</v>
      </c>
      <c r="G714" s="7" t="s">
        <v>25</v>
      </c>
      <c r="H714" s="58"/>
      <c r="I714" s="23"/>
      <c r="J714" s="24"/>
      <c r="M714" s="4"/>
      <c r="N714" s="76"/>
      <c r="O714" s="76"/>
      <c r="P714" s="76" t="str">
        <f t="shared" si="82"/>
        <v>,shikkan696_start_date</v>
      </c>
      <c r="Q714" s="76" t="str">
        <f t="shared" si="83"/>
        <v>DATE</v>
      </c>
      <c r="R714" s="76" t="str">
        <f t="shared" si="84"/>
        <v/>
      </c>
      <c r="S714" s="76" t="str">
        <f t="shared" si="85"/>
        <v/>
      </c>
      <c r="T714" s="76" t="str">
        <f t="shared" si="86"/>
        <v>-- I716_疾患開始日</v>
      </c>
      <c r="U714" s="4" t="str">
        <f t="shared" si="73"/>
        <v>, CASE WHEN shikkan_disp_name = 'I716' THEN min_shikkan_start_date ::DATE ELSE NULL END AS shikkan696_start_date</v>
      </c>
      <c r="V714" s="25" t="str">
        <f t="shared" si="74"/>
        <v>, max(shikkan696_start_date)</v>
      </c>
      <c r="AA714" s="4"/>
      <c r="AB714" s="4"/>
      <c r="AC714" s="4"/>
      <c r="AD714" s="4"/>
      <c r="AE714" s="4"/>
      <c r="AF714" s="4"/>
      <c r="AG714" s="4"/>
      <c r="AH714" s="4"/>
      <c r="AI714" s="4"/>
      <c r="AJ714" s="76" t="str">
        <f>IF(E714="○",IF(COUNTA(E$13:E714)=1,"",",")&amp;D714,"")</f>
        <v/>
      </c>
      <c r="AK714" s="4"/>
      <c r="AL714" s="4"/>
      <c r="AM714" s="4"/>
      <c r="AN714" s="4"/>
      <c r="AO714" s="4"/>
      <c r="AP714" s="4"/>
      <c r="AQ714" s="4"/>
      <c r="AR714" s="4"/>
      <c r="AS714" s="76" t="str">
        <f>"COMMENT ON COLUMN "&amp;エンティティ一覧!$O$2&amp;"."&amp;D$8&amp;"."&amp;D714&amp;" IS '"&amp;C714&amp;"';"</f>
        <v>COMMENT ON COLUMN milscm_2023_009.sny_202310_annony_bef2.shikkan696_start_date IS 'I716_疾患開始日';</v>
      </c>
    </row>
    <row r="715" spans="1:45" s="25" customFormat="1">
      <c r="A715" s="4" t="s">
        <v>5782</v>
      </c>
      <c r="B715" s="21">
        <f t="shared" si="81"/>
        <v>703</v>
      </c>
      <c r="C715" s="13" t="s">
        <v>7172</v>
      </c>
      <c r="D715" s="13" t="s">
        <v>6357</v>
      </c>
      <c r="E715" s="8"/>
      <c r="F715" s="7" t="s">
        <v>4348</v>
      </c>
      <c r="G715" s="7" t="s">
        <v>25</v>
      </c>
      <c r="H715" s="58"/>
      <c r="I715" s="23"/>
      <c r="J715" s="24"/>
      <c r="M715" s="4"/>
      <c r="N715" s="76"/>
      <c r="O715" s="76"/>
      <c r="P715" s="76" t="str">
        <f t="shared" si="82"/>
        <v>,shikkan697_start_date</v>
      </c>
      <c r="Q715" s="76" t="str">
        <f t="shared" si="83"/>
        <v>DATE</v>
      </c>
      <c r="R715" s="76" t="str">
        <f t="shared" si="84"/>
        <v/>
      </c>
      <c r="S715" s="76" t="str">
        <f t="shared" si="85"/>
        <v/>
      </c>
      <c r="T715" s="76" t="str">
        <f t="shared" si="86"/>
        <v>-- I718_疾患開始日</v>
      </c>
      <c r="U715" s="4" t="str">
        <f t="shared" si="73"/>
        <v>, CASE WHEN shikkan_disp_name = 'I718' THEN min_shikkan_start_date ::DATE ELSE NULL END AS shikkan697_start_date</v>
      </c>
      <c r="V715" s="25" t="str">
        <f t="shared" si="74"/>
        <v>, max(shikkan697_start_date)</v>
      </c>
      <c r="AA715" s="4"/>
      <c r="AB715" s="4"/>
      <c r="AC715" s="4"/>
      <c r="AD715" s="4"/>
      <c r="AE715" s="4"/>
      <c r="AF715" s="4"/>
      <c r="AG715" s="4"/>
      <c r="AH715" s="4"/>
      <c r="AI715" s="4"/>
      <c r="AJ715" s="76" t="str">
        <f>IF(E715="○",IF(COUNTA(E$13:E715)=1,"",",")&amp;D715,"")</f>
        <v/>
      </c>
      <c r="AK715" s="4"/>
      <c r="AL715" s="4"/>
      <c r="AM715" s="4"/>
      <c r="AN715" s="4"/>
      <c r="AO715" s="4"/>
      <c r="AP715" s="4"/>
      <c r="AQ715" s="4"/>
      <c r="AR715" s="4"/>
      <c r="AS715" s="76" t="str">
        <f>"COMMENT ON COLUMN "&amp;エンティティ一覧!$O$2&amp;"."&amp;D$8&amp;"."&amp;D715&amp;" IS '"&amp;C715&amp;"';"</f>
        <v>COMMENT ON COLUMN milscm_2023_009.sny_202310_annony_bef2.shikkan697_start_date IS 'I718_疾患開始日';</v>
      </c>
    </row>
    <row r="716" spans="1:45" s="25" customFormat="1">
      <c r="A716" s="4" t="s">
        <v>5783</v>
      </c>
      <c r="B716" s="21">
        <f t="shared" si="81"/>
        <v>704</v>
      </c>
      <c r="C716" s="13" t="s">
        <v>7173</v>
      </c>
      <c r="D716" s="13" t="s">
        <v>6358</v>
      </c>
      <c r="E716" s="8"/>
      <c r="F716" s="7" t="s">
        <v>4348</v>
      </c>
      <c r="G716" s="7" t="s">
        <v>25</v>
      </c>
      <c r="H716" s="58"/>
      <c r="I716" s="23"/>
      <c r="J716" s="24"/>
      <c r="M716" s="4"/>
      <c r="N716" s="76"/>
      <c r="O716" s="76"/>
      <c r="P716" s="76" t="str">
        <f t="shared" si="82"/>
        <v>,shikkan698_start_date</v>
      </c>
      <c r="Q716" s="76" t="str">
        <f t="shared" si="83"/>
        <v>DATE</v>
      </c>
      <c r="R716" s="76" t="str">
        <f t="shared" si="84"/>
        <v/>
      </c>
      <c r="S716" s="76" t="str">
        <f t="shared" si="85"/>
        <v/>
      </c>
      <c r="T716" s="76" t="str">
        <f t="shared" si="86"/>
        <v>-- I719_疾患開始日</v>
      </c>
      <c r="U716" s="4" t="str">
        <f t="shared" si="73"/>
        <v>, CASE WHEN shikkan_disp_name = 'I719' THEN min_shikkan_start_date ::DATE ELSE NULL END AS shikkan698_start_date</v>
      </c>
      <c r="V716" s="25" t="str">
        <f t="shared" si="74"/>
        <v>, max(shikkan698_start_date)</v>
      </c>
      <c r="AA716" s="4"/>
      <c r="AB716" s="4"/>
      <c r="AC716" s="4"/>
      <c r="AD716" s="4"/>
      <c r="AE716" s="4"/>
      <c r="AF716" s="4"/>
      <c r="AG716" s="4"/>
      <c r="AH716" s="4"/>
      <c r="AI716" s="4"/>
      <c r="AJ716" s="76" t="str">
        <f>IF(E716="○",IF(COUNTA(E$13:E716)=1,"",",")&amp;D716,"")</f>
        <v/>
      </c>
      <c r="AK716" s="4"/>
      <c r="AL716" s="4"/>
      <c r="AM716" s="4"/>
      <c r="AN716" s="4"/>
      <c r="AO716" s="4"/>
      <c r="AP716" s="4"/>
      <c r="AQ716" s="4"/>
      <c r="AR716" s="4"/>
      <c r="AS716" s="76" t="str">
        <f>"COMMENT ON COLUMN "&amp;エンティティ一覧!$O$2&amp;"."&amp;D$8&amp;"."&amp;D716&amp;" IS '"&amp;C716&amp;"';"</f>
        <v>COMMENT ON COLUMN milscm_2023_009.sny_202310_annony_bef2.shikkan698_start_date IS 'I719_疾患開始日';</v>
      </c>
    </row>
    <row r="717" spans="1:45" s="25" customFormat="1">
      <c r="A717" s="4" t="s">
        <v>5784</v>
      </c>
      <c r="B717" s="21">
        <f t="shared" si="81"/>
        <v>705</v>
      </c>
      <c r="C717" s="13" t="s">
        <v>7174</v>
      </c>
      <c r="D717" s="13" t="s">
        <v>6359</v>
      </c>
      <c r="E717" s="8"/>
      <c r="F717" s="7" t="s">
        <v>4348</v>
      </c>
      <c r="G717" s="7" t="s">
        <v>25</v>
      </c>
      <c r="H717" s="58"/>
      <c r="I717" s="23"/>
      <c r="J717" s="24"/>
      <c r="M717" s="4"/>
      <c r="N717" s="76"/>
      <c r="O717" s="76"/>
      <c r="P717" s="76" t="str">
        <f t="shared" si="82"/>
        <v>,shikkan699_start_date</v>
      </c>
      <c r="Q717" s="76" t="str">
        <f t="shared" si="83"/>
        <v>DATE</v>
      </c>
      <c r="R717" s="76" t="str">
        <f t="shared" si="84"/>
        <v/>
      </c>
      <c r="S717" s="76" t="str">
        <f t="shared" si="85"/>
        <v/>
      </c>
      <c r="T717" s="76" t="str">
        <f t="shared" si="86"/>
        <v>-- I731_疾患開始日</v>
      </c>
      <c r="U717" s="4" t="str">
        <f t="shared" si="73"/>
        <v>, CASE WHEN shikkan_disp_name = 'I731' THEN min_shikkan_start_date ::DATE ELSE NULL END AS shikkan699_start_date</v>
      </c>
      <c r="V717" s="25" t="str">
        <f t="shared" si="74"/>
        <v>, max(shikkan699_start_date)</v>
      </c>
      <c r="AA717" s="4"/>
      <c r="AB717" s="4"/>
      <c r="AC717" s="4"/>
      <c r="AD717" s="4"/>
      <c r="AE717" s="4"/>
      <c r="AF717" s="4"/>
      <c r="AG717" s="4"/>
      <c r="AH717" s="4"/>
      <c r="AI717" s="4"/>
      <c r="AJ717" s="76" t="str">
        <f>IF(E717="○",IF(COUNTA(E$13:E717)=1,"",",")&amp;D717,"")</f>
        <v/>
      </c>
      <c r="AK717" s="4"/>
      <c r="AL717" s="4"/>
      <c r="AM717" s="4"/>
      <c r="AN717" s="4"/>
      <c r="AO717" s="4"/>
      <c r="AP717" s="4"/>
      <c r="AQ717" s="4"/>
      <c r="AR717" s="4"/>
      <c r="AS717" s="76" t="str">
        <f>"COMMENT ON COLUMN "&amp;エンティティ一覧!$O$2&amp;"."&amp;D$8&amp;"."&amp;D717&amp;" IS '"&amp;C717&amp;"';"</f>
        <v>COMMENT ON COLUMN milscm_2023_009.sny_202310_annony_bef2.shikkan699_start_date IS 'I731_疾患開始日';</v>
      </c>
    </row>
    <row r="718" spans="1:45" s="25" customFormat="1">
      <c r="A718" s="4" t="s">
        <v>5785</v>
      </c>
      <c r="B718" s="21">
        <f t="shared" si="81"/>
        <v>706</v>
      </c>
      <c r="C718" s="13" t="s">
        <v>7175</v>
      </c>
      <c r="D718" s="13" t="s">
        <v>6360</v>
      </c>
      <c r="E718" s="8"/>
      <c r="F718" s="7" t="s">
        <v>4348</v>
      </c>
      <c r="G718" s="7" t="s">
        <v>25</v>
      </c>
      <c r="H718" s="58"/>
      <c r="I718" s="23"/>
      <c r="J718" s="24"/>
      <c r="M718" s="4"/>
      <c r="N718" s="76"/>
      <c r="O718" s="76"/>
      <c r="P718" s="76" t="str">
        <f t="shared" si="82"/>
        <v>,shikkan700_start_date</v>
      </c>
      <c r="Q718" s="76" t="str">
        <f t="shared" si="83"/>
        <v>DATE</v>
      </c>
      <c r="R718" s="76" t="str">
        <f t="shared" si="84"/>
        <v/>
      </c>
      <c r="S718" s="76" t="str">
        <f t="shared" si="85"/>
        <v/>
      </c>
      <c r="T718" s="76" t="str">
        <f t="shared" si="86"/>
        <v>-- I738_疾患開始日</v>
      </c>
      <c r="U718" s="4" t="str">
        <f t="shared" si="73"/>
        <v>, CASE WHEN shikkan_disp_name = 'I738' THEN min_shikkan_start_date ::DATE ELSE NULL END AS shikkan700_start_date</v>
      </c>
      <c r="V718" s="25" t="str">
        <f t="shared" si="74"/>
        <v>, max(shikkan700_start_date)</v>
      </c>
      <c r="AA718" s="4"/>
      <c r="AB718" s="4"/>
      <c r="AC718" s="4"/>
      <c r="AD718" s="4"/>
      <c r="AE718" s="4"/>
      <c r="AF718" s="4"/>
      <c r="AG718" s="4"/>
      <c r="AH718" s="4"/>
      <c r="AI718" s="4"/>
      <c r="AJ718" s="76" t="str">
        <f>IF(E718="○",IF(COUNTA(E$13:E718)=1,"",",")&amp;D718,"")</f>
        <v/>
      </c>
      <c r="AK718" s="4"/>
      <c r="AL718" s="4"/>
      <c r="AM718" s="4"/>
      <c r="AN718" s="4"/>
      <c r="AO718" s="4"/>
      <c r="AP718" s="4"/>
      <c r="AQ718" s="4"/>
      <c r="AR718" s="4"/>
      <c r="AS718" s="76" t="str">
        <f>"COMMENT ON COLUMN "&amp;エンティティ一覧!$O$2&amp;"."&amp;D$8&amp;"."&amp;D718&amp;" IS '"&amp;C718&amp;"';"</f>
        <v>COMMENT ON COLUMN milscm_2023_009.sny_202310_annony_bef2.shikkan700_start_date IS 'I738_疾患開始日';</v>
      </c>
    </row>
    <row r="719" spans="1:45" s="25" customFormat="1">
      <c r="A719" s="4" t="s">
        <v>5786</v>
      </c>
      <c r="B719" s="21">
        <f t="shared" si="81"/>
        <v>707</v>
      </c>
      <c r="C719" s="13" t="s">
        <v>7176</v>
      </c>
      <c r="D719" s="13" t="s">
        <v>6361</v>
      </c>
      <c r="E719" s="8"/>
      <c r="F719" s="7" t="s">
        <v>4348</v>
      </c>
      <c r="G719" s="7" t="s">
        <v>25</v>
      </c>
      <c r="H719" s="58"/>
      <c r="I719" s="23"/>
      <c r="J719" s="24"/>
      <c r="M719" s="4"/>
      <c r="N719" s="76"/>
      <c r="O719" s="76"/>
      <c r="P719" s="76" t="str">
        <f t="shared" si="82"/>
        <v>,shikkan701_start_date</v>
      </c>
      <c r="Q719" s="76" t="str">
        <f t="shared" si="83"/>
        <v>DATE</v>
      </c>
      <c r="R719" s="76" t="str">
        <f t="shared" si="84"/>
        <v/>
      </c>
      <c r="S719" s="76" t="str">
        <f t="shared" si="85"/>
        <v/>
      </c>
      <c r="T719" s="76" t="str">
        <f t="shared" si="86"/>
        <v>-- I739_疾患開始日</v>
      </c>
      <c r="U719" s="4" t="str">
        <f t="shared" si="73"/>
        <v>, CASE WHEN shikkan_disp_name = 'I739' THEN min_shikkan_start_date ::DATE ELSE NULL END AS shikkan701_start_date</v>
      </c>
      <c r="V719" s="25" t="str">
        <f t="shared" si="74"/>
        <v>, max(shikkan701_start_date)</v>
      </c>
      <c r="AA719" s="4"/>
      <c r="AB719" s="4"/>
      <c r="AC719" s="4"/>
      <c r="AD719" s="4"/>
      <c r="AE719" s="4"/>
      <c r="AF719" s="4"/>
      <c r="AG719" s="4"/>
      <c r="AH719" s="4"/>
      <c r="AI719" s="4"/>
      <c r="AJ719" s="76" t="str">
        <f>IF(E719="○",IF(COUNTA(E$13:E719)=1,"",",")&amp;D719,"")</f>
        <v/>
      </c>
      <c r="AK719" s="4"/>
      <c r="AL719" s="4"/>
      <c r="AM719" s="4"/>
      <c r="AN719" s="4"/>
      <c r="AO719" s="4"/>
      <c r="AP719" s="4"/>
      <c r="AQ719" s="4"/>
      <c r="AR719" s="4"/>
      <c r="AS719" s="76" t="str">
        <f>"COMMENT ON COLUMN "&amp;エンティティ一覧!$O$2&amp;"."&amp;D$8&amp;"."&amp;D719&amp;" IS '"&amp;C719&amp;"';"</f>
        <v>COMMENT ON COLUMN milscm_2023_009.sny_202310_annony_bef2.shikkan701_start_date IS 'I739_疾患開始日';</v>
      </c>
    </row>
    <row r="720" spans="1:45" s="25" customFormat="1">
      <c r="A720" s="4" t="s">
        <v>5787</v>
      </c>
      <c r="B720" s="21">
        <f t="shared" si="81"/>
        <v>708</v>
      </c>
      <c r="C720" s="13" t="s">
        <v>7177</v>
      </c>
      <c r="D720" s="13" t="s">
        <v>6362</v>
      </c>
      <c r="E720" s="8"/>
      <c r="F720" s="7" t="s">
        <v>4348</v>
      </c>
      <c r="G720" s="7" t="s">
        <v>25</v>
      </c>
      <c r="H720" s="58"/>
      <c r="I720" s="23"/>
      <c r="J720" s="24"/>
      <c r="M720" s="4"/>
      <c r="N720" s="76"/>
      <c r="O720" s="76"/>
      <c r="P720" s="76" t="str">
        <f t="shared" si="82"/>
        <v>,shikkan702_start_date</v>
      </c>
      <c r="Q720" s="76" t="str">
        <f t="shared" si="83"/>
        <v>DATE</v>
      </c>
      <c r="R720" s="76" t="str">
        <f t="shared" si="84"/>
        <v/>
      </c>
      <c r="S720" s="76" t="str">
        <f t="shared" si="85"/>
        <v/>
      </c>
      <c r="T720" s="76" t="str">
        <f t="shared" si="86"/>
        <v>-- I771_疾患開始日</v>
      </c>
      <c r="U720" s="4" t="str">
        <f t="shared" si="73"/>
        <v>, CASE WHEN shikkan_disp_name = 'I771' THEN min_shikkan_start_date ::DATE ELSE NULL END AS shikkan702_start_date</v>
      </c>
      <c r="V720" s="25" t="str">
        <f t="shared" si="74"/>
        <v>, max(shikkan702_start_date)</v>
      </c>
      <c r="AA720" s="4"/>
      <c r="AB720" s="4"/>
      <c r="AC720" s="4"/>
      <c r="AD720" s="4"/>
      <c r="AE720" s="4"/>
      <c r="AF720" s="4"/>
      <c r="AG720" s="4"/>
      <c r="AH720" s="4"/>
      <c r="AI720" s="4"/>
      <c r="AJ720" s="76" t="str">
        <f>IF(E720="○",IF(COUNTA(E$13:E720)=1,"",",")&amp;D720,"")</f>
        <v/>
      </c>
      <c r="AK720" s="4"/>
      <c r="AL720" s="4"/>
      <c r="AM720" s="4"/>
      <c r="AN720" s="4"/>
      <c r="AO720" s="4"/>
      <c r="AP720" s="4"/>
      <c r="AQ720" s="4"/>
      <c r="AR720" s="4"/>
      <c r="AS720" s="76" t="str">
        <f>"COMMENT ON COLUMN "&amp;エンティティ一覧!$O$2&amp;"."&amp;D$8&amp;"."&amp;D720&amp;" IS '"&amp;C720&amp;"';"</f>
        <v>COMMENT ON COLUMN milscm_2023_009.sny_202310_annony_bef2.shikkan702_start_date IS 'I771_疾患開始日';</v>
      </c>
    </row>
    <row r="721" spans="1:45" s="25" customFormat="1">
      <c r="A721" s="4" t="s">
        <v>5788</v>
      </c>
      <c r="B721" s="21">
        <f t="shared" si="81"/>
        <v>709</v>
      </c>
      <c r="C721" s="13" t="s">
        <v>7178</v>
      </c>
      <c r="D721" s="13" t="s">
        <v>6363</v>
      </c>
      <c r="E721" s="8"/>
      <c r="F721" s="7" t="s">
        <v>4348</v>
      </c>
      <c r="G721" s="7" t="s">
        <v>99</v>
      </c>
      <c r="H721" s="58"/>
      <c r="I721" s="23"/>
      <c r="J721" s="24"/>
      <c r="M721" s="4"/>
      <c r="N721" s="76"/>
      <c r="O721" s="76"/>
      <c r="P721" s="76" t="str">
        <f t="shared" si="82"/>
        <v>,shikkan703_start_date</v>
      </c>
      <c r="Q721" s="76" t="str">
        <f t="shared" si="83"/>
        <v>DATE</v>
      </c>
      <c r="R721" s="76" t="str">
        <f t="shared" si="84"/>
        <v/>
      </c>
      <c r="S721" s="76" t="str">
        <f t="shared" si="85"/>
        <v/>
      </c>
      <c r="T721" s="76" t="str">
        <f t="shared" si="86"/>
        <v>-- I790_疾患開始日</v>
      </c>
      <c r="U721" s="4" t="str">
        <f t="shared" si="73"/>
        <v>, CASE WHEN shikkan_disp_name = 'I790' THEN min_shikkan_start_date ::DATE ELSE NULL END AS shikkan703_start_date</v>
      </c>
      <c r="V721" s="25" t="str">
        <f t="shared" si="74"/>
        <v>, max(shikkan703_start_date)</v>
      </c>
      <c r="AA721" s="4"/>
      <c r="AB721" s="4"/>
      <c r="AC721" s="4"/>
      <c r="AD721" s="4"/>
      <c r="AE721" s="4"/>
      <c r="AF721" s="4"/>
      <c r="AG721" s="4"/>
      <c r="AH721" s="4"/>
      <c r="AI721" s="4"/>
      <c r="AJ721" s="76" t="str">
        <f>IF(E721="○",IF(COUNTA(E$13:E721)=1,"",",")&amp;D721,"")</f>
        <v/>
      </c>
      <c r="AK721" s="4"/>
      <c r="AL721" s="4"/>
      <c r="AM721" s="4"/>
      <c r="AN721" s="4"/>
      <c r="AO721" s="4"/>
      <c r="AP721" s="4"/>
      <c r="AQ721" s="4"/>
      <c r="AR721" s="4"/>
      <c r="AS721" s="76" t="str">
        <f>"COMMENT ON COLUMN "&amp;エンティティ一覧!$O$2&amp;"."&amp;D$8&amp;"."&amp;D721&amp;" IS '"&amp;C721&amp;"';"</f>
        <v>COMMENT ON COLUMN milscm_2023_009.sny_202310_annony_bef2.shikkan703_start_date IS 'I790_疾患開始日';</v>
      </c>
    </row>
    <row r="722" spans="1:45" s="25" customFormat="1">
      <c r="A722" s="4" t="s">
        <v>5789</v>
      </c>
      <c r="B722" s="21">
        <f t="shared" si="81"/>
        <v>710</v>
      </c>
      <c r="C722" s="13" t="s">
        <v>7179</v>
      </c>
      <c r="D722" s="13" t="s">
        <v>6364</v>
      </c>
      <c r="E722" s="8"/>
      <c r="F722" s="7" t="s">
        <v>4348</v>
      </c>
      <c r="G722" s="7" t="s">
        <v>25</v>
      </c>
      <c r="H722" s="58"/>
      <c r="I722" s="23"/>
      <c r="J722" s="24"/>
      <c r="M722" s="4"/>
      <c r="N722" s="76"/>
      <c r="O722" s="76"/>
      <c r="P722" s="76" t="str">
        <f t="shared" si="82"/>
        <v>,shikkan704_start_date</v>
      </c>
      <c r="Q722" s="76" t="str">
        <f t="shared" si="83"/>
        <v>DATE</v>
      </c>
      <c r="R722" s="76" t="str">
        <f t="shared" si="84"/>
        <v/>
      </c>
      <c r="S722" s="76" t="str">
        <f t="shared" si="85"/>
        <v/>
      </c>
      <c r="T722" s="76" t="str">
        <f t="shared" si="86"/>
        <v>-- I792_疾患開始日</v>
      </c>
      <c r="U722" s="4" t="str">
        <f t="shared" si="73"/>
        <v>, CASE WHEN shikkan_disp_name = 'I792' THEN min_shikkan_start_date ::DATE ELSE NULL END AS shikkan704_start_date</v>
      </c>
      <c r="V722" s="25" t="str">
        <f t="shared" si="74"/>
        <v>, max(shikkan704_start_date)</v>
      </c>
      <c r="AA722" s="4"/>
      <c r="AB722" s="4"/>
      <c r="AC722" s="4"/>
      <c r="AD722" s="4"/>
      <c r="AE722" s="4"/>
      <c r="AF722" s="4"/>
      <c r="AG722" s="4"/>
      <c r="AH722" s="4"/>
      <c r="AI722" s="4"/>
      <c r="AJ722" s="76" t="str">
        <f>IF(E722="○",IF(COUNTA(E$13:E722)=1,"",",")&amp;D722,"")</f>
        <v/>
      </c>
      <c r="AK722" s="4"/>
      <c r="AL722" s="4"/>
      <c r="AM722" s="4"/>
      <c r="AN722" s="4"/>
      <c r="AO722" s="4"/>
      <c r="AP722" s="4"/>
      <c r="AQ722" s="4"/>
      <c r="AR722" s="4"/>
      <c r="AS722" s="76" t="str">
        <f>"COMMENT ON COLUMN "&amp;エンティティ一覧!$O$2&amp;"."&amp;D$8&amp;"."&amp;D722&amp;" IS '"&amp;C722&amp;"';"</f>
        <v>COMMENT ON COLUMN milscm_2023_009.sny_202310_annony_bef2.shikkan704_start_date IS 'I792_疾患開始日';</v>
      </c>
    </row>
    <row r="723" spans="1:45" s="25" customFormat="1">
      <c r="A723" s="4" t="s">
        <v>5790</v>
      </c>
      <c r="B723" s="21">
        <f t="shared" si="81"/>
        <v>711</v>
      </c>
      <c r="C723" s="13" t="s">
        <v>7180</v>
      </c>
      <c r="D723" s="13" t="s">
        <v>6365</v>
      </c>
      <c r="E723" s="8"/>
      <c r="F723" s="7" t="s">
        <v>4348</v>
      </c>
      <c r="G723" s="7" t="s">
        <v>25</v>
      </c>
      <c r="H723" s="58"/>
      <c r="I723" s="23"/>
      <c r="J723" s="24"/>
      <c r="M723" s="4"/>
      <c r="N723" s="76"/>
      <c r="O723" s="76"/>
      <c r="P723" s="76" t="str">
        <f t="shared" si="82"/>
        <v>,shikkan705_start_date</v>
      </c>
      <c r="Q723" s="76" t="str">
        <f t="shared" si="83"/>
        <v>DATE</v>
      </c>
      <c r="R723" s="76" t="str">
        <f t="shared" si="84"/>
        <v/>
      </c>
      <c r="S723" s="76" t="str">
        <f t="shared" si="85"/>
        <v/>
      </c>
      <c r="T723" s="76" t="str">
        <f t="shared" si="86"/>
        <v>-- I850_疾患開始日</v>
      </c>
      <c r="U723" s="4" t="str">
        <f t="shared" si="73"/>
        <v>, CASE WHEN shikkan_disp_name = 'I850' THEN min_shikkan_start_date ::DATE ELSE NULL END AS shikkan705_start_date</v>
      </c>
      <c r="V723" s="25" t="str">
        <f t="shared" si="74"/>
        <v>, max(shikkan705_start_date)</v>
      </c>
      <c r="AA723" s="4"/>
      <c r="AB723" s="4"/>
      <c r="AC723" s="4"/>
      <c r="AD723" s="4"/>
      <c r="AE723" s="4"/>
      <c r="AF723" s="4"/>
      <c r="AG723" s="4"/>
      <c r="AH723" s="4"/>
      <c r="AI723" s="4"/>
      <c r="AJ723" s="76" t="str">
        <f>IF(E723="○",IF(COUNTA(E$13:E723)=1,"",",")&amp;D723,"")</f>
        <v/>
      </c>
      <c r="AK723" s="4"/>
      <c r="AL723" s="4"/>
      <c r="AM723" s="4"/>
      <c r="AN723" s="4"/>
      <c r="AO723" s="4"/>
      <c r="AP723" s="4"/>
      <c r="AQ723" s="4"/>
      <c r="AR723" s="4"/>
      <c r="AS723" s="76" t="str">
        <f>"COMMENT ON COLUMN "&amp;エンティティ一覧!$O$2&amp;"."&amp;D$8&amp;"."&amp;D723&amp;" IS '"&amp;C723&amp;"';"</f>
        <v>COMMENT ON COLUMN milscm_2023_009.sny_202310_annony_bef2.shikkan705_start_date IS 'I850_疾患開始日';</v>
      </c>
    </row>
    <row r="724" spans="1:45" s="25" customFormat="1">
      <c r="A724" s="4" t="s">
        <v>5791</v>
      </c>
      <c r="B724" s="21">
        <f t="shared" si="81"/>
        <v>712</v>
      </c>
      <c r="C724" s="13" t="s">
        <v>7181</v>
      </c>
      <c r="D724" s="13" t="s">
        <v>6366</v>
      </c>
      <c r="E724" s="8"/>
      <c r="F724" s="7" t="s">
        <v>4348</v>
      </c>
      <c r="G724" s="7" t="s">
        <v>25</v>
      </c>
      <c r="H724" s="58"/>
      <c r="I724" s="23"/>
      <c r="J724" s="24"/>
      <c r="M724" s="4"/>
      <c r="N724" s="76"/>
      <c r="O724" s="76"/>
      <c r="P724" s="76" t="str">
        <f t="shared" si="82"/>
        <v>,shikkan706_start_date</v>
      </c>
      <c r="Q724" s="76" t="str">
        <f t="shared" si="83"/>
        <v>DATE</v>
      </c>
      <c r="R724" s="76" t="str">
        <f t="shared" si="84"/>
        <v/>
      </c>
      <c r="S724" s="76" t="str">
        <f t="shared" si="85"/>
        <v/>
      </c>
      <c r="T724" s="76" t="str">
        <f t="shared" si="86"/>
        <v>-- I859_疾患開始日</v>
      </c>
      <c r="U724" s="4" t="str">
        <f t="shared" si="73"/>
        <v>, CASE WHEN shikkan_disp_name = 'I859' THEN min_shikkan_start_date ::DATE ELSE NULL END AS shikkan706_start_date</v>
      </c>
      <c r="V724" s="25" t="str">
        <f t="shared" si="74"/>
        <v>, max(shikkan706_start_date)</v>
      </c>
      <c r="AA724" s="4"/>
      <c r="AB724" s="4"/>
      <c r="AC724" s="4"/>
      <c r="AD724" s="4"/>
      <c r="AE724" s="4"/>
      <c r="AF724" s="4"/>
      <c r="AG724" s="4"/>
      <c r="AH724" s="4"/>
      <c r="AI724" s="4"/>
      <c r="AJ724" s="76" t="str">
        <f>IF(E724="○",IF(COUNTA(E$13:E724)=1,"",",")&amp;D724,"")</f>
        <v/>
      </c>
      <c r="AK724" s="4"/>
      <c r="AL724" s="4"/>
      <c r="AM724" s="4"/>
      <c r="AN724" s="4"/>
      <c r="AO724" s="4"/>
      <c r="AP724" s="4"/>
      <c r="AQ724" s="4"/>
      <c r="AR724" s="4"/>
      <c r="AS724" s="76" t="str">
        <f>"COMMENT ON COLUMN "&amp;エンティティ一覧!$O$2&amp;"."&amp;D$8&amp;"."&amp;D724&amp;" IS '"&amp;C724&amp;"';"</f>
        <v>COMMENT ON COLUMN milscm_2023_009.sny_202310_annony_bef2.shikkan706_start_date IS 'I859_疾患開始日';</v>
      </c>
    </row>
    <row r="725" spans="1:45" s="25" customFormat="1">
      <c r="A725" s="4" t="s">
        <v>5792</v>
      </c>
      <c r="B725" s="21">
        <f t="shared" si="81"/>
        <v>713</v>
      </c>
      <c r="C725" s="13" t="s">
        <v>7182</v>
      </c>
      <c r="D725" s="13" t="s">
        <v>6367</v>
      </c>
      <c r="E725" s="8"/>
      <c r="F725" s="7" t="s">
        <v>4348</v>
      </c>
      <c r="G725" s="7" t="s">
        <v>25</v>
      </c>
      <c r="H725" s="58"/>
      <c r="I725" s="23"/>
      <c r="J725" s="24"/>
      <c r="M725" s="4"/>
      <c r="N725" s="76"/>
      <c r="O725" s="76"/>
      <c r="P725" s="76" t="str">
        <f t="shared" si="82"/>
        <v>,shikkan707_start_date</v>
      </c>
      <c r="Q725" s="76" t="str">
        <f t="shared" si="83"/>
        <v>DATE</v>
      </c>
      <c r="R725" s="76" t="str">
        <f t="shared" si="84"/>
        <v/>
      </c>
      <c r="S725" s="76" t="str">
        <f t="shared" si="85"/>
        <v/>
      </c>
      <c r="T725" s="76" t="str">
        <f t="shared" si="86"/>
        <v>-- I864_疾患開始日</v>
      </c>
      <c r="U725" s="4" t="str">
        <f t="shared" si="73"/>
        <v>, CASE WHEN shikkan_disp_name = 'I864' THEN min_shikkan_start_date ::DATE ELSE NULL END AS shikkan707_start_date</v>
      </c>
      <c r="V725" s="25" t="str">
        <f t="shared" si="74"/>
        <v>, max(shikkan707_start_date)</v>
      </c>
      <c r="AA725" s="4"/>
      <c r="AB725" s="4"/>
      <c r="AC725" s="4"/>
      <c r="AD725" s="4"/>
      <c r="AE725" s="4"/>
      <c r="AF725" s="4"/>
      <c r="AG725" s="4"/>
      <c r="AH725" s="4"/>
      <c r="AI725" s="4"/>
      <c r="AJ725" s="76" t="str">
        <f>IF(E725="○",IF(COUNTA(E$13:E725)=1,"",",")&amp;D725,"")</f>
        <v/>
      </c>
      <c r="AK725" s="4"/>
      <c r="AL725" s="4"/>
      <c r="AM725" s="4"/>
      <c r="AN725" s="4"/>
      <c r="AO725" s="4"/>
      <c r="AP725" s="4"/>
      <c r="AQ725" s="4"/>
      <c r="AR725" s="4"/>
      <c r="AS725" s="76" t="str">
        <f>"COMMENT ON COLUMN "&amp;エンティティ一覧!$O$2&amp;"."&amp;D$8&amp;"."&amp;D725&amp;" IS '"&amp;C725&amp;"';"</f>
        <v>COMMENT ON COLUMN milscm_2023_009.sny_202310_annony_bef2.shikkan707_start_date IS 'I864_疾患開始日';</v>
      </c>
    </row>
    <row r="726" spans="1:45" s="25" customFormat="1">
      <c r="A726" s="4" t="s">
        <v>5793</v>
      </c>
      <c r="B726" s="21">
        <f t="shared" ref="B726:B789" si="87">ROW()-12</f>
        <v>714</v>
      </c>
      <c r="C726" s="13" t="s">
        <v>7183</v>
      </c>
      <c r="D726" s="13" t="s">
        <v>6368</v>
      </c>
      <c r="E726" s="8"/>
      <c r="F726" s="7" t="s">
        <v>4348</v>
      </c>
      <c r="G726" s="7" t="s">
        <v>25</v>
      </c>
      <c r="H726" s="58"/>
      <c r="I726" s="23"/>
      <c r="J726" s="24"/>
      <c r="M726" s="4"/>
      <c r="N726" s="76"/>
      <c r="O726" s="76"/>
      <c r="P726" s="76" t="str">
        <f t="shared" si="82"/>
        <v>,shikkan708_start_date</v>
      </c>
      <c r="Q726" s="76" t="str">
        <f t="shared" si="83"/>
        <v>DATE</v>
      </c>
      <c r="R726" s="76" t="str">
        <f t="shared" si="84"/>
        <v/>
      </c>
      <c r="S726" s="76" t="str">
        <f t="shared" si="85"/>
        <v/>
      </c>
      <c r="T726" s="76" t="str">
        <f t="shared" si="86"/>
        <v>-- I982_疾患開始日</v>
      </c>
      <c r="U726" s="4" t="str">
        <f t="shared" si="73"/>
        <v>, CASE WHEN shikkan_disp_name = 'I982' THEN min_shikkan_start_date ::DATE ELSE NULL END AS shikkan708_start_date</v>
      </c>
      <c r="V726" s="25" t="str">
        <f t="shared" si="74"/>
        <v>, max(shikkan708_start_date)</v>
      </c>
      <c r="AA726" s="4"/>
      <c r="AB726" s="4"/>
      <c r="AC726" s="4"/>
      <c r="AD726" s="4"/>
      <c r="AE726" s="4"/>
      <c r="AF726" s="4"/>
      <c r="AG726" s="4"/>
      <c r="AH726" s="4"/>
      <c r="AI726" s="4"/>
      <c r="AJ726" s="76" t="str">
        <f>IF(E726="○",IF(COUNTA(E$13:E726)=1,"",",")&amp;D726,"")</f>
        <v/>
      </c>
      <c r="AK726" s="4"/>
      <c r="AL726" s="4"/>
      <c r="AM726" s="4"/>
      <c r="AN726" s="4"/>
      <c r="AO726" s="4"/>
      <c r="AP726" s="4"/>
      <c r="AQ726" s="4"/>
      <c r="AR726" s="4"/>
      <c r="AS726" s="76" t="str">
        <f>"COMMENT ON COLUMN "&amp;エンティティ一覧!$O$2&amp;"."&amp;D$8&amp;"."&amp;D726&amp;" IS '"&amp;C726&amp;"';"</f>
        <v>COMMENT ON COLUMN milscm_2023_009.sny_202310_annony_bef2.shikkan708_start_date IS 'I982_疾患開始日';</v>
      </c>
    </row>
    <row r="727" spans="1:45" s="25" customFormat="1">
      <c r="A727" s="4" t="s">
        <v>5064</v>
      </c>
      <c r="B727" s="21">
        <f t="shared" si="87"/>
        <v>715</v>
      </c>
      <c r="C727" s="13" t="s">
        <v>4674</v>
      </c>
      <c r="D727" s="13" t="s">
        <v>6369</v>
      </c>
      <c r="E727" s="8"/>
      <c r="F727" s="7" t="s">
        <v>4348</v>
      </c>
      <c r="G727" s="7" t="s">
        <v>25</v>
      </c>
      <c r="H727" s="58"/>
      <c r="I727" s="23"/>
      <c r="J727" s="24"/>
      <c r="M727" s="4"/>
      <c r="N727" s="76"/>
      <c r="O727" s="76"/>
      <c r="P727" s="76" t="str">
        <f t="shared" si="82"/>
        <v>,shikkan709_start_date</v>
      </c>
      <c r="Q727" s="76" t="str">
        <f t="shared" si="83"/>
        <v>DATE</v>
      </c>
      <c r="R727" s="76" t="str">
        <f t="shared" si="84"/>
        <v/>
      </c>
      <c r="S727" s="76" t="str">
        <f t="shared" si="85"/>
        <v/>
      </c>
      <c r="T727" s="76" t="str">
        <f t="shared" si="86"/>
        <v>-- J40_疾患開始日</v>
      </c>
      <c r="U727" s="4" t="str">
        <f t="shared" si="73"/>
        <v>, CASE WHEN shikkan_disp_name = 'J40' THEN min_shikkan_start_date ::DATE ELSE NULL END AS shikkan709_start_date</v>
      </c>
      <c r="V727" s="25" t="str">
        <f t="shared" si="74"/>
        <v>, max(shikkan709_start_date)</v>
      </c>
      <c r="AA727" s="4"/>
      <c r="AB727" s="4"/>
      <c r="AC727" s="4"/>
      <c r="AD727" s="4"/>
      <c r="AE727" s="4"/>
      <c r="AF727" s="4"/>
      <c r="AG727" s="4"/>
      <c r="AH727" s="4"/>
      <c r="AI727" s="4"/>
      <c r="AJ727" s="76" t="str">
        <f>IF(E727="○",IF(COUNTA(E$13:E727)=1,"",",")&amp;D727,"")</f>
        <v/>
      </c>
      <c r="AK727" s="4"/>
      <c r="AL727" s="4"/>
      <c r="AM727" s="4"/>
      <c r="AN727" s="4"/>
      <c r="AO727" s="4"/>
      <c r="AP727" s="4"/>
      <c r="AQ727" s="4"/>
      <c r="AR727" s="4"/>
      <c r="AS727" s="76" t="str">
        <f>"COMMENT ON COLUMN "&amp;エンティティ一覧!$O$2&amp;"."&amp;D$8&amp;"."&amp;D727&amp;" IS '"&amp;C727&amp;"';"</f>
        <v>COMMENT ON COLUMN milscm_2023_009.sny_202310_annony_bef2.shikkan709_start_date IS 'J40_疾患開始日';</v>
      </c>
    </row>
    <row r="728" spans="1:45" s="25" customFormat="1">
      <c r="A728" s="4" t="s">
        <v>5794</v>
      </c>
      <c r="B728" s="21">
        <f t="shared" si="87"/>
        <v>716</v>
      </c>
      <c r="C728" s="13" t="s">
        <v>7184</v>
      </c>
      <c r="D728" s="13" t="s">
        <v>6370</v>
      </c>
      <c r="E728" s="8"/>
      <c r="F728" s="7" t="s">
        <v>4348</v>
      </c>
      <c r="G728" s="7" t="s">
        <v>25</v>
      </c>
      <c r="H728" s="58"/>
      <c r="I728" s="23"/>
      <c r="J728" s="24"/>
      <c r="M728" s="4"/>
      <c r="N728" s="76"/>
      <c r="O728" s="76"/>
      <c r="P728" s="76" t="str">
        <f t="shared" si="82"/>
        <v>,shikkan710_start_date</v>
      </c>
      <c r="Q728" s="76" t="str">
        <f t="shared" si="83"/>
        <v>DATE</v>
      </c>
      <c r="R728" s="76" t="str">
        <f t="shared" si="84"/>
        <v/>
      </c>
      <c r="S728" s="76" t="str">
        <f t="shared" si="85"/>
        <v/>
      </c>
      <c r="T728" s="76" t="str">
        <f t="shared" si="86"/>
        <v>-- J410_疾患開始日</v>
      </c>
      <c r="U728" s="4" t="str">
        <f t="shared" si="73"/>
        <v>, CASE WHEN shikkan_disp_name = 'J410' THEN min_shikkan_start_date ::DATE ELSE NULL END AS shikkan710_start_date</v>
      </c>
      <c r="V728" s="25" t="str">
        <f t="shared" si="74"/>
        <v>, max(shikkan710_start_date)</v>
      </c>
      <c r="AA728" s="4"/>
      <c r="AB728" s="4"/>
      <c r="AC728" s="4"/>
      <c r="AD728" s="4"/>
      <c r="AE728" s="4"/>
      <c r="AF728" s="4"/>
      <c r="AG728" s="4"/>
      <c r="AH728" s="4"/>
      <c r="AI728" s="4"/>
      <c r="AJ728" s="76" t="str">
        <f>IF(E728="○",IF(COUNTA(E$13:E728)=1,"",",")&amp;D728,"")</f>
        <v/>
      </c>
      <c r="AK728" s="4"/>
      <c r="AL728" s="4"/>
      <c r="AM728" s="4"/>
      <c r="AN728" s="4"/>
      <c r="AO728" s="4"/>
      <c r="AP728" s="4"/>
      <c r="AQ728" s="4"/>
      <c r="AR728" s="4"/>
      <c r="AS728" s="76" t="str">
        <f>"COMMENT ON COLUMN "&amp;エンティティ一覧!$O$2&amp;"."&amp;D$8&amp;"."&amp;D728&amp;" IS '"&amp;C728&amp;"';"</f>
        <v>COMMENT ON COLUMN milscm_2023_009.sny_202310_annony_bef2.shikkan710_start_date IS 'J410_疾患開始日';</v>
      </c>
    </row>
    <row r="729" spans="1:45" s="25" customFormat="1">
      <c r="A729" s="4" t="s">
        <v>5795</v>
      </c>
      <c r="B729" s="21">
        <f t="shared" si="87"/>
        <v>717</v>
      </c>
      <c r="C729" s="13" t="s">
        <v>7185</v>
      </c>
      <c r="D729" s="13" t="s">
        <v>6371</v>
      </c>
      <c r="E729" s="8"/>
      <c r="F729" s="7" t="s">
        <v>4348</v>
      </c>
      <c r="G729" s="7" t="s">
        <v>25</v>
      </c>
      <c r="H729" s="58"/>
      <c r="I729" s="23"/>
      <c r="J729" s="24"/>
      <c r="M729" s="4"/>
      <c r="N729" s="76"/>
      <c r="O729" s="76"/>
      <c r="P729" s="76" t="str">
        <f t="shared" si="82"/>
        <v>,shikkan711_start_date</v>
      </c>
      <c r="Q729" s="76" t="str">
        <f t="shared" si="83"/>
        <v>DATE</v>
      </c>
      <c r="R729" s="76" t="str">
        <f t="shared" si="84"/>
        <v/>
      </c>
      <c r="S729" s="76" t="str">
        <f t="shared" si="85"/>
        <v/>
      </c>
      <c r="T729" s="76" t="str">
        <f t="shared" si="86"/>
        <v>-- J411_疾患開始日</v>
      </c>
      <c r="U729" s="4" t="str">
        <f t="shared" si="73"/>
        <v>, CASE WHEN shikkan_disp_name = 'J411' THEN min_shikkan_start_date ::DATE ELSE NULL END AS shikkan711_start_date</v>
      </c>
      <c r="V729" s="25" t="str">
        <f t="shared" si="74"/>
        <v>, max(shikkan711_start_date)</v>
      </c>
      <c r="AA729" s="4"/>
      <c r="AB729" s="4"/>
      <c r="AC729" s="4"/>
      <c r="AD729" s="4"/>
      <c r="AE729" s="4"/>
      <c r="AF729" s="4"/>
      <c r="AG729" s="4"/>
      <c r="AH729" s="4"/>
      <c r="AI729" s="4"/>
      <c r="AJ729" s="76" t="str">
        <f>IF(E729="○",IF(COUNTA(E$13:E729)=1,"",",")&amp;D729,"")</f>
        <v/>
      </c>
      <c r="AK729" s="4"/>
      <c r="AL729" s="4"/>
      <c r="AM729" s="4"/>
      <c r="AN729" s="4"/>
      <c r="AO729" s="4"/>
      <c r="AP729" s="4"/>
      <c r="AQ729" s="4"/>
      <c r="AR729" s="4"/>
      <c r="AS729" s="76" t="str">
        <f>"COMMENT ON COLUMN "&amp;エンティティ一覧!$O$2&amp;"."&amp;D$8&amp;"."&amp;D729&amp;" IS '"&amp;C729&amp;"';"</f>
        <v>COMMENT ON COLUMN milscm_2023_009.sny_202310_annony_bef2.shikkan711_start_date IS 'J411_疾患開始日';</v>
      </c>
    </row>
    <row r="730" spans="1:45" s="25" customFormat="1">
      <c r="A730" s="4" t="s">
        <v>5796</v>
      </c>
      <c r="B730" s="21">
        <f t="shared" si="87"/>
        <v>718</v>
      </c>
      <c r="C730" s="13" t="s">
        <v>7186</v>
      </c>
      <c r="D730" s="13" t="s">
        <v>6372</v>
      </c>
      <c r="E730" s="8"/>
      <c r="F730" s="7" t="s">
        <v>4348</v>
      </c>
      <c r="G730" s="7" t="s">
        <v>25</v>
      </c>
      <c r="H730" s="58"/>
      <c r="I730" s="23"/>
      <c r="J730" s="24"/>
      <c r="M730" s="4"/>
      <c r="N730" s="76"/>
      <c r="O730" s="76"/>
      <c r="P730" s="76" t="str">
        <f t="shared" si="82"/>
        <v>,shikkan712_start_date</v>
      </c>
      <c r="Q730" s="76" t="str">
        <f t="shared" si="83"/>
        <v>DATE</v>
      </c>
      <c r="R730" s="76" t="str">
        <f t="shared" si="84"/>
        <v/>
      </c>
      <c r="S730" s="76" t="str">
        <f t="shared" si="85"/>
        <v/>
      </c>
      <c r="T730" s="76" t="str">
        <f t="shared" si="86"/>
        <v>-- J418_疾患開始日</v>
      </c>
      <c r="U730" s="4" t="str">
        <f t="shared" si="73"/>
        <v>, CASE WHEN shikkan_disp_name = 'J418' THEN min_shikkan_start_date ::DATE ELSE NULL END AS shikkan712_start_date</v>
      </c>
      <c r="V730" s="25" t="str">
        <f t="shared" si="74"/>
        <v>, max(shikkan712_start_date)</v>
      </c>
      <c r="AA730" s="4"/>
      <c r="AB730" s="4"/>
      <c r="AC730" s="4"/>
      <c r="AD730" s="4"/>
      <c r="AE730" s="4"/>
      <c r="AF730" s="4"/>
      <c r="AG730" s="4"/>
      <c r="AH730" s="4"/>
      <c r="AI730" s="4"/>
      <c r="AJ730" s="76" t="str">
        <f>IF(E730="○",IF(COUNTA(E$13:E730)=1,"",",")&amp;D730,"")</f>
        <v/>
      </c>
      <c r="AK730" s="4"/>
      <c r="AL730" s="4"/>
      <c r="AM730" s="4"/>
      <c r="AN730" s="4"/>
      <c r="AO730" s="4"/>
      <c r="AP730" s="4"/>
      <c r="AQ730" s="4"/>
      <c r="AR730" s="4"/>
      <c r="AS730" s="76" t="str">
        <f>"COMMENT ON COLUMN "&amp;エンティティ一覧!$O$2&amp;"."&amp;D$8&amp;"."&amp;D730&amp;" IS '"&amp;C730&amp;"';"</f>
        <v>COMMENT ON COLUMN milscm_2023_009.sny_202310_annony_bef2.shikkan712_start_date IS 'J418_疾患開始日';</v>
      </c>
    </row>
    <row r="731" spans="1:45" s="25" customFormat="1">
      <c r="A731" s="4" t="s">
        <v>5065</v>
      </c>
      <c r="B731" s="21">
        <f t="shared" si="87"/>
        <v>719</v>
      </c>
      <c r="C731" s="13" t="s">
        <v>4675</v>
      </c>
      <c r="D731" s="13" t="s">
        <v>6373</v>
      </c>
      <c r="E731" s="8"/>
      <c r="F731" s="7" t="s">
        <v>4348</v>
      </c>
      <c r="G731" s="7" t="s">
        <v>25</v>
      </c>
      <c r="H731" s="58"/>
      <c r="I731" s="23"/>
      <c r="J731" s="24"/>
      <c r="M731" s="4"/>
      <c r="N731" s="76"/>
      <c r="O731" s="76"/>
      <c r="P731" s="76" t="str">
        <f t="shared" si="82"/>
        <v>,shikkan713_start_date</v>
      </c>
      <c r="Q731" s="76" t="str">
        <f t="shared" si="83"/>
        <v>DATE</v>
      </c>
      <c r="R731" s="76" t="str">
        <f t="shared" si="84"/>
        <v/>
      </c>
      <c r="S731" s="76" t="str">
        <f t="shared" si="85"/>
        <v/>
      </c>
      <c r="T731" s="76" t="str">
        <f t="shared" si="86"/>
        <v>-- J42_疾患開始日</v>
      </c>
      <c r="U731" s="4" t="str">
        <f t="shared" si="73"/>
        <v>, CASE WHEN shikkan_disp_name = 'J42' THEN min_shikkan_start_date ::DATE ELSE NULL END AS shikkan713_start_date</v>
      </c>
      <c r="V731" s="25" t="str">
        <f t="shared" si="74"/>
        <v>, max(shikkan713_start_date)</v>
      </c>
      <c r="AA731" s="4"/>
      <c r="AB731" s="4"/>
      <c r="AC731" s="4"/>
      <c r="AD731" s="4"/>
      <c r="AE731" s="4"/>
      <c r="AF731" s="4"/>
      <c r="AG731" s="4"/>
      <c r="AH731" s="4"/>
      <c r="AI731" s="4"/>
      <c r="AJ731" s="76" t="str">
        <f>IF(E731="○",IF(COUNTA(E$13:E731)=1,"",",")&amp;D731,"")</f>
        <v/>
      </c>
      <c r="AK731" s="4"/>
      <c r="AL731" s="4"/>
      <c r="AM731" s="4"/>
      <c r="AN731" s="4"/>
      <c r="AO731" s="4"/>
      <c r="AP731" s="4"/>
      <c r="AQ731" s="4"/>
      <c r="AR731" s="4"/>
      <c r="AS731" s="76" t="str">
        <f>"COMMENT ON COLUMN "&amp;エンティティ一覧!$O$2&amp;"."&amp;D$8&amp;"."&amp;D731&amp;" IS '"&amp;C731&amp;"';"</f>
        <v>COMMENT ON COLUMN milscm_2023_009.sny_202310_annony_bef2.shikkan713_start_date IS 'J42_疾患開始日';</v>
      </c>
    </row>
    <row r="732" spans="1:45" s="25" customFormat="1">
      <c r="A732" s="4" t="s">
        <v>5797</v>
      </c>
      <c r="B732" s="21">
        <f t="shared" si="87"/>
        <v>720</v>
      </c>
      <c r="C732" s="13" t="s">
        <v>7187</v>
      </c>
      <c r="D732" s="13" t="s">
        <v>6374</v>
      </c>
      <c r="E732" s="8"/>
      <c r="F732" s="7" t="s">
        <v>4348</v>
      </c>
      <c r="G732" s="7" t="s">
        <v>25</v>
      </c>
      <c r="H732" s="58"/>
      <c r="I732" s="23"/>
      <c r="J732" s="24"/>
      <c r="M732" s="4"/>
      <c r="N732" s="76"/>
      <c r="O732" s="76"/>
      <c r="P732" s="76" t="str">
        <f t="shared" si="82"/>
        <v>,shikkan714_start_date</v>
      </c>
      <c r="Q732" s="76" t="str">
        <f t="shared" si="83"/>
        <v>DATE</v>
      </c>
      <c r="R732" s="76" t="str">
        <f t="shared" si="84"/>
        <v/>
      </c>
      <c r="S732" s="76" t="str">
        <f t="shared" si="85"/>
        <v/>
      </c>
      <c r="T732" s="76" t="str">
        <f t="shared" si="86"/>
        <v>-- J430_疾患開始日</v>
      </c>
      <c r="U732" s="4" t="str">
        <f t="shared" si="73"/>
        <v>, CASE WHEN shikkan_disp_name = 'J430' THEN min_shikkan_start_date ::DATE ELSE NULL END AS shikkan714_start_date</v>
      </c>
      <c r="V732" s="25" t="str">
        <f t="shared" si="74"/>
        <v>, max(shikkan714_start_date)</v>
      </c>
      <c r="AA732" s="4"/>
      <c r="AB732" s="4"/>
      <c r="AC732" s="4"/>
      <c r="AD732" s="4"/>
      <c r="AE732" s="4"/>
      <c r="AF732" s="4"/>
      <c r="AG732" s="4"/>
      <c r="AH732" s="4"/>
      <c r="AI732" s="4"/>
      <c r="AJ732" s="76" t="str">
        <f>IF(E732="○",IF(COUNTA(E$13:E732)=1,"",",")&amp;D732,"")</f>
        <v/>
      </c>
      <c r="AK732" s="4"/>
      <c r="AL732" s="4"/>
      <c r="AM732" s="4"/>
      <c r="AN732" s="4"/>
      <c r="AO732" s="4"/>
      <c r="AP732" s="4"/>
      <c r="AQ732" s="4"/>
      <c r="AR732" s="4"/>
      <c r="AS732" s="76" t="str">
        <f>"COMMENT ON COLUMN "&amp;エンティティ一覧!$O$2&amp;"."&amp;D$8&amp;"."&amp;D732&amp;" IS '"&amp;C732&amp;"';"</f>
        <v>COMMENT ON COLUMN milscm_2023_009.sny_202310_annony_bef2.shikkan714_start_date IS 'J430_疾患開始日';</v>
      </c>
    </row>
    <row r="733" spans="1:45" s="25" customFormat="1">
      <c r="A733" s="4" t="s">
        <v>5798</v>
      </c>
      <c r="B733" s="21">
        <f t="shared" si="87"/>
        <v>721</v>
      </c>
      <c r="C733" s="13" t="s">
        <v>7188</v>
      </c>
      <c r="D733" s="13" t="s">
        <v>6375</v>
      </c>
      <c r="E733" s="8"/>
      <c r="F733" s="7" t="s">
        <v>4348</v>
      </c>
      <c r="G733" s="7" t="s">
        <v>25</v>
      </c>
      <c r="H733" s="58"/>
      <c r="I733" s="23"/>
      <c r="J733" s="24"/>
      <c r="M733" s="4"/>
      <c r="N733" s="76"/>
      <c r="O733" s="76"/>
      <c r="P733" s="76" t="str">
        <f t="shared" si="82"/>
        <v>,shikkan715_start_date</v>
      </c>
      <c r="Q733" s="76" t="str">
        <f t="shared" si="83"/>
        <v>DATE</v>
      </c>
      <c r="R733" s="76" t="str">
        <f t="shared" si="84"/>
        <v/>
      </c>
      <c r="S733" s="76" t="str">
        <f t="shared" si="85"/>
        <v/>
      </c>
      <c r="T733" s="76" t="str">
        <f t="shared" si="86"/>
        <v>-- J431_疾患開始日</v>
      </c>
      <c r="U733" s="4" t="str">
        <f t="shared" si="73"/>
        <v>, CASE WHEN shikkan_disp_name = 'J431' THEN min_shikkan_start_date ::DATE ELSE NULL END AS shikkan715_start_date</v>
      </c>
      <c r="V733" s="25" t="str">
        <f t="shared" si="74"/>
        <v>, max(shikkan715_start_date)</v>
      </c>
      <c r="AA733" s="4"/>
      <c r="AB733" s="4"/>
      <c r="AC733" s="4"/>
      <c r="AD733" s="4"/>
      <c r="AE733" s="4"/>
      <c r="AF733" s="4"/>
      <c r="AG733" s="4"/>
      <c r="AH733" s="4"/>
      <c r="AI733" s="4"/>
      <c r="AJ733" s="76" t="str">
        <f>IF(E733="○",IF(COUNTA(E$13:E733)=1,"",",")&amp;D733,"")</f>
        <v/>
      </c>
      <c r="AK733" s="4"/>
      <c r="AL733" s="4"/>
      <c r="AM733" s="4"/>
      <c r="AN733" s="4"/>
      <c r="AO733" s="4"/>
      <c r="AP733" s="4"/>
      <c r="AQ733" s="4"/>
      <c r="AR733" s="4"/>
      <c r="AS733" s="76" t="str">
        <f>"COMMENT ON COLUMN "&amp;エンティティ一覧!$O$2&amp;"."&amp;D$8&amp;"."&amp;D733&amp;" IS '"&amp;C733&amp;"';"</f>
        <v>COMMENT ON COLUMN milscm_2023_009.sny_202310_annony_bef2.shikkan715_start_date IS 'J431_疾患開始日';</v>
      </c>
    </row>
    <row r="734" spans="1:45" s="25" customFormat="1">
      <c r="A734" s="4" t="s">
        <v>5799</v>
      </c>
      <c r="B734" s="21">
        <f t="shared" si="87"/>
        <v>722</v>
      </c>
      <c r="C734" s="13" t="s">
        <v>7189</v>
      </c>
      <c r="D734" s="13" t="s">
        <v>6376</v>
      </c>
      <c r="E734" s="8"/>
      <c r="F734" s="7" t="s">
        <v>4348</v>
      </c>
      <c r="G734" s="7" t="s">
        <v>25</v>
      </c>
      <c r="H734" s="58"/>
      <c r="I734" s="23"/>
      <c r="J734" s="24"/>
      <c r="M734" s="4"/>
      <c r="N734" s="76"/>
      <c r="O734" s="76"/>
      <c r="P734" s="76" t="str">
        <f t="shared" si="82"/>
        <v>,shikkan716_start_date</v>
      </c>
      <c r="Q734" s="76" t="str">
        <f t="shared" si="83"/>
        <v>DATE</v>
      </c>
      <c r="R734" s="76" t="str">
        <f t="shared" si="84"/>
        <v/>
      </c>
      <c r="S734" s="76" t="str">
        <f t="shared" si="85"/>
        <v/>
      </c>
      <c r="T734" s="76" t="str">
        <f t="shared" si="86"/>
        <v>-- J432_疾患開始日</v>
      </c>
      <c r="U734" s="4" t="str">
        <f t="shared" si="73"/>
        <v>, CASE WHEN shikkan_disp_name = 'J432' THEN min_shikkan_start_date ::DATE ELSE NULL END AS shikkan716_start_date</v>
      </c>
      <c r="V734" s="25" t="str">
        <f t="shared" si="74"/>
        <v>, max(shikkan716_start_date)</v>
      </c>
      <c r="AA734" s="4"/>
      <c r="AB734" s="4"/>
      <c r="AC734" s="4"/>
      <c r="AD734" s="4"/>
      <c r="AE734" s="4"/>
      <c r="AF734" s="4"/>
      <c r="AG734" s="4"/>
      <c r="AH734" s="4"/>
      <c r="AI734" s="4"/>
      <c r="AJ734" s="76" t="str">
        <f>IF(E734="○",IF(COUNTA(E$13:E734)=1,"",",")&amp;D734,"")</f>
        <v/>
      </c>
      <c r="AK734" s="4"/>
      <c r="AL734" s="4"/>
      <c r="AM734" s="4"/>
      <c r="AN734" s="4"/>
      <c r="AO734" s="4"/>
      <c r="AP734" s="4"/>
      <c r="AQ734" s="4"/>
      <c r="AR734" s="4"/>
      <c r="AS734" s="76" t="str">
        <f>"COMMENT ON COLUMN "&amp;エンティティ一覧!$O$2&amp;"."&amp;D$8&amp;"."&amp;D734&amp;" IS '"&amp;C734&amp;"';"</f>
        <v>COMMENT ON COLUMN milscm_2023_009.sny_202310_annony_bef2.shikkan716_start_date IS 'J432_疾患開始日';</v>
      </c>
    </row>
    <row r="735" spans="1:45" s="25" customFormat="1">
      <c r="A735" s="4" t="s">
        <v>5800</v>
      </c>
      <c r="B735" s="21">
        <f t="shared" si="87"/>
        <v>723</v>
      </c>
      <c r="C735" s="13" t="s">
        <v>7190</v>
      </c>
      <c r="D735" s="13" t="s">
        <v>6377</v>
      </c>
      <c r="E735" s="8"/>
      <c r="F735" s="7" t="s">
        <v>4348</v>
      </c>
      <c r="G735" s="7" t="s">
        <v>25</v>
      </c>
      <c r="H735" s="58"/>
      <c r="I735" s="23"/>
      <c r="J735" s="24"/>
      <c r="M735" s="4"/>
      <c r="N735" s="76"/>
      <c r="O735" s="76"/>
      <c r="P735" s="76" t="str">
        <f t="shared" si="82"/>
        <v>,shikkan717_start_date</v>
      </c>
      <c r="Q735" s="76" t="str">
        <f t="shared" si="83"/>
        <v>DATE</v>
      </c>
      <c r="R735" s="76" t="str">
        <f t="shared" si="84"/>
        <v/>
      </c>
      <c r="S735" s="76" t="str">
        <f t="shared" si="85"/>
        <v/>
      </c>
      <c r="T735" s="76" t="str">
        <f t="shared" si="86"/>
        <v>-- J438_疾患開始日</v>
      </c>
      <c r="U735" s="4" t="str">
        <f t="shared" si="73"/>
        <v>, CASE WHEN shikkan_disp_name = 'J438' THEN min_shikkan_start_date ::DATE ELSE NULL END AS shikkan717_start_date</v>
      </c>
      <c r="V735" s="25" t="str">
        <f t="shared" si="74"/>
        <v>, max(shikkan717_start_date)</v>
      </c>
      <c r="AA735" s="4"/>
      <c r="AB735" s="4"/>
      <c r="AC735" s="4"/>
      <c r="AD735" s="4"/>
      <c r="AE735" s="4"/>
      <c r="AF735" s="4"/>
      <c r="AG735" s="4"/>
      <c r="AH735" s="4"/>
      <c r="AI735" s="4"/>
      <c r="AJ735" s="76" t="str">
        <f>IF(E735="○",IF(COUNTA(E$13:E735)=1,"",",")&amp;D735,"")</f>
        <v/>
      </c>
      <c r="AK735" s="4"/>
      <c r="AL735" s="4"/>
      <c r="AM735" s="4"/>
      <c r="AN735" s="4"/>
      <c r="AO735" s="4"/>
      <c r="AP735" s="4"/>
      <c r="AQ735" s="4"/>
      <c r="AR735" s="4"/>
      <c r="AS735" s="76" t="str">
        <f>"COMMENT ON COLUMN "&amp;エンティティ一覧!$O$2&amp;"."&amp;D$8&amp;"."&amp;D735&amp;" IS '"&amp;C735&amp;"';"</f>
        <v>COMMENT ON COLUMN milscm_2023_009.sny_202310_annony_bef2.shikkan717_start_date IS 'J438_疾患開始日';</v>
      </c>
    </row>
    <row r="736" spans="1:45" s="25" customFormat="1">
      <c r="A736" s="4" t="s">
        <v>5801</v>
      </c>
      <c r="B736" s="21">
        <f t="shared" si="87"/>
        <v>724</v>
      </c>
      <c r="C736" s="13" t="s">
        <v>7191</v>
      </c>
      <c r="D736" s="13" t="s">
        <v>6378</v>
      </c>
      <c r="E736" s="8"/>
      <c r="F736" s="7" t="s">
        <v>4348</v>
      </c>
      <c r="G736" s="7" t="s">
        <v>25</v>
      </c>
      <c r="H736" s="58"/>
      <c r="I736" s="23"/>
      <c r="J736" s="24"/>
      <c r="M736" s="4"/>
      <c r="N736" s="76"/>
      <c r="O736" s="76"/>
      <c r="P736" s="76" t="str">
        <f t="shared" si="82"/>
        <v>,shikkan718_start_date</v>
      </c>
      <c r="Q736" s="76" t="str">
        <f t="shared" si="83"/>
        <v>DATE</v>
      </c>
      <c r="R736" s="76" t="str">
        <f t="shared" si="84"/>
        <v/>
      </c>
      <c r="S736" s="76" t="str">
        <f t="shared" si="85"/>
        <v/>
      </c>
      <c r="T736" s="76" t="str">
        <f t="shared" si="86"/>
        <v>-- J439_疾患開始日</v>
      </c>
      <c r="U736" s="4" t="str">
        <f t="shared" si="73"/>
        <v>, CASE WHEN shikkan_disp_name = 'J439' THEN min_shikkan_start_date ::DATE ELSE NULL END AS shikkan718_start_date</v>
      </c>
      <c r="V736" s="25" t="str">
        <f t="shared" si="74"/>
        <v>, max(shikkan718_start_date)</v>
      </c>
      <c r="AA736" s="4"/>
      <c r="AB736" s="4"/>
      <c r="AC736" s="4"/>
      <c r="AD736" s="4"/>
      <c r="AE736" s="4"/>
      <c r="AF736" s="4"/>
      <c r="AG736" s="4"/>
      <c r="AH736" s="4"/>
      <c r="AI736" s="4"/>
      <c r="AJ736" s="76" t="str">
        <f>IF(E736="○",IF(COUNTA(E$13:E736)=1,"",",")&amp;D736,"")</f>
        <v/>
      </c>
      <c r="AK736" s="4"/>
      <c r="AL736" s="4"/>
      <c r="AM736" s="4"/>
      <c r="AN736" s="4"/>
      <c r="AO736" s="4"/>
      <c r="AP736" s="4"/>
      <c r="AQ736" s="4"/>
      <c r="AR736" s="4"/>
      <c r="AS736" s="76" t="str">
        <f>"COMMENT ON COLUMN "&amp;エンティティ一覧!$O$2&amp;"."&amp;D$8&amp;"."&amp;D736&amp;" IS '"&amp;C736&amp;"';"</f>
        <v>COMMENT ON COLUMN milscm_2023_009.sny_202310_annony_bef2.shikkan718_start_date IS 'J439_疾患開始日';</v>
      </c>
    </row>
    <row r="737" spans="1:45" s="25" customFormat="1">
      <c r="A737" s="4" t="s">
        <v>5802</v>
      </c>
      <c r="B737" s="21">
        <f t="shared" si="87"/>
        <v>725</v>
      </c>
      <c r="C737" s="13" t="s">
        <v>7192</v>
      </c>
      <c r="D737" s="13" t="s">
        <v>6379</v>
      </c>
      <c r="E737" s="8"/>
      <c r="F737" s="7" t="s">
        <v>4348</v>
      </c>
      <c r="G737" s="7" t="s">
        <v>99</v>
      </c>
      <c r="H737" s="58"/>
      <c r="I737" s="23"/>
      <c r="J737" s="24"/>
      <c r="M737" s="4"/>
      <c r="N737" s="76"/>
      <c r="O737" s="76"/>
      <c r="P737" s="76" t="str">
        <f t="shared" si="82"/>
        <v>,shikkan719_start_date</v>
      </c>
      <c r="Q737" s="76" t="str">
        <f t="shared" si="83"/>
        <v>DATE</v>
      </c>
      <c r="R737" s="76" t="str">
        <f t="shared" si="84"/>
        <v/>
      </c>
      <c r="S737" s="76" t="str">
        <f t="shared" si="85"/>
        <v/>
      </c>
      <c r="T737" s="76" t="str">
        <f t="shared" si="86"/>
        <v>-- J440_疾患開始日</v>
      </c>
      <c r="U737" s="4" t="str">
        <f t="shared" si="73"/>
        <v>, CASE WHEN shikkan_disp_name = 'J440' THEN min_shikkan_start_date ::DATE ELSE NULL END AS shikkan719_start_date</v>
      </c>
      <c r="V737" s="25" t="str">
        <f t="shared" si="74"/>
        <v>, max(shikkan719_start_date)</v>
      </c>
      <c r="AA737" s="4"/>
      <c r="AB737" s="4"/>
      <c r="AC737" s="4"/>
      <c r="AD737" s="4"/>
      <c r="AE737" s="4"/>
      <c r="AF737" s="4"/>
      <c r="AG737" s="4"/>
      <c r="AH737" s="4"/>
      <c r="AI737" s="4"/>
      <c r="AJ737" s="76" t="str">
        <f>IF(E737="○",IF(COUNTA(E$13:E737)=1,"",",")&amp;D737,"")</f>
        <v/>
      </c>
      <c r="AK737" s="4"/>
      <c r="AL737" s="4"/>
      <c r="AM737" s="4"/>
      <c r="AN737" s="4"/>
      <c r="AO737" s="4"/>
      <c r="AP737" s="4"/>
      <c r="AQ737" s="4"/>
      <c r="AR737" s="4"/>
      <c r="AS737" s="76" t="str">
        <f>"COMMENT ON COLUMN "&amp;エンティティ一覧!$O$2&amp;"."&amp;D$8&amp;"."&amp;D737&amp;" IS '"&amp;C737&amp;"';"</f>
        <v>COMMENT ON COLUMN milscm_2023_009.sny_202310_annony_bef2.shikkan719_start_date IS 'J440_疾患開始日';</v>
      </c>
    </row>
    <row r="738" spans="1:45" s="25" customFormat="1">
      <c r="A738" s="4" t="s">
        <v>5803</v>
      </c>
      <c r="B738" s="21">
        <f t="shared" si="87"/>
        <v>726</v>
      </c>
      <c r="C738" s="13" t="s">
        <v>7193</v>
      </c>
      <c r="D738" s="13" t="s">
        <v>6380</v>
      </c>
      <c r="E738" s="8"/>
      <c r="F738" s="7" t="s">
        <v>4348</v>
      </c>
      <c r="G738" s="7" t="s">
        <v>25</v>
      </c>
      <c r="H738" s="58"/>
      <c r="I738" s="23"/>
      <c r="J738" s="24"/>
      <c r="M738" s="4"/>
      <c r="N738" s="76"/>
      <c r="O738" s="76"/>
      <c r="P738" s="76" t="str">
        <f t="shared" si="82"/>
        <v>,shikkan720_start_date</v>
      </c>
      <c r="Q738" s="76" t="str">
        <f t="shared" si="83"/>
        <v>DATE</v>
      </c>
      <c r="R738" s="76" t="str">
        <f t="shared" si="84"/>
        <v/>
      </c>
      <c r="S738" s="76" t="str">
        <f t="shared" si="85"/>
        <v/>
      </c>
      <c r="T738" s="76" t="str">
        <f t="shared" si="86"/>
        <v>-- J441_疾患開始日</v>
      </c>
      <c r="U738" s="4" t="str">
        <f t="shared" si="73"/>
        <v>, CASE WHEN shikkan_disp_name = 'J441' THEN min_shikkan_start_date ::DATE ELSE NULL END AS shikkan720_start_date</v>
      </c>
      <c r="V738" s="25" t="str">
        <f t="shared" si="74"/>
        <v>, max(shikkan720_start_date)</v>
      </c>
      <c r="AA738" s="4"/>
      <c r="AB738" s="4"/>
      <c r="AC738" s="4"/>
      <c r="AD738" s="4"/>
      <c r="AE738" s="4"/>
      <c r="AF738" s="4"/>
      <c r="AG738" s="4"/>
      <c r="AH738" s="4"/>
      <c r="AI738" s="4"/>
      <c r="AJ738" s="76" t="str">
        <f>IF(E738="○",IF(COUNTA(E$13:E738)=1,"",",")&amp;D738,"")</f>
        <v/>
      </c>
      <c r="AK738" s="4"/>
      <c r="AL738" s="4"/>
      <c r="AM738" s="4"/>
      <c r="AN738" s="4"/>
      <c r="AO738" s="4"/>
      <c r="AP738" s="4"/>
      <c r="AQ738" s="4"/>
      <c r="AR738" s="4"/>
      <c r="AS738" s="76" t="str">
        <f>"COMMENT ON COLUMN "&amp;エンティティ一覧!$O$2&amp;"."&amp;D$8&amp;"."&amp;D738&amp;" IS '"&amp;C738&amp;"';"</f>
        <v>COMMENT ON COLUMN milscm_2023_009.sny_202310_annony_bef2.shikkan720_start_date IS 'J441_疾患開始日';</v>
      </c>
    </row>
    <row r="739" spans="1:45" s="25" customFormat="1">
      <c r="A739" s="4" t="s">
        <v>5804</v>
      </c>
      <c r="B739" s="21">
        <f t="shared" si="87"/>
        <v>727</v>
      </c>
      <c r="C739" s="13" t="s">
        <v>7194</v>
      </c>
      <c r="D739" s="13" t="s">
        <v>6381</v>
      </c>
      <c r="E739" s="8"/>
      <c r="F739" s="7" t="s">
        <v>4348</v>
      </c>
      <c r="G739" s="7" t="s">
        <v>25</v>
      </c>
      <c r="H739" s="58"/>
      <c r="I739" s="23"/>
      <c r="J739" s="24"/>
      <c r="M739" s="4"/>
      <c r="N739" s="76"/>
      <c r="O739" s="76"/>
      <c r="P739" s="76" t="str">
        <f t="shared" si="82"/>
        <v>,shikkan721_start_date</v>
      </c>
      <c r="Q739" s="76" t="str">
        <f t="shared" si="83"/>
        <v>DATE</v>
      </c>
      <c r="R739" s="76" t="str">
        <f t="shared" si="84"/>
        <v/>
      </c>
      <c r="S739" s="76" t="str">
        <f t="shared" si="85"/>
        <v/>
      </c>
      <c r="T739" s="76" t="str">
        <f t="shared" si="86"/>
        <v>-- J448_疾患開始日</v>
      </c>
      <c r="U739" s="4" t="str">
        <f t="shared" si="73"/>
        <v>, CASE WHEN shikkan_disp_name = 'J448' THEN min_shikkan_start_date ::DATE ELSE NULL END AS shikkan721_start_date</v>
      </c>
      <c r="V739" s="25" t="str">
        <f t="shared" si="74"/>
        <v>, max(shikkan721_start_date)</v>
      </c>
      <c r="AA739" s="4"/>
      <c r="AB739" s="4"/>
      <c r="AC739" s="4"/>
      <c r="AD739" s="4"/>
      <c r="AE739" s="4"/>
      <c r="AF739" s="4"/>
      <c r="AG739" s="4"/>
      <c r="AH739" s="4"/>
      <c r="AI739" s="4"/>
      <c r="AJ739" s="76" t="str">
        <f>IF(E739="○",IF(COUNTA(E$13:E739)=1,"",",")&amp;D739,"")</f>
        <v/>
      </c>
      <c r="AK739" s="4"/>
      <c r="AL739" s="4"/>
      <c r="AM739" s="4"/>
      <c r="AN739" s="4"/>
      <c r="AO739" s="4"/>
      <c r="AP739" s="4"/>
      <c r="AQ739" s="4"/>
      <c r="AR739" s="4"/>
      <c r="AS739" s="76" t="str">
        <f>"COMMENT ON COLUMN "&amp;エンティティ一覧!$O$2&amp;"."&amp;D$8&amp;"."&amp;D739&amp;" IS '"&amp;C739&amp;"';"</f>
        <v>COMMENT ON COLUMN milscm_2023_009.sny_202310_annony_bef2.shikkan721_start_date IS 'J448_疾患開始日';</v>
      </c>
    </row>
    <row r="740" spans="1:45" s="25" customFormat="1">
      <c r="A740" s="4" t="s">
        <v>5805</v>
      </c>
      <c r="B740" s="21">
        <f t="shared" si="87"/>
        <v>728</v>
      </c>
      <c r="C740" s="13" t="s">
        <v>7195</v>
      </c>
      <c r="D740" s="13" t="s">
        <v>6382</v>
      </c>
      <c r="E740" s="8"/>
      <c r="F740" s="7" t="s">
        <v>4348</v>
      </c>
      <c r="G740" s="7" t="s">
        <v>25</v>
      </c>
      <c r="H740" s="58"/>
      <c r="I740" s="23"/>
      <c r="J740" s="24"/>
      <c r="M740" s="4"/>
      <c r="N740" s="76"/>
      <c r="O740" s="76"/>
      <c r="P740" s="76" t="str">
        <f t="shared" ref="P740:P803" si="88">IF(B740&lt;&gt;1,","&amp;D740,D740)</f>
        <v>,shikkan722_start_date</v>
      </c>
      <c r="Q740" s="76" t="str">
        <f t="shared" ref="Q740:Q803" si="89">UPPER(G740)</f>
        <v>DATE</v>
      </c>
      <c r="R740" s="76" t="str">
        <f t="shared" ref="R740:R803" si="90">IF(H740&lt;&gt;"","default "&amp;IF(G740="text","'"&amp;H740&amp;"'",H740),"")</f>
        <v/>
      </c>
      <c r="S740" s="76" t="str">
        <f t="shared" ref="S740:S803" si="91">IF(I740="○","NOT NULL","")</f>
        <v/>
      </c>
      <c r="T740" s="76" t="str">
        <f t="shared" ref="T740:T803" si="92">"-- "&amp;C740</f>
        <v>-- J449_疾患開始日</v>
      </c>
      <c r="U740" s="4" t="str">
        <f t="shared" si="73"/>
        <v>, CASE WHEN shikkan_disp_name = 'J449' THEN min_shikkan_start_date ::DATE ELSE NULL END AS shikkan722_start_date</v>
      </c>
      <c r="V740" s="25" t="str">
        <f t="shared" si="74"/>
        <v>, max(shikkan722_start_date)</v>
      </c>
      <c r="AA740" s="4"/>
      <c r="AB740" s="4"/>
      <c r="AC740" s="4"/>
      <c r="AD740" s="4"/>
      <c r="AE740" s="4"/>
      <c r="AF740" s="4"/>
      <c r="AG740" s="4"/>
      <c r="AH740" s="4"/>
      <c r="AI740" s="4"/>
      <c r="AJ740" s="76" t="str">
        <f>IF(E740="○",IF(COUNTA(E$13:E740)=1,"",",")&amp;D740,"")</f>
        <v/>
      </c>
      <c r="AK740" s="4"/>
      <c r="AL740" s="4"/>
      <c r="AM740" s="4"/>
      <c r="AN740" s="4"/>
      <c r="AO740" s="4"/>
      <c r="AP740" s="4"/>
      <c r="AQ740" s="4"/>
      <c r="AR740" s="4"/>
      <c r="AS740" s="76" t="str">
        <f>"COMMENT ON COLUMN "&amp;エンティティ一覧!$O$2&amp;"."&amp;D$8&amp;"."&amp;D740&amp;" IS '"&amp;C740&amp;"';"</f>
        <v>COMMENT ON COLUMN milscm_2023_009.sny_202310_annony_bef2.shikkan722_start_date IS 'J449_疾患開始日';</v>
      </c>
    </row>
    <row r="741" spans="1:45" s="25" customFormat="1">
      <c r="A741" s="4" t="s">
        <v>5806</v>
      </c>
      <c r="B741" s="21">
        <f t="shared" si="87"/>
        <v>729</v>
      </c>
      <c r="C741" s="13" t="s">
        <v>7196</v>
      </c>
      <c r="D741" s="13" t="s">
        <v>6383</v>
      </c>
      <c r="E741" s="8"/>
      <c r="F741" s="7" t="s">
        <v>4348</v>
      </c>
      <c r="G741" s="7" t="s">
        <v>25</v>
      </c>
      <c r="H741" s="58"/>
      <c r="I741" s="23"/>
      <c r="J741" s="24"/>
      <c r="M741" s="4"/>
      <c r="N741" s="76"/>
      <c r="O741" s="76"/>
      <c r="P741" s="76" t="str">
        <f t="shared" si="88"/>
        <v>,shikkan723_start_date</v>
      </c>
      <c r="Q741" s="76" t="str">
        <f t="shared" si="89"/>
        <v>DATE</v>
      </c>
      <c r="R741" s="76" t="str">
        <f t="shared" si="90"/>
        <v/>
      </c>
      <c r="S741" s="76" t="str">
        <f t="shared" si="91"/>
        <v/>
      </c>
      <c r="T741" s="76" t="str">
        <f t="shared" si="92"/>
        <v>-- J450_疾患開始日</v>
      </c>
      <c r="U741" s="4" t="str">
        <f t="shared" si="73"/>
        <v>, CASE WHEN shikkan_disp_name = 'J450' THEN min_shikkan_start_date ::DATE ELSE NULL END AS shikkan723_start_date</v>
      </c>
      <c r="V741" s="25" t="str">
        <f t="shared" si="74"/>
        <v>, max(shikkan723_start_date)</v>
      </c>
      <c r="AA741" s="4"/>
      <c r="AB741" s="4"/>
      <c r="AC741" s="4"/>
      <c r="AD741" s="4"/>
      <c r="AE741" s="4"/>
      <c r="AF741" s="4"/>
      <c r="AG741" s="4"/>
      <c r="AH741" s="4"/>
      <c r="AI741" s="4"/>
      <c r="AJ741" s="76" t="str">
        <f>IF(E741="○",IF(COUNTA(E$13:E741)=1,"",",")&amp;D741,"")</f>
        <v/>
      </c>
      <c r="AK741" s="4"/>
      <c r="AL741" s="4"/>
      <c r="AM741" s="4"/>
      <c r="AN741" s="4"/>
      <c r="AO741" s="4"/>
      <c r="AP741" s="4"/>
      <c r="AQ741" s="4"/>
      <c r="AR741" s="4"/>
      <c r="AS741" s="76" t="str">
        <f>"COMMENT ON COLUMN "&amp;エンティティ一覧!$O$2&amp;"."&amp;D$8&amp;"."&amp;D741&amp;" IS '"&amp;C741&amp;"';"</f>
        <v>COMMENT ON COLUMN milscm_2023_009.sny_202310_annony_bef2.shikkan723_start_date IS 'J450_疾患開始日';</v>
      </c>
    </row>
    <row r="742" spans="1:45" s="25" customFormat="1">
      <c r="A742" s="4" t="s">
        <v>5807</v>
      </c>
      <c r="B742" s="21">
        <f t="shared" si="87"/>
        <v>730</v>
      </c>
      <c r="C742" s="13" t="s">
        <v>7197</v>
      </c>
      <c r="D742" s="13" t="s">
        <v>6384</v>
      </c>
      <c r="E742" s="8"/>
      <c r="F742" s="7" t="s">
        <v>4348</v>
      </c>
      <c r="G742" s="7" t="s">
        <v>25</v>
      </c>
      <c r="H742" s="58"/>
      <c r="I742" s="23"/>
      <c r="J742" s="24"/>
      <c r="M742" s="4"/>
      <c r="N742" s="76"/>
      <c r="O742" s="76"/>
      <c r="P742" s="76" t="str">
        <f t="shared" si="88"/>
        <v>,shikkan724_start_date</v>
      </c>
      <c r="Q742" s="76" t="str">
        <f t="shared" si="89"/>
        <v>DATE</v>
      </c>
      <c r="R742" s="76" t="str">
        <f t="shared" si="90"/>
        <v/>
      </c>
      <c r="S742" s="76" t="str">
        <f t="shared" si="91"/>
        <v/>
      </c>
      <c r="T742" s="76" t="str">
        <f t="shared" si="92"/>
        <v>-- J451_疾患開始日</v>
      </c>
      <c r="U742" s="4" t="str">
        <f t="shared" si="73"/>
        <v>, CASE WHEN shikkan_disp_name = 'J451' THEN min_shikkan_start_date ::DATE ELSE NULL END AS shikkan724_start_date</v>
      </c>
      <c r="V742" s="25" t="str">
        <f t="shared" si="74"/>
        <v>, max(shikkan724_start_date)</v>
      </c>
      <c r="AA742" s="4"/>
      <c r="AB742" s="4"/>
      <c r="AC742" s="4"/>
      <c r="AD742" s="4"/>
      <c r="AE742" s="4"/>
      <c r="AF742" s="4"/>
      <c r="AG742" s="4"/>
      <c r="AH742" s="4"/>
      <c r="AI742" s="4"/>
      <c r="AJ742" s="76" t="str">
        <f>IF(E742="○",IF(COUNTA(E$13:E742)=1,"",",")&amp;D742,"")</f>
        <v/>
      </c>
      <c r="AK742" s="4"/>
      <c r="AL742" s="4"/>
      <c r="AM742" s="4"/>
      <c r="AN742" s="4"/>
      <c r="AO742" s="4"/>
      <c r="AP742" s="4"/>
      <c r="AQ742" s="4"/>
      <c r="AR742" s="4"/>
      <c r="AS742" s="76" t="str">
        <f>"COMMENT ON COLUMN "&amp;エンティティ一覧!$O$2&amp;"."&amp;D$8&amp;"."&amp;D742&amp;" IS '"&amp;C742&amp;"';"</f>
        <v>COMMENT ON COLUMN milscm_2023_009.sny_202310_annony_bef2.shikkan724_start_date IS 'J451_疾患開始日';</v>
      </c>
    </row>
    <row r="743" spans="1:45" s="25" customFormat="1">
      <c r="A743" s="4" t="s">
        <v>5808</v>
      </c>
      <c r="B743" s="21">
        <f t="shared" si="87"/>
        <v>731</v>
      </c>
      <c r="C743" s="13" t="s">
        <v>7198</v>
      </c>
      <c r="D743" s="13" t="s">
        <v>6385</v>
      </c>
      <c r="E743" s="8"/>
      <c r="F743" s="7" t="s">
        <v>4348</v>
      </c>
      <c r="G743" s="7" t="s">
        <v>25</v>
      </c>
      <c r="H743" s="58"/>
      <c r="I743" s="23"/>
      <c r="J743" s="24"/>
      <c r="M743" s="4"/>
      <c r="N743" s="76"/>
      <c r="O743" s="76"/>
      <c r="P743" s="76" t="str">
        <f t="shared" si="88"/>
        <v>,shikkan725_start_date</v>
      </c>
      <c r="Q743" s="76" t="str">
        <f t="shared" si="89"/>
        <v>DATE</v>
      </c>
      <c r="R743" s="76" t="str">
        <f t="shared" si="90"/>
        <v/>
      </c>
      <c r="S743" s="76" t="str">
        <f t="shared" si="91"/>
        <v/>
      </c>
      <c r="T743" s="76" t="str">
        <f t="shared" si="92"/>
        <v>-- J458_疾患開始日</v>
      </c>
      <c r="U743" s="4" t="str">
        <f t="shared" si="73"/>
        <v>, CASE WHEN shikkan_disp_name = 'J458' THEN min_shikkan_start_date ::DATE ELSE NULL END AS shikkan725_start_date</v>
      </c>
      <c r="V743" s="25" t="str">
        <f t="shared" si="74"/>
        <v>, max(shikkan725_start_date)</v>
      </c>
      <c r="AA743" s="4"/>
      <c r="AB743" s="4"/>
      <c r="AC743" s="4"/>
      <c r="AD743" s="4"/>
      <c r="AE743" s="4"/>
      <c r="AF743" s="4"/>
      <c r="AG743" s="4"/>
      <c r="AH743" s="4"/>
      <c r="AI743" s="4"/>
      <c r="AJ743" s="76" t="str">
        <f>IF(E743="○",IF(COUNTA(E$13:E743)=1,"",",")&amp;D743,"")</f>
        <v/>
      </c>
      <c r="AK743" s="4"/>
      <c r="AL743" s="4"/>
      <c r="AM743" s="4"/>
      <c r="AN743" s="4"/>
      <c r="AO743" s="4"/>
      <c r="AP743" s="4"/>
      <c r="AQ743" s="4"/>
      <c r="AR743" s="4"/>
      <c r="AS743" s="76" t="str">
        <f>"COMMENT ON COLUMN "&amp;エンティティ一覧!$O$2&amp;"."&amp;D$8&amp;"."&amp;D743&amp;" IS '"&amp;C743&amp;"';"</f>
        <v>COMMENT ON COLUMN milscm_2023_009.sny_202310_annony_bef2.shikkan725_start_date IS 'J458_疾患開始日';</v>
      </c>
    </row>
    <row r="744" spans="1:45" s="25" customFormat="1">
      <c r="A744" s="4" t="s">
        <v>5809</v>
      </c>
      <c r="B744" s="21">
        <f t="shared" si="87"/>
        <v>732</v>
      </c>
      <c r="C744" s="13" t="s">
        <v>7199</v>
      </c>
      <c r="D744" s="13" t="s">
        <v>6386</v>
      </c>
      <c r="E744" s="8"/>
      <c r="F744" s="7" t="s">
        <v>4348</v>
      </c>
      <c r="G744" s="7" t="s">
        <v>25</v>
      </c>
      <c r="H744" s="58"/>
      <c r="I744" s="23"/>
      <c r="J744" s="24"/>
      <c r="M744" s="4"/>
      <c r="N744" s="76"/>
      <c r="O744" s="76"/>
      <c r="P744" s="76" t="str">
        <f t="shared" si="88"/>
        <v>,shikkan726_start_date</v>
      </c>
      <c r="Q744" s="76" t="str">
        <f t="shared" si="89"/>
        <v>DATE</v>
      </c>
      <c r="R744" s="76" t="str">
        <f t="shared" si="90"/>
        <v/>
      </c>
      <c r="S744" s="76" t="str">
        <f t="shared" si="91"/>
        <v/>
      </c>
      <c r="T744" s="76" t="str">
        <f t="shared" si="92"/>
        <v>-- J459_疾患開始日</v>
      </c>
      <c r="U744" s="4" t="str">
        <f t="shared" si="73"/>
        <v>, CASE WHEN shikkan_disp_name = 'J459' THEN min_shikkan_start_date ::DATE ELSE NULL END AS shikkan726_start_date</v>
      </c>
      <c r="V744" s="25" t="str">
        <f t="shared" si="74"/>
        <v>, max(shikkan726_start_date)</v>
      </c>
      <c r="AA744" s="4"/>
      <c r="AB744" s="4"/>
      <c r="AC744" s="4"/>
      <c r="AD744" s="4"/>
      <c r="AE744" s="4"/>
      <c r="AF744" s="4"/>
      <c r="AG744" s="4"/>
      <c r="AH744" s="4"/>
      <c r="AI744" s="4"/>
      <c r="AJ744" s="76" t="str">
        <f>IF(E744="○",IF(COUNTA(E$13:E744)=1,"",",")&amp;D744,"")</f>
        <v/>
      </c>
      <c r="AK744" s="4"/>
      <c r="AL744" s="4"/>
      <c r="AM744" s="4"/>
      <c r="AN744" s="4"/>
      <c r="AO744" s="4"/>
      <c r="AP744" s="4"/>
      <c r="AQ744" s="4"/>
      <c r="AR744" s="4"/>
      <c r="AS744" s="76" t="str">
        <f>"COMMENT ON COLUMN "&amp;エンティティ一覧!$O$2&amp;"."&amp;D$8&amp;"."&amp;D744&amp;" IS '"&amp;C744&amp;"';"</f>
        <v>COMMENT ON COLUMN milscm_2023_009.sny_202310_annony_bef2.shikkan726_start_date IS 'J459_疾患開始日';</v>
      </c>
    </row>
    <row r="745" spans="1:45" s="25" customFormat="1">
      <c r="A745" s="4" t="s">
        <v>5066</v>
      </c>
      <c r="B745" s="21">
        <f t="shared" si="87"/>
        <v>733</v>
      </c>
      <c r="C745" s="13" t="s">
        <v>4676</v>
      </c>
      <c r="D745" s="13" t="s">
        <v>6387</v>
      </c>
      <c r="E745" s="8"/>
      <c r="F745" s="7" t="s">
        <v>4348</v>
      </c>
      <c r="G745" s="7" t="s">
        <v>25</v>
      </c>
      <c r="H745" s="58"/>
      <c r="I745" s="23"/>
      <c r="J745" s="24"/>
      <c r="M745" s="4"/>
      <c r="N745" s="76"/>
      <c r="O745" s="76"/>
      <c r="P745" s="76" t="str">
        <f t="shared" si="88"/>
        <v>,shikkan727_start_date</v>
      </c>
      <c r="Q745" s="76" t="str">
        <f t="shared" si="89"/>
        <v>DATE</v>
      </c>
      <c r="R745" s="76" t="str">
        <f t="shared" si="90"/>
        <v/>
      </c>
      <c r="S745" s="76" t="str">
        <f t="shared" si="91"/>
        <v/>
      </c>
      <c r="T745" s="76" t="str">
        <f t="shared" si="92"/>
        <v>-- J46_疾患開始日</v>
      </c>
      <c r="U745" s="4" t="str">
        <f t="shared" si="73"/>
        <v>, CASE WHEN shikkan_disp_name = 'J46' THEN min_shikkan_start_date ::DATE ELSE NULL END AS shikkan727_start_date</v>
      </c>
      <c r="V745" s="25" t="str">
        <f t="shared" si="74"/>
        <v>, max(shikkan727_start_date)</v>
      </c>
      <c r="AA745" s="4"/>
      <c r="AB745" s="4"/>
      <c r="AC745" s="4"/>
      <c r="AD745" s="4"/>
      <c r="AE745" s="4"/>
      <c r="AF745" s="4"/>
      <c r="AG745" s="4"/>
      <c r="AH745" s="4"/>
      <c r="AI745" s="4"/>
      <c r="AJ745" s="76" t="str">
        <f>IF(E745="○",IF(COUNTA(E$13:E745)=1,"",",")&amp;D745,"")</f>
        <v/>
      </c>
      <c r="AK745" s="4"/>
      <c r="AL745" s="4"/>
      <c r="AM745" s="4"/>
      <c r="AN745" s="4"/>
      <c r="AO745" s="4"/>
      <c r="AP745" s="4"/>
      <c r="AQ745" s="4"/>
      <c r="AR745" s="4"/>
      <c r="AS745" s="76" t="str">
        <f>"COMMENT ON COLUMN "&amp;エンティティ一覧!$O$2&amp;"."&amp;D$8&amp;"."&amp;D745&amp;" IS '"&amp;C745&amp;"';"</f>
        <v>COMMENT ON COLUMN milscm_2023_009.sny_202310_annony_bef2.shikkan727_start_date IS 'J46_疾患開始日';</v>
      </c>
    </row>
    <row r="746" spans="1:45" s="25" customFormat="1">
      <c r="A746" s="4" t="s">
        <v>5067</v>
      </c>
      <c r="B746" s="21">
        <f t="shared" si="87"/>
        <v>734</v>
      </c>
      <c r="C746" s="13" t="s">
        <v>4677</v>
      </c>
      <c r="D746" s="13" t="s">
        <v>6388</v>
      </c>
      <c r="E746" s="8"/>
      <c r="F746" s="7" t="s">
        <v>4348</v>
      </c>
      <c r="G746" s="7" t="s">
        <v>25</v>
      </c>
      <c r="H746" s="58"/>
      <c r="I746" s="23"/>
      <c r="J746" s="24"/>
      <c r="M746" s="4"/>
      <c r="N746" s="76"/>
      <c r="O746" s="76"/>
      <c r="P746" s="76" t="str">
        <f t="shared" si="88"/>
        <v>,shikkan728_start_date</v>
      </c>
      <c r="Q746" s="76" t="str">
        <f t="shared" si="89"/>
        <v>DATE</v>
      </c>
      <c r="R746" s="76" t="str">
        <f t="shared" si="90"/>
        <v/>
      </c>
      <c r="S746" s="76" t="str">
        <f t="shared" si="91"/>
        <v/>
      </c>
      <c r="T746" s="76" t="str">
        <f t="shared" si="92"/>
        <v>-- J47_疾患開始日</v>
      </c>
      <c r="U746" s="4" t="str">
        <f t="shared" si="73"/>
        <v>, CASE WHEN shikkan_disp_name = 'J47' THEN min_shikkan_start_date ::DATE ELSE NULL END AS shikkan728_start_date</v>
      </c>
      <c r="V746" s="25" t="str">
        <f t="shared" si="74"/>
        <v>, max(shikkan728_start_date)</v>
      </c>
      <c r="AA746" s="4"/>
      <c r="AB746" s="4"/>
      <c r="AC746" s="4"/>
      <c r="AD746" s="4"/>
      <c r="AE746" s="4"/>
      <c r="AF746" s="4"/>
      <c r="AG746" s="4"/>
      <c r="AH746" s="4"/>
      <c r="AI746" s="4"/>
      <c r="AJ746" s="76" t="str">
        <f>IF(E746="○",IF(COUNTA(E$13:E746)=1,"",",")&amp;D746,"")</f>
        <v/>
      </c>
      <c r="AK746" s="4"/>
      <c r="AL746" s="4"/>
      <c r="AM746" s="4"/>
      <c r="AN746" s="4"/>
      <c r="AO746" s="4"/>
      <c r="AP746" s="4"/>
      <c r="AQ746" s="4"/>
      <c r="AR746" s="4"/>
      <c r="AS746" s="76" t="str">
        <f>"COMMENT ON COLUMN "&amp;エンティティ一覧!$O$2&amp;"."&amp;D$8&amp;"."&amp;D746&amp;" IS '"&amp;C746&amp;"';"</f>
        <v>COMMENT ON COLUMN milscm_2023_009.sny_202310_annony_bef2.shikkan728_start_date IS 'J47_疾患開始日';</v>
      </c>
    </row>
    <row r="747" spans="1:45" s="25" customFormat="1">
      <c r="A747" s="4" t="s">
        <v>5068</v>
      </c>
      <c r="B747" s="21">
        <f t="shared" si="87"/>
        <v>735</v>
      </c>
      <c r="C747" s="13" t="s">
        <v>4678</v>
      </c>
      <c r="D747" s="13" t="s">
        <v>6389</v>
      </c>
      <c r="E747" s="8"/>
      <c r="F747" s="7" t="s">
        <v>4348</v>
      </c>
      <c r="G747" s="7" t="s">
        <v>25</v>
      </c>
      <c r="H747" s="58"/>
      <c r="I747" s="23"/>
      <c r="J747" s="24"/>
      <c r="M747" s="4"/>
      <c r="N747" s="76"/>
      <c r="O747" s="76"/>
      <c r="P747" s="76" t="str">
        <f t="shared" si="88"/>
        <v>,shikkan729_start_date</v>
      </c>
      <c r="Q747" s="76" t="str">
        <f t="shared" si="89"/>
        <v>DATE</v>
      </c>
      <c r="R747" s="76" t="str">
        <f t="shared" si="90"/>
        <v/>
      </c>
      <c r="S747" s="76" t="str">
        <f t="shared" si="91"/>
        <v/>
      </c>
      <c r="T747" s="76" t="str">
        <f t="shared" si="92"/>
        <v>-- J60_疾患開始日</v>
      </c>
      <c r="U747" s="4" t="str">
        <f t="shared" si="73"/>
        <v>, CASE WHEN shikkan_disp_name = 'J60' THEN min_shikkan_start_date ::DATE ELSE NULL END AS shikkan729_start_date</v>
      </c>
      <c r="V747" s="25" t="str">
        <f t="shared" si="74"/>
        <v>, max(shikkan729_start_date)</v>
      </c>
      <c r="AA747" s="4"/>
      <c r="AB747" s="4"/>
      <c r="AC747" s="4"/>
      <c r="AD747" s="4"/>
      <c r="AE747" s="4"/>
      <c r="AF747" s="4"/>
      <c r="AG747" s="4"/>
      <c r="AH747" s="4"/>
      <c r="AI747" s="4"/>
      <c r="AJ747" s="76" t="str">
        <f>IF(E747="○",IF(COUNTA(E$13:E747)=1,"",",")&amp;D747,"")</f>
        <v/>
      </c>
      <c r="AK747" s="4"/>
      <c r="AL747" s="4"/>
      <c r="AM747" s="4"/>
      <c r="AN747" s="4"/>
      <c r="AO747" s="4"/>
      <c r="AP747" s="4"/>
      <c r="AQ747" s="4"/>
      <c r="AR747" s="4"/>
      <c r="AS747" s="76" t="str">
        <f>"COMMENT ON COLUMN "&amp;エンティティ一覧!$O$2&amp;"."&amp;D$8&amp;"."&amp;D747&amp;" IS '"&amp;C747&amp;"';"</f>
        <v>COMMENT ON COLUMN milscm_2023_009.sny_202310_annony_bef2.shikkan729_start_date IS 'J60_疾患開始日';</v>
      </c>
    </row>
    <row r="748" spans="1:45" s="25" customFormat="1">
      <c r="A748" s="4" t="s">
        <v>5069</v>
      </c>
      <c r="B748" s="21">
        <f t="shared" si="87"/>
        <v>736</v>
      </c>
      <c r="C748" s="13" t="s">
        <v>4679</v>
      </c>
      <c r="D748" s="13" t="s">
        <v>6390</v>
      </c>
      <c r="E748" s="8"/>
      <c r="F748" s="7" t="s">
        <v>4348</v>
      </c>
      <c r="G748" s="7" t="s">
        <v>25</v>
      </c>
      <c r="H748" s="58"/>
      <c r="I748" s="23"/>
      <c r="J748" s="24"/>
      <c r="M748" s="4"/>
      <c r="N748" s="76"/>
      <c r="O748" s="76"/>
      <c r="P748" s="76" t="str">
        <f t="shared" si="88"/>
        <v>,shikkan730_start_date</v>
      </c>
      <c r="Q748" s="76" t="str">
        <f t="shared" si="89"/>
        <v>DATE</v>
      </c>
      <c r="R748" s="76" t="str">
        <f t="shared" si="90"/>
        <v/>
      </c>
      <c r="S748" s="76" t="str">
        <f t="shared" si="91"/>
        <v/>
      </c>
      <c r="T748" s="76" t="str">
        <f t="shared" si="92"/>
        <v>-- J61_疾患開始日</v>
      </c>
      <c r="U748" s="4" t="str">
        <f t="shared" si="73"/>
        <v>, CASE WHEN shikkan_disp_name = 'J61' THEN min_shikkan_start_date ::DATE ELSE NULL END AS shikkan730_start_date</v>
      </c>
      <c r="V748" s="25" t="str">
        <f t="shared" si="74"/>
        <v>, max(shikkan730_start_date)</v>
      </c>
      <c r="AA748" s="4"/>
      <c r="AB748" s="4"/>
      <c r="AC748" s="4"/>
      <c r="AD748" s="4"/>
      <c r="AE748" s="4"/>
      <c r="AF748" s="4"/>
      <c r="AG748" s="4"/>
      <c r="AH748" s="4"/>
      <c r="AI748" s="4"/>
      <c r="AJ748" s="76" t="str">
        <f>IF(E748="○",IF(COUNTA(E$13:E748)=1,"",",")&amp;D748,"")</f>
        <v/>
      </c>
      <c r="AK748" s="4"/>
      <c r="AL748" s="4"/>
      <c r="AM748" s="4"/>
      <c r="AN748" s="4"/>
      <c r="AO748" s="4"/>
      <c r="AP748" s="4"/>
      <c r="AQ748" s="4"/>
      <c r="AR748" s="4"/>
      <c r="AS748" s="76" t="str">
        <f>"COMMENT ON COLUMN "&amp;エンティティ一覧!$O$2&amp;"."&amp;D$8&amp;"."&amp;D748&amp;" IS '"&amp;C748&amp;"';"</f>
        <v>COMMENT ON COLUMN milscm_2023_009.sny_202310_annony_bef2.shikkan730_start_date IS 'J61_疾患開始日';</v>
      </c>
    </row>
    <row r="749" spans="1:45" s="25" customFormat="1">
      <c r="A749" s="4" t="s">
        <v>5810</v>
      </c>
      <c r="B749" s="21">
        <f t="shared" si="87"/>
        <v>737</v>
      </c>
      <c r="C749" s="13" t="s">
        <v>7200</v>
      </c>
      <c r="D749" s="13" t="s">
        <v>6391</v>
      </c>
      <c r="E749" s="8"/>
      <c r="F749" s="7" t="s">
        <v>4348</v>
      </c>
      <c r="G749" s="7" t="s">
        <v>25</v>
      </c>
      <c r="H749" s="58"/>
      <c r="I749" s="23"/>
      <c r="J749" s="24"/>
      <c r="M749" s="4"/>
      <c r="N749" s="76"/>
      <c r="O749" s="76"/>
      <c r="P749" s="76" t="str">
        <f t="shared" si="88"/>
        <v>,shikkan731_start_date</v>
      </c>
      <c r="Q749" s="76" t="str">
        <f t="shared" si="89"/>
        <v>DATE</v>
      </c>
      <c r="R749" s="76" t="str">
        <f t="shared" si="90"/>
        <v/>
      </c>
      <c r="S749" s="76" t="str">
        <f t="shared" si="91"/>
        <v/>
      </c>
      <c r="T749" s="76" t="str">
        <f t="shared" si="92"/>
        <v>-- J620_疾患開始日</v>
      </c>
      <c r="U749" s="4" t="str">
        <f t="shared" si="73"/>
        <v>, CASE WHEN shikkan_disp_name = 'J620' THEN min_shikkan_start_date ::DATE ELSE NULL END AS shikkan731_start_date</v>
      </c>
      <c r="V749" s="25" t="str">
        <f t="shared" si="74"/>
        <v>, max(shikkan731_start_date)</v>
      </c>
      <c r="AA749" s="4"/>
      <c r="AB749" s="4"/>
      <c r="AC749" s="4"/>
      <c r="AD749" s="4"/>
      <c r="AE749" s="4"/>
      <c r="AF749" s="4"/>
      <c r="AG749" s="4"/>
      <c r="AH749" s="4"/>
      <c r="AI749" s="4"/>
      <c r="AJ749" s="76" t="str">
        <f>IF(E749="○",IF(COUNTA(E$13:E749)=1,"",",")&amp;D749,"")</f>
        <v/>
      </c>
      <c r="AK749" s="4"/>
      <c r="AL749" s="4"/>
      <c r="AM749" s="4"/>
      <c r="AN749" s="4"/>
      <c r="AO749" s="4"/>
      <c r="AP749" s="4"/>
      <c r="AQ749" s="4"/>
      <c r="AR749" s="4"/>
      <c r="AS749" s="76" t="str">
        <f>"COMMENT ON COLUMN "&amp;エンティティ一覧!$O$2&amp;"."&amp;D$8&amp;"."&amp;D749&amp;" IS '"&amp;C749&amp;"';"</f>
        <v>COMMENT ON COLUMN milscm_2023_009.sny_202310_annony_bef2.shikkan731_start_date IS 'J620_疾患開始日';</v>
      </c>
    </row>
    <row r="750" spans="1:45" s="25" customFormat="1">
      <c r="A750" s="4" t="s">
        <v>5811</v>
      </c>
      <c r="B750" s="21">
        <f t="shared" si="87"/>
        <v>738</v>
      </c>
      <c r="C750" s="13" t="s">
        <v>7201</v>
      </c>
      <c r="D750" s="13" t="s">
        <v>6392</v>
      </c>
      <c r="E750" s="8"/>
      <c r="F750" s="7" t="s">
        <v>4348</v>
      </c>
      <c r="G750" s="7" t="s">
        <v>25</v>
      </c>
      <c r="H750" s="58"/>
      <c r="I750" s="23"/>
      <c r="J750" s="24"/>
      <c r="M750" s="4"/>
      <c r="N750" s="76"/>
      <c r="O750" s="76"/>
      <c r="P750" s="76" t="str">
        <f t="shared" si="88"/>
        <v>,shikkan732_start_date</v>
      </c>
      <c r="Q750" s="76" t="str">
        <f t="shared" si="89"/>
        <v>DATE</v>
      </c>
      <c r="R750" s="76" t="str">
        <f t="shared" si="90"/>
        <v/>
      </c>
      <c r="S750" s="76" t="str">
        <f t="shared" si="91"/>
        <v/>
      </c>
      <c r="T750" s="76" t="str">
        <f t="shared" si="92"/>
        <v>-- J628_疾患開始日</v>
      </c>
      <c r="U750" s="4" t="str">
        <f t="shared" si="73"/>
        <v>, CASE WHEN shikkan_disp_name = 'J628' THEN min_shikkan_start_date ::DATE ELSE NULL END AS shikkan732_start_date</v>
      </c>
      <c r="V750" s="25" t="str">
        <f t="shared" si="74"/>
        <v>, max(shikkan732_start_date)</v>
      </c>
      <c r="AA750" s="4"/>
      <c r="AB750" s="4"/>
      <c r="AC750" s="4"/>
      <c r="AD750" s="4"/>
      <c r="AE750" s="4"/>
      <c r="AF750" s="4"/>
      <c r="AG750" s="4"/>
      <c r="AH750" s="4"/>
      <c r="AI750" s="4"/>
      <c r="AJ750" s="76" t="str">
        <f>IF(E750="○",IF(COUNTA(E$13:E750)=1,"",",")&amp;D750,"")</f>
        <v/>
      </c>
      <c r="AK750" s="4"/>
      <c r="AL750" s="4"/>
      <c r="AM750" s="4"/>
      <c r="AN750" s="4"/>
      <c r="AO750" s="4"/>
      <c r="AP750" s="4"/>
      <c r="AQ750" s="4"/>
      <c r="AR750" s="4"/>
      <c r="AS750" s="76" t="str">
        <f>"COMMENT ON COLUMN "&amp;エンティティ一覧!$O$2&amp;"."&amp;D$8&amp;"."&amp;D750&amp;" IS '"&amp;C750&amp;"';"</f>
        <v>COMMENT ON COLUMN milscm_2023_009.sny_202310_annony_bef2.shikkan732_start_date IS 'J628_疾患開始日';</v>
      </c>
    </row>
    <row r="751" spans="1:45" s="25" customFormat="1">
      <c r="A751" s="4" t="s">
        <v>5812</v>
      </c>
      <c r="B751" s="21">
        <f t="shared" si="87"/>
        <v>739</v>
      </c>
      <c r="C751" s="13" t="s">
        <v>7202</v>
      </c>
      <c r="D751" s="13" t="s">
        <v>6393</v>
      </c>
      <c r="E751" s="8"/>
      <c r="F751" s="7" t="s">
        <v>4348</v>
      </c>
      <c r="G751" s="7" t="s">
        <v>25</v>
      </c>
      <c r="H751" s="58"/>
      <c r="I751" s="23"/>
      <c r="J751" s="24"/>
      <c r="M751" s="4"/>
      <c r="N751" s="76"/>
      <c r="O751" s="76"/>
      <c r="P751" s="76" t="str">
        <f t="shared" si="88"/>
        <v>,shikkan733_start_date</v>
      </c>
      <c r="Q751" s="76" t="str">
        <f t="shared" si="89"/>
        <v>DATE</v>
      </c>
      <c r="R751" s="76" t="str">
        <f t="shared" si="90"/>
        <v/>
      </c>
      <c r="S751" s="76" t="str">
        <f t="shared" si="91"/>
        <v/>
      </c>
      <c r="T751" s="76" t="str">
        <f t="shared" si="92"/>
        <v>-- J630_疾患開始日</v>
      </c>
      <c r="U751" s="4" t="str">
        <f t="shared" si="73"/>
        <v>, CASE WHEN shikkan_disp_name = 'J630' THEN min_shikkan_start_date ::DATE ELSE NULL END AS shikkan733_start_date</v>
      </c>
      <c r="V751" s="25" t="str">
        <f t="shared" si="74"/>
        <v>, max(shikkan733_start_date)</v>
      </c>
      <c r="AA751" s="4"/>
      <c r="AB751" s="4"/>
      <c r="AC751" s="4"/>
      <c r="AD751" s="4"/>
      <c r="AE751" s="4"/>
      <c r="AF751" s="4"/>
      <c r="AG751" s="4"/>
      <c r="AH751" s="4"/>
      <c r="AI751" s="4"/>
      <c r="AJ751" s="76" t="str">
        <f>IF(E751="○",IF(COUNTA(E$13:E751)=1,"",",")&amp;D751,"")</f>
        <v/>
      </c>
      <c r="AK751" s="4"/>
      <c r="AL751" s="4"/>
      <c r="AM751" s="4"/>
      <c r="AN751" s="4"/>
      <c r="AO751" s="4"/>
      <c r="AP751" s="4"/>
      <c r="AQ751" s="4"/>
      <c r="AR751" s="4"/>
      <c r="AS751" s="76" t="str">
        <f>"COMMENT ON COLUMN "&amp;エンティティ一覧!$O$2&amp;"."&amp;D$8&amp;"."&amp;D751&amp;" IS '"&amp;C751&amp;"';"</f>
        <v>COMMENT ON COLUMN milscm_2023_009.sny_202310_annony_bef2.shikkan733_start_date IS 'J630_疾患開始日';</v>
      </c>
    </row>
    <row r="752" spans="1:45" s="25" customFormat="1">
      <c r="A752" s="4" t="s">
        <v>5813</v>
      </c>
      <c r="B752" s="21">
        <f t="shared" si="87"/>
        <v>740</v>
      </c>
      <c r="C752" s="13" t="s">
        <v>7203</v>
      </c>
      <c r="D752" s="13" t="s">
        <v>6394</v>
      </c>
      <c r="E752" s="8"/>
      <c r="F752" s="7" t="s">
        <v>4348</v>
      </c>
      <c r="G752" s="7" t="s">
        <v>25</v>
      </c>
      <c r="H752" s="58"/>
      <c r="I752" s="23"/>
      <c r="J752" s="24"/>
      <c r="M752" s="4"/>
      <c r="N752" s="76"/>
      <c r="O752" s="76"/>
      <c r="P752" s="76" t="str">
        <f t="shared" si="88"/>
        <v>,shikkan734_start_date</v>
      </c>
      <c r="Q752" s="76" t="str">
        <f t="shared" si="89"/>
        <v>DATE</v>
      </c>
      <c r="R752" s="76" t="str">
        <f t="shared" si="90"/>
        <v/>
      </c>
      <c r="S752" s="76" t="str">
        <f t="shared" si="91"/>
        <v/>
      </c>
      <c r="T752" s="76" t="str">
        <f t="shared" si="92"/>
        <v>-- J631_疾患開始日</v>
      </c>
      <c r="U752" s="4" t="str">
        <f t="shared" si="73"/>
        <v>, CASE WHEN shikkan_disp_name = 'J631' THEN min_shikkan_start_date ::DATE ELSE NULL END AS shikkan734_start_date</v>
      </c>
      <c r="V752" s="25" t="str">
        <f t="shared" si="74"/>
        <v>, max(shikkan734_start_date)</v>
      </c>
      <c r="AA752" s="4"/>
      <c r="AB752" s="4"/>
      <c r="AC752" s="4"/>
      <c r="AD752" s="4"/>
      <c r="AE752" s="4"/>
      <c r="AF752" s="4"/>
      <c r="AG752" s="4"/>
      <c r="AH752" s="4"/>
      <c r="AI752" s="4"/>
      <c r="AJ752" s="76" t="str">
        <f>IF(E752="○",IF(COUNTA(E$13:E752)=1,"",",")&amp;D752,"")</f>
        <v/>
      </c>
      <c r="AK752" s="4"/>
      <c r="AL752" s="4"/>
      <c r="AM752" s="4"/>
      <c r="AN752" s="4"/>
      <c r="AO752" s="4"/>
      <c r="AP752" s="4"/>
      <c r="AQ752" s="4"/>
      <c r="AR752" s="4"/>
      <c r="AS752" s="76" t="str">
        <f>"COMMENT ON COLUMN "&amp;エンティティ一覧!$O$2&amp;"."&amp;D$8&amp;"."&amp;D752&amp;" IS '"&amp;C752&amp;"';"</f>
        <v>COMMENT ON COLUMN milscm_2023_009.sny_202310_annony_bef2.shikkan734_start_date IS 'J631_疾患開始日';</v>
      </c>
    </row>
    <row r="753" spans="1:45" s="25" customFormat="1">
      <c r="A753" s="4" t="s">
        <v>5814</v>
      </c>
      <c r="B753" s="21">
        <f t="shared" si="87"/>
        <v>741</v>
      </c>
      <c r="C753" s="13" t="s">
        <v>7204</v>
      </c>
      <c r="D753" s="13" t="s">
        <v>6395</v>
      </c>
      <c r="E753" s="8"/>
      <c r="F753" s="7" t="s">
        <v>4348</v>
      </c>
      <c r="G753" s="7" t="s">
        <v>99</v>
      </c>
      <c r="H753" s="58"/>
      <c r="I753" s="23"/>
      <c r="J753" s="24"/>
      <c r="M753" s="4"/>
      <c r="N753" s="76"/>
      <c r="O753" s="76"/>
      <c r="P753" s="76" t="str">
        <f t="shared" si="88"/>
        <v>,shikkan735_start_date</v>
      </c>
      <c r="Q753" s="76" t="str">
        <f t="shared" si="89"/>
        <v>DATE</v>
      </c>
      <c r="R753" s="76" t="str">
        <f t="shared" si="90"/>
        <v/>
      </c>
      <c r="S753" s="76" t="str">
        <f t="shared" si="91"/>
        <v/>
      </c>
      <c r="T753" s="76" t="str">
        <f t="shared" si="92"/>
        <v>-- J632_疾患開始日</v>
      </c>
      <c r="U753" s="4" t="str">
        <f t="shared" si="73"/>
        <v>, CASE WHEN shikkan_disp_name = 'J632' THEN min_shikkan_start_date ::DATE ELSE NULL END AS shikkan735_start_date</v>
      </c>
      <c r="V753" s="25" t="str">
        <f t="shared" si="74"/>
        <v>, max(shikkan735_start_date)</v>
      </c>
      <c r="AA753" s="4"/>
      <c r="AB753" s="4"/>
      <c r="AC753" s="4"/>
      <c r="AD753" s="4"/>
      <c r="AE753" s="4"/>
      <c r="AF753" s="4"/>
      <c r="AG753" s="4"/>
      <c r="AH753" s="4"/>
      <c r="AI753" s="4"/>
      <c r="AJ753" s="76" t="str">
        <f>IF(E753="○",IF(COUNTA(E$13:E753)=1,"",",")&amp;D753,"")</f>
        <v/>
      </c>
      <c r="AK753" s="4"/>
      <c r="AL753" s="4"/>
      <c r="AM753" s="4"/>
      <c r="AN753" s="4"/>
      <c r="AO753" s="4"/>
      <c r="AP753" s="4"/>
      <c r="AQ753" s="4"/>
      <c r="AR753" s="4"/>
      <c r="AS753" s="76" t="str">
        <f>"COMMENT ON COLUMN "&amp;エンティティ一覧!$O$2&amp;"."&amp;D$8&amp;"."&amp;D753&amp;" IS '"&amp;C753&amp;"';"</f>
        <v>COMMENT ON COLUMN milscm_2023_009.sny_202310_annony_bef2.shikkan735_start_date IS 'J632_疾患開始日';</v>
      </c>
    </row>
    <row r="754" spans="1:45" s="25" customFormat="1">
      <c r="A754" s="4" t="s">
        <v>5815</v>
      </c>
      <c r="B754" s="21">
        <f t="shared" si="87"/>
        <v>742</v>
      </c>
      <c r="C754" s="13" t="s">
        <v>7205</v>
      </c>
      <c r="D754" s="13" t="s">
        <v>6396</v>
      </c>
      <c r="E754" s="8"/>
      <c r="F754" s="7" t="s">
        <v>4348</v>
      </c>
      <c r="G754" s="7" t="s">
        <v>25</v>
      </c>
      <c r="H754" s="58"/>
      <c r="I754" s="23"/>
      <c r="J754" s="24"/>
      <c r="M754" s="4"/>
      <c r="N754" s="76"/>
      <c r="O754" s="76"/>
      <c r="P754" s="76" t="str">
        <f t="shared" si="88"/>
        <v>,shikkan736_start_date</v>
      </c>
      <c r="Q754" s="76" t="str">
        <f t="shared" si="89"/>
        <v>DATE</v>
      </c>
      <c r="R754" s="76" t="str">
        <f t="shared" si="90"/>
        <v/>
      </c>
      <c r="S754" s="76" t="str">
        <f t="shared" si="91"/>
        <v/>
      </c>
      <c r="T754" s="76" t="str">
        <f t="shared" si="92"/>
        <v>-- J633_疾患開始日</v>
      </c>
      <c r="U754" s="4" t="str">
        <f t="shared" si="73"/>
        <v>, CASE WHEN shikkan_disp_name = 'J633' THEN min_shikkan_start_date ::DATE ELSE NULL END AS shikkan736_start_date</v>
      </c>
      <c r="V754" s="25" t="str">
        <f t="shared" si="74"/>
        <v>, max(shikkan736_start_date)</v>
      </c>
      <c r="AA754" s="4"/>
      <c r="AB754" s="4"/>
      <c r="AC754" s="4"/>
      <c r="AD754" s="4"/>
      <c r="AE754" s="4"/>
      <c r="AF754" s="4"/>
      <c r="AG754" s="4"/>
      <c r="AH754" s="4"/>
      <c r="AI754" s="4"/>
      <c r="AJ754" s="76" t="str">
        <f>IF(E754="○",IF(COUNTA(E$13:E754)=1,"",",")&amp;D754,"")</f>
        <v/>
      </c>
      <c r="AK754" s="4"/>
      <c r="AL754" s="4"/>
      <c r="AM754" s="4"/>
      <c r="AN754" s="4"/>
      <c r="AO754" s="4"/>
      <c r="AP754" s="4"/>
      <c r="AQ754" s="4"/>
      <c r="AR754" s="4"/>
      <c r="AS754" s="76" t="str">
        <f>"COMMENT ON COLUMN "&amp;エンティティ一覧!$O$2&amp;"."&amp;D$8&amp;"."&amp;D754&amp;" IS '"&amp;C754&amp;"';"</f>
        <v>COMMENT ON COLUMN milscm_2023_009.sny_202310_annony_bef2.shikkan736_start_date IS 'J633_疾患開始日';</v>
      </c>
    </row>
    <row r="755" spans="1:45" s="25" customFormat="1">
      <c r="A755" s="4" t="s">
        <v>5816</v>
      </c>
      <c r="B755" s="21">
        <f t="shared" si="87"/>
        <v>743</v>
      </c>
      <c r="C755" s="13" t="s">
        <v>7206</v>
      </c>
      <c r="D755" s="13" t="s">
        <v>6397</v>
      </c>
      <c r="E755" s="8"/>
      <c r="F755" s="7" t="s">
        <v>4348</v>
      </c>
      <c r="G755" s="7" t="s">
        <v>25</v>
      </c>
      <c r="H755" s="58"/>
      <c r="I755" s="23"/>
      <c r="J755" s="24"/>
      <c r="M755" s="4"/>
      <c r="N755" s="76"/>
      <c r="O755" s="76"/>
      <c r="P755" s="76" t="str">
        <f t="shared" si="88"/>
        <v>,shikkan737_start_date</v>
      </c>
      <c r="Q755" s="76" t="str">
        <f t="shared" si="89"/>
        <v>DATE</v>
      </c>
      <c r="R755" s="76" t="str">
        <f t="shared" si="90"/>
        <v/>
      </c>
      <c r="S755" s="76" t="str">
        <f t="shared" si="91"/>
        <v/>
      </c>
      <c r="T755" s="76" t="str">
        <f t="shared" si="92"/>
        <v>-- J634_疾患開始日</v>
      </c>
      <c r="U755" s="4" t="str">
        <f t="shared" si="73"/>
        <v>, CASE WHEN shikkan_disp_name = 'J634' THEN min_shikkan_start_date ::DATE ELSE NULL END AS shikkan737_start_date</v>
      </c>
      <c r="V755" s="25" t="str">
        <f t="shared" si="74"/>
        <v>, max(shikkan737_start_date)</v>
      </c>
      <c r="AA755" s="4"/>
      <c r="AB755" s="4"/>
      <c r="AC755" s="4"/>
      <c r="AD755" s="4"/>
      <c r="AE755" s="4"/>
      <c r="AF755" s="4"/>
      <c r="AG755" s="4"/>
      <c r="AH755" s="4"/>
      <c r="AI755" s="4"/>
      <c r="AJ755" s="76" t="str">
        <f>IF(E755="○",IF(COUNTA(E$13:E755)=1,"",",")&amp;D755,"")</f>
        <v/>
      </c>
      <c r="AK755" s="4"/>
      <c r="AL755" s="4"/>
      <c r="AM755" s="4"/>
      <c r="AN755" s="4"/>
      <c r="AO755" s="4"/>
      <c r="AP755" s="4"/>
      <c r="AQ755" s="4"/>
      <c r="AR755" s="4"/>
      <c r="AS755" s="76" t="str">
        <f>"COMMENT ON COLUMN "&amp;エンティティ一覧!$O$2&amp;"."&amp;D$8&amp;"."&amp;D755&amp;" IS '"&amp;C755&amp;"';"</f>
        <v>COMMENT ON COLUMN milscm_2023_009.sny_202310_annony_bef2.shikkan737_start_date IS 'J634_疾患開始日';</v>
      </c>
    </row>
    <row r="756" spans="1:45" s="25" customFormat="1">
      <c r="A756" s="4" t="s">
        <v>5817</v>
      </c>
      <c r="B756" s="21">
        <f t="shared" si="87"/>
        <v>744</v>
      </c>
      <c r="C756" s="13" t="s">
        <v>7207</v>
      </c>
      <c r="D756" s="13" t="s">
        <v>6398</v>
      </c>
      <c r="E756" s="8"/>
      <c r="F756" s="7" t="s">
        <v>4348</v>
      </c>
      <c r="G756" s="7" t="s">
        <v>25</v>
      </c>
      <c r="H756" s="58"/>
      <c r="I756" s="23"/>
      <c r="J756" s="24"/>
      <c r="M756" s="4"/>
      <c r="N756" s="76"/>
      <c r="O756" s="76"/>
      <c r="P756" s="76" t="str">
        <f t="shared" si="88"/>
        <v>,shikkan738_start_date</v>
      </c>
      <c r="Q756" s="76" t="str">
        <f t="shared" si="89"/>
        <v>DATE</v>
      </c>
      <c r="R756" s="76" t="str">
        <f t="shared" si="90"/>
        <v/>
      </c>
      <c r="S756" s="76" t="str">
        <f t="shared" si="91"/>
        <v/>
      </c>
      <c r="T756" s="76" t="str">
        <f t="shared" si="92"/>
        <v>-- J635_疾患開始日</v>
      </c>
      <c r="U756" s="4" t="str">
        <f t="shared" si="73"/>
        <v>, CASE WHEN shikkan_disp_name = 'J635' THEN min_shikkan_start_date ::DATE ELSE NULL END AS shikkan738_start_date</v>
      </c>
      <c r="V756" s="25" t="str">
        <f t="shared" si="74"/>
        <v>, max(shikkan738_start_date)</v>
      </c>
      <c r="AA756" s="4"/>
      <c r="AB756" s="4"/>
      <c r="AC756" s="4"/>
      <c r="AD756" s="4"/>
      <c r="AE756" s="4"/>
      <c r="AF756" s="4"/>
      <c r="AG756" s="4"/>
      <c r="AH756" s="4"/>
      <c r="AI756" s="4"/>
      <c r="AJ756" s="76" t="str">
        <f>IF(E756="○",IF(COUNTA(E$13:E756)=1,"",",")&amp;D756,"")</f>
        <v/>
      </c>
      <c r="AK756" s="4"/>
      <c r="AL756" s="4"/>
      <c r="AM756" s="4"/>
      <c r="AN756" s="4"/>
      <c r="AO756" s="4"/>
      <c r="AP756" s="4"/>
      <c r="AQ756" s="4"/>
      <c r="AR756" s="4"/>
      <c r="AS756" s="76" t="str">
        <f>"COMMENT ON COLUMN "&amp;エンティティ一覧!$O$2&amp;"."&amp;D$8&amp;"."&amp;D756&amp;" IS '"&amp;C756&amp;"';"</f>
        <v>COMMENT ON COLUMN milscm_2023_009.sny_202310_annony_bef2.shikkan738_start_date IS 'J635_疾患開始日';</v>
      </c>
    </row>
    <row r="757" spans="1:45" s="25" customFormat="1">
      <c r="A757" s="4" t="s">
        <v>5818</v>
      </c>
      <c r="B757" s="21">
        <f t="shared" si="87"/>
        <v>745</v>
      </c>
      <c r="C757" s="13" t="s">
        <v>7208</v>
      </c>
      <c r="D757" s="13" t="s">
        <v>6399</v>
      </c>
      <c r="E757" s="8"/>
      <c r="F757" s="7" t="s">
        <v>4348</v>
      </c>
      <c r="G757" s="7" t="s">
        <v>25</v>
      </c>
      <c r="H757" s="58"/>
      <c r="I757" s="23"/>
      <c r="J757" s="24"/>
      <c r="M757" s="4"/>
      <c r="N757" s="76"/>
      <c r="O757" s="76"/>
      <c r="P757" s="76" t="str">
        <f t="shared" si="88"/>
        <v>,shikkan739_start_date</v>
      </c>
      <c r="Q757" s="76" t="str">
        <f t="shared" si="89"/>
        <v>DATE</v>
      </c>
      <c r="R757" s="76" t="str">
        <f t="shared" si="90"/>
        <v/>
      </c>
      <c r="S757" s="76" t="str">
        <f t="shared" si="91"/>
        <v/>
      </c>
      <c r="T757" s="76" t="str">
        <f t="shared" si="92"/>
        <v>-- J638_疾患開始日</v>
      </c>
      <c r="U757" s="4" t="str">
        <f t="shared" si="73"/>
        <v>, CASE WHEN shikkan_disp_name = 'J638' THEN min_shikkan_start_date ::DATE ELSE NULL END AS shikkan739_start_date</v>
      </c>
      <c r="V757" s="25" t="str">
        <f t="shared" si="74"/>
        <v>, max(shikkan739_start_date)</v>
      </c>
      <c r="AA757" s="4"/>
      <c r="AB757" s="4"/>
      <c r="AC757" s="4"/>
      <c r="AD757" s="4"/>
      <c r="AE757" s="4"/>
      <c r="AF757" s="4"/>
      <c r="AG757" s="4"/>
      <c r="AH757" s="4"/>
      <c r="AI757" s="4"/>
      <c r="AJ757" s="76" t="str">
        <f>IF(E757="○",IF(COUNTA(E$13:E757)=1,"",",")&amp;D757,"")</f>
        <v/>
      </c>
      <c r="AK757" s="4"/>
      <c r="AL757" s="4"/>
      <c r="AM757" s="4"/>
      <c r="AN757" s="4"/>
      <c r="AO757" s="4"/>
      <c r="AP757" s="4"/>
      <c r="AQ757" s="4"/>
      <c r="AR757" s="4"/>
      <c r="AS757" s="76" t="str">
        <f>"COMMENT ON COLUMN "&amp;エンティティ一覧!$O$2&amp;"."&amp;D$8&amp;"."&amp;D757&amp;" IS '"&amp;C757&amp;"';"</f>
        <v>COMMENT ON COLUMN milscm_2023_009.sny_202310_annony_bef2.shikkan739_start_date IS 'J638_疾患開始日';</v>
      </c>
    </row>
    <row r="758" spans="1:45" s="25" customFormat="1">
      <c r="A758" s="4" t="s">
        <v>5070</v>
      </c>
      <c r="B758" s="21">
        <f t="shared" si="87"/>
        <v>746</v>
      </c>
      <c r="C758" s="13" t="s">
        <v>4680</v>
      </c>
      <c r="D758" s="13" t="s">
        <v>6400</v>
      </c>
      <c r="E758" s="8"/>
      <c r="F758" s="7" t="s">
        <v>4348</v>
      </c>
      <c r="G758" s="7" t="s">
        <v>25</v>
      </c>
      <c r="H758" s="58"/>
      <c r="I758" s="23"/>
      <c r="J758" s="24"/>
      <c r="M758" s="4"/>
      <c r="N758" s="76"/>
      <c r="O758" s="76"/>
      <c r="P758" s="76" t="str">
        <f t="shared" si="88"/>
        <v>,shikkan740_start_date</v>
      </c>
      <c r="Q758" s="76" t="str">
        <f t="shared" si="89"/>
        <v>DATE</v>
      </c>
      <c r="R758" s="76" t="str">
        <f t="shared" si="90"/>
        <v/>
      </c>
      <c r="S758" s="76" t="str">
        <f t="shared" si="91"/>
        <v/>
      </c>
      <c r="T758" s="76" t="str">
        <f t="shared" si="92"/>
        <v>-- J64_疾患開始日</v>
      </c>
      <c r="U758" s="4" t="str">
        <f t="shared" si="73"/>
        <v>, CASE WHEN shikkan_disp_name = 'J64' THEN min_shikkan_start_date ::DATE ELSE NULL END AS shikkan740_start_date</v>
      </c>
      <c r="V758" s="25" t="str">
        <f t="shared" si="74"/>
        <v>, max(shikkan740_start_date)</v>
      </c>
      <c r="AA758" s="4"/>
      <c r="AB758" s="4"/>
      <c r="AC758" s="4"/>
      <c r="AD758" s="4"/>
      <c r="AE758" s="4"/>
      <c r="AF758" s="4"/>
      <c r="AG758" s="4"/>
      <c r="AH758" s="4"/>
      <c r="AI758" s="4"/>
      <c r="AJ758" s="76" t="str">
        <f>IF(E758="○",IF(COUNTA(E$13:E758)=1,"",",")&amp;D758,"")</f>
        <v/>
      </c>
      <c r="AK758" s="4"/>
      <c r="AL758" s="4"/>
      <c r="AM758" s="4"/>
      <c r="AN758" s="4"/>
      <c r="AO758" s="4"/>
      <c r="AP758" s="4"/>
      <c r="AQ758" s="4"/>
      <c r="AR758" s="4"/>
      <c r="AS758" s="76" t="str">
        <f>"COMMENT ON COLUMN "&amp;エンティティ一覧!$O$2&amp;"."&amp;D$8&amp;"."&amp;D758&amp;" IS '"&amp;C758&amp;"';"</f>
        <v>COMMENT ON COLUMN milscm_2023_009.sny_202310_annony_bef2.shikkan740_start_date IS 'J64_疾患開始日';</v>
      </c>
    </row>
    <row r="759" spans="1:45" s="25" customFormat="1">
      <c r="A759" s="4" t="s">
        <v>5071</v>
      </c>
      <c r="B759" s="21">
        <f t="shared" si="87"/>
        <v>747</v>
      </c>
      <c r="C759" s="13" t="s">
        <v>4681</v>
      </c>
      <c r="D759" s="13" t="s">
        <v>6401</v>
      </c>
      <c r="E759" s="8"/>
      <c r="F759" s="7" t="s">
        <v>4348</v>
      </c>
      <c r="G759" s="7" t="s">
        <v>25</v>
      </c>
      <c r="H759" s="58"/>
      <c r="I759" s="23"/>
      <c r="J759" s="24"/>
      <c r="M759" s="4"/>
      <c r="N759" s="76"/>
      <c r="O759" s="76"/>
      <c r="P759" s="76" t="str">
        <f t="shared" si="88"/>
        <v>,shikkan741_start_date</v>
      </c>
      <c r="Q759" s="76" t="str">
        <f t="shared" si="89"/>
        <v>DATE</v>
      </c>
      <c r="R759" s="76" t="str">
        <f t="shared" si="90"/>
        <v/>
      </c>
      <c r="S759" s="76" t="str">
        <f t="shared" si="91"/>
        <v/>
      </c>
      <c r="T759" s="76" t="str">
        <f t="shared" si="92"/>
        <v>-- J65_疾患開始日</v>
      </c>
      <c r="U759" s="4" t="str">
        <f t="shared" si="73"/>
        <v>, CASE WHEN shikkan_disp_name = 'J65' THEN min_shikkan_start_date ::DATE ELSE NULL END AS shikkan741_start_date</v>
      </c>
      <c r="V759" s="25" t="str">
        <f t="shared" si="74"/>
        <v>, max(shikkan741_start_date)</v>
      </c>
      <c r="AA759" s="4"/>
      <c r="AB759" s="4"/>
      <c r="AC759" s="4"/>
      <c r="AD759" s="4"/>
      <c r="AE759" s="4"/>
      <c r="AF759" s="4"/>
      <c r="AG759" s="4"/>
      <c r="AH759" s="4"/>
      <c r="AI759" s="4"/>
      <c r="AJ759" s="76" t="str">
        <f>IF(E759="○",IF(COUNTA(E$13:E759)=1,"",",")&amp;D759,"")</f>
        <v/>
      </c>
      <c r="AK759" s="4"/>
      <c r="AL759" s="4"/>
      <c r="AM759" s="4"/>
      <c r="AN759" s="4"/>
      <c r="AO759" s="4"/>
      <c r="AP759" s="4"/>
      <c r="AQ759" s="4"/>
      <c r="AR759" s="4"/>
      <c r="AS759" s="76" t="str">
        <f>"COMMENT ON COLUMN "&amp;エンティティ一覧!$O$2&amp;"."&amp;D$8&amp;"."&amp;D759&amp;" IS '"&amp;C759&amp;"';"</f>
        <v>COMMENT ON COLUMN milscm_2023_009.sny_202310_annony_bef2.shikkan741_start_date IS 'J65_疾患開始日';</v>
      </c>
    </row>
    <row r="760" spans="1:45" s="25" customFormat="1">
      <c r="A760" s="4" t="s">
        <v>5819</v>
      </c>
      <c r="B760" s="21">
        <f t="shared" si="87"/>
        <v>748</v>
      </c>
      <c r="C760" s="13" t="s">
        <v>7209</v>
      </c>
      <c r="D760" s="13" t="s">
        <v>6402</v>
      </c>
      <c r="E760" s="8"/>
      <c r="F760" s="7" t="s">
        <v>4348</v>
      </c>
      <c r="G760" s="7" t="s">
        <v>25</v>
      </c>
      <c r="H760" s="58"/>
      <c r="I760" s="23"/>
      <c r="J760" s="24"/>
      <c r="M760" s="4"/>
      <c r="N760" s="76"/>
      <c r="O760" s="76"/>
      <c r="P760" s="76" t="str">
        <f t="shared" si="88"/>
        <v>,shikkan742_start_date</v>
      </c>
      <c r="Q760" s="76" t="str">
        <f t="shared" si="89"/>
        <v>DATE</v>
      </c>
      <c r="R760" s="76" t="str">
        <f t="shared" si="90"/>
        <v/>
      </c>
      <c r="S760" s="76" t="str">
        <f t="shared" si="91"/>
        <v/>
      </c>
      <c r="T760" s="76" t="str">
        <f t="shared" si="92"/>
        <v>-- J660_疾患開始日</v>
      </c>
      <c r="U760" s="4" t="str">
        <f t="shared" si="73"/>
        <v>, CASE WHEN shikkan_disp_name = 'J660' THEN min_shikkan_start_date ::DATE ELSE NULL END AS shikkan742_start_date</v>
      </c>
      <c r="V760" s="25" t="str">
        <f t="shared" si="74"/>
        <v>, max(shikkan742_start_date)</v>
      </c>
      <c r="AA760" s="4"/>
      <c r="AB760" s="4"/>
      <c r="AC760" s="4"/>
      <c r="AD760" s="4"/>
      <c r="AE760" s="4"/>
      <c r="AF760" s="4"/>
      <c r="AG760" s="4"/>
      <c r="AH760" s="4"/>
      <c r="AI760" s="4"/>
      <c r="AJ760" s="76" t="str">
        <f>IF(E760="○",IF(COUNTA(E$13:E760)=1,"",",")&amp;D760,"")</f>
        <v/>
      </c>
      <c r="AK760" s="4"/>
      <c r="AL760" s="4"/>
      <c r="AM760" s="4"/>
      <c r="AN760" s="4"/>
      <c r="AO760" s="4"/>
      <c r="AP760" s="4"/>
      <c r="AQ760" s="4"/>
      <c r="AR760" s="4"/>
      <c r="AS760" s="76" t="str">
        <f>"COMMENT ON COLUMN "&amp;エンティティ一覧!$O$2&amp;"."&amp;D$8&amp;"."&amp;D760&amp;" IS '"&amp;C760&amp;"';"</f>
        <v>COMMENT ON COLUMN milscm_2023_009.sny_202310_annony_bef2.shikkan742_start_date IS 'J660_疾患開始日';</v>
      </c>
    </row>
    <row r="761" spans="1:45" s="25" customFormat="1">
      <c r="A761" s="4" t="s">
        <v>5820</v>
      </c>
      <c r="B761" s="21">
        <f t="shared" si="87"/>
        <v>749</v>
      </c>
      <c r="C761" s="13" t="s">
        <v>7210</v>
      </c>
      <c r="D761" s="13" t="s">
        <v>6403</v>
      </c>
      <c r="E761" s="8"/>
      <c r="F761" s="7" t="s">
        <v>4348</v>
      </c>
      <c r="G761" s="7" t="s">
        <v>25</v>
      </c>
      <c r="H761" s="58"/>
      <c r="I761" s="23"/>
      <c r="J761" s="24"/>
      <c r="M761" s="4"/>
      <c r="N761" s="76"/>
      <c r="O761" s="76"/>
      <c r="P761" s="76" t="str">
        <f t="shared" si="88"/>
        <v>,shikkan743_start_date</v>
      </c>
      <c r="Q761" s="76" t="str">
        <f t="shared" si="89"/>
        <v>DATE</v>
      </c>
      <c r="R761" s="76" t="str">
        <f t="shared" si="90"/>
        <v/>
      </c>
      <c r="S761" s="76" t="str">
        <f t="shared" si="91"/>
        <v/>
      </c>
      <c r="T761" s="76" t="str">
        <f t="shared" si="92"/>
        <v>-- J661_疾患開始日</v>
      </c>
      <c r="U761" s="4" t="str">
        <f t="shared" si="73"/>
        <v>, CASE WHEN shikkan_disp_name = 'J661' THEN min_shikkan_start_date ::DATE ELSE NULL END AS shikkan743_start_date</v>
      </c>
      <c r="V761" s="25" t="str">
        <f t="shared" si="74"/>
        <v>, max(shikkan743_start_date)</v>
      </c>
      <c r="AA761" s="4"/>
      <c r="AB761" s="4"/>
      <c r="AC761" s="4"/>
      <c r="AD761" s="4"/>
      <c r="AE761" s="4"/>
      <c r="AF761" s="4"/>
      <c r="AG761" s="4"/>
      <c r="AH761" s="4"/>
      <c r="AI761" s="4"/>
      <c r="AJ761" s="76" t="str">
        <f>IF(E761="○",IF(COUNTA(E$13:E761)=1,"",",")&amp;D761,"")</f>
        <v/>
      </c>
      <c r="AK761" s="4"/>
      <c r="AL761" s="4"/>
      <c r="AM761" s="4"/>
      <c r="AN761" s="4"/>
      <c r="AO761" s="4"/>
      <c r="AP761" s="4"/>
      <c r="AQ761" s="4"/>
      <c r="AR761" s="4"/>
      <c r="AS761" s="76" t="str">
        <f>"COMMENT ON COLUMN "&amp;エンティティ一覧!$O$2&amp;"."&amp;D$8&amp;"."&amp;D761&amp;" IS '"&amp;C761&amp;"';"</f>
        <v>COMMENT ON COLUMN milscm_2023_009.sny_202310_annony_bef2.shikkan743_start_date IS 'J661_疾患開始日';</v>
      </c>
    </row>
    <row r="762" spans="1:45" s="25" customFormat="1">
      <c r="A762" s="4" t="s">
        <v>5821</v>
      </c>
      <c r="B762" s="21">
        <f t="shared" si="87"/>
        <v>750</v>
      </c>
      <c r="C762" s="13" t="s">
        <v>7211</v>
      </c>
      <c r="D762" s="13" t="s">
        <v>6404</v>
      </c>
      <c r="E762" s="8"/>
      <c r="F762" s="7" t="s">
        <v>4348</v>
      </c>
      <c r="G762" s="7" t="s">
        <v>25</v>
      </c>
      <c r="H762" s="58"/>
      <c r="I762" s="23"/>
      <c r="J762" s="24"/>
      <c r="M762" s="4"/>
      <c r="N762" s="76"/>
      <c r="O762" s="76"/>
      <c r="P762" s="76" t="str">
        <f t="shared" si="88"/>
        <v>,shikkan744_start_date</v>
      </c>
      <c r="Q762" s="76" t="str">
        <f t="shared" si="89"/>
        <v>DATE</v>
      </c>
      <c r="R762" s="76" t="str">
        <f t="shared" si="90"/>
        <v/>
      </c>
      <c r="S762" s="76" t="str">
        <f t="shared" si="91"/>
        <v/>
      </c>
      <c r="T762" s="76" t="str">
        <f t="shared" si="92"/>
        <v>-- J662_疾患開始日</v>
      </c>
      <c r="U762" s="4" t="str">
        <f t="shared" si="73"/>
        <v>, CASE WHEN shikkan_disp_name = 'J662' THEN min_shikkan_start_date ::DATE ELSE NULL END AS shikkan744_start_date</v>
      </c>
      <c r="V762" s="25" t="str">
        <f t="shared" si="74"/>
        <v>, max(shikkan744_start_date)</v>
      </c>
      <c r="AA762" s="4"/>
      <c r="AB762" s="4"/>
      <c r="AC762" s="4"/>
      <c r="AD762" s="4"/>
      <c r="AE762" s="4"/>
      <c r="AF762" s="4"/>
      <c r="AG762" s="4"/>
      <c r="AH762" s="4"/>
      <c r="AI762" s="4"/>
      <c r="AJ762" s="76" t="str">
        <f>IF(E762="○",IF(COUNTA(E$13:E762)=1,"",",")&amp;D762,"")</f>
        <v/>
      </c>
      <c r="AK762" s="4"/>
      <c r="AL762" s="4"/>
      <c r="AM762" s="4"/>
      <c r="AN762" s="4"/>
      <c r="AO762" s="4"/>
      <c r="AP762" s="4"/>
      <c r="AQ762" s="4"/>
      <c r="AR762" s="4"/>
      <c r="AS762" s="76" t="str">
        <f>"COMMENT ON COLUMN "&amp;エンティティ一覧!$O$2&amp;"."&amp;D$8&amp;"."&amp;D762&amp;" IS '"&amp;C762&amp;"';"</f>
        <v>COMMENT ON COLUMN milscm_2023_009.sny_202310_annony_bef2.shikkan744_start_date IS 'J662_疾患開始日';</v>
      </c>
    </row>
    <row r="763" spans="1:45" s="25" customFormat="1">
      <c r="A763" s="4" t="s">
        <v>5822</v>
      </c>
      <c r="B763" s="21">
        <f t="shared" si="87"/>
        <v>751</v>
      </c>
      <c r="C763" s="13" t="s">
        <v>7212</v>
      </c>
      <c r="D763" s="13" t="s">
        <v>6405</v>
      </c>
      <c r="E763" s="8"/>
      <c r="F763" s="7" t="s">
        <v>4348</v>
      </c>
      <c r="G763" s="7" t="s">
        <v>25</v>
      </c>
      <c r="H763" s="58"/>
      <c r="I763" s="23"/>
      <c r="J763" s="24"/>
      <c r="M763" s="4"/>
      <c r="N763" s="76"/>
      <c r="O763" s="76"/>
      <c r="P763" s="76" t="str">
        <f t="shared" si="88"/>
        <v>,shikkan745_start_date</v>
      </c>
      <c r="Q763" s="76" t="str">
        <f t="shared" si="89"/>
        <v>DATE</v>
      </c>
      <c r="R763" s="76" t="str">
        <f t="shared" si="90"/>
        <v/>
      </c>
      <c r="S763" s="76" t="str">
        <f t="shared" si="91"/>
        <v/>
      </c>
      <c r="T763" s="76" t="str">
        <f t="shared" si="92"/>
        <v>-- J668_疾患開始日</v>
      </c>
      <c r="U763" s="4" t="str">
        <f t="shared" si="73"/>
        <v>, CASE WHEN shikkan_disp_name = 'J668' THEN min_shikkan_start_date ::DATE ELSE NULL END AS shikkan745_start_date</v>
      </c>
      <c r="V763" s="25" t="str">
        <f t="shared" si="74"/>
        <v>, max(shikkan745_start_date)</v>
      </c>
      <c r="AA763" s="4"/>
      <c r="AB763" s="4"/>
      <c r="AC763" s="4"/>
      <c r="AD763" s="4"/>
      <c r="AE763" s="4"/>
      <c r="AF763" s="4"/>
      <c r="AG763" s="4"/>
      <c r="AH763" s="4"/>
      <c r="AI763" s="4"/>
      <c r="AJ763" s="76" t="str">
        <f>IF(E763="○",IF(COUNTA(E$13:E763)=1,"",",")&amp;D763,"")</f>
        <v/>
      </c>
      <c r="AK763" s="4"/>
      <c r="AL763" s="4"/>
      <c r="AM763" s="4"/>
      <c r="AN763" s="4"/>
      <c r="AO763" s="4"/>
      <c r="AP763" s="4"/>
      <c r="AQ763" s="4"/>
      <c r="AR763" s="4"/>
      <c r="AS763" s="76" t="str">
        <f>"COMMENT ON COLUMN "&amp;エンティティ一覧!$O$2&amp;"."&amp;D$8&amp;"."&amp;D763&amp;" IS '"&amp;C763&amp;"';"</f>
        <v>COMMENT ON COLUMN milscm_2023_009.sny_202310_annony_bef2.shikkan745_start_date IS 'J668_疾患開始日';</v>
      </c>
    </row>
    <row r="764" spans="1:45" s="25" customFormat="1">
      <c r="A764" s="4" t="s">
        <v>5823</v>
      </c>
      <c r="B764" s="21">
        <f t="shared" si="87"/>
        <v>752</v>
      </c>
      <c r="C764" s="13" t="s">
        <v>7213</v>
      </c>
      <c r="D764" s="13" t="s">
        <v>6406</v>
      </c>
      <c r="E764" s="8"/>
      <c r="F764" s="7" t="s">
        <v>4348</v>
      </c>
      <c r="G764" s="7" t="s">
        <v>25</v>
      </c>
      <c r="H764" s="58"/>
      <c r="I764" s="23"/>
      <c r="J764" s="24"/>
      <c r="M764" s="4"/>
      <c r="N764" s="76"/>
      <c r="O764" s="76"/>
      <c r="P764" s="76" t="str">
        <f t="shared" si="88"/>
        <v>,shikkan746_start_date</v>
      </c>
      <c r="Q764" s="76" t="str">
        <f t="shared" si="89"/>
        <v>DATE</v>
      </c>
      <c r="R764" s="76" t="str">
        <f t="shared" si="90"/>
        <v/>
      </c>
      <c r="S764" s="76" t="str">
        <f t="shared" si="91"/>
        <v/>
      </c>
      <c r="T764" s="76" t="str">
        <f t="shared" si="92"/>
        <v>-- J670_疾患開始日</v>
      </c>
      <c r="U764" s="4" t="str">
        <f t="shared" si="73"/>
        <v>, CASE WHEN shikkan_disp_name = 'J670' THEN min_shikkan_start_date ::DATE ELSE NULL END AS shikkan746_start_date</v>
      </c>
      <c r="V764" s="25" t="str">
        <f t="shared" si="74"/>
        <v>, max(shikkan746_start_date)</v>
      </c>
      <c r="AA764" s="4"/>
      <c r="AB764" s="4"/>
      <c r="AC764" s="4"/>
      <c r="AD764" s="4"/>
      <c r="AE764" s="4"/>
      <c r="AF764" s="4"/>
      <c r="AG764" s="4"/>
      <c r="AH764" s="4"/>
      <c r="AI764" s="4"/>
      <c r="AJ764" s="76" t="str">
        <f>IF(E764="○",IF(COUNTA(E$13:E764)=1,"",",")&amp;D764,"")</f>
        <v/>
      </c>
      <c r="AK764" s="4"/>
      <c r="AL764" s="4"/>
      <c r="AM764" s="4"/>
      <c r="AN764" s="4"/>
      <c r="AO764" s="4"/>
      <c r="AP764" s="4"/>
      <c r="AQ764" s="4"/>
      <c r="AR764" s="4"/>
      <c r="AS764" s="76" t="str">
        <f>"COMMENT ON COLUMN "&amp;エンティティ一覧!$O$2&amp;"."&amp;D$8&amp;"."&amp;D764&amp;" IS '"&amp;C764&amp;"';"</f>
        <v>COMMENT ON COLUMN milscm_2023_009.sny_202310_annony_bef2.shikkan746_start_date IS 'J670_疾患開始日';</v>
      </c>
    </row>
    <row r="765" spans="1:45" s="25" customFormat="1">
      <c r="A765" s="4" t="s">
        <v>5824</v>
      </c>
      <c r="B765" s="21">
        <f t="shared" si="87"/>
        <v>753</v>
      </c>
      <c r="C765" s="13" t="s">
        <v>7214</v>
      </c>
      <c r="D765" s="13" t="s">
        <v>6407</v>
      </c>
      <c r="E765" s="8"/>
      <c r="F765" s="7" t="s">
        <v>4348</v>
      </c>
      <c r="G765" s="7" t="s">
        <v>25</v>
      </c>
      <c r="H765" s="58"/>
      <c r="I765" s="23"/>
      <c r="J765" s="24"/>
      <c r="M765" s="4"/>
      <c r="N765" s="76"/>
      <c r="O765" s="76"/>
      <c r="P765" s="76" t="str">
        <f t="shared" si="88"/>
        <v>,shikkan747_start_date</v>
      </c>
      <c r="Q765" s="76" t="str">
        <f t="shared" si="89"/>
        <v>DATE</v>
      </c>
      <c r="R765" s="76" t="str">
        <f t="shared" si="90"/>
        <v/>
      </c>
      <c r="S765" s="76" t="str">
        <f t="shared" si="91"/>
        <v/>
      </c>
      <c r="T765" s="76" t="str">
        <f t="shared" si="92"/>
        <v>-- J671_疾患開始日</v>
      </c>
      <c r="U765" s="4" t="str">
        <f t="shared" si="73"/>
        <v>, CASE WHEN shikkan_disp_name = 'J671' THEN min_shikkan_start_date ::DATE ELSE NULL END AS shikkan747_start_date</v>
      </c>
      <c r="V765" s="25" t="str">
        <f t="shared" si="74"/>
        <v>, max(shikkan747_start_date)</v>
      </c>
      <c r="AA765" s="4"/>
      <c r="AB765" s="4"/>
      <c r="AC765" s="4"/>
      <c r="AD765" s="4"/>
      <c r="AE765" s="4"/>
      <c r="AF765" s="4"/>
      <c r="AG765" s="4"/>
      <c r="AH765" s="4"/>
      <c r="AI765" s="4"/>
      <c r="AJ765" s="76" t="str">
        <f>IF(E765="○",IF(COUNTA(E$13:E765)=1,"",",")&amp;D765,"")</f>
        <v/>
      </c>
      <c r="AK765" s="4"/>
      <c r="AL765" s="4"/>
      <c r="AM765" s="4"/>
      <c r="AN765" s="4"/>
      <c r="AO765" s="4"/>
      <c r="AP765" s="4"/>
      <c r="AQ765" s="4"/>
      <c r="AR765" s="4"/>
      <c r="AS765" s="76" t="str">
        <f>"COMMENT ON COLUMN "&amp;エンティティ一覧!$O$2&amp;"."&amp;D$8&amp;"."&amp;D765&amp;" IS '"&amp;C765&amp;"';"</f>
        <v>COMMENT ON COLUMN milscm_2023_009.sny_202310_annony_bef2.shikkan747_start_date IS 'J671_疾患開始日';</v>
      </c>
    </row>
    <row r="766" spans="1:45" s="25" customFormat="1">
      <c r="A766" s="4" t="s">
        <v>5825</v>
      </c>
      <c r="B766" s="21">
        <f t="shared" si="87"/>
        <v>754</v>
      </c>
      <c r="C766" s="13" t="s">
        <v>7215</v>
      </c>
      <c r="D766" s="13" t="s">
        <v>6408</v>
      </c>
      <c r="E766" s="8"/>
      <c r="F766" s="7" t="s">
        <v>4348</v>
      </c>
      <c r="G766" s="7" t="s">
        <v>25</v>
      </c>
      <c r="H766" s="58"/>
      <c r="I766" s="23"/>
      <c r="J766" s="24"/>
      <c r="M766" s="4"/>
      <c r="N766" s="76"/>
      <c r="O766" s="76"/>
      <c r="P766" s="76" t="str">
        <f t="shared" si="88"/>
        <v>,shikkan748_start_date</v>
      </c>
      <c r="Q766" s="76" t="str">
        <f t="shared" si="89"/>
        <v>DATE</v>
      </c>
      <c r="R766" s="76" t="str">
        <f t="shared" si="90"/>
        <v/>
      </c>
      <c r="S766" s="76" t="str">
        <f t="shared" si="91"/>
        <v/>
      </c>
      <c r="T766" s="76" t="str">
        <f t="shared" si="92"/>
        <v>-- J672_疾患開始日</v>
      </c>
      <c r="U766" s="4" t="str">
        <f t="shared" si="73"/>
        <v>, CASE WHEN shikkan_disp_name = 'J672' THEN min_shikkan_start_date ::DATE ELSE NULL END AS shikkan748_start_date</v>
      </c>
      <c r="V766" s="25" t="str">
        <f t="shared" si="74"/>
        <v>, max(shikkan748_start_date)</v>
      </c>
      <c r="AA766" s="4"/>
      <c r="AB766" s="4"/>
      <c r="AC766" s="4"/>
      <c r="AD766" s="4"/>
      <c r="AE766" s="4"/>
      <c r="AF766" s="4"/>
      <c r="AG766" s="4"/>
      <c r="AH766" s="4"/>
      <c r="AI766" s="4"/>
      <c r="AJ766" s="76" t="str">
        <f>IF(E766="○",IF(COUNTA(E$13:E766)=1,"",",")&amp;D766,"")</f>
        <v/>
      </c>
      <c r="AK766" s="4"/>
      <c r="AL766" s="4"/>
      <c r="AM766" s="4"/>
      <c r="AN766" s="4"/>
      <c r="AO766" s="4"/>
      <c r="AP766" s="4"/>
      <c r="AQ766" s="4"/>
      <c r="AR766" s="4"/>
      <c r="AS766" s="76" t="str">
        <f>"COMMENT ON COLUMN "&amp;エンティティ一覧!$O$2&amp;"."&amp;D$8&amp;"."&amp;D766&amp;" IS '"&amp;C766&amp;"';"</f>
        <v>COMMENT ON COLUMN milscm_2023_009.sny_202310_annony_bef2.shikkan748_start_date IS 'J672_疾患開始日';</v>
      </c>
    </row>
    <row r="767" spans="1:45" s="25" customFormat="1">
      <c r="A767" s="4" t="s">
        <v>5826</v>
      </c>
      <c r="B767" s="21">
        <f t="shared" si="87"/>
        <v>755</v>
      </c>
      <c r="C767" s="13" t="s">
        <v>7216</v>
      </c>
      <c r="D767" s="13" t="s">
        <v>6409</v>
      </c>
      <c r="E767" s="8"/>
      <c r="F767" s="7" t="s">
        <v>4348</v>
      </c>
      <c r="G767" s="7" t="s">
        <v>25</v>
      </c>
      <c r="H767" s="58"/>
      <c r="I767" s="23"/>
      <c r="J767" s="24"/>
      <c r="M767" s="4"/>
      <c r="N767" s="76"/>
      <c r="O767" s="76"/>
      <c r="P767" s="76" t="str">
        <f t="shared" si="88"/>
        <v>,shikkan749_start_date</v>
      </c>
      <c r="Q767" s="76" t="str">
        <f t="shared" si="89"/>
        <v>DATE</v>
      </c>
      <c r="R767" s="76" t="str">
        <f t="shared" si="90"/>
        <v/>
      </c>
      <c r="S767" s="76" t="str">
        <f t="shared" si="91"/>
        <v/>
      </c>
      <c r="T767" s="76" t="str">
        <f t="shared" si="92"/>
        <v>-- J673_疾患開始日</v>
      </c>
      <c r="U767" s="4" t="str">
        <f t="shared" si="73"/>
        <v>, CASE WHEN shikkan_disp_name = 'J673' THEN min_shikkan_start_date ::DATE ELSE NULL END AS shikkan749_start_date</v>
      </c>
      <c r="V767" s="25" t="str">
        <f t="shared" si="74"/>
        <v>, max(shikkan749_start_date)</v>
      </c>
      <c r="AA767" s="4"/>
      <c r="AB767" s="4"/>
      <c r="AC767" s="4"/>
      <c r="AD767" s="4"/>
      <c r="AE767" s="4"/>
      <c r="AF767" s="4"/>
      <c r="AG767" s="4"/>
      <c r="AH767" s="4"/>
      <c r="AI767" s="4"/>
      <c r="AJ767" s="76" t="str">
        <f>IF(E767="○",IF(COUNTA(E$13:E767)=1,"",",")&amp;D767,"")</f>
        <v/>
      </c>
      <c r="AK767" s="4"/>
      <c r="AL767" s="4"/>
      <c r="AM767" s="4"/>
      <c r="AN767" s="4"/>
      <c r="AO767" s="4"/>
      <c r="AP767" s="4"/>
      <c r="AQ767" s="4"/>
      <c r="AR767" s="4"/>
      <c r="AS767" s="76" t="str">
        <f>"COMMENT ON COLUMN "&amp;エンティティ一覧!$O$2&amp;"."&amp;D$8&amp;"."&amp;D767&amp;" IS '"&amp;C767&amp;"';"</f>
        <v>COMMENT ON COLUMN milscm_2023_009.sny_202310_annony_bef2.shikkan749_start_date IS 'J673_疾患開始日';</v>
      </c>
    </row>
    <row r="768" spans="1:45" s="25" customFormat="1">
      <c r="A768" s="4" t="s">
        <v>5827</v>
      </c>
      <c r="B768" s="21">
        <f t="shared" si="87"/>
        <v>756</v>
      </c>
      <c r="C768" s="13" t="s">
        <v>7217</v>
      </c>
      <c r="D768" s="13" t="s">
        <v>6410</v>
      </c>
      <c r="E768" s="8"/>
      <c r="F768" s="7" t="s">
        <v>4348</v>
      </c>
      <c r="G768" s="7" t="s">
        <v>25</v>
      </c>
      <c r="H768" s="58"/>
      <c r="I768" s="23"/>
      <c r="J768" s="24"/>
      <c r="M768" s="4"/>
      <c r="N768" s="76"/>
      <c r="O768" s="76"/>
      <c r="P768" s="76" t="str">
        <f t="shared" si="88"/>
        <v>,shikkan750_start_date</v>
      </c>
      <c r="Q768" s="76" t="str">
        <f t="shared" si="89"/>
        <v>DATE</v>
      </c>
      <c r="R768" s="76" t="str">
        <f t="shared" si="90"/>
        <v/>
      </c>
      <c r="S768" s="76" t="str">
        <f t="shared" si="91"/>
        <v/>
      </c>
      <c r="T768" s="76" t="str">
        <f t="shared" si="92"/>
        <v>-- J674_疾患開始日</v>
      </c>
      <c r="U768" s="4" t="str">
        <f t="shared" si="73"/>
        <v>, CASE WHEN shikkan_disp_name = 'J674' THEN min_shikkan_start_date ::DATE ELSE NULL END AS shikkan750_start_date</v>
      </c>
      <c r="V768" s="25" t="str">
        <f t="shared" si="74"/>
        <v>, max(shikkan750_start_date)</v>
      </c>
      <c r="AA768" s="4"/>
      <c r="AB768" s="4"/>
      <c r="AC768" s="4"/>
      <c r="AD768" s="4"/>
      <c r="AE768" s="4"/>
      <c r="AF768" s="4"/>
      <c r="AG768" s="4"/>
      <c r="AH768" s="4"/>
      <c r="AI768" s="4"/>
      <c r="AJ768" s="76" t="str">
        <f>IF(E768="○",IF(COUNTA(E$13:E768)=1,"",",")&amp;D768,"")</f>
        <v/>
      </c>
      <c r="AK768" s="4"/>
      <c r="AL768" s="4"/>
      <c r="AM768" s="4"/>
      <c r="AN768" s="4"/>
      <c r="AO768" s="4"/>
      <c r="AP768" s="4"/>
      <c r="AQ768" s="4"/>
      <c r="AR768" s="4"/>
      <c r="AS768" s="76" t="str">
        <f>"COMMENT ON COLUMN "&amp;エンティティ一覧!$O$2&amp;"."&amp;D$8&amp;"."&amp;D768&amp;" IS '"&amp;C768&amp;"';"</f>
        <v>COMMENT ON COLUMN milscm_2023_009.sny_202310_annony_bef2.shikkan750_start_date IS 'J674_疾患開始日';</v>
      </c>
    </row>
    <row r="769" spans="1:45" s="25" customFormat="1">
      <c r="A769" s="4" t="s">
        <v>5828</v>
      </c>
      <c r="B769" s="21">
        <f t="shared" si="87"/>
        <v>757</v>
      </c>
      <c r="C769" s="13" t="s">
        <v>7218</v>
      </c>
      <c r="D769" s="13" t="s">
        <v>6411</v>
      </c>
      <c r="E769" s="8"/>
      <c r="F769" s="7" t="s">
        <v>4348</v>
      </c>
      <c r="G769" s="7" t="s">
        <v>99</v>
      </c>
      <c r="H769" s="58"/>
      <c r="I769" s="23"/>
      <c r="J769" s="24"/>
      <c r="M769" s="4"/>
      <c r="N769" s="76"/>
      <c r="O769" s="76"/>
      <c r="P769" s="76" t="str">
        <f t="shared" si="88"/>
        <v>,shikkan751_start_date</v>
      </c>
      <c r="Q769" s="76" t="str">
        <f t="shared" si="89"/>
        <v>DATE</v>
      </c>
      <c r="R769" s="76" t="str">
        <f t="shared" si="90"/>
        <v/>
      </c>
      <c r="S769" s="76" t="str">
        <f t="shared" si="91"/>
        <v/>
      </c>
      <c r="T769" s="76" t="str">
        <f t="shared" si="92"/>
        <v>-- J675_疾患開始日</v>
      </c>
      <c r="U769" s="4" t="str">
        <f t="shared" si="73"/>
        <v>, CASE WHEN shikkan_disp_name = 'J675' THEN min_shikkan_start_date ::DATE ELSE NULL END AS shikkan751_start_date</v>
      </c>
      <c r="V769" s="25" t="str">
        <f t="shared" si="74"/>
        <v>, max(shikkan751_start_date)</v>
      </c>
      <c r="AA769" s="4"/>
      <c r="AB769" s="4"/>
      <c r="AC769" s="4"/>
      <c r="AD769" s="4"/>
      <c r="AE769" s="4"/>
      <c r="AF769" s="4"/>
      <c r="AG769" s="4"/>
      <c r="AH769" s="4"/>
      <c r="AI769" s="4"/>
      <c r="AJ769" s="76" t="str">
        <f>IF(E769="○",IF(COUNTA(E$13:E769)=1,"",",")&amp;D769,"")</f>
        <v/>
      </c>
      <c r="AK769" s="4"/>
      <c r="AL769" s="4"/>
      <c r="AM769" s="4"/>
      <c r="AN769" s="4"/>
      <c r="AO769" s="4"/>
      <c r="AP769" s="4"/>
      <c r="AQ769" s="4"/>
      <c r="AR769" s="4"/>
      <c r="AS769" s="76" t="str">
        <f>"COMMENT ON COLUMN "&amp;エンティティ一覧!$O$2&amp;"."&amp;D$8&amp;"."&amp;D769&amp;" IS '"&amp;C769&amp;"';"</f>
        <v>COMMENT ON COLUMN milscm_2023_009.sny_202310_annony_bef2.shikkan751_start_date IS 'J675_疾患開始日';</v>
      </c>
    </row>
    <row r="770" spans="1:45" s="25" customFormat="1">
      <c r="A770" s="4" t="s">
        <v>5829</v>
      </c>
      <c r="B770" s="21">
        <f t="shared" si="87"/>
        <v>758</v>
      </c>
      <c r="C770" s="13" t="s">
        <v>7219</v>
      </c>
      <c r="D770" s="13" t="s">
        <v>6412</v>
      </c>
      <c r="E770" s="8"/>
      <c r="F770" s="7" t="s">
        <v>4348</v>
      </c>
      <c r="G770" s="7" t="s">
        <v>25</v>
      </c>
      <c r="H770" s="58"/>
      <c r="I770" s="23"/>
      <c r="J770" s="24"/>
      <c r="M770" s="4"/>
      <c r="N770" s="76"/>
      <c r="O770" s="76"/>
      <c r="P770" s="76" t="str">
        <f t="shared" si="88"/>
        <v>,shikkan752_start_date</v>
      </c>
      <c r="Q770" s="76" t="str">
        <f t="shared" si="89"/>
        <v>DATE</v>
      </c>
      <c r="R770" s="76" t="str">
        <f t="shared" si="90"/>
        <v/>
      </c>
      <c r="S770" s="76" t="str">
        <f t="shared" si="91"/>
        <v/>
      </c>
      <c r="T770" s="76" t="str">
        <f t="shared" si="92"/>
        <v>-- J676_疾患開始日</v>
      </c>
      <c r="U770" s="4" t="str">
        <f t="shared" si="73"/>
        <v>, CASE WHEN shikkan_disp_name = 'J676' THEN min_shikkan_start_date ::DATE ELSE NULL END AS shikkan752_start_date</v>
      </c>
      <c r="V770" s="25" t="str">
        <f t="shared" si="74"/>
        <v>, max(shikkan752_start_date)</v>
      </c>
      <c r="AA770" s="4"/>
      <c r="AB770" s="4"/>
      <c r="AC770" s="4"/>
      <c r="AD770" s="4"/>
      <c r="AE770" s="4"/>
      <c r="AF770" s="4"/>
      <c r="AG770" s="4"/>
      <c r="AH770" s="4"/>
      <c r="AI770" s="4"/>
      <c r="AJ770" s="76" t="str">
        <f>IF(E770="○",IF(COUNTA(E$13:E770)=1,"",",")&amp;D770,"")</f>
        <v/>
      </c>
      <c r="AK770" s="4"/>
      <c r="AL770" s="4"/>
      <c r="AM770" s="4"/>
      <c r="AN770" s="4"/>
      <c r="AO770" s="4"/>
      <c r="AP770" s="4"/>
      <c r="AQ770" s="4"/>
      <c r="AR770" s="4"/>
      <c r="AS770" s="76" t="str">
        <f>"COMMENT ON COLUMN "&amp;エンティティ一覧!$O$2&amp;"."&amp;D$8&amp;"."&amp;D770&amp;" IS '"&amp;C770&amp;"';"</f>
        <v>COMMENT ON COLUMN milscm_2023_009.sny_202310_annony_bef2.shikkan752_start_date IS 'J676_疾患開始日';</v>
      </c>
    </row>
    <row r="771" spans="1:45" s="25" customFormat="1">
      <c r="A771" s="4" t="s">
        <v>5830</v>
      </c>
      <c r="B771" s="21">
        <f t="shared" si="87"/>
        <v>759</v>
      </c>
      <c r="C771" s="13" t="s">
        <v>7220</v>
      </c>
      <c r="D771" s="13" t="s">
        <v>6413</v>
      </c>
      <c r="E771" s="8"/>
      <c r="F771" s="7" t="s">
        <v>4348</v>
      </c>
      <c r="G771" s="7" t="s">
        <v>25</v>
      </c>
      <c r="H771" s="58"/>
      <c r="I771" s="23"/>
      <c r="J771" s="24"/>
      <c r="M771" s="4"/>
      <c r="N771" s="76"/>
      <c r="O771" s="76"/>
      <c r="P771" s="76" t="str">
        <f t="shared" si="88"/>
        <v>,shikkan753_start_date</v>
      </c>
      <c r="Q771" s="76" t="str">
        <f t="shared" si="89"/>
        <v>DATE</v>
      </c>
      <c r="R771" s="76" t="str">
        <f t="shared" si="90"/>
        <v/>
      </c>
      <c r="S771" s="76" t="str">
        <f t="shared" si="91"/>
        <v/>
      </c>
      <c r="T771" s="76" t="str">
        <f t="shared" si="92"/>
        <v>-- J677_疾患開始日</v>
      </c>
      <c r="U771" s="4" t="str">
        <f t="shared" si="73"/>
        <v>, CASE WHEN shikkan_disp_name = 'J677' THEN min_shikkan_start_date ::DATE ELSE NULL END AS shikkan753_start_date</v>
      </c>
      <c r="V771" s="25" t="str">
        <f t="shared" si="74"/>
        <v>, max(shikkan753_start_date)</v>
      </c>
      <c r="AA771" s="4"/>
      <c r="AB771" s="4"/>
      <c r="AC771" s="4"/>
      <c r="AD771" s="4"/>
      <c r="AE771" s="4"/>
      <c r="AF771" s="4"/>
      <c r="AG771" s="4"/>
      <c r="AH771" s="4"/>
      <c r="AI771" s="4"/>
      <c r="AJ771" s="76" t="str">
        <f>IF(E771="○",IF(COUNTA(E$13:E771)=1,"",",")&amp;D771,"")</f>
        <v/>
      </c>
      <c r="AK771" s="4"/>
      <c r="AL771" s="4"/>
      <c r="AM771" s="4"/>
      <c r="AN771" s="4"/>
      <c r="AO771" s="4"/>
      <c r="AP771" s="4"/>
      <c r="AQ771" s="4"/>
      <c r="AR771" s="4"/>
      <c r="AS771" s="76" t="str">
        <f>"COMMENT ON COLUMN "&amp;エンティティ一覧!$O$2&amp;"."&amp;D$8&amp;"."&amp;D771&amp;" IS '"&amp;C771&amp;"';"</f>
        <v>COMMENT ON COLUMN milscm_2023_009.sny_202310_annony_bef2.shikkan753_start_date IS 'J677_疾患開始日';</v>
      </c>
    </row>
    <row r="772" spans="1:45" s="25" customFormat="1">
      <c r="A772" s="4" t="s">
        <v>5831</v>
      </c>
      <c r="B772" s="21">
        <f t="shared" si="87"/>
        <v>760</v>
      </c>
      <c r="C772" s="13" t="s">
        <v>7221</v>
      </c>
      <c r="D772" s="13" t="s">
        <v>6414</v>
      </c>
      <c r="E772" s="8"/>
      <c r="F772" s="7" t="s">
        <v>4348</v>
      </c>
      <c r="G772" s="7" t="s">
        <v>25</v>
      </c>
      <c r="H772" s="58"/>
      <c r="I772" s="23"/>
      <c r="J772" s="24"/>
      <c r="M772" s="4"/>
      <c r="N772" s="76"/>
      <c r="O772" s="76"/>
      <c r="P772" s="76" t="str">
        <f t="shared" si="88"/>
        <v>,shikkan754_start_date</v>
      </c>
      <c r="Q772" s="76" t="str">
        <f t="shared" si="89"/>
        <v>DATE</v>
      </c>
      <c r="R772" s="76" t="str">
        <f t="shared" si="90"/>
        <v/>
      </c>
      <c r="S772" s="76" t="str">
        <f t="shared" si="91"/>
        <v/>
      </c>
      <c r="T772" s="76" t="str">
        <f t="shared" si="92"/>
        <v>-- J678_疾患開始日</v>
      </c>
      <c r="U772" s="4" t="str">
        <f t="shared" si="73"/>
        <v>, CASE WHEN shikkan_disp_name = 'J678' THEN min_shikkan_start_date ::DATE ELSE NULL END AS shikkan754_start_date</v>
      </c>
      <c r="V772" s="25" t="str">
        <f t="shared" si="74"/>
        <v>, max(shikkan754_start_date)</v>
      </c>
      <c r="AA772" s="4"/>
      <c r="AB772" s="4"/>
      <c r="AC772" s="4"/>
      <c r="AD772" s="4"/>
      <c r="AE772" s="4"/>
      <c r="AF772" s="4"/>
      <c r="AG772" s="4"/>
      <c r="AH772" s="4"/>
      <c r="AI772" s="4"/>
      <c r="AJ772" s="76" t="str">
        <f>IF(E772="○",IF(COUNTA(E$13:E772)=1,"",",")&amp;D772,"")</f>
        <v/>
      </c>
      <c r="AK772" s="4"/>
      <c r="AL772" s="4"/>
      <c r="AM772" s="4"/>
      <c r="AN772" s="4"/>
      <c r="AO772" s="4"/>
      <c r="AP772" s="4"/>
      <c r="AQ772" s="4"/>
      <c r="AR772" s="4"/>
      <c r="AS772" s="76" t="str">
        <f>"COMMENT ON COLUMN "&amp;エンティティ一覧!$O$2&amp;"."&amp;D$8&amp;"."&amp;D772&amp;" IS '"&amp;C772&amp;"';"</f>
        <v>COMMENT ON COLUMN milscm_2023_009.sny_202310_annony_bef2.shikkan754_start_date IS 'J678_疾患開始日';</v>
      </c>
    </row>
    <row r="773" spans="1:45" s="25" customFormat="1">
      <c r="A773" s="4" t="s">
        <v>5832</v>
      </c>
      <c r="B773" s="21">
        <f t="shared" si="87"/>
        <v>761</v>
      </c>
      <c r="C773" s="13" t="s">
        <v>7222</v>
      </c>
      <c r="D773" s="13" t="s">
        <v>6415</v>
      </c>
      <c r="E773" s="8"/>
      <c r="F773" s="7" t="s">
        <v>4348</v>
      </c>
      <c r="G773" s="7" t="s">
        <v>25</v>
      </c>
      <c r="H773" s="58"/>
      <c r="I773" s="23"/>
      <c r="J773" s="24"/>
      <c r="M773" s="4"/>
      <c r="N773" s="76"/>
      <c r="O773" s="76"/>
      <c r="P773" s="76" t="str">
        <f t="shared" si="88"/>
        <v>,shikkan755_start_date</v>
      </c>
      <c r="Q773" s="76" t="str">
        <f t="shared" si="89"/>
        <v>DATE</v>
      </c>
      <c r="R773" s="76" t="str">
        <f t="shared" si="90"/>
        <v/>
      </c>
      <c r="S773" s="76" t="str">
        <f t="shared" si="91"/>
        <v/>
      </c>
      <c r="T773" s="76" t="str">
        <f t="shared" si="92"/>
        <v>-- J679_疾患開始日</v>
      </c>
      <c r="U773" s="4" t="str">
        <f t="shared" si="73"/>
        <v>, CASE WHEN shikkan_disp_name = 'J679' THEN min_shikkan_start_date ::DATE ELSE NULL END AS shikkan755_start_date</v>
      </c>
      <c r="V773" s="25" t="str">
        <f t="shared" si="74"/>
        <v>, max(shikkan755_start_date)</v>
      </c>
      <c r="AA773" s="4"/>
      <c r="AB773" s="4"/>
      <c r="AC773" s="4"/>
      <c r="AD773" s="4"/>
      <c r="AE773" s="4"/>
      <c r="AF773" s="4"/>
      <c r="AG773" s="4"/>
      <c r="AH773" s="4"/>
      <c r="AI773" s="4"/>
      <c r="AJ773" s="76" t="str">
        <f>IF(E773="○",IF(COUNTA(E$13:E773)=1,"",",")&amp;D773,"")</f>
        <v/>
      </c>
      <c r="AK773" s="4"/>
      <c r="AL773" s="4"/>
      <c r="AM773" s="4"/>
      <c r="AN773" s="4"/>
      <c r="AO773" s="4"/>
      <c r="AP773" s="4"/>
      <c r="AQ773" s="4"/>
      <c r="AR773" s="4"/>
      <c r="AS773" s="76" t="str">
        <f>"COMMENT ON COLUMN "&amp;エンティティ一覧!$O$2&amp;"."&amp;D$8&amp;"."&amp;D773&amp;" IS '"&amp;C773&amp;"';"</f>
        <v>COMMENT ON COLUMN milscm_2023_009.sny_202310_annony_bef2.shikkan755_start_date IS 'J679_疾患開始日';</v>
      </c>
    </row>
    <row r="774" spans="1:45" s="25" customFormat="1">
      <c r="A774" s="4" t="s">
        <v>5833</v>
      </c>
      <c r="B774" s="21">
        <f t="shared" si="87"/>
        <v>762</v>
      </c>
      <c r="C774" s="13" t="s">
        <v>7223</v>
      </c>
      <c r="D774" s="13" t="s">
        <v>6416</v>
      </c>
      <c r="E774" s="8"/>
      <c r="F774" s="7" t="s">
        <v>4348</v>
      </c>
      <c r="G774" s="7" t="s">
        <v>25</v>
      </c>
      <c r="H774" s="58"/>
      <c r="I774" s="23"/>
      <c r="J774" s="24"/>
      <c r="M774" s="4"/>
      <c r="N774" s="76"/>
      <c r="O774" s="76"/>
      <c r="P774" s="76" t="str">
        <f t="shared" si="88"/>
        <v>,shikkan756_start_date</v>
      </c>
      <c r="Q774" s="76" t="str">
        <f t="shared" si="89"/>
        <v>DATE</v>
      </c>
      <c r="R774" s="76" t="str">
        <f t="shared" si="90"/>
        <v/>
      </c>
      <c r="S774" s="76" t="str">
        <f t="shared" si="91"/>
        <v/>
      </c>
      <c r="T774" s="76" t="str">
        <f t="shared" si="92"/>
        <v>-- J684_疾患開始日</v>
      </c>
      <c r="U774" s="4" t="str">
        <f t="shared" si="73"/>
        <v>, CASE WHEN shikkan_disp_name = 'J684' THEN min_shikkan_start_date ::DATE ELSE NULL END AS shikkan756_start_date</v>
      </c>
      <c r="V774" s="25" t="str">
        <f t="shared" si="74"/>
        <v>, max(shikkan756_start_date)</v>
      </c>
      <c r="AA774" s="4"/>
      <c r="AB774" s="4"/>
      <c r="AC774" s="4"/>
      <c r="AD774" s="4"/>
      <c r="AE774" s="4"/>
      <c r="AF774" s="4"/>
      <c r="AG774" s="4"/>
      <c r="AH774" s="4"/>
      <c r="AI774" s="4"/>
      <c r="AJ774" s="76" t="str">
        <f>IF(E774="○",IF(COUNTA(E$13:E774)=1,"",",")&amp;D774,"")</f>
        <v/>
      </c>
      <c r="AK774" s="4"/>
      <c r="AL774" s="4"/>
      <c r="AM774" s="4"/>
      <c r="AN774" s="4"/>
      <c r="AO774" s="4"/>
      <c r="AP774" s="4"/>
      <c r="AQ774" s="4"/>
      <c r="AR774" s="4"/>
      <c r="AS774" s="76" t="str">
        <f>"COMMENT ON COLUMN "&amp;エンティティ一覧!$O$2&amp;"."&amp;D$8&amp;"."&amp;D774&amp;" IS '"&amp;C774&amp;"';"</f>
        <v>COMMENT ON COLUMN milscm_2023_009.sny_202310_annony_bef2.shikkan756_start_date IS 'J684_疾患開始日';</v>
      </c>
    </row>
    <row r="775" spans="1:45" s="25" customFormat="1">
      <c r="A775" s="4" t="s">
        <v>5834</v>
      </c>
      <c r="B775" s="21">
        <f t="shared" si="87"/>
        <v>763</v>
      </c>
      <c r="C775" s="13" t="s">
        <v>7224</v>
      </c>
      <c r="D775" s="13" t="s">
        <v>6417</v>
      </c>
      <c r="E775" s="8"/>
      <c r="F775" s="7" t="s">
        <v>4348</v>
      </c>
      <c r="G775" s="7" t="s">
        <v>25</v>
      </c>
      <c r="H775" s="58"/>
      <c r="I775" s="23"/>
      <c r="J775" s="24"/>
      <c r="M775" s="4"/>
      <c r="N775" s="76"/>
      <c r="O775" s="76"/>
      <c r="P775" s="76" t="str">
        <f t="shared" si="88"/>
        <v>,shikkan757_start_date</v>
      </c>
      <c r="Q775" s="76" t="str">
        <f t="shared" si="89"/>
        <v>DATE</v>
      </c>
      <c r="R775" s="76" t="str">
        <f t="shared" si="90"/>
        <v/>
      </c>
      <c r="S775" s="76" t="str">
        <f t="shared" si="91"/>
        <v/>
      </c>
      <c r="T775" s="76" t="str">
        <f t="shared" si="92"/>
        <v>-- J701_疾患開始日</v>
      </c>
      <c r="U775" s="4" t="str">
        <f t="shared" si="73"/>
        <v>, CASE WHEN shikkan_disp_name = 'J701' THEN min_shikkan_start_date ::DATE ELSE NULL END AS shikkan757_start_date</v>
      </c>
      <c r="V775" s="25" t="str">
        <f t="shared" si="74"/>
        <v>, max(shikkan757_start_date)</v>
      </c>
      <c r="AA775" s="4"/>
      <c r="AB775" s="4"/>
      <c r="AC775" s="4"/>
      <c r="AD775" s="4"/>
      <c r="AE775" s="4"/>
      <c r="AF775" s="4"/>
      <c r="AG775" s="4"/>
      <c r="AH775" s="4"/>
      <c r="AI775" s="4"/>
      <c r="AJ775" s="76" t="str">
        <f>IF(E775="○",IF(COUNTA(E$13:E775)=1,"",",")&amp;D775,"")</f>
        <v/>
      </c>
      <c r="AK775" s="4"/>
      <c r="AL775" s="4"/>
      <c r="AM775" s="4"/>
      <c r="AN775" s="4"/>
      <c r="AO775" s="4"/>
      <c r="AP775" s="4"/>
      <c r="AQ775" s="4"/>
      <c r="AR775" s="4"/>
      <c r="AS775" s="76" t="str">
        <f>"COMMENT ON COLUMN "&amp;エンティティ一覧!$O$2&amp;"."&amp;D$8&amp;"."&amp;D775&amp;" IS '"&amp;C775&amp;"';"</f>
        <v>COMMENT ON COLUMN milscm_2023_009.sny_202310_annony_bef2.shikkan757_start_date IS 'J701_疾患開始日';</v>
      </c>
    </row>
    <row r="776" spans="1:45" s="25" customFormat="1">
      <c r="A776" s="4" t="s">
        <v>5835</v>
      </c>
      <c r="B776" s="21">
        <f t="shared" si="87"/>
        <v>764</v>
      </c>
      <c r="C776" s="13" t="s">
        <v>7225</v>
      </c>
      <c r="D776" s="13" t="s">
        <v>6418</v>
      </c>
      <c r="E776" s="8"/>
      <c r="F776" s="7" t="s">
        <v>4348</v>
      </c>
      <c r="G776" s="7" t="s">
        <v>25</v>
      </c>
      <c r="H776" s="58"/>
      <c r="I776" s="23"/>
      <c r="J776" s="24"/>
      <c r="M776" s="4"/>
      <c r="N776" s="76"/>
      <c r="O776" s="76"/>
      <c r="P776" s="76" t="str">
        <f t="shared" si="88"/>
        <v>,shikkan758_start_date</v>
      </c>
      <c r="Q776" s="76" t="str">
        <f t="shared" si="89"/>
        <v>DATE</v>
      </c>
      <c r="R776" s="76" t="str">
        <f t="shared" si="90"/>
        <v/>
      </c>
      <c r="S776" s="76" t="str">
        <f t="shared" si="91"/>
        <v/>
      </c>
      <c r="T776" s="76" t="str">
        <f t="shared" si="92"/>
        <v>-- J703_疾患開始日</v>
      </c>
      <c r="U776" s="4" t="str">
        <f t="shared" si="73"/>
        <v>, CASE WHEN shikkan_disp_name = 'J703' THEN min_shikkan_start_date ::DATE ELSE NULL END AS shikkan758_start_date</v>
      </c>
      <c r="V776" s="25" t="str">
        <f t="shared" si="74"/>
        <v>, max(shikkan758_start_date)</v>
      </c>
      <c r="AA776" s="4"/>
      <c r="AB776" s="4"/>
      <c r="AC776" s="4"/>
      <c r="AD776" s="4"/>
      <c r="AE776" s="4"/>
      <c r="AF776" s="4"/>
      <c r="AG776" s="4"/>
      <c r="AH776" s="4"/>
      <c r="AI776" s="4"/>
      <c r="AJ776" s="76" t="str">
        <f>IF(E776="○",IF(COUNTA(E$13:E776)=1,"",",")&amp;D776,"")</f>
        <v/>
      </c>
      <c r="AK776" s="4"/>
      <c r="AL776" s="4"/>
      <c r="AM776" s="4"/>
      <c r="AN776" s="4"/>
      <c r="AO776" s="4"/>
      <c r="AP776" s="4"/>
      <c r="AQ776" s="4"/>
      <c r="AR776" s="4"/>
      <c r="AS776" s="76" t="str">
        <f>"COMMENT ON COLUMN "&amp;エンティティ一覧!$O$2&amp;"."&amp;D$8&amp;"."&amp;D776&amp;" IS '"&amp;C776&amp;"';"</f>
        <v>COMMENT ON COLUMN milscm_2023_009.sny_202310_annony_bef2.shikkan758_start_date IS 'J703_疾患開始日';</v>
      </c>
    </row>
    <row r="777" spans="1:45" s="25" customFormat="1">
      <c r="A777" s="4" t="s">
        <v>5836</v>
      </c>
      <c r="B777" s="21">
        <f t="shared" si="87"/>
        <v>765</v>
      </c>
      <c r="C777" s="13" t="s">
        <v>7226</v>
      </c>
      <c r="D777" s="13" t="s">
        <v>6419</v>
      </c>
      <c r="E777" s="8"/>
      <c r="F777" s="7" t="s">
        <v>4348</v>
      </c>
      <c r="G777" s="7" t="s">
        <v>25</v>
      </c>
      <c r="H777" s="58"/>
      <c r="I777" s="23"/>
      <c r="J777" s="24"/>
      <c r="M777" s="4"/>
      <c r="N777" s="76"/>
      <c r="O777" s="76"/>
      <c r="P777" s="76" t="str">
        <f t="shared" si="88"/>
        <v>,shikkan759_start_date</v>
      </c>
      <c r="Q777" s="76" t="str">
        <f t="shared" si="89"/>
        <v>DATE</v>
      </c>
      <c r="R777" s="76" t="str">
        <f t="shared" si="90"/>
        <v/>
      </c>
      <c r="S777" s="76" t="str">
        <f t="shared" si="91"/>
        <v/>
      </c>
      <c r="T777" s="76" t="str">
        <f t="shared" si="92"/>
        <v>-- K250_疾患開始日</v>
      </c>
      <c r="U777" s="4" t="str">
        <f t="shared" si="73"/>
        <v>, CASE WHEN shikkan_disp_name = 'K250' THEN min_shikkan_start_date ::DATE ELSE NULL END AS shikkan759_start_date</v>
      </c>
      <c r="V777" s="25" t="str">
        <f t="shared" si="74"/>
        <v>, max(shikkan759_start_date)</v>
      </c>
      <c r="AA777" s="4"/>
      <c r="AB777" s="4"/>
      <c r="AC777" s="4"/>
      <c r="AD777" s="4"/>
      <c r="AE777" s="4"/>
      <c r="AF777" s="4"/>
      <c r="AG777" s="4"/>
      <c r="AH777" s="4"/>
      <c r="AI777" s="4"/>
      <c r="AJ777" s="76" t="str">
        <f>IF(E777="○",IF(COUNTA(E$13:E777)=1,"",",")&amp;D777,"")</f>
        <v/>
      </c>
      <c r="AK777" s="4"/>
      <c r="AL777" s="4"/>
      <c r="AM777" s="4"/>
      <c r="AN777" s="4"/>
      <c r="AO777" s="4"/>
      <c r="AP777" s="4"/>
      <c r="AQ777" s="4"/>
      <c r="AR777" s="4"/>
      <c r="AS777" s="76" t="str">
        <f>"COMMENT ON COLUMN "&amp;エンティティ一覧!$O$2&amp;"."&amp;D$8&amp;"."&amp;D777&amp;" IS '"&amp;C777&amp;"';"</f>
        <v>COMMENT ON COLUMN milscm_2023_009.sny_202310_annony_bef2.shikkan759_start_date IS 'K250_疾患開始日';</v>
      </c>
    </row>
    <row r="778" spans="1:45" s="25" customFormat="1">
      <c r="A778" s="4" t="s">
        <v>5837</v>
      </c>
      <c r="B778" s="21">
        <f t="shared" si="87"/>
        <v>766</v>
      </c>
      <c r="C778" s="13" t="s">
        <v>7227</v>
      </c>
      <c r="D778" s="13" t="s">
        <v>6420</v>
      </c>
      <c r="E778" s="8"/>
      <c r="F778" s="7" t="s">
        <v>4348</v>
      </c>
      <c r="G778" s="7" t="s">
        <v>25</v>
      </c>
      <c r="H778" s="58"/>
      <c r="I778" s="23"/>
      <c r="J778" s="24"/>
      <c r="M778" s="4"/>
      <c r="N778" s="76"/>
      <c r="O778" s="76"/>
      <c r="P778" s="76" t="str">
        <f t="shared" si="88"/>
        <v>,shikkan760_start_date</v>
      </c>
      <c r="Q778" s="76" t="str">
        <f t="shared" si="89"/>
        <v>DATE</v>
      </c>
      <c r="R778" s="76" t="str">
        <f t="shared" si="90"/>
        <v/>
      </c>
      <c r="S778" s="76" t="str">
        <f t="shared" si="91"/>
        <v/>
      </c>
      <c r="T778" s="76" t="str">
        <f t="shared" si="92"/>
        <v>-- K251_疾患開始日</v>
      </c>
      <c r="U778" s="4" t="str">
        <f t="shared" si="73"/>
        <v>, CASE WHEN shikkan_disp_name = 'K251' THEN min_shikkan_start_date ::DATE ELSE NULL END AS shikkan760_start_date</v>
      </c>
      <c r="V778" s="25" t="str">
        <f t="shared" si="74"/>
        <v>, max(shikkan760_start_date)</v>
      </c>
      <c r="AA778" s="4"/>
      <c r="AB778" s="4"/>
      <c r="AC778" s="4"/>
      <c r="AD778" s="4"/>
      <c r="AE778" s="4"/>
      <c r="AF778" s="4"/>
      <c r="AG778" s="4"/>
      <c r="AH778" s="4"/>
      <c r="AI778" s="4"/>
      <c r="AJ778" s="76" t="str">
        <f>IF(E778="○",IF(COUNTA(E$13:E778)=1,"",",")&amp;D778,"")</f>
        <v/>
      </c>
      <c r="AK778" s="4"/>
      <c r="AL778" s="4"/>
      <c r="AM778" s="4"/>
      <c r="AN778" s="4"/>
      <c r="AO778" s="4"/>
      <c r="AP778" s="4"/>
      <c r="AQ778" s="4"/>
      <c r="AR778" s="4"/>
      <c r="AS778" s="76" t="str">
        <f>"COMMENT ON COLUMN "&amp;エンティティ一覧!$O$2&amp;"."&amp;D$8&amp;"."&amp;D778&amp;" IS '"&amp;C778&amp;"';"</f>
        <v>COMMENT ON COLUMN milscm_2023_009.sny_202310_annony_bef2.shikkan760_start_date IS 'K251_疾患開始日';</v>
      </c>
    </row>
    <row r="779" spans="1:45" s="25" customFormat="1">
      <c r="A779" s="4" t="s">
        <v>5838</v>
      </c>
      <c r="B779" s="21">
        <f t="shared" si="87"/>
        <v>767</v>
      </c>
      <c r="C779" s="13" t="s">
        <v>7228</v>
      </c>
      <c r="D779" s="13" t="s">
        <v>6421</v>
      </c>
      <c r="E779" s="8"/>
      <c r="F779" s="7" t="s">
        <v>4348</v>
      </c>
      <c r="G779" s="7" t="s">
        <v>25</v>
      </c>
      <c r="H779" s="58"/>
      <c r="I779" s="23"/>
      <c r="J779" s="24"/>
      <c r="M779" s="4"/>
      <c r="N779" s="76"/>
      <c r="O779" s="76"/>
      <c r="P779" s="76" t="str">
        <f t="shared" si="88"/>
        <v>,shikkan761_start_date</v>
      </c>
      <c r="Q779" s="76" t="str">
        <f t="shared" si="89"/>
        <v>DATE</v>
      </c>
      <c r="R779" s="76" t="str">
        <f t="shared" si="90"/>
        <v/>
      </c>
      <c r="S779" s="76" t="str">
        <f t="shared" si="91"/>
        <v/>
      </c>
      <c r="T779" s="76" t="str">
        <f t="shared" si="92"/>
        <v>-- K252_疾患開始日</v>
      </c>
      <c r="U779" s="4" t="str">
        <f t="shared" si="73"/>
        <v>, CASE WHEN shikkan_disp_name = 'K252' THEN min_shikkan_start_date ::DATE ELSE NULL END AS shikkan761_start_date</v>
      </c>
      <c r="V779" s="25" t="str">
        <f t="shared" si="74"/>
        <v>, max(shikkan761_start_date)</v>
      </c>
      <c r="AA779" s="4"/>
      <c r="AB779" s="4"/>
      <c r="AC779" s="4"/>
      <c r="AD779" s="4"/>
      <c r="AE779" s="4"/>
      <c r="AF779" s="4"/>
      <c r="AG779" s="4"/>
      <c r="AH779" s="4"/>
      <c r="AI779" s="4"/>
      <c r="AJ779" s="76" t="str">
        <f>IF(E779="○",IF(COUNTA(E$13:E779)=1,"",",")&amp;D779,"")</f>
        <v/>
      </c>
      <c r="AK779" s="4"/>
      <c r="AL779" s="4"/>
      <c r="AM779" s="4"/>
      <c r="AN779" s="4"/>
      <c r="AO779" s="4"/>
      <c r="AP779" s="4"/>
      <c r="AQ779" s="4"/>
      <c r="AR779" s="4"/>
      <c r="AS779" s="76" t="str">
        <f>"COMMENT ON COLUMN "&amp;エンティティ一覧!$O$2&amp;"."&amp;D$8&amp;"."&amp;D779&amp;" IS '"&amp;C779&amp;"';"</f>
        <v>COMMENT ON COLUMN milscm_2023_009.sny_202310_annony_bef2.shikkan761_start_date IS 'K252_疾患開始日';</v>
      </c>
    </row>
    <row r="780" spans="1:45" s="25" customFormat="1">
      <c r="A780" s="4" t="s">
        <v>5839</v>
      </c>
      <c r="B780" s="21">
        <f t="shared" si="87"/>
        <v>768</v>
      </c>
      <c r="C780" s="13" t="s">
        <v>7229</v>
      </c>
      <c r="D780" s="13" t="s">
        <v>6422</v>
      </c>
      <c r="E780" s="8"/>
      <c r="F780" s="7" t="s">
        <v>4348</v>
      </c>
      <c r="G780" s="7" t="s">
        <v>25</v>
      </c>
      <c r="H780" s="58"/>
      <c r="I780" s="23"/>
      <c r="J780" s="24"/>
      <c r="M780" s="4"/>
      <c r="N780" s="76"/>
      <c r="O780" s="76"/>
      <c r="P780" s="76" t="str">
        <f t="shared" si="88"/>
        <v>,shikkan762_start_date</v>
      </c>
      <c r="Q780" s="76" t="str">
        <f t="shared" si="89"/>
        <v>DATE</v>
      </c>
      <c r="R780" s="76" t="str">
        <f t="shared" si="90"/>
        <v/>
      </c>
      <c r="S780" s="76" t="str">
        <f t="shared" si="91"/>
        <v/>
      </c>
      <c r="T780" s="76" t="str">
        <f t="shared" si="92"/>
        <v>-- K253_疾患開始日</v>
      </c>
      <c r="U780" s="4" t="str">
        <f t="shared" si="73"/>
        <v>, CASE WHEN shikkan_disp_name = 'K253' THEN min_shikkan_start_date ::DATE ELSE NULL END AS shikkan762_start_date</v>
      </c>
      <c r="V780" s="25" t="str">
        <f t="shared" si="74"/>
        <v>, max(shikkan762_start_date)</v>
      </c>
      <c r="AA780" s="4"/>
      <c r="AB780" s="4"/>
      <c r="AC780" s="4"/>
      <c r="AD780" s="4"/>
      <c r="AE780" s="4"/>
      <c r="AF780" s="4"/>
      <c r="AG780" s="4"/>
      <c r="AH780" s="4"/>
      <c r="AI780" s="4"/>
      <c r="AJ780" s="76" t="str">
        <f>IF(E780="○",IF(COUNTA(E$13:E780)=1,"",",")&amp;D780,"")</f>
        <v/>
      </c>
      <c r="AK780" s="4"/>
      <c r="AL780" s="4"/>
      <c r="AM780" s="4"/>
      <c r="AN780" s="4"/>
      <c r="AO780" s="4"/>
      <c r="AP780" s="4"/>
      <c r="AQ780" s="4"/>
      <c r="AR780" s="4"/>
      <c r="AS780" s="76" t="str">
        <f>"COMMENT ON COLUMN "&amp;エンティティ一覧!$O$2&amp;"."&amp;D$8&amp;"."&amp;D780&amp;" IS '"&amp;C780&amp;"';"</f>
        <v>COMMENT ON COLUMN milscm_2023_009.sny_202310_annony_bef2.shikkan762_start_date IS 'K253_疾患開始日';</v>
      </c>
    </row>
    <row r="781" spans="1:45" s="25" customFormat="1">
      <c r="A781" s="4" t="s">
        <v>5840</v>
      </c>
      <c r="B781" s="21">
        <f t="shared" si="87"/>
        <v>769</v>
      </c>
      <c r="C781" s="13" t="s">
        <v>7230</v>
      </c>
      <c r="D781" s="13" t="s">
        <v>6423</v>
      </c>
      <c r="E781" s="8"/>
      <c r="F781" s="7" t="s">
        <v>4348</v>
      </c>
      <c r="G781" s="7" t="s">
        <v>25</v>
      </c>
      <c r="H781" s="58"/>
      <c r="I781" s="23"/>
      <c r="J781" s="24"/>
      <c r="M781" s="4"/>
      <c r="N781" s="76"/>
      <c r="O781" s="76"/>
      <c r="P781" s="76" t="str">
        <f t="shared" si="88"/>
        <v>,shikkan763_start_date</v>
      </c>
      <c r="Q781" s="76" t="str">
        <f t="shared" si="89"/>
        <v>DATE</v>
      </c>
      <c r="R781" s="76" t="str">
        <f t="shared" si="90"/>
        <v/>
      </c>
      <c r="S781" s="76" t="str">
        <f t="shared" si="91"/>
        <v/>
      </c>
      <c r="T781" s="76" t="str">
        <f t="shared" si="92"/>
        <v>-- K254_疾患開始日</v>
      </c>
      <c r="U781" s="4" t="str">
        <f t="shared" si="73"/>
        <v>, CASE WHEN shikkan_disp_name = 'K254' THEN min_shikkan_start_date ::DATE ELSE NULL END AS shikkan763_start_date</v>
      </c>
      <c r="V781" s="25" t="str">
        <f t="shared" si="74"/>
        <v>, max(shikkan763_start_date)</v>
      </c>
      <c r="AA781" s="4"/>
      <c r="AB781" s="4"/>
      <c r="AC781" s="4"/>
      <c r="AD781" s="4"/>
      <c r="AE781" s="4"/>
      <c r="AF781" s="4"/>
      <c r="AG781" s="4"/>
      <c r="AH781" s="4"/>
      <c r="AI781" s="4"/>
      <c r="AJ781" s="76" t="str">
        <f>IF(E781="○",IF(COUNTA(E$13:E781)=1,"",",")&amp;D781,"")</f>
        <v/>
      </c>
      <c r="AK781" s="4"/>
      <c r="AL781" s="4"/>
      <c r="AM781" s="4"/>
      <c r="AN781" s="4"/>
      <c r="AO781" s="4"/>
      <c r="AP781" s="4"/>
      <c r="AQ781" s="4"/>
      <c r="AR781" s="4"/>
      <c r="AS781" s="76" t="str">
        <f>"COMMENT ON COLUMN "&amp;エンティティ一覧!$O$2&amp;"."&amp;D$8&amp;"."&amp;D781&amp;" IS '"&amp;C781&amp;"';"</f>
        <v>COMMENT ON COLUMN milscm_2023_009.sny_202310_annony_bef2.shikkan763_start_date IS 'K254_疾患開始日';</v>
      </c>
    </row>
    <row r="782" spans="1:45" s="25" customFormat="1">
      <c r="A782" s="4" t="s">
        <v>5841</v>
      </c>
      <c r="B782" s="21">
        <f t="shared" si="87"/>
        <v>770</v>
      </c>
      <c r="C782" s="13" t="s">
        <v>7231</v>
      </c>
      <c r="D782" s="13" t="s">
        <v>6424</v>
      </c>
      <c r="E782" s="8"/>
      <c r="F782" s="7" t="s">
        <v>4348</v>
      </c>
      <c r="G782" s="7" t="s">
        <v>25</v>
      </c>
      <c r="H782" s="58"/>
      <c r="I782" s="23"/>
      <c r="J782" s="24"/>
      <c r="M782" s="4"/>
      <c r="N782" s="76"/>
      <c r="O782" s="76"/>
      <c r="P782" s="76" t="str">
        <f t="shared" si="88"/>
        <v>,shikkan764_start_date</v>
      </c>
      <c r="Q782" s="76" t="str">
        <f t="shared" si="89"/>
        <v>DATE</v>
      </c>
      <c r="R782" s="76" t="str">
        <f t="shared" si="90"/>
        <v/>
      </c>
      <c r="S782" s="76" t="str">
        <f t="shared" si="91"/>
        <v/>
      </c>
      <c r="T782" s="76" t="str">
        <f t="shared" si="92"/>
        <v>-- K255_疾患開始日</v>
      </c>
      <c r="U782" s="4" t="str">
        <f t="shared" si="73"/>
        <v>, CASE WHEN shikkan_disp_name = 'K255' THEN min_shikkan_start_date ::DATE ELSE NULL END AS shikkan764_start_date</v>
      </c>
      <c r="V782" s="25" t="str">
        <f t="shared" si="74"/>
        <v>, max(shikkan764_start_date)</v>
      </c>
      <c r="AA782" s="4"/>
      <c r="AB782" s="4"/>
      <c r="AC782" s="4"/>
      <c r="AD782" s="4"/>
      <c r="AE782" s="4"/>
      <c r="AF782" s="4"/>
      <c r="AG782" s="4"/>
      <c r="AH782" s="4"/>
      <c r="AI782" s="4"/>
      <c r="AJ782" s="76" t="str">
        <f>IF(E782="○",IF(COUNTA(E$13:E782)=1,"",",")&amp;D782,"")</f>
        <v/>
      </c>
      <c r="AK782" s="4"/>
      <c r="AL782" s="4"/>
      <c r="AM782" s="4"/>
      <c r="AN782" s="4"/>
      <c r="AO782" s="4"/>
      <c r="AP782" s="4"/>
      <c r="AQ782" s="4"/>
      <c r="AR782" s="4"/>
      <c r="AS782" s="76" t="str">
        <f>"COMMENT ON COLUMN "&amp;エンティティ一覧!$O$2&amp;"."&amp;D$8&amp;"."&amp;D782&amp;" IS '"&amp;C782&amp;"';"</f>
        <v>COMMENT ON COLUMN milscm_2023_009.sny_202310_annony_bef2.shikkan764_start_date IS 'K255_疾患開始日';</v>
      </c>
    </row>
    <row r="783" spans="1:45" s="25" customFormat="1">
      <c r="A783" s="4" t="s">
        <v>5842</v>
      </c>
      <c r="B783" s="21">
        <f t="shared" si="87"/>
        <v>771</v>
      </c>
      <c r="C783" s="13" t="s">
        <v>7232</v>
      </c>
      <c r="D783" s="13" t="s">
        <v>6425</v>
      </c>
      <c r="E783" s="8"/>
      <c r="F783" s="7" t="s">
        <v>4348</v>
      </c>
      <c r="G783" s="7" t="s">
        <v>25</v>
      </c>
      <c r="H783" s="58"/>
      <c r="I783" s="23"/>
      <c r="J783" s="24"/>
      <c r="M783" s="4"/>
      <c r="N783" s="76"/>
      <c r="O783" s="76"/>
      <c r="P783" s="76" t="str">
        <f t="shared" si="88"/>
        <v>,shikkan765_start_date</v>
      </c>
      <c r="Q783" s="76" t="str">
        <f t="shared" si="89"/>
        <v>DATE</v>
      </c>
      <c r="R783" s="76" t="str">
        <f t="shared" si="90"/>
        <v/>
      </c>
      <c r="S783" s="76" t="str">
        <f t="shared" si="91"/>
        <v/>
      </c>
      <c r="T783" s="76" t="str">
        <f t="shared" si="92"/>
        <v>-- K256_疾患開始日</v>
      </c>
      <c r="U783" s="4" t="str">
        <f t="shared" si="73"/>
        <v>, CASE WHEN shikkan_disp_name = 'K256' THEN min_shikkan_start_date ::DATE ELSE NULL END AS shikkan765_start_date</v>
      </c>
      <c r="V783" s="25" t="str">
        <f t="shared" si="74"/>
        <v>, max(shikkan765_start_date)</v>
      </c>
      <c r="AA783" s="4"/>
      <c r="AB783" s="4"/>
      <c r="AC783" s="4"/>
      <c r="AD783" s="4"/>
      <c r="AE783" s="4"/>
      <c r="AF783" s="4"/>
      <c r="AG783" s="4"/>
      <c r="AH783" s="4"/>
      <c r="AI783" s="4"/>
      <c r="AJ783" s="76" t="str">
        <f>IF(E783="○",IF(COUNTA(E$13:E783)=1,"",",")&amp;D783,"")</f>
        <v/>
      </c>
      <c r="AK783" s="4"/>
      <c r="AL783" s="4"/>
      <c r="AM783" s="4"/>
      <c r="AN783" s="4"/>
      <c r="AO783" s="4"/>
      <c r="AP783" s="4"/>
      <c r="AQ783" s="4"/>
      <c r="AR783" s="4"/>
      <c r="AS783" s="76" t="str">
        <f>"COMMENT ON COLUMN "&amp;エンティティ一覧!$O$2&amp;"."&amp;D$8&amp;"."&amp;D783&amp;" IS '"&amp;C783&amp;"';"</f>
        <v>COMMENT ON COLUMN milscm_2023_009.sny_202310_annony_bef2.shikkan765_start_date IS 'K256_疾患開始日';</v>
      </c>
    </row>
    <row r="784" spans="1:45" s="25" customFormat="1">
      <c r="A784" s="4" t="s">
        <v>5843</v>
      </c>
      <c r="B784" s="21">
        <f t="shared" si="87"/>
        <v>772</v>
      </c>
      <c r="C784" s="13" t="s">
        <v>7233</v>
      </c>
      <c r="D784" s="13" t="s">
        <v>6426</v>
      </c>
      <c r="E784" s="8"/>
      <c r="F784" s="7" t="s">
        <v>4348</v>
      </c>
      <c r="G784" s="7" t="s">
        <v>25</v>
      </c>
      <c r="H784" s="58"/>
      <c r="I784" s="23"/>
      <c r="J784" s="24"/>
      <c r="M784" s="4"/>
      <c r="N784" s="76"/>
      <c r="O784" s="76"/>
      <c r="P784" s="76" t="str">
        <f t="shared" si="88"/>
        <v>,shikkan766_start_date</v>
      </c>
      <c r="Q784" s="76" t="str">
        <f t="shared" si="89"/>
        <v>DATE</v>
      </c>
      <c r="R784" s="76" t="str">
        <f t="shared" si="90"/>
        <v/>
      </c>
      <c r="S784" s="76" t="str">
        <f t="shared" si="91"/>
        <v/>
      </c>
      <c r="T784" s="76" t="str">
        <f t="shared" si="92"/>
        <v>-- K257_疾患開始日</v>
      </c>
      <c r="U784" s="4" t="str">
        <f t="shared" si="73"/>
        <v>, CASE WHEN shikkan_disp_name = 'K257' THEN min_shikkan_start_date ::DATE ELSE NULL END AS shikkan766_start_date</v>
      </c>
      <c r="V784" s="25" t="str">
        <f t="shared" si="74"/>
        <v>, max(shikkan766_start_date)</v>
      </c>
      <c r="AA784" s="4"/>
      <c r="AB784" s="4"/>
      <c r="AC784" s="4"/>
      <c r="AD784" s="4"/>
      <c r="AE784" s="4"/>
      <c r="AF784" s="4"/>
      <c r="AG784" s="4"/>
      <c r="AH784" s="4"/>
      <c r="AI784" s="4"/>
      <c r="AJ784" s="76" t="str">
        <f>IF(E784="○",IF(COUNTA(E$13:E784)=1,"",",")&amp;D784,"")</f>
        <v/>
      </c>
      <c r="AK784" s="4"/>
      <c r="AL784" s="4"/>
      <c r="AM784" s="4"/>
      <c r="AN784" s="4"/>
      <c r="AO784" s="4"/>
      <c r="AP784" s="4"/>
      <c r="AQ784" s="4"/>
      <c r="AR784" s="4"/>
      <c r="AS784" s="76" t="str">
        <f>"COMMENT ON COLUMN "&amp;エンティティ一覧!$O$2&amp;"."&amp;D$8&amp;"."&amp;D784&amp;" IS '"&amp;C784&amp;"';"</f>
        <v>COMMENT ON COLUMN milscm_2023_009.sny_202310_annony_bef2.shikkan766_start_date IS 'K257_疾患開始日';</v>
      </c>
    </row>
    <row r="785" spans="1:45" s="25" customFormat="1">
      <c r="A785" s="4" t="s">
        <v>5844</v>
      </c>
      <c r="B785" s="21">
        <f t="shared" si="87"/>
        <v>773</v>
      </c>
      <c r="C785" s="13" t="s">
        <v>7234</v>
      </c>
      <c r="D785" s="13" t="s">
        <v>6427</v>
      </c>
      <c r="E785" s="8"/>
      <c r="F785" s="7" t="s">
        <v>4348</v>
      </c>
      <c r="G785" s="7" t="s">
        <v>99</v>
      </c>
      <c r="H785" s="58"/>
      <c r="I785" s="23"/>
      <c r="J785" s="24"/>
      <c r="M785" s="4"/>
      <c r="N785" s="76"/>
      <c r="O785" s="76"/>
      <c r="P785" s="76" t="str">
        <f t="shared" si="88"/>
        <v>,shikkan767_start_date</v>
      </c>
      <c r="Q785" s="76" t="str">
        <f t="shared" si="89"/>
        <v>DATE</v>
      </c>
      <c r="R785" s="76" t="str">
        <f t="shared" si="90"/>
        <v/>
      </c>
      <c r="S785" s="76" t="str">
        <f t="shared" si="91"/>
        <v/>
      </c>
      <c r="T785" s="76" t="str">
        <f t="shared" si="92"/>
        <v>-- K259_疾患開始日</v>
      </c>
      <c r="U785" s="4" t="str">
        <f t="shared" si="73"/>
        <v>, CASE WHEN shikkan_disp_name = 'K259' THEN min_shikkan_start_date ::DATE ELSE NULL END AS shikkan767_start_date</v>
      </c>
      <c r="V785" s="25" t="str">
        <f t="shared" si="74"/>
        <v>, max(shikkan767_start_date)</v>
      </c>
      <c r="AA785" s="4"/>
      <c r="AB785" s="4"/>
      <c r="AC785" s="4"/>
      <c r="AD785" s="4"/>
      <c r="AE785" s="4"/>
      <c r="AF785" s="4"/>
      <c r="AG785" s="4"/>
      <c r="AH785" s="4"/>
      <c r="AI785" s="4"/>
      <c r="AJ785" s="76" t="str">
        <f>IF(E785="○",IF(COUNTA(E$13:E785)=1,"",",")&amp;D785,"")</f>
        <v/>
      </c>
      <c r="AK785" s="4"/>
      <c r="AL785" s="4"/>
      <c r="AM785" s="4"/>
      <c r="AN785" s="4"/>
      <c r="AO785" s="4"/>
      <c r="AP785" s="4"/>
      <c r="AQ785" s="4"/>
      <c r="AR785" s="4"/>
      <c r="AS785" s="76" t="str">
        <f>"COMMENT ON COLUMN "&amp;エンティティ一覧!$O$2&amp;"."&amp;D$8&amp;"."&amp;D785&amp;" IS '"&amp;C785&amp;"';"</f>
        <v>COMMENT ON COLUMN milscm_2023_009.sny_202310_annony_bef2.shikkan767_start_date IS 'K259_疾患開始日';</v>
      </c>
    </row>
    <row r="786" spans="1:45" s="25" customFormat="1">
      <c r="A786" s="4" t="s">
        <v>5845</v>
      </c>
      <c r="B786" s="21">
        <f t="shared" si="87"/>
        <v>774</v>
      </c>
      <c r="C786" s="13" t="s">
        <v>7235</v>
      </c>
      <c r="D786" s="13" t="s">
        <v>6428</v>
      </c>
      <c r="E786" s="8"/>
      <c r="F786" s="7" t="s">
        <v>4348</v>
      </c>
      <c r="G786" s="7" t="s">
        <v>25</v>
      </c>
      <c r="H786" s="58"/>
      <c r="I786" s="23"/>
      <c r="J786" s="24"/>
      <c r="M786" s="4"/>
      <c r="N786" s="76"/>
      <c r="O786" s="76"/>
      <c r="P786" s="76" t="str">
        <f t="shared" si="88"/>
        <v>,shikkan768_start_date</v>
      </c>
      <c r="Q786" s="76" t="str">
        <f t="shared" si="89"/>
        <v>DATE</v>
      </c>
      <c r="R786" s="76" t="str">
        <f t="shared" si="90"/>
        <v/>
      </c>
      <c r="S786" s="76" t="str">
        <f t="shared" si="91"/>
        <v/>
      </c>
      <c r="T786" s="76" t="str">
        <f t="shared" si="92"/>
        <v>-- K260_疾患開始日</v>
      </c>
      <c r="U786" s="4" t="str">
        <f t="shared" si="73"/>
        <v>, CASE WHEN shikkan_disp_name = 'K260' THEN min_shikkan_start_date ::DATE ELSE NULL END AS shikkan768_start_date</v>
      </c>
      <c r="V786" s="25" t="str">
        <f t="shared" si="74"/>
        <v>, max(shikkan768_start_date)</v>
      </c>
      <c r="AA786" s="4"/>
      <c r="AB786" s="4"/>
      <c r="AC786" s="4"/>
      <c r="AD786" s="4"/>
      <c r="AE786" s="4"/>
      <c r="AF786" s="4"/>
      <c r="AG786" s="4"/>
      <c r="AH786" s="4"/>
      <c r="AI786" s="4"/>
      <c r="AJ786" s="76" t="str">
        <f>IF(E786="○",IF(COUNTA(E$13:E786)=1,"",",")&amp;D786,"")</f>
        <v/>
      </c>
      <c r="AK786" s="4"/>
      <c r="AL786" s="4"/>
      <c r="AM786" s="4"/>
      <c r="AN786" s="4"/>
      <c r="AO786" s="4"/>
      <c r="AP786" s="4"/>
      <c r="AQ786" s="4"/>
      <c r="AR786" s="4"/>
      <c r="AS786" s="76" t="str">
        <f>"COMMENT ON COLUMN "&amp;エンティティ一覧!$O$2&amp;"."&amp;D$8&amp;"."&amp;D786&amp;" IS '"&amp;C786&amp;"';"</f>
        <v>COMMENT ON COLUMN milscm_2023_009.sny_202310_annony_bef2.shikkan768_start_date IS 'K260_疾患開始日';</v>
      </c>
    </row>
    <row r="787" spans="1:45" s="25" customFormat="1">
      <c r="A787" s="4" t="s">
        <v>5846</v>
      </c>
      <c r="B787" s="21">
        <f t="shared" si="87"/>
        <v>775</v>
      </c>
      <c r="C787" s="13" t="s">
        <v>7236</v>
      </c>
      <c r="D787" s="13" t="s">
        <v>6429</v>
      </c>
      <c r="E787" s="8"/>
      <c r="F787" s="7" t="s">
        <v>4348</v>
      </c>
      <c r="G787" s="7" t="s">
        <v>25</v>
      </c>
      <c r="H787" s="58"/>
      <c r="I787" s="23"/>
      <c r="J787" s="24"/>
      <c r="M787" s="4"/>
      <c r="N787" s="76"/>
      <c r="O787" s="76"/>
      <c r="P787" s="76" t="str">
        <f t="shared" si="88"/>
        <v>,shikkan769_start_date</v>
      </c>
      <c r="Q787" s="76" t="str">
        <f t="shared" si="89"/>
        <v>DATE</v>
      </c>
      <c r="R787" s="76" t="str">
        <f t="shared" si="90"/>
        <v/>
      </c>
      <c r="S787" s="76" t="str">
        <f t="shared" si="91"/>
        <v/>
      </c>
      <c r="T787" s="76" t="str">
        <f t="shared" si="92"/>
        <v>-- K261_疾患開始日</v>
      </c>
      <c r="U787" s="4" t="str">
        <f t="shared" si="73"/>
        <v>, CASE WHEN shikkan_disp_name = 'K261' THEN min_shikkan_start_date ::DATE ELSE NULL END AS shikkan769_start_date</v>
      </c>
      <c r="V787" s="25" t="str">
        <f t="shared" si="74"/>
        <v>, max(shikkan769_start_date)</v>
      </c>
      <c r="AA787" s="4"/>
      <c r="AB787" s="4"/>
      <c r="AC787" s="4"/>
      <c r="AD787" s="4"/>
      <c r="AE787" s="4"/>
      <c r="AF787" s="4"/>
      <c r="AG787" s="4"/>
      <c r="AH787" s="4"/>
      <c r="AI787" s="4"/>
      <c r="AJ787" s="76" t="str">
        <f>IF(E787="○",IF(COUNTA(E$13:E787)=1,"",",")&amp;D787,"")</f>
        <v/>
      </c>
      <c r="AK787" s="4"/>
      <c r="AL787" s="4"/>
      <c r="AM787" s="4"/>
      <c r="AN787" s="4"/>
      <c r="AO787" s="4"/>
      <c r="AP787" s="4"/>
      <c r="AQ787" s="4"/>
      <c r="AR787" s="4"/>
      <c r="AS787" s="76" t="str">
        <f>"COMMENT ON COLUMN "&amp;エンティティ一覧!$O$2&amp;"."&amp;D$8&amp;"."&amp;D787&amp;" IS '"&amp;C787&amp;"';"</f>
        <v>COMMENT ON COLUMN milscm_2023_009.sny_202310_annony_bef2.shikkan769_start_date IS 'K261_疾患開始日';</v>
      </c>
    </row>
    <row r="788" spans="1:45" s="25" customFormat="1">
      <c r="A788" s="4" t="s">
        <v>5847</v>
      </c>
      <c r="B788" s="21">
        <f t="shared" si="87"/>
        <v>776</v>
      </c>
      <c r="C788" s="13" t="s">
        <v>7237</v>
      </c>
      <c r="D788" s="13" t="s">
        <v>6430</v>
      </c>
      <c r="E788" s="8"/>
      <c r="F788" s="7" t="s">
        <v>4348</v>
      </c>
      <c r="G788" s="7" t="s">
        <v>25</v>
      </c>
      <c r="H788" s="58"/>
      <c r="I788" s="23"/>
      <c r="J788" s="24"/>
      <c r="M788" s="4"/>
      <c r="N788" s="76"/>
      <c r="O788" s="76"/>
      <c r="P788" s="76" t="str">
        <f t="shared" si="88"/>
        <v>,shikkan770_start_date</v>
      </c>
      <c r="Q788" s="76" t="str">
        <f t="shared" si="89"/>
        <v>DATE</v>
      </c>
      <c r="R788" s="76" t="str">
        <f t="shared" si="90"/>
        <v/>
      </c>
      <c r="S788" s="76" t="str">
        <f t="shared" si="91"/>
        <v/>
      </c>
      <c r="T788" s="76" t="str">
        <f t="shared" si="92"/>
        <v>-- K262_疾患開始日</v>
      </c>
      <c r="U788" s="4" t="str">
        <f t="shared" si="73"/>
        <v>, CASE WHEN shikkan_disp_name = 'K262' THEN min_shikkan_start_date ::DATE ELSE NULL END AS shikkan770_start_date</v>
      </c>
      <c r="V788" s="25" t="str">
        <f t="shared" si="74"/>
        <v>, max(shikkan770_start_date)</v>
      </c>
      <c r="AA788" s="4"/>
      <c r="AB788" s="4"/>
      <c r="AC788" s="4"/>
      <c r="AD788" s="4"/>
      <c r="AE788" s="4"/>
      <c r="AF788" s="4"/>
      <c r="AG788" s="4"/>
      <c r="AH788" s="4"/>
      <c r="AI788" s="4"/>
      <c r="AJ788" s="76" t="str">
        <f>IF(E788="○",IF(COUNTA(E$13:E788)=1,"",",")&amp;D788,"")</f>
        <v/>
      </c>
      <c r="AK788" s="4"/>
      <c r="AL788" s="4"/>
      <c r="AM788" s="4"/>
      <c r="AN788" s="4"/>
      <c r="AO788" s="4"/>
      <c r="AP788" s="4"/>
      <c r="AQ788" s="4"/>
      <c r="AR788" s="4"/>
      <c r="AS788" s="76" t="str">
        <f>"COMMENT ON COLUMN "&amp;エンティティ一覧!$O$2&amp;"."&amp;D$8&amp;"."&amp;D788&amp;" IS '"&amp;C788&amp;"';"</f>
        <v>COMMENT ON COLUMN milscm_2023_009.sny_202310_annony_bef2.shikkan770_start_date IS 'K262_疾患開始日';</v>
      </c>
    </row>
    <row r="789" spans="1:45" s="25" customFormat="1">
      <c r="A789" s="4" t="s">
        <v>5848</v>
      </c>
      <c r="B789" s="21">
        <f t="shared" si="87"/>
        <v>777</v>
      </c>
      <c r="C789" s="13" t="s">
        <v>7238</v>
      </c>
      <c r="D789" s="13" t="s">
        <v>6431</v>
      </c>
      <c r="E789" s="8"/>
      <c r="F789" s="7" t="s">
        <v>4348</v>
      </c>
      <c r="G789" s="7" t="s">
        <v>25</v>
      </c>
      <c r="H789" s="58"/>
      <c r="I789" s="23"/>
      <c r="J789" s="24"/>
      <c r="M789" s="4"/>
      <c r="N789" s="76"/>
      <c r="O789" s="76"/>
      <c r="P789" s="76" t="str">
        <f t="shared" si="88"/>
        <v>,shikkan771_start_date</v>
      </c>
      <c r="Q789" s="76" t="str">
        <f t="shared" si="89"/>
        <v>DATE</v>
      </c>
      <c r="R789" s="76" t="str">
        <f t="shared" si="90"/>
        <v/>
      </c>
      <c r="S789" s="76" t="str">
        <f t="shared" si="91"/>
        <v/>
      </c>
      <c r="T789" s="76" t="str">
        <f t="shared" si="92"/>
        <v>-- K263_疾患開始日</v>
      </c>
      <c r="U789" s="4" t="str">
        <f t="shared" si="73"/>
        <v>, CASE WHEN shikkan_disp_name = 'K263' THEN min_shikkan_start_date ::DATE ELSE NULL END AS shikkan771_start_date</v>
      </c>
      <c r="V789" s="25" t="str">
        <f t="shared" si="74"/>
        <v>, max(shikkan771_start_date)</v>
      </c>
      <c r="AA789" s="4"/>
      <c r="AB789" s="4"/>
      <c r="AC789" s="4"/>
      <c r="AD789" s="4"/>
      <c r="AE789" s="4"/>
      <c r="AF789" s="4"/>
      <c r="AG789" s="4"/>
      <c r="AH789" s="4"/>
      <c r="AI789" s="4"/>
      <c r="AJ789" s="76" t="str">
        <f>IF(E789="○",IF(COUNTA(E$13:E789)=1,"",",")&amp;D789,"")</f>
        <v/>
      </c>
      <c r="AK789" s="4"/>
      <c r="AL789" s="4"/>
      <c r="AM789" s="4"/>
      <c r="AN789" s="4"/>
      <c r="AO789" s="4"/>
      <c r="AP789" s="4"/>
      <c r="AQ789" s="4"/>
      <c r="AR789" s="4"/>
      <c r="AS789" s="76" t="str">
        <f>"COMMENT ON COLUMN "&amp;エンティティ一覧!$O$2&amp;"."&amp;D$8&amp;"."&amp;D789&amp;" IS '"&amp;C789&amp;"';"</f>
        <v>COMMENT ON COLUMN milscm_2023_009.sny_202310_annony_bef2.shikkan771_start_date IS 'K263_疾患開始日';</v>
      </c>
    </row>
    <row r="790" spans="1:45" s="25" customFormat="1">
      <c r="A790" s="4" t="s">
        <v>5849</v>
      </c>
      <c r="B790" s="21">
        <f t="shared" ref="B790:B853" si="93">ROW()-12</f>
        <v>778</v>
      </c>
      <c r="C790" s="13" t="s">
        <v>7239</v>
      </c>
      <c r="D790" s="13" t="s">
        <v>6432</v>
      </c>
      <c r="E790" s="8"/>
      <c r="F790" s="7" t="s">
        <v>4348</v>
      </c>
      <c r="G790" s="7" t="s">
        <v>25</v>
      </c>
      <c r="H790" s="58"/>
      <c r="I790" s="23"/>
      <c r="J790" s="24"/>
      <c r="M790" s="4"/>
      <c r="N790" s="76"/>
      <c r="O790" s="76"/>
      <c r="P790" s="76" t="str">
        <f t="shared" si="88"/>
        <v>,shikkan772_start_date</v>
      </c>
      <c r="Q790" s="76" t="str">
        <f t="shared" si="89"/>
        <v>DATE</v>
      </c>
      <c r="R790" s="76" t="str">
        <f t="shared" si="90"/>
        <v/>
      </c>
      <c r="S790" s="76" t="str">
        <f t="shared" si="91"/>
        <v/>
      </c>
      <c r="T790" s="76" t="str">
        <f t="shared" si="92"/>
        <v>-- K264_疾患開始日</v>
      </c>
      <c r="U790" s="4" t="str">
        <f t="shared" si="73"/>
        <v>, CASE WHEN shikkan_disp_name = 'K264' THEN min_shikkan_start_date ::DATE ELSE NULL END AS shikkan772_start_date</v>
      </c>
      <c r="V790" s="25" t="str">
        <f t="shared" si="74"/>
        <v>, max(shikkan772_start_date)</v>
      </c>
      <c r="AA790" s="4"/>
      <c r="AB790" s="4"/>
      <c r="AC790" s="4"/>
      <c r="AD790" s="4"/>
      <c r="AE790" s="4"/>
      <c r="AF790" s="4"/>
      <c r="AG790" s="4"/>
      <c r="AH790" s="4"/>
      <c r="AI790" s="4"/>
      <c r="AJ790" s="76" t="str">
        <f>IF(E790="○",IF(COUNTA(E$13:E790)=1,"",",")&amp;D790,"")</f>
        <v/>
      </c>
      <c r="AK790" s="4"/>
      <c r="AL790" s="4"/>
      <c r="AM790" s="4"/>
      <c r="AN790" s="4"/>
      <c r="AO790" s="4"/>
      <c r="AP790" s="4"/>
      <c r="AQ790" s="4"/>
      <c r="AR790" s="4"/>
      <c r="AS790" s="76" t="str">
        <f>"COMMENT ON COLUMN "&amp;エンティティ一覧!$O$2&amp;"."&amp;D$8&amp;"."&amp;D790&amp;" IS '"&amp;C790&amp;"';"</f>
        <v>COMMENT ON COLUMN milscm_2023_009.sny_202310_annony_bef2.shikkan772_start_date IS 'K264_疾患開始日';</v>
      </c>
    </row>
    <row r="791" spans="1:45" s="25" customFormat="1">
      <c r="A791" s="4" t="s">
        <v>5850</v>
      </c>
      <c r="B791" s="21">
        <f t="shared" si="93"/>
        <v>779</v>
      </c>
      <c r="C791" s="13" t="s">
        <v>7240</v>
      </c>
      <c r="D791" s="13" t="s">
        <v>6433</v>
      </c>
      <c r="E791" s="8"/>
      <c r="F791" s="7" t="s">
        <v>4348</v>
      </c>
      <c r="G791" s="7" t="s">
        <v>25</v>
      </c>
      <c r="H791" s="58"/>
      <c r="I791" s="23"/>
      <c r="J791" s="24"/>
      <c r="M791" s="4"/>
      <c r="N791" s="76"/>
      <c r="O791" s="76"/>
      <c r="P791" s="76" t="str">
        <f t="shared" si="88"/>
        <v>,shikkan773_start_date</v>
      </c>
      <c r="Q791" s="76" t="str">
        <f t="shared" si="89"/>
        <v>DATE</v>
      </c>
      <c r="R791" s="76" t="str">
        <f t="shared" si="90"/>
        <v/>
      </c>
      <c r="S791" s="76" t="str">
        <f t="shared" si="91"/>
        <v/>
      </c>
      <c r="T791" s="76" t="str">
        <f t="shared" si="92"/>
        <v>-- K265_疾患開始日</v>
      </c>
      <c r="U791" s="4" t="str">
        <f t="shared" si="73"/>
        <v>, CASE WHEN shikkan_disp_name = 'K265' THEN min_shikkan_start_date ::DATE ELSE NULL END AS shikkan773_start_date</v>
      </c>
      <c r="V791" s="25" t="str">
        <f t="shared" si="74"/>
        <v>, max(shikkan773_start_date)</v>
      </c>
      <c r="AA791" s="4"/>
      <c r="AB791" s="4"/>
      <c r="AC791" s="4"/>
      <c r="AD791" s="4"/>
      <c r="AE791" s="4"/>
      <c r="AF791" s="4"/>
      <c r="AG791" s="4"/>
      <c r="AH791" s="4"/>
      <c r="AI791" s="4"/>
      <c r="AJ791" s="76" t="str">
        <f>IF(E791="○",IF(COUNTA(E$13:E791)=1,"",",")&amp;D791,"")</f>
        <v/>
      </c>
      <c r="AK791" s="4"/>
      <c r="AL791" s="4"/>
      <c r="AM791" s="4"/>
      <c r="AN791" s="4"/>
      <c r="AO791" s="4"/>
      <c r="AP791" s="4"/>
      <c r="AQ791" s="4"/>
      <c r="AR791" s="4"/>
      <c r="AS791" s="76" t="str">
        <f>"COMMENT ON COLUMN "&amp;エンティティ一覧!$O$2&amp;"."&amp;D$8&amp;"."&amp;D791&amp;" IS '"&amp;C791&amp;"';"</f>
        <v>COMMENT ON COLUMN milscm_2023_009.sny_202310_annony_bef2.shikkan773_start_date IS 'K265_疾患開始日';</v>
      </c>
    </row>
    <row r="792" spans="1:45" s="25" customFormat="1">
      <c r="A792" s="4" t="s">
        <v>5851</v>
      </c>
      <c r="B792" s="21">
        <f t="shared" si="93"/>
        <v>780</v>
      </c>
      <c r="C792" s="13" t="s">
        <v>7241</v>
      </c>
      <c r="D792" s="13" t="s">
        <v>6434</v>
      </c>
      <c r="E792" s="8"/>
      <c r="F792" s="7" t="s">
        <v>4348</v>
      </c>
      <c r="G792" s="7" t="s">
        <v>25</v>
      </c>
      <c r="H792" s="58"/>
      <c r="I792" s="23"/>
      <c r="J792" s="24"/>
      <c r="M792" s="4"/>
      <c r="N792" s="76"/>
      <c r="O792" s="76"/>
      <c r="P792" s="76" t="str">
        <f t="shared" si="88"/>
        <v>,shikkan774_start_date</v>
      </c>
      <c r="Q792" s="76" t="str">
        <f t="shared" si="89"/>
        <v>DATE</v>
      </c>
      <c r="R792" s="76" t="str">
        <f t="shared" si="90"/>
        <v/>
      </c>
      <c r="S792" s="76" t="str">
        <f t="shared" si="91"/>
        <v/>
      </c>
      <c r="T792" s="76" t="str">
        <f t="shared" si="92"/>
        <v>-- K266_疾患開始日</v>
      </c>
      <c r="U792" s="4" t="str">
        <f t="shared" si="73"/>
        <v>, CASE WHEN shikkan_disp_name = 'K266' THEN min_shikkan_start_date ::DATE ELSE NULL END AS shikkan774_start_date</v>
      </c>
      <c r="V792" s="25" t="str">
        <f t="shared" si="74"/>
        <v>, max(shikkan774_start_date)</v>
      </c>
      <c r="AA792" s="4"/>
      <c r="AB792" s="4"/>
      <c r="AC792" s="4"/>
      <c r="AD792" s="4"/>
      <c r="AE792" s="4"/>
      <c r="AF792" s="4"/>
      <c r="AG792" s="4"/>
      <c r="AH792" s="4"/>
      <c r="AI792" s="4"/>
      <c r="AJ792" s="76" t="str">
        <f>IF(E792="○",IF(COUNTA(E$13:E792)=1,"",",")&amp;D792,"")</f>
        <v/>
      </c>
      <c r="AK792" s="4"/>
      <c r="AL792" s="4"/>
      <c r="AM792" s="4"/>
      <c r="AN792" s="4"/>
      <c r="AO792" s="4"/>
      <c r="AP792" s="4"/>
      <c r="AQ792" s="4"/>
      <c r="AR792" s="4"/>
      <c r="AS792" s="76" t="str">
        <f>"COMMENT ON COLUMN "&amp;エンティティ一覧!$O$2&amp;"."&amp;D$8&amp;"."&amp;D792&amp;" IS '"&amp;C792&amp;"';"</f>
        <v>COMMENT ON COLUMN milscm_2023_009.sny_202310_annony_bef2.shikkan774_start_date IS 'K266_疾患開始日';</v>
      </c>
    </row>
    <row r="793" spans="1:45" s="25" customFormat="1">
      <c r="A793" s="4" t="s">
        <v>5852</v>
      </c>
      <c r="B793" s="21">
        <f t="shared" si="93"/>
        <v>781</v>
      </c>
      <c r="C793" s="13" t="s">
        <v>7242</v>
      </c>
      <c r="D793" s="13" t="s">
        <v>6435</v>
      </c>
      <c r="E793" s="8"/>
      <c r="F793" s="7" t="s">
        <v>4348</v>
      </c>
      <c r="G793" s="7" t="s">
        <v>25</v>
      </c>
      <c r="H793" s="58"/>
      <c r="I793" s="23"/>
      <c r="J793" s="24"/>
      <c r="M793" s="4"/>
      <c r="N793" s="76"/>
      <c r="O793" s="76"/>
      <c r="P793" s="76" t="str">
        <f t="shared" si="88"/>
        <v>,shikkan775_start_date</v>
      </c>
      <c r="Q793" s="76" t="str">
        <f t="shared" si="89"/>
        <v>DATE</v>
      </c>
      <c r="R793" s="76" t="str">
        <f t="shared" si="90"/>
        <v/>
      </c>
      <c r="S793" s="76" t="str">
        <f t="shared" si="91"/>
        <v/>
      </c>
      <c r="T793" s="76" t="str">
        <f t="shared" si="92"/>
        <v>-- K267_疾患開始日</v>
      </c>
      <c r="U793" s="4" t="str">
        <f t="shared" si="73"/>
        <v>, CASE WHEN shikkan_disp_name = 'K267' THEN min_shikkan_start_date ::DATE ELSE NULL END AS shikkan775_start_date</v>
      </c>
      <c r="V793" s="25" t="str">
        <f t="shared" si="74"/>
        <v>, max(shikkan775_start_date)</v>
      </c>
      <c r="AA793" s="4"/>
      <c r="AB793" s="4"/>
      <c r="AC793" s="4"/>
      <c r="AD793" s="4"/>
      <c r="AE793" s="4"/>
      <c r="AF793" s="4"/>
      <c r="AG793" s="4"/>
      <c r="AH793" s="4"/>
      <c r="AI793" s="4"/>
      <c r="AJ793" s="76" t="str">
        <f>IF(E793="○",IF(COUNTA(E$13:E793)=1,"",",")&amp;D793,"")</f>
        <v/>
      </c>
      <c r="AK793" s="4"/>
      <c r="AL793" s="4"/>
      <c r="AM793" s="4"/>
      <c r="AN793" s="4"/>
      <c r="AO793" s="4"/>
      <c r="AP793" s="4"/>
      <c r="AQ793" s="4"/>
      <c r="AR793" s="4"/>
      <c r="AS793" s="76" t="str">
        <f>"COMMENT ON COLUMN "&amp;エンティティ一覧!$O$2&amp;"."&amp;D$8&amp;"."&amp;D793&amp;" IS '"&amp;C793&amp;"';"</f>
        <v>COMMENT ON COLUMN milscm_2023_009.sny_202310_annony_bef2.shikkan775_start_date IS 'K267_疾患開始日';</v>
      </c>
    </row>
    <row r="794" spans="1:45" s="25" customFormat="1">
      <c r="A794" s="4" t="s">
        <v>5853</v>
      </c>
      <c r="B794" s="21">
        <f t="shared" si="93"/>
        <v>782</v>
      </c>
      <c r="C794" s="13" t="s">
        <v>7243</v>
      </c>
      <c r="D794" s="13" t="s">
        <v>6436</v>
      </c>
      <c r="E794" s="8"/>
      <c r="F794" s="7" t="s">
        <v>4348</v>
      </c>
      <c r="G794" s="7" t="s">
        <v>25</v>
      </c>
      <c r="H794" s="58"/>
      <c r="I794" s="23"/>
      <c r="J794" s="24"/>
      <c r="M794" s="4"/>
      <c r="N794" s="76"/>
      <c r="O794" s="76"/>
      <c r="P794" s="76" t="str">
        <f t="shared" si="88"/>
        <v>,shikkan776_start_date</v>
      </c>
      <c r="Q794" s="76" t="str">
        <f t="shared" si="89"/>
        <v>DATE</v>
      </c>
      <c r="R794" s="76" t="str">
        <f t="shared" si="90"/>
        <v/>
      </c>
      <c r="S794" s="76" t="str">
        <f t="shared" si="91"/>
        <v/>
      </c>
      <c r="T794" s="76" t="str">
        <f t="shared" si="92"/>
        <v>-- K269_疾患開始日</v>
      </c>
      <c r="U794" s="4" t="str">
        <f t="shared" si="73"/>
        <v>, CASE WHEN shikkan_disp_name = 'K269' THEN min_shikkan_start_date ::DATE ELSE NULL END AS shikkan776_start_date</v>
      </c>
      <c r="V794" s="25" t="str">
        <f t="shared" si="74"/>
        <v>, max(shikkan776_start_date)</v>
      </c>
      <c r="AA794" s="4"/>
      <c r="AB794" s="4"/>
      <c r="AC794" s="4"/>
      <c r="AD794" s="4"/>
      <c r="AE794" s="4"/>
      <c r="AF794" s="4"/>
      <c r="AG794" s="4"/>
      <c r="AH794" s="4"/>
      <c r="AI794" s="4"/>
      <c r="AJ794" s="76" t="str">
        <f>IF(E794="○",IF(COUNTA(E$13:E794)=1,"",",")&amp;D794,"")</f>
        <v/>
      </c>
      <c r="AK794" s="4"/>
      <c r="AL794" s="4"/>
      <c r="AM794" s="4"/>
      <c r="AN794" s="4"/>
      <c r="AO794" s="4"/>
      <c r="AP794" s="4"/>
      <c r="AQ794" s="4"/>
      <c r="AR794" s="4"/>
      <c r="AS794" s="76" t="str">
        <f>"COMMENT ON COLUMN "&amp;エンティティ一覧!$O$2&amp;"."&amp;D$8&amp;"."&amp;D794&amp;" IS '"&amp;C794&amp;"';"</f>
        <v>COMMENT ON COLUMN milscm_2023_009.sny_202310_annony_bef2.shikkan776_start_date IS 'K269_疾患開始日';</v>
      </c>
    </row>
    <row r="795" spans="1:45" s="25" customFormat="1">
      <c r="A795" s="4" t="s">
        <v>5854</v>
      </c>
      <c r="B795" s="21">
        <f t="shared" si="93"/>
        <v>783</v>
      </c>
      <c r="C795" s="13" t="s">
        <v>7244</v>
      </c>
      <c r="D795" s="13" t="s">
        <v>6437</v>
      </c>
      <c r="E795" s="8"/>
      <c r="F795" s="7" t="s">
        <v>4348</v>
      </c>
      <c r="G795" s="7" t="s">
        <v>25</v>
      </c>
      <c r="H795" s="58"/>
      <c r="I795" s="23"/>
      <c r="J795" s="24"/>
      <c r="M795" s="4"/>
      <c r="N795" s="76"/>
      <c r="O795" s="76"/>
      <c r="P795" s="76" t="str">
        <f t="shared" si="88"/>
        <v>,shikkan777_start_date</v>
      </c>
      <c r="Q795" s="76" t="str">
        <f t="shared" si="89"/>
        <v>DATE</v>
      </c>
      <c r="R795" s="76" t="str">
        <f t="shared" si="90"/>
        <v/>
      </c>
      <c r="S795" s="76" t="str">
        <f t="shared" si="91"/>
        <v/>
      </c>
      <c r="T795" s="76" t="str">
        <f t="shared" si="92"/>
        <v>-- K270_疾患開始日</v>
      </c>
      <c r="U795" s="4" t="str">
        <f t="shared" si="73"/>
        <v>, CASE WHEN shikkan_disp_name = 'K270' THEN min_shikkan_start_date ::DATE ELSE NULL END AS shikkan777_start_date</v>
      </c>
      <c r="V795" s="25" t="str">
        <f t="shared" si="74"/>
        <v>, max(shikkan777_start_date)</v>
      </c>
      <c r="AA795" s="4"/>
      <c r="AB795" s="4"/>
      <c r="AC795" s="4"/>
      <c r="AD795" s="4"/>
      <c r="AE795" s="4"/>
      <c r="AF795" s="4"/>
      <c r="AG795" s="4"/>
      <c r="AH795" s="4"/>
      <c r="AI795" s="4"/>
      <c r="AJ795" s="76" t="str">
        <f>IF(E795="○",IF(COUNTA(E$13:E795)=1,"",",")&amp;D795,"")</f>
        <v/>
      </c>
      <c r="AK795" s="4"/>
      <c r="AL795" s="4"/>
      <c r="AM795" s="4"/>
      <c r="AN795" s="4"/>
      <c r="AO795" s="4"/>
      <c r="AP795" s="4"/>
      <c r="AQ795" s="4"/>
      <c r="AR795" s="4"/>
      <c r="AS795" s="76" t="str">
        <f>"COMMENT ON COLUMN "&amp;エンティティ一覧!$O$2&amp;"."&amp;D$8&amp;"."&amp;D795&amp;" IS '"&amp;C795&amp;"';"</f>
        <v>COMMENT ON COLUMN milscm_2023_009.sny_202310_annony_bef2.shikkan777_start_date IS 'K270_疾患開始日';</v>
      </c>
    </row>
    <row r="796" spans="1:45" s="25" customFormat="1">
      <c r="A796" s="4" t="s">
        <v>5855</v>
      </c>
      <c r="B796" s="21">
        <f t="shared" si="93"/>
        <v>784</v>
      </c>
      <c r="C796" s="13" t="s">
        <v>7245</v>
      </c>
      <c r="D796" s="13" t="s">
        <v>6438</v>
      </c>
      <c r="E796" s="8"/>
      <c r="F796" s="7" t="s">
        <v>4348</v>
      </c>
      <c r="G796" s="7" t="s">
        <v>25</v>
      </c>
      <c r="H796" s="58"/>
      <c r="I796" s="23"/>
      <c r="J796" s="24"/>
      <c r="M796" s="4"/>
      <c r="N796" s="76"/>
      <c r="O796" s="76"/>
      <c r="P796" s="76" t="str">
        <f t="shared" si="88"/>
        <v>,shikkan778_start_date</v>
      </c>
      <c r="Q796" s="76" t="str">
        <f t="shared" si="89"/>
        <v>DATE</v>
      </c>
      <c r="R796" s="76" t="str">
        <f t="shared" si="90"/>
        <v/>
      </c>
      <c r="S796" s="76" t="str">
        <f t="shared" si="91"/>
        <v/>
      </c>
      <c r="T796" s="76" t="str">
        <f t="shared" si="92"/>
        <v>-- K271_疾患開始日</v>
      </c>
      <c r="U796" s="4" t="str">
        <f t="shared" si="73"/>
        <v>, CASE WHEN shikkan_disp_name = 'K271' THEN min_shikkan_start_date ::DATE ELSE NULL END AS shikkan778_start_date</v>
      </c>
      <c r="V796" s="25" t="str">
        <f t="shared" si="74"/>
        <v>, max(shikkan778_start_date)</v>
      </c>
      <c r="AA796" s="4"/>
      <c r="AB796" s="4"/>
      <c r="AC796" s="4"/>
      <c r="AD796" s="4"/>
      <c r="AE796" s="4"/>
      <c r="AF796" s="4"/>
      <c r="AG796" s="4"/>
      <c r="AH796" s="4"/>
      <c r="AI796" s="4"/>
      <c r="AJ796" s="76" t="str">
        <f>IF(E796="○",IF(COUNTA(E$13:E796)=1,"",",")&amp;D796,"")</f>
        <v/>
      </c>
      <c r="AK796" s="4"/>
      <c r="AL796" s="4"/>
      <c r="AM796" s="4"/>
      <c r="AN796" s="4"/>
      <c r="AO796" s="4"/>
      <c r="AP796" s="4"/>
      <c r="AQ796" s="4"/>
      <c r="AR796" s="4"/>
      <c r="AS796" s="76" t="str">
        <f>"COMMENT ON COLUMN "&amp;エンティティ一覧!$O$2&amp;"."&amp;D$8&amp;"."&amp;D796&amp;" IS '"&amp;C796&amp;"';"</f>
        <v>COMMENT ON COLUMN milscm_2023_009.sny_202310_annony_bef2.shikkan778_start_date IS 'K271_疾患開始日';</v>
      </c>
    </row>
    <row r="797" spans="1:45" s="25" customFormat="1">
      <c r="A797" s="4" t="s">
        <v>5856</v>
      </c>
      <c r="B797" s="21">
        <f t="shared" si="93"/>
        <v>785</v>
      </c>
      <c r="C797" s="13" t="s">
        <v>7246</v>
      </c>
      <c r="D797" s="13" t="s">
        <v>6439</v>
      </c>
      <c r="E797" s="8"/>
      <c r="F797" s="7" t="s">
        <v>4348</v>
      </c>
      <c r="G797" s="7" t="s">
        <v>25</v>
      </c>
      <c r="H797" s="58"/>
      <c r="I797" s="23"/>
      <c r="J797" s="24"/>
      <c r="M797" s="4"/>
      <c r="N797" s="76"/>
      <c r="O797" s="76"/>
      <c r="P797" s="76" t="str">
        <f t="shared" si="88"/>
        <v>,shikkan779_start_date</v>
      </c>
      <c r="Q797" s="76" t="str">
        <f t="shared" si="89"/>
        <v>DATE</v>
      </c>
      <c r="R797" s="76" t="str">
        <f t="shared" si="90"/>
        <v/>
      </c>
      <c r="S797" s="76" t="str">
        <f t="shared" si="91"/>
        <v/>
      </c>
      <c r="T797" s="76" t="str">
        <f t="shared" si="92"/>
        <v>-- K272_疾患開始日</v>
      </c>
      <c r="U797" s="4" t="str">
        <f t="shared" si="73"/>
        <v>, CASE WHEN shikkan_disp_name = 'K272' THEN min_shikkan_start_date ::DATE ELSE NULL END AS shikkan779_start_date</v>
      </c>
      <c r="V797" s="25" t="str">
        <f t="shared" si="74"/>
        <v>, max(shikkan779_start_date)</v>
      </c>
      <c r="AA797" s="4"/>
      <c r="AB797" s="4"/>
      <c r="AC797" s="4"/>
      <c r="AD797" s="4"/>
      <c r="AE797" s="4"/>
      <c r="AF797" s="4"/>
      <c r="AG797" s="4"/>
      <c r="AH797" s="4"/>
      <c r="AI797" s="4"/>
      <c r="AJ797" s="76" t="str">
        <f>IF(E797="○",IF(COUNTA(E$13:E797)=1,"",",")&amp;D797,"")</f>
        <v/>
      </c>
      <c r="AK797" s="4"/>
      <c r="AL797" s="4"/>
      <c r="AM797" s="4"/>
      <c r="AN797" s="4"/>
      <c r="AO797" s="4"/>
      <c r="AP797" s="4"/>
      <c r="AQ797" s="4"/>
      <c r="AR797" s="4"/>
      <c r="AS797" s="76" t="str">
        <f>"COMMENT ON COLUMN "&amp;エンティティ一覧!$O$2&amp;"."&amp;D$8&amp;"."&amp;D797&amp;" IS '"&amp;C797&amp;"';"</f>
        <v>COMMENT ON COLUMN milscm_2023_009.sny_202310_annony_bef2.shikkan779_start_date IS 'K272_疾患開始日';</v>
      </c>
    </row>
    <row r="798" spans="1:45" s="25" customFormat="1">
      <c r="A798" s="4" t="s">
        <v>5857</v>
      </c>
      <c r="B798" s="21">
        <f t="shared" si="93"/>
        <v>786</v>
      </c>
      <c r="C798" s="13" t="s">
        <v>7247</v>
      </c>
      <c r="D798" s="13" t="s">
        <v>6440</v>
      </c>
      <c r="E798" s="8"/>
      <c r="F798" s="7" t="s">
        <v>4348</v>
      </c>
      <c r="G798" s="7" t="s">
        <v>25</v>
      </c>
      <c r="H798" s="58"/>
      <c r="I798" s="23"/>
      <c r="J798" s="24"/>
      <c r="M798" s="4"/>
      <c r="N798" s="76"/>
      <c r="O798" s="76"/>
      <c r="P798" s="76" t="str">
        <f t="shared" si="88"/>
        <v>,shikkan780_start_date</v>
      </c>
      <c r="Q798" s="76" t="str">
        <f t="shared" si="89"/>
        <v>DATE</v>
      </c>
      <c r="R798" s="76" t="str">
        <f t="shared" si="90"/>
        <v/>
      </c>
      <c r="S798" s="76" t="str">
        <f t="shared" si="91"/>
        <v/>
      </c>
      <c r="T798" s="76" t="str">
        <f t="shared" si="92"/>
        <v>-- K273_疾患開始日</v>
      </c>
      <c r="U798" s="4" t="str">
        <f t="shared" si="73"/>
        <v>, CASE WHEN shikkan_disp_name = 'K273' THEN min_shikkan_start_date ::DATE ELSE NULL END AS shikkan780_start_date</v>
      </c>
      <c r="V798" s="25" t="str">
        <f t="shared" si="74"/>
        <v>, max(shikkan780_start_date)</v>
      </c>
      <c r="AA798" s="4"/>
      <c r="AB798" s="4"/>
      <c r="AC798" s="4"/>
      <c r="AD798" s="4"/>
      <c r="AE798" s="4"/>
      <c r="AF798" s="4"/>
      <c r="AG798" s="4"/>
      <c r="AH798" s="4"/>
      <c r="AI798" s="4"/>
      <c r="AJ798" s="76" t="str">
        <f>IF(E798="○",IF(COUNTA(E$13:E798)=1,"",",")&amp;D798,"")</f>
        <v/>
      </c>
      <c r="AK798" s="4"/>
      <c r="AL798" s="4"/>
      <c r="AM798" s="4"/>
      <c r="AN798" s="4"/>
      <c r="AO798" s="4"/>
      <c r="AP798" s="4"/>
      <c r="AQ798" s="4"/>
      <c r="AR798" s="4"/>
      <c r="AS798" s="76" t="str">
        <f>"COMMENT ON COLUMN "&amp;エンティティ一覧!$O$2&amp;"."&amp;D$8&amp;"."&amp;D798&amp;" IS '"&amp;C798&amp;"';"</f>
        <v>COMMENT ON COLUMN milscm_2023_009.sny_202310_annony_bef2.shikkan780_start_date IS 'K273_疾患開始日';</v>
      </c>
    </row>
    <row r="799" spans="1:45" s="25" customFormat="1">
      <c r="A799" s="4" t="s">
        <v>5858</v>
      </c>
      <c r="B799" s="21">
        <f t="shared" si="93"/>
        <v>787</v>
      </c>
      <c r="C799" s="13" t="s">
        <v>7248</v>
      </c>
      <c r="D799" s="13" t="s">
        <v>6441</v>
      </c>
      <c r="E799" s="8"/>
      <c r="F799" s="7" t="s">
        <v>4348</v>
      </c>
      <c r="G799" s="7" t="s">
        <v>25</v>
      </c>
      <c r="H799" s="58"/>
      <c r="I799" s="23"/>
      <c r="J799" s="24"/>
      <c r="M799" s="4"/>
      <c r="N799" s="76"/>
      <c r="O799" s="76"/>
      <c r="P799" s="76" t="str">
        <f t="shared" si="88"/>
        <v>,shikkan781_start_date</v>
      </c>
      <c r="Q799" s="76" t="str">
        <f t="shared" si="89"/>
        <v>DATE</v>
      </c>
      <c r="R799" s="76" t="str">
        <f t="shared" si="90"/>
        <v/>
      </c>
      <c r="S799" s="76" t="str">
        <f t="shared" si="91"/>
        <v/>
      </c>
      <c r="T799" s="76" t="str">
        <f t="shared" si="92"/>
        <v>-- K274_疾患開始日</v>
      </c>
      <c r="U799" s="4" t="str">
        <f t="shared" si="73"/>
        <v>, CASE WHEN shikkan_disp_name = 'K274' THEN min_shikkan_start_date ::DATE ELSE NULL END AS shikkan781_start_date</v>
      </c>
      <c r="V799" s="25" t="str">
        <f t="shared" si="74"/>
        <v>, max(shikkan781_start_date)</v>
      </c>
      <c r="AA799" s="4"/>
      <c r="AB799" s="4"/>
      <c r="AC799" s="4"/>
      <c r="AD799" s="4"/>
      <c r="AE799" s="4"/>
      <c r="AF799" s="4"/>
      <c r="AG799" s="4"/>
      <c r="AH799" s="4"/>
      <c r="AI799" s="4"/>
      <c r="AJ799" s="76" t="str">
        <f>IF(E799="○",IF(COUNTA(E$13:E799)=1,"",",")&amp;D799,"")</f>
        <v/>
      </c>
      <c r="AK799" s="4"/>
      <c r="AL799" s="4"/>
      <c r="AM799" s="4"/>
      <c r="AN799" s="4"/>
      <c r="AO799" s="4"/>
      <c r="AP799" s="4"/>
      <c r="AQ799" s="4"/>
      <c r="AR799" s="4"/>
      <c r="AS799" s="76" t="str">
        <f>"COMMENT ON COLUMN "&amp;エンティティ一覧!$O$2&amp;"."&amp;D$8&amp;"."&amp;D799&amp;" IS '"&amp;C799&amp;"';"</f>
        <v>COMMENT ON COLUMN milscm_2023_009.sny_202310_annony_bef2.shikkan781_start_date IS 'K274_疾患開始日';</v>
      </c>
    </row>
    <row r="800" spans="1:45" s="25" customFormat="1">
      <c r="A800" s="4" t="s">
        <v>5859</v>
      </c>
      <c r="B800" s="21">
        <f t="shared" si="93"/>
        <v>788</v>
      </c>
      <c r="C800" s="13" t="s">
        <v>7249</v>
      </c>
      <c r="D800" s="13" t="s">
        <v>6442</v>
      </c>
      <c r="E800" s="8"/>
      <c r="F800" s="7" t="s">
        <v>4348</v>
      </c>
      <c r="G800" s="7" t="s">
        <v>25</v>
      </c>
      <c r="H800" s="58"/>
      <c r="I800" s="23"/>
      <c r="J800" s="24"/>
      <c r="M800" s="4"/>
      <c r="N800" s="76"/>
      <c r="O800" s="76"/>
      <c r="P800" s="76" t="str">
        <f t="shared" si="88"/>
        <v>,shikkan782_start_date</v>
      </c>
      <c r="Q800" s="76" t="str">
        <f t="shared" si="89"/>
        <v>DATE</v>
      </c>
      <c r="R800" s="76" t="str">
        <f t="shared" si="90"/>
        <v/>
      </c>
      <c r="S800" s="76" t="str">
        <f t="shared" si="91"/>
        <v/>
      </c>
      <c r="T800" s="76" t="str">
        <f t="shared" si="92"/>
        <v>-- K275_疾患開始日</v>
      </c>
      <c r="U800" s="4" t="str">
        <f t="shared" si="73"/>
        <v>, CASE WHEN shikkan_disp_name = 'K275' THEN min_shikkan_start_date ::DATE ELSE NULL END AS shikkan782_start_date</v>
      </c>
      <c r="V800" s="25" t="str">
        <f t="shared" si="74"/>
        <v>, max(shikkan782_start_date)</v>
      </c>
      <c r="AA800" s="4"/>
      <c r="AB800" s="4"/>
      <c r="AC800" s="4"/>
      <c r="AD800" s="4"/>
      <c r="AE800" s="4"/>
      <c r="AF800" s="4"/>
      <c r="AG800" s="4"/>
      <c r="AH800" s="4"/>
      <c r="AI800" s="4"/>
      <c r="AJ800" s="76" t="str">
        <f>IF(E800="○",IF(COUNTA(E$13:E800)=1,"",",")&amp;D800,"")</f>
        <v/>
      </c>
      <c r="AK800" s="4"/>
      <c r="AL800" s="4"/>
      <c r="AM800" s="4"/>
      <c r="AN800" s="4"/>
      <c r="AO800" s="4"/>
      <c r="AP800" s="4"/>
      <c r="AQ800" s="4"/>
      <c r="AR800" s="4"/>
      <c r="AS800" s="76" t="str">
        <f>"COMMENT ON COLUMN "&amp;エンティティ一覧!$O$2&amp;"."&amp;D$8&amp;"."&amp;D800&amp;" IS '"&amp;C800&amp;"';"</f>
        <v>COMMENT ON COLUMN milscm_2023_009.sny_202310_annony_bef2.shikkan782_start_date IS 'K275_疾患開始日';</v>
      </c>
    </row>
    <row r="801" spans="1:45" s="25" customFormat="1">
      <c r="A801" s="4" t="s">
        <v>5860</v>
      </c>
      <c r="B801" s="21">
        <f t="shared" si="93"/>
        <v>789</v>
      </c>
      <c r="C801" s="13" t="s">
        <v>7250</v>
      </c>
      <c r="D801" s="13" t="s">
        <v>6443</v>
      </c>
      <c r="E801" s="8"/>
      <c r="F801" s="7" t="s">
        <v>4348</v>
      </c>
      <c r="G801" s="7" t="s">
        <v>99</v>
      </c>
      <c r="H801" s="58"/>
      <c r="I801" s="23"/>
      <c r="J801" s="24"/>
      <c r="M801" s="4"/>
      <c r="N801" s="76"/>
      <c r="O801" s="76"/>
      <c r="P801" s="76" t="str">
        <f t="shared" si="88"/>
        <v>,shikkan783_start_date</v>
      </c>
      <c r="Q801" s="76" t="str">
        <f t="shared" si="89"/>
        <v>DATE</v>
      </c>
      <c r="R801" s="76" t="str">
        <f t="shared" si="90"/>
        <v/>
      </c>
      <c r="S801" s="76" t="str">
        <f t="shared" si="91"/>
        <v/>
      </c>
      <c r="T801" s="76" t="str">
        <f t="shared" si="92"/>
        <v>-- K276_疾患開始日</v>
      </c>
      <c r="U801" s="4" t="str">
        <f t="shared" si="73"/>
        <v>, CASE WHEN shikkan_disp_name = 'K276' THEN min_shikkan_start_date ::DATE ELSE NULL END AS shikkan783_start_date</v>
      </c>
      <c r="V801" s="25" t="str">
        <f t="shared" si="74"/>
        <v>, max(shikkan783_start_date)</v>
      </c>
      <c r="AA801" s="4"/>
      <c r="AB801" s="4"/>
      <c r="AC801" s="4"/>
      <c r="AD801" s="4"/>
      <c r="AE801" s="4"/>
      <c r="AF801" s="4"/>
      <c r="AG801" s="4"/>
      <c r="AH801" s="4"/>
      <c r="AI801" s="4"/>
      <c r="AJ801" s="76" t="str">
        <f>IF(E801="○",IF(COUNTA(E$13:E801)=1,"",",")&amp;D801,"")</f>
        <v/>
      </c>
      <c r="AK801" s="4"/>
      <c r="AL801" s="4"/>
      <c r="AM801" s="4"/>
      <c r="AN801" s="4"/>
      <c r="AO801" s="4"/>
      <c r="AP801" s="4"/>
      <c r="AQ801" s="4"/>
      <c r="AR801" s="4"/>
      <c r="AS801" s="76" t="str">
        <f>"COMMENT ON COLUMN "&amp;エンティティ一覧!$O$2&amp;"."&amp;D$8&amp;"."&amp;D801&amp;" IS '"&amp;C801&amp;"';"</f>
        <v>COMMENT ON COLUMN milscm_2023_009.sny_202310_annony_bef2.shikkan783_start_date IS 'K276_疾患開始日';</v>
      </c>
    </row>
    <row r="802" spans="1:45" s="25" customFormat="1">
      <c r="A802" s="4" t="s">
        <v>5861</v>
      </c>
      <c r="B802" s="21">
        <f t="shared" si="93"/>
        <v>790</v>
      </c>
      <c r="C802" s="13" t="s">
        <v>7251</v>
      </c>
      <c r="D802" s="13" t="s">
        <v>6444</v>
      </c>
      <c r="E802" s="8"/>
      <c r="F802" s="7" t="s">
        <v>4348</v>
      </c>
      <c r="G802" s="7" t="s">
        <v>25</v>
      </c>
      <c r="H802" s="58"/>
      <c r="I802" s="23"/>
      <c r="J802" s="24"/>
      <c r="M802" s="4"/>
      <c r="N802" s="76"/>
      <c r="O802" s="76"/>
      <c r="P802" s="76" t="str">
        <f t="shared" si="88"/>
        <v>,shikkan784_start_date</v>
      </c>
      <c r="Q802" s="76" t="str">
        <f t="shared" si="89"/>
        <v>DATE</v>
      </c>
      <c r="R802" s="76" t="str">
        <f t="shared" si="90"/>
        <v/>
      </c>
      <c r="S802" s="76" t="str">
        <f t="shared" si="91"/>
        <v/>
      </c>
      <c r="T802" s="76" t="str">
        <f t="shared" si="92"/>
        <v>-- K277_疾患開始日</v>
      </c>
      <c r="U802" s="4" t="str">
        <f t="shared" si="73"/>
        <v>, CASE WHEN shikkan_disp_name = 'K277' THEN min_shikkan_start_date ::DATE ELSE NULL END AS shikkan784_start_date</v>
      </c>
      <c r="V802" s="25" t="str">
        <f t="shared" si="74"/>
        <v>, max(shikkan784_start_date)</v>
      </c>
      <c r="AA802" s="4"/>
      <c r="AB802" s="4"/>
      <c r="AC802" s="4"/>
      <c r="AD802" s="4"/>
      <c r="AE802" s="4"/>
      <c r="AF802" s="4"/>
      <c r="AG802" s="4"/>
      <c r="AH802" s="4"/>
      <c r="AI802" s="4"/>
      <c r="AJ802" s="76" t="str">
        <f>IF(E802="○",IF(COUNTA(E$13:E802)=1,"",",")&amp;D802,"")</f>
        <v/>
      </c>
      <c r="AK802" s="4"/>
      <c r="AL802" s="4"/>
      <c r="AM802" s="4"/>
      <c r="AN802" s="4"/>
      <c r="AO802" s="4"/>
      <c r="AP802" s="4"/>
      <c r="AQ802" s="4"/>
      <c r="AR802" s="4"/>
      <c r="AS802" s="76" t="str">
        <f>"COMMENT ON COLUMN "&amp;エンティティ一覧!$O$2&amp;"."&amp;D$8&amp;"."&amp;D802&amp;" IS '"&amp;C802&amp;"';"</f>
        <v>COMMENT ON COLUMN milscm_2023_009.sny_202310_annony_bef2.shikkan784_start_date IS 'K277_疾患開始日';</v>
      </c>
    </row>
    <row r="803" spans="1:45" s="25" customFormat="1">
      <c r="A803" s="4" t="s">
        <v>5862</v>
      </c>
      <c r="B803" s="21">
        <f t="shared" si="93"/>
        <v>791</v>
      </c>
      <c r="C803" s="13" t="s">
        <v>7252</v>
      </c>
      <c r="D803" s="13" t="s">
        <v>6445</v>
      </c>
      <c r="E803" s="8"/>
      <c r="F803" s="7" t="s">
        <v>4348</v>
      </c>
      <c r="G803" s="7" t="s">
        <v>25</v>
      </c>
      <c r="H803" s="58"/>
      <c r="I803" s="23"/>
      <c r="J803" s="24"/>
      <c r="M803" s="4"/>
      <c r="N803" s="76"/>
      <c r="O803" s="76"/>
      <c r="P803" s="76" t="str">
        <f t="shared" si="88"/>
        <v>,shikkan785_start_date</v>
      </c>
      <c r="Q803" s="76" t="str">
        <f t="shared" si="89"/>
        <v>DATE</v>
      </c>
      <c r="R803" s="76" t="str">
        <f t="shared" si="90"/>
        <v/>
      </c>
      <c r="S803" s="76" t="str">
        <f t="shared" si="91"/>
        <v/>
      </c>
      <c r="T803" s="76" t="str">
        <f t="shared" si="92"/>
        <v>-- K279_疾患開始日</v>
      </c>
      <c r="U803" s="4" t="str">
        <f t="shared" si="73"/>
        <v>, CASE WHEN shikkan_disp_name = 'K279' THEN min_shikkan_start_date ::DATE ELSE NULL END AS shikkan785_start_date</v>
      </c>
      <c r="V803" s="25" t="str">
        <f t="shared" si="74"/>
        <v>, max(shikkan785_start_date)</v>
      </c>
      <c r="AA803" s="4"/>
      <c r="AB803" s="4"/>
      <c r="AC803" s="4"/>
      <c r="AD803" s="4"/>
      <c r="AE803" s="4"/>
      <c r="AF803" s="4"/>
      <c r="AG803" s="4"/>
      <c r="AH803" s="4"/>
      <c r="AI803" s="4"/>
      <c r="AJ803" s="76" t="str">
        <f>IF(E803="○",IF(COUNTA(E$13:E803)=1,"",",")&amp;D803,"")</f>
        <v/>
      </c>
      <c r="AK803" s="4"/>
      <c r="AL803" s="4"/>
      <c r="AM803" s="4"/>
      <c r="AN803" s="4"/>
      <c r="AO803" s="4"/>
      <c r="AP803" s="4"/>
      <c r="AQ803" s="4"/>
      <c r="AR803" s="4"/>
      <c r="AS803" s="76" t="str">
        <f>"COMMENT ON COLUMN "&amp;エンティティ一覧!$O$2&amp;"."&amp;D$8&amp;"."&amp;D803&amp;" IS '"&amp;C803&amp;"';"</f>
        <v>COMMENT ON COLUMN milscm_2023_009.sny_202310_annony_bef2.shikkan785_start_date IS 'K279_疾患開始日';</v>
      </c>
    </row>
    <row r="804" spans="1:45" s="25" customFormat="1">
      <c r="A804" s="4" t="s">
        <v>5863</v>
      </c>
      <c r="B804" s="21">
        <f t="shared" si="93"/>
        <v>792</v>
      </c>
      <c r="C804" s="13" t="s">
        <v>7253</v>
      </c>
      <c r="D804" s="13" t="s">
        <v>6446</v>
      </c>
      <c r="E804" s="8"/>
      <c r="F804" s="7" t="s">
        <v>4348</v>
      </c>
      <c r="G804" s="7" t="s">
        <v>25</v>
      </c>
      <c r="H804" s="58"/>
      <c r="I804" s="23"/>
      <c r="J804" s="24"/>
      <c r="M804" s="4"/>
      <c r="N804" s="76"/>
      <c r="O804" s="76"/>
      <c r="P804" s="76" t="str">
        <f t="shared" ref="P804:P867" si="94">IF(B804&lt;&gt;1,","&amp;D804,D804)</f>
        <v>,shikkan786_start_date</v>
      </c>
      <c r="Q804" s="76" t="str">
        <f t="shared" ref="Q804:Q867" si="95">UPPER(G804)</f>
        <v>DATE</v>
      </c>
      <c r="R804" s="76" t="str">
        <f t="shared" ref="R804:R867" si="96">IF(H804&lt;&gt;"","default "&amp;IF(G804="text","'"&amp;H804&amp;"'",H804),"")</f>
        <v/>
      </c>
      <c r="S804" s="76" t="str">
        <f t="shared" ref="S804:S867" si="97">IF(I804="○","NOT NULL","")</f>
        <v/>
      </c>
      <c r="T804" s="76" t="str">
        <f t="shared" ref="T804:T867" si="98">"-- "&amp;C804</f>
        <v>-- K280_疾患開始日</v>
      </c>
      <c r="U804" s="4" t="str">
        <f t="shared" si="73"/>
        <v>, CASE WHEN shikkan_disp_name = 'K280' THEN min_shikkan_start_date ::DATE ELSE NULL END AS shikkan786_start_date</v>
      </c>
      <c r="V804" s="25" t="str">
        <f t="shared" si="74"/>
        <v>, max(shikkan786_start_date)</v>
      </c>
      <c r="AA804" s="4"/>
      <c r="AB804" s="4"/>
      <c r="AC804" s="4"/>
      <c r="AD804" s="4"/>
      <c r="AE804" s="4"/>
      <c r="AF804" s="4"/>
      <c r="AG804" s="4"/>
      <c r="AH804" s="4"/>
      <c r="AI804" s="4"/>
      <c r="AJ804" s="76" t="str">
        <f>IF(E804="○",IF(COUNTA(E$13:E804)=1,"",",")&amp;D804,"")</f>
        <v/>
      </c>
      <c r="AK804" s="4"/>
      <c r="AL804" s="4"/>
      <c r="AM804" s="4"/>
      <c r="AN804" s="4"/>
      <c r="AO804" s="4"/>
      <c r="AP804" s="4"/>
      <c r="AQ804" s="4"/>
      <c r="AR804" s="4"/>
      <c r="AS804" s="76" t="str">
        <f>"COMMENT ON COLUMN "&amp;エンティティ一覧!$O$2&amp;"."&amp;D$8&amp;"."&amp;D804&amp;" IS '"&amp;C804&amp;"';"</f>
        <v>COMMENT ON COLUMN milscm_2023_009.sny_202310_annony_bef2.shikkan786_start_date IS 'K280_疾患開始日';</v>
      </c>
    </row>
    <row r="805" spans="1:45" s="25" customFormat="1">
      <c r="A805" s="4" t="s">
        <v>5864</v>
      </c>
      <c r="B805" s="21">
        <f t="shared" si="93"/>
        <v>793</v>
      </c>
      <c r="C805" s="13" t="s">
        <v>7254</v>
      </c>
      <c r="D805" s="13" t="s">
        <v>6447</v>
      </c>
      <c r="E805" s="8"/>
      <c r="F805" s="7" t="s">
        <v>4348</v>
      </c>
      <c r="G805" s="7" t="s">
        <v>25</v>
      </c>
      <c r="H805" s="58"/>
      <c r="I805" s="23"/>
      <c r="J805" s="24"/>
      <c r="M805" s="4"/>
      <c r="N805" s="76"/>
      <c r="O805" s="76"/>
      <c r="P805" s="76" t="str">
        <f t="shared" si="94"/>
        <v>,shikkan787_start_date</v>
      </c>
      <c r="Q805" s="76" t="str">
        <f t="shared" si="95"/>
        <v>DATE</v>
      </c>
      <c r="R805" s="76" t="str">
        <f t="shared" si="96"/>
        <v/>
      </c>
      <c r="S805" s="76" t="str">
        <f t="shared" si="97"/>
        <v/>
      </c>
      <c r="T805" s="76" t="str">
        <f t="shared" si="98"/>
        <v>-- K281_疾患開始日</v>
      </c>
      <c r="U805" s="4" t="str">
        <f t="shared" si="73"/>
        <v>, CASE WHEN shikkan_disp_name = 'K281' THEN min_shikkan_start_date ::DATE ELSE NULL END AS shikkan787_start_date</v>
      </c>
      <c r="V805" s="25" t="str">
        <f t="shared" si="74"/>
        <v>, max(shikkan787_start_date)</v>
      </c>
      <c r="AA805" s="4"/>
      <c r="AB805" s="4"/>
      <c r="AC805" s="4"/>
      <c r="AD805" s="4"/>
      <c r="AE805" s="4"/>
      <c r="AF805" s="4"/>
      <c r="AG805" s="4"/>
      <c r="AH805" s="4"/>
      <c r="AI805" s="4"/>
      <c r="AJ805" s="76" t="str">
        <f>IF(E805="○",IF(COUNTA(E$13:E805)=1,"",",")&amp;D805,"")</f>
        <v/>
      </c>
      <c r="AK805" s="4"/>
      <c r="AL805" s="4"/>
      <c r="AM805" s="4"/>
      <c r="AN805" s="4"/>
      <c r="AO805" s="4"/>
      <c r="AP805" s="4"/>
      <c r="AQ805" s="4"/>
      <c r="AR805" s="4"/>
      <c r="AS805" s="76" t="str">
        <f>"COMMENT ON COLUMN "&amp;エンティティ一覧!$O$2&amp;"."&amp;D$8&amp;"."&amp;D805&amp;" IS '"&amp;C805&amp;"';"</f>
        <v>COMMENT ON COLUMN milscm_2023_009.sny_202310_annony_bef2.shikkan787_start_date IS 'K281_疾患開始日';</v>
      </c>
    </row>
    <row r="806" spans="1:45" s="25" customFormat="1">
      <c r="A806" s="4" t="s">
        <v>5865</v>
      </c>
      <c r="B806" s="21">
        <f t="shared" si="93"/>
        <v>794</v>
      </c>
      <c r="C806" s="13" t="s">
        <v>7255</v>
      </c>
      <c r="D806" s="13" t="s">
        <v>6448</v>
      </c>
      <c r="E806" s="8"/>
      <c r="F806" s="7" t="s">
        <v>4348</v>
      </c>
      <c r="G806" s="7" t="s">
        <v>25</v>
      </c>
      <c r="H806" s="58"/>
      <c r="I806" s="23"/>
      <c r="J806" s="24"/>
      <c r="M806" s="4"/>
      <c r="N806" s="76"/>
      <c r="O806" s="76"/>
      <c r="P806" s="76" t="str">
        <f t="shared" si="94"/>
        <v>,shikkan788_start_date</v>
      </c>
      <c r="Q806" s="76" t="str">
        <f t="shared" si="95"/>
        <v>DATE</v>
      </c>
      <c r="R806" s="76" t="str">
        <f t="shared" si="96"/>
        <v/>
      </c>
      <c r="S806" s="76" t="str">
        <f t="shared" si="97"/>
        <v/>
      </c>
      <c r="T806" s="76" t="str">
        <f t="shared" si="98"/>
        <v>-- K282_疾患開始日</v>
      </c>
      <c r="U806" s="4" t="str">
        <f t="shared" si="73"/>
        <v>, CASE WHEN shikkan_disp_name = 'K282' THEN min_shikkan_start_date ::DATE ELSE NULL END AS shikkan788_start_date</v>
      </c>
      <c r="V806" s="25" t="str">
        <f t="shared" si="74"/>
        <v>, max(shikkan788_start_date)</v>
      </c>
      <c r="AA806" s="4"/>
      <c r="AB806" s="4"/>
      <c r="AC806" s="4"/>
      <c r="AD806" s="4"/>
      <c r="AE806" s="4"/>
      <c r="AF806" s="4"/>
      <c r="AG806" s="4"/>
      <c r="AH806" s="4"/>
      <c r="AI806" s="4"/>
      <c r="AJ806" s="76" t="str">
        <f>IF(E806="○",IF(COUNTA(E$13:E806)=1,"",",")&amp;D806,"")</f>
        <v/>
      </c>
      <c r="AK806" s="4"/>
      <c r="AL806" s="4"/>
      <c r="AM806" s="4"/>
      <c r="AN806" s="4"/>
      <c r="AO806" s="4"/>
      <c r="AP806" s="4"/>
      <c r="AQ806" s="4"/>
      <c r="AR806" s="4"/>
      <c r="AS806" s="76" t="str">
        <f>"COMMENT ON COLUMN "&amp;エンティティ一覧!$O$2&amp;"."&amp;D$8&amp;"."&amp;D806&amp;" IS '"&amp;C806&amp;"';"</f>
        <v>COMMENT ON COLUMN milscm_2023_009.sny_202310_annony_bef2.shikkan788_start_date IS 'K282_疾患開始日';</v>
      </c>
    </row>
    <row r="807" spans="1:45" s="25" customFormat="1">
      <c r="A807" s="4" t="s">
        <v>5866</v>
      </c>
      <c r="B807" s="21">
        <f t="shared" si="93"/>
        <v>795</v>
      </c>
      <c r="C807" s="13" t="s">
        <v>7256</v>
      </c>
      <c r="D807" s="13" t="s">
        <v>6449</v>
      </c>
      <c r="E807" s="8"/>
      <c r="F807" s="7" t="s">
        <v>4348</v>
      </c>
      <c r="G807" s="7" t="s">
        <v>25</v>
      </c>
      <c r="H807" s="58"/>
      <c r="I807" s="23"/>
      <c r="J807" s="24"/>
      <c r="M807" s="4"/>
      <c r="N807" s="76"/>
      <c r="O807" s="76"/>
      <c r="P807" s="76" t="str">
        <f t="shared" si="94"/>
        <v>,shikkan789_start_date</v>
      </c>
      <c r="Q807" s="76" t="str">
        <f t="shared" si="95"/>
        <v>DATE</v>
      </c>
      <c r="R807" s="76" t="str">
        <f t="shared" si="96"/>
        <v/>
      </c>
      <c r="S807" s="76" t="str">
        <f t="shared" si="97"/>
        <v/>
      </c>
      <c r="T807" s="76" t="str">
        <f t="shared" si="98"/>
        <v>-- K283_疾患開始日</v>
      </c>
      <c r="U807" s="4" t="str">
        <f t="shared" si="73"/>
        <v>, CASE WHEN shikkan_disp_name = 'K283' THEN min_shikkan_start_date ::DATE ELSE NULL END AS shikkan789_start_date</v>
      </c>
      <c r="V807" s="25" t="str">
        <f t="shared" si="74"/>
        <v>, max(shikkan789_start_date)</v>
      </c>
      <c r="AA807" s="4"/>
      <c r="AB807" s="4"/>
      <c r="AC807" s="4"/>
      <c r="AD807" s="4"/>
      <c r="AE807" s="4"/>
      <c r="AF807" s="4"/>
      <c r="AG807" s="4"/>
      <c r="AH807" s="4"/>
      <c r="AI807" s="4"/>
      <c r="AJ807" s="76" t="str">
        <f>IF(E807="○",IF(COUNTA(E$13:E807)=1,"",",")&amp;D807,"")</f>
        <v/>
      </c>
      <c r="AK807" s="4"/>
      <c r="AL807" s="4"/>
      <c r="AM807" s="4"/>
      <c r="AN807" s="4"/>
      <c r="AO807" s="4"/>
      <c r="AP807" s="4"/>
      <c r="AQ807" s="4"/>
      <c r="AR807" s="4"/>
      <c r="AS807" s="76" t="str">
        <f>"COMMENT ON COLUMN "&amp;エンティティ一覧!$O$2&amp;"."&amp;D$8&amp;"."&amp;D807&amp;" IS '"&amp;C807&amp;"';"</f>
        <v>COMMENT ON COLUMN milscm_2023_009.sny_202310_annony_bef2.shikkan789_start_date IS 'K283_疾患開始日';</v>
      </c>
    </row>
    <row r="808" spans="1:45" s="25" customFormat="1">
      <c r="A808" s="4" t="s">
        <v>5867</v>
      </c>
      <c r="B808" s="21">
        <f t="shared" si="93"/>
        <v>796</v>
      </c>
      <c r="C808" s="13" t="s">
        <v>7257</v>
      </c>
      <c r="D808" s="13" t="s">
        <v>6450</v>
      </c>
      <c r="E808" s="8"/>
      <c r="F808" s="7" t="s">
        <v>4348</v>
      </c>
      <c r="G808" s="7" t="s">
        <v>25</v>
      </c>
      <c r="H808" s="58"/>
      <c r="I808" s="23"/>
      <c r="J808" s="24"/>
      <c r="M808" s="4"/>
      <c r="N808" s="76"/>
      <c r="O808" s="76"/>
      <c r="P808" s="76" t="str">
        <f t="shared" si="94"/>
        <v>,shikkan790_start_date</v>
      </c>
      <c r="Q808" s="76" t="str">
        <f t="shared" si="95"/>
        <v>DATE</v>
      </c>
      <c r="R808" s="76" t="str">
        <f t="shared" si="96"/>
        <v/>
      </c>
      <c r="S808" s="76" t="str">
        <f t="shared" si="97"/>
        <v/>
      </c>
      <c r="T808" s="76" t="str">
        <f t="shared" si="98"/>
        <v>-- K284_疾患開始日</v>
      </c>
      <c r="U808" s="4" t="str">
        <f t="shared" si="73"/>
        <v>, CASE WHEN shikkan_disp_name = 'K284' THEN min_shikkan_start_date ::DATE ELSE NULL END AS shikkan790_start_date</v>
      </c>
      <c r="V808" s="25" t="str">
        <f t="shared" si="74"/>
        <v>, max(shikkan790_start_date)</v>
      </c>
      <c r="AA808" s="4"/>
      <c r="AB808" s="4"/>
      <c r="AC808" s="4"/>
      <c r="AD808" s="4"/>
      <c r="AE808" s="4"/>
      <c r="AF808" s="4"/>
      <c r="AG808" s="4"/>
      <c r="AH808" s="4"/>
      <c r="AI808" s="4"/>
      <c r="AJ808" s="76" t="str">
        <f>IF(E808="○",IF(COUNTA(E$13:E808)=1,"",",")&amp;D808,"")</f>
        <v/>
      </c>
      <c r="AK808" s="4"/>
      <c r="AL808" s="4"/>
      <c r="AM808" s="4"/>
      <c r="AN808" s="4"/>
      <c r="AO808" s="4"/>
      <c r="AP808" s="4"/>
      <c r="AQ808" s="4"/>
      <c r="AR808" s="4"/>
      <c r="AS808" s="76" t="str">
        <f>"COMMENT ON COLUMN "&amp;エンティティ一覧!$O$2&amp;"."&amp;D$8&amp;"."&amp;D808&amp;" IS '"&amp;C808&amp;"';"</f>
        <v>COMMENT ON COLUMN milscm_2023_009.sny_202310_annony_bef2.shikkan790_start_date IS 'K284_疾患開始日';</v>
      </c>
    </row>
    <row r="809" spans="1:45" s="25" customFormat="1">
      <c r="A809" s="4" t="s">
        <v>5868</v>
      </c>
      <c r="B809" s="21">
        <f t="shared" si="93"/>
        <v>797</v>
      </c>
      <c r="C809" s="13" t="s">
        <v>7258</v>
      </c>
      <c r="D809" s="13" t="s">
        <v>6451</v>
      </c>
      <c r="E809" s="8"/>
      <c r="F809" s="7" t="s">
        <v>4348</v>
      </c>
      <c r="G809" s="7" t="s">
        <v>25</v>
      </c>
      <c r="H809" s="58"/>
      <c r="I809" s="23"/>
      <c r="J809" s="24"/>
      <c r="M809" s="4"/>
      <c r="N809" s="76"/>
      <c r="O809" s="76"/>
      <c r="P809" s="76" t="str">
        <f t="shared" si="94"/>
        <v>,shikkan791_start_date</v>
      </c>
      <c r="Q809" s="76" t="str">
        <f t="shared" si="95"/>
        <v>DATE</v>
      </c>
      <c r="R809" s="76" t="str">
        <f t="shared" si="96"/>
        <v/>
      </c>
      <c r="S809" s="76" t="str">
        <f t="shared" si="97"/>
        <v/>
      </c>
      <c r="T809" s="76" t="str">
        <f t="shared" si="98"/>
        <v>-- K285_疾患開始日</v>
      </c>
      <c r="U809" s="4" t="str">
        <f t="shared" si="73"/>
        <v>, CASE WHEN shikkan_disp_name = 'K285' THEN min_shikkan_start_date ::DATE ELSE NULL END AS shikkan791_start_date</v>
      </c>
      <c r="V809" s="25" t="str">
        <f t="shared" si="74"/>
        <v>, max(shikkan791_start_date)</v>
      </c>
      <c r="AA809" s="4"/>
      <c r="AB809" s="4"/>
      <c r="AC809" s="4"/>
      <c r="AD809" s="4"/>
      <c r="AE809" s="4"/>
      <c r="AF809" s="4"/>
      <c r="AG809" s="4"/>
      <c r="AH809" s="4"/>
      <c r="AI809" s="4"/>
      <c r="AJ809" s="76" t="str">
        <f>IF(E809="○",IF(COUNTA(E$13:E809)=1,"",",")&amp;D809,"")</f>
        <v/>
      </c>
      <c r="AK809" s="4"/>
      <c r="AL809" s="4"/>
      <c r="AM809" s="4"/>
      <c r="AN809" s="4"/>
      <c r="AO809" s="4"/>
      <c r="AP809" s="4"/>
      <c r="AQ809" s="4"/>
      <c r="AR809" s="4"/>
      <c r="AS809" s="76" t="str">
        <f>"COMMENT ON COLUMN "&amp;エンティティ一覧!$O$2&amp;"."&amp;D$8&amp;"."&amp;D809&amp;" IS '"&amp;C809&amp;"';"</f>
        <v>COMMENT ON COLUMN milscm_2023_009.sny_202310_annony_bef2.shikkan791_start_date IS 'K285_疾患開始日';</v>
      </c>
    </row>
    <row r="810" spans="1:45" s="25" customFormat="1">
      <c r="A810" s="4" t="s">
        <v>5869</v>
      </c>
      <c r="B810" s="21">
        <f t="shared" si="93"/>
        <v>798</v>
      </c>
      <c r="C810" s="13" t="s">
        <v>7259</v>
      </c>
      <c r="D810" s="13" t="s">
        <v>6452</v>
      </c>
      <c r="E810" s="8"/>
      <c r="F810" s="7" t="s">
        <v>4348</v>
      </c>
      <c r="G810" s="7" t="s">
        <v>25</v>
      </c>
      <c r="H810" s="58"/>
      <c r="I810" s="23"/>
      <c r="J810" s="24"/>
      <c r="M810" s="4"/>
      <c r="N810" s="76"/>
      <c r="O810" s="76"/>
      <c r="P810" s="76" t="str">
        <f t="shared" si="94"/>
        <v>,shikkan792_start_date</v>
      </c>
      <c r="Q810" s="76" t="str">
        <f t="shared" si="95"/>
        <v>DATE</v>
      </c>
      <c r="R810" s="76" t="str">
        <f t="shared" si="96"/>
        <v/>
      </c>
      <c r="S810" s="76" t="str">
        <f t="shared" si="97"/>
        <v/>
      </c>
      <c r="T810" s="76" t="str">
        <f t="shared" si="98"/>
        <v>-- K286_疾患開始日</v>
      </c>
      <c r="U810" s="4" t="str">
        <f t="shared" si="73"/>
        <v>, CASE WHEN shikkan_disp_name = 'K286' THEN min_shikkan_start_date ::DATE ELSE NULL END AS shikkan792_start_date</v>
      </c>
      <c r="V810" s="25" t="str">
        <f t="shared" si="74"/>
        <v>, max(shikkan792_start_date)</v>
      </c>
      <c r="AA810" s="4"/>
      <c r="AB810" s="4"/>
      <c r="AC810" s="4"/>
      <c r="AD810" s="4"/>
      <c r="AE810" s="4"/>
      <c r="AF810" s="4"/>
      <c r="AG810" s="4"/>
      <c r="AH810" s="4"/>
      <c r="AI810" s="4"/>
      <c r="AJ810" s="76" t="str">
        <f>IF(E810="○",IF(COUNTA(E$13:E810)=1,"",",")&amp;D810,"")</f>
        <v/>
      </c>
      <c r="AK810" s="4"/>
      <c r="AL810" s="4"/>
      <c r="AM810" s="4"/>
      <c r="AN810" s="4"/>
      <c r="AO810" s="4"/>
      <c r="AP810" s="4"/>
      <c r="AQ810" s="4"/>
      <c r="AR810" s="4"/>
      <c r="AS810" s="76" t="str">
        <f>"COMMENT ON COLUMN "&amp;エンティティ一覧!$O$2&amp;"."&amp;D$8&amp;"."&amp;D810&amp;" IS '"&amp;C810&amp;"';"</f>
        <v>COMMENT ON COLUMN milscm_2023_009.sny_202310_annony_bef2.shikkan792_start_date IS 'K286_疾患開始日';</v>
      </c>
    </row>
    <row r="811" spans="1:45" s="25" customFormat="1">
      <c r="A811" s="4" t="s">
        <v>5870</v>
      </c>
      <c r="B811" s="21">
        <f t="shared" si="93"/>
        <v>799</v>
      </c>
      <c r="C811" s="13" t="s">
        <v>7260</v>
      </c>
      <c r="D811" s="13" t="s">
        <v>6453</v>
      </c>
      <c r="E811" s="8"/>
      <c r="F811" s="7" t="s">
        <v>4348</v>
      </c>
      <c r="G811" s="7" t="s">
        <v>25</v>
      </c>
      <c r="H811" s="58"/>
      <c r="I811" s="23"/>
      <c r="J811" s="24"/>
      <c r="M811" s="4"/>
      <c r="N811" s="76"/>
      <c r="O811" s="76"/>
      <c r="P811" s="76" t="str">
        <f t="shared" si="94"/>
        <v>,shikkan793_start_date</v>
      </c>
      <c r="Q811" s="76" t="str">
        <f t="shared" si="95"/>
        <v>DATE</v>
      </c>
      <c r="R811" s="76" t="str">
        <f t="shared" si="96"/>
        <v/>
      </c>
      <c r="S811" s="76" t="str">
        <f t="shared" si="97"/>
        <v/>
      </c>
      <c r="T811" s="76" t="str">
        <f t="shared" si="98"/>
        <v>-- K287_疾患開始日</v>
      </c>
      <c r="U811" s="4" t="str">
        <f t="shared" si="73"/>
        <v>, CASE WHEN shikkan_disp_name = 'K287' THEN min_shikkan_start_date ::DATE ELSE NULL END AS shikkan793_start_date</v>
      </c>
      <c r="V811" s="25" t="str">
        <f t="shared" si="74"/>
        <v>, max(shikkan793_start_date)</v>
      </c>
      <c r="AA811" s="4"/>
      <c r="AB811" s="4"/>
      <c r="AC811" s="4"/>
      <c r="AD811" s="4"/>
      <c r="AE811" s="4"/>
      <c r="AF811" s="4"/>
      <c r="AG811" s="4"/>
      <c r="AH811" s="4"/>
      <c r="AI811" s="4"/>
      <c r="AJ811" s="76" t="str">
        <f>IF(E811="○",IF(COUNTA(E$13:E811)=1,"",",")&amp;D811,"")</f>
        <v/>
      </c>
      <c r="AK811" s="4"/>
      <c r="AL811" s="4"/>
      <c r="AM811" s="4"/>
      <c r="AN811" s="4"/>
      <c r="AO811" s="4"/>
      <c r="AP811" s="4"/>
      <c r="AQ811" s="4"/>
      <c r="AR811" s="4"/>
      <c r="AS811" s="76" t="str">
        <f>"COMMENT ON COLUMN "&amp;エンティティ一覧!$O$2&amp;"."&amp;D$8&amp;"."&amp;D811&amp;" IS '"&amp;C811&amp;"';"</f>
        <v>COMMENT ON COLUMN milscm_2023_009.sny_202310_annony_bef2.shikkan793_start_date IS 'K287_疾患開始日';</v>
      </c>
    </row>
    <row r="812" spans="1:45" s="25" customFormat="1">
      <c r="A812" s="4" t="s">
        <v>5871</v>
      </c>
      <c r="B812" s="21">
        <f t="shared" si="93"/>
        <v>800</v>
      </c>
      <c r="C812" s="13" t="s">
        <v>7261</v>
      </c>
      <c r="D812" s="13" t="s">
        <v>6454</v>
      </c>
      <c r="E812" s="8"/>
      <c r="F812" s="7" t="s">
        <v>4348</v>
      </c>
      <c r="G812" s="7" t="s">
        <v>25</v>
      </c>
      <c r="H812" s="58"/>
      <c r="I812" s="23"/>
      <c r="J812" s="24"/>
      <c r="M812" s="4"/>
      <c r="N812" s="76"/>
      <c r="O812" s="76"/>
      <c r="P812" s="76" t="str">
        <f t="shared" si="94"/>
        <v>,shikkan794_start_date</v>
      </c>
      <c r="Q812" s="76" t="str">
        <f t="shared" si="95"/>
        <v>DATE</v>
      </c>
      <c r="R812" s="76" t="str">
        <f t="shared" si="96"/>
        <v/>
      </c>
      <c r="S812" s="76" t="str">
        <f t="shared" si="97"/>
        <v/>
      </c>
      <c r="T812" s="76" t="str">
        <f t="shared" si="98"/>
        <v>-- K289_疾患開始日</v>
      </c>
      <c r="U812" s="4" t="str">
        <f t="shared" si="73"/>
        <v>, CASE WHEN shikkan_disp_name = 'K289' THEN min_shikkan_start_date ::DATE ELSE NULL END AS shikkan794_start_date</v>
      </c>
      <c r="V812" s="25" t="str">
        <f t="shared" si="74"/>
        <v>, max(shikkan794_start_date)</v>
      </c>
      <c r="AA812" s="4"/>
      <c r="AB812" s="4"/>
      <c r="AC812" s="4"/>
      <c r="AD812" s="4"/>
      <c r="AE812" s="4"/>
      <c r="AF812" s="4"/>
      <c r="AG812" s="4"/>
      <c r="AH812" s="4"/>
      <c r="AI812" s="4"/>
      <c r="AJ812" s="76" t="str">
        <f>IF(E812="○",IF(COUNTA(E$13:E812)=1,"",",")&amp;D812,"")</f>
        <v/>
      </c>
      <c r="AK812" s="4"/>
      <c r="AL812" s="4"/>
      <c r="AM812" s="4"/>
      <c r="AN812" s="4"/>
      <c r="AO812" s="4"/>
      <c r="AP812" s="4"/>
      <c r="AQ812" s="4"/>
      <c r="AR812" s="4"/>
      <c r="AS812" s="76" t="str">
        <f>"COMMENT ON COLUMN "&amp;エンティティ一覧!$O$2&amp;"."&amp;D$8&amp;"."&amp;D812&amp;" IS '"&amp;C812&amp;"';"</f>
        <v>COMMENT ON COLUMN milscm_2023_009.sny_202310_annony_bef2.shikkan794_start_date IS 'K289_疾患開始日';</v>
      </c>
    </row>
    <row r="813" spans="1:45" s="25" customFormat="1">
      <c r="A813" s="4" t="s">
        <v>5872</v>
      </c>
      <c r="B813" s="21">
        <f t="shared" si="93"/>
        <v>801</v>
      </c>
      <c r="C813" s="13" t="s">
        <v>7262</v>
      </c>
      <c r="D813" s="13" t="s">
        <v>6455</v>
      </c>
      <c r="E813" s="8"/>
      <c r="F813" s="7" t="s">
        <v>4348</v>
      </c>
      <c r="G813" s="7" t="s">
        <v>25</v>
      </c>
      <c r="H813" s="58"/>
      <c r="I813" s="23"/>
      <c r="J813" s="24"/>
      <c r="M813" s="4"/>
      <c r="N813" s="76"/>
      <c r="O813" s="76"/>
      <c r="P813" s="76" t="str">
        <f t="shared" si="94"/>
        <v>,shikkan795_start_date</v>
      </c>
      <c r="Q813" s="76" t="str">
        <f t="shared" si="95"/>
        <v>DATE</v>
      </c>
      <c r="R813" s="76" t="str">
        <f t="shared" si="96"/>
        <v/>
      </c>
      <c r="S813" s="76" t="str">
        <f t="shared" si="97"/>
        <v/>
      </c>
      <c r="T813" s="76" t="str">
        <f t="shared" si="98"/>
        <v>-- K551_疾患開始日</v>
      </c>
      <c r="U813" s="4" t="str">
        <f t="shared" si="73"/>
        <v>, CASE WHEN shikkan_disp_name = 'K551' THEN min_shikkan_start_date ::DATE ELSE NULL END AS shikkan795_start_date</v>
      </c>
      <c r="V813" s="25" t="str">
        <f t="shared" si="74"/>
        <v>, max(shikkan795_start_date)</v>
      </c>
      <c r="AA813" s="4"/>
      <c r="AB813" s="4"/>
      <c r="AC813" s="4"/>
      <c r="AD813" s="4"/>
      <c r="AE813" s="4"/>
      <c r="AF813" s="4"/>
      <c r="AG813" s="4"/>
      <c r="AH813" s="4"/>
      <c r="AI813" s="4"/>
      <c r="AJ813" s="76" t="str">
        <f>IF(E813="○",IF(COUNTA(E$13:E813)=1,"",",")&amp;D813,"")</f>
        <v/>
      </c>
      <c r="AK813" s="4"/>
      <c r="AL813" s="4"/>
      <c r="AM813" s="4"/>
      <c r="AN813" s="4"/>
      <c r="AO813" s="4"/>
      <c r="AP813" s="4"/>
      <c r="AQ813" s="4"/>
      <c r="AR813" s="4"/>
      <c r="AS813" s="76" t="str">
        <f>"COMMENT ON COLUMN "&amp;エンティティ一覧!$O$2&amp;"."&amp;D$8&amp;"."&amp;D813&amp;" IS '"&amp;C813&amp;"';"</f>
        <v>COMMENT ON COLUMN milscm_2023_009.sny_202310_annony_bef2.shikkan795_start_date IS 'K551_疾患開始日';</v>
      </c>
    </row>
    <row r="814" spans="1:45" s="25" customFormat="1">
      <c r="A814" s="4" t="s">
        <v>5873</v>
      </c>
      <c r="B814" s="21">
        <f t="shared" si="93"/>
        <v>802</v>
      </c>
      <c r="C814" s="13" t="s">
        <v>7263</v>
      </c>
      <c r="D814" s="13" t="s">
        <v>6456</v>
      </c>
      <c r="E814" s="8"/>
      <c r="F814" s="7" t="s">
        <v>4348</v>
      </c>
      <c r="G814" s="7" t="s">
        <v>25</v>
      </c>
      <c r="H814" s="58"/>
      <c r="I814" s="23"/>
      <c r="J814" s="24"/>
      <c r="M814" s="4"/>
      <c r="N814" s="76"/>
      <c r="O814" s="76"/>
      <c r="P814" s="76" t="str">
        <f t="shared" si="94"/>
        <v>,shikkan796_start_date</v>
      </c>
      <c r="Q814" s="76" t="str">
        <f t="shared" si="95"/>
        <v>DATE</v>
      </c>
      <c r="R814" s="76" t="str">
        <f t="shared" si="96"/>
        <v/>
      </c>
      <c r="S814" s="76" t="str">
        <f t="shared" si="97"/>
        <v/>
      </c>
      <c r="T814" s="76" t="str">
        <f t="shared" si="98"/>
        <v>-- K558_疾患開始日</v>
      </c>
      <c r="U814" s="4" t="str">
        <f t="shared" si="73"/>
        <v>, CASE WHEN shikkan_disp_name = 'K558' THEN min_shikkan_start_date ::DATE ELSE NULL END AS shikkan796_start_date</v>
      </c>
      <c r="V814" s="25" t="str">
        <f t="shared" si="74"/>
        <v>, max(shikkan796_start_date)</v>
      </c>
      <c r="AA814" s="4"/>
      <c r="AB814" s="4"/>
      <c r="AC814" s="4"/>
      <c r="AD814" s="4"/>
      <c r="AE814" s="4"/>
      <c r="AF814" s="4"/>
      <c r="AG814" s="4"/>
      <c r="AH814" s="4"/>
      <c r="AI814" s="4"/>
      <c r="AJ814" s="76" t="str">
        <f>IF(E814="○",IF(COUNTA(E$13:E814)=1,"",",")&amp;D814,"")</f>
        <v/>
      </c>
      <c r="AK814" s="4"/>
      <c r="AL814" s="4"/>
      <c r="AM814" s="4"/>
      <c r="AN814" s="4"/>
      <c r="AO814" s="4"/>
      <c r="AP814" s="4"/>
      <c r="AQ814" s="4"/>
      <c r="AR814" s="4"/>
      <c r="AS814" s="76" t="str">
        <f>"COMMENT ON COLUMN "&amp;エンティティ一覧!$O$2&amp;"."&amp;D$8&amp;"."&amp;D814&amp;" IS '"&amp;C814&amp;"';"</f>
        <v>COMMENT ON COLUMN milscm_2023_009.sny_202310_annony_bef2.shikkan796_start_date IS 'K558_疾患開始日';</v>
      </c>
    </row>
    <row r="815" spans="1:45" s="25" customFormat="1">
      <c r="A815" s="4" t="s">
        <v>5874</v>
      </c>
      <c r="B815" s="21">
        <f t="shared" si="93"/>
        <v>803</v>
      </c>
      <c r="C815" s="13" t="s">
        <v>7264</v>
      </c>
      <c r="D815" s="13" t="s">
        <v>6457</v>
      </c>
      <c r="E815" s="8"/>
      <c r="F815" s="7" t="s">
        <v>4348</v>
      </c>
      <c r="G815" s="7" t="s">
        <v>25</v>
      </c>
      <c r="H815" s="58"/>
      <c r="I815" s="23"/>
      <c r="J815" s="24"/>
      <c r="M815" s="4"/>
      <c r="N815" s="76"/>
      <c r="O815" s="76"/>
      <c r="P815" s="76" t="str">
        <f t="shared" si="94"/>
        <v>,shikkan797_start_date</v>
      </c>
      <c r="Q815" s="76" t="str">
        <f t="shared" si="95"/>
        <v>DATE</v>
      </c>
      <c r="R815" s="76" t="str">
        <f t="shared" si="96"/>
        <v/>
      </c>
      <c r="S815" s="76" t="str">
        <f t="shared" si="97"/>
        <v/>
      </c>
      <c r="T815" s="76" t="str">
        <f t="shared" si="98"/>
        <v>-- K559_疾患開始日</v>
      </c>
      <c r="U815" s="4" t="str">
        <f t="shared" si="73"/>
        <v>, CASE WHEN shikkan_disp_name = 'K559' THEN min_shikkan_start_date ::DATE ELSE NULL END AS shikkan797_start_date</v>
      </c>
      <c r="V815" s="25" t="str">
        <f t="shared" si="74"/>
        <v>, max(shikkan797_start_date)</v>
      </c>
      <c r="AA815" s="4"/>
      <c r="AB815" s="4"/>
      <c r="AC815" s="4"/>
      <c r="AD815" s="4"/>
      <c r="AE815" s="4"/>
      <c r="AF815" s="4"/>
      <c r="AG815" s="4"/>
      <c r="AH815" s="4"/>
      <c r="AI815" s="4"/>
      <c r="AJ815" s="76" t="str">
        <f>IF(E815="○",IF(COUNTA(E$13:E815)=1,"",",")&amp;D815,"")</f>
        <v/>
      </c>
      <c r="AK815" s="4"/>
      <c r="AL815" s="4"/>
      <c r="AM815" s="4"/>
      <c r="AN815" s="4"/>
      <c r="AO815" s="4"/>
      <c r="AP815" s="4"/>
      <c r="AQ815" s="4"/>
      <c r="AR815" s="4"/>
      <c r="AS815" s="76" t="str">
        <f>"COMMENT ON COLUMN "&amp;エンティティ一覧!$O$2&amp;"."&amp;D$8&amp;"."&amp;D815&amp;" IS '"&amp;C815&amp;"';"</f>
        <v>COMMENT ON COLUMN milscm_2023_009.sny_202310_annony_bef2.shikkan797_start_date IS 'K559_疾患開始日';</v>
      </c>
    </row>
    <row r="816" spans="1:45" s="25" customFormat="1">
      <c r="A816" s="4" t="s">
        <v>5072</v>
      </c>
      <c r="B816" s="21">
        <f t="shared" si="93"/>
        <v>804</v>
      </c>
      <c r="C816" s="13" t="s">
        <v>4682</v>
      </c>
      <c r="D816" s="13" t="s">
        <v>6458</v>
      </c>
      <c r="E816" s="8"/>
      <c r="F816" s="7" t="s">
        <v>4348</v>
      </c>
      <c r="G816" s="7" t="s">
        <v>25</v>
      </c>
      <c r="H816" s="58"/>
      <c r="I816" s="23"/>
      <c r="J816" s="24"/>
      <c r="M816" s="4"/>
      <c r="N816" s="76"/>
      <c r="O816" s="76"/>
      <c r="P816" s="76" t="str">
        <f t="shared" si="94"/>
        <v>,shikkan798_start_date</v>
      </c>
      <c r="Q816" s="76" t="str">
        <f t="shared" si="95"/>
        <v>DATE</v>
      </c>
      <c r="R816" s="76" t="str">
        <f t="shared" si="96"/>
        <v/>
      </c>
      <c r="S816" s="76" t="str">
        <f t="shared" si="97"/>
        <v/>
      </c>
      <c r="T816" s="76" t="str">
        <f t="shared" si="98"/>
        <v>-- K700_疾患開始日</v>
      </c>
      <c r="U816" s="4" t="str">
        <f t="shared" si="73"/>
        <v>, CASE WHEN shikkan_disp_name = 'K700' THEN min_shikkan_start_date ::DATE ELSE NULL END AS shikkan798_start_date</v>
      </c>
      <c r="V816" s="25" t="str">
        <f t="shared" si="74"/>
        <v>, max(shikkan798_start_date)</v>
      </c>
      <c r="AA816" s="4"/>
      <c r="AB816" s="4"/>
      <c r="AC816" s="4"/>
      <c r="AD816" s="4"/>
      <c r="AE816" s="4"/>
      <c r="AF816" s="4"/>
      <c r="AG816" s="4"/>
      <c r="AH816" s="4"/>
      <c r="AI816" s="4"/>
      <c r="AJ816" s="76" t="str">
        <f>IF(E816="○",IF(COUNTA(E$13:E816)=1,"",",")&amp;D816,"")</f>
        <v/>
      </c>
      <c r="AK816" s="4"/>
      <c r="AL816" s="4"/>
      <c r="AM816" s="4"/>
      <c r="AN816" s="4"/>
      <c r="AO816" s="4"/>
      <c r="AP816" s="4"/>
      <c r="AQ816" s="4"/>
      <c r="AR816" s="4"/>
      <c r="AS816" s="76" t="str">
        <f>"COMMENT ON COLUMN "&amp;エンティティ一覧!$O$2&amp;"."&amp;D$8&amp;"."&amp;D816&amp;" IS '"&amp;C816&amp;"';"</f>
        <v>COMMENT ON COLUMN milscm_2023_009.sny_202310_annony_bef2.shikkan798_start_date IS 'K700_疾患開始日';</v>
      </c>
    </row>
    <row r="817" spans="1:45" s="25" customFormat="1">
      <c r="A817" s="4" t="s">
        <v>5073</v>
      </c>
      <c r="B817" s="21">
        <f t="shared" si="93"/>
        <v>805</v>
      </c>
      <c r="C817" s="13" t="s">
        <v>4683</v>
      </c>
      <c r="D817" s="13" t="s">
        <v>6459</v>
      </c>
      <c r="E817" s="8"/>
      <c r="F817" s="7" t="s">
        <v>4348</v>
      </c>
      <c r="G817" s="7" t="s">
        <v>99</v>
      </c>
      <c r="H817" s="58"/>
      <c r="I817" s="23"/>
      <c r="J817" s="24"/>
      <c r="M817" s="4"/>
      <c r="N817" s="76"/>
      <c r="O817" s="76"/>
      <c r="P817" s="76" t="str">
        <f t="shared" si="94"/>
        <v>,shikkan799_start_date</v>
      </c>
      <c r="Q817" s="76" t="str">
        <f t="shared" si="95"/>
        <v>DATE</v>
      </c>
      <c r="R817" s="76" t="str">
        <f t="shared" si="96"/>
        <v/>
      </c>
      <c r="S817" s="76" t="str">
        <f t="shared" si="97"/>
        <v/>
      </c>
      <c r="T817" s="76" t="str">
        <f t="shared" si="98"/>
        <v>-- K701_疾患開始日</v>
      </c>
      <c r="U817" s="4" t="str">
        <f t="shared" si="73"/>
        <v>, CASE WHEN shikkan_disp_name = 'K701' THEN min_shikkan_start_date ::DATE ELSE NULL END AS shikkan799_start_date</v>
      </c>
      <c r="V817" s="25" t="str">
        <f t="shared" si="74"/>
        <v>, max(shikkan799_start_date)</v>
      </c>
      <c r="AA817" s="4"/>
      <c r="AB817" s="4"/>
      <c r="AC817" s="4"/>
      <c r="AD817" s="4"/>
      <c r="AE817" s="4"/>
      <c r="AF817" s="4"/>
      <c r="AG817" s="4"/>
      <c r="AH817" s="4"/>
      <c r="AI817" s="4"/>
      <c r="AJ817" s="76" t="str">
        <f>IF(E817="○",IF(COUNTA(E$13:E817)=1,"",",")&amp;D817,"")</f>
        <v/>
      </c>
      <c r="AK817" s="4"/>
      <c r="AL817" s="4"/>
      <c r="AM817" s="4"/>
      <c r="AN817" s="4"/>
      <c r="AO817" s="4"/>
      <c r="AP817" s="4"/>
      <c r="AQ817" s="4"/>
      <c r="AR817" s="4"/>
      <c r="AS817" s="76" t="str">
        <f>"COMMENT ON COLUMN "&amp;エンティティ一覧!$O$2&amp;"."&amp;D$8&amp;"."&amp;D817&amp;" IS '"&amp;C817&amp;"';"</f>
        <v>COMMENT ON COLUMN milscm_2023_009.sny_202310_annony_bef2.shikkan799_start_date IS 'K701_疾患開始日';</v>
      </c>
    </row>
    <row r="818" spans="1:45" s="25" customFormat="1">
      <c r="A818" s="4" t="s">
        <v>5074</v>
      </c>
      <c r="B818" s="21">
        <f t="shared" si="93"/>
        <v>806</v>
      </c>
      <c r="C818" s="13" t="s">
        <v>4684</v>
      </c>
      <c r="D818" s="13" t="s">
        <v>6460</v>
      </c>
      <c r="E818" s="8"/>
      <c r="F818" s="7" t="s">
        <v>4348</v>
      </c>
      <c r="G818" s="7" t="s">
        <v>25</v>
      </c>
      <c r="H818" s="58"/>
      <c r="I818" s="23"/>
      <c r="J818" s="24"/>
      <c r="M818" s="4"/>
      <c r="N818" s="76"/>
      <c r="O818" s="76"/>
      <c r="P818" s="76" t="str">
        <f t="shared" si="94"/>
        <v>,shikkan800_start_date</v>
      </c>
      <c r="Q818" s="76" t="str">
        <f t="shared" si="95"/>
        <v>DATE</v>
      </c>
      <c r="R818" s="76" t="str">
        <f t="shared" si="96"/>
        <v/>
      </c>
      <c r="S818" s="76" t="str">
        <f t="shared" si="97"/>
        <v/>
      </c>
      <c r="T818" s="76" t="str">
        <f t="shared" si="98"/>
        <v>-- K702_疾患開始日</v>
      </c>
      <c r="U818" s="4" t="str">
        <f t="shared" si="73"/>
        <v>, CASE WHEN shikkan_disp_name = 'K702' THEN min_shikkan_start_date ::DATE ELSE NULL END AS shikkan800_start_date</v>
      </c>
      <c r="V818" s="25" t="str">
        <f t="shared" si="74"/>
        <v>, max(shikkan800_start_date)</v>
      </c>
      <c r="AA818" s="4"/>
      <c r="AB818" s="4"/>
      <c r="AC818" s="4"/>
      <c r="AD818" s="4"/>
      <c r="AE818" s="4"/>
      <c r="AF818" s="4"/>
      <c r="AG818" s="4"/>
      <c r="AH818" s="4"/>
      <c r="AI818" s="4"/>
      <c r="AJ818" s="76" t="str">
        <f>IF(E818="○",IF(COUNTA(E$13:E818)=1,"",",")&amp;D818,"")</f>
        <v/>
      </c>
      <c r="AK818" s="4"/>
      <c r="AL818" s="4"/>
      <c r="AM818" s="4"/>
      <c r="AN818" s="4"/>
      <c r="AO818" s="4"/>
      <c r="AP818" s="4"/>
      <c r="AQ818" s="4"/>
      <c r="AR818" s="4"/>
      <c r="AS818" s="76" t="str">
        <f>"COMMENT ON COLUMN "&amp;エンティティ一覧!$O$2&amp;"."&amp;D$8&amp;"."&amp;D818&amp;" IS '"&amp;C818&amp;"';"</f>
        <v>COMMENT ON COLUMN milscm_2023_009.sny_202310_annony_bef2.shikkan800_start_date IS 'K702_疾患開始日';</v>
      </c>
    </row>
    <row r="819" spans="1:45" s="25" customFormat="1">
      <c r="A819" s="4" t="s">
        <v>5075</v>
      </c>
      <c r="B819" s="21">
        <f t="shared" si="93"/>
        <v>807</v>
      </c>
      <c r="C819" s="13" t="s">
        <v>4685</v>
      </c>
      <c r="D819" s="13" t="s">
        <v>6461</v>
      </c>
      <c r="E819" s="8"/>
      <c r="F819" s="7" t="s">
        <v>4348</v>
      </c>
      <c r="G819" s="7" t="s">
        <v>25</v>
      </c>
      <c r="H819" s="58"/>
      <c r="I819" s="23"/>
      <c r="J819" s="24"/>
      <c r="M819" s="4"/>
      <c r="N819" s="76"/>
      <c r="O819" s="76"/>
      <c r="P819" s="76" t="str">
        <f t="shared" si="94"/>
        <v>,shikkan801_start_date</v>
      </c>
      <c r="Q819" s="76" t="str">
        <f t="shared" si="95"/>
        <v>DATE</v>
      </c>
      <c r="R819" s="76" t="str">
        <f t="shared" si="96"/>
        <v/>
      </c>
      <c r="S819" s="76" t="str">
        <f t="shared" si="97"/>
        <v/>
      </c>
      <c r="T819" s="76" t="str">
        <f t="shared" si="98"/>
        <v>-- K703_疾患開始日</v>
      </c>
      <c r="U819" s="4" t="str">
        <f t="shared" si="73"/>
        <v>, CASE WHEN shikkan_disp_name = 'K703' THEN min_shikkan_start_date ::DATE ELSE NULL END AS shikkan801_start_date</v>
      </c>
      <c r="V819" s="25" t="str">
        <f t="shared" si="74"/>
        <v>, max(shikkan801_start_date)</v>
      </c>
      <c r="AA819" s="4"/>
      <c r="AB819" s="4"/>
      <c r="AC819" s="4"/>
      <c r="AD819" s="4"/>
      <c r="AE819" s="4"/>
      <c r="AF819" s="4"/>
      <c r="AG819" s="4"/>
      <c r="AH819" s="4"/>
      <c r="AI819" s="4"/>
      <c r="AJ819" s="76" t="str">
        <f>IF(E819="○",IF(COUNTA(E$13:E819)=1,"",",")&amp;D819,"")</f>
        <v/>
      </c>
      <c r="AK819" s="4"/>
      <c r="AL819" s="4"/>
      <c r="AM819" s="4"/>
      <c r="AN819" s="4"/>
      <c r="AO819" s="4"/>
      <c r="AP819" s="4"/>
      <c r="AQ819" s="4"/>
      <c r="AR819" s="4"/>
      <c r="AS819" s="76" t="str">
        <f>"COMMENT ON COLUMN "&amp;エンティティ一覧!$O$2&amp;"."&amp;D$8&amp;"."&amp;D819&amp;" IS '"&amp;C819&amp;"';"</f>
        <v>COMMENT ON COLUMN milscm_2023_009.sny_202310_annony_bef2.shikkan801_start_date IS 'K703_疾患開始日';</v>
      </c>
    </row>
    <row r="820" spans="1:45" s="25" customFormat="1">
      <c r="A820" s="4" t="s">
        <v>5875</v>
      </c>
      <c r="B820" s="21">
        <f t="shared" si="93"/>
        <v>808</v>
      </c>
      <c r="C820" s="13" t="s">
        <v>7265</v>
      </c>
      <c r="D820" s="13" t="s">
        <v>6462</v>
      </c>
      <c r="E820" s="8"/>
      <c r="F820" s="7" t="s">
        <v>4348</v>
      </c>
      <c r="G820" s="7" t="s">
        <v>25</v>
      </c>
      <c r="H820" s="58"/>
      <c r="I820" s="23"/>
      <c r="J820" s="24"/>
      <c r="M820" s="4"/>
      <c r="N820" s="76"/>
      <c r="O820" s="76"/>
      <c r="P820" s="76" t="str">
        <f t="shared" si="94"/>
        <v>,shikkan802_start_date</v>
      </c>
      <c r="Q820" s="76" t="str">
        <f t="shared" si="95"/>
        <v>DATE</v>
      </c>
      <c r="R820" s="76" t="str">
        <f t="shared" si="96"/>
        <v/>
      </c>
      <c r="S820" s="76" t="str">
        <f t="shared" si="97"/>
        <v/>
      </c>
      <c r="T820" s="76" t="str">
        <f t="shared" si="98"/>
        <v>-- K704_疾患開始日</v>
      </c>
      <c r="U820" s="4" t="str">
        <f t="shared" si="73"/>
        <v>, CASE WHEN shikkan_disp_name = 'K704' THEN min_shikkan_start_date ::DATE ELSE NULL END AS shikkan802_start_date</v>
      </c>
      <c r="V820" s="25" t="str">
        <f t="shared" si="74"/>
        <v>, max(shikkan802_start_date)</v>
      </c>
      <c r="AA820" s="4"/>
      <c r="AB820" s="4"/>
      <c r="AC820" s="4"/>
      <c r="AD820" s="4"/>
      <c r="AE820" s="4"/>
      <c r="AF820" s="4"/>
      <c r="AG820" s="4"/>
      <c r="AH820" s="4"/>
      <c r="AI820" s="4"/>
      <c r="AJ820" s="76" t="str">
        <f>IF(E820="○",IF(COUNTA(E$13:E820)=1,"",",")&amp;D820,"")</f>
        <v/>
      </c>
      <c r="AK820" s="4"/>
      <c r="AL820" s="4"/>
      <c r="AM820" s="4"/>
      <c r="AN820" s="4"/>
      <c r="AO820" s="4"/>
      <c r="AP820" s="4"/>
      <c r="AQ820" s="4"/>
      <c r="AR820" s="4"/>
      <c r="AS820" s="76" t="str">
        <f>"COMMENT ON COLUMN "&amp;エンティティ一覧!$O$2&amp;"."&amp;D$8&amp;"."&amp;D820&amp;" IS '"&amp;C820&amp;"';"</f>
        <v>COMMENT ON COLUMN milscm_2023_009.sny_202310_annony_bef2.shikkan802_start_date IS 'K704_疾患開始日';</v>
      </c>
    </row>
    <row r="821" spans="1:45" s="25" customFormat="1">
      <c r="A821" s="4" t="s">
        <v>5076</v>
      </c>
      <c r="B821" s="21">
        <f t="shared" si="93"/>
        <v>809</v>
      </c>
      <c r="C821" s="13" t="s">
        <v>4686</v>
      </c>
      <c r="D821" s="13" t="s">
        <v>6463</v>
      </c>
      <c r="E821" s="8"/>
      <c r="F821" s="7" t="s">
        <v>4348</v>
      </c>
      <c r="G821" s="7" t="s">
        <v>25</v>
      </c>
      <c r="H821" s="58"/>
      <c r="I821" s="23"/>
      <c r="J821" s="24"/>
      <c r="M821" s="4"/>
      <c r="N821" s="76"/>
      <c r="O821" s="76"/>
      <c r="P821" s="76" t="str">
        <f t="shared" si="94"/>
        <v>,shikkan803_start_date</v>
      </c>
      <c r="Q821" s="76" t="str">
        <f t="shared" si="95"/>
        <v>DATE</v>
      </c>
      <c r="R821" s="76" t="str">
        <f t="shared" si="96"/>
        <v/>
      </c>
      <c r="S821" s="76" t="str">
        <f t="shared" si="97"/>
        <v/>
      </c>
      <c r="T821" s="76" t="str">
        <f t="shared" si="98"/>
        <v>-- K709_疾患開始日</v>
      </c>
      <c r="U821" s="4" t="str">
        <f t="shared" si="73"/>
        <v>, CASE WHEN shikkan_disp_name = 'K709' THEN min_shikkan_start_date ::DATE ELSE NULL END AS shikkan803_start_date</v>
      </c>
      <c r="V821" s="25" t="str">
        <f t="shared" si="74"/>
        <v>, max(shikkan803_start_date)</v>
      </c>
      <c r="AA821" s="4"/>
      <c r="AB821" s="4"/>
      <c r="AC821" s="4"/>
      <c r="AD821" s="4"/>
      <c r="AE821" s="4"/>
      <c r="AF821" s="4"/>
      <c r="AG821" s="4"/>
      <c r="AH821" s="4"/>
      <c r="AI821" s="4"/>
      <c r="AJ821" s="76" t="str">
        <f>IF(E821="○",IF(COUNTA(E$13:E821)=1,"",",")&amp;D821,"")</f>
        <v/>
      </c>
      <c r="AK821" s="4"/>
      <c r="AL821" s="4"/>
      <c r="AM821" s="4"/>
      <c r="AN821" s="4"/>
      <c r="AO821" s="4"/>
      <c r="AP821" s="4"/>
      <c r="AQ821" s="4"/>
      <c r="AR821" s="4"/>
      <c r="AS821" s="76" t="str">
        <f>"COMMENT ON COLUMN "&amp;エンティティ一覧!$O$2&amp;"."&amp;D$8&amp;"."&amp;D821&amp;" IS '"&amp;C821&amp;"';"</f>
        <v>COMMENT ON COLUMN milscm_2023_009.sny_202310_annony_bef2.shikkan803_start_date IS 'K709_疾患開始日';</v>
      </c>
    </row>
    <row r="822" spans="1:45" s="25" customFormat="1">
      <c r="A822" s="4" t="s">
        <v>5876</v>
      </c>
      <c r="B822" s="21">
        <f t="shared" si="93"/>
        <v>810</v>
      </c>
      <c r="C822" s="13" t="s">
        <v>7266</v>
      </c>
      <c r="D822" s="13" t="s">
        <v>6464</v>
      </c>
      <c r="E822" s="8"/>
      <c r="F822" s="7" t="s">
        <v>4348</v>
      </c>
      <c r="G822" s="7" t="s">
        <v>25</v>
      </c>
      <c r="H822" s="58"/>
      <c r="I822" s="23"/>
      <c r="J822" s="24"/>
      <c r="M822" s="4"/>
      <c r="N822" s="76"/>
      <c r="O822" s="76"/>
      <c r="P822" s="76" t="str">
        <f t="shared" si="94"/>
        <v>,shikkan804_start_date</v>
      </c>
      <c r="Q822" s="76" t="str">
        <f t="shared" si="95"/>
        <v>DATE</v>
      </c>
      <c r="R822" s="76" t="str">
        <f t="shared" si="96"/>
        <v/>
      </c>
      <c r="S822" s="76" t="str">
        <f t="shared" si="97"/>
        <v/>
      </c>
      <c r="T822" s="76" t="str">
        <f t="shared" si="98"/>
        <v>-- K711_疾患開始日</v>
      </c>
      <c r="U822" s="4" t="str">
        <f t="shared" si="73"/>
        <v>, CASE WHEN shikkan_disp_name = 'K711' THEN min_shikkan_start_date ::DATE ELSE NULL END AS shikkan804_start_date</v>
      </c>
      <c r="V822" s="25" t="str">
        <f t="shared" si="74"/>
        <v>, max(shikkan804_start_date)</v>
      </c>
      <c r="AA822" s="4"/>
      <c r="AB822" s="4"/>
      <c r="AC822" s="4"/>
      <c r="AD822" s="4"/>
      <c r="AE822" s="4"/>
      <c r="AF822" s="4"/>
      <c r="AG822" s="4"/>
      <c r="AH822" s="4"/>
      <c r="AI822" s="4"/>
      <c r="AJ822" s="76" t="str">
        <f>IF(E822="○",IF(COUNTA(E$13:E822)=1,"",",")&amp;D822,"")</f>
        <v/>
      </c>
      <c r="AK822" s="4"/>
      <c r="AL822" s="4"/>
      <c r="AM822" s="4"/>
      <c r="AN822" s="4"/>
      <c r="AO822" s="4"/>
      <c r="AP822" s="4"/>
      <c r="AQ822" s="4"/>
      <c r="AR822" s="4"/>
      <c r="AS822" s="76" t="str">
        <f>"COMMENT ON COLUMN "&amp;エンティティ一覧!$O$2&amp;"."&amp;D$8&amp;"."&amp;D822&amp;" IS '"&amp;C822&amp;"';"</f>
        <v>COMMENT ON COLUMN milscm_2023_009.sny_202310_annony_bef2.shikkan804_start_date IS 'K711_疾患開始日';</v>
      </c>
    </row>
    <row r="823" spans="1:45" s="25" customFormat="1">
      <c r="A823" s="4" t="s">
        <v>5077</v>
      </c>
      <c r="B823" s="21">
        <f t="shared" si="93"/>
        <v>811</v>
      </c>
      <c r="C823" s="13" t="s">
        <v>4687</v>
      </c>
      <c r="D823" s="13" t="s">
        <v>6465</v>
      </c>
      <c r="E823" s="8"/>
      <c r="F823" s="7" t="s">
        <v>4348</v>
      </c>
      <c r="G823" s="7" t="s">
        <v>25</v>
      </c>
      <c r="H823" s="58"/>
      <c r="I823" s="23"/>
      <c r="J823" s="24"/>
      <c r="M823" s="4"/>
      <c r="N823" s="76"/>
      <c r="O823" s="76"/>
      <c r="P823" s="76" t="str">
        <f t="shared" si="94"/>
        <v>,shikkan805_start_date</v>
      </c>
      <c r="Q823" s="76" t="str">
        <f t="shared" si="95"/>
        <v>DATE</v>
      </c>
      <c r="R823" s="76" t="str">
        <f t="shared" si="96"/>
        <v/>
      </c>
      <c r="S823" s="76" t="str">
        <f t="shared" si="97"/>
        <v/>
      </c>
      <c r="T823" s="76" t="str">
        <f t="shared" si="98"/>
        <v>-- K713_疾患開始日</v>
      </c>
      <c r="U823" s="4" t="str">
        <f t="shared" si="73"/>
        <v>, CASE WHEN shikkan_disp_name = 'K713' THEN min_shikkan_start_date ::DATE ELSE NULL END AS shikkan805_start_date</v>
      </c>
      <c r="V823" s="25" t="str">
        <f t="shared" si="74"/>
        <v>, max(shikkan805_start_date)</v>
      </c>
      <c r="AA823" s="4"/>
      <c r="AB823" s="4"/>
      <c r="AC823" s="4"/>
      <c r="AD823" s="4"/>
      <c r="AE823" s="4"/>
      <c r="AF823" s="4"/>
      <c r="AG823" s="4"/>
      <c r="AH823" s="4"/>
      <c r="AI823" s="4"/>
      <c r="AJ823" s="76" t="str">
        <f>IF(E823="○",IF(COUNTA(E$13:E823)=1,"",",")&amp;D823,"")</f>
        <v/>
      </c>
      <c r="AK823" s="4"/>
      <c r="AL823" s="4"/>
      <c r="AM823" s="4"/>
      <c r="AN823" s="4"/>
      <c r="AO823" s="4"/>
      <c r="AP823" s="4"/>
      <c r="AQ823" s="4"/>
      <c r="AR823" s="4"/>
      <c r="AS823" s="76" t="str">
        <f>"COMMENT ON COLUMN "&amp;エンティティ一覧!$O$2&amp;"."&amp;D$8&amp;"."&amp;D823&amp;" IS '"&amp;C823&amp;"';"</f>
        <v>COMMENT ON COLUMN milscm_2023_009.sny_202310_annony_bef2.shikkan805_start_date IS 'K713_疾患開始日';</v>
      </c>
    </row>
    <row r="824" spans="1:45" s="25" customFormat="1">
      <c r="A824" s="4" t="s">
        <v>5078</v>
      </c>
      <c r="B824" s="21">
        <f t="shared" si="93"/>
        <v>812</v>
      </c>
      <c r="C824" s="13" t="s">
        <v>4688</v>
      </c>
      <c r="D824" s="13" t="s">
        <v>6466</v>
      </c>
      <c r="E824" s="8"/>
      <c r="F824" s="7" t="s">
        <v>4348</v>
      </c>
      <c r="G824" s="7" t="s">
        <v>25</v>
      </c>
      <c r="H824" s="58"/>
      <c r="I824" s="23"/>
      <c r="J824" s="24"/>
      <c r="M824" s="4"/>
      <c r="N824" s="76"/>
      <c r="O824" s="76"/>
      <c r="P824" s="76" t="str">
        <f t="shared" si="94"/>
        <v>,shikkan806_start_date</v>
      </c>
      <c r="Q824" s="76" t="str">
        <f t="shared" si="95"/>
        <v>DATE</v>
      </c>
      <c r="R824" s="76" t="str">
        <f t="shared" si="96"/>
        <v/>
      </c>
      <c r="S824" s="76" t="str">
        <f t="shared" si="97"/>
        <v/>
      </c>
      <c r="T824" s="76" t="str">
        <f t="shared" si="98"/>
        <v>-- K714_疾患開始日</v>
      </c>
      <c r="U824" s="4" t="str">
        <f t="shared" si="73"/>
        <v>, CASE WHEN shikkan_disp_name = 'K714' THEN min_shikkan_start_date ::DATE ELSE NULL END AS shikkan806_start_date</v>
      </c>
      <c r="V824" s="25" t="str">
        <f t="shared" si="74"/>
        <v>, max(shikkan806_start_date)</v>
      </c>
      <c r="AA824" s="4"/>
      <c r="AB824" s="4"/>
      <c r="AC824" s="4"/>
      <c r="AD824" s="4"/>
      <c r="AE824" s="4"/>
      <c r="AF824" s="4"/>
      <c r="AG824" s="4"/>
      <c r="AH824" s="4"/>
      <c r="AI824" s="4"/>
      <c r="AJ824" s="76" t="str">
        <f>IF(E824="○",IF(COUNTA(E$13:E824)=1,"",",")&amp;D824,"")</f>
        <v/>
      </c>
      <c r="AK824" s="4"/>
      <c r="AL824" s="4"/>
      <c r="AM824" s="4"/>
      <c r="AN824" s="4"/>
      <c r="AO824" s="4"/>
      <c r="AP824" s="4"/>
      <c r="AQ824" s="4"/>
      <c r="AR824" s="4"/>
      <c r="AS824" s="76" t="str">
        <f>"COMMENT ON COLUMN "&amp;エンティティ一覧!$O$2&amp;"."&amp;D$8&amp;"."&amp;D824&amp;" IS '"&amp;C824&amp;"';"</f>
        <v>COMMENT ON COLUMN milscm_2023_009.sny_202310_annony_bef2.shikkan806_start_date IS 'K714_疾患開始日';</v>
      </c>
    </row>
    <row r="825" spans="1:45" s="25" customFormat="1">
      <c r="A825" s="4" t="s">
        <v>5079</v>
      </c>
      <c r="B825" s="21">
        <f t="shared" si="93"/>
        <v>813</v>
      </c>
      <c r="C825" s="13" t="s">
        <v>4689</v>
      </c>
      <c r="D825" s="13" t="s">
        <v>6467</v>
      </c>
      <c r="E825" s="8"/>
      <c r="F825" s="7" t="s">
        <v>4348</v>
      </c>
      <c r="G825" s="7" t="s">
        <v>25</v>
      </c>
      <c r="H825" s="58"/>
      <c r="I825" s="23"/>
      <c r="J825" s="24"/>
      <c r="M825" s="4"/>
      <c r="N825" s="76"/>
      <c r="O825" s="76"/>
      <c r="P825" s="76" t="str">
        <f t="shared" si="94"/>
        <v>,shikkan807_start_date</v>
      </c>
      <c r="Q825" s="76" t="str">
        <f t="shared" si="95"/>
        <v>DATE</v>
      </c>
      <c r="R825" s="76" t="str">
        <f t="shared" si="96"/>
        <v/>
      </c>
      <c r="S825" s="76" t="str">
        <f t="shared" si="97"/>
        <v/>
      </c>
      <c r="T825" s="76" t="str">
        <f t="shared" si="98"/>
        <v>-- K715_疾患開始日</v>
      </c>
      <c r="U825" s="4" t="str">
        <f t="shared" si="73"/>
        <v>, CASE WHEN shikkan_disp_name = 'K715' THEN min_shikkan_start_date ::DATE ELSE NULL END AS shikkan807_start_date</v>
      </c>
      <c r="V825" s="25" t="str">
        <f t="shared" si="74"/>
        <v>, max(shikkan807_start_date)</v>
      </c>
      <c r="AA825" s="4"/>
      <c r="AB825" s="4"/>
      <c r="AC825" s="4"/>
      <c r="AD825" s="4"/>
      <c r="AE825" s="4"/>
      <c r="AF825" s="4"/>
      <c r="AG825" s="4"/>
      <c r="AH825" s="4"/>
      <c r="AI825" s="4"/>
      <c r="AJ825" s="76" t="str">
        <f>IF(E825="○",IF(COUNTA(E$13:E825)=1,"",",")&amp;D825,"")</f>
        <v/>
      </c>
      <c r="AK825" s="4"/>
      <c r="AL825" s="4"/>
      <c r="AM825" s="4"/>
      <c r="AN825" s="4"/>
      <c r="AO825" s="4"/>
      <c r="AP825" s="4"/>
      <c r="AQ825" s="4"/>
      <c r="AR825" s="4"/>
      <c r="AS825" s="76" t="str">
        <f>"COMMENT ON COLUMN "&amp;エンティティ一覧!$O$2&amp;"."&amp;D$8&amp;"."&amp;D825&amp;" IS '"&amp;C825&amp;"';"</f>
        <v>COMMENT ON COLUMN milscm_2023_009.sny_202310_annony_bef2.shikkan807_start_date IS 'K715_疾患開始日';</v>
      </c>
    </row>
    <row r="826" spans="1:45" s="25" customFormat="1">
      <c r="A826" s="4" t="s">
        <v>5080</v>
      </c>
      <c r="B826" s="21">
        <f t="shared" si="93"/>
        <v>814</v>
      </c>
      <c r="C826" s="13" t="s">
        <v>4690</v>
      </c>
      <c r="D826" s="13" t="s">
        <v>6468</v>
      </c>
      <c r="E826" s="8"/>
      <c r="F826" s="7" t="s">
        <v>4348</v>
      </c>
      <c r="G826" s="7" t="s">
        <v>25</v>
      </c>
      <c r="H826" s="58"/>
      <c r="I826" s="23"/>
      <c r="J826" s="24"/>
      <c r="M826" s="4"/>
      <c r="N826" s="76"/>
      <c r="O826" s="76"/>
      <c r="P826" s="76" t="str">
        <f t="shared" si="94"/>
        <v>,shikkan808_start_date</v>
      </c>
      <c r="Q826" s="76" t="str">
        <f t="shared" si="95"/>
        <v>DATE</v>
      </c>
      <c r="R826" s="76" t="str">
        <f t="shared" si="96"/>
        <v/>
      </c>
      <c r="S826" s="76" t="str">
        <f t="shared" si="97"/>
        <v/>
      </c>
      <c r="T826" s="76" t="str">
        <f t="shared" si="98"/>
        <v>-- K717_疾患開始日</v>
      </c>
      <c r="U826" s="4" t="str">
        <f t="shared" si="73"/>
        <v>, CASE WHEN shikkan_disp_name = 'K717' THEN min_shikkan_start_date ::DATE ELSE NULL END AS shikkan808_start_date</v>
      </c>
      <c r="V826" s="25" t="str">
        <f t="shared" si="74"/>
        <v>, max(shikkan808_start_date)</v>
      </c>
      <c r="AA826" s="4"/>
      <c r="AB826" s="4"/>
      <c r="AC826" s="4"/>
      <c r="AD826" s="4"/>
      <c r="AE826" s="4"/>
      <c r="AF826" s="4"/>
      <c r="AG826" s="4"/>
      <c r="AH826" s="4"/>
      <c r="AI826" s="4"/>
      <c r="AJ826" s="76" t="str">
        <f>IF(E826="○",IF(COUNTA(E$13:E826)=1,"",",")&amp;D826,"")</f>
        <v/>
      </c>
      <c r="AK826" s="4"/>
      <c r="AL826" s="4"/>
      <c r="AM826" s="4"/>
      <c r="AN826" s="4"/>
      <c r="AO826" s="4"/>
      <c r="AP826" s="4"/>
      <c r="AQ826" s="4"/>
      <c r="AR826" s="4"/>
      <c r="AS826" s="76" t="str">
        <f>"COMMENT ON COLUMN "&amp;エンティティ一覧!$O$2&amp;"."&amp;D$8&amp;"."&amp;D826&amp;" IS '"&amp;C826&amp;"';"</f>
        <v>COMMENT ON COLUMN milscm_2023_009.sny_202310_annony_bef2.shikkan808_start_date IS 'K717_疾患開始日';</v>
      </c>
    </row>
    <row r="827" spans="1:45" s="25" customFormat="1">
      <c r="A827" s="4" t="s">
        <v>5877</v>
      </c>
      <c r="B827" s="21">
        <f t="shared" si="93"/>
        <v>815</v>
      </c>
      <c r="C827" s="13" t="s">
        <v>7267</v>
      </c>
      <c r="D827" s="13" t="s">
        <v>6469</v>
      </c>
      <c r="E827" s="8"/>
      <c r="F827" s="7" t="s">
        <v>4348</v>
      </c>
      <c r="G827" s="7" t="s">
        <v>25</v>
      </c>
      <c r="H827" s="58"/>
      <c r="I827" s="23"/>
      <c r="J827" s="24"/>
      <c r="M827" s="4"/>
      <c r="N827" s="76"/>
      <c r="O827" s="76"/>
      <c r="P827" s="76" t="str">
        <f t="shared" si="94"/>
        <v>,shikkan809_start_date</v>
      </c>
      <c r="Q827" s="76" t="str">
        <f t="shared" si="95"/>
        <v>DATE</v>
      </c>
      <c r="R827" s="76" t="str">
        <f t="shared" si="96"/>
        <v/>
      </c>
      <c r="S827" s="76" t="str">
        <f t="shared" si="97"/>
        <v/>
      </c>
      <c r="T827" s="76" t="str">
        <f t="shared" si="98"/>
        <v>-- K721_疾患開始日</v>
      </c>
      <c r="U827" s="4" t="str">
        <f t="shared" si="73"/>
        <v>, CASE WHEN shikkan_disp_name = 'K721' THEN min_shikkan_start_date ::DATE ELSE NULL END AS shikkan809_start_date</v>
      </c>
      <c r="V827" s="25" t="str">
        <f t="shared" si="74"/>
        <v>, max(shikkan809_start_date)</v>
      </c>
      <c r="AA827" s="4"/>
      <c r="AB827" s="4"/>
      <c r="AC827" s="4"/>
      <c r="AD827" s="4"/>
      <c r="AE827" s="4"/>
      <c r="AF827" s="4"/>
      <c r="AG827" s="4"/>
      <c r="AH827" s="4"/>
      <c r="AI827" s="4"/>
      <c r="AJ827" s="76" t="str">
        <f>IF(E827="○",IF(COUNTA(E$13:E827)=1,"",",")&amp;D827,"")</f>
        <v/>
      </c>
      <c r="AK827" s="4"/>
      <c r="AL827" s="4"/>
      <c r="AM827" s="4"/>
      <c r="AN827" s="4"/>
      <c r="AO827" s="4"/>
      <c r="AP827" s="4"/>
      <c r="AQ827" s="4"/>
      <c r="AR827" s="4"/>
      <c r="AS827" s="76" t="str">
        <f>"COMMENT ON COLUMN "&amp;エンティティ一覧!$O$2&amp;"."&amp;D$8&amp;"."&amp;D827&amp;" IS '"&amp;C827&amp;"';"</f>
        <v>COMMENT ON COLUMN milscm_2023_009.sny_202310_annony_bef2.shikkan809_start_date IS 'K721_疾患開始日';</v>
      </c>
    </row>
    <row r="828" spans="1:45" s="25" customFormat="1">
      <c r="A828" s="4" t="s">
        <v>5878</v>
      </c>
      <c r="B828" s="21">
        <f t="shared" si="93"/>
        <v>816</v>
      </c>
      <c r="C828" s="13" t="s">
        <v>7268</v>
      </c>
      <c r="D828" s="13" t="s">
        <v>6470</v>
      </c>
      <c r="E828" s="8"/>
      <c r="F828" s="7" t="s">
        <v>4348</v>
      </c>
      <c r="G828" s="7" t="s">
        <v>25</v>
      </c>
      <c r="H828" s="58"/>
      <c r="I828" s="23"/>
      <c r="J828" s="24"/>
      <c r="M828" s="4"/>
      <c r="N828" s="76"/>
      <c r="O828" s="76"/>
      <c r="P828" s="76" t="str">
        <f t="shared" si="94"/>
        <v>,shikkan810_start_date</v>
      </c>
      <c r="Q828" s="76" t="str">
        <f t="shared" si="95"/>
        <v>DATE</v>
      </c>
      <c r="R828" s="76" t="str">
        <f t="shared" si="96"/>
        <v/>
      </c>
      <c r="S828" s="76" t="str">
        <f t="shared" si="97"/>
        <v/>
      </c>
      <c r="T828" s="76" t="str">
        <f t="shared" si="98"/>
        <v>-- K729_疾患開始日</v>
      </c>
      <c r="U828" s="4" t="str">
        <f t="shared" si="73"/>
        <v>, CASE WHEN shikkan_disp_name = 'K729' THEN min_shikkan_start_date ::DATE ELSE NULL END AS shikkan810_start_date</v>
      </c>
      <c r="V828" s="25" t="str">
        <f t="shared" si="74"/>
        <v>, max(shikkan810_start_date)</v>
      </c>
      <c r="AA828" s="4"/>
      <c r="AB828" s="4"/>
      <c r="AC828" s="4"/>
      <c r="AD828" s="4"/>
      <c r="AE828" s="4"/>
      <c r="AF828" s="4"/>
      <c r="AG828" s="4"/>
      <c r="AH828" s="4"/>
      <c r="AI828" s="4"/>
      <c r="AJ828" s="76" t="str">
        <f>IF(E828="○",IF(COUNTA(E$13:E828)=1,"",",")&amp;D828,"")</f>
        <v/>
      </c>
      <c r="AK828" s="4"/>
      <c r="AL828" s="4"/>
      <c r="AM828" s="4"/>
      <c r="AN828" s="4"/>
      <c r="AO828" s="4"/>
      <c r="AP828" s="4"/>
      <c r="AQ828" s="4"/>
      <c r="AR828" s="4"/>
      <c r="AS828" s="76" t="str">
        <f>"COMMENT ON COLUMN "&amp;エンティティ一覧!$O$2&amp;"."&amp;D$8&amp;"."&amp;D828&amp;" IS '"&amp;C828&amp;"';"</f>
        <v>COMMENT ON COLUMN milscm_2023_009.sny_202310_annony_bef2.shikkan810_start_date IS 'K729_疾患開始日';</v>
      </c>
    </row>
    <row r="829" spans="1:45" s="25" customFormat="1">
      <c r="A829" s="4" t="s">
        <v>5879</v>
      </c>
      <c r="B829" s="21">
        <f t="shared" si="93"/>
        <v>817</v>
      </c>
      <c r="C829" s="13" t="s">
        <v>7269</v>
      </c>
      <c r="D829" s="13" t="s">
        <v>6471</v>
      </c>
      <c r="E829" s="8"/>
      <c r="F829" s="7" t="s">
        <v>4348</v>
      </c>
      <c r="G829" s="7" t="s">
        <v>25</v>
      </c>
      <c r="H829" s="58"/>
      <c r="I829" s="23"/>
      <c r="J829" s="24"/>
      <c r="M829" s="4"/>
      <c r="N829" s="76"/>
      <c r="O829" s="76"/>
      <c r="P829" s="76" t="str">
        <f t="shared" si="94"/>
        <v>,shikkan811_start_date</v>
      </c>
      <c r="Q829" s="76" t="str">
        <f t="shared" si="95"/>
        <v>DATE</v>
      </c>
      <c r="R829" s="76" t="str">
        <f t="shared" si="96"/>
        <v/>
      </c>
      <c r="S829" s="76" t="str">
        <f t="shared" si="97"/>
        <v/>
      </c>
      <c r="T829" s="76" t="str">
        <f t="shared" si="98"/>
        <v>-- K730_疾患開始日</v>
      </c>
      <c r="U829" s="4" t="str">
        <f t="shared" si="73"/>
        <v>, CASE WHEN shikkan_disp_name = 'K730' THEN min_shikkan_start_date ::DATE ELSE NULL END AS shikkan811_start_date</v>
      </c>
      <c r="V829" s="25" t="str">
        <f t="shared" si="74"/>
        <v>, max(shikkan811_start_date)</v>
      </c>
      <c r="AA829" s="4"/>
      <c r="AB829" s="4"/>
      <c r="AC829" s="4"/>
      <c r="AD829" s="4"/>
      <c r="AE829" s="4"/>
      <c r="AF829" s="4"/>
      <c r="AG829" s="4"/>
      <c r="AH829" s="4"/>
      <c r="AI829" s="4"/>
      <c r="AJ829" s="76" t="str">
        <f>IF(E829="○",IF(COUNTA(E$13:E829)=1,"",",")&amp;D829,"")</f>
        <v/>
      </c>
      <c r="AK829" s="4"/>
      <c r="AL829" s="4"/>
      <c r="AM829" s="4"/>
      <c r="AN829" s="4"/>
      <c r="AO829" s="4"/>
      <c r="AP829" s="4"/>
      <c r="AQ829" s="4"/>
      <c r="AR829" s="4"/>
      <c r="AS829" s="76" t="str">
        <f>"COMMENT ON COLUMN "&amp;エンティティ一覧!$O$2&amp;"."&amp;D$8&amp;"."&amp;D829&amp;" IS '"&amp;C829&amp;"';"</f>
        <v>COMMENT ON COLUMN milscm_2023_009.sny_202310_annony_bef2.shikkan811_start_date IS 'K730_疾患開始日';</v>
      </c>
    </row>
    <row r="830" spans="1:45" s="25" customFormat="1">
      <c r="A830" s="4" t="s">
        <v>5880</v>
      </c>
      <c r="B830" s="21">
        <f t="shared" si="93"/>
        <v>818</v>
      </c>
      <c r="C830" s="13" t="s">
        <v>7270</v>
      </c>
      <c r="D830" s="13" t="s">
        <v>6472</v>
      </c>
      <c r="E830" s="8"/>
      <c r="F830" s="7" t="s">
        <v>4348</v>
      </c>
      <c r="G830" s="7" t="s">
        <v>25</v>
      </c>
      <c r="H830" s="58"/>
      <c r="I830" s="23"/>
      <c r="J830" s="24"/>
      <c r="M830" s="4"/>
      <c r="N830" s="76"/>
      <c r="O830" s="76"/>
      <c r="P830" s="76" t="str">
        <f t="shared" si="94"/>
        <v>,shikkan812_start_date</v>
      </c>
      <c r="Q830" s="76" t="str">
        <f t="shared" si="95"/>
        <v>DATE</v>
      </c>
      <c r="R830" s="76" t="str">
        <f t="shared" si="96"/>
        <v/>
      </c>
      <c r="S830" s="76" t="str">
        <f t="shared" si="97"/>
        <v/>
      </c>
      <c r="T830" s="76" t="str">
        <f t="shared" si="98"/>
        <v>-- K731_疾患開始日</v>
      </c>
      <c r="U830" s="4" t="str">
        <f t="shared" si="73"/>
        <v>, CASE WHEN shikkan_disp_name = 'K731' THEN min_shikkan_start_date ::DATE ELSE NULL END AS shikkan812_start_date</v>
      </c>
      <c r="V830" s="25" t="str">
        <f t="shared" si="74"/>
        <v>, max(shikkan812_start_date)</v>
      </c>
      <c r="AA830" s="4"/>
      <c r="AB830" s="4"/>
      <c r="AC830" s="4"/>
      <c r="AD830" s="4"/>
      <c r="AE830" s="4"/>
      <c r="AF830" s="4"/>
      <c r="AG830" s="4"/>
      <c r="AH830" s="4"/>
      <c r="AI830" s="4"/>
      <c r="AJ830" s="76" t="str">
        <f>IF(E830="○",IF(COUNTA(E$13:E830)=1,"",",")&amp;D830,"")</f>
        <v/>
      </c>
      <c r="AK830" s="4"/>
      <c r="AL830" s="4"/>
      <c r="AM830" s="4"/>
      <c r="AN830" s="4"/>
      <c r="AO830" s="4"/>
      <c r="AP830" s="4"/>
      <c r="AQ830" s="4"/>
      <c r="AR830" s="4"/>
      <c r="AS830" s="76" t="str">
        <f>"COMMENT ON COLUMN "&amp;エンティティ一覧!$O$2&amp;"."&amp;D$8&amp;"."&amp;D830&amp;" IS '"&amp;C830&amp;"';"</f>
        <v>COMMENT ON COLUMN milscm_2023_009.sny_202310_annony_bef2.shikkan812_start_date IS 'K731_疾患開始日';</v>
      </c>
    </row>
    <row r="831" spans="1:45" s="25" customFormat="1">
      <c r="A831" s="4" t="s">
        <v>5881</v>
      </c>
      <c r="B831" s="21">
        <f t="shared" si="93"/>
        <v>819</v>
      </c>
      <c r="C831" s="13" t="s">
        <v>7271</v>
      </c>
      <c r="D831" s="13" t="s">
        <v>6473</v>
      </c>
      <c r="E831" s="8"/>
      <c r="F831" s="7" t="s">
        <v>4348</v>
      </c>
      <c r="G831" s="7" t="s">
        <v>25</v>
      </c>
      <c r="H831" s="58"/>
      <c r="I831" s="23"/>
      <c r="J831" s="24"/>
      <c r="M831" s="4"/>
      <c r="N831" s="76"/>
      <c r="O831" s="76"/>
      <c r="P831" s="76" t="str">
        <f t="shared" si="94"/>
        <v>,shikkan813_start_date</v>
      </c>
      <c r="Q831" s="76" t="str">
        <f t="shared" si="95"/>
        <v>DATE</v>
      </c>
      <c r="R831" s="76" t="str">
        <f t="shared" si="96"/>
        <v/>
      </c>
      <c r="S831" s="76" t="str">
        <f t="shared" si="97"/>
        <v/>
      </c>
      <c r="T831" s="76" t="str">
        <f t="shared" si="98"/>
        <v>-- K732_疾患開始日</v>
      </c>
      <c r="U831" s="4" t="str">
        <f t="shared" si="73"/>
        <v>, CASE WHEN shikkan_disp_name = 'K732' THEN min_shikkan_start_date ::DATE ELSE NULL END AS shikkan813_start_date</v>
      </c>
      <c r="V831" s="25" t="str">
        <f t="shared" si="74"/>
        <v>, max(shikkan813_start_date)</v>
      </c>
      <c r="AA831" s="4"/>
      <c r="AB831" s="4"/>
      <c r="AC831" s="4"/>
      <c r="AD831" s="4"/>
      <c r="AE831" s="4"/>
      <c r="AF831" s="4"/>
      <c r="AG831" s="4"/>
      <c r="AH831" s="4"/>
      <c r="AI831" s="4"/>
      <c r="AJ831" s="76" t="str">
        <f>IF(E831="○",IF(COUNTA(E$13:E831)=1,"",",")&amp;D831,"")</f>
        <v/>
      </c>
      <c r="AK831" s="4"/>
      <c r="AL831" s="4"/>
      <c r="AM831" s="4"/>
      <c r="AN831" s="4"/>
      <c r="AO831" s="4"/>
      <c r="AP831" s="4"/>
      <c r="AQ831" s="4"/>
      <c r="AR831" s="4"/>
      <c r="AS831" s="76" t="str">
        <f>"COMMENT ON COLUMN "&amp;エンティティ一覧!$O$2&amp;"."&amp;D$8&amp;"."&amp;D831&amp;" IS '"&amp;C831&amp;"';"</f>
        <v>COMMENT ON COLUMN milscm_2023_009.sny_202310_annony_bef2.shikkan813_start_date IS 'K732_疾患開始日';</v>
      </c>
    </row>
    <row r="832" spans="1:45" s="25" customFormat="1">
      <c r="A832" s="4" t="s">
        <v>5882</v>
      </c>
      <c r="B832" s="21">
        <f t="shared" si="93"/>
        <v>820</v>
      </c>
      <c r="C832" s="13" t="s">
        <v>7272</v>
      </c>
      <c r="D832" s="13" t="s">
        <v>6474</v>
      </c>
      <c r="E832" s="8"/>
      <c r="F832" s="7" t="s">
        <v>4348</v>
      </c>
      <c r="G832" s="7" t="s">
        <v>25</v>
      </c>
      <c r="H832" s="58"/>
      <c r="I832" s="23"/>
      <c r="J832" s="24"/>
      <c r="M832" s="4"/>
      <c r="N832" s="76"/>
      <c r="O832" s="76"/>
      <c r="P832" s="76" t="str">
        <f t="shared" si="94"/>
        <v>,shikkan814_start_date</v>
      </c>
      <c r="Q832" s="76" t="str">
        <f t="shared" si="95"/>
        <v>DATE</v>
      </c>
      <c r="R832" s="76" t="str">
        <f t="shared" si="96"/>
        <v/>
      </c>
      <c r="S832" s="76" t="str">
        <f t="shared" si="97"/>
        <v/>
      </c>
      <c r="T832" s="76" t="str">
        <f t="shared" si="98"/>
        <v>-- K738_疾患開始日</v>
      </c>
      <c r="U832" s="4" t="str">
        <f t="shared" si="73"/>
        <v>, CASE WHEN shikkan_disp_name = 'K738' THEN min_shikkan_start_date ::DATE ELSE NULL END AS shikkan814_start_date</v>
      </c>
      <c r="V832" s="25" t="str">
        <f t="shared" si="74"/>
        <v>, max(shikkan814_start_date)</v>
      </c>
      <c r="AA832" s="4"/>
      <c r="AB832" s="4"/>
      <c r="AC832" s="4"/>
      <c r="AD832" s="4"/>
      <c r="AE832" s="4"/>
      <c r="AF832" s="4"/>
      <c r="AG832" s="4"/>
      <c r="AH832" s="4"/>
      <c r="AI832" s="4"/>
      <c r="AJ832" s="76" t="str">
        <f>IF(E832="○",IF(COUNTA(E$13:E832)=1,"",",")&amp;D832,"")</f>
        <v/>
      </c>
      <c r="AK832" s="4"/>
      <c r="AL832" s="4"/>
      <c r="AM832" s="4"/>
      <c r="AN832" s="4"/>
      <c r="AO832" s="4"/>
      <c r="AP832" s="4"/>
      <c r="AQ832" s="4"/>
      <c r="AR832" s="4"/>
      <c r="AS832" s="76" t="str">
        <f>"COMMENT ON COLUMN "&amp;エンティティ一覧!$O$2&amp;"."&amp;D$8&amp;"."&amp;D832&amp;" IS '"&amp;C832&amp;"';"</f>
        <v>COMMENT ON COLUMN milscm_2023_009.sny_202310_annony_bef2.shikkan814_start_date IS 'K738_疾患開始日';</v>
      </c>
    </row>
    <row r="833" spans="1:45" s="25" customFormat="1">
      <c r="A833" s="4" t="s">
        <v>5883</v>
      </c>
      <c r="B833" s="21">
        <f t="shared" si="93"/>
        <v>821</v>
      </c>
      <c r="C833" s="13" t="s">
        <v>7273</v>
      </c>
      <c r="D833" s="13" t="s">
        <v>6475</v>
      </c>
      <c r="E833" s="8"/>
      <c r="F833" s="7" t="s">
        <v>4348</v>
      </c>
      <c r="G833" s="7" t="s">
        <v>99</v>
      </c>
      <c r="H833" s="58"/>
      <c r="I833" s="23"/>
      <c r="J833" s="24"/>
      <c r="M833" s="4"/>
      <c r="N833" s="76"/>
      <c r="O833" s="76"/>
      <c r="P833" s="76" t="str">
        <f t="shared" si="94"/>
        <v>,shikkan815_start_date</v>
      </c>
      <c r="Q833" s="76" t="str">
        <f t="shared" si="95"/>
        <v>DATE</v>
      </c>
      <c r="R833" s="76" t="str">
        <f t="shared" si="96"/>
        <v/>
      </c>
      <c r="S833" s="76" t="str">
        <f t="shared" si="97"/>
        <v/>
      </c>
      <c r="T833" s="76" t="str">
        <f t="shared" si="98"/>
        <v>-- K739_疾患開始日</v>
      </c>
      <c r="U833" s="4" t="str">
        <f t="shared" si="73"/>
        <v>, CASE WHEN shikkan_disp_name = 'K739' THEN min_shikkan_start_date ::DATE ELSE NULL END AS shikkan815_start_date</v>
      </c>
      <c r="V833" s="25" t="str">
        <f t="shared" si="74"/>
        <v>, max(shikkan815_start_date)</v>
      </c>
      <c r="AA833" s="4"/>
      <c r="AB833" s="4"/>
      <c r="AC833" s="4"/>
      <c r="AD833" s="4"/>
      <c r="AE833" s="4"/>
      <c r="AF833" s="4"/>
      <c r="AG833" s="4"/>
      <c r="AH833" s="4"/>
      <c r="AI833" s="4"/>
      <c r="AJ833" s="76" t="str">
        <f>IF(E833="○",IF(COUNTA(E$13:E833)=1,"",",")&amp;D833,"")</f>
        <v/>
      </c>
      <c r="AK833" s="4"/>
      <c r="AL833" s="4"/>
      <c r="AM833" s="4"/>
      <c r="AN833" s="4"/>
      <c r="AO833" s="4"/>
      <c r="AP833" s="4"/>
      <c r="AQ833" s="4"/>
      <c r="AR833" s="4"/>
      <c r="AS833" s="76" t="str">
        <f>"COMMENT ON COLUMN "&amp;エンティティ一覧!$O$2&amp;"."&amp;D$8&amp;"."&amp;D833&amp;" IS '"&amp;C833&amp;"';"</f>
        <v>COMMENT ON COLUMN milscm_2023_009.sny_202310_annony_bef2.shikkan815_start_date IS 'K739_疾患開始日';</v>
      </c>
    </row>
    <row r="834" spans="1:45" s="25" customFormat="1">
      <c r="A834" s="4" t="s">
        <v>5884</v>
      </c>
      <c r="B834" s="21">
        <f t="shared" si="93"/>
        <v>822</v>
      </c>
      <c r="C834" s="13" t="s">
        <v>7274</v>
      </c>
      <c r="D834" s="13" t="s">
        <v>6476</v>
      </c>
      <c r="E834" s="8"/>
      <c r="F834" s="7" t="s">
        <v>4348</v>
      </c>
      <c r="G834" s="7" t="s">
        <v>25</v>
      </c>
      <c r="H834" s="58"/>
      <c r="I834" s="23"/>
      <c r="J834" s="24"/>
      <c r="M834" s="4"/>
      <c r="N834" s="76"/>
      <c r="O834" s="76"/>
      <c r="P834" s="76" t="str">
        <f t="shared" si="94"/>
        <v>,shikkan816_start_date</v>
      </c>
      <c r="Q834" s="76" t="str">
        <f t="shared" si="95"/>
        <v>DATE</v>
      </c>
      <c r="R834" s="76" t="str">
        <f t="shared" si="96"/>
        <v/>
      </c>
      <c r="S834" s="76" t="str">
        <f t="shared" si="97"/>
        <v/>
      </c>
      <c r="T834" s="76" t="str">
        <f t="shared" si="98"/>
        <v>-- K740_疾患開始日</v>
      </c>
      <c r="U834" s="4" t="str">
        <f t="shared" si="73"/>
        <v>, CASE WHEN shikkan_disp_name = 'K740' THEN min_shikkan_start_date ::DATE ELSE NULL END AS shikkan816_start_date</v>
      </c>
      <c r="V834" s="25" t="str">
        <f t="shared" si="74"/>
        <v>, max(shikkan816_start_date)</v>
      </c>
      <c r="AA834" s="4"/>
      <c r="AB834" s="4"/>
      <c r="AC834" s="4"/>
      <c r="AD834" s="4"/>
      <c r="AE834" s="4"/>
      <c r="AF834" s="4"/>
      <c r="AG834" s="4"/>
      <c r="AH834" s="4"/>
      <c r="AI834" s="4"/>
      <c r="AJ834" s="76" t="str">
        <f>IF(E834="○",IF(COUNTA(E$13:E834)=1,"",",")&amp;D834,"")</f>
        <v/>
      </c>
      <c r="AK834" s="4"/>
      <c r="AL834" s="4"/>
      <c r="AM834" s="4"/>
      <c r="AN834" s="4"/>
      <c r="AO834" s="4"/>
      <c r="AP834" s="4"/>
      <c r="AQ834" s="4"/>
      <c r="AR834" s="4"/>
      <c r="AS834" s="76" t="str">
        <f>"COMMENT ON COLUMN "&amp;エンティティ一覧!$O$2&amp;"."&amp;D$8&amp;"."&amp;D834&amp;" IS '"&amp;C834&amp;"';"</f>
        <v>COMMENT ON COLUMN milscm_2023_009.sny_202310_annony_bef2.shikkan816_start_date IS 'K740_疾患開始日';</v>
      </c>
    </row>
    <row r="835" spans="1:45" s="25" customFormat="1">
      <c r="A835" s="4" t="s">
        <v>5885</v>
      </c>
      <c r="B835" s="21">
        <f t="shared" si="93"/>
        <v>823</v>
      </c>
      <c r="C835" s="13" t="s">
        <v>7275</v>
      </c>
      <c r="D835" s="13" t="s">
        <v>6477</v>
      </c>
      <c r="E835" s="8"/>
      <c r="F835" s="7" t="s">
        <v>4348</v>
      </c>
      <c r="G835" s="7" t="s">
        <v>25</v>
      </c>
      <c r="H835" s="58"/>
      <c r="I835" s="23"/>
      <c r="J835" s="24"/>
      <c r="M835" s="4"/>
      <c r="N835" s="76"/>
      <c r="O835" s="76"/>
      <c r="P835" s="76" t="str">
        <f t="shared" si="94"/>
        <v>,shikkan817_start_date</v>
      </c>
      <c r="Q835" s="76" t="str">
        <f t="shared" si="95"/>
        <v>DATE</v>
      </c>
      <c r="R835" s="76" t="str">
        <f t="shared" si="96"/>
        <v/>
      </c>
      <c r="S835" s="76" t="str">
        <f t="shared" si="97"/>
        <v/>
      </c>
      <c r="T835" s="76" t="str">
        <f t="shared" si="98"/>
        <v>-- K741_疾患開始日</v>
      </c>
      <c r="U835" s="4" t="str">
        <f t="shared" si="73"/>
        <v>, CASE WHEN shikkan_disp_name = 'K741' THEN min_shikkan_start_date ::DATE ELSE NULL END AS shikkan817_start_date</v>
      </c>
      <c r="V835" s="25" t="str">
        <f t="shared" si="74"/>
        <v>, max(shikkan817_start_date)</v>
      </c>
      <c r="AA835" s="4"/>
      <c r="AB835" s="4"/>
      <c r="AC835" s="4"/>
      <c r="AD835" s="4"/>
      <c r="AE835" s="4"/>
      <c r="AF835" s="4"/>
      <c r="AG835" s="4"/>
      <c r="AH835" s="4"/>
      <c r="AI835" s="4"/>
      <c r="AJ835" s="76" t="str">
        <f>IF(E835="○",IF(COUNTA(E$13:E835)=1,"",",")&amp;D835,"")</f>
        <v/>
      </c>
      <c r="AK835" s="4"/>
      <c r="AL835" s="4"/>
      <c r="AM835" s="4"/>
      <c r="AN835" s="4"/>
      <c r="AO835" s="4"/>
      <c r="AP835" s="4"/>
      <c r="AQ835" s="4"/>
      <c r="AR835" s="4"/>
      <c r="AS835" s="76" t="str">
        <f>"COMMENT ON COLUMN "&amp;エンティティ一覧!$O$2&amp;"."&amp;D$8&amp;"."&amp;D835&amp;" IS '"&amp;C835&amp;"';"</f>
        <v>COMMENT ON COLUMN milscm_2023_009.sny_202310_annony_bef2.shikkan817_start_date IS 'K741_疾患開始日';</v>
      </c>
    </row>
    <row r="836" spans="1:45" s="25" customFormat="1">
      <c r="A836" s="4" t="s">
        <v>5886</v>
      </c>
      <c r="B836" s="21">
        <f t="shared" si="93"/>
        <v>824</v>
      </c>
      <c r="C836" s="13" t="s">
        <v>7276</v>
      </c>
      <c r="D836" s="13" t="s">
        <v>6478</v>
      </c>
      <c r="E836" s="8"/>
      <c r="F836" s="7" t="s">
        <v>4348</v>
      </c>
      <c r="G836" s="7" t="s">
        <v>25</v>
      </c>
      <c r="H836" s="58"/>
      <c r="I836" s="23"/>
      <c r="J836" s="24"/>
      <c r="M836" s="4"/>
      <c r="N836" s="76"/>
      <c r="O836" s="76"/>
      <c r="P836" s="76" t="str">
        <f t="shared" si="94"/>
        <v>,shikkan818_start_date</v>
      </c>
      <c r="Q836" s="76" t="str">
        <f t="shared" si="95"/>
        <v>DATE</v>
      </c>
      <c r="R836" s="76" t="str">
        <f t="shared" si="96"/>
        <v/>
      </c>
      <c r="S836" s="76" t="str">
        <f t="shared" si="97"/>
        <v/>
      </c>
      <c r="T836" s="76" t="str">
        <f t="shared" si="98"/>
        <v>-- K742_疾患開始日</v>
      </c>
      <c r="U836" s="4" t="str">
        <f t="shared" si="73"/>
        <v>, CASE WHEN shikkan_disp_name = 'K742' THEN min_shikkan_start_date ::DATE ELSE NULL END AS shikkan818_start_date</v>
      </c>
      <c r="V836" s="25" t="str">
        <f t="shared" si="74"/>
        <v>, max(shikkan818_start_date)</v>
      </c>
      <c r="AA836" s="4"/>
      <c r="AB836" s="4"/>
      <c r="AC836" s="4"/>
      <c r="AD836" s="4"/>
      <c r="AE836" s="4"/>
      <c r="AF836" s="4"/>
      <c r="AG836" s="4"/>
      <c r="AH836" s="4"/>
      <c r="AI836" s="4"/>
      <c r="AJ836" s="76" t="str">
        <f>IF(E836="○",IF(COUNTA(E$13:E836)=1,"",",")&amp;D836,"")</f>
        <v/>
      </c>
      <c r="AK836" s="4"/>
      <c r="AL836" s="4"/>
      <c r="AM836" s="4"/>
      <c r="AN836" s="4"/>
      <c r="AO836" s="4"/>
      <c r="AP836" s="4"/>
      <c r="AQ836" s="4"/>
      <c r="AR836" s="4"/>
      <c r="AS836" s="76" t="str">
        <f>"COMMENT ON COLUMN "&amp;エンティティ一覧!$O$2&amp;"."&amp;D$8&amp;"."&amp;D836&amp;" IS '"&amp;C836&amp;"';"</f>
        <v>COMMENT ON COLUMN milscm_2023_009.sny_202310_annony_bef2.shikkan818_start_date IS 'K742_疾患開始日';</v>
      </c>
    </row>
    <row r="837" spans="1:45" s="25" customFormat="1">
      <c r="A837" s="4" t="s">
        <v>5887</v>
      </c>
      <c r="B837" s="21">
        <f t="shared" si="93"/>
        <v>825</v>
      </c>
      <c r="C837" s="13" t="s">
        <v>7277</v>
      </c>
      <c r="D837" s="13" t="s">
        <v>6479</v>
      </c>
      <c r="E837" s="8"/>
      <c r="F837" s="7" t="s">
        <v>4348</v>
      </c>
      <c r="G837" s="7" t="s">
        <v>25</v>
      </c>
      <c r="H837" s="58"/>
      <c r="I837" s="23"/>
      <c r="J837" s="24"/>
      <c r="M837" s="4"/>
      <c r="N837" s="76"/>
      <c r="O837" s="76"/>
      <c r="P837" s="76" t="str">
        <f t="shared" si="94"/>
        <v>,shikkan819_start_date</v>
      </c>
      <c r="Q837" s="76" t="str">
        <f t="shared" si="95"/>
        <v>DATE</v>
      </c>
      <c r="R837" s="76" t="str">
        <f t="shared" si="96"/>
        <v/>
      </c>
      <c r="S837" s="76" t="str">
        <f t="shared" si="97"/>
        <v/>
      </c>
      <c r="T837" s="76" t="str">
        <f t="shared" si="98"/>
        <v>-- K743_疾患開始日</v>
      </c>
      <c r="U837" s="4" t="str">
        <f t="shared" si="73"/>
        <v>, CASE WHEN shikkan_disp_name = 'K743' THEN min_shikkan_start_date ::DATE ELSE NULL END AS shikkan819_start_date</v>
      </c>
      <c r="V837" s="25" t="str">
        <f t="shared" si="74"/>
        <v>, max(shikkan819_start_date)</v>
      </c>
      <c r="AA837" s="4"/>
      <c r="AB837" s="4"/>
      <c r="AC837" s="4"/>
      <c r="AD837" s="4"/>
      <c r="AE837" s="4"/>
      <c r="AF837" s="4"/>
      <c r="AG837" s="4"/>
      <c r="AH837" s="4"/>
      <c r="AI837" s="4"/>
      <c r="AJ837" s="76" t="str">
        <f>IF(E837="○",IF(COUNTA(E$13:E837)=1,"",",")&amp;D837,"")</f>
        <v/>
      </c>
      <c r="AK837" s="4"/>
      <c r="AL837" s="4"/>
      <c r="AM837" s="4"/>
      <c r="AN837" s="4"/>
      <c r="AO837" s="4"/>
      <c r="AP837" s="4"/>
      <c r="AQ837" s="4"/>
      <c r="AR837" s="4"/>
      <c r="AS837" s="76" t="str">
        <f>"COMMENT ON COLUMN "&amp;エンティティ一覧!$O$2&amp;"."&amp;D$8&amp;"."&amp;D837&amp;" IS '"&amp;C837&amp;"';"</f>
        <v>COMMENT ON COLUMN milscm_2023_009.sny_202310_annony_bef2.shikkan819_start_date IS 'K743_疾患開始日';</v>
      </c>
    </row>
    <row r="838" spans="1:45" s="25" customFormat="1">
      <c r="A838" s="4" t="s">
        <v>5888</v>
      </c>
      <c r="B838" s="21">
        <f t="shared" si="93"/>
        <v>826</v>
      </c>
      <c r="C838" s="13" t="s">
        <v>7278</v>
      </c>
      <c r="D838" s="13" t="s">
        <v>6480</v>
      </c>
      <c r="E838" s="8"/>
      <c r="F838" s="7" t="s">
        <v>4348</v>
      </c>
      <c r="G838" s="7" t="s">
        <v>25</v>
      </c>
      <c r="H838" s="58"/>
      <c r="I838" s="23"/>
      <c r="J838" s="24"/>
      <c r="M838" s="4"/>
      <c r="N838" s="76"/>
      <c r="O838" s="76"/>
      <c r="P838" s="76" t="str">
        <f t="shared" si="94"/>
        <v>,shikkan820_start_date</v>
      </c>
      <c r="Q838" s="76" t="str">
        <f t="shared" si="95"/>
        <v>DATE</v>
      </c>
      <c r="R838" s="76" t="str">
        <f t="shared" si="96"/>
        <v/>
      </c>
      <c r="S838" s="76" t="str">
        <f t="shared" si="97"/>
        <v/>
      </c>
      <c r="T838" s="76" t="str">
        <f t="shared" si="98"/>
        <v>-- K744_疾患開始日</v>
      </c>
      <c r="U838" s="4" t="str">
        <f t="shared" si="73"/>
        <v>, CASE WHEN shikkan_disp_name = 'K744' THEN min_shikkan_start_date ::DATE ELSE NULL END AS shikkan820_start_date</v>
      </c>
      <c r="V838" s="25" t="str">
        <f t="shared" si="74"/>
        <v>, max(shikkan820_start_date)</v>
      </c>
      <c r="AA838" s="4"/>
      <c r="AB838" s="4"/>
      <c r="AC838" s="4"/>
      <c r="AD838" s="4"/>
      <c r="AE838" s="4"/>
      <c r="AF838" s="4"/>
      <c r="AG838" s="4"/>
      <c r="AH838" s="4"/>
      <c r="AI838" s="4"/>
      <c r="AJ838" s="76" t="str">
        <f>IF(E838="○",IF(COUNTA(E$13:E838)=1,"",",")&amp;D838,"")</f>
        <v/>
      </c>
      <c r="AK838" s="4"/>
      <c r="AL838" s="4"/>
      <c r="AM838" s="4"/>
      <c r="AN838" s="4"/>
      <c r="AO838" s="4"/>
      <c r="AP838" s="4"/>
      <c r="AQ838" s="4"/>
      <c r="AR838" s="4"/>
      <c r="AS838" s="76" t="str">
        <f>"COMMENT ON COLUMN "&amp;エンティティ一覧!$O$2&amp;"."&amp;D$8&amp;"."&amp;D838&amp;" IS '"&amp;C838&amp;"';"</f>
        <v>COMMENT ON COLUMN milscm_2023_009.sny_202310_annony_bef2.shikkan820_start_date IS 'K744_疾患開始日';</v>
      </c>
    </row>
    <row r="839" spans="1:45" s="25" customFormat="1">
      <c r="A839" s="4" t="s">
        <v>5889</v>
      </c>
      <c r="B839" s="21">
        <f t="shared" si="93"/>
        <v>827</v>
      </c>
      <c r="C839" s="13" t="s">
        <v>7279</v>
      </c>
      <c r="D839" s="13" t="s">
        <v>6481</v>
      </c>
      <c r="E839" s="8"/>
      <c r="F839" s="7" t="s">
        <v>4348</v>
      </c>
      <c r="G839" s="7" t="s">
        <v>25</v>
      </c>
      <c r="H839" s="58"/>
      <c r="I839" s="23"/>
      <c r="J839" s="24"/>
      <c r="M839" s="4"/>
      <c r="N839" s="76"/>
      <c r="O839" s="76"/>
      <c r="P839" s="76" t="str">
        <f t="shared" si="94"/>
        <v>,shikkan821_start_date</v>
      </c>
      <c r="Q839" s="76" t="str">
        <f t="shared" si="95"/>
        <v>DATE</v>
      </c>
      <c r="R839" s="76" t="str">
        <f t="shared" si="96"/>
        <v/>
      </c>
      <c r="S839" s="76" t="str">
        <f t="shared" si="97"/>
        <v/>
      </c>
      <c r="T839" s="76" t="str">
        <f t="shared" si="98"/>
        <v>-- K745_疾患開始日</v>
      </c>
      <c r="U839" s="4" t="str">
        <f t="shared" si="73"/>
        <v>, CASE WHEN shikkan_disp_name = 'K745' THEN min_shikkan_start_date ::DATE ELSE NULL END AS shikkan821_start_date</v>
      </c>
      <c r="V839" s="25" t="str">
        <f t="shared" si="74"/>
        <v>, max(shikkan821_start_date)</v>
      </c>
      <c r="AA839" s="4"/>
      <c r="AB839" s="4"/>
      <c r="AC839" s="4"/>
      <c r="AD839" s="4"/>
      <c r="AE839" s="4"/>
      <c r="AF839" s="4"/>
      <c r="AG839" s="4"/>
      <c r="AH839" s="4"/>
      <c r="AI839" s="4"/>
      <c r="AJ839" s="76" t="str">
        <f>IF(E839="○",IF(COUNTA(E$13:E839)=1,"",",")&amp;D839,"")</f>
        <v/>
      </c>
      <c r="AK839" s="4"/>
      <c r="AL839" s="4"/>
      <c r="AM839" s="4"/>
      <c r="AN839" s="4"/>
      <c r="AO839" s="4"/>
      <c r="AP839" s="4"/>
      <c r="AQ839" s="4"/>
      <c r="AR839" s="4"/>
      <c r="AS839" s="76" t="str">
        <f>"COMMENT ON COLUMN "&amp;エンティティ一覧!$O$2&amp;"."&amp;D$8&amp;"."&amp;D839&amp;" IS '"&amp;C839&amp;"';"</f>
        <v>COMMENT ON COLUMN milscm_2023_009.sny_202310_annony_bef2.shikkan821_start_date IS 'K745_疾患開始日';</v>
      </c>
    </row>
    <row r="840" spans="1:45" s="25" customFormat="1">
      <c r="A840" s="4" t="s">
        <v>5890</v>
      </c>
      <c r="B840" s="21">
        <f t="shared" si="93"/>
        <v>828</v>
      </c>
      <c r="C840" s="13" t="s">
        <v>7280</v>
      </c>
      <c r="D840" s="13" t="s">
        <v>6482</v>
      </c>
      <c r="E840" s="8"/>
      <c r="F840" s="7" t="s">
        <v>4348</v>
      </c>
      <c r="G840" s="7" t="s">
        <v>25</v>
      </c>
      <c r="H840" s="58"/>
      <c r="I840" s="23"/>
      <c r="J840" s="24"/>
      <c r="M840" s="4"/>
      <c r="N840" s="76"/>
      <c r="O840" s="76"/>
      <c r="P840" s="76" t="str">
        <f t="shared" si="94"/>
        <v>,shikkan822_start_date</v>
      </c>
      <c r="Q840" s="76" t="str">
        <f t="shared" si="95"/>
        <v>DATE</v>
      </c>
      <c r="R840" s="76" t="str">
        <f t="shared" si="96"/>
        <v/>
      </c>
      <c r="S840" s="76" t="str">
        <f t="shared" si="97"/>
        <v/>
      </c>
      <c r="T840" s="76" t="str">
        <f t="shared" si="98"/>
        <v>-- K746_疾患開始日</v>
      </c>
      <c r="U840" s="4" t="str">
        <f t="shared" si="73"/>
        <v>, CASE WHEN shikkan_disp_name = 'K746' THEN min_shikkan_start_date ::DATE ELSE NULL END AS shikkan822_start_date</v>
      </c>
      <c r="V840" s="25" t="str">
        <f t="shared" si="74"/>
        <v>, max(shikkan822_start_date)</v>
      </c>
      <c r="AA840" s="4"/>
      <c r="AB840" s="4"/>
      <c r="AC840" s="4"/>
      <c r="AD840" s="4"/>
      <c r="AE840" s="4"/>
      <c r="AF840" s="4"/>
      <c r="AG840" s="4"/>
      <c r="AH840" s="4"/>
      <c r="AI840" s="4"/>
      <c r="AJ840" s="76" t="str">
        <f>IF(E840="○",IF(COUNTA(E$13:E840)=1,"",",")&amp;D840,"")</f>
        <v/>
      </c>
      <c r="AK840" s="4"/>
      <c r="AL840" s="4"/>
      <c r="AM840" s="4"/>
      <c r="AN840" s="4"/>
      <c r="AO840" s="4"/>
      <c r="AP840" s="4"/>
      <c r="AQ840" s="4"/>
      <c r="AR840" s="4"/>
      <c r="AS840" s="76" t="str">
        <f>"COMMENT ON COLUMN "&amp;エンティティ一覧!$O$2&amp;"."&amp;D$8&amp;"."&amp;D840&amp;" IS '"&amp;C840&amp;"';"</f>
        <v>COMMENT ON COLUMN milscm_2023_009.sny_202310_annony_bef2.shikkan822_start_date IS 'K746_疾患開始日';</v>
      </c>
    </row>
    <row r="841" spans="1:45" s="25" customFormat="1">
      <c r="A841" s="4" t="s">
        <v>5081</v>
      </c>
      <c r="B841" s="21">
        <f t="shared" si="93"/>
        <v>829</v>
      </c>
      <c r="C841" s="13" t="s">
        <v>4691</v>
      </c>
      <c r="D841" s="13" t="s">
        <v>6483</v>
      </c>
      <c r="E841" s="8"/>
      <c r="F841" s="7" t="s">
        <v>4348</v>
      </c>
      <c r="G841" s="7" t="s">
        <v>25</v>
      </c>
      <c r="H841" s="58"/>
      <c r="I841" s="23"/>
      <c r="J841" s="24"/>
      <c r="M841" s="4"/>
      <c r="N841" s="76"/>
      <c r="O841" s="76"/>
      <c r="P841" s="76" t="str">
        <f t="shared" si="94"/>
        <v>,shikkan823_start_date</v>
      </c>
      <c r="Q841" s="76" t="str">
        <f t="shared" si="95"/>
        <v>DATE</v>
      </c>
      <c r="R841" s="76" t="str">
        <f t="shared" si="96"/>
        <v/>
      </c>
      <c r="S841" s="76" t="str">
        <f t="shared" si="97"/>
        <v/>
      </c>
      <c r="T841" s="76" t="str">
        <f t="shared" si="98"/>
        <v>-- K760_疾患開始日</v>
      </c>
      <c r="U841" s="4" t="str">
        <f t="shared" si="73"/>
        <v>, CASE WHEN shikkan_disp_name = 'K760' THEN min_shikkan_start_date ::DATE ELSE NULL END AS shikkan823_start_date</v>
      </c>
      <c r="V841" s="25" t="str">
        <f t="shared" si="74"/>
        <v>, max(shikkan823_start_date)</v>
      </c>
      <c r="AA841" s="4"/>
      <c r="AB841" s="4"/>
      <c r="AC841" s="4"/>
      <c r="AD841" s="4"/>
      <c r="AE841" s="4"/>
      <c r="AF841" s="4"/>
      <c r="AG841" s="4"/>
      <c r="AH841" s="4"/>
      <c r="AI841" s="4"/>
      <c r="AJ841" s="76" t="str">
        <f>IF(E841="○",IF(COUNTA(E$13:E841)=1,"",",")&amp;D841,"")</f>
        <v/>
      </c>
      <c r="AK841" s="4"/>
      <c r="AL841" s="4"/>
      <c r="AM841" s="4"/>
      <c r="AN841" s="4"/>
      <c r="AO841" s="4"/>
      <c r="AP841" s="4"/>
      <c r="AQ841" s="4"/>
      <c r="AR841" s="4"/>
      <c r="AS841" s="76" t="str">
        <f>"COMMENT ON COLUMN "&amp;エンティティ一覧!$O$2&amp;"."&amp;D$8&amp;"."&amp;D841&amp;" IS '"&amp;C841&amp;"';"</f>
        <v>COMMENT ON COLUMN milscm_2023_009.sny_202310_annony_bef2.shikkan823_start_date IS 'K760_疾患開始日';</v>
      </c>
    </row>
    <row r="842" spans="1:45" s="25" customFormat="1">
      <c r="A842" s="4" t="s">
        <v>5082</v>
      </c>
      <c r="B842" s="21">
        <f t="shared" si="93"/>
        <v>830</v>
      </c>
      <c r="C842" s="13" t="s">
        <v>4692</v>
      </c>
      <c r="D842" s="13" t="s">
        <v>6484</v>
      </c>
      <c r="E842" s="8"/>
      <c r="F842" s="7" t="s">
        <v>4348</v>
      </c>
      <c r="G842" s="7" t="s">
        <v>25</v>
      </c>
      <c r="H842" s="58"/>
      <c r="I842" s="23"/>
      <c r="J842" s="24"/>
      <c r="M842" s="4"/>
      <c r="N842" s="76"/>
      <c r="O842" s="76"/>
      <c r="P842" s="76" t="str">
        <f t="shared" si="94"/>
        <v>,shikkan824_start_date</v>
      </c>
      <c r="Q842" s="76" t="str">
        <f t="shared" si="95"/>
        <v>DATE</v>
      </c>
      <c r="R842" s="76" t="str">
        <f t="shared" si="96"/>
        <v/>
      </c>
      <c r="S842" s="76" t="str">
        <f t="shared" si="97"/>
        <v/>
      </c>
      <c r="T842" s="76" t="str">
        <f t="shared" si="98"/>
        <v>-- K762_疾患開始日</v>
      </c>
      <c r="U842" s="4" t="str">
        <f t="shared" si="73"/>
        <v>, CASE WHEN shikkan_disp_name = 'K762' THEN min_shikkan_start_date ::DATE ELSE NULL END AS shikkan824_start_date</v>
      </c>
      <c r="V842" s="25" t="str">
        <f t="shared" si="74"/>
        <v>, max(shikkan824_start_date)</v>
      </c>
      <c r="AA842" s="4"/>
      <c r="AB842" s="4"/>
      <c r="AC842" s="4"/>
      <c r="AD842" s="4"/>
      <c r="AE842" s="4"/>
      <c r="AF842" s="4"/>
      <c r="AG842" s="4"/>
      <c r="AH842" s="4"/>
      <c r="AI842" s="4"/>
      <c r="AJ842" s="76" t="str">
        <f>IF(E842="○",IF(COUNTA(E$13:E842)=1,"",",")&amp;D842,"")</f>
        <v/>
      </c>
      <c r="AK842" s="4"/>
      <c r="AL842" s="4"/>
      <c r="AM842" s="4"/>
      <c r="AN842" s="4"/>
      <c r="AO842" s="4"/>
      <c r="AP842" s="4"/>
      <c r="AQ842" s="4"/>
      <c r="AR842" s="4"/>
      <c r="AS842" s="76" t="str">
        <f>"COMMENT ON COLUMN "&amp;エンティティ一覧!$O$2&amp;"."&amp;D$8&amp;"."&amp;D842&amp;" IS '"&amp;C842&amp;"';"</f>
        <v>COMMENT ON COLUMN milscm_2023_009.sny_202310_annony_bef2.shikkan824_start_date IS 'K762_疾患開始日';</v>
      </c>
    </row>
    <row r="843" spans="1:45" s="25" customFormat="1">
      <c r="A843" s="4" t="s">
        <v>5083</v>
      </c>
      <c r="B843" s="21">
        <f t="shared" si="93"/>
        <v>831</v>
      </c>
      <c r="C843" s="13" t="s">
        <v>4693</v>
      </c>
      <c r="D843" s="13" t="s">
        <v>6485</v>
      </c>
      <c r="E843" s="8"/>
      <c r="F843" s="7" t="s">
        <v>4348</v>
      </c>
      <c r="G843" s="7" t="s">
        <v>25</v>
      </c>
      <c r="H843" s="58"/>
      <c r="I843" s="23"/>
      <c r="J843" s="24"/>
      <c r="M843" s="4"/>
      <c r="N843" s="76"/>
      <c r="O843" s="76"/>
      <c r="P843" s="76" t="str">
        <f t="shared" si="94"/>
        <v>,shikkan825_start_date</v>
      </c>
      <c r="Q843" s="76" t="str">
        <f t="shared" si="95"/>
        <v>DATE</v>
      </c>
      <c r="R843" s="76" t="str">
        <f t="shared" si="96"/>
        <v/>
      </c>
      <c r="S843" s="76" t="str">
        <f t="shared" si="97"/>
        <v/>
      </c>
      <c r="T843" s="76" t="str">
        <f t="shared" si="98"/>
        <v>-- K763_疾患開始日</v>
      </c>
      <c r="U843" s="4" t="str">
        <f t="shared" si="73"/>
        <v>, CASE WHEN shikkan_disp_name = 'K763' THEN min_shikkan_start_date ::DATE ELSE NULL END AS shikkan825_start_date</v>
      </c>
      <c r="V843" s="25" t="str">
        <f t="shared" si="74"/>
        <v>, max(shikkan825_start_date)</v>
      </c>
      <c r="AA843" s="4"/>
      <c r="AB843" s="4"/>
      <c r="AC843" s="4"/>
      <c r="AD843" s="4"/>
      <c r="AE843" s="4"/>
      <c r="AF843" s="4"/>
      <c r="AG843" s="4"/>
      <c r="AH843" s="4"/>
      <c r="AI843" s="4"/>
      <c r="AJ843" s="76" t="str">
        <f>IF(E843="○",IF(COUNTA(E$13:E843)=1,"",",")&amp;D843,"")</f>
        <v/>
      </c>
      <c r="AK843" s="4"/>
      <c r="AL843" s="4"/>
      <c r="AM843" s="4"/>
      <c r="AN843" s="4"/>
      <c r="AO843" s="4"/>
      <c r="AP843" s="4"/>
      <c r="AQ843" s="4"/>
      <c r="AR843" s="4"/>
      <c r="AS843" s="76" t="str">
        <f>"COMMENT ON COLUMN "&amp;エンティティ一覧!$O$2&amp;"."&amp;D$8&amp;"."&amp;D843&amp;" IS '"&amp;C843&amp;"';"</f>
        <v>COMMENT ON COLUMN milscm_2023_009.sny_202310_annony_bef2.shikkan825_start_date IS 'K763_疾患開始日';</v>
      </c>
    </row>
    <row r="844" spans="1:45" s="25" customFormat="1">
      <c r="A844" s="4" t="s">
        <v>5084</v>
      </c>
      <c r="B844" s="21">
        <f t="shared" si="93"/>
        <v>832</v>
      </c>
      <c r="C844" s="13" t="s">
        <v>4694</v>
      </c>
      <c r="D844" s="13" t="s">
        <v>6486</v>
      </c>
      <c r="E844" s="8"/>
      <c r="F844" s="7" t="s">
        <v>4348</v>
      </c>
      <c r="G844" s="7" t="s">
        <v>25</v>
      </c>
      <c r="H844" s="58"/>
      <c r="I844" s="23"/>
      <c r="J844" s="24"/>
      <c r="M844" s="4"/>
      <c r="N844" s="76"/>
      <c r="O844" s="76"/>
      <c r="P844" s="76" t="str">
        <f t="shared" si="94"/>
        <v>,shikkan826_start_date</v>
      </c>
      <c r="Q844" s="76" t="str">
        <f t="shared" si="95"/>
        <v>DATE</v>
      </c>
      <c r="R844" s="76" t="str">
        <f t="shared" si="96"/>
        <v/>
      </c>
      <c r="S844" s="76" t="str">
        <f t="shared" si="97"/>
        <v/>
      </c>
      <c r="T844" s="76" t="str">
        <f t="shared" si="98"/>
        <v>-- K764_疾患開始日</v>
      </c>
      <c r="U844" s="4" t="str">
        <f t="shared" si="73"/>
        <v>, CASE WHEN shikkan_disp_name = 'K764' THEN min_shikkan_start_date ::DATE ELSE NULL END AS shikkan826_start_date</v>
      </c>
      <c r="V844" s="25" t="str">
        <f t="shared" si="74"/>
        <v>, max(shikkan826_start_date)</v>
      </c>
      <c r="AA844" s="4"/>
      <c r="AB844" s="4"/>
      <c r="AC844" s="4"/>
      <c r="AD844" s="4"/>
      <c r="AE844" s="4"/>
      <c r="AF844" s="4"/>
      <c r="AG844" s="4"/>
      <c r="AH844" s="4"/>
      <c r="AI844" s="4"/>
      <c r="AJ844" s="76" t="str">
        <f>IF(E844="○",IF(COUNTA(E$13:E844)=1,"",",")&amp;D844,"")</f>
        <v/>
      </c>
      <c r="AK844" s="4"/>
      <c r="AL844" s="4"/>
      <c r="AM844" s="4"/>
      <c r="AN844" s="4"/>
      <c r="AO844" s="4"/>
      <c r="AP844" s="4"/>
      <c r="AQ844" s="4"/>
      <c r="AR844" s="4"/>
      <c r="AS844" s="76" t="str">
        <f>"COMMENT ON COLUMN "&amp;エンティティ一覧!$O$2&amp;"."&amp;D$8&amp;"."&amp;D844&amp;" IS '"&amp;C844&amp;"';"</f>
        <v>COMMENT ON COLUMN milscm_2023_009.sny_202310_annony_bef2.shikkan826_start_date IS 'K764_疾患開始日';</v>
      </c>
    </row>
    <row r="845" spans="1:45" s="25" customFormat="1">
      <c r="A845" s="4" t="s">
        <v>5891</v>
      </c>
      <c r="B845" s="21">
        <f t="shared" si="93"/>
        <v>833</v>
      </c>
      <c r="C845" s="13" t="s">
        <v>7281</v>
      </c>
      <c r="D845" s="13" t="s">
        <v>6487</v>
      </c>
      <c r="E845" s="8"/>
      <c r="F845" s="7" t="s">
        <v>4348</v>
      </c>
      <c r="G845" s="7" t="s">
        <v>25</v>
      </c>
      <c r="H845" s="58"/>
      <c r="I845" s="23"/>
      <c r="J845" s="24"/>
      <c r="M845" s="4"/>
      <c r="N845" s="76"/>
      <c r="O845" s="76"/>
      <c r="P845" s="76" t="str">
        <f t="shared" si="94"/>
        <v>,shikkan827_start_date</v>
      </c>
      <c r="Q845" s="76" t="str">
        <f t="shared" si="95"/>
        <v>DATE</v>
      </c>
      <c r="R845" s="76" t="str">
        <f t="shared" si="96"/>
        <v/>
      </c>
      <c r="S845" s="76" t="str">
        <f t="shared" si="97"/>
        <v/>
      </c>
      <c r="T845" s="76" t="str">
        <f t="shared" si="98"/>
        <v>-- K765_疾患開始日</v>
      </c>
      <c r="U845" s="4" t="str">
        <f t="shared" si="73"/>
        <v>, CASE WHEN shikkan_disp_name = 'K765' THEN min_shikkan_start_date ::DATE ELSE NULL END AS shikkan827_start_date</v>
      </c>
      <c r="V845" s="25" t="str">
        <f t="shared" si="74"/>
        <v>, max(shikkan827_start_date)</v>
      </c>
      <c r="AA845" s="4"/>
      <c r="AB845" s="4"/>
      <c r="AC845" s="4"/>
      <c r="AD845" s="4"/>
      <c r="AE845" s="4"/>
      <c r="AF845" s="4"/>
      <c r="AG845" s="4"/>
      <c r="AH845" s="4"/>
      <c r="AI845" s="4"/>
      <c r="AJ845" s="76" t="str">
        <f>IF(E845="○",IF(COUNTA(E$13:E845)=1,"",",")&amp;D845,"")</f>
        <v/>
      </c>
      <c r="AK845" s="4"/>
      <c r="AL845" s="4"/>
      <c r="AM845" s="4"/>
      <c r="AN845" s="4"/>
      <c r="AO845" s="4"/>
      <c r="AP845" s="4"/>
      <c r="AQ845" s="4"/>
      <c r="AR845" s="4"/>
      <c r="AS845" s="76" t="str">
        <f>"COMMENT ON COLUMN "&amp;エンティティ一覧!$O$2&amp;"."&amp;D$8&amp;"."&amp;D845&amp;" IS '"&amp;C845&amp;"';"</f>
        <v>COMMENT ON COLUMN milscm_2023_009.sny_202310_annony_bef2.shikkan827_start_date IS 'K765_疾患開始日';</v>
      </c>
    </row>
    <row r="846" spans="1:45" s="25" customFormat="1">
      <c r="A846" s="4" t="s">
        <v>5892</v>
      </c>
      <c r="B846" s="21">
        <f t="shared" si="93"/>
        <v>834</v>
      </c>
      <c r="C846" s="13" t="s">
        <v>7282</v>
      </c>
      <c r="D846" s="13" t="s">
        <v>6488</v>
      </c>
      <c r="E846" s="8"/>
      <c r="F846" s="7" t="s">
        <v>4348</v>
      </c>
      <c r="G846" s="7" t="s">
        <v>25</v>
      </c>
      <c r="H846" s="58"/>
      <c r="I846" s="23"/>
      <c r="J846" s="24"/>
      <c r="M846" s="4"/>
      <c r="N846" s="76"/>
      <c r="O846" s="76"/>
      <c r="P846" s="76" t="str">
        <f t="shared" si="94"/>
        <v>,shikkan828_start_date</v>
      </c>
      <c r="Q846" s="76" t="str">
        <f t="shared" si="95"/>
        <v>DATE</v>
      </c>
      <c r="R846" s="76" t="str">
        <f t="shared" si="96"/>
        <v/>
      </c>
      <c r="S846" s="76" t="str">
        <f t="shared" si="97"/>
        <v/>
      </c>
      <c r="T846" s="76" t="str">
        <f t="shared" si="98"/>
        <v>-- K766_疾患開始日</v>
      </c>
      <c r="U846" s="4" t="str">
        <f t="shared" si="73"/>
        <v>, CASE WHEN shikkan_disp_name = 'K766' THEN min_shikkan_start_date ::DATE ELSE NULL END AS shikkan828_start_date</v>
      </c>
      <c r="V846" s="25" t="str">
        <f t="shared" si="74"/>
        <v>, max(shikkan828_start_date)</v>
      </c>
      <c r="AA846" s="4"/>
      <c r="AB846" s="4"/>
      <c r="AC846" s="4"/>
      <c r="AD846" s="4"/>
      <c r="AE846" s="4"/>
      <c r="AF846" s="4"/>
      <c r="AG846" s="4"/>
      <c r="AH846" s="4"/>
      <c r="AI846" s="4"/>
      <c r="AJ846" s="76" t="str">
        <f>IF(E846="○",IF(COUNTA(E$13:E846)=1,"",",")&amp;D846,"")</f>
        <v/>
      </c>
      <c r="AK846" s="4"/>
      <c r="AL846" s="4"/>
      <c r="AM846" s="4"/>
      <c r="AN846" s="4"/>
      <c r="AO846" s="4"/>
      <c r="AP846" s="4"/>
      <c r="AQ846" s="4"/>
      <c r="AR846" s="4"/>
      <c r="AS846" s="76" t="str">
        <f>"COMMENT ON COLUMN "&amp;エンティティ一覧!$O$2&amp;"."&amp;D$8&amp;"."&amp;D846&amp;" IS '"&amp;C846&amp;"';"</f>
        <v>COMMENT ON COLUMN milscm_2023_009.sny_202310_annony_bef2.shikkan828_start_date IS 'K766_疾患開始日';</v>
      </c>
    </row>
    <row r="847" spans="1:45" s="25" customFormat="1">
      <c r="A847" s="4" t="s">
        <v>5893</v>
      </c>
      <c r="B847" s="21">
        <f t="shared" si="93"/>
        <v>835</v>
      </c>
      <c r="C847" s="13" t="s">
        <v>7283</v>
      </c>
      <c r="D847" s="13" t="s">
        <v>6489</v>
      </c>
      <c r="E847" s="8"/>
      <c r="F847" s="7" t="s">
        <v>4348</v>
      </c>
      <c r="G847" s="7" t="s">
        <v>25</v>
      </c>
      <c r="H847" s="58"/>
      <c r="I847" s="23"/>
      <c r="J847" s="24"/>
      <c r="M847" s="4"/>
      <c r="N847" s="76"/>
      <c r="O847" s="76"/>
      <c r="P847" s="76" t="str">
        <f t="shared" si="94"/>
        <v>,shikkan829_start_date</v>
      </c>
      <c r="Q847" s="76" t="str">
        <f t="shared" si="95"/>
        <v>DATE</v>
      </c>
      <c r="R847" s="76" t="str">
        <f t="shared" si="96"/>
        <v/>
      </c>
      <c r="S847" s="76" t="str">
        <f t="shared" si="97"/>
        <v/>
      </c>
      <c r="T847" s="76" t="str">
        <f t="shared" si="98"/>
        <v>-- K767_疾患開始日</v>
      </c>
      <c r="U847" s="4" t="str">
        <f t="shared" si="73"/>
        <v>, CASE WHEN shikkan_disp_name = 'K767' THEN min_shikkan_start_date ::DATE ELSE NULL END AS shikkan829_start_date</v>
      </c>
      <c r="V847" s="25" t="str">
        <f t="shared" si="74"/>
        <v>, max(shikkan829_start_date)</v>
      </c>
      <c r="AA847" s="4"/>
      <c r="AB847" s="4"/>
      <c r="AC847" s="4"/>
      <c r="AD847" s="4"/>
      <c r="AE847" s="4"/>
      <c r="AF847" s="4"/>
      <c r="AG847" s="4"/>
      <c r="AH847" s="4"/>
      <c r="AI847" s="4"/>
      <c r="AJ847" s="76" t="str">
        <f>IF(E847="○",IF(COUNTA(E$13:E847)=1,"",",")&amp;D847,"")</f>
        <v/>
      </c>
      <c r="AK847" s="4"/>
      <c r="AL847" s="4"/>
      <c r="AM847" s="4"/>
      <c r="AN847" s="4"/>
      <c r="AO847" s="4"/>
      <c r="AP847" s="4"/>
      <c r="AQ847" s="4"/>
      <c r="AR847" s="4"/>
      <c r="AS847" s="76" t="str">
        <f>"COMMENT ON COLUMN "&amp;エンティティ一覧!$O$2&amp;"."&amp;D$8&amp;"."&amp;D847&amp;" IS '"&amp;C847&amp;"';"</f>
        <v>COMMENT ON COLUMN milscm_2023_009.sny_202310_annony_bef2.shikkan829_start_date IS 'K767_疾患開始日';</v>
      </c>
    </row>
    <row r="848" spans="1:45" s="25" customFormat="1">
      <c r="A848" s="4" t="s">
        <v>5085</v>
      </c>
      <c r="B848" s="21">
        <f t="shared" si="93"/>
        <v>836</v>
      </c>
      <c r="C848" s="13" t="s">
        <v>4695</v>
      </c>
      <c r="D848" s="13" t="s">
        <v>6490</v>
      </c>
      <c r="E848" s="8"/>
      <c r="F848" s="7" t="s">
        <v>4348</v>
      </c>
      <c r="G848" s="7" t="s">
        <v>25</v>
      </c>
      <c r="H848" s="58"/>
      <c r="I848" s="23"/>
      <c r="J848" s="24"/>
      <c r="M848" s="4"/>
      <c r="N848" s="76"/>
      <c r="O848" s="76"/>
      <c r="P848" s="76" t="str">
        <f t="shared" si="94"/>
        <v>,shikkan830_start_date</v>
      </c>
      <c r="Q848" s="76" t="str">
        <f t="shared" si="95"/>
        <v>DATE</v>
      </c>
      <c r="R848" s="76" t="str">
        <f t="shared" si="96"/>
        <v/>
      </c>
      <c r="S848" s="76" t="str">
        <f t="shared" si="97"/>
        <v/>
      </c>
      <c r="T848" s="76" t="str">
        <f t="shared" si="98"/>
        <v>-- K768_疾患開始日</v>
      </c>
      <c r="U848" s="4" t="str">
        <f t="shared" si="73"/>
        <v>, CASE WHEN shikkan_disp_name = 'K768' THEN min_shikkan_start_date ::DATE ELSE NULL END AS shikkan830_start_date</v>
      </c>
      <c r="V848" s="25" t="str">
        <f t="shared" si="74"/>
        <v>, max(shikkan830_start_date)</v>
      </c>
      <c r="AA848" s="4"/>
      <c r="AB848" s="4"/>
      <c r="AC848" s="4"/>
      <c r="AD848" s="4"/>
      <c r="AE848" s="4"/>
      <c r="AF848" s="4"/>
      <c r="AG848" s="4"/>
      <c r="AH848" s="4"/>
      <c r="AI848" s="4"/>
      <c r="AJ848" s="76" t="str">
        <f>IF(E848="○",IF(COUNTA(E$13:E848)=1,"",",")&amp;D848,"")</f>
        <v/>
      </c>
      <c r="AK848" s="4"/>
      <c r="AL848" s="4"/>
      <c r="AM848" s="4"/>
      <c r="AN848" s="4"/>
      <c r="AO848" s="4"/>
      <c r="AP848" s="4"/>
      <c r="AQ848" s="4"/>
      <c r="AR848" s="4"/>
      <c r="AS848" s="76" t="str">
        <f>"COMMENT ON COLUMN "&amp;エンティティ一覧!$O$2&amp;"."&amp;D$8&amp;"."&amp;D848&amp;" IS '"&amp;C848&amp;"';"</f>
        <v>COMMENT ON COLUMN milscm_2023_009.sny_202310_annony_bef2.shikkan830_start_date IS 'K768_疾患開始日';</v>
      </c>
    </row>
    <row r="849" spans="1:45" s="25" customFormat="1">
      <c r="A849" s="4" t="s">
        <v>5086</v>
      </c>
      <c r="B849" s="21">
        <f t="shared" si="93"/>
        <v>837</v>
      </c>
      <c r="C849" s="13" t="s">
        <v>4696</v>
      </c>
      <c r="D849" s="13" t="s">
        <v>6491</v>
      </c>
      <c r="E849" s="8"/>
      <c r="F849" s="7" t="s">
        <v>4348</v>
      </c>
      <c r="G849" s="7" t="s">
        <v>25</v>
      </c>
      <c r="H849" s="58"/>
      <c r="I849" s="23"/>
      <c r="J849" s="24"/>
      <c r="M849" s="4"/>
      <c r="N849" s="76"/>
      <c r="O849" s="76"/>
      <c r="P849" s="76" t="str">
        <f t="shared" si="94"/>
        <v>,shikkan831_start_date</v>
      </c>
      <c r="Q849" s="76" t="str">
        <f t="shared" si="95"/>
        <v>DATE</v>
      </c>
      <c r="R849" s="76" t="str">
        <f t="shared" si="96"/>
        <v/>
      </c>
      <c r="S849" s="76" t="str">
        <f t="shared" si="97"/>
        <v/>
      </c>
      <c r="T849" s="76" t="str">
        <f t="shared" si="98"/>
        <v>-- K769_疾患開始日</v>
      </c>
      <c r="U849" s="4" t="str">
        <f t="shared" si="73"/>
        <v>, CASE WHEN shikkan_disp_name = 'K769' THEN min_shikkan_start_date ::DATE ELSE NULL END AS shikkan831_start_date</v>
      </c>
      <c r="V849" s="25" t="str">
        <f t="shared" si="74"/>
        <v>, max(shikkan831_start_date)</v>
      </c>
      <c r="AA849" s="4"/>
      <c r="AB849" s="4"/>
      <c r="AC849" s="4"/>
      <c r="AD849" s="4"/>
      <c r="AE849" s="4"/>
      <c r="AF849" s="4"/>
      <c r="AG849" s="4"/>
      <c r="AH849" s="4"/>
      <c r="AI849" s="4"/>
      <c r="AJ849" s="76" t="str">
        <f>IF(E849="○",IF(COUNTA(E$13:E849)=1,"",",")&amp;D849,"")</f>
        <v/>
      </c>
      <c r="AK849" s="4"/>
      <c r="AL849" s="4"/>
      <c r="AM849" s="4"/>
      <c r="AN849" s="4"/>
      <c r="AO849" s="4"/>
      <c r="AP849" s="4"/>
      <c r="AQ849" s="4"/>
      <c r="AR849" s="4"/>
      <c r="AS849" s="76" t="str">
        <f>"COMMENT ON COLUMN "&amp;エンティティ一覧!$O$2&amp;"."&amp;D$8&amp;"."&amp;D849&amp;" IS '"&amp;C849&amp;"';"</f>
        <v>COMMENT ON COLUMN milscm_2023_009.sny_202310_annony_bef2.shikkan831_start_date IS 'K769_疾患開始日';</v>
      </c>
    </row>
    <row r="850" spans="1:45" s="25" customFormat="1">
      <c r="A850" s="4" t="s">
        <v>5894</v>
      </c>
      <c r="B850" s="21">
        <f t="shared" si="93"/>
        <v>838</v>
      </c>
      <c r="C850" s="13" t="s">
        <v>7284</v>
      </c>
      <c r="D850" s="13" t="s">
        <v>6492</v>
      </c>
      <c r="E850" s="8"/>
      <c r="F850" s="7" t="s">
        <v>4348</v>
      </c>
      <c r="G850" s="7" t="s">
        <v>25</v>
      </c>
      <c r="H850" s="58"/>
      <c r="I850" s="23"/>
      <c r="J850" s="24"/>
      <c r="M850" s="4"/>
      <c r="N850" s="76"/>
      <c r="O850" s="76"/>
      <c r="P850" s="76" t="str">
        <f t="shared" si="94"/>
        <v>,shikkan832_start_date</v>
      </c>
      <c r="Q850" s="76" t="str">
        <f t="shared" si="95"/>
        <v>DATE</v>
      </c>
      <c r="R850" s="76" t="str">
        <f t="shared" si="96"/>
        <v/>
      </c>
      <c r="S850" s="76" t="str">
        <f t="shared" si="97"/>
        <v/>
      </c>
      <c r="T850" s="76" t="str">
        <f t="shared" si="98"/>
        <v>-- M050_疾患開始日</v>
      </c>
      <c r="U850" s="4" t="str">
        <f t="shared" ref="U850:U908" si="99">", CASE WHEN shikkan_disp_name = '"&amp;A850&amp;"' THEN min_shikkan_start_date ::DATE ELSE NULL END AS "&amp;D850</f>
        <v>, CASE WHEN shikkan_disp_name = 'M050' THEN min_shikkan_start_date ::DATE ELSE NULL END AS shikkan832_start_date</v>
      </c>
      <c r="V850" s="25" t="str">
        <f t="shared" ref="V850:V908" si="100">", max("&amp;D850&amp;")"</f>
        <v>, max(shikkan832_start_date)</v>
      </c>
      <c r="AA850" s="4"/>
      <c r="AB850" s="4"/>
      <c r="AC850" s="4"/>
      <c r="AD850" s="4"/>
      <c r="AE850" s="4"/>
      <c r="AF850" s="4"/>
      <c r="AG850" s="4"/>
      <c r="AH850" s="4"/>
      <c r="AI850" s="4"/>
      <c r="AJ850" s="76" t="str">
        <f>IF(E850="○",IF(COUNTA(E$13:E850)=1,"",",")&amp;D850,"")</f>
        <v/>
      </c>
      <c r="AK850" s="4"/>
      <c r="AL850" s="4"/>
      <c r="AM850" s="4"/>
      <c r="AN850" s="4"/>
      <c r="AO850" s="4"/>
      <c r="AP850" s="4"/>
      <c r="AQ850" s="4"/>
      <c r="AR850" s="4"/>
      <c r="AS850" s="76" t="str">
        <f>"COMMENT ON COLUMN "&amp;エンティティ一覧!$O$2&amp;"."&amp;D$8&amp;"."&amp;D850&amp;" IS '"&amp;C850&amp;"';"</f>
        <v>COMMENT ON COLUMN milscm_2023_009.sny_202310_annony_bef2.shikkan832_start_date IS 'M050_疾患開始日';</v>
      </c>
    </row>
    <row r="851" spans="1:45" s="25" customFormat="1">
      <c r="A851" s="4" t="s">
        <v>5895</v>
      </c>
      <c r="B851" s="21">
        <f t="shared" si="93"/>
        <v>839</v>
      </c>
      <c r="C851" s="13" t="s">
        <v>7285</v>
      </c>
      <c r="D851" s="13" t="s">
        <v>6493</v>
      </c>
      <c r="E851" s="8"/>
      <c r="F851" s="7" t="s">
        <v>4348</v>
      </c>
      <c r="G851" s="7" t="s">
        <v>25</v>
      </c>
      <c r="H851" s="58"/>
      <c r="I851" s="23"/>
      <c r="J851" s="24"/>
      <c r="M851" s="4"/>
      <c r="N851" s="76"/>
      <c r="O851" s="76"/>
      <c r="P851" s="76" t="str">
        <f t="shared" si="94"/>
        <v>,shikkan833_start_date</v>
      </c>
      <c r="Q851" s="76" t="str">
        <f t="shared" si="95"/>
        <v>DATE</v>
      </c>
      <c r="R851" s="76" t="str">
        <f t="shared" si="96"/>
        <v/>
      </c>
      <c r="S851" s="76" t="str">
        <f t="shared" si="97"/>
        <v/>
      </c>
      <c r="T851" s="76" t="str">
        <f t="shared" si="98"/>
        <v>-- M051_疾患開始日</v>
      </c>
      <c r="U851" s="4" t="str">
        <f t="shared" si="99"/>
        <v>, CASE WHEN shikkan_disp_name = 'M051' THEN min_shikkan_start_date ::DATE ELSE NULL END AS shikkan833_start_date</v>
      </c>
      <c r="V851" s="25" t="str">
        <f t="shared" si="100"/>
        <v>, max(shikkan833_start_date)</v>
      </c>
      <c r="AA851" s="4"/>
      <c r="AB851" s="4"/>
      <c r="AC851" s="4"/>
      <c r="AD851" s="4"/>
      <c r="AE851" s="4"/>
      <c r="AF851" s="4"/>
      <c r="AG851" s="4"/>
      <c r="AH851" s="4"/>
      <c r="AI851" s="4"/>
      <c r="AJ851" s="76" t="str">
        <f>IF(E851="○",IF(COUNTA(E$13:E851)=1,"",",")&amp;D851,"")</f>
        <v/>
      </c>
      <c r="AK851" s="4"/>
      <c r="AL851" s="4"/>
      <c r="AM851" s="4"/>
      <c r="AN851" s="4"/>
      <c r="AO851" s="4"/>
      <c r="AP851" s="4"/>
      <c r="AQ851" s="4"/>
      <c r="AR851" s="4"/>
      <c r="AS851" s="76" t="str">
        <f>"COMMENT ON COLUMN "&amp;エンティティ一覧!$O$2&amp;"."&amp;D$8&amp;"."&amp;D851&amp;" IS '"&amp;C851&amp;"';"</f>
        <v>COMMENT ON COLUMN milscm_2023_009.sny_202310_annony_bef2.shikkan833_start_date IS 'M051_疾患開始日';</v>
      </c>
    </row>
    <row r="852" spans="1:45" s="25" customFormat="1">
      <c r="A852" s="4" t="s">
        <v>5896</v>
      </c>
      <c r="B852" s="21">
        <f t="shared" si="93"/>
        <v>840</v>
      </c>
      <c r="C852" s="13" t="s">
        <v>7286</v>
      </c>
      <c r="D852" s="13" t="s">
        <v>6494</v>
      </c>
      <c r="E852" s="8"/>
      <c r="F852" s="7" t="s">
        <v>4348</v>
      </c>
      <c r="G852" s="7" t="s">
        <v>25</v>
      </c>
      <c r="H852" s="58"/>
      <c r="I852" s="23"/>
      <c r="J852" s="24"/>
      <c r="M852" s="4"/>
      <c r="N852" s="76"/>
      <c r="O852" s="76"/>
      <c r="P852" s="76" t="str">
        <f t="shared" si="94"/>
        <v>,shikkan834_start_date</v>
      </c>
      <c r="Q852" s="76" t="str">
        <f t="shared" si="95"/>
        <v>DATE</v>
      </c>
      <c r="R852" s="76" t="str">
        <f t="shared" si="96"/>
        <v/>
      </c>
      <c r="S852" s="76" t="str">
        <f t="shared" si="97"/>
        <v/>
      </c>
      <c r="T852" s="76" t="str">
        <f t="shared" si="98"/>
        <v>-- M052_疾患開始日</v>
      </c>
      <c r="U852" s="4" t="str">
        <f t="shared" si="99"/>
        <v>, CASE WHEN shikkan_disp_name = 'M052' THEN min_shikkan_start_date ::DATE ELSE NULL END AS shikkan834_start_date</v>
      </c>
      <c r="V852" s="25" t="str">
        <f t="shared" si="100"/>
        <v>, max(shikkan834_start_date)</v>
      </c>
      <c r="AA852" s="4"/>
      <c r="AB852" s="4"/>
      <c r="AC852" s="4"/>
      <c r="AD852" s="4"/>
      <c r="AE852" s="4"/>
      <c r="AF852" s="4"/>
      <c r="AG852" s="4"/>
      <c r="AH852" s="4"/>
      <c r="AI852" s="4"/>
      <c r="AJ852" s="76" t="str">
        <f>IF(E852="○",IF(COUNTA(E$13:E852)=1,"",",")&amp;D852,"")</f>
        <v/>
      </c>
      <c r="AK852" s="4"/>
      <c r="AL852" s="4"/>
      <c r="AM852" s="4"/>
      <c r="AN852" s="4"/>
      <c r="AO852" s="4"/>
      <c r="AP852" s="4"/>
      <c r="AQ852" s="4"/>
      <c r="AR852" s="4"/>
      <c r="AS852" s="76" t="str">
        <f>"COMMENT ON COLUMN "&amp;エンティティ一覧!$O$2&amp;"."&amp;D$8&amp;"."&amp;D852&amp;" IS '"&amp;C852&amp;"';"</f>
        <v>COMMENT ON COLUMN milscm_2023_009.sny_202310_annony_bef2.shikkan834_start_date IS 'M052_疾患開始日';</v>
      </c>
    </row>
    <row r="853" spans="1:45" s="25" customFormat="1">
      <c r="A853" s="4" t="s">
        <v>5897</v>
      </c>
      <c r="B853" s="21">
        <f t="shared" si="93"/>
        <v>841</v>
      </c>
      <c r="C853" s="13" t="s">
        <v>7287</v>
      </c>
      <c r="D853" s="13" t="s">
        <v>6495</v>
      </c>
      <c r="E853" s="8"/>
      <c r="F853" s="7" t="s">
        <v>4348</v>
      </c>
      <c r="G853" s="7" t="s">
        <v>25</v>
      </c>
      <c r="H853" s="58"/>
      <c r="I853" s="23"/>
      <c r="J853" s="24"/>
      <c r="M853" s="4"/>
      <c r="N853" s="76"/>
      <c r="O853" s="76"/>
      <c r="P853" s="76" t="str">
        <f t="shared" si="94"/>
        <v>,shikkan835_start_date</v>
      </c>
      <c r="Q853" s="76" t="str">
        <f t="shared" si="95"/>
        <v>DATE</v>
      </c>
      <c r="R853" s="76" t="str">
        <f t="shared" si="96"/>
        <v/>
      </c>
      <c r="S853" s="76" t="str">
        <f t="shared" si="97"/>
        <v/>
      </c>
      <c r="T853" s="76" t="str">
        <f t="shared" si="98"/>
        <v>-- M053_疾患開始日</v>
      </c>
      <c r="U853" s="4" t="str">
        <f t="shared" si="99"/>
        <v>, CASE WHEN shikkan_disp_name = 'M053' THEN min_shikkan_start_date ::DATE ELSE NULL END AS shikkan835_start_date</v>
      </c>
      <c r="V853" s="25" t="str">
        <f t="shared" si="100"/>
        <v>, max(shikkan835_start_date)</v>
      </c>
      <c r="AA853" s="4"/>
      <c r="AB853" s="4"/>
      <c r="AC853" s="4"/>
      <c r="AD853" s="4"/>
      <c r="AE853" s="4"/>
      <c r="AF853" s="4"/>
      <c r="AG853" s="4"/>
      <c r="AH853" s="4"/>
      <c r="AI853" s="4"/>
      <c r="AJ853" s="76" t="str">
        <f>IF(E853="○",IF(COUNTA(E$13:E853)=1,"",",")&amp;D853,"")</f>
        <v/>
      </c>
      <c r="AK853" s="4"/>
      <c r="AL853" s="4"/>
      <c r="AM853" s="4"/>
      <c r="AN853" s="4"/>
      <c r="AO853" s="4"/>
      <c r="AP853" s="4"/>
      <c r="AQ853" s="4"/>
      <c r="AR853" s="4"/>
      <c r="AS853" s="76" t="str">
        <f>"COMMENT ON COLUMN "&amp;エンティティ一覧!$O$2&amp;"."&amp;D$8&amp;"."&amp;D853&amp;" IS '"&amp;C853&amp;"';"</f>
        <v>COMMENT ON COLUMN milscm_2023_009.sny_202310_annony_bef2.shikkan835_start_date IS 'M053_疾患開始日';</v>
      </c>
    </row>
    <row r="854" spans="1:45" s="25" customFormat="1">
      <c r="A854" s="4" t="s">
        <v>5898</v>
      </c>
      <c r="B854" s="21">
        <f t="shared" ref="B854:B907" si="101">ROW()-12</f>
        <v>842</v>
      </c>
      <c r="C854" s="13" t="s">
        <v>7288</v>
      </c>
      <c r="D854" s="13" t="s">
        <v>6496</v>
      </c>
      <c r="E854" s="8"/>
      <c r="F854" s="7" t="s">
        <v>4348</v>
      </c>
      <c r="G854" s="7" t="s">
        <v>25</v>
      </c>
      <c r="H854" s="58"/>
      <c r="I854" s="23"/>
      <c r="J854" s="24"/>
      <c r="M854" s="4"/>
      <c r="N854" s="76"/>
      <c r="O854" s="76"/>
      <c r="P854" s="76" t="str">
        <f t="shared" si="94"/>
        <v>,shikkan836_start_date</v>
      </c>
      <c r="Q854" s="76" t="str">
        <f t="shared" si="95"/>
        <v>DATE</v>
      </c>
      <c r="R854" s="76" t="str">
        <f t="shared" si="96"/>
        <v/>
      </c>
      <c r="S854" s="76" t="str">
        <f t="shared" si="97"/>
        <v/>
      </c>
      <c r="T854" s="76" t="str">
        <f t="shared" si="98"/>
        <v>-- M058_疾患開始日</v>
      </c>
      <c r="U854" s="4" t="str">
        <f t="shared" si="99"/>
        <v>, CASE WHEN shikkan_disp_name = 'M058' THEN min_shikkan_start_date ::DATE ELSE NULL END AS shikkan836_start_date</v>
      </c>
      <c r="V854" s="25" t="str">
        <f t="shared" si="100"/>
        <v>, max(shikkan836_start_date)</v>
      </c>
      <c r="AA854" s="4"/>
      <c r="AB854" s="4"/>
      <c r="AC854" s="4"/>
      <c r="AD854" s="4"/>
      <c r="AE854" s="4"/>
      <c r="AF854" s="4"/>
      <c r="AG854" s="4"/>
      <c r="AH854" s="4"/>
      <c r="AI854" s="4"/>
      <c r="AJ854" s="76" t="str">
        <f>IF(E854="○",IF(COUNTA(E$13:E854)=1,"",",")&amp;D854,"")</f>
        <v/>
      </c>
      <c r="AK854" s="4"/>
      <c r="AL854" s="4"/>
      <c r="AM854" s="4"/>
      <c r="AN854" s="4"/>
      <c r="AO854" s="4"/>
      <c r="AP854" s="4"/>
      <c r="AQ854" s="4"/>
      <c r="AR854" s="4"/>
      <c r="AS854" s="76" t="str">
        <f>"COMMENT ON COLUMN "&amp;エンティティ一覧!$O$2&amp;"."&amp;D$8&amp;"."&amp;D854&amp;" IS '"&amp;C854&amp;"';"</f>
        <v>COMMENT ON COLUMN milscm_2023_009.sny_202310_annony_bef2.shikkan836_start_date IS 'M058_疾患開始日';</v>
      </c>
    </row>
    <row r="855" spans="1:45" s="25" customFormat="1">
      <c r="A855" s="4" t="s">
        <v>5899</v>
      </c>
      <c r="B855" s="21">
        <f t="shared" si="101"/>
        <v>843</v>
      </c>
      <c r="C855" s="13" t="s">
        <v>7289</v>
      </c>
      <c r="D855" s="13" t="s">
        <v>6497</v>
      </c>
      <c r="E855" s="8"/>
      <c r="F855" s="7" t="s">
        <v>4348</v>
      </c>
      <c r="G855" s="7" t="s">
        <v>25</v>
      </c>
      <c r="H855" s="58"/>
      <c r="I855" s="23"/>
      <c r="J855" s="24"/>
      <c r="M855" s="4"/>
      <c r="N855" s="76"/>
      <c r="O855" s="76"/>
      <c r="P855" s="76" t="str">
        <f t="shared" si="94"/>
        <v>,shikkan837_start_date</v>
      </c>
      <c r="Q855" s="76" t="str">
        <f t="shared" si="95"/>
        <v>DATE</v>
      </c>
      <c r="R855" s="76" t="str">
        <f t="shared" si="96"/>
        <v/>
      </c>
      <c r="S855" s="76" t="str">
        <f t="shared" si="97"/>
        <v/>
      </c>
      <c r="T855" s="76" t="str">
        <f t="shared" si="98"/>
        <v>-- M059_疾患開始日</v>
      </c>
      <c r="U855" s="4" t="str">
        <f t="shared" si="99"/>
        <v>, CASE WHEN shikkan_disp_name = 'M059' THEN min_shikkan_start_date ::DATE ELSE NULL END AS shikkan837_start_date</v>
      </c>
      <c r="V855" s="25" t="str">
        <f t="shared" si="100"/>
        <v>, max(shikkan837_start_date)</v>
      </c>
      <c r="AA855" s="4"/>
      <c r="AB855" s="4"/>
      <c r="AC855" s="4"/>
      <c r="AD855" s="4"/>
      <c r="AE855" s="4"/>
      <c r="AF855" s="4"/>
      <c r="AG855" s="4"/>
      <c r="AH855" s="4"/>
      <c r="AI855" s="4"/>
      <c r="AJ855" s="76" t="str">
        <f>IF(E855="○",IF(COUNTA(E$13:E855)=1,"",",")&amp;D855,"")</f>
        <v/>
      </c>
      <c r="AK855" s="4"/>
      <c r="AL855" s="4"/>
      <c r="AM855" s="4"/>
      <c r="AN855" s="4"/>
      <c r="AO855" s="4"/>
      <c r="AP855" s="4"/>
      <c r="AQ855" s="4"/>
      <c r="AR855" s="4"/>
      <c r="AS855" s="76" t="str">
        <f>"COMMENT ON COLUMN "&amp;エンティティ一覧!$O$2&amp;"."&amp;D$8&amp;"."&amp;D855&amp;" IS '"&amp;C855&amp;"';"</f>
        <v>COMMENT ON COLUMN milscm_2023_009.sny_202310_annony_bef2.shikkan837_start_date IS 'M059_疾患開始日';</v>
      </c>
    </row>
    <row r="856" spans="1:45" s="25" customFormat="1">
      <c r="A856" s="4" t="s">
        <v>5900</v>
      </c>
      <c r="B856" s="21">
        <f t="shared" si="101"/>
        <v>844</v>
      </c>
      <c r="C856" s="13" t="s">
        <v>7290</v>
      </c>
      <c r="D856" s="13" t="s">
        <v>6498</v>
      </c>
      <c r="E856" s="8"/>
      <c r="F856" s="7" t="s">
        <v>4348</v>
      </c>
      <c r="G856" s="7" t="s">
        <v>25</v>
      </c>
      <c r="H856" s="58"/>
      <c r="I856" s="23"/>
      <c r="J856" s="24"/>
      <c r="M856" s="4"/>
      <c r="N856" s="76"/>
      <c r="O856" s="76"/>
      <c r="P856" s="76" t="str">
        <f t="shared" si="94"/>
        <v>,shikkan838_start_date</v>
      </c>
      <c r="Q856" s="76" t="str">
        <f t="shared" si="95"/>
        <v>DATE</v>
      </c>
      <c r="R856" s="76" t="str">
        <f t="shared" si="96"/>
        <v/>
      </c>
      <c r="S856" s="76" t="str">
        <f t="shared" si="97"/>
        <v/>
      </c>
      <c r="T856" s="76" t="str">
        <f t="shared" si="98"/>
        <v>-- M060_疾患開始日</v>
      </c>
      <c r="U856" s="4" t="str">
        <f t="shared" si="99"/>
        <v>, CASE WHEN shikkan_disp_name = 'M060' THEN min_shikkan_start_date ::DATE ELSE NULL END AS shikkan838_start_date</v>
      </c>
      <c r="V856" s="25" t="str">
        <f t="shared" si="100"/>
        <v>, max(shikkan838_start_date)</v>
      </c>
      <c r="AA856" s="4"/>
      <c r="AB856" s="4"/>
      <c r="AC856" s="4"/>
      <c r="AD856" s="4"/>
      <c r="AE856" s="4"/>
      <c r="AF856" s="4"/>
      <c r="AG856" s="4"/>
      <c r="AH856" s="4"/>
      <c r="AI856" s="4"/>
      <c r="AJ856" s="76" t="str">
        <f>IF(E856="○",IF(COUNTA(E$13:E856)=1,"",",")&amp;D856,"")</f>
        <v/>
      </c>
      <c r="AK856" s="4"/>
      <c r="AL856" s="4"/>
      <c r="AM856" s="4"/>
      <c r="AN856" s="4"/>
      <c r="AO856" s="4"/>
      <c r="AP856" s="4"/>
      <c r="AQ856" s="4"/>
      <c r="AR856" s="4"/>
      <c r="AS856" s="76" t="str">
        <f>"COMMENT ON COLUMN "&amp;エンティティ一覧!$O$2&amp;"."&amp;D$8&amp;"."&amp;D856&amp;" IS '"&amp;C856&amp;"';"</f>
        <v>COMMENT ON COLUMN milscm_2023_009.sny_202310_annony_bef2.shikkan838_start_date IS 'M060_疾患開始日';</v>
      </c>
    </row>
    <row r="857" spans="1:45" s="25" customFormat="1">
      <c r="A857" s="4" t="s">
        <v>5901</v>
      </c>
      <c r="B857" s="21">
        <f t="shared" si="101"/>
        <v>845</v>
      </c>
      <c r="C857" s="13" t="s">
        <v>7291</v>
      </c>
      <c r="D857" s="13" t="s">
        <v>6499</v>
      </c>
      <c r="E857" s="8"/>
      <c r="F857" s="7" t="s">
        <v>4348</v>
      </c>
      <c r="G857" s="7" t="s">
        <v>25</v>
      </c>
      <c r="H857" s="58"/>
      <c r="I857" s="23"/>
      <c r="J857" s="24"/>
      <c r="M857" s="4"/>
      <c r="N857" s="76"/>
      <c r="O857" s="76"/>
      <c r="P857" s="76" t="str">
        <f t="shared" si="94"/>
        <v>,shikkan839_start_date</v>
      </c>
      <c r="Q857" s="76" t="str">
        <f t="shared" si="95"/>
        <v>DATE</v>
      </c>
      <c r="R857" s="76" t="str">
        <f t="shared" si="96"/>
        <v/>
      </c>
      <c r="S857" s="76" t="str">
        <f t="shared" si="97"/>
        <v/>
      </c>
      <c r="T857" s="76" t="str">
        <f t="shared" si="98"/>
        <v>-- M061_疾患開始日</v>
      </c>
      <c r="U857" s="4" t="str">
        <f t="shared" si="99"/>
        <v>, CASE WHEN shikkan_disp_name = 'M061' THEN min_shikkan_start_date ::DATE ELSE NULL END AS shikkan839_start_date</v>
      </c>
      <c r="V857" s="25" t="str">
        <f t="shared" si="100"/>
        <v>, max(shikkan839_start_date)</v>
      </c>
      <c r="AA857" s="4"/>
      <c r="AB857" s="4"/>
      <c r="AC857" s="4"/>
      <c r="AD857" s="4"/>
      <c r="AE857" s="4"/>
      <c r="AF857" s="4"/>
      <c r="AG857" s="4"/>
      <c r="AH857" s="4"/>
      <c r="AI857" s="4"/>
      <c r="AJ857" s="76" t="str">
        <f>IF(E857="○",IF(COUNTA(E$13:E857)=1,"",",")&amp;D857,"")</f>
        <v/>
      </c>
      <c r="AK857" s="4"/>
      <c r="AL857" s="4"/>
      <c r="AM857" s="4"/>
      <c r="AN857" s="4"/>
      <c r="AO857" s="4"/>
      <c r="AP857" s="4"/>
      <c r="AQ857" s="4"/>
      <c r="AR857" s="4"/>
      <c r="AS857" s="76" t="str">
        <f>"COMMENT ON COLUMN "&amp;エンティティ一覧!$O$2&amp;"."&amp;D$8&amp;"."&amp;D857&amp;" IS '"&amp;C857&amp;"';"</f>
        <v>COMMENT ON COLUMN milscm_2023_009.sny_202310_annony_bef2.shikkan839_start_date IS 'M061_疾患開始日';</v>
      </c>
    </row>
    <row r="858" spans="1:45" s="25" customFormat="1">
      <c r="A858" s="4" t="s">
        <v>5902</v>
      </c>
      <c r="B858" s="21">
        <f t="shared" si="101"/>
        <v>846</v>
      </c>
      <c r="C858" s="13" t="s">
        <v>7292</v>
      </c>
      <c r="D858" s="13" t="s">
        <v>6500</v>
      </c>
      <c r="E858" s="8"/>
      <c r="F858" s="7" t="s">
        <v>4348</v>
      </c>
      <c r="G858" s="7" t="s">
        <v>25</v>
      </c>
      <c r="H858" s="58"/>
      <c r="I858" s="23"/>
      <c r="J858" s="24"/>
      <c r="M858" s="4"/>
      <c r="N858" s="76"/>
      <c r="O858" s="76"/>
      <c r="P858" s="76" t="str">
        <f t="shared" si="94"/>
        <v>,shikkan840_start_date</v>
      </c>
      <c r="Q858" s="76" t="str">
        <f t="shared" si="95"/>
        <v>DATE</v>
      </c>
      <c r="R858" s="76" t="str">
        <f t="shared" si="96"/>
        <v/>
      </c>
      <c r="S858" s="76" t="str">
        <f t="shared" si="97"/>
        <v/>
      </c>
      <c r="T858" s="76" t="str">
        <f t="shared" si="98"/>
        <v>-- M062_疾患開始日</v>
      </c>
      <c r="U858" s="4" t="str">
        <f t="shared" si="99"/>
        <v>, CASE WHEN shikkan_disp_name = 'M062' THEN min_shikkan_start_date ::DATE ELSE NULL END AS shikkan840_start_date</v>
      </c>
      <c r="V858" s="25" t="str">
        <f t="shared" si="100"/>
        <v>, max(shikkan840_start_date)</v>
      </c>
      <c r="AA858" s="4"/>
      <c r="AB858" s="4"/>
      <c r="AC858" s="4"/>
      <c r="AD858" s="4"/>
      <c r="AE858" s="4"/>
      <c r="AF858" s="4"/>
      <c r="AG858" s="4"/>
      <c r="AH858" s="4"/>
      <c r="AI858" s="4"/>
      <c r="AJ858" s="76" t="str">
        <f>IF(E858="○",IF(COUNTA(E$13:E858)=1,"",",")&amp;D858,"")</f>
        <v/>
      </c>
      <c r="AK858" s="4"/>
      <c r="AL858" s="4"/>
      <c r="AM858" s="4"/>
      <c r="AN858" s="4"/>
      <c r="AO858" s="4"/>
      <c r="AP858" s="4"/>
      <c r="AQ858" s="4"/>
      <c r="AR858" s="4"/>
      <c r="AS858" s="76" t="str">
        <f>"COMMENT ON COLUMN "&amp;エンティティ一覧!$O$2&amp;"."&amp;D$8&amp;"."&amp;D858&amp;" IS '"&amp;C858&amp;"';"</f>
        <v>COMMENT ON COLUMN milscm_2023_009.sny_202310_annony_bef2.shikkan840_start_date IS 'M062_疾患開始日';</v>
      </c>
    </row>
    <row r="859" spans="1:45" s="25" customFormat="1">
      <c r="A859" s="4" t="s">
        <v>5903</v>
      </c>
      <c r="B859" s="21">
        <f t="shared" si="101"/>
        <v>847</v>
      </c>
      <c r="C859" s="13" t="s">
        <v>7293</v>
      </c>
      <c r="D859" s="13" t="s">
        <v>6501</v>
      </c>
      <c r="E859" s="8"/>
      <c r="F859" s="7" t="s">
        <v>4348</v>
      </c>
      <c r="G859" s="7" t="s">
        <v>25</v>
      </c>
      <c r="H859" s="58"/>
      <c r="I859" s="23"/>
      <c r="J859" s="24"/>
      <c r="M859" s="4"/>
      <c r="N859" s="76"/>
      <c r="O859" s="76"/>
      <c r="P859" s="76" t="str">
        <f t="shared" si="94"/>
        <v>,shikkan841_start_date</v>
      </c>
      <c r="Q859" s="76" t="str">
        <f t="shared" si="95"/>
        <v>DATE</v>
      </c>
      <c r="R859" s="76" t="str">
        <f t="shared" si="96"/>
        <v/>
      </c>
      <c r="S859" s="76" t="str">
        <f t="shared" si="97"/>
        <v/>
      </c>
      <c r="T859" s="76" t="str">
        <f t="shared" si="98"/>
        <v>-- M063_疾患開始日</v>
      </c>
      <c r="U859" s="4" t="str">
        <f t="shared" si="99"/>
        <v>, CASE WHEN shikkan_disp_name = 'M063' THEN min_shikkan_start_date ::DATE ELSE NULL END AS shikkan841_start_date</v>
      </c>
      <c r="V859" s="25" t="str">
        <f t="shared" si="100"/>
        <v>, max(shikkan841_start_date)</v>
      </c>
      <c r="AA859" s="4"/>
      <c r="AB859" s="4"/>
      <c r="AC859" s="4"/>
      <c r="AD859" s="4"/>
      <c r="AE859" s="4"/>
      <c r="AF859" s="4"/>
      <c r="AG859" s="4"/>
      <c r="AH859" s="4"/>
      <c r="AI859" s="4"/>
      <c r="AJ859" s="76" t="str">
        <f>IF(E859="○",IF(COUNTA(E$13:E859)=1,"",",")&amp;D859,"")</f>
        <v/>
      </c>
      <c r="AK859" s="4"/>
      <c r="AL859" s="4"/>
      <c r="AM859" s="4"/>
      <c r="AN859" s="4"/>
      <c r="AO859" s="4"/>
      <c r="AP859" s="4"/>
      <c r="AQ859" s="4"/>
      <c r="AR859" s="4"/>
      <c r="AS859" s="76" t="str">
        <f>"COMMENT ON COLUMN "&amp;エンティティ一覧!$O$2&amp;"."&amp;D$8&amp;"."&amp;D859&amp;" IS '"&amp;C859&amp;"';"</f>
        <v>COMMENT ON COLUMN milscm_2023_009.sny_202310_annony_bef2.shikkan841_start_date IS 'M063_疾患開始日';</v>
      </c>
    </row>
    <row r="860" spans="1:45" s="25" customFormat="1">
      <c r="A860" s="4" t="s">
        <v>5904</v>
      </c>
      <c r="B860" s="21">
        <f t="shared" si="101"/>
        <v>848</v>
      </c>
      <c r="C860" s="13" t="s">
        <v>7294</v>
      </c>
      <c r="D860" s="13" t="s">
        <v>6502</v>
      </c>
      <c r="E860" s="8"/>
      <c r="F860" s="7" t="s">
        <v>4348</v>
      </c>
      <c r="G860" s="7" t="s">
        <v>25</v>
      </c>
      <c r="H860" s="58"/>
      <c r="I860" s="23"/>
      <c r="J860" s="24"/>
      <c r="M860" s="4"/>
      <c r="N860" s="76"/>
      <c r="O860" s="76"/>
      <c r="P860" s="76" t="str">
        <f t="shared" si="94"/>
        <v>,shikkan842_start_date</v>
      </c>
      <c r="Q860" s="76" t="str">
        <f t="shared" si="95"/>
        <v>DATE</v>
      </c>
      <c r="R860" s="76" t="str">
        <f t="shared" si="96"/>
        <v/>
      </c>
      <c r="S860" s="76" t="str">
        <f t="shared" si="97"/>
        <v/>
      </c>
      <c r="T860" s="76" t="str">
        <f t="shared" si="98"/>
        <v>-- M064_疾患開始日</v>
      </c>
      <c r="U860" s="4" t="str">
        <f t="shared" si="99"/>
        <v>, CASE WHEN shikkan_disp_name = 'M064' THEN min_shikkan_start_date ::DATE ELSE NULL END AS shikkan842_start_date</v>
      </c>
      <c r="V860" s="25" t="str">
        <f t="shared" si="100"/>
        <v>, max(shikkan842_start_date)</v>
      </c>
      <c r="AA860" s="4"/>
      <c r="AB860" s="4"/>
      <c r="AC860" s="4"/>
      <c r="AD860" s="4"/>
      <c r="AE860" s="4"/>
      <c r="AF860" s="4"/>
      <c r="AG860" s="4"/>
      <c r="AH860" s="4"/>
      <c r="AI860" s="4"/>
      <c r="AJ860" s="76" t="str">
        <f>IF(E860="○",IF(COUNTA(E$13:E860)=1,"",",")&amp;D860,"")</f>
        <v/>
      </c>
      <c r="AK860" s="4"/>
      <c r="AL860" s="4"/>
      <c r="AM860" s="4"/>
      <c r="AN860" s="4"/>
      <c r="AO860" s="4"/>
      <c r="AP860" s="4"/>
      <c r="AQ860" s="4"/>
      <c r="AR860" s="4"/>
      <c r="AS860" s="76" t="str">
        <f>"COMMENT ON COLUMN "&amp;エンティティ一覧!$O$2&amp;"."&amp;D$8&amp;"."&amp;D860&amp;" IS '"&amp;C860&amp;"';"</f>
        <v>COMMENT ON COLUMN milscm_2023_009.sny_202310_annony_bef2.shikkan842_start_date IS 'M064_疾患開始日';</v>
      </c>
    </row>
    <row r="861" spans="1:45" s="25" customFormat="1">
      <c r="A861" s="4" t="s">
        <v>5905</v>
      </c>
      <c r="B861" s="21">
        <f t="shared" si="101"/>
        <v>849</v>
      </c>
      <c r="C861" s="13" t="s">
        <v>7295</v>
      </c>
      <c r="D861" s="13" t="s">
        <v>6503</v>
      </c>
      <c r="E861" s="8"/>
      <c r="F861" s="7" t="s">
        <v>4348</v>
      </c>
      <c r="G861" s="7" t="s">
        <v>25</v>
      </c>
      <c r="H861" s="58"/>
      <c r="I861" s="23"/>
      <c r="J861" s="24"/>
      <c r="M861" s="4"/>
      <c r="N861" s="76"/>
      <c r="O861" s="76"/>
      <c r="P861" s="76" t="str">
        <f t="shared" si="94"/>
        <v>,shikkan843_start_date</v>
      </c>
      <c r="Q861" s="76" t="str">
        <f t="shared" si="95"/>
        <v>DATE</v>
      </c>
      <c r="R861" s="76" t="str">
        <f t="shared" si="96"/>
        <v/>
      </c>
      <c r="S861" s="76" t="str">
        <f t="shared" si="97"/>
        <v/>
      </c>
      <c r="T861" s="76" t="str">
        <f t="shared" si="98"/>
        <v>-- M068_疾患開始日</v>
      </c>
      <c r="U861" s="4" t="str">
        <f t="shared" si="99"/>
        <v>, CASE WHEN shikkan_disp_name = 'M068' THEN min_shikkan_start_date ::DATE ELSE NULL END AS shikkan843_start_date</v>
      </c>
      <c r="V861" s="25" t="str">
        <f t="shared" si="100"/>
        <v>, max(shikkan843_start_date)</v>
      </c>
      <c r="AA861" s="4"/>
      <c r="AB861" s="4"/>
      <c r="AC861" s="4"/>
      <c r="AD861" s="4"/>
      <c r="AE861" s="4"/>
      <c r="AF861" s="4"/>
      <c r="AG861" s="4"/>
      <c r="AH861" s="4"/>
      <c r="AI861" s="4"/>
      <c r="AJ861" s="76" t="str">
        <f>IF(E861="○",IF(COUNTA(E$13:E861)=1,"",",")&amp;D861,"")</f>
        <v/>
      </c>
      <c r="AK861" s="4"/>
      <c r="AL861" s="4"/>
      <c r="AM861" s="4"/>
      <c r="AN861" s="4"/>
      <c r="AO861" s="4"/>
      <c r="AP861" s="4"/>
      <c r="AQ861" s="4"/>
      <c r="AR861" s="4"/>
      <c r="AS861" s="76" t="str">
        <f>"COMMENT ON COLUMN "&amp;エンティティ一覧!$O$2&amp;"."&amp;D$8&amp;"."&amp;D861&amp;" IS '"&amp;C861&amp;"';"</f>
        <v>COMMENT ON COLUMN milscm_2023_009.sny_202310_annony_bef2.shikkan843_start_date IS 'M068_疾患開始日';</v>
      </c>
    </row>
    <row r="862" spans="1:45" s="25" customFormat="1">
      <c r="A862" s="4" t="s">
        <v>5906</v>
      </c>
      <c r="B862" s="21">
        <f t="shared" si="101"/>
        <v>850</v>
      </c>
      <c r="C862" s="13" t="s">
        <v>7296</v>
      </c>
      <c r="D862" s="13" t="s">
        <v>6504</v>
      </c>
      <c r="E862" s="8"/>
      <c r="F862" s="7" t="s">
        <v>4348</v>
      </c>
      <c r="G862" s="7" t="s">
        <v>25</v>
      </c>
      <c r="H862" s="58"/>
      <c r="I862" s="23"/>
      <c r="J862" s="24"/>
      <c r="M862" s="4"/>
      <c r="N862" s="76"/>
      <c r="O862" s="76"/>
      <c r="P862" s="76" t="str">
        <f t="shared" si="94"/>
        <v>,shikkan844_start_date</v>
      </c>
      <c r="Q862" s="76" t="str">
        <f t="shared" si="95"/>
        <v>DATE</v>
      </c>
      <c r="R862" s="76" t="str">
        <f t="shared" si="96"/>
        <v/>
      </c>
      <c r="S862" s="76" t="str">
        <f t="shared" si="97"/>
        <v/>
      </c>
      <c r="T862" s="76" t="str">
        <f t="shared" si="98"/>
        <v>-- M069_疾患開始日</v>
      </c>
      <c r="U862" s="4" t="str">
        <f t="shared" si="99"/>
        <v>, CASE WHEN shikkan_disp_name = 'M069' THEN min_shikkan_start_date ::DATE ELSE NULL END AS shikkan844_start_date</v>
      </c>
      <c r="V862" s="25" t="str">
        <f t="shared" si="100"/>
        <v>, max(shikkan844_start_date)</v>
      </c>
      <c r="AA862" s="4"/>
      <c r="AB862" s="4"/>
      <c r="AC862" s="4"/>
      <c r="AD862" s="4"/>
      <c r="AE862" s="4"/>
      <c r="AF862" s="4"/>
      <c r="AG862" s="4"/>
      <c r="AH862" s="4"/>
      <c r="AI862" s="4"/>
      <c r="AJ862" s="76" t="str">
        <f>IF(E862="○",IF(COUNTA(E$13:E862)=1,"",",")&amp;D862,"")</f>
        <v/>
      </c>
      <c r="AK862" s="4"/>
      <c r="AL862" s="4"/>
      <c r="AM862" s="4"/>
      <c r="AN862" s="4"/>
      <c r="AO862" s="4"/>
      <c r="AP862" s="4"/>
      <c r="AQ862" s="4"/>
      <c r="AR862" s="4"/>
      <c r="AS862" s="76" t="str">
        <f>"COMMENT ON COLUMN "&amp;エンティティ一覧!$O$2&amp;"."&amp;D$8&amp;"."&amp;D862&amp;" IS '"&amp;C862&amp;"';"</f>
        <v>COMMENT ON COLUMN milscm_2023_009.sny_202310_annony_bef2.shikkan844_start_date IS 'M069_疾患開始日';</v>
      </c>
    </row>
    <row r="863" spans="1:45" s="25" customFormat="1">
      <c r="A863" s="4" t="s">
        <v>5907</v>
      </c>
      <c r="B863" s="21">
        <f t="shared" si="101"/>
        <v>851</v>
      </c>
      <c r="C863" s="13" t="s">
        <v>7297</v>
      </c>
      <c r="D863" s="13" t="s">
        <v>6505</v>
      </c>
      <c r="E863" s="8"/>
      <c r="F863" s="7" t="s">
        <v>4348</v>
      </c>
      <c r="G863" s="7" t="s">
        <v>25</v>
      </c>
      <c r="H863" s="58"/>
      <c r="I863" s="23"/>
      <c r="J863" s="24"/>
      <c r="M863" s="4"/>
      <c r="N863" s="76"/>
      <c r="O863" s="76"/>
      <c r="P863" s="76" t="str">
        <f t="shared" si="94"/>
        <v>,shikkan845_start_date</v>
      </c>
      <c r="Q863" s="76" t="str">
        <f t="shared" si="95"/>
        <v>DATE</v>
      </c>
      <c r="R863" s="76" t="str">
        <f t="shared" si="96"/>
        <v/>
      </c>
      <c r="S863" s="76" t="str">
        <f t="shared" si="97"/>
        <v/>
      </c>
      <c r="T863" s="76" t="str">
        <f t="shared" si="98"/>
        <v>-- M315_疾患開始日</v>
      </c>
      <c r="U863" s="4" t="str">
        <f t="shared" si="99"/>
        <v>, CASE WHEN shikkan_disp_name = 'M315' THEN min_shikkan_start_date ::DATE ELSE NULL END AS shikkan845_start_date</v>
      </c>
      <c r="V863" s="25" t="str">
        <f t="shared" si="100"/>
        <v>, max(shikkan845_start_date)</v>
      </c>
      <c r="AA863" s="4"/>
      <c r="AB863" s="4"/>
      <c r="AC863" s="4"/>
      <c r="AD863" s="4"/>
      <c r="AE863" s="4"/>
      <c r="AF863" s="4"/>
      <c r="AG863" s="4"/>
      <c r="AH863" s="4"/>
      <c r="AI863" s="4"/>
      <c r="AJ863" s="76" t="str">
        <f>IF(E863="○",IF(COUNTA(E$13:E863)=1,"",",")&amp;D863,"")</f>
        <v/>
      </c>
      <c r="AK863" s="4"/>
      <c r="AL863" s="4"/>
      <c r="AM863" s="4"/>
      <c r="AN863" s="4"/>
      <c r="AO863" s="4"/>
      <c r="AP863" s="4"/>
      <c r="AQ863" s="4"/>
      <c r="AR863" s="4"/>
      <c r="AS863" s="76" t="str">
        <f>"COMMENT ON COLUMN "&amp;エンティティ一覧!$O$2&amp;"."&amp;D$8&amp;"."&amp;D863&amp;" IS '"&amp;C863&amp;"';"</f>
        <v>COMMENT ON COLUMN milscm_2023_009.sny_202310_annony_bef2.shikkan845_start_date IS 'M315_疾患開始日';</v>
      </c>
    </row>
    <row r="864" spans="1:45" s="25" customFormat="1">
      <c r="A864" s="4" t="s">
        <v>5908</v>
      </c>
      <c r="B864" s="21">
        <f t="shared" si="101"/>
        <v>852</v>
      </c>
      <c r="C864" s="13" t="s">
        <v>7298</v>
      </c>
      <c r="D864" s="13" t="s">
        <v>6506</v>
      </c>
      <c r="E864" s="8"/>
      <c r="F864" s="7" t="s">
        <v>4348</v>
      </c>
      <c r="G864" s="7" t="s">
        <v>25</v>
      </c>
      <c r="H864" s="58"/>
      <c r="I864" s="23"/>
      <c r="J864" s="24"/>
      <c r="M864" s="4"/>
      <c r="N864" s="76"/>
      <c r="O864" s="76"/>
      <c r="P864" s="76" t="str">
        <f t="shared" si="94"/>
        <v>,shikkan846_start_date</v>
      </c>
      <c r="Q864" s="76" t="str">
        <f t="shared" si="95"/>
        <v>DATE</v>
      </c>
      <c r="R864" s="76" t="str">
        <f t="shared" si="96"/>
        <v/>
      </c>
      <c r="S864" s="76" t="str">
        <f t="shared" si="97"/>
        <v/>
      </c>
      <c r="T864" s="76" t="str">
        <f t="shared" si="98"/>
        <v>-- M320_疾患開始日</v>
      </c>
      <c r="U864" s="4" t="str">
        <f t="shared" si="99"/>
        <v>, CASE WHEN shikkan_disp_name = 'M320' THEN min_shikkan_start_date ::DATE ELSE NULL END AS shikkan846_start_date</v>
      </c>
      <c r="V864" s="25" t="str">
        <f t="shared" si="100"/>
        <v>, max(shikkan846_start_date)</v>
      </c>
      <c r="AA864" s="4"/>
      <c r="AB864" s="4"/>
      <c r="AC864" s="4"/>
      <c r="AD864" s="4"/>
      <c r="AE864" s="4"/>
      <c r="AF864" s="4"/>
      <c r="AG864" s="4"/>
      <c r="AH864" s="4"/>
      <c r="AI864" s="4"/>
      <c r="AJ864" s="76" t="str">
        <f>IF(E864="○",IF(COUNTA(E$13:E864)=1,"",",")&amp;D864,"")</f>
        <v/>
      </c>
      <c r="AK864" s="4"/>
      <c r="AL864" s="4"/>
      <c r="AM864" s="4"/>
      <c r="AN864" s="4"/>
      <c r="AO864" s="4"/>
      <c r="AP864" s="4"/>
      <c r="AQ864" s="4"/>
      <c r="AR864" s="4"/>
      <c r="AS864" s="76" t="str">
        <f>"COMMENT ON COLUMN "&amp;エンティティ一覧!$O$2&amp;"."&amp;D$8&amp;"."&amp;D864&amp;" IS '"&amp;C864&amp;"';"</f>
        <v>COMMENT ON COLUMN milscm_2023_009.sny_202310_annony_bef2.shikkan846_start_date IS 'M320_疾患開始日';</v>
      </c>
    </row>
    <row r="865" spans="1:45" s="25" customFormat="1">
      <c r="A865" s="4" t="s">
        <v>5909</v>
      </c>
      <c r="B865" s="21">
        <f t="shared" si="101"/>
        <v>853</v>
      </c>
      <c r="C865" s="13" t="s">
        <v>7299</v>
      </c>
      <c r="D865" s="13" t="s">
        <v>6507</v>
      </c>
      <c r="E865" s="8"/>
      <c r="F865" s="7" t="s">
        <v>4348</v>
      </c>
      <c r="G865" s="7" t="s">
        <v>25</v>
      </c>
      <c r="H865" s="58"/>
      <c r="I865" s="23"/>
      <c r="J865" s="24"/>
      <c r="M865" s="4"/>
      <c r="N865" s="76"/>
      <c r="O865" s="76"/>
      <c r="P865" s="76" t="str">
        <f t="shared" si="94"/>
        <v>,shikkan847_start_date</v>
      </c>
      <c r="Q865" s="76" t="str">
        <f t="shared" si="95"/>
        <v>DATE</v>
      </c>
      <c r="R865" s="76" t="str">
        <f t="shared" si="96"/>
        <v/>
      </c>
      <c r="S865" s="76" t="str">
        <f t="shared" si="97"/>
        <v/>
      </c>
      <c r="T865" s="76" t="str">
        <f t="shared" si="98"/>
        <v>-- M321_疾患開始日</v>
      </c>
      <c r="U865" s="4" t="str">
        <f t="shared" si="99"/>
        <v>, CASE WHEN shikkan_disp_name = 'M321' THEN min_shikkan_start_date ::DATE ELSE NULL END AS shikkan847_start_date</v>
      </c>
      <c r="V865" s="25" t="str">
        <f t="shared" si="100"/>
        <v>, max(shikkan847_start_date)</v>
      </c>
      <c r="AA865" s="4"/>
      <c r="AB865" s="4"/>
      <c r="AC865" s="4"/>
      <c r="AD865" s="4"/>
      <c r="AE865" s="4"/>
      <c r="AF865" s="4"/>
      <c r="AG865" s="4"/>
      <c r="AH865" s="4"/>
      <c r="AI865" s="4"/>
      <c r="AJ865" s="76" t="str">
        <f>IF(E865="○",IF(COUNTA(E$13:E865)=1,"",",")&amp;D865,"")</f>
        <v/>
      </c>
      <c r="AK865" s="4"/>
      <c r="AL865" s="4"/>
      <c r="AM865" s="4"/>
      <c r="AN865" s="4"/>
      <c r="AO865" s="4"/>
      <c r="AP865" s="4"/>
      <c r="AQ865" s="4"/>
      <c r="AR865" s="4"/>
      <c r="AS865" s="76" t="str">
        <f>"COMMENT ON COLUMN "&amp;エンティティ一覧!$O$2&amp;"."&amp;D$8&amp;"."&amp;D865&amp;" IS '"&amp;C865&amp;"';"</f>
        <v>COMMENT ON COLUMN milscm_2023_009.sny_202310_annony_bef2.shikkan847_start_date IS 'M321_疾患開始日';</v>
      </c>
    </row>
    <row r="866" spans="1:45" s="25" customFormat="1">
      <c r="A866" s="4" t="s">
        <v>5910</v>
      </c>
      <c r="B866" s="21">
        <f t="shared" si="101"/>
        <v>854</v>
      </c>
      <c r="C866" s="13" t="s">
        <v>7300</v>
      </c>
      <c r="D866" s="13" t="s">
        <v>6508</v>
      </c>
      <c r="E866" s="8"/>
      <c r="F866" s="7" t="s">
        <v>4348</v>
      </c>
      <c r="G866" s="7" t="s">
        <v>25</v>
      </c>
      <c r="H866" s="58"/>
      <c r="I866" s="23"/>
      <c r="J866" s="24"/>
      <c r="M866" s="4"/>
      <c r="N866" s="76"/>
      <c r="O866" s="76"/>
      <c r="P866" s="76" t="str">
        <f t="shared" si="94"/>
        <v>,shikkan848_start_date</v>
      </c>
      <c r="Q866" s="76" t="str">
        <f t="shared" si="95"/>
        <v>DATE</v>
      </c>
      <c r="R866" s="76" t="str">
        <f t="shared" si="96"/>
        <v/>
      </c>
      <c r="S866" s="76" t="str">
        <f t="shared" si="97"/>
        <v/>
      </c>
      <c r="T866" s="76" t="str">
        <f t="shared" si="98"/>
        <v>-- M328_疾患開始日</v>
      </c>
      <c r="U866" s="4" t="str">
        <f t="shared" si="99"/>
        <v>, CASE WHEN shikkan_disp_name = 'M328' THEN min_shikkan_start_date ::DATE ELSE NULL END AS shikkan848_start_date</v>
      </c>
      <c r="V866" s="25" t="str">
        <f t="shared" si="100"/>
        <v>, max(shikkan848_start_date)</v>
      </c>
      <c r="AA866" s="4"/>
      <c r="AB866" s="4"/>
      <c r="AC866" s="4"/>
      <c r="AD866" s="4"/>
      <c r="AE866" s="4"/>
      <c r="AF866" s="4"/>
      <c r="AG866" s="4"/>
      <c r="AH866" s="4"/>
      <c r="AI866" s="4"/>
      <c r="AJ866" s="76" t="str">
        <f>IF(E866="○",IF(COUNTA(E$13:E866)=1,"",",")&amp;D866,"")</f>
        <v/>
      </c>
      <c r="AK866" s="4"/>
      <c r="AL866" s="4"/>
      <c r="AM866" s="4"/>
      <c r="AN866" s="4"/>
      <c r="AO866" s="4"/>
      <c r="AP866" s="4"/>
      <c r="AQ866" s="4"/>
      <c r="AR866" s="4"/>
      <c r="AS866" s="76" t="str">
        <f>"COMMENT ON COLUMN "&amp;エンティティ一覧!$O$2&amp;"."&amp;D$8&amp;"."&amp;D866&amp;" IS '"&amp;C866&amp;"';"</f>
        <v>COMMENT ON COLUMN milscm_2023_009.sny_202310_annony_bef2.shikkan848_start_date IS 'M328_疾患開始日';</v>
      </c>
    </row>
    <row r="867" spans="1:45" s="25" customFormat="1">
      <c r="A867" s="4" t="s">
        <v>5911</v>
      </c>
      <c r="B867" s="21">
        <f t="shared" si="101"/>
        <v>855</v>
      </c>
      <c r="C867" s="13" t="s">
        <v>7301</v>
      </c>
      <c r="D867" s="13" t="s">
        <v>6509</v>
      </c>
      <c r="E867" s="8"/>
      <c r="F867" s="7" t="s">
        <v>4348</v>
      </c>
      <c r="G867" s="7" t="s">
        <v>25</v>
      </c>
      <c r="H867" s="58"/>
      <c r="I867" s="23"/>
      <c r="J867" s="24"/>
      <c r="M867" s="4"/>
      <c r="N867" s="76"/>
      <c r="O867" s="76"/>
      <c r="P867" s="76" t="str">
        <f t="shared" si="94"/>
        <v>,shikkan849_start_date</v>
      </c>
      <c r="Q867" s="76" t="str">
        <f t="shared" si="95"/>
        <v>DATE</v>
      </c>
      <c r="R867" s="76" t="str">
        <f t="shared" si="96"/>
        <v/>
      </c>
      <c r="S867" s="76" t="str">
        <f t="shared" si="97"/>
        <v/>
      </c>
      <c r="T867" s="76" t="str">
        <f t="shared" si="98"/>
        <v>-- M329_疾患開始日</v>
      </c>
      <c r="U867" s="4" t="str">
        <f t="shared" si="99"/>
        <v>, CASE WHEN shikkan_disp_name = 'M329' THEN min_shikkan_start_date ::DATE ELSE NULL END AS shikkan849_start_date</v>
      </c>
      <c r="V867" s="25" t="str">
        <f t="shared" si="100"/>
        <v>, max(shikkan849_start_date)</v>
      </c>
      <c r="AA867" s="4"/>
      <c r="AB867" s="4"/>
      <c r="AC867" s="4"/>
      <c r="AD867" s="4"/>
      <c r="AE867" s="4"/>
      <c r="AF867" s="4"/>
      <c r="AG867" s="4"/>
      <c r="AH867" s="4"/>
      <c r="AI867" s="4"/>
      <c r="AJ867" s="76" t="str">
        <f>IF(E867="○",IF(COUNTA(E$13:E867)=1,"",",")&amp;D867,"")</f>
        <v/>
      </c>
      <c r="AK867" s="4"/>
      <c r="AL867" s="4"/>
      <c r="AM867" s="4"/>
      <c r="AN867" s="4"/>
      <c r="AO867" s="4"/>
      <c r="AP867" s="4"/>
      <c r="AQ867" s="4"/>
      <c r="AR867" s="4"/>
      <c r="AS867" s="76" t="str">
        <f>"COMMENT ON COLUMN "&amp;エンティティ一覧!$O$2&amp;"."&amp;D$8&amp;"."&amp;D867&amp;" IS '"&amp;C867&amp;"';"</f>
        <v>COMMENT ON COLUMN milscm_2023_009.sny_202310_annony_bef2.shikkan849_start_date IS 'M329_疾患開始日';</v>
      </c>
    </row>
    <row r="868" spans="1:45" s="25" customFormat="1">
      <c r="A868" s="4" t="s">
        <v>5912</v>
      </c>
      <c r="B868" s="21">
        <f t="shared" si="101"/>
        <v>856</v>
      </c>
      <c r="C868" s="13" t="s">
        <v>7302</v>
      </c>
      <c r="D868" s="13" t="s">
        <v>6510</v>
      </c>
      <c r="E868" s="8"/>
      <c r="F868" s="7" t="s">
        <v>4348</v>
      </c>
      <c r="G868" s="7" t="s">
        <v>25</v>
      </c>
      <c r="H868" s="58"/>
      <c r="I868" s="23"/>
      <c r="J868" s="24"/>
      <c r="M868" s="4"/>
      <c r="N868" s="76"/>
      <c r="O868" s="76"/>
      <c r="P868" s="76" t="str">
        <f t="shared" ref="P868:P908" si="102">IF(B868&lt;&gt;1,","&amp;D868,D868)</f>
        <v>,shikkan850_start_date</v>
      </c>
      <c r="Q868" s="76" t="str">
        <f t="shared" ref="Q868:Q908" si="103">UPPER(G868)</f>
        <v>DATE</v>
      </c>
      <c r="R868" s="76" t="str">
        <f t="shared" ref="R868:R908" si="104">IF(H868&lt;&gt;"","default "&amp;IF(G868="text","'"&amp;H868&amp;"'",H868),"")</f>
        <v/>
      </c>
      <c r="S868" s="76" t="str">
        <f t="shared" ref="S868:S908" si="105">IF(I868="○","NOT NULL","")</f>
        <v/>
      </c>
      <c r="T868" s="76" t="str">
        <f t="shared" ref="T868:T908" si="106">"-- "&amp;C868</f>
        <v>-- M330_疾患開始日</v>
      </c>
      <c r="U868" s="4" t="str">
        <f t="shared" si="99"/>
        <v>, CASE WHEN shikkan_disp_name = 'M330' THEN min_shikkan_start_date ::DATE ELSE NULL END AS shikkan850_start_date</v>
      </c>
      <c r="V868" s="25" t="str">
        <f t="shared" si="100"/>
        <v>, max(shikkan850_start_date)</v>
      </c>
      <c r="AA868" s="4"/>
      <c r="AB868" s="4"/>
      <c r="AC868" s="4"/>
      <c r="AD868" s="4"/>
      <c r="AE868" s="4"/>
      <c r="AF868" s="4"/>
      <c r="AG868" s="4"/>
      <c r="AH868" s="4"/>
      <c r="AI868" s="4"/>
      <c r="AJ868" s="76" t="str">
        <f>IF(E868="○",IF(COUNTA(E$13:E868)=1,"",",")&amp;D868,"")</f>
        <v/>
      </c>
      <c r="AK868" s="4"/>
      <c r="AL868" s="4"/>
      <c r="AM868" s="4"/>
      <c r="AN868" s="4"/>
      <c r="AO868" s="4"/>
      <c r="AP868" s="4"/>
      <c r="AQ868" s="4"/>
      <c r="AR868" s="4"/>
      <c r="AS868" s="76" t="str">
        <f>"COMMENT ON COLUMN "&amp;エンティティ一覧!$O$2&amp;"."&amp;D$8&amp;"."&amp;D868&amp;" IS '"&amp;C868&amp;"';"</f>
        <v>COMMENT ON COLUMN milscm_2023_009.sny_202310_annony_bef2.shikkan850_start_date IS 'M330_疾患開始日';</v>
      </c>
    </row>
    <row r="869" spans="1:45" s="25" customFormat="1">
      <c r="A869" s="4" t="s">
        <v>5913</v>
      </c>
      <c r="B869" s="21">
        <f t="shared" si="101"/>
        <v>857</v>
      </c>
      <c r="C869" s="13" t="s">
        <v>7303</v>
      </c>
      <c r="D869" s="13" t="s">
        <v>6511</v>
      </c>
      <c r="E869" s="8"/>
      <c r="F869" s="7" t="s">
        <v>4348</v>
      </c>
      <c r="G869" s="7" t="s">
        <v>25</v>
      </c>
      <c r="H869" s="58"/>
      <c r="I869" s="23"/>
      <c r="J869" s="24"/>
      <c r="M869" s="4"/>
      <c r="N869" s="76"/>
      <c r="O869" s="76"/>
      <c r="P869" s="76" t="str">
        <f t="shared" si="102"/>
        <v>,shikkan851_start_date</v>
      </c>
      <c r="Q869" s="76" t="str">
        <f t="shared" si="103"/>
        <v>DATE</v>
      </c>
      <c r="R869" s="76" t="str">
        <f t="shared" si="104"/>
        <v/>
      </c>
      <c r="S869" s="76" t="str">
        <f t="shared" si="105"/>
        <v/>
      </c>
      <c r="T869" s="76" t="str">
        <f t="shared" si="106"/>
        <v>-- M331_疾患開始日</v>
      </c>
      <c r="U869" s="4" t="str">
        <f t="shared" si="99"/>
        <v>, CASE WHEN shikkan_disp_name = 'M331' THEN min_shikkan_start_date ::DATE ELSE NULL END AS shikkan851_start_date</v>
      </c>
      <c r="V869" s="25" t="str">
        <f t="shared" si="100"/>
        <v>, max(shikkan851_start_date)</v>
      </c>
      <c r="AA869" s="4"/>
      <c r="AB869" s="4"/>
      <c r="AC869" s="4"/>
      <c r="AD869" s="4"/>
      <c r="AE869" s="4"/>
      <c r="AF869" s="4"/>
      <c r="AG869" s="4"/>
      <c r="AH869" s="4"/>
      <c r="AI869" s="4"/>
      <c r="AJ869" s="76" t="str">
        <f>IF(E869="○",IF(COUNTA(E$13:E869)=1,"",",")&amp;D869,"")</f>
        <v/>
      </c>
      <c r="AK869" s="4"/>
      <c r="AL869" s="4"/>
      <c r="AM869" s="4"/>
      <c r="AN869" s="4"/>
      <c r="AO869" s="4"/>
      <c r="AP869" s="4"/>
      <c r="AQ869" s="4"/>
      <c r="AR869" s="4"/>
      <c r="AS869" s="76" t="str">
        <f>"COMMENT ON COLUMN "&amp;エンティティ一覧!$O$2&amp;"."&amp;D$8&amp;"."&amp;D869&amp;" IS '"&amp;C869&amp;"';"</f>
        <v>COMMENT ON COLUMN milscm_2023_009.sny_202310_annony_bef2.shikkan851_start_date IS 'M331_疾患開始日';</v>
      </c>
    </row>
    <row r="870" spans="1:45" s="25" customFormat="1">
      <c r="A870" s="4" t="s">
        <v>5914</v>
      </c>
      <c r="B870" s="21">
        <f t="shared" si="101"/>
        <v>858</v>
      </c>
      <c r="C870" s="13" t="s">
        <v>7304</v>
      </c>
      <c r="D870" s="13" t="s">
        <v>6512</v>
      </c>
      <c r="E870" s="8"/>
      <c r="F870" s="7" t="s">
        <v>4348</v>
      </c>
      <c r="G870" s="7" t="s">
        <v>25</v>
      </c>
      <c r="H870" s="58"/>
      <c r="I870" s="23"/>
      <c r="J870" s="24"/>
      <c r="M870" s="4"/>
      <c r="N870" s="76"/>
      <c r="O870" s="76"/>
      <c r="P870" s="76" t="str">
        <f t="shared" si="102"/>
        <v>,shikkan852_start_date</v>
      </c>
      <c r="Q870" s="76" t="str">
        <f t="shared" si="103"/>
        <v>DATE</v>
      </c>
      <c r="R870" s="76" t="str">
        <f t="shared" si="104"/>
        <v/>
      </c>
      <c r="S870" s="76" t="str">
        <f t="shared" si="105"/>
        <v/>
      </c>
      <c r="T870" s="76" t="str">
        <f t="shared" si="106"/>
        <v>-- M332_疾患開始日</v>
      </c>
      <c r="U870" s="4" t="str">
        <f t="shared" si="99"/>
        <v>, CASE WHEN shikkan_disp_name = 'M332' THEN min_shikkan_start_date ::DATE ELSE NULL END AS shikkan852_start_date</v>
      </c>
      <c r="V870" s="25" t="str">
        <f t="shared" si="100"/>
        <v>, max(shikkan852_start_date)</v>
      </c>
      <c r="AA870" s="4"/>
      <c r="AB870" s="4"/>
      <c r="AC870" s="4"/>
      <c r="AD870" s="4"/>
      <c r="AE870" s="4"/>
      <c r="AF870" s="4"/>
      <c r="AG870" s="4"/>
      <c r="AH870" s="4"/>
      <c r="AI870" s="4"/>
      <c r="AJ870" s="76" t="str">
        <f>IF(E870="○",IF(COUNTA(E$13:E870)=1,"",",")&amp;D870,"")</f>
        <v/>
      </c>
      <c r="AK870" s="4"/>
      <c r="AL870" s="4"/>
      <c r="AM870" s="4"/>
      <c r="AN870" s="4"/>
      <c r="AO870" s="4"/>
      <c r="AP870" s="4"/>
      <c r="AQ870" s="4"/>
      <c r="AR870" s="4"/>
      <c r="AS870" s="76" t="str">
        <f>"COMMENT ON COLUMN "&amp;エンティティ一覧!$O$2&amp;"."&amp;D$8&amp;"."&amp;D870&amp;" IS '"&amp;C870&amp;"';"</f>
        <v>COMMENT ON COLUMN milscm_2023_009.sny_202310_annony_bef2.shikkan852_start_date IS 'M332_疾患開始日';</v>
      </c>
    </row>
    <row r="871" spans="1:45" s="25" customFormat="1">
      <c r="A871" s="4" t="s">
        <v>5915</v>
      </c>
      <c r="B871" s="21">
        <f t="shared" si="101"/>
        <v>859</v>
      </c>
      <c r="C871" s="13" t="s">
        <v>7305</v>
      </c>
      <c r="D871" s="13" t="s">
        <v>6513</v>
      </c>
      <c r="E871" s="8"/>
      <c r="F871" s="7" t="s">
        <v>4348</v>
      </c>
      <c r="G871" s="7" t="s">
        <v>25</v>
      </c>
      <c r="H871" s="58"/>
      <c r="I871" s="23"/>
      <c r="J871" s="24"/>
      <c r="M871" s="4"/>
      <c r="N871" s="76"/>
      <c r="O871" s="76"/>
      <c r="P871" s="76" t="str">
        <f t="shared" si="102"/>
        <v>,shikkan853_start_date</v>
      </c>
      <c r="Q871" s="76" t="str">
        <f t="shared" si="103"/>
        <v>DATE</v>
      </c>
      <c r="R871" s="76" t="str">
        <f t="shared" si="104"/>
        <v/>
      </c>
      <c r="S871" s="76" t="str">
        <f t="shared" si="105"/>
        <v/>
      </c>
      <c r="T871" s="76" t="str">
        <f t="shared" si="106"/>
        <v>-- M339_疾患開始日</v>
      </c>
      <c r="U871" s="4" t="str">
        <f t="shared" si="99"/>
        <v>, CASE WHEN shikkan_disp_name = 'M339' THEN min_shikkan_start_date ::DATE ELSE NULL END AS shikkan853_start_date</v>
      </c>
      <c r="V871" s="25" t="str">
        <f t="shared" si="100"/>
        <v>, max(shikkan853_start_date)</v>
      </c>
      <c r="AA871" s="4"/>
      <c r="AB871" s="4"/>
      <c r="AC871" s="4"/>
      <c r="AD871" s="4"/>
      <c r="AE871" s="4"/>
      <c r="AF871" s="4"/>
      <c r="AG871" s="4"/>
      <c r="AH871" s="4"/>
      <c r="AI871" s="4"/>
      <c r="AJ871" s="76" t="str">
        <f>IF(E871="○",IF(COUNTA(E$13:E871)=1,"",",")&amp;D871,"")</f>
        <v/>
      </c>
      <c r="AK871" s="4"/>
      <c r="AL871" s="4"/>
      <c r="AM871" s="4"/>
      <c r="AN871" s="4"/>
      <c r="AO871" s="4"/>
      <c r="AP871" s="4"/>
      <c r="AQ871" s="4"/>
      <c r="AR871" s="4"/>
      <c r="AS871" s="76" t="str">
        <f>"COMMENT ON COLUMN "&amp;エンティティ一覧!$O$2&amp;"."&amp;D$8&amp;"."&amp;D871&amp;" IS '"&amp;C871&amp;"';"</f>
        <v>COMMENT ON COLUMN milscm_2023_009.sny_202310_annony_bef2.shikkan853_start_date IS 'M339_疾患開始日';</v>
      </c>
    </row>
    <row r="872" spans="1:45" s="25" customFormat="1">
      <c r="A872" s="4" t="s">
        <v>5916</v>
      </c>
      <c r="B872" s="21">
        <f t="shared" si="101"/>
        <v>860</v>
      </c>
      <c r="C872" s="13" t="s">
        <v>7306</v>
      </c>
      <c r="D872" s="13" t="s">
        <v>6514</v>
      </c>
      <c r="E872" s="8"/>
      <c r="F872" s="7" t="s">
        <v>4348</v>
      </c>
      <c r="G872" s="7" t="s">
        <v>25</v>
      </c>
      <c r="H872" s="58"/>
      <c r="I872" s="23"/>
      <c r="J872" s="24"/>
      <c r="M872" s="4"/>
      <c r="N872" s="76"/>
      <c r="O872" s="76"/>
      <c r="P872" s="76" t="str">
        <f t="shared" si="102"/>
        <v>,shikkan854_start_date</v>
      </c>
      <c r="Q872" s="76" t="str">
        <f t="shared" si="103"/>
        <v>DATE</v>
      </c>
      <c r="R872" s="76" t="str">
        <f t="shared" si="104"/>
        <v/>
      </c>
      <c r="S872" s="76" t="str">
        <f t="shared" si="105"/>
        <v/>
      </c>
      <c r="T872" s="76" t="str">
        <f t="shared" si="106"/>
        <v>-- M340_疾患開始日</v>
      </c>
      <c r="U872" s="4" t="str">
        <f t="shared" si="99"/>
        <v>, CASE WHEN shikkan_disp_name = 'M340' THEN min_shikkan_start_date ::DATE ELSE NULL END AS shikkan854_start_date</v>
      </c>
      <c r="V872" s="25" t="str">
        <f t="shared" si="100"/>
        <v>, max(shikkan854_start_date)</v>
      </c>
      <c r="AA872" s="4"/>
      <c r="AB872" s="4"/>
      <c r="AC872" s="4"/>
      <c r="AD872" s="4"/>
      <c r="AE872" s="4"/>
      <c r="AF872" s="4"/>
      <c r="AG872" s="4"/>
      <c r="AH872" s="4"/>
      <c r="AI872" s="4"/>
      <c r="AJ872" s="76" t="str">
        <f>IF(E872="○",IF(COUNTA(E$13:E872)=1,"",",")&amp;D872,"")</f>
        <v/>
      </c>
      <c r="AK872" s="4"/>
      <c r="AL872" s="4"/>
      <c r="AM872" s="4"/>
      <c r="AN872" s="4"/>
      <c r="AO872" s="4"/>
      <c r="AP872" s="4"/>
      <c r="AQ872" s="4"/>
      <c r="AR872" s="4"/>
      <c r="AS872" s="76" t="str">
        <f>"COMMENT ON COLUMN "&amp;エンティティ一覧!$O$2&amp;"."&amp;D$8&amp;"."&amp;D872&amp;" IS '"&amp;C872&amp;"';"</f>
        <v>COMMENT ON COLUMN milscm_2023_009.sny_202310_annony_bef2.shikkan854_start_date IS 'M340_疾患開始日';</v>
      </c>
    </row>
    <row r="873" spans="1:45" s="25" customFormat="1">
      <c r="A873" s="4" t="s">
        <v>5917</v>
      </c>
      <c r="B873" s="21">
        <f t="shared" si="101"/>
        <v>861</v>
      </c>
      <c r="C873" s="13" t="s">
        <v>7307</v>
      </c>
      <c r="D873" s="13" t="s">
        <v>6515</v>
      </c>
      <c r="E873" s="8"/>
      <c r="F873" s="7" t="s">
        <v>4348</v>
      </c>
      <c r="G873" s="7" t="s">
        <v>25</v>
      </c>
      <c r="H873" s="58"/>
      <c r="I873" s="23"/>
      <c r="J873" s="24"/>
      <c r="M873" s="4"/>
      <c r="N873" s="76"/>
      <c r="O873" s="76"/>
      <c r="P873" s="76" t="str">
        <f t="shared" si="102"/>
        <v>,shikkan855_start_date</v>
      </c>
      <c r="Q873" s="76" t="str">
        <f t="shared" si="103"/>
        <v>DATE</v>
      </c>
      <c r="R873" s="76" t="str">
        <f t="shared" si="104"/>
        <v/>
      </c>
      <c r="S873" s="76" t="str">
        <f t="shared" si="105"/>
        <v/>
      </c>
      <c r="T873" s="76" t="str">
        <f t="shared" si="106"/>
        <v>-- M341_疾患開始日</v>
      </c>
      <c r="U873" s="4" t="str">
        <f t="shared" si="99"/>
        <v>, CASE WHEN shikkan_disp_name = 'M341' THEN min_shikkan_start_date ::DATE ELSE NULL END AS shikkan855_start_date</v>
      </c>
      <c r="V873" s="25" t="str">
        <f t="shared" si="100"/>
        <v>, max(shikkan855_start_date)</v>
      </c>
      <c r="AA873" s="4"/>
      <c r="AB873" s="4"/>
      <c r="AC873" s="4"/>
      <c r="AD873" s="4"/>
      <c r="AE873" s="4"/>
      <c r="AF873" s="4"/>
      <c r="AG873" s="4"/>
      <c r="AH873" s="4"/>
      <c r="AI873" s="4"/>
      <c r="AJ873" s="76" t="str">
        <f>IF(E873="○",IF(COUNTA(E$13:E873)=1,"",",")&amp;D873,"")</f>
        <v/>
      </c>
      <c r="AK873" s="4"/>
      <c r="AL873" s="4"/>
      <c r="AM873" s="4"/>
      <c r="AN873" s="4"/>
      <c r="AO873" s="4"/>
      <c r="AP873" s="4"/>
      <c r="AQ873" s="4"/>
      <c r="AR873" s="4"/>
      <c r="AS873" s="76" t="str">
        <f>"COMMENT ON COLUMN "&amp;エンティティ一覧!$O$2&amp;"."&amp;D$8&amp;"."&amp;D873&amp;" IS '"&amp;C873&amp;"';"</f>
        <v>COMMENT ON COLUMN milscm_2023_009.sny_202310_annony_bef2.shikkan855_start_date IS 'M341_疾患開始日';</v>
      </c>
    </row>
    <row r="874" spans="1:45" s="25" customFormat="1">
      <c r="A874" s="4" t="s">
        <v>5918</v>
      </c>
      <c r="B874" s="21">
        <f t="shared" si="101"/>
        <v>862</v>
      </c>
      <c r="C874" s="13" t="s">
        <v>7308</v>
      </c>
      <c r="D874" s="13" t="s">
        <v>6516</v>
      </c>
      <c r="E874" s="8"/>
      <c r="F874" s="7" t="s">
        <v>4348</v>
      </c>
      <c r="G874" s="7" t="s">
        <v>25</v>
      </c>
      <c r="H874" s="58"/>
      <c r="I874" s="23"/>
      <c r="J874" s="24"/>
      <c r="M874" s="4"/>
      <c r="N874" s="76"/>
      <c r="O874" s="76"/>
      <c r="P874" s="76" t="str">
        <f t="shared" si="102"/>
        <v>,shikkan856_start_date</v>
      </c>
      <c r="Q874" s="76" t="str">
        <f t="shared" si="103"/>
        <v>DATE</v>
      </c>
      <c r="R874" s="76" t="str">
        <f t="shared" si="104"/>
        <v/>
      </c>
      <c r="S874" s="76" t="str">
        <f t="shared" si="105"/>
        <v/>
      </c>
      <c r="T874" s="76" t="str">
        <f t="shared" si="106"/>
        <v>-- M342_疾患開始日</v>
      </c>
      <c r="U874" s="4" t="str">
        <f t="shared" si="99"/>
        <v>, CASE WHEN shikkan_disp_name = 'M342' THEN min_shikkan_start_date ::DATE ELSE NULL END AS shikkan856_start_date</v>
      </c>
      <c r="V874" s="25" t="str">
        <f t="shared" si="100"/>
        <v>, max(shikkan856_start_date)</v>
      </c>
      <c r="AA874" s="4"/>
      <c r="AB874" s="4"/>
      <c r="AC874" s="4"/>
      <c r="AD874" s="4"/>
      <c r="AE874" s="4"/>
      <c r="AF874" s="4"/>
      <c r="AG874" s="4"/>
      <c r="AH874" s="4"/>
      <c r="AI874" s="4"/>
      <c r="AJ874" s="76" t="str">
        <f>IF(E874="○",IF(COUNTA(E$13:E874)=1,"",",")&amp;D874,"")</f>
        <v/>
      </c>
      <c r="AK874" s="4"/>
      <c r="AL874" s="4"/>
      <c r="AM874" s="4"/>
      <c r="AN874" s="4"/>
      <c r="AO874" s="4"/>
      <c r="AP874" s="4"/>
      <c r="AQ874" s="4"/>
      <c r="AR874" s="4"/>
      <c r="AS874" s="76" t="str">
        <f>"COMMENT ON COLUMN "&amp;エンティティ一覧!$O$2&amp;"."&amp;D$8&amp;"."&amp;D874&amp;" IS '"&amp;C874&amp;"';"</f>
        <v>COMMENT ON COLUMN milscm_2023_009.sny_202310_annony_bef2.shikkan856_start_date IS 'M342_疾患開始日';</v>
      </c>
    </row>
    <row r="875" spans="1:45" s="25" customFormat="1">
      <c r="A875" s="4" t="s">
        <v>5919</v>
      </c>
      <c r="B875" s="21">
        <f t="shared" si="101"/>
        <v>863</v>
      </c>
      <c r="C875" s="13" t="s">
        <v>7309</v>
      </c>
      <c r="D875" s="13" t="s">
        <v>6517</v>
      </c>
      <c r="E875" s="8"/>
      <c r="F875" s="7" t="s">
        <v>4348</v>
      </c>
      <c r="G875" s="7" t="s">
        <v>25</v>
      </c>
      <c r="H875" s="58"/>
      <c r="I875" s="23"/>
      <c r="J875" s="24"/>
      <c r="M875" s="4"/>
      <c r="N875" s="76"/>
      <c r="O875" s="76"/>
      <c r="P875" s="76" t="str">
        <f t="shared" si="102"/>
        <v>,shikkan857_start_date</v>
      </c>
      <c r="Q875" s="76" t="str">
        <f t="shared" si="103"/>
        <v>DATE</v>
      </c>
      <c r="R875" s="76" t="str">
        <f t="shared" si="104"/>
        <v/>
      </c>
      <c r="S875" s="76" t="str">
        <f t="shared" si="105"/>
        <v/>
      </c>
      <c r="T875" s="76" t="str">
        <f t="shared" si="106"/>
        <v>-- M348_疾患開始日</v>
      </c>
      <c r="U875" s="4" t="str">
        <f t="shared" si="99"/>
        <v>, CASE WHEN shikkan_disp_name = 'M348' THEN min_shikkan_start_date ::DATE ELSE NULL END AS shikkan857_start_date</v>
      </c>
      <c r="V875" s="25" t="str">
        <f t="shared" si="100"/>
        <v>, max(shikkan857_start_date)</v>
      </c>
      <c r="AA875" s="4"/>
      <c r="AB875" s="4"/>
      <c r="AC875" s="4"/>
      <c r="AD875" s="4"/>
      <c r="AE875" s="4"/>
      <c r="AF875" s="4"/>
      <c r="AG875" s="4"/>
      <c r="AH875" s="4"/>
      <c r="AI875" s="4"/>
      <c r="AJ875" s="76" t="str">
        <f>IF(E875="○",IF(COUNTA(E$13:E875)=1,"",",")&amp;D875,"")</f>
        <v/>
      </c>
      <c r="AK875" s="4"/>
      <c r="AL875" s="4"/>
      <c r="AM875" s="4"/>
      <c r="AN875" s="4"/>
      <c r="AO875" s="4"/>
      <c r="AP875" s="4"/>
      <c r="AQ875" s="4"/>
      <c r="AR875" s="4"/>
      <c r="AS875" s="76" t="str">
        <f>"COMMENT ON COLUMN "&amp;エンティティ一覧!$O$2&amp;"."&amp;D$8&amp;"."&amp;D875&amp;" IS '"&amp;C875&amp;"';"</f>
        <v>COMMENT ON COLUMN milscm_2023_009.sny_202310_annony_bef2.shikkan857_start_date IS 'M348_疾患開始日';</v>
      </c>
    </row>
    <row r="876" spans="1:45" s="25" customFormat="1">
      <c r="A876" s="4" t="s">
        <v>5920</v>
      </c>
      <c r="B876" s="21">
        <f t="shared" si="101"/>
        <v>864</v>
      </c>
      <c r="C876" s="13" t="s">
        <v>7310</v>
      </c>
      <c r="D876" s="13" t="s">
        <v>6518</v>
      </c>
      <c r="E876" s="8"/>
      <c r="F876" s="7" t="s">
        <v>4348</v>
      </c>
      <c r="G876" s="7" t="s">
        <v>25</v>
      </c>
      <c r="H876" s="58"/>
      <c r="I876" s="23"/>
      <c r="J876" s="24"/>
      <c r="M876" s="4"/>
      <c r="N876" s="76"/>
      <c r="O876" s="76"/>
      <c r="P876" s="76" t="str">
        <f t="shared" si="102"/>
        <v>,shikkan858_start_date</v>
      </c>
      <c r="Q876" s="76" t="str">
        <f t="shared" si="103"/>
        <v>DATE</v>
      </c>
      <c r="R876" s="76" t="str">
        <f t="shared" si="104"/>
        <v/>
      </c>
      <c r="S876" s="76" t="str">
        <f t="shared" si="105"/>
        <v/>
      </c>
      <c r="T876" s="76" t="str">
        <f t="shared" si="106"/>
        <v>-- M349_疾患開始日</v>
      </c>
      <c r="U876" s="4" t="str">
        <f t="shared" si="99"/>
        <v>, CASE WHEN shikkan_disp_name = 'M349' THEN min_shikkan_start_date ::DATE ELSE NULL END AS shikkan858_start_date</v>
      </c>
      <c r="V876" s="25" t="str">
        <f t="shared" si="100"/>
        <v>, max(shikkan858_start_date)</v>
      </c>
      <c r="AA876" s="4"/>
      <c r="AB876" s="4"/>
      <c r="AC876" s="4"/>
      <c r="AD876" s="4"/>
      <c r="AE876" s="4"/>
      <c r="AF876" s="4"/>
      <c r="AG876" s="4"/>
      <c r="AH876" s="4"/>
      <c r="AI876" s="4"/>
      <c r="AJ876" s="76" t="str">
        <f>IF(E876="○",IF(COUNTA(E$13:E876)=1,"",",")&amp;D876,"")</f>
        <v/>
      </c>
      <c r="AK876" s="4"/>
      <c r="AL876" s="4"/>
      <c r="AM876" s="4"/>
      <c r="AN876" s="4"/>
      <c r="AO876" s="4"/>
      <c r="AP876" s="4"/>
      <c r="AQ876" s="4"/>
      <c r="AR876" s="4"/>
      <c r="AS876" s="76" t="str">
        <f>"COMMENT ON COLUMN "&amp;エンティティ一覧!$O$2&amp;"."&amp;D$8&amp;"."&amp;D876&amp;" IS '"&amp;C876&amp;"';"</f>
        <v>COMMENT ON COLUMN milscm_2023_009.sny_202310_annony_bef2.shikkan858_start_date IS 'M349_疾患開始日';</v>
      </c>
    </row>
    <row r="877" spans="1:45" s="25" customFormat="1">
      <c r="A877" s="4" t="s">
        <v>5921</v>
      </c>
      <c r="B877" s="21">
        <f t="shared" si="101"/>
        <v>865</v>
      </c>
      <c r="C877" s="13" t="s">
        <v>7311</v>
      </c>
      <c r="D877" s="13" t="s">
        <v>6519</v>
      </c>
      <c r="E877" s="8"/>
      <c r="F877" s="7" t="s">
        <v>4348</v>
      </c>
      <c r="G877" s="7" t="s">
        <v>25</v>
      </c>
      <c r="H877" s="58"/>
      <c r="I877" s="23"/>
      <c r="J877" s="24"/>
      <c r="M877" s="4"/>
      <c r="N877" s="76"/>
      <c r="O877" s="76"/>
      <c r="P877" s="76" t="str">
        <f t="shared" si="102"/>
        <v>,shikkan859_start_date</v>
      </c>
      <c r="Q877" s="76" t="str">
        <f t="shared" si="103"/>
        <v>DATE</v>
      </c>
      <c r="R877" s="76" t="str">
        <f t="shared" si="104"/>
        <v/>
      </c>
      <c r="S877" s="76" t="str">
        <f t="shared" si="105"/>
        <v/>
      </c>
      <c r="T877" s="76" t="str">
        <f t="shared" si="106"/>
        <v>-- M351_疾患開始日</v>
      </c>
      <c r="U877" s="4" t="str">
        <f t="shared" si="99"/>
        <v>, CASE WHEN shikkan_disp_name = 'M351' THEN min_shikkan_start_date ::DATE ELSE NULL END AS shikkan859_start_date</v>
      </c>
      <c r="V877" s="25" t="str">
        <f t="shared" si="100"/>
        <v>, max(shikkan859_start_date)</v>
      </c>
      <c r="AA877" s="4"/>
      <c r="AB877" s="4"/>
      <c r="AC877" s="4"/>
      <c r="AD877" s="4"/>
      <c r="AE877" s="4"/>
      <c r="AF877" s="4"/>
      <c r="AG877" s="4"/>
      <c r="AH877" s="4"/>
      <c r="AI877" s="4"/>
      <c r="AJ877" s="76" t="str">
        <f>IF(E877="○",IF(COUNTA(E$13:E877)=1,"",",")&amp;D877,"")</f>
        <v/>
      </c>
      <c r="AK877" s="4"/>
      <c r="AL877" s="4"/>
      <c r="AM877" s="4"/>
      <c r="AN877" s="4"/>
      <c r="AO877" s="4"/>
      <c r="AP877" s="4"/>
      <c r="AQ877" s="4"/>
      <c r="AR877" s="4"/>
      <c r="AS877" s="76" t="str">
        <f>"COMMENT ON COLUMN "&amp;エンティティ一覧!$O$2&amp;"."&amp;D$8&amp;"."&amp;D877&amp;" IS '"&amp;C877&amp;"';"</f>
        <v>COMMENT ON COLUMN milscm_2023_009.sny_202310_annony_bef2.shikkan859_start_date IS 'M351_疾患開始日';</v>
      </c>
    </row>
    <row r="878" spans="1:45" s="25" customFormat="1">
      <c r="A878" s="4" t="s">
        <v>5922</v>
      </c>
      <c r="B878" s="21">
        <f t="shared" si="101"/>
        <v>866</v>
      </c>
      <c r="C878" s="13" t="s">
        <v>7312</v>
      </c>
      <c r="D878" s="13" t="s">
        <v>6520</v>
      </c>
      <c r="E878" s="8"/>
      <c r="F878" s="7" t="s">
        <v>4348</v>
      </c>
      <c r="G878" s="7" t="s">
        <v>25</v>
      </c>
      <c r="H878" s="58"/>
      <c r="I878" s="23"/>
      <c r="J878" s="24"/>
      <c r="M878" s="4"/>
      <c r="N878" s="76"/>
      <c r="O878" s="76"/>
      <c r="P878" s="76" t="str">
        <f t="shared" si="102"/>
        <v>,shikkan860_start_date</v>
      </c>
      <c r="Q878" s="76" t="str">
        <f t="shared" si="103"/>
        <v>DATE</v>
      </c>
      <c r="R878" s="76" t="str">
        <f t="shared" si="104"/>
        <v/>
      </c>
      <c r="S878" s="76" t="str">
        <f t="shared" si="105"/>
        <v/>
      </c>
      <c r="T878" s="76" t="str">
        <f t="shared" si="106"/>
        <v>-- M353_疾患開始日</v>
      </c>
      <c r="U878" s="4" t="str">
        <f t="shared" si="99"/>
        <v>, CASE WHEN shikkan_disp_name = 'M353' THEN min_shikkan_start_date ::DATE ELSE NULL END AS shikkan860_start_date</v>
      </c>
      <c r="V878" s="25" t="str">
        <f t="shared" si="100"/>
        <v>, max(shikkan860_start_date)</v>
      </c>
      <c r="AA878" s="4"/>
      <c r="AB878" s="4"/>
      <c r="AC878" s="4"/>
      <c r="AD878" s="4"/>
      <c r="AE878" s="4"/>
      <c r="AF878" s="4"/>
      <c r="AG878" s="4"/>
      <c r="AH878" s="4"/>
      <c r="AI878" s="4"/>
      <c r="AJ878" s="76" t="str">
        <f>IF(E878="○",IF(COUNTA(E$13:E878)=1,"",",")&amp;D878,"")</f>
        <v/>
      </c>
      <c r="AK878" s="4"/>
      <c r="AL878" s="4"/>
      <c r="AM878" s="4"/>
      <c r="AN878" s="4"/>
      <c r="AO878" s="4"/>
      <c r="AP878" s="4"/>
      <c r="AQ878" s="4"/>
      <c r="AR878" s="4"/>
      <c r="AS878" s="76" t="str">
        <f>"COMMENT ON COLUMN "&amp;エンティティ一覧!$O$2&amp;"."&amp;D$8&amp;"."&amp;D878&amp;" IS '"&amp;C878&amp;"';"</f>
        <v>COMMENT ON COLUMN milscm_2023_009.sny_202310_annony_bef2.shikkan860_start_date IS 'M353_疾患開始日';</v>
      </c>
    </row>
    <row r="879" spans="1:45" s="25" customFormat="1">
      <c r="A879" s="4" t="s">
        <v>5923</v>
      </c>
      <c r="B879" s="21">
        <f t="shared" si="101"/>
        <v>867</v>
      </c>
      <c r="C879" s="13" t="s">
        <v>7313</v>
      </c>
      <c r="D879" s="13" t="s">
        <v>6521</v>
      </c>
      <c r="E879" s="8"/>
      <c r="F879" s="7" t="s">
        <v>4348</v>
      </c>
      <c r="G879" s="7" t="s">
        <v>25</v>
      </c>
      <c r="H879" s="58"/>
      <c r="I879" s="23"/>
      <c r="J879" s="24"/>
      <c r="M879" s="4"/>
      <c r="N879" s="76"/>
      <c r="O879" s="76"/>
      <c r="P879" s="76" t="str">
        <f t="shared" si="102"/>
        <v>,shikkan861_start_date</v>
      </c>
      <c r="Q879" s="76" t="str">
        <f t="shared" si="103"/>
        <v>DATE</v>
      </c>
      <c r="R879" s="76" t="str">
        <f t="shared" si="104"/>
        <v/>
      </c>
      <c r="S879" s="76" t="str">
        <f t="shared" si="105"/>
        <v/>
      </c>
      <c r="T879" s="76" t="str">
        <f t="shared" si="106"/>
        <v>-- M360_疾患開始日</v>
      </c>
      <c r="U879" s="4" t="str">
        <f t="shared" si="99"/>
        <v>, CASE WHEN shikkan_disp_name = 'M360' THEN min_shikkan_start_date ::DATE ELSE NULL END AS shikkan861_start_date</v>
      </c>
      <c r="V879" s="25" t="str">
        <f t="shared" si="100"/>
        <v>, max(shikkan861_start_date)</v>
      </c>
      <c r="AA879" s="4"/>
      <c r="AB879" s="4"/>
      <c r="AC879" s="4"/>
      <c r="AD879" s="4"/>
      <c r="AE879" s="4"/>
      <c r="AF879" s="4"/>
      <c r="AG879" s="4"/>
      <c r="AH879" s="4"/>
      <c r="AI879" s="4"/>
      <c r="AJ879" s="76" t="str">
        <f>IF(E879="○",IF(COUNTA(E$13:E879)=1,"",",")&amp;D879,"")</f>
        <v/>
      </c>
      <c r="AK879" s="4"/>
      <c r="AL879" s="4"/>
      <c r="AM879" s="4"/>
      <c r="AN879" s="4"/>
      <c r="AO879" s="4"/>
      <c r="AP879" s="4"/>
      <c r="AQ879" s="4"/>
      <c r="AR879" s="4"/>
      <c r="AS879" s="76" t="str">
        <f>"COMMENT ON COLUMN "&amp;エンティティ一覧!$O$2&amp;"."&amp;D$8&amp;"."&amp;D879&amp;" IS '"&amp;C879&amp;"';"</f>
        <v>COMMENT ON COLUMN milscm_2023_009.sny_202310_annony_bef2.shikkan861_start_date IS 'M360_疾患開始日';</v>
      </c>
    </row>
    <row r="880" spans="1:45" s="25" customFormat="1">
      <c r="A880" s="4" t="s">
        <v>5924</v>
      </c>
      <c r="B880" s="21">
        <f t="shared" si="101"/>
        <v>868</v>
      </c>
      <c r="C880" s="13" t="s">
        <v>7314</v>
      </c>
      <c r="D880" s="13" t="s">
        <v>6522</v>
      </c>
      <c r="E880" s="8"/>
      <c r="F880" s="7" t="s">
        <v>4348</v>
      </c>
      <c r="G880" s="7" t="s">
        <v>25</v>
      </c>
      <c r="H880" s="58"/>
      <c r="I880" s="23"/>
      <c r="J880" s="24"/>
      <c r="M880" s="4"/>
      <c r="N880" s="76"/>
      <c r="O880" s="76"/>
      <c r="P880" s="76" t="str">
        <f t="shared" si="102"/>
        <v>,shikkan862_start_date</v>
      </c>
      <c r="Q880" s="76" t="str">
        <f t="shared" si="103"/>
        <v>DATE</v>
      </c>
      <c r="R880" s="76" t="str">
        <f t="shared" si="104"/>
        <v/>
      </c>
      <c r="S880" s="76" t="str">
        <f t="shared" si="105"/>
        <v/>
      </c>
      <c r="T880" s="76" t="str">
        <f t="shared" si="106"/>
        <v>-- N032_疾患開始日</v>
      </c>
      <c r="U880" s="4" t="str">
        <f t="shared" si="99"/>
        <v>, CASE WHEN shikkan_disp_name = 'N032' THEN min_shikkan_start_date ::DATE ELSE NULL END AS shikkan862_start_date</v>
      </c>
      <c r="V880" s="25" t="str">
        <f t="shared" si="100"/>
        <v>, max(shikkan862_start_date)</v>
      </c>
      <c r="AA880" s="4"/>
      <c r="AB880" s="4"/>
      <c r="AC880" s="4"/>
      <c r="AD880" s="4"/>
      <c r="AE880" s="4"/>
      <c r="AF880" s="4"/>
      <c r="AG880" s="4"/>
      <c r="AH880" s="4"/>
      <c r="AI880" s="4"/>
      <c r="AJ880" s="76" t="str">
        <f>IF(E880="○",IF(COUNTA(E$13:E880)=1,"",",")&amp;D880,"")</f>
        <v/>
      </c>
      <c r="AK880" s="4"/>
      <c r="AL880" s="4"/>
      <c r="AM880" s="4"/>
      <c r="AN880" s="4"/>
      <c r="AO880" s="4"/>
      <c r="AP880" s="4"/>
      <c r="AQ880" s="4"/>
      <c r="AR880" s="4"/>
      <c r="AS880" s="76" t="str">
        <f>"COMMENT ON COLUMN "&amp;エンティティ一覧!$O$2&amp;"."&amp;D$8&amp;"."&amp;D880&amp;" IS '"&amp;C880&amp;"';"</f>
        <v>COMMENT ON COLUMN milscm_2023_009.sny_202310_annony_bef2.shikkan862_start_date IS 'N032_疾患開始日';</v>
      </c>
    </row>
    <row r="881" spans="1:45" s="25" customFormat="1">
      <c r="A881" s="4" t="s">
        <v>5925</v>
      </c>
      <c r="B881" s="21">
        <f t="shared" si="101"/>
        <v>869</v>
      </c>
      <c r="C881" s="13" t="s">
        <v>7315</v>
      </c>
      <c r="D881" s="13" t="s">
        <v>6523</v>
      </c>
      <c r="E881" s="8"/>
      <c r="F881" s="7" t="s">
        <v>4348</v>
      </c>
      <c r="G881" s="7" t="s">
        <v>25</v>
      </c>
      <c r="H881" s="58"/>
      <c r="I881" s="23"/>
      <c r="J881" s="24"/>
      <c r="M881" s="4"/>
      <c r="N881" s="76"/>
      <c r="O881" s="76"/>
      <c r="P881" s="76" t="str">
        <f t="shared" si="102"/>
        <v>,shikkan863_start_date</v>
      </c>
      <c r="Q881" s="76" t="str">
        <f t="shared" si="103"/>
        <v>DATE</v>
      </c>
      <c r="R881" s="76" t="str">
        <f t="shared" si="104"/>
        <v/>
      </c>
      <c r="S881" s="76" t="str">
        <f t="shared" si="105"/>
        <v/>
      </c>
      <c r="T881" s="76" t="str">
        <f t="shared" si="106"/>
        <v>-- N033_疾患開始日</v>
      </c>
      <c r="U881" s="4" t="str">
        <f t="shared" si="99"/>
        <v>, CASE WHEN shikkan_disp_name = 'N033' THEN min_shikkan_start_date ::DATE ELSE NULL END AS shikkan863_start_date</v>
      </c>
      <c r="V881" s="25" t="str">
        <f t="shared" si="100"/>
        <v>, max(shikkan863_start_date)</v>
      </c>
      <c r="AA881" s="4"/>
      <c r="AB881" s="4"/>
      <c r="AC881" s="4"/>
      <c r="AD881" s="4"/>
      <c r="AE881" s="4"/>
      <c r="AF881" s="4"/>
      <c r="AG881" s="4"/>
      <c r="AH881" s="4"/>
      <c r="AI881" s="4"/>
      <c r="AJ881" s="76" t="str">
        <f>IF(E881="○",IF(COUNTA(E$13:E881)=1,"",",")&amp;D881,"")</f>
        <v/>
      </c>
      <c r="AK881" s="4"/>
      <c r="AL881" s="4"/>
      <c r="AM881" s="4"/>
      <c r="AN881" s="4"/>
      <c r="AO881" s="4"/>
      <c r="AP881" s="4"/>
      <c r="AQ881" s="4"/>
      <c r="AR881" s="4"/>
      <c r="AS881" s="76" t="str">
        <f>"COMMENT ON COLUMN "&amp;エンティティ一覧!$O$2&amp;"."&amp;D$8&amp;"."&amp;D881&amp;" IS '"&amp;C881&amp;"';"</f>
        <v>COMMENT ON COLUMN milscm_2023_009.sny_202310_annony_bef2.shikkan863_start_date IS 'N033_疾患開始日';</v>
      </c>
    </row>
    <row r="882" spans="1:45" s="25" customFormat="1">
      <c r="A882" s="4" t="s">
        <v>5926</v>
      </c>
      <c r="B882" s="21">
        <f t="shared" si="101"/>
        <v>870</v>
      </c>
      <c r="C882" s="13" t="s">
        <v>7316</v>
      </c>
      <c r="D882" s="13" t="s">
        <v>6524</v>
      </c>
      <c r="E882" s="8"/>
      <c r="F882" s="7" t="s">
        <v>4348</v>
      </c>
      <c r="G882" s="7" t="s">
        <v>25</v>
      </c>
      <c r="H882" s="58"/>
      <c r="I882" s="23"/>
      <c r="J882" s="24"/>
      <c r="M882" s="4"/>
      <c r="N882" s="76"/>
      <c r="O882" s="76"/>
      <c r="P882" s="76" t="str">
        <f t="shared" si="102"/>
        <v>,shikkan864_start_date</v>
      </c>
      <c r="Q882" s="76" t="str">
        <f t="shared" si="103"/>
        <v>DATE</v>
      </c>
      <c r="R882" s="76" t="str">
        <f t="shared" si="104"/>
        <v/>
      </c>
      <c r="S882" s="76" t="str">
        <f t="shared" si="105"/>
        <v/>
      </c>
      <c r="T882" s="76" t="str">
        <f t="shared" si="106"/>
        <v>-- N034_疾患開始日</v>
      </c>
      <c r="U882" s="4" t="str">
        <f t="shared" si="99"/>
        <v>, CASE WHEN shikkan_disp_name = 'N034' THEN min_shikkan_start_date ::DATE ELSE NULL END AS shikkan864_start_date</v>
      </c>
      <c r="V882" s="25" t="str">
        <f t="shared" si="100"/>
        <v>, max(shikkan864_start_date)</v>
      </c>
      <c r="AA882" s="4"/>
      <c r="AB882" s="4"/>
      <c r="AC882" s="4"/>
      <c r="AD882" s="4"/>
      <c r="AE882" s="4"/>
      <c r="AF882" s="4"/>
      <c r="AG882" s="4"/>
      <c r="AH882" s="4"/>
      <c r="AI882" s="4"/>
      <c r="AJ882" s="76" t="str">
        <f>IF(E882="○",IF(COUNTA(E$13:E882)=1,"",",")&amp;D882,"")</f>
        <v/>
      </c>
      <c r="AK882" s="4"/>
      <c r="AL882" s="4"/>
      <c r="AM882" s="4"/>
      <c r="AN882" s="4"/>
      <c r="AO882" s="4"/>
      <c r="AP882" s="4"/>
      <c r="AQ882" s="4"/>
      <c r="AR882" s="4"/>
      <c r="AS882" s="76" t="str">
        <f>"COMMENT ON COLUMN "&amp;エンティティ一覧!$O$2&amp;"."&amp;D$8&amp;"."&amp;D882&amp;" IS '"&amp;C882&amp;"';"</f>
        <v>COMMENT ON COLUMN milscm_2023_009.sny_202310_annony_bef2.shikkan864_start_date IS 'N034_疾患開始日';</v>
      </c>
    </row>
    <row r="883" spans="1:45" s="25" customFormat="1">
      <c r="A883" s="4" t="s">
        <v>5927</v>
      </c>
      <c r="B883" s="21">
        <f t="shared" si="101"/>
        <v>871</v>
      </c>
      <c r="C883" s="13" t="s">
        <v>7317</v>
      </c>
      <c r="D883" s="13" t="s">
        <v>6525</v>
      </c>
      <c r="E883" s="8"/>
      <c r="F883" s="7" t="s">
        <v>4348</v>
      </c>
      <c r="G883" s="7" t="s">
        <v>25</v>
      </c>
      <c r="H883" s="58"/>
      <c r="I883" s="23"/>
      <c r="J883" s="24"/>
      <c r="M883" s="4"/>
      <c r="N883" s="76"/>
      <c r="O883" s="76"/>
      <c r="P883" s="76" t="str">
        <f t="shared" si="102"/>
        <v>,shikkan865_start_date</v>
      </c>
      <c r="Q883" s="76" t="str">
        <f t="shared" si="103"/>
        <v>DATE</v>
      </c>
      <c r="R883" s="76" t="str">
        <f t="shared" si="104"/>
        <v/>
      </c>
      <c r="S883" s="76" t="str">
        <f t="shared" si="105"/>
        <v/>
      </c>
      <c r="T883" s="76" t="str">
        <f t="shared" si="106"/>
        <v>-- N035_疾患開始日</v>
      </c>
      <c r="U883" s="4" t="str">
        <f t="shared" si="99"/>
        <v>, CASE WHEN shikkan_disp_name = 'N035' THEN min_shikkan_start_date ::DATE ELSE NULL END AS shikkan865_start_date</v>
      </c>
      <c r="V883" s="25" t="str">
        <f t="shared" si="100"/>
        <v>, max(shikkan865_start_date)</v>
      </c>
      <c r="AA883" s="4"/>
      <c r="AB883" s="4"/>
      <c r="AC883" s="4"/>
      <c r="AD883" s="4"/>
      <c r="AE883" s="4"/>
      <c r="AF883" s="4"/>
      <c r="AG883" s="4"/>
      <c r="AH883" s="4"/>
      <c r="AI883" s="4"/>
      <c r="AJ883" s="76" t="str">
        <f>IF(E883="○",IF(COUNTA(E$13:E883)=1,"",",")&amp;D883,"")</f>
        <v/>
      </c>
      <c r="AK883" s="4"/>
      <c r="AL883" s="4"/>
      <c r="AM883" s="4"/>
      <c r="AN883" s="4"/>
      <c r="AO883" s="4"/>
      <c r="AP883" s="4"/>
      <c r="AQ883" s="4"/>
      <c r="AR883" s="4"/>
      <c r="AS883" s="76" t="str">
        <f>"COMMENT ON COLUMN "&amp;エンティティ一覧!$O$2&amp;"."&amp;D$8&amp;"."&amp;D883&amp;" IS '"&amp;C883&amp;"';"</f>
        <v>COMMENT ON COLUMN milscm_2023_009.sny_202310_annony_bef2.shikkan865_start_date IS 'N035_疾患開始日';</v>
      </c>
    </row>
    <row r="884" spans="1:45" s="25" customFormat="1">
      <c r="A884" s="4" t="s">
        <v>5928</v>
      </c>
      <c r="B884" s="21">
        <f t="shared" si="101"/>
        <v>872</v>
      </c>
      <c r="C884" s="13" t="s">
        <v>7318</v>
      </c>
      <c r="D884" s="13" t="s">
        <v>6526</v>
      </c>
      <c r="E884" s="8"/>
      <c r="F884" s="7" t="s">
        <v>4348</v>
      </c>
      <c r="G884" s="7" t="s">
        <v>25</v>
      </c>
      <c r="H884" s="58"/>
      <c r="I884" s="23"/>
      <c r="J884" s="24"/>
      <c r="M884" s="4"/>
      <c r="N884" s="76"/>
      <c r="O884" s="76"/>
      <c r="P884" s="76" t="str">
        <f t="shared" si="102"/>
        <v>,shikkan866_start_date</v>
      </c>
      <c r="Q884" s="76" t="str">
        <f t="shared" si="103"/>
        <v>DATE</v>
      </c>
      <c r="R884" s="76" t="str">
        <f t="shared" si="104"/>
        <v/>
      </c>
      <c r="S884" s="76" t="str">
        <f t="shared" si="105"/>
        <v/>
      </c>
      <c r="T884" s="76" t="str">
        <f t="shared" si="106"/>
        <v>-- N036_疾患開始日</v>
      </c>
      <c r="U884" s="4" t="str">
        <f t="shared" si="99"/>
        <v>, CASE WHEN shikkan_disp_name = 'N036' THEN min_shikkan_start_date ::DATE ELSE NULL END AS shikkan866_start_date</v>
      </c>
      <c r="V884" s="25" t="str">
        <f t="shared" si="100"/>
        <v>, max(shikkan866_start_date)</v>
      </c>
      <c r="AA884" s="4"/>
      <c r="AB884" s="4"/>
      <c r="AC884" s="4"/>
      <c r="AD884" s="4"/>
      <c r="AE884" s="4"/>
      <c r="AF884" s="4"/>
      <c r="AG884" s="4"/>
      <c r="AH884" s="4"/>
      <c r="AI884" s="4"/>
      <c r="AJ884" s="76" t="str">
        <f>IF(E884="○",IF(COUNTA(E$13:E884)=1,"",",")&amp;D884,"")</f>
        <v/>
      </c>
      <c r="AK884" s="4"/>
      <c r="AL884" s="4"/>
      <c r="AM884" s="4"/>
      <c r="AN884" s="4"/>
      <c r="AO884" s="4"/>
      <c r="AP884" s="4"/>
      <c r="AQ884" s="4"/>
      <c r="AR884" s="4"/>
      <c r="AS884" s="76" t="str">
        <f>"COMMENT ON COLUMN "&amp;エンティティ一覧!$O$2&amp;"."&amp;D$8&amp;"."&amp;D884&amp;" IS '"&amp;C884&amp;"';"</f>
        <v>COMMENT ON COLUMN milscm_2023_009.sny_202310_annony_bef2.shikkan866_start_date IS 'N036_疾患開始日';</v>
      </c>
    </row>
    <row r="885" spans="1:45" s="25" customFormat="1">
      <c r="A885" s="4" t="s">
        <v>5929</v>
      </c>
      <c r="B885" s="21">
        <f t="shared" si="101"/>
        <v>873</v>
      </c>
      <c r="C885" s="13" t="s">
        <v>7319</v>
      </c>
      <c r="D885" s="13" t="s">
        <v>6527</v>
      </c>
      <c r="E885" s="8"/>
      <c r="F885" s="7" t="s">
        <v>4348</v>
      </c>
      <c r="G885" s="7" t="s">
        <v>25</v>
      </c>
      <c r="H885" s="58"/>
      <c r="I885" s="23"/>
      <c r="J885" s="24"/>
      <c r="M885" s="4"/>
      <c r="N885" s="76"/>
      <c r="O885" s="76"/>
      <c r="P885" s="76" t="str">
        <f t="shared" si="102"/>
        <v>,shikkan867_start_date</v>
      </c>
      <c r="Q885" s="76" t="str">
        <f t="shared" si="103"/>
        <v>DATE</v>
      </c>
      <c r="R885" s="76" t="str">
        <f t="shared" si="104"/>
        <v/>
      </c>
      <c r="S885" s="76" t="str">
        <f t="shared" si="105"/>
        <v/>
      </c>
      <c r="T885" s="76" t="str">
        <f t="shared" si="106"/>
        <v>-- N037_疾患開始日</v>
      </c>
      <c r="U885" s="4" t="str">
        <f t="shared" si="99"/>
        <v>, CASE WHEN shikkan_disp_name = 'N037' THEN min_shikkan_start_date ::DATE ELSE NULL END AS shikkan867_start_date</v>
      </c>
      <c r="V885" s="25" t="str">
        <f t="shared" si="100"/>
        <v>, max(shikkan867_start_date)</v>
      </c>
      <c r="AA885" s="4"/>
      <c r="AB885" s="4"/>
      <c r="AC885" s="4"/>
      <c r="AD885" s="4"/>
      <c r="AE885" s="4"/>
      <c r="AF885" s="4"/>
      <c r="AG885" s="4"/>
      <c r="AH885" s="4"/>
      <c r="AI885" s="4"/>
      <c r="AJ885" s="76" t="str">
        <f>IF(E885="○",IF(COUNTA(E$13:E885)=1,"",",")&amp;D885,"")</f>
        <v/>
      </c>
      <c r="AK885" s="4"/>
      <c r="AL885" s="4"/>
      <c r="AM885" s="4"/>
      <c r="AN885" s="4"/>
      <c r="AO885" s="4"/>
      <c r="AP885" s="4"/>
      <c r="AQ885" s="4"/>
      <c r="AR885" s="4"/>
      <c r="AS885" s="76" t="str">
        <f>"COMMENT ON COLUMN "&amp;エンティティ一覧!$O$2&amp;"."&amp;D$8&amp;"."&amp;D885&amp;" IS '"&amp;C885&amp;"';"</f>
        <v>COMMENT ON COLUMN milscm_2023_009.sny_202310_annony_bef2.shikkan867_start_date IS 'N037_疾患開始日';</v>
      </c>
    </row>
    <row r="886" spans="1:45" s="25" customFormat="1">
      <c r="A886" s="4" t="s">
        <v>5930</v>
      </c>
      <c r="B886" s="21">
        <f t="shared" si="101"/>
        <v>874</v>
      </c>
      <c r="C886" s="13" t="s">
        <v>7320</v>
      </c>
      <c r="D886" s="13" t="s">
        <v>6528</v>
      </c>
      <c r="E886" s="8"/>
      <c r="F886" s="7" t="s">
        <v>4348</v>
      </c>
      <c r="G886" s="7" t="s">
        <v>25</v>
      </c>
      <c r="H886" s="58"/>
      <c r="I886" s="23"/>
      <c r="J886" s="24"/>
      <c r="M886" s="4"/>
      <c r="N886" s="76"/>
      <c r="O886" s="76"/>
      <c r="P886" s="76" t="str">
        <f t="shared" si="102"/>
        <v>,shikkan868_start_date</v>
      </c>
      <c r="Q886" s="76" t="str">
        <f t="shared" si="103"/>
        <v>DATE</v>
      </c>
      <c r="R886" s="76" t="str">
        <f t="shared" si="104"/>
        <v/>
      </c>
      <c r="S886" s="76" t="str">
        <f t="shared" si="105"/>
        <v/>
      </c>
      <c r="T886" s="76" t="str">
        <f t="shared" si="106"/>
        <v>-- N052_疾患開始日</v>
      </c>
      <c r="U886" s="4" t="str">
        <f t="shared" si="99"/>
        <v>, CASE WHEN shikkan_disp_name = 'N052' THEN min_shikkan_start_date ::DATE ELSE NULL END AS shikkan868_start_date</v>
      </c>
      <c r="V886" s="25" t="str">
        <f t="shared" si="100"/>
        <v>, max(shikkan868_start_date)</v>
      </c>
      <c r="AA886" s="4"/>
      <c r="AB886" s="4"/>
      <c r="AC886" s="4"/>
      <c r="AD886" s="4"/>
      <c r="AE886" s="4"/>
      <c r="AF886" s="4"/>
      <c r="AG886" s="4"/>
      <c r="AH886" s="4"/>
      <c r="AI886" s="4"/>
      <c r="AJ886" s="76" t="str">
        <f>IF(E886="○",IF(COUNTA(E$13:E886)=1,"",",")&amp;D886,"")</f>
        <v/>
      </c>
      <c r="AK886" s="4"/>
      <c r="AL886" s="4"/>
      <c r="AM886" s="4"/>
      <c r="AN886" s="4"/>
      <c r="AO886" s="4"/>
      <c r="AP886" s="4"/>
      <c r="AQ886" s="4"/>
      <c r="AR886" s="4"/>
      <c r="AS886" s="76" t="str">
        <f>"COMMENT ON COLUMN "&amp;エンティティ一覧!$O$2&amp;"."&amp;D$8&amp;"."&amp;D886&amp;" IS '"&amp;C886&amp;"';"</f>
        <v>COMMENT ON COLUMN milscm_2023_009.sny_202310_annony_bef2.shikkan868_start_date IS 'N052_疾患開始日';</v>
      </c>
    </row>
    <row r="887" spans="1:45" s="25" customFormat="1">
      <c r="A887" s="4" t="s">
        <v>5931</v>
      </c>
      <c r="B887" s="21">
        <f t="shared" si="101"/>
        <v>875</v>
      </c>
      <c r="C887" s="13" t="s">
        <v>7321</v>
      </c>
      <c r="D887" s="13" t="s">
        <v>6529</v>
      </c>
      <c r="E887" s="8"/>
      <c r="F887" s="7" t="s">
        <v>4348</v>
      </c>
      <c r="G887" s="7" t="s">
        <v>25</v>
      </c>
      <c r="H887" s="58"/>
      <c r="I887" s="23"/>
      <c r="J887" s="24"/>
      <c r="M887" s="4"/>
      <c r="N887" s="76"/>
      <c r="O887" s="76"/>
      <c r="P887" s="76" t="str">
        <f t="shared" si="102"/>
        <v>,shikkan869_start_date</v>
      </c>
      <c r="Q887" s="76" t="str">
        <f t="shared" si="103"/>
        <v>DATE</v>
      </c>
      <c r="R887" s="76" t="str">
        <f t="shared" si="104"/>
        <v/>
      </c>
      <c r="S887" s="76" t="str">
        <f t="shared" si="105"/>
        <v/>
      </c>
      <c r="T887" s="76" t="str">
        <f t="shared" si="106"/>
        <v>-- N053_疾患開始日</v>
      </c>
      <c r="U887" s="4" t="str">
        <f t="shared" si="99"/>
        <v>, CASE WHEN shikkan_disp_name = 'N053' THEN min_shikkan_start_date ::DATE ELSE NULL END AS shikkan869_start_date</v>
      </c>
      <c r="V887" s="25" t="str">
        <f t="shared" si="100"/>
        <v>, max(shikkan869_start_date)</v>
      </c>
      <c r="AA887" s="4"/>
      <c r="AB887" s="4"/>
      <c r="AC887" s="4"/>
      <c r="AD887" s="4"/>
      <c r="AE887" s="4"/>
      <c r="AF887" s="4"/>
      <c r="AG887" s="4"/>
      <c r="AH887" s="4"/>
      <c r="AI887" s="4"/>
      <c r="AJ887" s="76" t="str">
        <f>IF(E887="○",IF(COUNTA(E$13:E887)=1,"",",")&amp;D887,"")</f>
        <v/>
      </c>
      <c r="AK887" s="4"/>
      <c r="AL887" s="4"/>
      <c r="AM887" s="4"/>
      <c r="AN887" s="4"/>
      <c r="AO887" s="4"/>
      <c r="AP887" s="4"/>
      <c r="AQ887" s="4"/>
      <c r="AR887" s="4"/>
      <c r="AS887" s="76" t="str">
        <f>"COMMENT ON COLUMN "&amp;エンティティ一覧!$O$2&amp;"."&amp;D$8&amp;"."&amp;D887&amp;" IS '"&amp;C887&amp;"';"</f>
        <v>COMMENT ON COLUMN milscm_2023_009.sny_202310_annony_bef2.shikkan869_start_date IS 'N053_疾患開始日';</v>
      </c>
    </row>
    <row r="888" spans="1:45" s="25" customFormat="1">
      <c r="A888" s="4" t="s">
        <v>5932</v>
      </c>
      <c r="B888" s="21">
        <f t="shared" si="101"/>
        <v>876</v>
      </c>
      <c r="C888" s="13" t="s">
        <v>7322</v>
      </c>
      <c r="D888" s="13" t="s">
        <v>6530</v>
      </c>
      <c r="E888" s="8"/>
      <c r="F888" s="7" t="s">
        <v>4348</v>
      </c>
      <c r="G888" s="7" t="s">
        <v>25</v>
      </c>
      <c r="H888" s="58"/>
      <c r="I888" s="23"/>
      <c r="J888" s="24"/>
      <c r="M888" s="4"/>
      <c r="N888" s="76"/>
      <c r="O888" s="76"/>
      <c r="P888" s="76" t="str">
        <f t="shared" si="102"/>
        <v>,shikkan870_start_date</v>
      </c>
      <c r="Q888" s="76" t="str">
        <f t="shared" si="103"/>
        <v>DATE</v>
      </c>
      <c r="R888" s="76" t="str">
        <f t="shared" si="104"/>
        <v/>
      </c>
      <c r="S888" s="76" t="str">
        <f t="shared" si="105"/>
        <v/>
      </c>
      <c r="T888" s="76" t="str">
        <f t="shared" si="106"/>
        <v>-- N054_疾患開始日</v>
      </c>
      <c r="U888" s="4" t="str">
        <f t="shared" si="99"/>
        <v>, CASE WHEN shikkan_disp_name = 'N054' THEN min_shikkan_start_date ::DATE ELSE NULL END AS shikkan870_start_date</v>
      </c>
      <c r="V888" s="25" t="str">
        <f t="shared" si="100"/>
        <v>, max(shikkan870_start_date)</v>
      </c>
      <c r="AA888" s="4"/>
      <c r="AB888" s="4"/>
      <c r="AC888" s="4"/>
      <c r="AD888" s="4"/>
      <c r="AE888" s="4"/>
      <c r="AF888" s="4"/>
      <c r="AG888" s="4"/>
      <c r="AH888" s="4"/>
      <c r="AI888" s="4"/>
      <c r="AJ888" s="76" t="str">
        <f>IF(E888="○",IF(COUNTA(E$13:E888)=1,"",",")&amp;D888,"")</f>
        <v/>
      </c>
      <c r="AK888" s="4"/>
      <c r="AL888" s="4"/>
      <c r="AM888" s="4"/>
      <c r="AN888" s="4"/>
      <c r="AO888" s="4"/>
      <c r="AP888" s="4"/>
      <c r="AQ888" s="4"/>
      <c r="AR888" s="4"/>
      <c r="AS888" s="76" t="str">
        <f>"COMMENT ON COLUMN "&amp;エンティティ一覧!$O$2&amp;"."&amp;D$8&amp;"."&amp;D888&amp;" IS '"&amp;C888&amp;"';"</f>
        <v>COMMENT ON COLUMN milscm_2023_009.sny_202310_annony_bef2.shikkan870_start_date IS 'N054_疾患開始日';</v>
      </c>
    </row>
    <row r="889" spans="1:45" s="25" customFormat="1">
      <c r="A889" s="4" t="s">
        <v>5933</v>
      </c>
      <c r="B889" s="21">
        <f t="shared" si="101"/>
        <v>877</v>
      </c>
      <c r="C889" s="13" t="s">
        <v>7323</v>
      </c>
      <c r="D889" s="13" t="s">
        <v>6531</v>
      </c>
      <c r="E889" s="8"/>
      <c r="F889" s="7" t="s">
        <v>4348</v>
      </c>
      <c r="G889" s="7" t="s">
        <v>25</v>
      </c>
      <c r="H889" s="58"/>
      <c r="I889" s="23"/>
      <c r="J889" s="24"/>
      <c r="M889" s="4"/>
      <c r="N889" s="76"/>
      <c r="O889" s="76"/>
      <c r="P889" s="76" t="str">
        <f t="shared" si="102"/>
        <v>,shikkan871_start_date</v>
      </c>
      <c r="Q889" s="76" t="str">
        <f t="shared" si="103"/>
        <v>DATE</v>
      </c>
      <c r="R889" s="76" t="str">
        <f t="shared" si="104"/>
        <v/>
      </c>
      <c r="S889" s="76" t="str">
        <f t="shared" si="105"/>
        <v/>
      </c>
      <c r="T889" s="76" t="str">
        <f t="shared" si="106"/>
        <v>-- N055_疾患開始日</v>
      </c>
      <c r="U889" s="4" t="str">
        <f t="shared" si="99"/>
        <v>, CASE WHEN shikkan_disp_name = 'N055' THEN min_shikkan_start_date ::DATE ELSE NULL END AS shikkan871_start_date</v>
      </c>
      <c r="V889" s="25" t="str">
        <f t="shared" si="100"/>
        <v>, max(shikkan871_start_date)</v>
      </c>
      <c r="AA889" s="4"/>
      <c r="AB889" s="4"/>
      <c r="AC889" s="4"/>
      <c r="AD889" s="4"/>
      <c r="AE889" s="4"/>
      <c r="AF889" s="4"/>
      <c r="AG889" s="4"/>
      <c r="AH889" s="4"/>
      <c r="AI889" s="4"/>
      <c r="AJ889" s="76" t="str">
        <f>IF(E889="○",IF(COUNTA(E$13:E889)=1,"",",")&amp;D889,"")</f>
        <v/>
      </c>
      <c r="AK889" s="4"/>
      <c r="AL889" s="4"/>
      <c r="AM889" s="4"/>
      <c r="AN889" s="4"/>
      <c r="AO889" s="4"/>
      <c r="AP889" s="4"/>
      <c r="AQ889" s="4"/>
      <c r="AR889" s="4"/>
      <c r="AS889" s="76" t="str">
        <f>"COMMENT ON COLUMN "&amp;エンティティ一覧!$O$2&amp;"."&amp;D$8&amp;"."&amp;D889&amp;" IS '"&amp;C889&amp;"';"</f>
        <v>COMMENT ON COLUMN milscm_2023_009.sny_202310_annony_bef2.shikkan871_start_date IS 'N055_疾患開始日';</v>
      </c>
    </row>
    <row r="890" spans="1:45" s="25" customFormat="1">
      <c r="A890" s="4" t="s">
        <v>5934</v>
      </c>
      <c r="B890" s="21">
        <f t="shared" si="101"/>
        <v>878</v>
      </c>
      <c r="C890" s="13" t="s">
        <v>7324</v>
      </c>
      <c r="D890" s="13" t="s">
        <v>6532</v>
      </c>
      <c r="E890" s="8"/>
      <c r="F890" s="7" t="s">
        <v>4348</v>
      </c>
      <c r="G890" s="7" t="s">
        <v>25</v>
      </c>
      <c r="H890" s="58"/>
      <c r="I890" s="23"/>
      <c r="J890" s="24"/>
      <c r="M890" s="4"/>
      <c r="N890" s="76"/>
      <c r="O890" s="76"/>
      <c r="P890" s="76" t="str">
        <f t="shared" si="102"/>
        <v>,shikkan872_start_date</v>
      </c>
      <c r="Q890" s="76" t="str">
        <f t="shared" si="103"/>
        <v>DATE</v>
      </c>
      <c r="R890" s="76" t="str">
        <f t="shared" si="104"/>
        <v/>
      </c>
      <c r="S890" s="76" t="str">
        <f t="shared" si="105"/>
        <v/>
      </c>
      <c r="T890" s="76" t="str">
        <f t="shared" si="106"/>
        <v>-- N056_疾患開始日</v>
      </c>
      <c r="U890" s="4" t="str">
        <f t="shared" si="99"/>
        <v>, CASE WHEN shikkan_disp_name = 'N056' THEN min_shikkan_start_date ::DATE ELSE NULL END AS shikkan872_start_date</v>
      </c>
      <c r="V890" s="25" t="str">
        <f t="shared" si="100"/>
        <v>, max(shikkan872_start_date)</v>
      </c>
      <c r="AA890" s="4"/>
      <c r="AB890" s="4"/>
      <c r="AC890" s="4"/>
      <c r="AD890" s="4"/>
      <c r="AE890" s="4"/>
      <c r="AF890" s="4"/>
      <c r="AG890" s="4"/>
      <c r="AH890" s="4"/>
      <c r="AI890" s="4"/>
      <c r="AJ890" s="76" t="str">
        <f>IF(E890="○",IF(COUNTA(E$13:E890)=1,"",",")&amp;D890,"")</f>
        <v/>
      </c>
      <c r="AK890" s="4"/>
      <c r="AL890" s="4"/>
      <c r="AM890" s="4"/>
      <c r="AN890" s="4"/>
      <c r="AO890" s="4"/>
      <c r="AP890" s="4"/>
      <c r="AQ890" s="4"/>
      <c r="AR890" s="4"/>
      <c r="AS890" s="76" t="str">
        <f>"COMMENT ON COLUMN "&amp;エンティティ一覧!$O$2&amp;"."&amp;D$8&amp;"."&amp;D890&amp;" IS '"&amp;C890&amp;"';"</f>
        <v>COMMENT ON COLUMN milscm_2023_009.sny_202310_annony_bef2.shikkan872_start_date IS 'N056_疾患開始日';</v>
      </c>
    </row>
    <row r="891" spans="1:45" s="25" customFormat="1">
      <c r="A891" s="4" t="s">
        <v>5935</v>
      </c>
      <c r="B891" s="21">
        <f t="shared" si="101"/>
        <v>879</v>
      </c>
      <c r="C891" s="13" t="s">
        <v>7325</v>
      </c>
      <c r="D891" s="13" t="s">
        <v>6533</v>
      </c>
      <c r="E891" s="8"/>
      <c r="F891" s="7" t="s">
        <v>4348</v>
      </c>
      <c r="G891" s="7" t="s">
        <v>25</v>
      </c>
      <c r="H891" s="58"/>
      <c r="I891" s="23"/>
      <c r="J891" s="24"/>
      <c r="M891" s="4"/>
      <c r="N891" s="76"/>
      <c r="O891" s="76"/>
      <c r="P891" s="76" t="str">
        <f t="shared" si="102"/>
        <v>,shikkan873_start_date</v>
      </c>
      <c r="Q891" s="76" t="str">
        <f t="shared" si="103"/>
        <v>DATE</v>
      </c>
      <c r="R891" s="76" t="str">
        <f t="shared" si="104"/>
        <v/>
      </c>
      <c r="S891" s="76" t="str">
        <f t="shared" si="105"/>
        <v/>
      </c>
      <c r="T891" s="76" t="str">
        <f t="shared" si="106"/>
        <v>-- N057_疾患開始日</v>
      </c>
      <c r="U891" s="4" t="str">
        <f t="shared" si="99"/>
        <v>, CASE WHEN shikkan_disp_name = 'N057' THEN min_shikkan_start_date ::DATE ELSE NULL END AS shikkan873_start_date</v>
      </c>
      <c r="V891" s="25" t="str">
        <f t="shared" si="100"/>
        <v>, max(shikkan873_start_date)</v>
      </c>
      <c r="AA891" s="4"/>
      <c r="AB891" s="4"/>
      <c r="AC891" s="4"/>
      <c r="AD891" s="4"/>
      <c r="AE891" s="4"/>
      <c r="AF891" s="4"/>
      <c r="AG891" s="4"/>
      <c r="AH891" s="4"/>
      <c r="AI891" s="4"/>
      <c r="AJ891" s="76" t="str">
        <f>IF(E891="○",IF(COUNTA(E$13:E891)=1,"",",")&amp;D891,"")</f>
        <v/>
      </c>
      <c r="AK891" s="4"/>
      <c r="AL891" s="4"/>
      <c r="AM891" s="4"/>
      <c r="AN891" s="4"/>
      <c r="AO891" s="4"/>
      <c r="AP891" s="4"/>
      <c r="AQ891" s="4"/>
      <c r="AR891" s="4"/>
      <c r="AS891" s="76" t="str">
        <f>"COMMENT ON COLUMN "&amp;エンティティ一覧!$O$2&amp;"."&amp;D$8&amp;"."&amp;D891&amp;" IS '"&amp;C891&amp;"';"</f>
        <v>COMMENT ON COLUMN milscm_2023_009.sny_202310_annony_bef2.shikkan873_start_date IS 'N057_疾患開始日';</v>
      </c>
    </row>
    <row r="892" spans="1:45" s="25" customFormat="1">
      <c r="A892" s="4" t="s">
        <v>5936</v>
      </c>
      <c r="B892" s="21">
        <f t="shared" si="101"/>
        <v>880</v>
      </c>
      <c r="C892" s="13" t="s">
        <v>7326</v>
      </c>
      <c r="D892" s="13" t="s">
        <v>6534</v>
      </c>
      <c r="E892" s="8"/>
      <c r="F892" s="7" t="s">
        <v>4348</v>
      </c>
      <c r="G892" s="7" t="s">
        <v>25</v>
      </c>
      <c r="H892" s="58"/>
      <c r="I892" s="23"/>
      <c r="J892" s="24"/>
      <c r="M892" s="4"/>
      <c r="N892" s="76"/>
      <c r="O892" s="76"/>
      <c r="P892" s="76" t="str">
        <f t="shared" si="102"/>
        <v>,shikkan874_start_date</v>
      </c>
      <c r="Q892" s="76" t="str">
        <f t="shared" si="103"/>
        <v>DATE</v>
      </c>
      <c r="R892" s="76" t="str">
        <f t="shared" si="104"/>
        <v/>
      </c>
      <c r="S892" s="76" t="str">
        <f t="shared" si="105"/>
        <v/>
      </c>
      <c r="T892" s="76" t="str">
        <f t="shared" si="106"/>
        <v>-- N181_疾患開始日</v>
      </c>
      <c r="U892" s="4" t="str">
        <f t="shared" si="99"/>
        <v>, CASE WHEN shikkan_disp_name = 'N181' THEN min_shikkan_start_date ::DATE ELSE NULL END AS shikkan874_start_date</v>
      </c>
      <c r="V892" s="25" t="str">
        <f t="shared" si="100"/>
        <v>, max(shikkan874_start_date)</v>
      </c>
      <c r="AA892" s="4"/>
      <c r="AB892" s="4"/>
      <c r="AC892" s="4"/>
      <c r="AD892" s="4"/>
      <c r="AE892" s="4"/>
      <c r="AF892" s="4"/>
      <c r="AG892" s="4"/>
      <c r="AH892" s="4"/>
      <c r="AI892" s="4"/>
      <c r="AJ892" s="76" t="str">
        <f>IF(E892="○",IF(COUNTA(E$13:E892)=1,"",",")&amp;D892,"")</f>
        <v/>
      </c>
      <c r="AK892" s="4"/>
      <c r="AL892" s="4"/>
      <c r="AM892" s="4"/>
      <c r="AN892" s="4"/>
      <c r="AO892" s="4"/>
      <c r="AP892" s="4"/>
      <c r="AQ892" s="4"/>
      <c r="AR892" s="4"/>
      <c r="AS892" s="76" t="str">
        <f>"COMMENT ON COLUMN "&amp;エンティティ一覧!$O$2&amp;"."&amp;D$8&amp;"."&amp;D892&amp;" IS '"&amp;C892&amp;"';"</f>
        <v>COMMENT ON COLUMN milscm_2023_009.sny_202310_annony_bef2.shikkan874_start_date IS 'N181_疾患開始日';</v>
      </c>
    </row>
    <row r="893" spans="1:45" s="25" customFormat="1">
      <c r="A893" s="4" t="s">
        <v>5937</v>
      </c>
      <c r="B893" s="21">
        <f t="shared" si="101"/>
        <v>881</v>
      </c>
      <c r="C893" s="13" t="s">
        <v>7327</v>
      </c>
      <c r="D893" s="13" t="s">
        <v>6535</v>
      </c>
      <c r="E893" s="8"/>
      <c r="F893" s="7" t="s">
        <v>4348</v>
      </c>
      <c r="G893" s="7" t="s">
        <v>25</v>
      </c>
      <c r="H893" s="58"/>
      <c r="I893" s="23"/>
      <c r="J893" s="24"/>
      <c r="M893" s="4"/>
      <c r="N893" s="76"/>
      <c r="O893" s="76"/>
      <c r="P893" s="76" t="str">
        <f t="shared" si="102"/>
        <v>,shikkan875_start_date</v>
      </c>
      <c r="Q893" s="76" t="str">
        <f t="shared" si="103"/>
        <v>DATE</v>
      </c>
      <c r="R893" s="76" t="str">
        <f t="shared" si="104"/>
        <v/>
      </c>
      <c r="S893" s="76" t="str">
        <f t="shared" si="105"/>
        <v/>
      </c>
      <c r="T893" s="76" t="str">
        <f t="shared" si="106"/>
        <v>-- N182_疾患開始日</v>
      </c>
      <c r="U893" s="4" t="str">
        <f t="shared" si="99"/>
        <v>, CASE WHEN shikkan_disp_name = 'N182' THEN min_shikkan_start_date ::DATE ELSE NULL END AS shikkan875_start_date</v>
      </c>
      <c r="V893" s="25" t="str">
        <f t="shared" si="100"/>
        <v>, max(shikkan875_start_date)</v>
      </c>
      <c r="AA893" s="4"/>
      <c r="AB893" s="4"/>
      <c r="AC893" s="4"/>
      <c r="AD893" s="4"/>
      <c r="AE893" s="4"/>
      <c r="AF893" s="4"/>
      <c r="AG893" s="4"/>
      <c r="AH893" s="4"/>
      <c r="AI893" s="4"/>
      <c r="AJ893" s="76" t="str">
        <f>IF(E893="○",IF(COUNTA(E$13:E893)=1,"",",")&amp;D893,"")</f>
        <v/>
      </c>
      <c r="AK893" s="4"/>
      <c r="AL893" s="4"/>
      <c r="AM893" s="4"/>
      <c r="AN893" s="4"/>
      <c r="AO893" s="4"/>
      <c r="AP893" s="4"/>
      <c r="AQ893" s="4"/>
      <c r="AR893" s="4"/>
      <c r="AS893" s="76" t="str">
        <f>"COMMENT ON COLUMN "&amp;エンティティ一覧!$O$2&amp;"."&amp;D$8&amp;"."&amp;D893&amp;" IS '"&amp;C893&amp;"';"</f>
        <v>COMMENT ON COLUMN milscm_2023_009.sny_202310_annony_bef2.shikkan875_start_date IS 'N182_疾患開始日';</v>
      </c>
    </row>
    <row r="894" spans="1:45" s="25" customFormat="1">
      <c r="A894" s="4" t="s">
        <v>5938</v>
      </c>
      <c r="B894" s="21">
        <f t="shared" si="101"/>
        <v>882</v>
      </c>
      <c r="C894" s="13" t="s">
        <v>7328</v>
      </c>
      <c r="D894" s="13" t="s">
        <v>6536</v>
      </c>
      <c r="E894" s="8"/>
      <c r="F894" s="7" t="s">
        <v>4348</v>
      </c>
      <c r="G894" s="7" t="s">
        <v>25</v>
      </c>
      <c r="H894" s="58"/>
      <c r="I894" s="23"/>
      <c r="J894" s="24"/>
      <c r="M894" s="4"/>
      <c r="N894" s="76"/>
      <c r="O894" s="76"/>
      <c r="P894" s="76" t="str">
        <f t="shared" si="102"/>
        <v>,shikkan876_start_date</v>
      </c>
      <c r="Q894" s="76" t="str">
        <f t="shared" si="103"/>
        <v>DATE</v>
      </c>
      <c r="R894" s="76" t="str">
        <f t="shared" si="104"/>
        <v/>
      </c>
      <c r="S894" s="76" t="str">
        <f t="shared" si="105"/>
        <v/>
      </c>
      <c r="T894" s="76" t="str">
        <f t="shared" si="106"/>
        <v>-- N183_疾患開始日</v>
      </c>
      <c r="U894" s="4" t="str">
        <f t="shared" si="99"/>
        <v>, CASE WHEN shikkan_disp_name = 'N183' THEN min_shikkan_start_date ::DATE ELSE NULL END AS shikkan876_start_date</v>
      </c>
      <c r="V894" s="25" t="str">
        <f t="shared" si="100"/>
        <v>, max(shikkan876_start_date)</v>
      </c>
      <c r="AA894" s="4"/>
      <c r="AB894" s="4"/>
      <c r="AC894" s="4"/>
      <c r="AD894" s="4"/>
      <c r="AE894" s="4"/>
      <c r="AF894" s="4"/>
      <c r="AG894" s="4"/>
      <c r="AH894" s="4"/>
      <c r="AI894" s="4"/>
      <c r="AJ894" s="76" t="str">
        <f>IF(E894="○",IF(COUNTA(E$13:E894)=1,"",",")&amp;D894,"")</f>
        <v/>
      </c>
      <c r="AK894" s="4"/>
      <c r="AL894" s="4"/>
      <c r="AM894" s="4"/>
      <c r="AN894" s="4"/>
      <c r="AO894" s="4"/>
      <c r="AP894" s="4"/>
      <c r="AQ894" s="4"/>
      <c r="AR894" s="4"/>
      <c r="AS894" s="76" t="str">
        <f>"COMMENT ON COLUMN "&amp;エンティティ一覧!$O$2&amp;"."&amp;D$8&amp;"."&amp;D894&amp;" IS '"&amp;C894&amp;"';"</f>
        <v>COMMENT ON COLUMN milscm_2023_009.sny_202310_annony_bef2.shikkan876_start_date IS 'N183_疾患開始日';</v>
      </c>
    </row>
    <row r="895" spans="1:45" s="25" customFormat="1">
      <c r="A895" s="4" t="s">
        <v>5939</v>
      </c>
      <c r="B895" s="21">
        <f t="shared" si="101"/>
        <v>883</v>
      </c>
      <c r="C895" s="13" t="s">
        <v>7329</v>
      </c>
      <c r="D895" s="13" t="s">
        <v>6537</v>
      </c>
      <c r="E895" s="8"/>
      <c r="F895" s="7" t="s">
        <v>4348</v>
      </c>
      <c r="G895" s="7" t="s">
        <v>25</v>
      </c>
      <c r="H895" s="58"/>
      <c r="I895" s="23"/>
      <c r="J895" s="24"/>
      <c r="M895" s="4"/>
      <c r="N895" s="76"/>
      <c r="O895" s="76"/>
      <c r="P895" s="76" t="str">
        <f t="shared" si="102"/>
        <v>,shikkan877_start_date</v>
      </c>
      <c r="Q895" s="76" t="str">
        <f t="shared" si="103"/>
        <v>DATE</v>
      </c>
      <c r="R895" s="76" t="str">
        <f t="shared" si="104"/>
        <v/>
      </c>
      <c r="S895" s="76" t="str">
        <f t="shared" si="105"/>
        <v/>
      </c>
      <c r="T895" s="76" t="str">
        <f t="shared" si="106"/>
        <v>-- N184_疾患開始日</v>
      </c>
      <c r="U895" s="4" t="str">
        <f t="shared" si="99"/>
        <v>, CASE WHEN shikkan_disp_name = 'N184' THEN min_shikkan_start_date ::DATE ELSE NULL END AS shikkan877_start_date</v>
      </c>
      <c r="V895" s="25" t="str">
        <f t="shared" si="100"/>
        <v>, max(shikkan877_start_date)</v>
      </c>
      <c r="AA895" s="4"/>
      <c r="AB895" s="4"/>
      <c r="AC895" s="4"/>
      <c r="AD895" s="4"/>
      <c r="AE895" s="4"/>
      <c r="AF895" s="4"/>
      <c r="AG895" s="4"/>
      <c r="AH895" s="4"/>
      <c r="AI895" s="4"/>
      <c r="AJ895" s="76" t="str">
        <f>IF(E895="○",IF(COUNTA(E$13:E895)=1,"",",")&amp;D895,"")</f>
        <v/>
      </c>
      <c r="AK895" s="4"/>
      <c r="AL895" s="4"/>
      <c r="AM895" s="4"/>
      <c r="AN895" s="4"/>
      <c r="AO895" s="4"/>
      <c r="AP895" s="4"/>
      <c r="AQ895" s="4"/>
      <c r="AR895" s="4"/>
      <c r="AS895" s="76" t="str">
        <f>"COMMENT ON COLUMN "&amp;エンティティ一覧!$O$2&amp;"."&amp;D$8&amp;"."&amp;D895&amp;" IS '"&amp;C895&amp;"';"</f>
        <v>COMMENT ON COLUMN milscm_2023_009.sny_202310_annony_bef2.shikkan877_start_date IS 'N184_疾患開始日';</v>
      </c>
    </row>
    <row r="896" spans="1:45" s="25" customFormat="1">
      <c r="A896" s="4" t="s">
        <v>5940</v>
      </c>
      <c r="B896" s="21">
        <f t="shared" si="101"/>
        <v>884</v>
      </c>
      <c r="C896" s="13" t="s">
        <v>7330</v>
      </c>
      <c r="D896" s="13" t="s">
        <v>6538</v>
      </c>
      <c r="E896" s="8"/>
      <c r="F896" s="7" t="s">
        <v>4348</v>
      </c>
      <c r="G896" s="7" t="s">
        <v>25</v>
      </c>
      <c r="H896" s="58"/>
      <c r="I896" s="23"/>
      <c r="J896" s="24"/>
      <c r="M896" s="4"/>
      <c r="N896" s="76"/>
      <c r="O896" s="76"/>
      <c r="P896" s="76" t="str">
        <f t="shared" si="102"/>
        <v>,shikkan878_start_date</v>
      </c>
      <c r="Q896" s="76" t="str">
        <f t="shared" si="103"/>
        <v>DATE</v>
      </c>
      <c r="R896" s="76" t="str">
        <f t="shared" si="104"/>
        <v/>
      </c>
      <c r="S896" s="76" t="str">
        <f t="shared" si="105"/>
        <v/>
      </c>
      <c r="T896" s="76" t="str">
        <f t="shared" si="106"/>
        <v>-- N185_疾患開始日</v>
      </c>
      <c r="U896" s="4" t="str">
        <f t="shared" si="99"/>
        <v>, CASE WHEN shikkan_disp_name = 'N185' THEN min_shikkan_start_date ::DATE ELSE NULL END AS shikkan878_start_date</v>
      </c>
      <c r="V896" s="25" t="str">
        <f t="shared" si="100"/>
        <v>, max(shikkan878_start_date)</v>
      </c>
      <c r="AA896" s="4"/>
      <c r="AB896" s="4"/>
      <c r="AC896" s="4"/>
      <c r="AD896" s="4"/>
      <c r="AE896" s="4"/>
      <c r="AF896" s="4"/>
      <c r="AG896" s="4"/>
      <c r="AH896" s="4"/>
      <c r="AI896" s="4"/>
      <c r="AJ896" s="76" t="str">
        <f>IF(E896="○",IF(COUNTA(E$13:E896)=1,"",",")&amp;D896,"")</f>
        <v/>
      </c>
      <c r="AK896" s="4"/>
      <c r="AL896" s="4"/>
      <c r="AM896" s="4"/>
      <c r="AN896" s="4"/>
      <c r="AO896" s="4"/>
      <c r="AP896" s="4"/>
      <c r="AQ896" s="4"/>
      <c r="AR896" s="4"/>
      <c r="AS896" s="76" t="str">
        <f>"COMMENT ON COLUMN "&amp;エンティティ一覧!$O$2&amp;"."&amp;D$8&amp;"."&amp;D896&amp;" IS '"&amp;C896&amp;"';"</f>
        <v>COMMENT ON COLUMN milscm_2023_009.sny_202310_annony_bef2.shikkan878_start_date IS 'N185_疾患開始日';</v>
      </c>
    </row>
    <row r="897" spans="1:45" s="25" customFormat="1">
      <c r="A897" s="4" t="s">
        <v>5941</v>
      </c>
      <c r="B897" s="21">
        <f t="shared" si="101"/>
        <v>885</v>
      </c>
      <c r="C897" s="13" t="s">
        <v>7331</v>
      </c>
      <c r="D897" s="13" t="s">
        <v>6539</v>
      </c>
      <c r="E897" s="8"/>
      <c r="F897" s="7" t="s">
        <v>4348</v>
      </c>
      <c r="G897" s="7" t="s">
        <v>25</v>
      </c>
      <c r="H897" s="58"/>
      <c r="I897" s="23"/>
      <c r="J897" s="24"/>
      <c r="M897" s="4"/>
      <c r="N897" s="76"/>
      <c r="O897" s="76"/>
      <c r="P897" s="76" t="str">
        <f t="shared" si="102"/>
        <v>,shikkan879_start_date</v>
      </c>
      <c r="Q897" s="76" t="str">
        <f t="shared" si="103"/>
        <v>DATE</v>
      </c>
      <c r="R897" s="76" t="str">
        <f t="shared" si="104"/>
        <v/>
      </c>
      <c r="S897" s="76" t="str">
        <f t="shared" si="105"/>
        <v/>
      </c>
      <c r="T897" s="76" t="str">
        <f t="shared" si="106"/>
        <v>-- N189_疾患開始日</v>
      </c>
      <c r="U897" s="4" t="str">
        <f t="shared" si="99"/>
        <v>, CASE WHEN shikkan_disp_name = 'N189' THEN min_shikkan_start_date ::DATE ELSE NULL END AS shikkan879_start_date</v>
      </c>
      <c r="V897" s="25" t="str">
        <f t="shared" si="100"/>
        <v>, max(shikkan879_start_date)</v>
      </c>
      <c r="AA897" s="4"/>
      <c r="AB897" s="4"/>
      <c r="AC897" s="4"/>
      <c r="AD897" s="4"/>
      <c r="AE897" s="4"/>
      <c r="AF897" s="4"/>
      <c r="AG897" s="4"/>
      <c r="AH897" s="4"/>
      <c r="AI897" s="4"/>
      <c r="AJ897" s="76" t="str">
        <f>IF(E897="○",IF(COUNTA(E$13:E897)=1,"",",")&amp;D897,"")</f>
        <v/>
      </c>
      <c r="AK897" s="4"/>
      <c r="AL897" s="4"/>
      <c r="AM897" s="4"/>
      <c r="AN897" s="4"/>
      <c r="AO897" s="4"/>
      <c r="AP897" s="4"/>
      <c r="AQ897" s="4"/>
      <c r="AR897" s="4"/>
      <c r="AS897" s="76" t="str">
        <f>"COMMENT ON COLUMN "&amp;エンティティ一覧!$O$2&amp;"."&amp;D$8&amp;"."&amp;D897&amp;" IS '"&amp;C897&amp;"';"</f>
        <v>COMMENT ON COLUMN milscm_2023_009.sny_202310_annony_bef2.shikkan879_start_date IS 'N189_疾患開始日';</v>
      </c>
    </row>
    <row r="898" spans="1:45" s="25" customFormat="1">
      <c r="A898" s="4" t="s">
        <v>5138</v>
      </c>
      <c r="B898" s="21">
        <f t="shared" si="101"/>
        <v>886</v>
      </c>
      <c r="C898" s="13" t="s">
        <v>4748</v>
      </c>
      <c r="D898" s="13" t="s">
        <v>6540</v>
      </c>
      <c r="E898" s="8"/>
      <c r="F898" s="7" t="s">
        <v>4348</v>
      </c>
      <c r="G898" s="7" t="s">
        <v>25</v>
      </c>
      <c r="H898" s="58"/>
      <c r="I898" s="23"/>
      <c r="J898" s="24"/>
      <c r="M898" s="4"/>
      <c r="N898" s="76"/>
      <c r="O898" s="76"/>
      <c r="P898" s="76" t="str">
        <f t="shared" si="102"/>
        <v>,shikkan880_start_date</v>
      </c>
      <c r="Q898" s="76" t="str">
        <f t="shared" si="103"/>
        <v>DATE</v>
      </c>
      <c r="R898" s="76" t="str">
        <f t="shared" si="104"/>
        <v/>
      </c>
      <c r="S898" s="76" t="str">
        <f t="shared" si="105"/>
        <v/>
      </c>
      <c r="T898" s="76" t="str">
        <f t="shared" si="106"/>
        <v>-- N19_疾患開始日</v>
      </c>
      <c r="U898" s="4" t="str">
        <f t="shared" si="99"/>
        <v>, CASE WHEN shikkan_disp_name = 'N19' THEN min_shikkan_start_date ::DATE ELSE NULL END AS shikkan880_start_date</v>
      </c>
      <c r="V898" s="25" t="str">
        <f t="shared" si="100"/>
        <v>, max(shikkan880_start_date)</v>
      </c>
      <c r="AA898" s="4"/>
      <c r="AB898" s="4"/>
      <c r="AC898" s="4"/>
      <c r="AD898" s="4"/>
      <c r="AE898" s="4"/>
      <c r="AF898" s="4"/>
      <c r="AG898" s="4"/>
      <c r="AH898" s="4"/>
      <c r="AI898" s="4"/>
      <c r="AJ898" s="76" t="str">
        <f>IF(E898="○",IF(COUNTA(E$13:E898)=1,"",",")&amp;D898,"")</f>
        <v/>
      </c>
      <c r="AK898" s="4"/>
      <c r="AL898" s="4"/>
      <c r="AM898" s="4"/>
      <c r="AN898" s="4"/>
      <c r="AO898" s="4"/>
      <c r="AP898" s="4"/>
      <c r="AQ898" s="4"/>
      <c r="AR898" s="4"/>
      <c r="AS898" s="76" t="str">
        <f>"COMMENT ON COLUMN "&amp;エンティティ一覧!$O$2&amp;"."&amp;D$8&amp;"."&amp;D898&amp;" IS '"&amp;C898&amp;"';"</f>
        <v>COMMENT ON COLUMN milscm_2023_009.sny_202310_annony_bef2.shikkan880_start_date IS 'N19_疾患開始日';</v>
      </c>
    </row>
    <row r="899" spans="1:45" s="25" customFormat="1">
      <c r="A899" s="4" t="s">
        <v>5942</v>
      </c>
      <c r="B899" s="21">
        <f t="shared" si="101"/>
        <v>887</v>
      </c>
      <c r="C899" s="13" t="s">
        <v>7332</v>
      </c>
      <c r="D899" s="13" t="s">
        <v>6541</v>
      </c>
      <c r="E899" s="8"/>
      <c r="F899" s="7" t="s">
        <v>4348</v>
      </c>
      <c r="G899" s="7" t="s">
        <v>25</v>
      </c>
      <c r="H899" s="58"/>
      <c r="I899" s="23"/>
      <c r="J899" s="24"/>
      <c r="M899" s="4"/>
      <c r="N899" s="76"/>
      <c r="O899" s="76"/>
      <c r="P899" s="76" t="str">
        <f t="shared" si="102"/>
        <v>,shikkan881_start_date</v>
      </c>
      <c r="Q899" s="76" t="str">
        <f t="shared" si="103"/>
        <v>DATE</v>
      </c>
      <c r="R899" s="76" t="str">
        <f t="shared" si="104"/>
        <v/>
      </c>
      <c r="S899" s="76" t="str">
        <f t="shared" si="105"/>
        <v/>
      </c>
      <c r="T899" s="76" t="str">
        <f t="shared" si="106"/>
        <v>-- N250_疾患開始日</v>
      </c>
      <c r="U899" s="4" t="str">
        <f t="shared" si="99"/>
        <v>, CASE WHEN shikkan_disp_name = 'N250' THEN min_shikkan_start_date ::DATE ELSE NULL END AS shikkan881_start_date</v>
      </c>
      <c r="V899" s="25" t="str">
        <f t="shared" si="100"/>
        <v>, max(shikkan881_start_date)</v>
      </c>
      <c r="AA899" s="4"/>
      <c r="AB899" s="4"/>
      <c r="AC899" s="4"/>
      <c r="AD899" s="4"/>
      <c r="AE899" s="4"/>
      <c r="AF899" s="4"/>
      <c r="AG899" s="4"/>
      <c r="AH899" s="4"/>
      <c r="AI899" s="4"/>
      <c r="AJ899" s="76" t="str">
        <f>IF(E899="○",IF(COUNTA(E$13:E899)=1,"",",")&amp;D899,"")</f>
        <v/>
      </c>
      <c r="AK899" s="4"/>
      <c r="AL899" s="4"/>
      <c r="AM899" s="4"/>
      <c r="AN899" s="4"/>
      <c r="AO899" s="4"/>
      <c r="AP899" s="4"/>
      <c r="AQ899" s="4"/>
      <c r="AR899" s="4"/>
      <c r="AS899" s="76" t="str">
        <f>"COMMENT ON COLUMN "&amp;エンティティ一覧!$O$2&amp;"."&amp;D$8&amp;"."&amp;D899&amp;" IS '"&amp;C899&amp;"';"</f>
        <v>COMMENT ON COLUMN milscm_2023_009.sny_202310_annony_bef2.shikkan881_start_date IS 'N250_疾患開始日';</v>
      </c>
    </row>
    <row r="900" spans="1:45" s="25" customFormat="1">
      <c r="A900" s="4" t="s">
        <v>5943</v>
      </c>
      <c r="B900" s="21">
        <f t="shared" si="101"/>
        <v>888</v>
      </c>
      <c r="C900" s="13" t="s">
        <v>7333</v>
      </c>
      <c r="D900" s="13" t="s">
        <v>6542</v>
      </c>
      <c r="E900" s="8"/>
      <c r="F900" s="7" t="s">
        <v>4348</v>
      </c>
      <c r="G900" s="7" t="s">
        <v>25</v>
      </c>
      <c r="H900" s="58"/>
      <c r="I900" s="23"/>
      <c r="J900" s="24"/>
      <c r="M900" s="4"/>
      <c r="N900" s="76"/>
      <c r="O900" s="76"/>
      <c r="P900" s="76" t="str">
        <f t="shared" si="102"/>
        <v>,shikkan882_start_date</v>
      </c>
      <c r="Q900" s="76" t="str">
        <f t="shared" si="103"/>
        <v>DATE</v>
      </c>
      <c r="R900" s="76" t="str">
        <f t="shared" si="104"/>
        <v/>
      </c>
      <c r="S900" s="76" t="str">
        <f t="shared" si="105"/>
        <v/>
      </c>
      <c r="T900" s="76" t="str">
        <f t="shared" si="106"/>
        <v>-- P290_疾患開始日</v>
      </c>
      <c r="U900" s="4" t="str">
        <f t="shared" si="99"/>
        <v>, CASE WHEN shikkan_disp_name = 'P290' THEN min_shikkan_start_date ::DATE ELSE NULL END AS shikkan882_start_date</v>
      </c>
      <c r="V900" s="25" t="str">
        <f t="shared" si="100"/>
        <v>, max(shikkan882_start_date)</v>
      </c>
      <c r="AA900" s="4"/>
      <c r="AB900" s="4"/>
      <c r="AC900" s="4"/>
      <c r="AD900" s="4"/>
      <c r="AE900" s="4"/>
      <c r="AF900" s="4"/>
      <c r="AG900" s="4"/>
      <c r="AH900" s="4"/>
      <c r="AI900" s="4"/>
      <c r="AJ900" s="76" t="str">
        <f>IF(E900="○",IF(COUNTA(E$13:E900)=1,"",",")&amp;D900,"")</f>
        <v/>
      </c>
      <c r="AK900" s="4"/>
      <c r="AL900" s="4"/>
      <c r="AM900" s="4"/>
      <c r="AN900" s="4"/>
      <c r="AO900" s="4"/>
      <c r="AP900" s="4"/>
      <c r="AQ900" s="4"/>
      <c r="AR900" s="4"/>
      <c r="AS900" s="76" t="str">
        <f>"COMMENT ON COLUMN "&amp;エンティティ一覧!$O$2&amp;"."&amp;D$8&amp;"."&amp;D900&amp;" IS '"&amp;C900&amp;"';"</f>
        <v>COMMENT ON COLUMN milscm_2023_009.sny_202310_annony_bef2.shikkan882_start_date IS 'P290_疾患開始日';</v>
      </c>
    </row>
    <row r="901" spans="1:45" s="25" customFormat="1">
      <c r="A901" s="4" t="s">
        <v>5944</v>
      </c>
      <c r="B901" s="21">
        <f t="shared" si="101"/>
        <v>889</v>
      </c>
      <c r="C901" s="13" t="s">
        <v>7334</v>
      </c>
      <c r="D901" s="13" t="s">
        <v>6543</v>
      </c>
      <c r="E901" s="8"/>
      <c r="F901" s="7" t="s">
        <v>4348</v>
      </c>
      <c r="G901" s="7" t="s">
        <v>25</v>
      </c>
      <c r="H901" s="58"/>
      <c r="I901" s="23"/>
      <c r="J901" s="24"/>
      <c r="M901" s="4"/>
      <c r="N901" s="76"/>
      <c r="O901" s="76"/>
      <c r="P901" s="76" t="str">
        <f t="shared" si="102"/>
        <v>,shikkan883_start_date</v>
      </c>
      <c r="Q901" s="76" t="str">
        <f t="shared" si="103"/>
        <v>DATE</v>
      </c>
      <c r="R901" s="76" t="str">
        <f t="shared" si="104"/>
        <v/>
      </c>
      <c r="S901" s="76" t="str">
        <f t="shared" si="105"/>
        <v/>
      </c>
      <c r="T901" s="76" t="str">
        <f t="shared" si="106"/>
        <v>-- Z490_疾患開始日</v>
      </c>
      <c r="U901" s="4" t="str">
        <f t="shared" si="99"/>
        <v>, CASE WHEN shikkan_disp_name = 'Z490' THEN min_shikkan_start_date ::DATE ELSE NULL END AS shikkan883_start_date</v>
      </c>
      <c r="V901" s="25" t="str">
        <f t="shared" si="100"/>
        <v>, max(shikkan883_start_date)</v>
      </c>
      <c r="AA901" s="4"/>
      <c r="AB901" s="4"/>
      <c r="AC901" s="4"/>
      <c r="AD901" s="4"/>
      <c r="AE901" s="4"/>
      <c r="AF901" s="4"/>
      <c r="AG901" s="4"/>
      <c r="AH901" s="4"/>
      <c r="AI901" s="4"/>
      <c r="AJ901" s="76" t="str">
        <f>IF(E901="○",IF(COUNTA(E$13:E901)=1,"",",")&amp;D901,"")</f>
        <v/>
      </c>
      <c r="AK901" s="4"/>
      <c r="AL901" s="4"/>
      <c r="AM901" s="4"/>
      <c r="AN901" s="4"/>
      <c r="AO901" s="4"/>
      <c r="AP901" s="4"/>
      <c r="AQ901" s="4"/>
      <c r="AR901" s="4"/>
      <c r="AS901" s="76" t="str">
        <f>"COMMENT ON COLUMN "&amp;エンティティ一覧!$O$2&amp;"."&amp;D$8&amp;"."&amp;D901&amp;" IS '"&amp;C901&amp;"';"</f>
        <v>COMMENT ON COLUMN milscm_2023_009.sny_202310_annony_bef2.shikkan883_start_date IS 'Z490_疾患開始日';</v>
      </c>
    </row>
    <row r="902" spans="1:45" s="25" customFormat="1">
      <c r="A902" s="4" t="s">
        <v>5945</v>
      </c>
      <c r="B902" s="21">
        <f t="shared" si="101"/>
        <v>890</v>
      </c>
      <c r="C902" s="13" t="s">
        <v>7335</v>
      </c>
      <c r="D902" s="13" t="s">
        <v>6544</v>
      </c>
      <c r="E902" s="8"/>
      <c r="F902" s="7" t="s">
        <v>4348</v>
      </c>
      <c r="G902" s="7" t="s">
        <v>25</v>
      </c>
      <c r="H902" s="58"/>
      <c r="I902" s="23"/>
      <c r="J902" s="24"/>
      <c r="M902" s="4"/>
      <c r="N902" s="76"/>
      <c r="O902" s="76"/>
      <c r="P902" s="76" t="str">
        <f t="shared" si="102"/>
        <v>,shikkan884_start_date</v>
      </c>
      <c r="Q902" s="76" t="str">
        <f t="shared" si="103"/>
        <v>DATE</v>
      </c>
      <c r="R902" s="76" t="str">
        <f t="shared" si="104"/>
        <v/>
      </c>
      <c r="S902" s="76" t="str">
        <f t="shared" si="105"/>
        <v/>
      </c>
      <c r="T902" s="76" t="str">
        <f t="shared" si="106"/>
        <v>-- Z491_疾患開始日</v>
      </c>
      <c r="U902" s="4" t="str">
        <f t="shared" si="99"/>
        <v>, CASE WHEN shikkan_disp_name = 'Z491' THEN min_shikkan_start_date ::DATE ELSE NULL END AS shikkan884_start_date</v>
      </c>
      <c r="V902" s="25" t="str">
        <f t="shared" si="100"/>
        <v>, max(shikkan884_start_date)</v>
      </c>
      <c r="AA902" s="4"/>
      <c r="AB902" s="4"/>
      <c r="AC902" s="4"/>
      <c r="AD902" s="4"/>
      <c r="AE902" s="4"/>
      <c r="AF902" s="4"/>
      <c r="AG902" s="4"/>
      <c r="AH902" s="4"/>
      <c r="AI902" s="4"/>
      <c r="AJ902" s="76" t="str">
        <f>IF(E902="○",IF(COUNTA(E$13:E902)=1,"",",")&amp;D902,"")</f>
        <v/>
      </c>
      <c r="AK902" s="4"/>
      <c r="AL902" s="4"/>
      <c r="AM902" s="4"/>
      <c r="AN902" s="4"/>
      <c r="AO902" s="4"/>
      <c r="AP902" s="4"/>
      <c r="AQ902" s="4"/>
      <c r="AR902" s="4"/>
      <c r="AS902" s="76" t="str">
        <f>"COMMENT ON COLUMN "&amp;エンティティ一覧!$O$2&amp;"."&amp;D$8&amp;"."&amp;D902&amp;" IS '"&amp;C902&amp;"';"</f>
        <v>COMMENT ON COLUMN milscm_2023_009.sny_202310_annony_bef2.shikkan884_start_date IS 'Z491_疾患開始日';</v>
      </c>
    </row>
    <row r="903" spans="1:45" s="25" customFormat="1">
      <c r="A903" s="4" t="s">
        <v>5946</v>
      </c>
      <c r="B903" s="21">
        <f t="shared" si="101"/>
        <v>891</v>
      </c>
      <c r="C903" s="13" t="s">
        <v>7336</v>
      </c>
      <c r="D903" s="13" t="s">
        <v>6545</v>
      </c>
      <c r="E903" s="8"/>
      <c r="F903" s="7" t="s">
        <v>4348</v>
      </c>
      <c r="G903" s="7" t="s">
        <v>25</v>
      </c>
      <c r="H903" s="58"/>
      <c r="I903" s="23"/>
      <c r="J903" s="24"/>
      <c r="M903" s="4"/>
      <c r="N903" s="76"/>
      <c r="O903" s="76"/>
      <c r="P903" s="76" t="str">
        <f t="shared" si="102"/>
        <v>,shikkan885_start_date</v>
      </c>
      <c r="Q903" s="76" t="str">
        <f t="shared" si="103"/>
        <v>DATE</v>
      </c>
      <c r="R903" s="76" t="str">
        <f t="shared" si="104"/>
        <v/>
      </c>
      <c r="S903" s="76" t="str">
        <f t="shared" si="105"/>
        <v/>
      </c>
      <c r="T903" s="76" t="str">
        <f t="shared" si="106"/>
        <v>-- Z492_疾患開始日</v>
      </c>
      <c r="U903" s="4" t="str">
        <f t="shared" si="99"/>
        <v>, CASE WHEN shikkan_disp_name = 'Z492' THEN min_shikkan_start_date ::DATE ELSE NULL END AS shikkan885_start_date</v>
      </c>
      <c r="V903" s="25" t="str">
        <f t="shared" si="100"/>
        <v>, max(shikkan885_start_date)</v>
      </c>
      <c r="AA903" s="4"/>
      <c r="AB903" s="4"/>
      <c r="AC903" s="4"/>
      <c r="AD903" s="4"/>
      <c r="AE903" s="4"/>
      <c r="AF903" s="4"/>
      <c r="AG903" s="4"/>
      <c r="AH903" s="4"/>
      <c r="AI903" s="4"/>
      <c r="AJ903" s="76" t="str">
        <f>IF(E903="○",IF(COUNTA(E$13:E903)=1,"",",")&amp;D903,"")</f>
        <v/>
      </c>
      <c r="AK903" s="4"/>
      <c r="AL903" s="4"/>
      <c r="AM903" s="4"/>
      <c r="AN903" s="4"/>
      <c r="AO903" s="4"/>
      <c r="AP903" s="4"/>
      <c r="AQ903" s="4"/>
      <c r="AR903" s="4"/>
      <c r="AS903" s="76" t="str">
        <f>"COMMENT ON COLUMN "&amp;エンティティ一覧!$O$2&amp;"."&amp;D$8&amp;"."&amp;D903&amp;" IS '"&amp;C903&amp;"';"</f>
        <v>COMMENT ON COLUMN milscm_2023_009.sny_202310_annony_bef2.shikkan885_start_date IS 'Z492_疾患開始日';</v>
      </c>
    </row>
    <row r="904" spans="1:45" s="25" customFormat="1">
      <c r="A904" s="4" t="s">
        <v>5139</v>
      </c>
      <c r="B904" s="21">
        <f t="shared" si="101"/>
        <v>892</v>
      </c>
      <c r="C904" s="13" t="s">
        <v>4749</v>
      </c>
      <c r="D904" s="13" t="s">
        <v>6546</v>
      </c>
      <c r="E904" s="8"/>
      <c r="F904" s="7" t="s">
        <v>4348</v>
      </c>
      <c r="G904" s="7" t="s">
        <v>25</v>
      </c>
      <c r="H904" s="58"/>
      <c r="I904" s="23"/>
      <c r="J904" s="24"/>
      <c r="M904" s="4"/>
      <c r="N904" s="76"/>
      <c r="O904" s="76"/>
      <c r="P904" s="76" t="str">
        <f t="shared" si="102"/>
        <v>,shikkan886_start_date</v>
      </c>
      <c r="Q904" s="76" t="str">
        <f t="shared" si="103"/>
        <v>DATE</v>
      </c>
      <c r="R904" s="76" t="str">
        <f t="shared" si="104"/>
        <v/>
      </c>
      <c r="S904" s="76" t="str">
        <f t="shared" si="105"/>
        <v/>
      </c>
      <c r="T904" s="76" t="str">
        <f t="shared" si="106"/>
        <v>-- Z940_疾患開始日</v>
      </c>
      <c r="U904" s="4" t="str">
        <f t="shared" si="99"/>
        <v>, CASE WHEN shikkan_disp_name = 'Z940' THEN min_shikkan_start_date ::DATE ELSE NULL END AS shikkan886_start_date</v>
      </c>
      <c r="V904" s="25" t="str">
        <f t="shared" si="100"/>
        <v>, max(shikkan886_start_date)</v>
      </c>
      <c r="AA904" s="4"/>
      <c r="AB904" s="4"/>
      <c r="AC904" s="4"/>
      <c r="AD904" s="4"/>
      <c r="AE904" s="4"/>
      <c r="AF904" s="4"/>
      <c r="AG904" s="4"/>
      <c r="AH904" s="4"/>
      <c r="AI904" s="4"/>
      <c r="AJ904" s="76" t="str">
        <f>IF(E904="○",IF(COUNTA(E$13:E904)=1,"",",")&amp;D904,"")</f>
        <v/>
      </c>
      <c r="AK904" s="4"/>
      <c r="AL904" s="4"/>
      <c r="AM904" s="4"/>
      <c r="AN904" s="4"/>
      <c r="AO904" s="4"/>
      <c r="AP904" s="4"/>
      <c r="AQ904" s="4"/>
      <c r="AR904" s="4"/>
      <c r="AS904" s="76" t="str">
        <f>"COMMENT ON COLUMN "&amp;エンティティ一覧!$O$2&amp;"."&amp;D$8&amp;"."&amp;D904&amp;" IS '"&amp;C904&amp;"';"</f>
        <v>COMMENT ON COLUMN milscm_2023_009.sny_202310_annony_bef2.shikkan886_start_date IS 'Z940_疾患開始日';</v>
      </c>
    </row>
    <row r="905" spans="1:45" s="25" customFormat="1">
      <c r="A905" s="4" t="s">
        <v>5087</v>
      </c>
      <c r="B905" s="21">
        <f t="shared" si="101"/>
        <v>893</v>
      </c>
      <c r="C905" s="13" t="s">
        <v>4697</v>
      </c>
      <c r="D905" s="13" t="s">
        <v>6547</v>
      </c>
      <c r="E905" s="8"/>
      <c r="F905" s="7" t="s">
        <v>4348</v>
      </c>
      <c r="G905" s="7" t="s">
        <v>25</v>
      </c>
      <c r="H905" s="58"/>
      <c r="I905" s="23"/>
      <c r="J905" s="24"/>
      <c r="M905" s="4"/>
      <c r="N905" s="76"/>
      <c r="O905" s="76"/>
      <c r="P905" s="76" t="str">
        <f t="shared" si="102"/>
        <v>,shikkan887_start_date</v>
      </c>
      <c r="Q905" s="76" t="str">
        <f t="shared" si="103"/>
        <v>DATE</v>
      </c>
      <c r="R905" s="76" t="str">
        <f t="shared" si="104"/>
        <v/>
      </c>
      <c r="S905" s="76" t="str">
        <f t="shared" si="105"/>
        <v/>
      </c>
      <c r="T905" s="76" t="str">
        <f t="shared" si="106"/>
        <v>-- Z944_疾患開始日</v>
      </c>
      <c r="U905" s="4" t="str">
        <f t="shared" si="99"/>
        <v>, CASE WHEN shikkan_disp_name = 'Z944' THEN min_shikkan_start_date ::DATE ELSE NULL END AS shikkan887_start_date</v>
      </c>
      <c r="V905" s="25" t="str">
        <f t="shared" si="100"/>
        <v>, max(shikkan887_start_date)</v>
      </c>
      <c r="AA905" s="4"/>
      <c r="AB905" s="4"/>
      <c r="AC905" s="4"/>
      <c r="AD905" s="4"/>
      <c r="AE905" s="4"/>
      <c r="AF905" s="4"/>
      <c r="AG905" s="4"/>
      <c r="AH905" s="4"/>
      <c r="AI905" s="4"/>
      <c r="AJ905" s="76" t="str">
        <f>IF(E905="○",IF(COUNTA(E$13:E905)=1,"",",")&amp;D905,"")</f>
        <v/>
      </c>
      <c r="AK905" s="4"/>
      <c r="AL905" s="4"/>
      <c r="AM905" s="4"/>
      <c r="AN905" s="4"/>
      <c r="AO905" s="4"/>
      <c r="AP905" s="4"/>
      <c r="AQ905" s="4"/>
      <c r="AR905" s="4"/>
      <c r="AS905" s="76" t="str">
        <f>"COMMENT ON COLUMN "&amp;エンティティ一覧!$O$2&amp;"."&amp;D$8&amp;"."&amp;D905&amp;" IS '"&amp;C905&amp;"';"</f>
        <v>COMMENT ON COLUMN milscm_2023_009.sny_202310_annony_bef2.shikkan887_start_date IS 'Z944_疾患開始日';</v>
      </c>
    </row>
    <row r="906" spans="1:45" s="25" customFormat="1">
      <c r="A906" s="4" t="s">
        <v>5947</v>
      </c>
      <c r="B906" s="21">
        <f t="shared" si="101"/>
        <v>894</v>
      </c>
      <c r="C906" s="13" t="s">
        <v>7337</v>
      </c>
      <c r="D906" s="13" t="s">
        <v>6548</v>
      </c>
      <c r="E906" s="8"/>
      <c r="F906" s="7" t="s">
        <v>4348</v>
      </c>
      <c r="G906" s="7" t="s">
        <v>25</v>
      </c>
      <c r="H906" s="58"/>
      <c r="I906" s="23"/>
      <c r="J906" s="24"/>
      <c r="M906" s="4"/>
      <c r="N906" s="76"/>
      <c r="O906" s="76"/>
      <c r="P906" s="76" t="str">
        <f t="shared" si="102"/>
        <v>,shikkan888_start_date</v>
      </c>
      <c r="Q906" s="76" t="str">
        <f t="shared" si="103"/>
        <v>DATE</v>
      </c>
      <c r="R906" s="76" t="str">
        <f t="shared" si="104"/>
        <v/>
      </c>
      <c r="S906" s="76" t="str">
        <f t="shared" si="105"/>
        <v/>
      </c>
      <c r="T906" s="76" t="str">
        <f t="shared" si="106"/>
        <v>-- Z958_疾患開始日</v>
      </c>
      <c r="U906" s="4" t="str">
        <f t="shared" si="99"/>
        <v>, CASE WHEN shikkan_disp_name = 'Z958' THEN min_shikkan_start_date ::DATE ELSE NULL END AS shikkan888_start_date</v>
      </c>
      <c r="V906" s="25" t="str">
        <f t="shared" si="100"/>
        <v>, max(shikkan888_start_date)</v>
      </c>
      <c r="AA906" s="4"/>
      <c r="AB906" s="4"/>
      <c r="AC906" s="4"/>
      <c r="AD906" s="4"/>
      <c r="AE906" s="4"/>
      <c r="AF906" s="4"/>
      <c r="AG906" s="4"/>
      <c r="AH906" s="4"/>
      <c r="AI906" s="4"/>
      <c r="AJ906" s="76" t="str">
        <f>IF(E906="○",IF(COUNTA(E$13:E906)=1,"",",")&amp;D906,"")</f>
        <v/>
      </c>
      <c r="AK906" s="4"/>
      <c r="AL906" s="4"/>
      <c r="AM906" s="4"/>
      <c r="AN906" s="4"/>
      <c r="AO906" s="4"/>
      <c r="AP906" s="4"/>
      <c r="AQ906" s="4"/>
      <c r="AR906" s="4"/>
      <c r="AS906" s="76" t="str">
        <f>"COMMENT ON COLUMN "&amp;エンティティ一覧!$O$2&amp;"."&amp;D$8&amp;"."&amp;D906&amp;" IS '"&amp;C906&amp;"';"</f>
        <v>COMMENT ON COLUMN milscm_2023_009.sny_202310_annony_bef2.shikkan888_start_date IS 'Z958_疾患開始日';</v>
      </c>
    </row>
    <row r="907" spans="1:45" s="25" customFormat="1">
      <c r="A907" s="4" t="s">
        <v>5948</v>
      </c>
      <c r="B907" s="21">
        <f t="shared" si="101"/>
        <v>895</v>
      </c>
      <c r="C907" s="13" t="s">
        <v>7338</v>
      </c>
      <c r="D907" s="13" t="s">
        <v>6549</v>
      </c>
      <c r="E907" s="8"/>
      <c r="F907" s="7" t="s">
        <v>4348</v>
      </c>
      <c r="G907" s="7" t="s">
        <v>25</v>
      </c>
      <c r="H907" s="58"/>
      <c r="I907" s="23"/>
      <c r="J907" s="24"/>
      <c r="M907" s="4"/>
      <c r="N907" s="76"/>
      <c r="O907" s="76"/>
      <c r="P907" s="76" t="str">
        <f t="shared" si="102"/>
        <v>,shikkan889_start_date</v>
      </c>
      <c r="Q907" s="76" t="str">
        <f t="shared" si="103"/>
        <v>DATE</v>
      </c>
      <c r="R907" s="76" t="str">
        <f t="shared" si="104"/>
        <v/>
      </c>
      <c r="S907" s="76" t="str">
        <f t="shared" si="105"/>
        <v/>
      </c>
      <c r="T907" s="76" t="str">
        <f t="shared" si="106"/>
        <v>-- Z959_疾患開始日</v>
      </c>
      <c r="U907" s="4" t="str">
        <f t="shared" si="99"/>
        <v>, CASE WHEN shikkan_disp_name = 'Z959' THEN min_shikkan_start_date ::DATE ELSE NULL END AS shikkan889_start_date</v>
      </c>
      <c r="V907" s="25" t="str">
        <f t="shared" si="100"/>
        <v>, max(shikkan889_start_date)</v>
      </c>
      <c r="AA907" s="4"/>
      <c r="AB907" s="4"/>
      <c r="AC907" s="4"/>
      <c r="AD907" s="4"/>
      <c r="AE907" s="4"/>
      <c r="AF907" s="4"/>
      <c r="AG907" s="4"/>
      <c r="AH907" s="4"/>
      <c r="AI907" s="4"/>
      <c r="AJ907" s="76" t="str">
        <f>IF(E907="○",IF(COUNTA(E$13:E907)=1,"",",")&amp;D907,"")</f>
        <v/>
      </c>
      <c r="AK907" s="4"/>
      <c r="AL907" s="4"/>
      <c r="AM907" s="4"/>
      <c r="AN907" s="4"/>
      <c r="AO907" s="4"/>
      <c r="AP907" s="4"/>
      <c r="AQ907" s="4"/>
      <c r="AR907" s="4"/>
      <c r="AS907" s="76" t="str">
        <f>"COMMENT ON COLUMN "&amp;エンティティ一覧!$O$2&amp;"."&amp;D$8&amp;"."&amp;D907&amp;" IS '"&amp;C907&amp;"';"</f>
        <v>COMMENT ON COLUMN milscm_2023_009.sny_202310_annony_bef2.shikkan889_start_date IS 'Z959_疾患開始日';</v>
      </c>
    </row>
    <row r="908" spans="1:45" s="25" customFormat="1">
      <c r="A908" s="4" t="s">
        <v>5949</v>
      </c>
      <c r="B908" s="21">
        <f>ROW()-12</f>
        <v>896</v>
      </c>
      <c r="C908" s="13" t="s">
        <v>7339</v>
      </c>
      <c r="D908" s="13" t="s">
        <v>6550</v>
      </c>
      <c r="E908" s="8"/>
      <c r="F908" s="7" t="s">
        <v>4348</v>
      </c>
      <c r="G908" s="7" t="s">
        <v>25</v>
      </c>
      <c r="H908" s="58"/>
      <c r="I908" s="23"/>
      <c r="J908" s="24"/>
      <c r="N908" s="76"/>
      <c r="O908" s="76"/>
      <c r="P908" s="76" t="str">
        <f t="shared" si="102"/>
        <v>,shikkan890_start_date</v>
      </c>
      <c r="Q908" s="76" t="str">
        <f t="shared" si="103"/>
        <v>DATE</v>
      </c>
      <c r="R908" s="76" t="str">
        <f t="shared" si="104"/>
        <v/>
      </c>
      <c r="S908" s="76" t="str">
        <f t="shared" si="105"/>
        <v/>
      </c>
      <c r="T908" s="76" t="str">
        <f t="shared" si="106"/>
        <v>-- Z992_疾患開始日</v>
      </c>
      <c r="U908" s="4" t="str">
        <f t="shared" si="99"/>
        <v>, CASE WHEN shikkan_disp_name = 'Z992' THEN min_shikkan_start_date ::DATE ELSE NULL END AS shikkan890_start_date</v>
      </c>
      <c r="V908" s="25" t="str">
        <f t="shared" si="100"/>
        <v>, max(shikkan890_start_date)</v>
      </c>
      <c r="AA908" s="4"/>
      <c r="AB908" s="4"/>
      <c r="AC908" s="4"/>
      <c r="AD908" s="4"/>
      <c r="AE908" s="4"/>
      <c r="AF908" s="4"/>
      <c r="AG908" s="4"/>
      <c r="AH908" s="4"/>
      <c r="AI908" s="4"/>
      <c r="AJ908" s="76" t="str">
        <f>IF(E908="○",IF(COUNTA(E$13:E908)=1,"",",")&amp;D908,"")</f>
        <v/>
      </c>
      <c r="AK908" s="4"/>
      <c r="AL908" s="4"/>
      <c r="AM908" s="4"/>
      <c r="AN908" s="4"/>
      <c r="AO908" s="4"/>
      <c r="AP908" s="4"/>
      <c r="AQ908" s="4"/>
      <c r="AR908" s="4"/>
      <c r="AS908" s="76" t="str">
        <f>"COMMENT ON COLUMN "&amp;エンティティ一覧!$O$2&amp;"."&amp;D$8&amp;"."&amp;D908&amp;" IS '"&amp;C908&amp;"';"</f>
        <v>COMMENT ON COLUMN milscm_2023_009.sny_202310_annony_bef2.shikkan890_start_date IS 'Z992_疾患開始日';</v>
      </c>
    </row>
    <row r="909" spans="1:45" s="25" customFormat="1">
      <c r="A909" s="4"/>
      <c r="B909" s="21">
        <f t="shared" ref="B909:B910" si="107">ROW()-12</f>
        <v>897</v>
      </c>
      <c r="C909" s="13" t="s">
        <v>4608</v>
      </c>
      <c r="D909" s="13" t="s">
        <v>4432</v>
      </c>
      <c r="E909" s="8"/>
      <c r="F909" s="7" t="s">
        <v>7341</v>
      </c>
      <c r="G909" s="7" t="str">
        <f t="shared" ref="G909" si="108">IF(F909="フラグ","boolean",IF(F909="文字列","text",IF(F909="整数","integer",IF(F909="実数","numeric",""))))</f>
        <v>text</v>
      </c>
      <c r="H909" s="58"/>
      <c r="I909" s="23" t="s">
        <v>127</v>
      </c>
      <c r="J909" s="24" t="s">
        <v>4637</v>
      </c>
      <c r="M909" s="4"/>
      <c r="N909" s="76"/>
      <c r="O909" s="76"/>
      <c r="P909" s="76" t="str">
        <f t="shared" si="4"/>
        <v>,nyu_gai_kubun</v>
      </c>
      <c r="Q909" s="76" t="str">
        <f t="shared" si="0"/>
        <v>TEXT</v>
      </c>
      <c r="R909" s="76" t="str">
        <f t="shared" si="1"/>
        <v/>
      </c>
      <c r="S909" s="76" t="str">
        <f t="shared" si="5"/>
        <v>NOT NULL</v>
      </c>
      <c r="T909" s="76" t="str">
        <f t="shared" si="6"/>
        <v>-- 入外区分</v>
      </c>
      <c r="U909" s="4"/>
      <c r="AA909" s="4"/>
      <c r="AB909" s="4"/>
      <c r="AC909" s="4"/>
      <c r="AD909" s="4"/>
      <c r="AE909" s="4"/>
      <c r="AF909" s="4"/>
      <c r="AG909" s="4"/>
      <c r="AH909" s="4"/>
      <c r="AI909" s="4"/>
      <c r="AJ909" s="76" t="str">
        <f>IF(E909="○",IF(COUNTA(E$13:E909)=1,"",",")&amp;D909,"")</f>
        <v/>
      </c>
      <c r="AK909" s="4"/>
      <c r="AL909" s="4"/>
      <c r="AM909" s="4"/>
      <c r="AN909" s="4"/>
      <c r="AO909" s="4"/>
      <c r="AP909" s="4"/>
      <c r="AQ909" s="4"/>
      <c r="AR909" s="4"/>
      <c r="AS909" s="76" t="str">
        <f>"COMMENT ON COLUMN "&amp;エンティティ一覧!$O$2&amp;"."&amp;D$8&amp;"."&amp;D909&amp;" IS '"&amp;C909&amp;"';"</f>
        <v>COMMENT ON COLUMN milscm_2023_009.sny_202310_annony_bef2.nyu_gai_kubun IS '入外区分';</v>
      </c>
    </row>
    <row r="910" spans="1:45" s="25" customFormat="1">
      <c r="A910" s="4"/>
      <c r="B910" s="21">
        <f t="shared" si="107"/>
        <v>898</v>
      </c>
      <c r="C910" s="13" t="s">
        <v>4610</v>
      </c>
      <c r="D910" s="13" t="s">
        <v>4433</v>
      </c>
      <c r="E910" s="7"/>
      <c r="F910" s="7" t="s">
        <v>4216</v>
      </c>
      <c r="G910" s="7" t="s">
        <v>25</v>
      </c>
      <c r="H910" s="58"/>
      <c r="I910" s="23"/>
      <c r="J910" s="24"/>
      <c r="M910" s="4"/>
      <c r="N910" s="76"/>
      <c r="O910" s="76"/>
      <c r="P910" s="76" t="str">
        <f t="shared" si="4"/>
        <v>,raiin_ymd</v>
      </c>
      <c r="Q910" s="76" t="str">
        <f t="shared" si="0"/>
        <v>DATE</v>
      </c>
      <c r="R910" s="76" t="str">
        <f t="shared" si="1"/>
        <v/>
      </c>
      <c r="S910" s="76" t="str">
        <f t="shared" si="5"/>
        <v/>
      </c>
      <c r="T910" s="76" t="str">
        <f t="shared" si="6"/>
        <v>-- 来院年月日</v>
      </c>
      <c r="U910" s="4"/>
      <c r="AA910" s="4"/>
      <c r="AB910" s="4"/>
      <c r="AC910" s="4"/>
      <c r="AD910" s="4"/>
      <c r="AE910" s="4"/>
      <c r="AF910" s="4"/>
      <c r="AG910" s="4"/>
      <c r="AH910" s="4"/>
      <c r="AI910" s="4"/>
      <c r="AJ910" s="76" t="str">
        <f>IF(E910="○",IF(COUNTA(E$13:E910)=1,"",",")&amp;D910,"")</f>
        <v/>
      </c>
      <c r="AK910" s="4"/>
      <c r="AL910" s="4"/>
      <c r="AM910" s="4"/>
      <c r="AN910" s="4"/>
      <c r="AO910" s="4"/>
      <c r="AP910" s="4"/>
      <c r="AQ910" s="4"/>
      <c r="AR910" s="4"/>
      <c r="AS910" s="76" t="str">
        <f>"COMMENT ON COLUMN "&amp;エンティティ一覧!$O$2&amp;"."&amp;D$8&amp;"."&amp;D910&amp;" IS '"&amp;C910&amp;"';"</f>
        <v>COMMENT ON COLUMN milscm_2023_009.sny_202310_annony_bef2.raiin_ymd IS '来院年月日';</v>
      </c>
    </row>
    <row r="911" spans="1:45" s="25" customFormat="1">
      <c r="A911" s="4"/>
      <c r="B911" s="21">
        <f>ROW()-12</f>
        <v>899</v>
      </c>
      <c r="C911" s="13" t="s">
        <v>4611</v>
      </c>
      <c r="D911" s="13" t="s">
        <v>212</v>
      </c>
      <c r="E911" s="7"/>
      <c r="F911" s="7" t="s">
        <v>4216</v>
      </c>
      <c r="G911" s="7" t="s">
        <v>25</v>
      </c>
      <c r="H911" s="58"/>
      <c r="I911" s="23"/>
      <c r="J911" s="24"/>
      <c r="N911" s="76"/>
      <c r="O911" s="76"/>
      <c r="P911" s="76" t="str">
        <f t="shared" si="4"/>
        <v>,taiin_ymd</v>
      </c>
      <c r="Q911" s="76" t="str">
        <f t="shared" si="0"/>
        <v>DATE</v>
      </c>
      <c r="R911" s="76" t="str">
        <f t="shared" si="1"/>
        <v/>
      </c>
      <c r="S911" s="76" t="str">
        <f t="shared" si="5"/>
        <v/>
      </c>
      <c r="T911" s="76" t="str">
        <f t="shared" si="6"/>
        <v>-- 退院年月日</v>
      </c>
      <c r="U911" s="4"/>
      <c r="AA911" s="4"/>
      <c r="AB911" s="4"/>
      <c r="AC911" s="4"/>
      <c r="AD911" s="4"/>
      <c r="AE911" s="4"/>
      <c r="AF911" s="4"/>
      <c r="AG911" s="4"/>
      <c r="AH911" s="4"/>
      <c r="AI911" s="4"/>
      <c r="AJ911" s="76" t="str">
        <f>IF(E911="○",IF(COUNTA(E$13:E911)=1,"",",")&amp;D911,"")</f>
        <v/>
      </c>
      <c r="AK911" s="4"/>
      <c r="AL911" s="4"/>
      <c r="AM911" s="4"/>
      <c r="AN911" s="4"/>
      <c r="AO911" s="4"/>
      <c r="AP911" s="4"/>
      <c r="AQ911" s="4"/>
      <c r="AR911" s="4"/>
      <c r="AS911" s="76" t="str">
        <f>"COMMENT ON COLUMN "&amp;エンティティ一覧!$O$2&amp;"."&amp;D$8&amp;"."&amp;D911&amp;" IS '"&amp;C911&amp;"';"</f>
        <v>COMMENT ON COLUMN milscm_2023_009.sny_202310_annony_bef2.taiin_ymd IS '退院年月日';</v>
      </c>
    </row>
    <row r="912" spans="1:45" s="25" customFormat="1">
      <c r="A912" s="4"/>
      <c r="B912" s="21">
        <f t="shared" ref="B912:B916" si="109">ROW()-12</f>
        <v>900</v>
      </c>
      <c r="C912" s="13" t="s">
        <v>4612</v>
      </c>
      <c r="D912" s="13" t="s">
        <v>4500</v>
      </c>
      <c r="E912" s="7" t="s">
        <v>127</v>
      </c>
      <c r="F912" s="7" t="s">
        <v>4216</v>
      </c>
      <c r="G912" s="7" t="s">
        <v>99</v>
      </c>
      <c r="H912" s="58"/>
      <c r="I912" s="23" t="s">
        <v>127</v>
      </c>
      <c r="J912" s="24"/>
      <c r="M912" s="4"/>
      <c r="N912" s="76"/>
      <c r="O912" s="76"/>
      <c r="P912" s="76" t="str">
        <f t="shared" si="4"/>
        <v>,event_date</v>
      </c>
      <c r="Q912" s="76" t="str">
        <f t="shared" si="0"/>
        <v>DATE</v>
      </c>
      <c r="R912" s="76" t="str">
        <f t="shared" si="1"/>
        <v/>
      </c>
      <c r="S912" s="76" t="str">
        <f t="shared" si="5"/>
        <v>NOT NULL</v>
      </c>
      <c r="T912" s="76" t="str">
        <f t="shared" si="6"/>
        <v>-- イベント日付</v>
      </c>
      <c r="U912" s="4"/>
      <c r="AA912" s="4"/>
      <c r="AB912" s="4"/>
      <c r="AC912" s="4"/>
      <c r="AD912" s="4"/>
      <c r="AE912" s="4"/>
      <c r="AF912" s="4"/>
      <c r="AG912" s="4"/>
      <c r="AH912" s="4"/>
      <c r="AI912" s="4"/>
      <c r="AJ912" s="76" t="str">
        <f>IF(E912="○",IF(COUNTA(E$13:E912)=1,"",",")&amp;D912,"")</f>
        <v>,event_date</v>
      </c>
      <c r="AK912" s="4"/>
      <c r="AL912" s="4"/>
      <c r="AM912" s="4"/>
      <c r="AN912" s="4"/>
      <c r="AO912" s="4"/>
      <c r="AP912" s="4"/>
      <c r="AQ912" s="4"/>
      <c r="AR912" s="4"/>
      <c r="AS912" s="76" t="str">
        <f>"COMMENT ON COLUMN "&amp;エンティティ一覧!$O$2&amp;"."&amp;D$8&amp;"."&amp;D912&amp;" IS '"&amp;C912&amp;"';"</f>
        <v>COMMENT ON COLUMN milscm_2023_009.sny_202310_annony_bef2.event_date IS 'イベント日付';</v>
      </c>
    </row>
    <row r="913" spans="1:45" s="25" customFormat="1">
      <c r="A913" s="4"/>
      <c r="B913" s="21">
        <f t="shared" si="109"/>
        <v>901</v>
      </c>
      <c r="C913" s="13" t="s">
        <v>4301</v>
      </c>
      <c r="D913" s="13" t="s">
        <v>4300</v>
      </c>
      <c r="E913" s="8" t="s">
        <v>127</v>
      </c>
      <c r="F913" s="7" t="s">
        <v>1990</v>
      </c>
      <c r="G913" s="7" t="str">
        <f t="shared" ref="G913:G920" si="110">IF(F913="フラグ","boolean",IF(F913="文字列","text",IF(F913="整数","integer",IF(F913="実数","numeric",""))))</f>
        <v>integer</v>
      </c>
      <c r="H913" s="58"/>
      <c r="I913" s="23" t="s">
        <v>127</v>
      </c>
      <c r="J913" s="24"/>
      <c r="M913" s="4"/>
      <c r="N913" s="76"/>
      <c r="O913" s="76"/>
      <c r="P913" s="76" t="str">
        <f t="shared" si="4"/>
        <v>,row_no</v>
      </c>
      <c r="Q913" s="76" t="str">
        <f t="shared" si="0"/>
        <v>INTEGER</v>
      </c>
      <c r="R913" s="76" t="str">
        <f t="shared" si="1"/>
        <v/>
      </c>
      <c r="S913" s="76" t="str">
        <f t="shared" si="5"/>
        <v>NOT NULL</v>
      </c>
      <c r="T913" s="76" t="str">
        <f t="shared" si="6"/>
        <v>-- 行番号</v>
      </c>
      <c r="U913" s="4"/>
      <c r="AA913" s="4"/>
      <c r="AB913" s="4"/>
      <c r="AC913" s="4"/>
      <c r="AD913" s="4"/>
      <c r="AE913" s="4"/>
      <c r="AF913" s="4"/>
      <c r="AG913" s="4"/>
      <c r="AH913" s="4"/>
      <c r="AI913" s="4"/>
      <c r="AJ913" s="76" t="str">
        <f>IF(E913="○",IF(COUNTA(E$13:E913)=1,"",",")&amp;D913,"")</f>
        <v>,row_no</v>
      </c>
      <c r="AK913" s="4"/>
      <c r="AL913" s="4"/>
      <c r="AM913" s="4"/>
      <c r="AN913" s="4"/>
      <c r="AO913" s="4"/>
      <c r="AP913" s="4"/>
      <c r="AQ913" s="4"/>
      <c r="AR913" s="4"/>
      <c r="AS913" s="76" t="str">
        <f>"COMMENT ON COLUMN "&amp;エンティティ一覧!$O$2&amp;"."&amp;D$8&amp;"."&amp;D913&amp;" IS '"&amp;C913&amp;"';"</f>
        <v>COMMENT ON COLUMN milscm_2023_009.sny_202310_annony_bef2.row_no IS '行番号';</v>
      </c>
    </row>
    <row r="914" spans="1:45" s="25" customFormat="1">
      <c r="A914" s="4"/>
      <c r="B914" s="21">
        <f t="shared" si="109"/>
        <v>902</v>
      </c>
      <c r="C914" s="13" t="s">
        <v>4613</v>
      </c>
      <c r="D914" s="13" t="s">
        <v>4509</v>
      </c>
      <c r="E914" s="7"/>
      <c r="F914" s="7" t="s">
        <v>4609</v>
      </c>
      <c r="G914" s="7" t="str">
        <f t="shared" si="110"/>
        <v>text</v>
      </c>
      <c r="H914" s="58"/>
      <c r="I914" s="23"/>
      <c r="J914" s="24" t="s">
        <v>4582</v>
      </c>
      <c r="M914" s="4"/>
      <c r="N914" s="76"/>
      <c r="O914" s="76"/>
      <c r="P914" s="76" t="str">
        <f t="shared" si="4"/>
        <v>,tp53</v>
      </c>
      <c r="Q914" s="76" t="str">
        <f t="shared" si="0"/>
        <v>TEXT</v>
      </c>
      <c r="R914" s="76" t="str">
        <f t="shared" si="1"/>
        <v/>
      </c>
      <c r="S914" s="76" t="str">
        <f t="shared" si="5"/>
        <v/>
      </c>
      <c r="T914" s="76" t="str">
        <f t="shared" si="6"/>
        <v>-- del（１７ｐ）</v>
      </c>
      <c r="U914" s="4"/>
      <c r="AA914" s="4"/>
      <c r="AB914" s="4"/>
      <c r="AC914" s="4"/>
      <c r="AD914" s="4"/>
      <c r="AE914" s="4"/>
      <c r="AF914" s="4"/>
      <c r="AG914" s="4"/>
      <c r="AH914" s="4"/>
      <c r="AI914" s="4"/>
      <c r="AJ914" s="76" t="str">
        <f>IF(E914="○",IF(COUNTA(E$13:E914)=1,"",",")&amp;D914,"")</f>
        <v/>
      </c>
      <c r="AK914" s="4"/>
      <c r="AL914" s="4"/>
      <c r="AM914" s="4"/>
      <c r="AN914" s="4"/>
      <c r="AO914" s="4"/>
      <c r="AP914" s="4"/>
      <c r="AQ914" s="4"/>
      <c r="AR914" s="4"/>
      <c r="AS914" s="76" t="str">
        <f>"COMMENT ON COLUMN "&amp;エンティティ一覧!$O$2&amp;"."&amp;D$8&amp;"."&amp;D914&amp;" IS '"&amp;C914&amp;"';"</f>
        <v>COMMENT ON COLUMN milscm_2023_009.sny_202310_annony_bef2.tp53 IS 'del（１７ｐ）';</v>
      </c>
    </row>
    <row r="915" spans="1:45" s="25" customFormat="1">
      <c r="A915" s="4"/>
      <c r="B915" s="21">
        <f t="shared" si="109"/>
        <v>903</v>
      </c>
      <c r="C915" s="13" t="s">
        <v>4614</v>
      </c>
      <c r="D915" s="13" t="s">
        <v>4508</v>
      </c>
      <c r="E915" s="7"/>
      <c r="F915" s="7" t="s">
        <v>4609</v>
      </c>
      <c r="G915" s="7" t="str">
        <f t="shared" si="110"/>
        <v>text</v>
      </c>
      <c r="H915" s="58"/>
      <c r="I915" s="23"/>
      <c r="J915" s="24" t="s">
        <v>4582</v>
      </c>
      <c r="M915" s="4"/>
      <c r="N915" s="76"/>
      <c r="O915" s="76"/>
      <c r="P915" s="76" t="str">
        <f t="shared" si="4"/>
        <v>,igh_fgfr3</v>
      </c>
      <c r="Q915" s="76" t="str">
        <f t="shared" si="0"/>
        <v>TEXT</v>
      </c>
      <c r="R915" s="76" t="str">
        <f t="shared" si="1"/>
        <v/>
      </c>
      <c r="S915" s="76" t="str">
        <f t="shared" si="5"/>
        <v/>
      </c>
      <c r="T915" s="76" t="str">
        <f t="shared" si="6"/>
        <v>-- t（４；１４）</v>
      </c>
      <c r="U915" s="4"/>
      <c r="AA915" s="4"/>
      <c r="AB915" s="4"/>
      <c r="AC915" s="4"/>
      <c r="AD915" s="4"/>
      <c r="AE915" s="4"/>
      <c r="AF915" s="4"/>
      <c r="AG915" s="4"/>
      <c r="AH915" s="4"/>
      <c r="AI915" s="4"/>
      <c r="AJ915" s="76" t="str">
        <f>IF(E915="○",IF(COUNTA(E$13:E915)=1,"",",")&amp;D915,"")</f>
        <v/>
      </c>
      <c r="AK915" s="4"/>
      <c r="AL915" s="4"/>
      <c r="AM915" s="4"/>
      <c r="AN915" s="4"/>
      <c r="AO915" s="4"/>
      <c r="AP915" s="4"/>
      <c r="AQ915" s="4"/>
      <c r="AR915" s="4"/>
      <c r="AS915" s="76" t="str">
        <f>"COMMENT ON COLUMN "&amp;エンティティ一覧!$O$2&amp;"."&amp;D$8&amp;"."&amp;D915&amp;" IS '"&amp;C915&amp;"';"</f>
        <v>COMMENT ON COLUMN milscm_2023_009.sny_202310_annony_bef2.igh_fgfr3 IS 't（４；１４）';</v>
      </c>
    </row>
    <row r="916" spans="1:45" s="25" customFormat="1">
      <c r="A916" s="4"/>
      <c r="B916" s="21">
        <f t="shared" si="109"/>
        <v>904</v>
      </c>
      <c r="C916" s="13" t="s">
        <v>4615</v>
      </c>
      <c r="D916" s="13" t="s">
        <v>4581</v>
      </c>
      <c r="E916" s="7"/>
      <c r="F916" s="7" t="s">
        <v>4609</v>
      </c>
      <c r="G916" s="7" t="str">
        <f t="shared" si="110"/>
        <v>text</v>
      </c>
      <c r="H916" s="58"/>
      <c r="I916" s="23"/>
      <c r="J916" s="24" t="s">
        <v>4582</v>
      </c>
      <c r="M916" s="4"/>
      <c r="N916" s="76"/>
      <c r="O916" s="76"/>
      <c r="P916" s="76" t="str">
        <f t="shared" si="4"/>
        <v>,igh_maf</v>
      </c>
      <c r="Q916" s="76" t="str">
        <f t="shared" si="0"/>
        <v>TEXT</v>
      </c>
      <c r="R916" s="76" t="str">
        <f t="shared" si="1"/>
        <v/>
      </c>
      <c r="S916" s="76" t="str">
        <f t="shared" si="5"/>
        <v/>
      </c>
      <c r="T916" s="76" t="str">
        <f t="shared" si="6"/>
        <v>-- t（１４；１６）</v>
      </c>
      <c r="U916" s="4"/>
      <c r="AA916" s="4"/>
      <c r="AB916" s="4"/>
      <c r="AC916" s="4"/>
      <c r="AD916" s="4"/>
      <c r="AE916" s="4"/>
      <c r="AF916" s="4"/>
      <c r="AG916" s="4"/>
      <c r="AH916" s="4"/>
      <c r="AI916" s="4"/>
      <c r="AJ916" s="76" t="str">
        <f>IF(E916="○",IF(COUNTA(E$13:E916)=1,"",",")&amp;D916,"")</f>
        <v/>
      </c>
      <c r="AK916" s="4"/>
      <c r="AL916" s="4"/>
      <c r="AM916" s="4"/>
      <c r="AN916" s="4"/>
      <c r="AO916" s="4"/>
      <c r="AP916" s="4"/>
      <c r="AQ916" s="4"/>
      <c r="AR916" s="4"/>
      <c r="AS916" s="76" t="str">
        <f>"COMMENT ON COLUMN "&amp;エンティティ一覧!$O$2&amp;"."&amp;D$8&amp;"."&amp;D916&amp;" IS '"&amp;C916&amp;"';"</f>
        <v>COMMENT ON COLUMN milscm_2023_009.sny_202310_annony_bef2.igh_maf IS 't（１４；１６）';</v>
      </c>
    </row>
    <row r="917" spans="1:45" s="25" customFormat="1">
      <c r="A917" s="4"/>
      <c r="B917" s="21">
        <f>ROW()-12</f>
        <v>905</v>
      </c>
      <c r="C917" s="13" t="s">
        <v>4616</v>
      </c>
      <c r="D917" s="13" t="s">
        <v>4579</v>
      </c>
      <c r="E917" s="7"/>
      <c r="F917" s="7" t="s">
        <v>4609</v>
      </c>
      <c r="G917" s="7" t="str">
        <f t="shared" si="110"/>
        <v>text</v>
      </c>
      <c r="H917" s="58"/>
      <c r="I917" s="23"/>
      <c r="J917" s="24" t="s">
        <v>4582</v>
      </c>
      <c r="N917" s="76"/>
      <c r="O917" s="76"/>
      <c r="P917" s="76" t="str">
        <f t="shared" si="4"/>
        <v>,gain_1q21</v>
      </c>
      <c r="Q917" s="76" t="str">
        <f t="shared" si="0"/>
        <v>TEXT</v>
      </c>
      <c r="R917" s="76" t="str">
        <f t="shared" si="1"/>
        <v/>
      </c>
      <c r="S917" s="76" t="str">
        <f t="shared" si="5"/>
        <v/>
      </c>
      <c r="T917" s="76" t="str">
        <f t="shared" si="6"/>
        <v>-- 1q21＋</v>
      </c>
      <c r="U917" s="4"/>
      <c r="AA917" s="4"/>
      <c r="AB917" s="4"/>
      <c r="AC917" s="4"/>
      <c r="AD917" s="4"/>
      <c r="AE917" s="4"/>
      <c r="AF917" s="4"/>
      <c r="AG917" s="4"/>
      <c r="AH917" s="4"/>
      <c r="AI917" s="4"/>
      <c r="AJ917" s="76" t="str">
        <f>IF(E917="○",IF(COUNTA(E$13:E917)=1,"",",")&amp;D917,"")</f>
        <v/>
      </c>
      <c r="AK917" s="4"/>
      <c r="AL917" s="4"/>
      <c r="AM917" s="4"/>
      <c r="AN917" s="4"/>
      <c r="AO917" s="4"/>
      <c r="AP917" s="4"/>
      <c r="AQ917" s="4"/>
      <c r="AR917" s="4"/>
      <c r="AS917" s="76" t="str">
        <f>"COMMENT ON COLUMN "&amp;エンティティ一覧!$O$2&amp;"."&amp;D$8&amp;"."&amp;D917&amp;" IS '"&amp;C917&amp;"';"</f>
        <v>COMMENT ON COLUMN milscm_2023_009.sny_202310_annony_bef2.gain_1q21 IS '1q21＋';</v>
      </c>
    </row>
    <row r="918" spans="1:45" s="25" customFormat="1" ht="37.5">
      <c r="A918" s="4"/>
      <c r="B918" s="21">
        <f t="shared" ref="B918:B937" si="111">ROW()-12</f>
        <v>906</v>
      </c>
      <c r="C918" s="13" t="s">
        <v>4617</v>
      </c>
      <c r="D918" s="13" t="s">
        <v>4344</v>
      </c>
      <c r="E918" s="7"/>
      <c r="F918" s="7" t="s">
        <v>4609</v>
      </c>
      <c r="G918" s="7" t="str">
        <f t="shared" si="110"/>
        <v>text</v>
      </c>
      <c r="H918" s="58"/>
      <c r="I918" s="23"/>
      <c r="J918" s="24" t="s">
        <v>4657</v>
      </c>
      <c r="M918" s="4"/>
      <c r="N918" s="76"/>
      <c r="O918" s="76"/>
      <c r="P918" s="76" t="str">
        <f t="shared" si="4"/>
        <v>,iyakuhin_ippan_name</v>
      </c>
      <c r="Q918" s="76" t="str">
        <f t="shared" si="0"/>
        <v>TEXT</v>
      </c>
      <c r="R918" s="76" t="str">
        <f t="shared" si="1"/>
        <v/>
      </c>
      <c r="S918" s="76" t="str">
        <f t="shared" si="5"/>
        <v/>
      </c>
      <c r="T918" s="76" t="str">
        <f t="shared" si="6"/>
        <v>-- 薬剤表示名</v>
      </c>
      <c r="U918" s="4"/>
      <c r="AA918" s="4"/>
      <c r="AB918" s="4"/>
      <c r="AC918" s="4"/>
      <c r="AD918" s="4"/>
      <c r="AE918" s="4"/>
      <c r="AF918" s="4"/>
      <c r="AG918" s="4"/>
      <c r="AH918" s="4"/>
      <c r="AI918" s="4"/>
      <c r="AJ918" s="76" t="str">
        <f>IF(E918="○",IF(COUNTA(E$13:E918)=1,"",",")&amp;D918,"")</f>
        <v/>
      </c>
      <c r="AK918" s="4"/>
      <c r="AL918" s="4"/>
      <c r="AM918" s="4"/>
      <c r="AN918" s="4"/>
      <c r="AO918" s="4"/>
      <c r="AP918" s="4"/>
      <c r="AQ918" s="4"/>
      <c r="AR918" s="4"/>
      <c r="AS918" s="76" t="str">
        <f>"COMMENT ON COLUMN "&amp;エンティティ一覧!$O$2&amp;"."&amp;D$8&amp;"."&amp;D918&amp;" IS '"&amp;C918&amp;"';"</f>
        <v>COMMENT ON COLUMN milscm_2023_009.sny_202310_annony_bef2.iyakuhin_ippan_name IS '薬剤表示名';</v>
      </c>
    </row>
    <row r="919" spans="1:45" s="25" customFormat="1">
      <c r="A919" s="4"/>
      <c r="B919" s="21">
        <f t="shared" si="111"/>
        <v>907</v>
      </c>
      <c r="C919" s="13" t="s">
        <v>4619</v>
      </c>
      <c r="D919" s="13" t="s">
        <v>4338</v>
      </c>
      <c r="E919" s="7"/>
      <c r="F919" s="7" t="s">
        <v>4200</v>
      </c>
      <c r="G919" s="7" t="str">
        <f t="shared" si="110"/>
        <v>numeric</v>
      </c>
      <c r="H919" s="58"/>
      <c r="I919" s="23"/>
      <c r="J919" s="24"/>
      <c r="M919" s="4"/>
      <c r="N919" s="76"/>
      <c r="O919" s="76"/>
      <c r="P919" s="76" t="str">
        <f t="shared" si="4"/>
        <v>,toyoryo</v>
      </c>
      <c r="Q919" s="76" t="str">
        <f t="shared" si="0"/>
        <v>NUMERIC</v>
      </c>
      <c r="R919" s="76" t="str">
        <f t="shared" si="1"/>
        <v/>
      </c>
      <c r="S919" s="76" t="str">
        <f t="shared" si="5"/>
        <v/>
      </c>
      <c r="T919" s="76" t="str">
        <f t="shared" si="6"/>
        <v>-- 投与量</v>
      </c>
      <c r="U919" s="4"/>
      <c r="AA919" s="4"/>
      <c r="AB919" s="4"/>
      <c r="AC919" s="4"/>
      <c r="AD919" s="4"/>
      <c r="AE919" s="4"/>
      <c r="AF919" s="4"/>
      <c r="AG919" s="4"/>
      <c r="AH919" s="4"/>
      <c r="AI919" s="4"/>
      <c r="AJ919" s="76" t="str">
        <f>IF(E919="○",IF(COUNTA(E$13:E919)=1,"",",")&amp;D919,"")</f>
        <v/>
      </c>
      <c r="AK919" s="4"/>
      <c r="AL919" s="4"/>
      <c r="AM919" s="4"/>
      <c r="AN919" s="4"/>
      <c r="AO919" s="4"/>
      <c r="AP919" s="4"/>
      <c r="AQ919" s="4"/>
      <c r="AR919" s="4"/>
      <c r="AS919" s="76" t="str">
        <f>"COMMENT ON COLUMN "&amp;エンティティ一覧!$O$2&amp;"."&amp;D$8&amp;"."&amp;D919&amp;" IS '"&amp;C919&amp;"';"</f>
        <v>COMMENT ON COLUMN milscm_2023_009.sny_202310_annony_bef2.toyoryo IS '投与量';</v>
      </c>
    </row>
    <row r="920" spans="1:45" s="25" customFormat="1">
      <c r="A920" s="4"/>
      <c r="B920" s="21">
        <f>ROW()-12</f>
        <v>908</v>
      </c>
      <c r="C920" s="13" t="s">
        <v>4620</v>
      </c>
      <c r="D920" s="13" t="s">
        <v>4339</v>
      </c>
      <c r="E920" s="7"/>
      <c r="F920" s="7" t="s">
        <v>1780</v>
      </c>
      <c r="G920" s="7" t="str">
        <f t="shared" si="110"/>
        <v>text</v>
      </c>
      <c r="H920" s="58"/>
      <c r="I920" s="23"/>
      <c r="J920" s="24"/>
      <c r="N920" s="76"/>
      <c r="O920" s="76"/>
      <c r="P920" s="76" t="str">
        <f t="shared" si="4"/>
        <v>,seibun_unit_name</v>
      </c>
      <c r="Q920" s="76" t="str">
        <f t="shared" si="0"/>
        <v>TEXT</v>
      </c>
      <c r="R920" s="76" t="str">
        <f t="shared" si="1"/>
        <v/>
      </c>
      <c r="S920" s="76" t="str">
        <f t="shared" si="5"/>
        <v/>
      </c>
      <c r="T920" s="76" t="str">
        <f t="shared" si="6"/>
        <v>-- 成分単位名称</v>
      </c>
      <c r="U920" s="4"/>
      <c r="AA920" s="4"/>
      <c r="AB920" s="4"/>
      <c r="AC920" s="4"/>
      <c r="AD920" s="4"/>
      <c r="AE920" s="4"/>
      <c r="AF920" s="4"/>
      <c r="AG920" s="4"/>
      <c r="AH920" s="4"/>
      <c r="AI920" s="4"/>
      <c r="AJ920" s="76" t="str">
        <f>IF(E920="○",IF(COUNTA(E$13:E920)=1,"",",")&amp;D920,"")</f>
        <v/>
      </c>
      <c r="AK920" s="4"/>
      <c r="AL920" s="4"/>
      <c r="AM920" s="4"/>
      <c r="AN920" s="4"/>
      <c r="AO920" s="4"/>
      <c r="AP920" s="4"/>
      <c r="AQ920" s="4"/>
      <c r="AR920" s="4"/>
      <c r="AS920" s="76" t="str">
        <f>"COMMENT ON COLUMN "&amp;エンティティ一覧!$O$2&amp;"."&amp;D$8&amp;"."&amp;D920&amp;" IS '"&amp;C920&amp;"';"</f>
        <v>COMMENT ON COLUMN milscm_2023_009.sny_202310_annony_bef2.seibun_unit_name IS '成分単位名称';</v>
      </c>
    </row>
    <row r="921" spans="1:45" s="25" customFormat="1">
      <c r="A921" s="4"/>
      <c r="B921" s="21">
        <f t="shared" si="111"/>
        <v>909</v>
      </c>
      <c r="C921" s="13" t="s">
        <v>4202</v>
      </c>
      <c r="D921" s="13" t="s">
        <v>4587</v>
      </c>
      <c r="E921" s="7"/>
      <c r="F921" s="7" t="s">
        <v>4302</v>
      </c>
      <c r="G921" s="7" t="str">
        <f>IF(F921="フラグ","boolean",IF(F921="文字列","text",IF(F921="整数","integer",IF(F921="実数","numeric",""))))</f>
        <v>integer</v>
      </c>
      <c r="H921" s="58"/>
      <c r="I921" s="23"/>
      <c r="J921" s="24"/>
      <c r="M921" s="4"/>
      <c r="N921" s="76"/>
      <c r="O921" s="76"/>
      <c r="P921" s="76" t="str">
        <f>IF(B921&lt;&gt;1,","&amp;D921,D921)</f>
        <v>,koi_times</v>
      </c>
      <c r="Q921" s="76" t="str">
        <f>UPPER(G921)</f>
        <v>INTEGER</v>
      </c>
      <c r="R921" s="76" t="str">
        <f>IF(H921&lt;&gt;"","default "&amp;IF(G921="text","'"&amp;H921&amp;"'",H921),"")</f>
        <v/>
      </c>
      <c r="S921" s="76" t="str">
        <f>IF(I921="○","NOT NULL","")</f>
        <v/>
      </c>
      <c r="T921" s="76" t="str">
        <f>"-- "&amp;C921</f>
        <v>-- 行為回数</v>
      </c>
      <c r="U921" s="4"/>
      <c r="AA921" s="4"/>
      <c r="AB921" s="4"/>
      <c r="AC921" s="4"/>
      <c r="AD921" s="4"/>
      <c r="AE921" s="4"/>
      <c r="AF921" s="4"/>
      <c r="AG921" s="4"/>
      <c r="AH921" s="4"/>
      <c r="AI921" s="4"/>
      <c r="AJ921" s="76" t="str">
        <f>IF(E921="○",IF(COUNTA(E$13:E921)=1,"",",")&amp;D921,"")</f>
        <v/>
      </c>
      <c r="AK921" s="4"/>
      <c r="AL921" s="4"/>
      <c r="AM921" s="4"/>
      <c r="AN921" s="4"/>
      <c r="AO921" s="4"/>
      <c r="AP921" s="4"/>
      <c r="AQ921" s="4"/>
      <c r="AR921" s="4"/>
      <c r="AS921" s="76" t="str">
        <f>"COMMENT ON COLUMN "&amp;エンティティ一覧!$O$2&amp;"."&amp;D$8&amp;"."&amp;D921&amp;" IS '"&amp;C921&amp;"';"</f>
        <v>COMMENT ON COLUMN milscm_2023_009.sny_202310_annony_bef2.koi_times IS '行為回数';</v>
      </c>
    </row>
    <row r="922" spans="1:45" s="25" customFormat="1">
      <c r="A922" s="4"/>
      <c r="B922" s="21">
        <f t="shared" si="111"/>
        <v>910</v>
      </c>
      <c r="C922" s="13" t="s">
        <v>4621</v>
      </c>
      <c r="D922" s="13" t="s">
        <v>4511</v>
      </c>
      <c r="E922" s="7"/>
      <c r="F922" s="7" t="s">
        <v>4200</v>
      </c>
      <c r="G922" s="7" t="str">
        <f>IF(F922="フラグ","boolean",IF(F922="文字列","text",IF(F922="整数","integer",IF(F922="実数","numeric",""))))</f>
        <v>numeric</v>
      </c>
      <c r="H922" s="58"/>
      <c r="I922" s="23"/>
      <c r="J922" s="24"/>
      <c r="M922" s="4"/>
      <c r="N922" s="76"/>
      <c r="O922" s="76"/>
      <c r="P922" s="76" t="str">
        <f>IF(B922&lt;&gt;1,","&amp;D922,D922)</f>
        <v>,ldh_value</v>
      </c>
      <c r="Q922" s="76" t="str">
        <f t="shared" ref="Q922:Q938" si="112">UPPER(G922)</f>
        <v>NUMERIC</v>
      </c>
      <c r="R922" s="76" t="str">
        <f t="shared" ref="R922:R938" si="113">IF(H922&lt;&gt;"","default "&amp;IF(G922="text","'"&amp;H922&amp;"'",H922),"")</f>
        <v/>
      </c>
      <c r="S922" s="76" t="str">
        <f t="shared" ref="S922:S938" si="114">IF(I922="○","NOT NULL","")</f>
        <v/>
      </c>
      <c r="T922" s="76" t="str">
        <f t="shared" ref="T922:T938" si="115">"-- "&amp;C922</f>
        <v>-- LDH_検査値</v>
      </c>
      <c r="U922" s="4"/>
      <c r="V922" s="25" t="str">
        <f>",max("&amp;D922&amp;")"</f>
        <v>,max(ldh_value)</v>
      </c>
      <c r="AA922" s="4"/>
      <c r="AB922" s="4"/>
      <c r="AC922" s="4"/>
      <c r="AD922" s="4"/>
      <c r="AE922" s="4"/>
      <c r="AF922" s="4"/>
      <c r="AG922" s="4"/>
      <c r="AH922" s="4"/>
      <c r="AI922" s="4"/>
      <c r="AJ922" s="76" t="str">
        <f>IF(E922="○",IF(COUNTA(E$13:E922)=1,"",",")&amp;D922,"")</f>
        <v/>
      </c>
      <c r="AK922" s="4"/>
      <c r="AL922" s="4"/>
      <c r="AM922" s="4"/>
      <c r="AN922" s="4"/>
      <c r="AO922" s="4"/>
      <c r="AP922" s="4"/>
      <c r="AQ922" s="4"/>
      <c r="AR922" s="4"/>
      <c r="AS922" s="76" t="str">
        <f>"COMMENT ON COLUMN "&amp;エンティティ一覧!$O$2&amp;"."&amp;D$8&amp;"."&amp;D922&amp;" IS '"&amp;C922&amp;"';"</f>
        <v>COMMENT ON COLUMN milscm_2023_009.sny_202310_annony_bef2.ldh_value IS 'LDH_検査値';</v>
      </c>
    </row>
    <row r="923" spans="1:45" s="25" customFormat="1">
      <c r="A923" s="4"/>
      <c r="B923" s="21">
        <f t="shared" si="111"/>
        <v>911</v>
      </c>
      <c r="C923" s="13" t="s">
        <v>4622</v>
      </c>
      <c r="D923" s="13" t="s">
        <v>4513</v>
      </c>
      <c r="E923" s="7"/>
      <c r="F923" s="7" t="s">
        <v>4200</v>
      </c>
      <c r="G923" s="7" t="str">
        <f t="shared" ref="G923:G930" si="116">IF(F923="フラグ","boolean",IF(F923="文字列","text",IF(F923="整数","integer",IF(F923="実数","numeric",""))))</f>
        <v>numeric</v>
      </c>
      <c r="H923" s="58"/>
      <c r="I923" s="23"/>
      <c r="J923" s="24"/>
      <c r="M923" s="4"/>
      <c r="N923" s="76"/>
      <c r="O923" s="76"/>
      <c r="P923" s="76" t="str">
        <f t="shared" ref="P923:P938" si="117">IF(B923&lt;&gt;1,","&amp;D923,D923)</f>
        <v>,albumin_value</v>
      </c>
      <c r="Q923" s="76" t="str">
        <f t="shared" si="112"/>
        <v>NUMERIC</v>
      </c>
      <c r="R923" s="76" t="str">
        <f t="shared" si="113"/>
        <v/>
      </c>
      <c r="S923" s="76" t="str">
        <f t="shared" si="114"/>
        <v/>
      </c>
      <c r="T923" s="76" t="str">
        <f t="shared" si="115"/>
        <v>-- アルブミン_検査値</v>
      </c>
      <c r="U923" s="4"/>
      <c r="V923" s="25" t="str">
        <f t="shared" ref="V923:V930" si="118">",max("&amp;D923&amp;")"</f>
        <v>,max(albumin_value)</v>
      </c>
      <c r="AA923" s="4"/>
      <c r="AB923" s="4"/>
      <c r="AC923" s="4"/>
      <c r="AD923" s="4"/>
      <c r="AE923" s="4"/>
      <c r="AF923" s="4"/>
      <c r="AG923" s="4"/>
      <c r="AH923" s="4"/>
      <c r="AI923" s="4"/>
      <c r="AJ923" s="76" t="str">
        <f>IF(E923="○",IF(COUNTA(E$13:E923)=1,"",",")&amp;D923,"")</f>
        <v/>
      </c>
      <c r="AK923" s="4"/>
      <c r="AL923" s="4"/>
      <c r="AM923" s="4"/>
      <c r="AN923" s="4"/>
      <c r="AO923" s="4"/>
      <c r="AP923" s="4"/>
      <c r="AQ923" s="4"/>
      <c r="AR923" s="4"/>
      <c r="AS923" s="76" t="str">
        <f>"COMMENT ON COLUMN "&amp;エンティティ一覧!$O$2&amp;"."&amp;D$8&amp;"."&amp;D923&amp;" IS '"&amp;C923&amp;"';"</f>
        <v>COMMENT ON COLUMN milscm_2023_009.sny_202310_annony_bef2.albumin_value IS 'アルブミン_検査値';</v>
      </c>
    </row>
    <row r="924" spans="1:45" s="25" customFormat="1">
      <c r="A924" s="4"/>
      <c r="B924" s="21">
        <f t="shared" si="111"/>
        <v>912</v>
      </c>
      <c r="C924" s="13" t="s">
        <v>4623</v>
      </c>
      <c r="D924" s="13" t="s">
        <v>4546</v>
      </c>
      <c r="E924" s="7"/>
      <c r="F924" s="7" t="s">
        <v>4200</v>
      </c>
      <c r="G924" s="7" t="str">
        <f t="shared" si="116"/>
        <v>numeric</v>
      </c>
      <c r="H924" s="58"/>
      <c r="I924" s="23"/>
      <c r="J924" s="24"/>
      <c r="M924" s="4"/>
      <c r="N924" s="76"/>
      <c r="O924" s="76"/>
      <c r="P924" s="76" t="str">
        <f t="shared" si="117"/>
        <v>,b2_microglobulin_value</v>
      </c>
      <c r="Q924" s="76" t="str">
        <f t="shared" si="112"/>
        <v>NUMERIC</v>
      </c>
      <c r="R924" s="76" t="str">
        <f t="shared" si="113"/>
        <v/>
      </c>
      <c r="S924" s="76" t="str">
        <f t="shared" si="114"/>
        <v/>
      </c>
      <c r="T924" s="76" t="str">
        <f t="shared" si="115"/>
        <v>-- β2ミクログロブリン_検査値</v>
      </c>
      <c r="U924" s="4"/>
      <c r="V924" s="25" t="str">
        <f t="shared" si="118"/>
        <v>,max(b2_microglobulin_value)</v>
      </c>
      <c r="AA924" s="4"/>
      <c r="AB924" s="4"/>
      <c r="AC924" s="4"/>
      <c r="AD924" s="4"/>
      <c r="AE924" s="4"/>
      <c r="AF924" s="4"/>
      <c r="AG924" s="4"/>
      <c r="AH924" s="4"/>
      <c r="AI924" s="4"/>
      <c r="AJ924" s="76" t="str">
        <f>IF(E924="○",IF(COUNTA(E$13:E924)=1,"",",")&amp;D924,"")</f>
        <v/>
      </c>
      <c r="AK924" s="4"/>
      <c r="AL924" s="4"/>
      <c r="AM924" s="4"/>
      <c r="AN924" s="4"/>
      <c r="AO924" s="4"/>
      <c r="AP924" s="4"/>
      <c r="AQ924" s="4"/>
      <c r="AR924" s="4"/>
      <c r="AS924" s="76" t="str">
        <f>"COMMENT ON COLUMN "&amp;エンティティ一覧!$O$2&amp;"."&amp;D$8&amp;"."&amp;D924&amp;" IS '"&amp;C924&amp;"';"</f>
        <v>COMMENT ON COLUMN milscm_2023_009.sny_202310_annony_bef2.b2_microglobulin_value IS 'β2ミクログロブリン_検査値';</v>
      </c>
    </row>
    <row r="925" spans="1:45" s="25" customFormat="1">
      <c r="A925" s="4"/>
      <c r="B925" s="21">
        <f t="shared" si="111"/>
        <v>913</v>
      </c>
      <c r="C925" s="13" t="s">
        <v>4624</v>
      </c>
      <c r="D925" s="13" t="s">
        <v>4516</v>
      </c>
      <c r="E925" s="7"/>
      <c r="F925" s="7" t="s">
        <v>4200</v>
      </c>
      <c r="G925" s="7" t="str">
        <f t="shared" si="116"/>
        <v>numeric</v>
      </c>
      <c r="H925" s="58"/>
      <c r="I925" s="23"/>
      <c r="J925" s="24"/>
      <c r="M925" s="4"/>
      <c r="N925" s="76"/>
      <c r="O925" s="76"/>
      <c r="P925" s="76" t="str">
        <f t="shared" si="117"/>
        <v>,ast_value</v>
      </c>
      <c r="Q925" s="76" t="str">
        <f t="shared" si="112"/>
        <v>NUMERIC</v>
      </c>
      <c r="R925" s="76" t="str">
        <f t="shared" si="113"/>
        <v/>
      </c>
      <c r="S925" s="76" t="str">
        <f t="shared" si="114"/>
        <v/>
      </c>
      <c r="T925" s="76" t="str">
        <f t="shared" si="115"/>
        <v>-- AST_検査値</v>
      </c>
      <c r="U925" s="4"/>
      <c r="V925" s="25" t="str">
        <f t="shared" si="118"/>
        <v>,max(ast_value)</v>
      </c>
      <c r="AA925" s="4"/>
      <c r="AB925" s="4"/>
      <c r="AC925" s="4"/>
      <c r="AD925" s="4"/>
      <c r="AE925" s="4"/>
      <c r="AF925" s="4"/>
      <c r="AG925" s="4"/>
      <c r="AH925" s="4"/>
      <c r="AI925" s="4"/>
      <c r="AJ925" s="76" t="str">
        <f>IF(E925="○",IF(COUNTA(E$13:E925)=1,"",",")&amp;D925,"")</f>
        <v/>
      </c>
      <c r="AK925" s="4"/>
      <c r="AL925" s="4"/>
      <c r="AM925" s="4"/>
      <c r="AN925" s="4"/>
      <c r="AO925" s="4"/>
      <c r="AP925" s="4"/>
      <c r="AQ925" s="4"/>
      <c r="AR925" s="4"/>
      <c r="AS925" s="76" t="str">
        <f>"COMMENT ON COLUMN "&amp;エンティティ一覧!$O$2&amp;"."&amp;D$8&amp;"."&amp;D925&amp;" IS '"&amp;C925&amp;"';"</f>
        <v>COMMENT ON COLUMN milscm_2023_009.sny_202310_annony_bef2.ast_value IS 'AST_検査値';</v>
      </c>
    </row>
    <row r="926" spans="1:45" s="25" customFormat="1">
      <c r="A926" s="4"/>
      <c r="B926" s="21">
        <f t="shared" si="111"/>
        <v>914</v>
      </c>
      <c r="C926" s="13" t="s">
        <v>4625</v>
      </c>
      <c r="D926" s="13" t="s">
        <v>4518</v>
      </c>
      <c r="E926" s="7"/>
      <c r="F926" s="7" t="s">
        <v>4200</v>
      </c>
      <c r="G926" s="7" t="str">
        <f t="shared" si="116"/>
        <v>numeric</v>
      </c>
      <c r="H926" s="58"/>
      <c r="I926" s="23"/>
      <c r="J926" s="24"/>
      <c r="M926" s="4"/>
      <c r="N926" s="76"/>
      <c r="O926" s="76"/>
      <c r="P926" s="76" t="str">
        <f t="shared" si="117"/>
        <v>,alt_value</v>
      </c>
      <c r="Q926" s="76" t="str">
        <f t="shared" si="112"/>
        <v>NUMERIC</v>
      </c>
      <c r="R926" s="76" t="str">
        <f t="shared" si="113"/>
        <v/>
      </c>
      <c r="S926" s="76" t="str">
        <f t="shared" si="114"/>
        <v/>
      </c>
      <c r="T926" s="76" t="str">
        <f t="shared" si="115"/>
        <v>-- ALT_検査値</v>
      </c>
      <c r="U926" s="4"/>
      <c r="V926" s="25" t="str">
        <f t="shared" si="118"/>
        <v>,max(alt_value)</v>
      </c>
      <c r="AA926" s="4"/>
      <c r="AB926" s="4"/>
      <c r="AC926" s="4"/>
      <c r="AD926" s="4"/>
      <c r="AE926" s="4"/>
      <c r="AF926" s="4"/>
      <c r="AG926" s="4"/>
      <c r="AH926" s="4"/>
      <c r="AI926" s="4"/>
      <c r="AJ926" s="76" t="str">
        <f>IF(E926="○",IF(COUNTA(E$13:E926)=1,"",",")&amp;D926,"")</f>
        <v/>
      </c>
      <c r="AK926" s="4"/>
      <c r="AL926" s="4"/>
      <c r="AM926" s="4"/>
      <c r="AN926" s="4"/>
      <c r="AO926" s="4"/>
      <c r="AP926" s="4"/>
      <c r="AQ926" s="4"/>
      <c r="AR926" s="4"/>
      <c r="AS926" s="76" t="str">
        <f>"COMMENT ON COLUMN "&amp;エンティティ一覧!$O$2&amp;"."&amp;D$8&amp;"."&amp;D926&amp;" IS '"&amp;C926&amp;"';"</f>
        <v>COMMENT ON COLUMN milscm_2023_009.sny_202310_annony_bef2.alt_value IS 'ALT_検査値';</v>
      </c>
    </row>
    <row r="927" spans="1:45" s="25" customFormat="1">
      <c r="A927" s="4"/>
      <c r="B927" s="21">
        <f t="shared" si="111"/>
        <v>915</v>
      </c>
      <c r="C927" s="13" t="s">
        <v>4647</v>
      </c>
      <c r="D927" s="13" t="s">
        <v>4651</v>
      </c>
      <c r="E927" s="7"/>
      <c r="F927" s="7" t="s">
        <v>4200</v>
      </c>
      <c r="G927" s="7" t="str">
        <f t="shared" si="116"/>
        <v>numeric</v>
      </c>
      <c r="H927" s="58"/>
      <c r="I927" s="23"/>
      <c r="J927" s="24"/>
      <c r="M927" s="4"/>
      <c r="N927" s="76"/>
      <c r="O927" s="76"/>
      <c r="P927" s="76" t="str">
        <f t="shared" si="117"/>
        <v>,all_bilirubin_value</v>
      </c>
      <c r="Q927" s="76" t="str">
        <f t="shared" si="112"/>
        <v>NUMERIC</v>
      </c>
      <c r="R927" s="76" t="str">
        <f t="shared" si="113"/>
        <v/>
      </c>
      <c r="S927" s="76" t="str">
        <f t="shared" si="114"/>
        <v/>
      </c>
      <c r="T927" s="76" t="str">
        <f t="shared" si="115"/>
        <v>-- 総ビリルビン_検査値</v>
      </c>
      <c r="U927" s="4"/>
      <c r="V927" s="25" t="str">
        <f t="shared" si="118"/>
        <v>,max(all_bilirubin_value)</v>
      </c>
      <c r="AA927" s="4"/>
      <c r="AB927" s="4"/>
      <c r="AC927" s="4"/>
      <c r="AD927" s="4"/>
      <c r="AE927" s="4"/>
      <c r="AF927" s="4"/>
      <c r="AG927" s="4"/>
      <c r="AH927" s="4"/>
      <c r="AI927" s="4"/>
      <c r="AJ927" s="76" t="str">
        <f>IF(E927="○",IF(COUNTA(E$13:E927)=1,"",",")&amp;D927,"")</f>
        <v/>
      </c>
      <c r="AK927" s="4"/>
      <c r="AL927" s="4"/>
      <c r="AM927" s="4"/>
      <c r="AN927" s="4"/>
      <c r="AO927" s="4"/>
      <c r="AP927" s="4"/>
      <c r="AQ927" s="4"/>
      <c r="AR927" s="4"/>
      <c r="AS927" s="76" t="str">
        <f>"COMMENT ON COLUMN "&amp;エンティティ一覧!$O$2&amp;"."&amp;D$8&amp;"."&amp;D927&amp;" IS '"&amp;C927&amp;"';"</f>
        <v>COMMENT ON COLUMN milscm_2023_009.sny_202310_annony_bef2.all_bilirubin_value IS '総ビリルビン_検査値';</v>
      </c>
    </row>
    <row r="928" spans="1:45" s="25" customFormat="1">
      <c r="A928" s="4"/>
      <c r="B928" s="21">
        <f t="shared" si="111"/>
        <v>916</v>
      </c>
      <c r="C928" s="13" t="s">
        <v>4648</v>
      </c>
      <c r="D928" s="13" t="s">
        <v>4652</v>
      </c>
      <c r="E928" s="7"/>
      <c r="F928" s="7" t="s">
        <v>4200</v>
      </c>
      <c r="G928" s="7" t="str">
        <f t="shared" si="116"/>
        <v>numeric</v>
      </c>
      <c r="H928" s="58"/>
      <c r="I928" s="23"/>
      <c r="J928" s="24"/>
      <c r="M928" s="4"/>
      <c r="N928" s="76"/>
      <c r="O928" s="76"/>
      <c r="P928" s="76" t="str">
        <f t="shared" si="117"/>
        <v>,direct_bilirubin_value</v>
      </c>
      <c r="Q928" s="76" t="str">
        <f t="shared" si="112"/>
        <v>NUMERIC</v>
      </c>
      <c r="R928" s="76" t="str">
        <f t="shared" si="113"/>
        <v/>
      </c>
      <c r="S928" s="76" t="str">
        <f t="shared" si="114"/>
        <v/>
      </c>
      <c r="T928" s="76" t="str">
        <f t="shared" si="115"/>
        <v>-- 直接ビリルビン_検査値</v>
      </c>
      <c r="U928" s="4"/>
      <c r="V928" s="25" t="str">
        <f t="shared" si="118"/>
        <v>,max(direct_bilirubin_value)</v>
      </c>
      <c r="AA928" s="4"/>
      <c r="AB928" s="4"/>
      <c r="AC928" s="4"/>
      <c r="AD928" s="4"/>
      <c r="AE928" s="4"/>
      <c r="AF928" s="4"/>
      <c r="AG928" s="4"/>
      <c r="AH928" s="4"/>
      <c r="AI928" s="4"/>
      <c r="AJ928" s="76" t="str">
        <f>IF(E928="○",IF(COUNTA(E$13:E928)=1,"",",")&amp;D928,"")</f>
        <v/>
      </c>
      <c r="AK928" s="4"/>
      <c r="AL928" s="4"/>
      <c r="AM928" s="4"/>
      <c r="AN928" s="4"/>
      <c r="AO928" s="4"/>
      <c r="AP928" s="4"/>
      <c r="AQ928" s="4"/>
      <c r="AR928" s="4"/>
      <c r="AS928" s="76" t="str">
        <f>"COMMENT ON COLUMN "&amp;エンティティ一覧!$O$2&amp;"."&amp;D$8&amp;"."&amp;D928&amp;" IS '"&amp;C928&amp;"';"</f>
        <v>COMMENT ON COLUMN milscm_2023_009.sny_202310_annony_bef2.direct_bilirubin_value IS '直接ビリルビン_検査値';</v>
      </c>
    </row>
    <row r="929" spans="1:52" s="25" customFormat="1">
      <c r="A929" s="4"/>
      <c r="B929" s="21">
        <f t="shared" si="111"/>
        <v>917</v>
      </c>
      <c r="C929" s="13" t="s">
        <v>4626</v>
      </c>
      <c r="D929" s="13" t="s">
        <v>4520</v>
      </c>
      <c r="E929" s="7"/>
      <c r="F929" s="7" t="s">
        <v>4200</v>
      </c>
      <c r="G929" s="7" t="str">
        <f t="shared" si="116"/>
        <v>numeric</v>
      </c>
      <c r="H929" s="58"/>
      <c r="I929" s="23"/>
      <c r="J929" s="24"/>
      <c r="M929" s="4"/>
      <c r="N929" s="76"/>
      <c r="O929" s="76"/>
      <c r="P929" s="76" t="str">
        <f t="shared" si="117"/>
        <v>,bun_value</v>
      </c>
      <c r="Q929" s="76" t="str">
        <f t="shared" si="112"/>
        <v>NUMERIC</v>
      </c>
      <c r="R929" s="76" t="str">
        <f t="shared" si="113"/>
        <v/>
      </c>
      <c r="S929" s="76" t="str">
        <f t="shared" si="114"/>
        <v/>
      </c>
      <c r="T929" s="76" t="str">
        <f t="shared" si="115"/>
        <v>-- BUN_検査値</v>
      </c>
      <c r="U929" s="4"/>
      <c r="V929" s="25" t="str">
        <f t="shared" si="118"/>
        <v>,max(bun_value)</v>
      </c>
      <c r="AA929" s="4"/>
      <c r="AB929" s="4"/>
      <c r="AC929" s="4"/>
      <c r="AD929" s="4"/>
      <c r="AE929" s="4"/>
      <c r="AF929" s="4"/>
      <c r="AG929" s="4"/>
      <c r="AH929" s="4"/>
      <c r="AI929" s="4"/>
      <c r="AJ929" s="76" t="str">
        <f>IF(E929="○",IF(COUNTA(E$13:E929)=1,"",",")&amp;D929,"")</f>
        <v/>
      </c>
      <c r="AK929" s="4"/>
      <c r="AL929" s="4"/>
      <c r="AM929" s="4"/>
      <c r="AN929" s="4"/>
      <c r="AO929" s="4"/>
      <c r="AP929" s="4"/>
      <c r="AQ929" s="4"/>
      <c r="AR929" s="4"/>
      <c r="AS929" s="76" t="str">
        <f>"COMMENT ON COLUMN "&amp;エンティティ一覧!$O$2&amp;"."&amp;D$8&amp;"."&amp;D929&amp;" IS '"&amp;C929&amp;"';"</f>
        <v>COMMENT ON COLUMN milscm_2023_009.sny_202310_annony_bef2.bun_value IS 'BUN_検査値';</v>
      </c>
    </row>
    <row r="930" spans="1:52" s="25" customFormat="1">
      <c r="A930" s="4"/>
      <c r="B930" s="21">
        <f t="shared" si="111"/>
        <v>918</v>
      </c>
      <c r="C930" s="13" t="s">
        <v>4627</v>
      </c>
      <c r="D930" s="13" t="s">
        <v>4522</v>
      </c>
      <c r="E930" s="7"/>
      <c r="F930" s="7" t="s">
        <v>4200</v>
      </c>
      <c r="G930" s="7" t="str">
        <f t="shared" si="116"/>
        <v>numeric</v>
      </c>
      <c r="H930" s="58"/>
      <c r="I930" s="23"/>
      <c r="J930" s="24"/>
      <c r="M930" s="4"/>
      <c r="N930" s="76"/>
      <c r="O930" s="76"/>
      <c r="P930" s="76" t="str">
        <f t="shared" si="117"/>
        <v>,egfr_value</v>
      </c>
      <c r="Q930" s="76" t="str">
        <f t="shared" si="112"/>
        <v>NUMERIC</v>
      </c>
      <c r="R930" s="76" t="str">
        <f t="shared" si="113"/>
        <v/>
      </c>
      <c r="S930" s="76" t="str">
        <f t="shared" si="114"/>
        <v/>
      </c>
      <c r="T930" s="76" t="str">
        <f t="shared" si="115"/>
        <v>-- eGFR_検査値</v>
      </c>
      <c r="U930" s="4"/>
      <c r="V930" s="25" t="str">
        <f t="shared" si="118"/>
        <v>,max(egfr_value)</v>
      </c>
      <c r="AA930" s="4"/>
      <c r="AB930" s="4"/>
      <c r="AC930" s="4"/>
      <c r="AD930" s="4"/>
      <c r="AE930" s="4"/>
      <c r="AF930" s="4"/>
      <c r="AG930" s="4"/>
      <c r="AH930" s="4"/>
      <c r="AI930" s="4"/>
      <c r="AJ930" s="76" t="str">
        <f>IF(E930="○",IF(COUNTA(E$13:E930)=1,"",",")&amp;D930,"")</f>
        <v/>
      </c>
      <c r="AK930" s="4"/>
      <c r="AL930" s="4"/>
      <c r="AM930" s="4"/>
      <c r="AN930" s="4"/>
      <c r="AO930" s="4"/>
      <c r="AP930" s="4"/>
      <c r="AQ930" s="4"/>
      <c r="AR930" s="4"/>
      <c r="AS930" s="76" t="str">
        <f>"COMMENT ON COLUMN "&amp;エンティティ一覧!$O$2&amp;"."&amp;D$8&amp;"."&amp;D930&amp;" IS '"&amp;C930&amp;"';"</f>
        <v>COMMENT ON COLUMN milscm_2023_009.sny_202310_annony_bef2.egfr_value IS 'eGFR_検査値';</v>
      </c>
    </row>
    <row r="931" spans="1:52" s="25" customFormat="1" ht="31.5">
      <c r="A931" s="4"/>
      <c r="B931" s="21">
        <f t="shared" si="111"/>
        <v>919</v>
      </c>
      <c r="C931" s="13" t="s">
        <v>4628</v>
      </c>
      <c r="D931" s="13" t="s">
        <v>4539</v>
      </c>
      <c r="E931" s="7"/>
      <c r="F931" s="7" t="s">
        <v>4176</v>
      </c>
      <c r="G931" s="7" t="str">
        <f>IF(F931="フラグ","boolean",IF(F931="文字列","text",IF(F931="整数","integer",IF(F931="実数","numeric",""))))</f>
        <v>text</v>
      </c>
      <c r="H931" s="58"/>
      <c r="I931" s="23"/>
      <c r="J931" s="24"/>
      <c r="M931" s="4"/>
      <c r="N931" s="76"/>
      <c r="O931" s="76"/>
      <c r="P931" s="76" t="str">
        <f t="shared" si="117"/>
        <v>,ct_fish_flg</v>
      </c>
      <c r="Q931" s="76" t="str">
        <f t="shared" si="112"/>
        <v>TEXT</v>
      </c>
      <c r="R931" s="76" t="str">
        <f t="shared" si="113"/>
        <v/>
      </c>
      <c r="S931" s="76" t="str">
        <f t="shared" si="114"/>
        <v/>
      </c>
      <c r="T931" s="76" t="str">
        <f t="shared" si="115"/>
        <v>-- 染色体検査（ＦＩＳＨ法）_実施有無</v>
      </c>
      <c r="U931" s="4"/>
      <c r="AA931" s="4"/>
      <c r="AB931" s="4"/>
      <c r="AC931" s="4"/>
      <c r="AD931" s="4"/>
      <c r="AE931" s="4"/>
      <c r="AF931" s="4"/>
      <c r="AG931" s="4"/>
      <c r="AH931" s="4"/>
      <c r="AI931" s="4"/>
      <c r="AJ931" s="76" t="str">
        <f>IF(E931="○",IF(COUNTA(E$13:E931)=1,"",",")&amp;D931,"")</f>
        <v/>
      </c>
      <c r="AK931" s="4"/>
      <c r="AL931" s="4"/>
      <c r="AM931" s="4"/>
      <c r="AN931" s="4"/>
      <c r="AO931" s="4"/>
      <c r="AP931" s="4"/>
      <c r="AQ931" s="4"/>
      <c r="AR931" s="4"/>
      <c r="AS931" s="76" t="str">
        <f>"COMMENT ON COLUMN "&amp;エンティティ一覧!$O$2&amp;"."&amp;D$8&amp;"."&amp;D931&amp;" IS '"&amp;C931&amp;"';"</f>
        <v>COMMENT ON COLUMN milscm_2023_009.sny_202310_annony_bef2.ct_fish_flg IS '染色体検査（ＦＩＳＨ法）_実施有無';</v>
      </c>
    </row>
    <row r="932" spans="1:52" s="25" customFormat="1">
      <c r="A932" s="4"/>
      <c r="B932" s="21">
        <f t="shared" si="111"/>
        <v>920</v>
      </c>
      <c r="C932" s="13" t="s">
        <v>4629</v>
      </c>
      <c r="D932" s="13" t="s">
        <v>4540</v>
      </c>
      <c r="E932" s="7"/>
      <c r="F932" s="7" t="s">
        <v>4176</v>
      </c>
      <c r="G932" s="7" t="str">
        <f t="shared" ref="G932:G938" si="119">IF(F932="フラグ","boolean",IF(F932="文字列","text",IF(F932="整数","integer",IF(F932="実数","numeric",""))))</f>
        <v>text</v>
      </c>
      <c r="H932" s="58"/>
      <c r="I932" s="23"/>
      <c r="J932" s="24"/>
      <c r="M932" s="4"/>
      <c r="N932" s="76"/>
      <c r="O932" s="76"/>
      <c r="P932" s="76" t="str">
        <f t="shared" si="117"/>
        <v>,ct_etc_flg</v>
      </c>
      <c r="Q932" s="76" t="str">
        <f t="shared" si="112"/>
        <v>TEXT</v>
      </c>
      <c r="R932" s="76" t="str">
        <f t="shared" si="113"/>
        <v/>
      </c>
      <c r="S932" s="76" t="str">
        <f t="shared" si="114"/>
        <v/>
      </c>
      <c r="T932" s="76" t="str">
        <f t="shared" si="115"/>
        <v>-- 染色体検査（その他）_実施有無</v>
      </c>
      <c r="U932" s="4"/>
      <c r="AA932" s="4"/>
      <c r="AB932" s="4"/>
      <c r="AC932" s="4"/>
      <c r="AD932" s="4"/>
      <c r="AE932" s="4"/>
      <c r="AF932" s="4"/>
      <c r="AG932" s="4"/>
      <c r="AH932" s="4"/>
      <c r="AI932" s="4"/>
      <c r="AJ932" s="76" t="str">
        <f>IF(E932="○",IF(COUNTA(E$13:E932)=1,"",",")&amp;D932,"")</f>
        <v/>
      </c>
      <c r="AK932" s="4"/>
      <c r="AL932" s="4"/>
      <c r="AM932" s="4"/>
      <c r="AN932" s="4"/>
      <c r="AO932" s="4"/>
      <c r="AP932" s="4"/>
      <c r="AQ932" s="4"/>
      <c r="AR932" s="4"/>
      <c r="AS932" s="76" t="str">
        <f>"COMMENT ON COLUMN "&amp;エンティティ一覧!$O$2&amp;"."&amp;D$8&amp;"."&amp;D932&amp;" IS '"&amp;C932&amp;"';"</f>
        <v>COMMENT ON COLUMN milscm_2023_009.sny_202310_annony_bef2.ct_etc_flg IS '染色体検査（その他）_実施有無';</v>
      </c>
    </row>
    <row r="933" spans="1:52" s="25" customFormat="1" ht="31.5">
      <c r="A933" s="4"/>
      <c r="B933" s="21">
        <f t="shared" si="111"/>
        <v>921</v>
      </c>
      <c r="C933" s="13" t="s">
        <v>4630</v>
      </c>
      <c r="D933" s="13" t="s">
        <v>4541</v>
      </c>
      <c r="E933" s="7"/>
      <c r="F933" s="7" t="s">
        <v>4176</v>
      </c>
      <c r="G933" s="7" t="str">
        <f t="shared" si="119"/>
        <v>text</v>
      </c>
      <c r="H933" s="58"/>
      <c r="I933" s="23"/>
      <c r="J933" s="24"/>
      <c r="M933" s="4"/>
      <c r="N933" s="76"/>
      <c r="O933" s="76"/>
      <c r="P933" s="76" t="str">
        <f t="shared" si="117"/>
        <v>,pma_ct_flg</v>
      </c>
      <c r="Q933" s="76" t="str">
        <f t="shared" si="112"/>
        <v>TEXT</v>
      </c>
      <c r="R933" s="76" t="str">
        <f t="shared" si="113"/>
        <v/>
      </c>
      <c r="S933" s="76" t="str">
        <f t="shared" si="114"/>
        <v/>
      </c>
      <c r="T933" s="76" t="str">
        <f t="shared" si="115"/>
        <v>-- 分染法加算（染色体検査）_実施有無</v>
      </c>
      <c r="U933" s="4"/>
      <c r="AA933" s="4"/>
      <c r="AB933" s="4"/>
      <c r="AC933" s="4"/>
      <c r="AD933" s="4"/>
      <c r="AE933" s="4"/>
      <c r="AF933" s="4"/>
      <c r="AG933" s="4"/>
      <c r="AH933" s="4"/>
      <c r="AI933" s="4"/>
      <c r="AJ933" s="76" t="str">
        <f>IF(E933="○",IF(COUNTA(E$13:E933)=1,"",",")&amp;D933,"")</f>
        <v/>
      </c>
      <c r="AK933" s="4"/>
      <c r="AL933" s="4"/>
      <c r="AM933" s="4"/>
      <c r="AN933" s="4"/>
      <c r="AO933" s="4"/>
      <c r="AP933" s="4"/>
      <c r="AQ933" s="4"/>
      <c r="AR933" s="4"/>
      <c r="AS933" s="76" t="str">
        <f>"COMMENT ON COLUMN "&amp;エンティティ一覧!$O$2&amp;"."&amp;D$8&amp;"."&amp;D933&amp;" IS '"&amp;C933&amp;"';"</f>
        <v>COMMENT ON COLUMN milscm_2023_009.sny_202310_annony_bef2.pma_ct_flg IS '分染法加算（染色体検査）_実施有無';</v>
      </c>
    </row>
    <row r="934" spans="1:52" s="25" customFormat="1" ht="31.5">
      <c r="A934" s="4"/>
      <c r="B934" s="21">
        <f t="shared" si="111"/>
        <v>922</v>
      </c>
      <c r="C934" s="13" t="s">
        <v>4631</v>
      </c>
      <c r="D934" s="13" t="s">
        <v>4544</v>
      </c>
      <c r="E934" s="7"/>
      <c r="F934" s="7" t="s">
        <v>4176</v>
      </c>
      <c r="G934" s="7" t="str">
        <f t="shared" si="119"/>
        <v>text</v>
      </c>
      <c r="H934" s="58"/>
      <c r="I934" s="23"/>
      <c r="J934" s="24"/>
      <c r="M934" s="4"/>
      <c r="N934" s="76"/>
      <c r="O934" s="76"/>
      <c r="P934" s="76" t="str">
        <f t="shared" si="117"/>
        <v>,bmt_allogeneic_flg</v>
      </c>
      <c r="Q934" s="76" t="str">
        <f t="shared" si="112"/>
        <v>TEXT</v>
      </c>
      <c r="R934" s="76" t="str">
        <f t="shared" si="113"/>
        <v/>
      </c>
      <c r="S934" s="76" t="str">
        <f t="shared" si="114"/>
        <v/>
      </c>
      <c r="T934" s="76" t="str">
        <f t="shared" si="115"/>
        <v>-- 造血幹細胞移植（骨髄移植）（同種移植）_実施有無</v>
      </c>
      <c r="U934" s="4"/>
      <c r="AA934" s="4"/>
      <c r="AB934" s="4"/>
      <c r="AC934" s="4"/>
      <c r="AD934" s="4"/>
      <c r="AE934" s="4"/>
      <c r="AF934" s="4"/>
      <c r="AG934" s="4"/>
      <c r="AH934" s="4"/>
      <c r="AI934" s="4"/>
      <c r="AJ934" s="76" t="str">
        <f>IF(E934="○",IF(COUNTA(E$13:E934)=1,"",",")&amp;D934,"")</f>
        <v/>
      </c>
      <c r="AK934" s="4"/>
      <c r="AL934" s="4"/>
      <c r="AM934" s="4"/>
      <c r="AN934" s="4"/>
      <c r="AO934" s="4"/>
      <c r="AP934" s="4"/>
      <c r="AQ934" s="4"/>
      <c r="AR934" s="4"/>
      <c r="AS934" s="76" t="str">
        <f>"COMMENT ON COLUMN "&amp;エンティティ一覧!$O$2&amp;"."&amp;D$8&amp;"."&amp;D934&amp;" IS '"&amp;C934&amp;"';"</f>
        <v>COMMENT ON COLUMN milscm_2023_009.sny_202310_annony_bef2.bmt_allogeneic_flg IS '造血幹細胞移植（骨髄移植）（同種移植）_実施有無';</v>
      </c>
    </row>
    <row r="935" spans="1:52" s="25" customFormat="1" ht="31.5">
      <c r="A935" s="4"/>
      <c r="B935" s="21">
        <f t="shared" si="111"/>
        <v>923</v>
      </c>
      <c r="C935" s="13" t="s">
        <v>4632</v>
      </c>
      <c r="D935" s="13" t="s">
        <v>4547</v>
      </c>
      <c r="E935" s="7"/>
      <c r="F935" s="7" t="s">
        <v>4176</v>
      </c>
      <c r="G935" s="7" t="str">
        <f t="shared" si="119"/>
        <v>text</v>
      </c>
      <c r="H935" s="58"/>
      <c r="I935" s="23"/>
      <c r="J935" s="24"/>
      <c r="M935" s="4"/>
      <c r="N935" s="76"/>
      <c r="O935" s="76"/>
      <c r="P935" s="76" t="str">
        <f t="shared" si="117"/>
        <v>,bmt_autologous_flg</v>
      </c>
      <c r="Q935" s="76" t="str">
        <f t="shared" si="112"/>
        <v>TEXT</v>
      </c>
      <c r="R935" s="76" t="str">
        <f t="shared" si="113"/>
        <v/>
      </c>
      <c r="S935" s="76" t="str">
        <f t="shared" si="114"/>
        <v/>
      </c>
      <c r="T935" s="76" t="str">
        <f t="shared" si="115"/>
        <v>-- 造血幹細胞移植（骨髄移植）（自家移植）_実施有無</v>
      </c>
      <c r="U935" s="4"/>
      <c r="AA935" s="4"/>
      <c r="AB935" s="4"/>
      <c r="AC935" s="4"/>
      <c r="AD935" s="4"/>
      <c r="AE935" s="4"/>
      <c r="AF935" s="4"/>
      <c r="AG935" s="4"/>
      <c r="AH935" s="4"/>
      <c r="AI935" s="4"/>
      <c r="AJ935" s="76" t="str">
        <f>IF(E935="○",IF(COUNTA(E$13:E935)=1,"",",")&amp;D935,"")</f>
        <v/>
      </c>
      <c r="AK935" s="4"/>
      <c r="AL935" s="4"/>
      <c r="AM935" s="4"/>
      <c r="AN935" s="4"/>
      <c r="AO935" s="4"/>
      <c r="AP935" s="4"/>
      <c r="AQ935" s="4"/>
      <c r="AR935" s="4"/>
      <c r="AS935" s="76" t="str">
        <f>"COMMENT ON COLUMN "&amp;エンティティ一覧!$O$2&amp;"."&amp;D$8&amp;"."&amp;D935&amp;" IS '"&amp;C935&amp;"';"</f>
        <v>COMMENT ON COLUMN milscm_2023_009.sny_202310_annony_bef2.bmt_autologous_flg IS '造血幹細胞移植（骨髄移植）（自家移植）_実施有無';</v>
      </c>
    </row>
    <row r="936" spans="1:52" s="25" customFormat="1" ht="31.5">
      <c r="A936" s="4"/>
      <c r="B936" s="21">
        <f t="shared" si="111"/>
        <v>924</v>
      </c>
      <c r="C936" s="13" t="s">
        <v>4633</v>
      </c>
      <c r="D936" s="13" t="s">
        <v>4548</v>
      </c>
      <c r="E936" s="7"/>
      <c r="F936" s="7" t="s">
        <v>4176</v>
      </c>
      <c r="G936" s="7" t="str">
        <f t="shared" si="119"/>
        <v>text</v>
      </c>
      <c r="H936" s="58"/>
      <c r="I936" s="23"/>
      <c r="J936" s="24"/>
      <c r="M936" s="4"/>
      <c r="N936" s="76"/>
      <c r="O936" s="76"/>
      <c r="P936" s="76" t="str">
        <f t="shared" si="117"/>
        <v>,pbsct_autologous_flg</v>
      </c>
      <c r="Q936" s="76" t="str">
        <f t="shared" si="112"/>
        <v>TEXT</v>
      </c>
      <c r="R936" s="76" t="str">
        <f t="shared" si="113"/>
        <v/>
      </c>
      <c r="S936" s="76" t="str">
        <f t="shared" si="114"/>
        <v/>
      </c>
      <c r="T936" s="76" t="str">
        <f t="shared" si="115"/>
        <v>-- 造血幹細胞移植（末梢血幹細胞移植）（自家移植）_実施有無</v>
      </c>
      <c r="U936" s="4"/>
      <c r="AA936" s="4"/>
      <c r="AB936" s="4"/>
      <c r="AC936" s="4"/>
      <c r="AD936" s="4"/>
      <c r="AE936" s="4"/>
      <c r="AF936" s="4"/>
      <c r="AG936" s="4"/>
      <c r="AH936" s="4"/>
      <c r="AI936" s="4"/>
      <c r="AJ936" s="76" t="str">
        <f>IF(E936="○",IF(COUNTA(E$13:E936)=1,"",",")&amp;D936,"")</f>
        <v/>
      </c>
      <c r="AK936" s="4"/>
      <c r="AL936" s="4"/>
      <c r="AM936" s="4"/>
      <c r="AN936" s="4"/>
      <c r="AO936" s="4"/>
      <c r="AP936" s="4"/>
      <c r="AQ936" s="4"/>
      <c r="AR936" s="4"/>
      <c r="AS936" s="76" t="str">
        <f>"COMMENT ON COLUMN "&amp;エンティティ一覧!$O$2&amp;"."&amp;D$8&amp;"."&amp;D936&amp;" IS '"&amp;C936&amp;"';"</f>
        <v>COMMENT ON COLUMN milscm_2023_009.sny_202310_annony_bef2.pbsct_autologous_flg IS '造血幹細胞移植（末梢血幹細胞移植）（自家移植）_実施有無';</v>
      </c>
    </row>
    <row r="937" spans="1:52" s="25" customFormat="1" ht="31.5">
      <c r="A937" s="4"/>
      <c r="B937" s="21">
        <f t="shared" si="111"/>
        <v>925</v>
      </c>
      <c r="C937" s="13" t="s">
        <v>4634</v>
      </c>
      <c r="D937" s="13" t="s">
        <v>4559</v>
      </c>
      <c r="E937" s="7"/>
      <c r="F937" s="7" t="s">
        <v>4176</v>
      </c>
      <c r="G937" s="7" t="str">
        <f t="shared" si="119"/>
        <v>text</v>
      </c>
      <c r="H937" s="58"/>
      <c r="I937" s="23"/>
      <c r="J937" s="24"/>
      <c r="M937" s="4"/>
      <c r="N937" s="76"/>
      <c r="O937" s="76"/>
      <c r="P937" s="76" t="str">
        <f t="shared" si="117"/>
        <v>,pbsct_allogeneic_flg</v>
      </c>
      <c r="Q937" s="76" t="str">
        <f t="shared" si="112"/>
        <v>TEXT</v>
      </c>
      <c r="R937" s="76" t="str">
        <f t="shared" si="113"/>
        <v/>
      </c>
      <c r="S937" s="76" t="str">
        <f t="shared" si="114"/>
        <v/>
      </c>
      <c r="T937" s="76" t="str">
        <f t="shared" si="115"/>
        <v>-- 造血幹細胞移植（末梢血幹細胞移植）（同種移植）_実施有無</v>
      </c>
      <c r="U937" s="4"/>
      <c r="AA937" s="4"/>
      <c r="AB937" s="4"/>
      <c r="AC937" s="4"/>
      <c r="AD937" s="4"/>
      <c r="AE937" s="4"/>
      <c r="AF937" s="4"/>
      <c r="AG937" s="4"/>
      <c r="AH937" s="4"/>
      <c r="AI937" s="4"/>
      <c r="AJ937" s="76" t="str">
        <f>IF(E937="○",IF(COUNTA(E$13:E937)=1,"",",")&amp;D937,"")</f>
        <v/>
      </c>
      <c r="AK937" s="4"/>
      <c r="AL937" s="4"/>
      <c r="AM937" s="4"/>
      <c r="AN937" s="4"/>
      <c r="AO937" s="4"/>
      <c r="AP937" s="4"/>
      <c r="AQ937" s="4"/>
      <c r="AR937" s="4"/>
      <c r="AS937" s="76" t="str">
        <f>"COMMENT ON COLUMN "&amp;エンティティ一覧!$O$2&amp;"."&amp;D$8&amp;"."&amp;D937&amp;" IS '"&amp;C937&amp;"';"</f>
        <v>COMMENT ON COLUMN milscm_2023_009.sny_202310_annony_bef2.pbsct_allogeneic_flg IS '造血幹細胞移植（末梢血幹細胞移植）（同種移植）_実施有無';</v>
      </c>
    </row>
    <row r="938" spans="1:52" s="25" customFormat="1" ht="32.25" thickBot="1">
      <c r="A938" s="4"/>
      <c r="B938" s="27">
        <f>ROW()-12</f>
        <v>926</v>
      </c>
      <c r="C938" s="57" t="s">
        <v>4537</v>
      </c>
      <c r="D938" s="57" t="s">
        <v>4543</v>
      </c>
      <c r="E938" s="56"/>
      <c r="F938" s="56" t="s">
        <v>4176</v>
      </c>
      <c r="G938" s="56" t="str">
        <f t="shared" si="119"/>
        <v>text</v>
      </c>
      <c r="H938" s="59"/>
      <c r="I938" s="60"/>
      <c r="J938" s="64"/>
      <c r="N938" s="76"/>
      <c r="O938" s="76"/>
      <c r="P938" s="76" t="str">
        <f t="shared" si="117"/>
        <v>,ucbt_flg</v>
      </c>
      <c r="Q938" s="76" t="str">
        <f t="shared" si="112"/>
        <v>TEXT</v>
      </c>
      <c r="R938" s="76" t="str">
        <f t="shared" si="113"/>
        <v/>
      </c>
      <c r="S938" s="76" t="str">
        <f t="shared" si="114"/>
        <v/>
      </c>
      <c r="T938" s="76" t="str">
        <f t="shared" si="115"/>
        <v>-- 造血幹細胞移植（臍帯血移植）_実施有無</v>
      </c>
      <c r="U938" s="4"/>
      <c r="AA938" s="4"/>
      <c r="AB938" s="4"/>
      <c r="AC938" s="4"/>
      <c r="AD938" s="4"/>
      <c r="AE938" s="4"/>
      <c r="AF938" s="4"/>
      <c r="AG938" s="4"/>
      <c r="AH938" s="4"/>
      <c r="AI938" s="4"/>
      <c r="AJ938" s="76" t="str">
        <f>IF(E938="○",IF(COUNTA(E$13:E938)=1,"",",")&amp;D938,"")</f>
        <v/>
      </c>
      <c r="AK938" s="4"/>
      <c r="AL938" s="4"/>
      <c r="AM938" s="4"/>
      <c r="AN938" s="4"/>
      <c r="AO938" s="4"/>
      <c r="AP938" s="4"/>
      <c r="AQ938" s="4"/>
      <c r="AR938" s="4"/>
      <c r="AS938" s="76" t="str">
        <f>"COMMENT ON COLUMN "&amp;エンティティ一覧!$O$2&amp;"."&amp;D$8&amp;"."&amp;D938&amp;" IS '"&amp;C938&amp;"';"</f>
        <v>COMMENT ON COLUMN milscm_2023_009.sny_202310_annony_bef2.ucbt_flg IS '造血幹細胞移植（臍帯血移植）_実施有無';</v>
      </c>
    </row>
    <row r="939" spans="1:52">
      <c r="L939" s="25"/>
      <c r="M939" s="25"/>
      <c r="N939" s="76" t="s">
        <v>142</v>
      </c>
      <c r="O939" s="76"/>
      <c r="P939" s="76"/>
      <c r="Q939" s="76"/>
      <c r="R939" s="76"/>
      <c r="S939" s="76"/>
      <c r="T939" s="76"/>
      <c r="V939" s="25"/>
      <c r="W939" s="25"/>
      <c r="X939" s="25"/>
      <c r="Y939" s="25"/>
      <c r="Z939" s="25"/>
      <c r="AJ939" s="76" t="s">
        <v>142</v>
      </c>
      <c r="AT939" s="25"/>
      <c r="AU939" s="25"/>
      <c r="AV939" s="25"/>
      <c r="AW939" s="25"/>
      <c r="AX939" s="25"/>
      <c r="AY939" s="25"/>
      <c r="AZ939" s="25"/>
    </row>
    <row r="940" spans="1:52">
      <c r="L940" s="25"/>
      <c r="M940" s="25"/>
      <c r="AT940" s="25"/>
      <c r="AU940" s="25"/>
      <c r="AV940" s="25"/>
      <c r="AW940" s="25"/>
      <c r="AX940" s="25"/>
      <c r="AY940" s="25"/>
      <c r="AZ940" s="25"/>
    </row>
    <row r="941" spans="1:52">
      <c r="L941" s="25"/>
      <c r="M941" s="25"/>
      <c r="AT941" s="25"/>
      <c r="AU941" s="25"/>
      <c r="AV941" s="25"/>
      <c r="AW941" s="25"/>
      <c r="AX941" s="25"/>
      <c r="AY941" s="25"/>
      <c r="AZ941" s="25"/>
    </row>
    <row r="942" spans="1:52">
      <c r="L942" s="25"/>
      <c r="M942" s="25"/>
      <c r="AT942" s="25"/>
      <c r="AU942" s="25"/>
      <c r="AV942" s="25"/>
      <c r="AW942" s="25"/>
      <c r="AX942" s="25"/>
      <c r="AY942" s="25"/>
      <c r="AZ942" s="25"/>
    </row>
    <row r="943" spans="1:52">
      <c r="L943" s="25"/>
      <c r="M943" s="25"/>
      <c r="AT943" s="25"/>
      <c r="AU943" s="25"/>
      <c r="AV943" s="25"/>
      <c r="AW943" s="25"/>
      <c r="AX943" s="25"/>
      <c r="AY943" s="25"/>
      <c r="AZ943" s="25"/>
    </row>
    <row r="944" spans="1:52">
      <c r="L944" s="25"/>
      <c r="M944" s="25"/>
      <c r="AT944" s="25"/>
      <c r="AU944" s="25"/>
      <c r="AV944" s="25"/>
      <c r="AW944" s="25"/>
      <c r="AX944" s="25"/>
      <c r="AY944" s="25"/>
      <c r="AZ944" s="25"/>
    </row>
    <row r="945" spans="12:52">
      <c r="L945" s="25"/>
      <c r="M945" s="25"/>
      <c r="AT945" s="25"/>
      <c r="AU945" s="25"/>
      <c r="AV945" s="25"/>
      <c r="AW945" s="25"/>
      <c r="AX945" s="25"/>
      <c r="AY945" s="25"/>
      <c r="AZ945" s="25"/>
    </row>
    <row r="946" spans="12:52">
      <c r="L946" s="25"/>
      <c r="M946" s="25"/>
      <c r="AT946" s="25"/>
      <c r="AU946" s="25"/>
      <c r="AV946" s="25"/>
      <c r="AW946" s="25"/>
      <c r="AX946" s="25"/>
      <c r="AY946" s="25"/>
      <c r="AZ946" s="25"/>
    </row>
    <row r="947" spans="12:52">
      <c r="L947" s="25"/>
      <c r="M947" s="25"/>
      <c r="AT947" s="25"/>
      <c r="AU947" s="25"/>
      <c r="AV947" s="25"/>
      <c r="AW947" s="25"/>
      <c r="AX947" s="25"/>
      <c r="AY947" s="25"/>
      <c r="AZ947" s="25"/>
    </row>
    <row r="948" spans="12:52">
      <c r="L948" s="25"/>
      <c r="M948" s="25"/>
      <c r="AT948" s="25"/>
      <c r="AU948" s="25"/>
      <c r="AV948" s="25"/>
      <c r="AW948" s="25"/>
      <c r="AX948" s="25"/>
      <c r="AY948" s="25"/>
      <c r="AZ948" s="25"/>
    </row>
    <row r="949" spans="12:52">
      <c r="L949" s="25"/>
      <c r="M949" s="25"/>
      <c r="AV949" s="25"/>
      <c r="AW949" s="25"/>
      <c r="AX949" s="25"/>
      <c r="AY949" s="25"/>
      <c r="AZ949" s="25"/>
    </row>
    <row r="950" spans="12:52">
      <c r="M950" s="25"/>
    </row>
    <row r="951" spans="12:52">
      <c r="M951" s="25"/>
    </row>
    <row r="952" spans="12:52">
      <c r="M952" s="25"/>
    </row>
    <row r="953" spans="12:52">
      <c r="M953" s="25"/>
    </row>
    <row r="954" spans="12:52">
      <c r="M954" s="25"/>
    </row>
    <row r="955" spans="12:52">
      <c r="M9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55"/>
  <sheetViews>
    <sheetView showGridLines="0" topLeftCell="A895" zoomScale="85" zoomScaleNormal="85" workbookViewId="0">
      <selection activeCell="A19" sqref="A19:XFD90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51" t="s">
        <v>110</v>
      </c>
      <c r="C1" s="252"/>
      <c r="D1" s="255" t="s">
        <v>111</v>
      </c>
      <c r="E1" s="256"/>
      <c r="F1" s="256"/>
      <c r="G1" s="247"/>
      <c r="H1" s="255" t="s">
        <v>112</v>
      </c>
      <c r="I1" s="247"/>
      <c r="J1" s="15" t="s">
        <v>113</v>
      </c>
    </row>
    <row r="2" spans="1:45" ht="19.5" thickBot="1">
      <c r="B2" s="253"/>
      <c r="C2" s="254"/>
      <c r="D2" s="257" t="s">
        <v>114</v>
      </c>
      <c r="E2" s="258"/>
      <c r="F2" s="258"/>
      <c r="G2" s="259"/>
      <c r="H2" s="260"/>
      <c r="I2" s="261"/>
      <c r="J2" s="17"/>
    </row>
    <row r="3" spans="1:45" ht="19.5" thickBot="1">
      <c r="B3" s="5"/>
      <c r="C3" s="5"/>
      <c r="D3" s="5"/>
      <c r="E3" s="5"/>
      <c r="F3" s="5"/>
      <c r="G3" s="5"/>
      <c r="H3" s="5"/>
      <c r="I3" s="5"/>
      <c r="J3" s="18"/>
    </row>
    <row r="4" spans="1:45">
      <c r="B4" s="246" t="s">
        <v>3701</v>
      </c>
      <c r="C4" s="247"/>
      <c r="D4" s="248" t="str">
        <f>VLOOKUP(D7,エンティティ一覧!A1:'エンティティ一覧'!AM10204,2,FALSE)</f>
        <v>61</v>
      </c>
      <c r="E4" s="249"/>
      <c r="F4" s="249"/>
      <c r="G4" s="249"/>
      <c r="H4" s="249"/>
      <c r="I4" s="249"/>
      <c r="J4" s="250"/>
    </row>
    <row r="5" spans="1:45">
      <c r="B5" s="262" t="s">
        <v>3702</v>
      </c>
      <c r="C5" s="263"/>
      <c r="D5" s="272" t="str">
        <f>VLOOKUP(D7,エンティティ一覧!A1:'エンティティ一覧'!AM10204,7,FALSE)</f>
        <v>annony</v>
      </c>
      <c r="E5" s="273"/>
      <c r="F5" s="273"/>
      <c r="G5" s="273"/>
      <c r="H5" s="273"/>
      <c r="I5" s="273"/>
      <c r="J5" s="274"/>
    </row>
    <row r="6" spans="1:45">
      <c r="B6" s="262" t="s">
        <v>3703</v>
      </c>
      <c r="C6" s="263"/>
      <c r="D6" s="272" t="str">
        <f>VLOOKUP(D7,エンティティ一覧!A1:'エンティティ一覧'!AM10204,15,FALSE)</f>
        <v>ENT_61_12</v>
      </c>
      <c r="E6" s="273"/>
      <c r="F6" s="273"/>
      <c r="G6" s="273"/>
      <c r="H6" s="273"/>
      <c r="I6" s="273"/>
      <c r="J6" s="274"/>
    </row>
    <row r="7" spans="1:45">
      <c r="B7" s="262" t="s">
        <v>115</v>
      </c>
      <c r="C7" s="263"/>
      <c r="D7" s="264" t="s">
        <v>5160</v>
      </c>
      <c r="E7" s="265"/>
      <c r="F7" s="265"/>
      <c r="G7" s="265"/>
      <c r="H7" s="265"/>
      <c r="I7" s="265"/>
      <c r="J7" s="266"/>
    </row>
    <row r="8" spans="1:45">
      <c r="B8" s="262" t="s">
        <v>116</v>
      </c>
      <c r="C8" s="263"/>
      <c r="D8" s="264" t="str">
        <f>エンティティ一覧!AE2&amp;"_"&amp;D5&amp;"_non_annony2"</f>
        <v>sny_202310_annony_non_annony2</v>
      </c>
      <c r="E8" s="265"/>
      <c r="F8" s="265"/>
      <c r="G8" s="265"/>
      <c r="H8" s="265"/>
      <c r="I8" s="265"/>
      <c r="J8" s="266"/>
    </row>
    <row r="9" spans="1:45" ht="19.5" customHeight="1" thickBot="1">
      <c r="B9" s="267" t="s">
        <v>117</v>
      </c>
      <c r="C9" s="268"/>
      <c r="D9" s="269"/>
      <c r="E9" s="270"/>
      <c r="F9" s="270"/>
      <c r="G9" s="270"/>
      <c r="H9" s="270"/>
      <c r="I9" s="270"/>
      <c r="J9" s="271"/>
    </row>
    <row r="10" spans="1:45">
      <c r="B10" s="19"/>
      <c r="C10" s="19"/>
      <c r="D10" s="5"/>
      <c r="E10" s="5"/>
      <c r="F10" s="5"/>
      <c r="G10" s="5"/>
      <c r="H10" s="5"/>
      <c r="I10" s="5"/>
      <c r="J10" s="18"/>
      <c r="N10" s="76" t="str">
        <f>"--DROP TABLE  "&amp;エンティティ一覧!$O$2&amp;"."&amp;D$8&amp;";"</f>
        <v>--DROP TABLE  milscm_2023_009.sny_202310_annony_non_annony2;</v>
      </c>
      <c r="O10" s="76"/>
      <c r="P10" s="76"/>
      <c r="Q10" s="76"/>
      <c r="R10" s="76"/>
      <c r="S10" s="76"/>
      <c r="T10" s="76"/>
      <c r="AJ10" s="76" t="str">
        <f>"ALTER TABLE ONLY "&amp;エンティティ一覧!$O$2&amp;"."&amp;D$8</f>
        <v>ALTER TABLE ONLY milscm_2023_009.sny_202310_annony_non_annony2</v>
      </c>
      <c r="AS10" s="76" t="str">
        <f>"ALTER TABLE "&amp;エンティティ一覧!$O$2&amp;"."&amp;D$8&amp;" OWNER TO pgmisgrp1;"</f>
        <v>ALTER TABLE milscm_2023_009.sny_202310_annony_non_annony2 OWNER TO pgmisgrp1;</v>
      </c>
    </row>
    <row r="11" spans="1:45" ht="19.5" thickBot="1">
      <c r="B11" s="20" t="s">
        <v>118</v>
      </c>
      <c r="C11" s="19"/>
      <c r="D11" s="5"/>
      <c r="E11" s="5"/>
      <c r="F11" s="5"/>
      <c r="G11" s="5"/>
      <c r="H11" s="5"/>
      <c r="I11" s="5"/>
      <c r="J11" s="18"/>
      <c r="N11" s="76" t="str">
        <f>"CREATE TABLE  "&amp;エンティティ一覧!$O$2&amp;"."&amp;D$8</f>
        <v>CREATE TABLE  milscm_2023_009.sny_202310_annony_non_annony2</v>
      </c>
      <c r="O11" s="76"/>
      <c r="P11" s="76"/>
      <c r="Q11" s="76"/>
      <c r="R11" s="76"/>
      <c r="S11" s="76"/>
      <c r="T11" s="76"/>
      <c r="AJ11" s="76" t="str">
        <f>"ADD CONSTRAINT "&amp;D$8&amp;"_pkey PRIMARY KEY"</f>
        <v>ADD CONSTRAINT sny_202310_annony_non_annony2_pkey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milscm_2023_009.sny_202310_annony_non_annony2 IS '匿名化_未加工データ2';</v>
      </c>
    </row>
    <row r="13" spans="1:45" s="25" customFormat="1">
      <c r="A13" s="4"/>
      <c r="B13" s="21">
        <f>ROW()-12</f>
        <v>1</v>
      </c>
      <c r="C13" s="6" t="s">
        <v>4071</v>
      </c>
      <c r="D13" s="6" t="s">
        <v>4072</v>
      </c>
      <c r="E13" s="8" t="s">
        <v>127</v>
      </c>
      <c r="F13" s="8" t="s">
        <v>4176</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milscm_2023_009.sny_202310_annony_non_annony2.mask_id IS 'マスクID';</v>
      </c>
    </row>
    <row r="14" spans="1:45" s="25" customFormat="1">
      <c r="A14" s="4"/>
      <c r="B14" s="21">
        <f t="shared" ref="B14:B17" si="2">ROW()-12</f>
        <v>2</v>
      </c>
      <c r="C14" s="13" t="s">
        <v>4177</v>
      </c>
      <c r="D14" s="13" t="s">
        <v>945</v>
      </c>
      <c r="E14" s="7"/>
      <c r="F14" s="7" t="s">
        <v>1780</v>
      </c>
      <c r="G14" s="7" t="str">
        <f t="shared" ref="G14:G15" si="3">IF(F14="フラグ","boolean",IF(F14="文字列","text",IF(F14="整数","integer",IF(F14="実数","numeric",""))))</f>
        <v>text</v>
      </c>
      <c r="H14" s="58"/>
      <c r="I14" s="23" t="s">
        <v>127</v>
      </c>
      <c r="J14" s="24" t="s">
        <v>4635</v>
      </c>
      <c r="M14" s="4"/>
      <c r="N14" s="76"/>
      <c r="O14" s="76"/>
      <c r="P14" s="76" t="str">
        <f t="shared" ref="P14:P18" si="4">IF(B14&lt;&gt;1,","&amp;D14,D14)</f>
        <v>,sex_kubun</v>
      </c>
      <c r="Q14" s="76" t="str">
        <f t="shared" si="0"/>
        <v>TEXT</v>
      </c>
      <c r="R14" s="76" t="str">
        <f t="shared" si="1"/>
        <v/>
      </c>
      <c r="S14" s="76" t="str">
        <f t="shared" ref="S14:S18" si="5">IF(I14="○","NOT NULL","")</f>
        <v>NOT NULL</v>
      </c>
      <c r="T14" s="76" t="str">
        <f t="shared" ref="T14:T18" si="6">"-- "&amp;C14</f>
        <v>-- 男女区分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milscm_2023_009.sny_202310_annony_non_annony2.sex_kubun IS '男女区分';</v>
      </c>
    </row>
    <row r="15" spans="1:45" s="25" customFormat="1">
      <c r="A15" s="4"/>
      <c r="B15" s="21">
        <f t="shared" si="2"/>
        <v>3</v>
      </c>
      <c r="C15" s="13" t="s">
        <v>4316</v>
      </c>
      <c r="D15" s="13" t="s">
        <v>4315</v>
      </c>
      <c r="E15" s="7"/>
      <c r="F15" s="7" t="s">
        <v>4302</v>
      </c>
      <c r="G15" s="7" t="str">
        <f t="shared" si="3"/>
        <v>integer</v>
      </c>
      <c r="H15" s="58"/>
      <c r="I15" s="23" t="s">
        <v>127</v>
      </c>
      <c r="J15" s="24"/>
      <c r="M15" s="4"/>
      <c r="N15" s="76"/>
      <c r="O15" s="76"/>
      <c r="P15" s="76" t="str">
        <f t="shared" si="4"/>
        <v>,age</v>
      </c>
      <c r="Q15" s="76" t="str">
        <f t="shared" si="0"/>
        <v>INTEGER</v>
      </c>
      <c r="R15" s="76" t="str">
        <f t="shared" si="1"/>
        <v/>
      </c>
      <c r="S15" s="76" t="str">
        <f t="shared" si="5"/>
        <v>NOT NULL</v>
      </c>
      <c r="T15" s="76" t="str">
        <f t="shared" si="6"/>
        <v>-- 年齢</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milscm_2023_009.sny_202310_annony_non_annony2.age IS '年齢';</v>
      </c>
    </row>
    <row r="16" spans="1:45" s="25" customFormat="1">
      <c r="A16" s="4"/>
      <c r="B16" s="21">
        <f t="shared" si="2"/>
        <v>4</v>
      </c>
      <c r="C16" s="13" t="s">
        <v>4588</v>
      </c>
      <c r="D16" s="13" t="s">
        <v>4297</v>
      </c>
      <c r="E16" s="7"/>
      <c r="F16" s="7" t="s">
        <v>4216</v>
      </c>
      <c r="G16" s="7" t="s">
        <v>4443</v>
      </c>
      <c r="H16" s="58"/>
      <c r="I16" s="23" t="s">
        <v>127</v>
      </c>
      <c r="J16" s="24"/>
      <c r="M16" s="4"/>
      <c r="N16" s="76"/>
      <c r="O16" s="76"/>
      <c r="P16" s="76" t="str">
        <f t="shared" si="4"/>
        <v>,kansatsu_start_date</v>
      </c>
      <c r="Q16" s="76" t="str">
        <f t="shared" si="0"/>
        <v>DATE</v>
      </c>
      <c r="R16" s="76" t="str">
        <f t="shared" si="1"/>
        <v/>
      </c>
      <c r="S16" s="76" t="str">
        <f t="shared" si="5"/>
        <v>NOT NULL</v>
      </c>
      <c r="T16" s="76" t="str">
        <f t="shared" si="6"/>
        <v>-- 観察開始日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milscm_2023_009.sny_202310_annony_non_annony2.kansatsu_start_date IS '観察開始日';</v>
      </c>
    </row>
    <row r="17" spans="1:45" s="25" customFormat="1">
      <c r="A17" s="4"/>
      <c r="B17" s="21">
        <f t="shared" si="2"/>
        <v>5</v>
      </c>
      <c r="C17" s="13" t="s">
        <v>4589</v>
      </c>
      <c r="D17" s="13" t="s">
        <v>4298</v>
      </c>
      <c r="E17" s="7"/>
      <c r="F17" s="7" t="s">
        <v>4216</v>
      </c>
      <c r="G17" s="7" t="s">
        <v>25</v>
      </c>
      <c r="H17" s="58"/>
      <c r="I17" s="23" t="s">
        <v>127</v>
      </c>
      <c r="J17" s="24"/>
      <c r="M17" s="4"/>
      <c r="N17" s="76"/>
      <c r="O17" s="76"/>
      <c r="P17" s="76" t="str">
        <f t="shared" si="4"/>
        <v>,kansatsu_end_date</v>
      </c>
      <c r="Q17" s="76" t="str">
        <f t="shared" si="0"/>
        <v>DATE</v>
      </c>
      <c r="R17" s="76" t="str">
        <f t="shared" si="1"/>
        <v/>
      </c>
      <c r="S17" s="76" t="str">
        <f t="shared" si="5"/>
        <v>NOT NULL</v>
      </c>
      <c r="T17" s="76" t="str">
        <f t="shared" si="6"/>
        <v>-- 観察終了日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milscm_2023_009.sny_202310_annony_non_annony2.kansatsu_end_date IS '観察終了日';</v>
      </c>
    </row>
    <row r="18" spans="1:45" s="25" customFormat="1" ht="31.5">
      <c r="A18" s="4"/>
      <c r="B18" s="21">
        <f>ROW()-12</f>
        <v>6</v>
      </c>
      <c r="C18" s="13" t="s">
        <v>4590</v>
      </c>
      <c r="D18" s="13" t="s">
        <v>4320</v>
      </c>
      <c r="E18" s="7"/>
      <c r="F18" s="7" t="s">
        <v>4216</v>
      </c>
      <c r="G18" s="7" t="s">
        <v>25</v>
      </c>
      <c r="H18" s="58"/>
      <c r="I18" s="23" t="s">
        <v>127</v>
      </c>
      <c r="J18" s="24"/>
      <c r="N18" s="76"/>
      <c r="O18" s="76"/>
      <c r="P18" s="76" t="str">
        <f t="shared" si="4"/>
        <v>,main_diagnosis_start_date</v>
      </c>
      <c r="Q18" s="76" t="str">
        <f t="shared" si="0"/>
        <v>DATE</v>
      </c>
      <c r="R18" s="76" t="str">
        <f t="shared" si="1"/>
        <v/>
      </c>
      <c r="S18" s="76" t="str">
        <f t="shared" si="5"/>
        <v>NOT NULL</v>
      </c>
      <c r="T18" s="76" t="str">
        <f t="shared" si="6"/>
        <v>-- 主傷病開始日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milscm_2023_009.sny_202310_annony_non_annony2.main_diagnosis_start_date IS '主傷病開始日';</v>
      </c>
    </row>
    <row r="19" spans="1:45" s="25" customFormat="1">
      <c r="A19" s="4" t="s">
        <v>5161</v>
      </c>
      <c r="B19" s="21">
        <f t="shared" ref="B19:B83" si="7">ROW()-12</f>
        <v>7</v>
      </c>
      <c r="C19" s="13" t="str">
        <f>A19&amp;"_疾患開始日"</f>
        <v>B180_疾患開始日</v>
      </c>
      <c r="D19" s="13" t="s">
        <v>4769</v>
      </c>
      <c r="E19" s="8"/>
      <c r="F19" s="7" t="s">
        <v>4348</v>
      </c>
      <c r="G19" s="7" t="s">
        <v>99</v>
      </c>
      <c r="H19" s="58"/>
      <c r="I19" s="23"/>
      <c r="J19" s="24"/>
      <c r="M19" s="4"/>
      <c r="N19" s="76"/>
      <c r="O19" s="76"/>
      <c r="P19" s="76" t="str">
        <f t="shared" ref="P19:P908" si="8">IF(B19&lt;&gt;1,","&amp;D19,D19)</f>
        <v>,shikkan1_start_date</v>
      </c>
      <c r="Q19" s="76" t="str">
        <f t="shared" ref="Q19:Q908" si="9">UPPER(G19)</f>
        <v>DATE</v>
      </c>
      <c r="R19" s="76" t="str">
        <f t="shared" ref="R19:R908" si="10">IF(H19&lt;&gt;"","default "&amp;IF(G19="text","'"&amp;H19&amp;"'",H19),"")</f>
        <v/>
      </c>
      <c r="S19" s="76" t="str">
        <f t="shared" ref="S19:S908" si="11">IF(I19="○","NOT NULL","")</f>
        <v/>
      </c>
      <c r="T19" s="76" t="str">
        <f t="shared" ref="T19:T908" si="12">"-- "&amp;C19</f>
        <v>-- B180_疾患開始日</v>
      </c>
      <c r="U19" s="4" t="str">
        <f>", CASE WHEN shikkan_disp_name = '"&amp;A19&amp;"' THEN min_shikkan_start_date ::DATE ELSE NULL END AS "&amp;D19</f>
        <v>, CASE WHEN shikkan_disp_name = 'B180' THEN min_shikkan_start_date ::DATE ELSE NULL END AS shikkan1_start_date</v>
      </c>
      <c r="V19" s="25" t="str">
        <f>", max("&amp;D19&amp;")"</f>
        <v>, max(shikkan1_start_date)</v>
      </c>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milscm_2023_009.sny_202310_annony_non_annony2.shikkan1_start_date IS 'B180_疾患開始日';</v>
      </c>
    </row>
    <row r="20" spans="1:45" s="25" customFormat="1">
      <c r="A20" s="4" t="s">
        <v>5162</v>
      </c>
      <c r="B20" s="21">
        <f t="shared" si="7"/>
        <v>8</v>
      </c>
      <c r="C20" s="13" t="str">
        <f t="shared" ref="C20:C83" si="13">A20&amp;"_疾患開始日"</f>
        <v>B181_疾患開始日</v>
      </c>
      <c r="D20" s="13" t="s">
        <v>4770</v>
      </c>
      <c r="E20" s="8"/>
      <c r="F20" s="7" t="s">
        <v>4348</v>
      </c>
      <c r="G20" s="7" t="s">
        <v>25</v>
      </c>
      <c r="H20" s="58"/>
      <c r="I20" s="23"/>
      <c r="J20" s="24"/>
      <c r="M20" s="4"/>
      <c r="N20" s="76"/>
      <c r="O20" s="76"/>
      <c r="P20" s="76" t="str">
        <f t="shared" si="8"/>
        <v>,shikkan2_start_date</v>
      </c>
      <c r="Q20" s="76" t="str">
        <f t="shared" si="9"/>
        <v>DATE</v>
      </c>
      <c r="R20" s="76" t="str">
        <f t="shared" si="10"/>
        <v/>
      </c>
      <c r="S20" s="76" t="str">
        <f t="shared" si="11"/>
        <v/>
      </c>
      <c r="T20" s="76" t="str">
        <f t="shared" si="12"/>
        <v>-- B181_疾患開始日</v>
      </c>
      <c r="U20" s="4" t="str">
        <f t="shared" ref="U20:U83" si="14">", CASE WHEN shikkan_disp_name = '"&amp;A20&amp;"' THEN min_shikkan_start_date ::DATE ELSE NULL END AS "&amp;D20</f>
        <v>, CASE WHEN shikkan_disp_name = 'B181' THEN min_shikkan_start_date ::DATE ELSE NULL END AS shikkan2_start_date</v>
      </c>
      <c r="V20" s="25" t="str">
        <f t="shared" ref="V20:V83" si="15">", max("&amp;D20&amp;")"</f>
        <v>, max(shikkan2_start_date)</v>
      </c>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milscm_2023_009.sny_202310_annony_non_annony2.shikkan2_start_date IS 'B181_疾患開始日';</v>
      </c>
    </row>
    <row r="21" spans="1:45" s="25" customFormat="1">
      <c r="A21" s="4" t="s">
        <v>5163</v>
      </c>
      <c r="B21" s="21">
        <f t="shared" si="7"/>
        <v>9</v>
      </c>
      <c r="C21" s="13" t="str">
        <f t="shared" si="13"/>
        <v>B182_疾患開始日</v>
      </c>
      <c r="D21" s="13" t="s">
        <v>4771</v>
      </c>
      <c r="E21" s="8"/>
      <c r="F21" s="7" t="s">
        <v>4348</v>
      </c>
      <c r="G21" s="7" t="s">
        <v>25</v>
      </c>
      <c r="H21" s="58"/>
      <c r="I21" s="23"/>
      <c r="J21" s="24"/>
      <c r="M21" s="4"/>
      <c r="N21" s="76"/>
      <c r="O21" s="76"/>
      <c r="P21" s="76" t="str">
        <f t="shared" si="8"/>
        <v>,shikkan3_start_date</v>
      </c>
      <c r="Q21" s="76" t="str">
        <f t="shared" si="9"/>
        <v>DATE</v>
      </c>
      <c r="R21" s="76" t="str">
        <f t="shared" si="10"/>
        <v/>
      </c>
      <c r="S21" s="76" t="str">
        <f t="shared" si="11"/>
        <v/>
      </c>
      <c r="T21" s="76" t="str">
        <f t="shared" si="12"/>
        <v>-- B182_疾患開始日</v>
      </c>
      <c r="U21" s="4" t="str">
        <f t="shared" si="14"/>
        <v>, CASE WHEN shikkan_disp_name = 'B182' THEN min_shikkan_start_date ::DATE ELSE NULL END AS shikkan3_start_date</v>
      </c>
      <c r="V21" s="25" t="str">
        <f t="shared" si="15"/>
        <v>, max(shikkan3_start_date)</v>
      </c>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milscm_2023_009.sny_202310_annony_non_annony2.shikkan3_start_date IS 'B182_疾患開始日';</v>
      </c>
    </row>
    <row r="22" spans="1:45" s="25" customFormat="1">
      <c r="A22" s="4" t="s">
        <v>5164</v>
      </c>
      <c r="B22" s="21">
        <f t="shared" si="7"/>
        <v>10</v>
      </c>
      <c r="C22" s="13" t="str">
        <f t="shared" si="13"/>
        <v>B188_疾患開始日</v>
      </c>
      <c r="D22" s="13" t="s">
        <v>4772</v>
      </c>
      <c r="E22" s="8"/>
      <c r="F22" s="7" t="s">
        <v>4348</v>
      </c>
      <c r="G22" s="7" t="s">
        <v>25</v>
      </c>
      <c r="H22" s="58"/>
      <c r="I22" s="23"/>
      <c r="J22" s="24"/>
      <c r="M22" s="4"/>
      <c r="N22" s="76"/>
      <c r="O22" s="76"/>
      <c r="P22" s="76" t="str">
        <f t="shared" si="8"/>
        <v>,shikkan4_start_date</v>
      </c>
      <c r="Q22" s="76" t="str">
        <f t="shared" si="9"/>
        <v>DATE</v>
      </c>
      <c r="R22" s="76" t="str">
        <f t="shared" si="10"/>
        <v/>
      </c>
      <c r="S22" s="76" t="str">
        <f t="shared" si="11"/>
        <v/>
      </c>
      <c r="T22" s="76" t="str">
        <f t="shared" si="12"/>
        <v>-- B188_疾患開始日</v>
      </c>
      <c r="U22" s="4" t="str">
        <f t="shared" si="14"/>
        <v>, CASE WHEN shikkan_disp_name = 'B188' THEN min_shikkan_start_date ::DATE ELSE NULL END AS shikkan4_start_date</v>
      </c>
      <c r="V22" s="25" t="str">
        <f t="shared" si="15"/>
        <v>, max(shikkan4_start_date)</v>
      </c>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milscm_2023_009.sny_202310_annony_non_annony2.shikkan4_start_date IS 'B188_疾患開始日';</v>
      </c>
    </row>
    <row r="23" spans="1:45" s="25" customFormat="1">
      <c r="A23" s="4" t="s">
        <v>5165</v>
      </c>
      <c r="B23" s="21">
        <f t="shared" si="7"/>
        <v>11</v>
      </c>
      <c r="C23" s="13" t="str">
        <f t="shared" si="13"/>
        <v>B189_疾患開始日</v>
      </c>
      <c r="D23" s="13" t="s">
        <v>4773</v>
      </c>
      <c r="E23" s="8"/>
      <c r="F23" s="7" t="s">
        <v>4348</v>
      </c>
      <c r="G23" s="7" t="s">
        <v>25</v>
      </c>
      <c r="H23" s="58"/>
      <c r="I23" s="23"/>
      <c r="J23" s="24"/>
      <c r="M23" s="4"/>
      <c r="N23" s="76"/>
      <c r="O23" s="76"/>
      <c r="P23" s="76" t="str">
        <f t="shared" si="8"/>
        <v>,shikkan5_start_date</v>
      </c>
      <c r="Q23" s="76" t="str">
        <f t="shared" si="9"/>
        <v>DATE</v>
      </c>
      <c r="R23" s="76" t="str">
        <f t="shared" si="10"/>
        <v/>
      </c>
      <c r="S23" s="76" t="str">
        <f t="shared" si="11"/>
        <v/>
      </c>
      <c r="T23" s="76" t="str">
        <f t="shared" si="12"/>
        <v>-- B189_疾患開始日</v>
      </c>
      <c r="U23" s="4" t="str">
        <f t="shared" si="14"/>
        <v>, CASE WHEN shikkan_disp_name = 'B189' THEN min_shikkan_start_date ::DATE ELSE NULL END AS shikkan5_start_date</v>
      </c>
      <c r="V23" s="25" t="str">
        <f t="shared" si="15"/>
        <v>, max(shikkan5_start_date)</v>
      </c>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milscm_2023_009.sny_202310_annony_non_annony2.shikkan5_start_date IS 'B189_疾患開始日';</v>
      </c>
    </row>
    <row r="24" spans="1:45" s="25" customFormat="1">
      <c r="A24" s="4" t="s">
        <v>5166</v>
      </c>
      <c r="B24" s="21">
        <f t="shared" si="7"/>
        <v>12</v>
      </c>
      <c r="C24" s="13" t="str">
        <f t="shared" si="13"/>
        <v>B200_疾患開始日</v>
      </c>
      <c r="D24" s="13" t="s">
        <v>4774</v>
      </c>
      <c r="E24" s="8"/>
      <c r="F24" s="7" t="s">
        <v>4348</v>
      </c>
      <c r="G24" s="7" t="s">
        <v>25</v>
      </c>
      <c r="H24" s="58"/>
      <c r="I24" s="23"/>
      <c r="J24" s="24"/>
      <c r="M24" s="4"/>
      <c r="N24" s="76"/>
      <c r="O24" s="76"/>
      <c r="P24" s="76" t="str">
        <f t="shared" si="8"/>
        <v>,shikkan6_start_date</v>
      </c>
      <c r="Q24" s="76" t="str">
        <f t="shared" si="9"/>
        <v>DATE</v>
      </c>
      <c r="R24" s="76" t="str">
        <f t="shared" si="10"/>
        <v/>
      </c>
      <c r="S24" s="76" t="str">
        <f t="shared" si="11"/>
        <v/>
      </c>
      <c r="T24" s="76" t="str">
        <f t="shared" si="12"/>
        <v>-- B200_疾患開始日</v>
      </c>
      <c r="U24" s="4" t="str">
        <f t="shared" si="14"/>
        <v>, CASE WHEN shikkan_disp_name = 'B200' THEN min_shikkan_start_date ::DATE ELSE NULL END AS shikkan6_start_date</v>
      </c>
      <c r="V24" s="25" t="str">
        <f t="shared" si="15"/>
        <v>, max(shikkan6_start_date)</v>
      </c>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milscm_2023_009.sny_202310_annony_non_annony2.shikkan6_start_date IS 'B200_疾患開始日';</v>
      </c>
    </row>
    <row r="25" spans="1:45" s="25" customFormat="1">
      <c r="A25" s="4" t="s">
        <v>5167</v>
      </c>
      <c r="B25" s="21">
        <f t="shared" si="7"/>
        <v>13</v>
      </c>
      <c r="C25" s="13" t="str">
        <f t="shared" si="13"/>
        <v>B201_疾患開始日</v>
      </c>
      <c r="D25" s="13" t="s">
        <v>4775</v>
      </c>
      <c r="E25" s="8"/>
      <c r="F25" s="7" t="s">
        <v>4348</v>
      </c>
      <c r="G25" s="7" t="s">
        <v>25</v>
      </c>
      <c r="H25" s="58"/>
      <c r="I25" s="23"/>
      <c r="J25" s="24"/>
      <c r="M25" s="4"/>
      <c r="N25" s="76"/>
      <c r="O25" s="76"/>
      <c r="P25" s="76" t="str">
        <f t="shared" si="8"/>
        <v>,shikkan7_start_date</v>
      </c>
      <c r="Q25" s="76" t="str">
        <f t="shared" si="9"/>
        <v>DATE</v>
      </c>
      <c r="R25" s="76" t="str">
        <f t="shared" si="10"/>
        <v/>
      </c>
      <c r="S25" s="76" t="str">
        <f t="shared" si="11"/>
        <v/>
      </c>
      <c r="T25" s="76" t="str">
        <f t="shared" si="12"/>
        <v>-- B201_疾患開始日</v>
      </c>
      <c r="U25" s="4" t="str">
        <f t="shared" si="14"/>
        <v>, CASE WHEN shikkan_disp_name = 'B201' THEN min_shikkan_start_date ::DATE ELSE NULL END AS shikkan7_start_date</v>
      </c>
      <c r="V25" s="25" t="str">
        <f t="shared" si="15"/>
        <v>, max(shikkan7_start_date)</v>
      </c>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milscm_2023_009.sny_202310_annony_non_annony2.shikkan7_start_date IS 'B201_疾患開始日';</v>
      </c>
    </row>
    <row r="26" spans="1:45" s="25" customFormat="1">
      <c r="A26" s="4" t="s">
        <v>5168</v>
      </c>
      <c r="B26" s="21">
        <f t="shared" si="7"/>
        <v>14</v>
      </c>
      <c r="C26" s="13" t="str">
        <f t="shared" si="13"/>
        <v>B202_疾患開始日</v>
      </c>
      <c r="D26" s="13" t="s">
        <v>4776</v>
      </c>
      <c r="E26" s="8"/>
      <c r="F26" s="7" t="s">
        <v>4348</v>
      </c>
      <c r="G26" s="7" t="s">
        <v>25</v>
      </c>
      <c r="H26" s="58"/>
      <c r="I26" s="23"/>
      <c r="J26" s="24"/>
      <c r="M26" s="4"/>
      <c r="N26" s="76"/>
      <c r="O26" s="76"/>
      <c r="P26" s="76" t="str">
        <f t="shared" si="8"/>
        <v>,shikkan8_start_date</v>
      </c>
      <c r="Q26" s="76" t="str">
        <f t="shared" si="9"/>
        <v>DATE</v>
      </c>
      <c r="R26" s="76" t="str">
        <f t="shared" si="10"/>
        <v/>
      </c>
      <c r="S26" s="76" t="str">
        <f t="shared" si="11"/>
        <v/>
      </c>
      <c r="T26" s="76" t="str">
        <f t="shared" si="12"/>
        <v>-- B202_疾患開始日</v>
      </c>
      <c r="U26" s="4" t="str">
        <f t="shared" si="14"/>
        <v>, CASE WHEN shikkan_disp_name = 'B202' THEN min_shikkan_start_date ::DATE ELSE NULL END AS shikkan8_start_date</v>
      </c>
      <c r="V26" s="25" t="str">
        <f t="shared" si="15"/>
        <v>, max(shikkan8_start_date)</v>
      </c>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milscm_2023_009.sny_202310_annony_non_annony2.shikkan8_start_date IS 'B202_疾患開始日';</v>
      </c>
    </row>
    <row r="27" spans="1:45" s="25" customFormat="1">
      <c r="A27" s="4" t="s">
        <v>5169</v>
      </c>
      <c r="B27" s="21">
        <f t="shared" si="7"/>
        <v>15</v>
      </c>
      <c r="C27" s="13" t="str">
        <f t="shared" si="13"/>
        <v>B203_疾患開始日</v>
      </c>
      <c r="D27" s="13" t="s">
        <v>4777</v>
      </c>
      <c r="E27" s="8"/>
      <c r="F27" s="7" t="s">
        <v>4348</v>
      </c>
      <c r="G27" s="7" t="s">
        <v>25</v>
      </c>
      <c r="H27" s="58"/>
      <c r="I27" s="23"/>
      <c r="J27" s="24"/>
      <c r="M27" s="4"/>
      <c r="N27" s="76"/>
      <c r="O27" s="76"/>
      <c r="P27" s="76" t="str">
        <f t="shared" si="8"/>
        <v>,shikkan9_start_date</v>
      </c>
      <c r="Q27" s="76" t="str">
        <f t="shared" si="9"/>
        <v>DATE</v>
      </c>
      <c r="R27" s="76" t="str">
        <f t="shared" si="10"/>
        <v/>
      </c>
      <c r="S27" s="76" t="str">
        <f t="shared" si="11"/>
        <v/>
      </c>
      <c r="T27" s="76" t="str">
        <f t="shared" si="12"/>
        <v>-- B203_疾患開始日</v>
      </c>
      <c r="U27" s="4" t="str">
        <f t="shared" si="14"/>
        <v>, CASE WHEN shikkan_disp_name = 'B203' THEN min_shikkan_start_date ::DATE ELSE NULL END AS shikkan9_start_date</v>
      </c>
      <c r="V27" s="25" t="str">
        <f t="shared" si="15"/>
        <v>, max(shikkan9_start_date)</v>
      </c>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milscm_2023_009.sny_202310_annony_non_annony2.shikkan9_start_date IS 'B203_疾患開始日';</v>
      </c>
    </row>
    <row r="28" spans="1:45" s="25" customFormat="1">
      <c r="A28" s="4" t="s">
        <v>5170</v>
      </c>
      <c r="B28" s="21">
        <f t="shared" si="7"/>
        <v>16</v>
      </c>
      <c r="C28" s="13" t="str">
        <f t="shared" si="13"/>
        <v>B204_疾患開始日</v>
      </c>
      <c r="D28" s="13" t="s">
        <v>4778</v>
      </c>
      <c r="E28" s="8"/>
      <c r="F28" s="7" t="s">
        <v>4348</v>
      </c>
      <c r="G28" s="7" t="s">
        <v>25</v>
      </c>
      <c r="H28" s="58"/>
      <c r="I28" s="23"/>
      <c r="J28" s="24"/>
      <c r="M28" s="4"/>
      <c r="N28" s="76"/>
      <c r="O28" s="76"/>
      <c r="P28" s="76" t="str">
        <f t="shared" si="8"/>
        <v>,shikkan10_start_date</v>
      </c>
      <c r="Q28" s="76" t="str">
        <f t="shared" si="9"/>
        <v>DATE</v>
      </c>
      <c r="R28" s="76" t="str">
        <f t="shared" si="10"/>
        <v/>
      </c>
      <c r="S28" s="76" t="str">
        <f t="shared" si="11"/>
        <v/>
      </c>
      <c r="T28" s="76" t="str">
        <f t="shared" si="12"/>
        <v>-- B204_疾患開始日</v>
      </c>
      <c r="U28" s="4" t="str">
        <f t="shared" si="14"/>
        <v>, CASE WHEN shikkan_disp_name = 'B204' THEN min_shikkan_start_date ::DATE ELSE NULL END AS shikkan10_start_date</v>
      </c>
      <c r="V28" s="25" t="str">
        <f t="shared" si="15"/>
        <v>, max(shikkan10_start_date)</v>
      </c>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milscm_2023_009.sny_202310_annony_non_annony2.shikkan10_start_date IS 'B204_疾患開始日';</v>
      </c>
    </row>
    <row r="29" spans="1:45" s="25" customFormat="1">
      <c r="A29" s="4" t="s">
        <v>5171</v>
      </c>
      <c r="B29" s="21">
        <f t="shared" si="7"/>
        <v>17</v>
      </c>
      <c r="C29" s="13" t="str">
        <f t="shared" si="13"/>
        <v>B205_疾患開始日</v>
      </c>
      <c r="D29" s="13" t="s">
        <v>4779</v>
      </c>
      <c r="E29" s="8"/>
      <c r="F29" s="7" t="s">
        <v>4348</v>
      </c>
      <c r="G29" s="7" t="s">
        <v>25</v>
      </c>
      <c r="H29" s="58"/>
      <c r="I29" s="23"/>
      <c r="J29" s="24"/>
      <c r="M29" s="4"/>
      <c r="N29" s="76"/>
      <c r="O29" s="76"/>
      <c r="P29" s="76" t="str">
        <f t="shared" si="8"/>
        <v>,shikkan11_start_date</v>
      </c>
      <c r="Q29" s="76" t="str">
        <f t="shared" si="9"/>
        <v>DATE</v>
      </c>
      <c r="R29" s="76" t="str">
        <f t="shared" si="10"/>
        <v/>
      </c>
      <c r="S29" s="76" t="str">
        <f t="shared" si="11"/>
        <v/>
      </c>
      <c r="T29" s="76" t="str">
        <f t="shared" si="12"/>
        <v>-- B205_疾患開始日</v>
      </c>
      <c r="U29" s="4" t="str">
        <f t="shared" si="14"/>
        <v>, CASE WHEN shikkan_disp_name = 'B205' THEN min_shikkan_start_date ::DATE ELSE NULL END AS shikkan11_start_date</v>
      </c>
      <c r="V29" s="25" t="str">
        <f t="shared" si="15"/>
        <v>, max(shikkan11_start_date)</v>
      </c>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milscm_2023_009.sny_202310_annony_non_annony2.shikkan11_start_date IS 'B205_疾患開始日';</v>
      </c>
    </row>
    <row r="30" spans="1:45" s="25" customFormat="1">
      <c r="A30" s="4" t="s">
        <v>5172</v>
      </c>
      <c r="B30" s="21">
        <f t="shared" si="7"/>
        <v>18</v>
      </c>
      <c r="C30" s="13" t="str">
        <f t="shared" si="13"/>
        <v>B206_疾患開始日</v>
      </c>
      <c r="D30" s="13" t="s">
        <v>4780</v>
      </c>
      <c r="E30" s="8"/>
      <c r="F30" s="7" t="s">
        <v>4348</v>
      </c>
      <c r="G30" s="7" t="s">
        <v>25</v>
      </c>
      <c r="H30" s="58"/>
      <c r="I30" s="23"/>
      <c r="J30" s="24"/>
      <c r="M30" s="4"/>
      <c r="N30" s="76"/>
      <c r="O30" s="76"/>
      <c r="P30" s="76" t="str">
        <f t="shared" si="8"/>
        <v>,shikkan12_start_date</v>
      </c>
      <c r="Q30" s="76" t="str">
        <f t="shared" si="9"/>
        <v>DATE</v>
      </c>
      <c r="R30" s="76" t="str">
        <f t="shared" si="10"/>
        <v/>
      </c>
      <c r="S30" s="76" t="str">
        <f t="shared" si="11"/>
        <v/>
      </c>
      <c r="T30" s="76" t="str">
        <f t="shared" si="12"/>
        <v>-- B206_疾患開始日</v>
      </c>
      <c r="U30" s="4" t="str">
        <f t="shared" si="14"/>
        <v>, CASE WHEN shikkan_disp_name = 'B206' THEN min_shikkan_start_date ::DATE ELSE NULL END AS shikkan12_start_date</v>
      </c>
      <c r="V30" s="25" t="str">
        <f t="shared" si="15"/>
        <v>, max(shikkan12_start_date)</v>
      </c>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milscm_2023_009.sny_202310_annony_non_annony2.shikkan12_start_date IS 'B206_疾患開始日';</v>
      </c>
    </row>
    <row r="31" spans="1:45" s="25" customFormat="1">
      <c r="A31" s="4" t="s">
        <v>5173</v>
      </c>
      <c r="B31" s="21">
        <f t="shared" si="7"/>
        <v>19</v>
      </c>
      <c r="C31" s="13" t="str">
        <f t="shared" si="13"/>
        <v>B207_疾患開始日</v>
      </c>
      <c r="D31" s="13" t="s">
        <v>4781</v>
      </c>
      <c r="E31" s="8"/>
      <c r="F31" s="7" t="s">
        <v>4348</v>
      </c>
      <c r="G31" s="7" t="s">
        <v>25</v>
      </c>
      <c r="H31" s="58"/>
      <c r="I31" s="23"/>
      <c r="J31" s="24"/>
      <c r="M31" s="4"/>
      <c r="N31" s="76"/>
      <c r="O31" s="76"/>
      <c r="P31" s="76" t="str">
        <f t="shared" si="8"/>
        <v>,shikkan13_start_date</v>
      </c>
      <c r="Q31" s="76" t="str">
        <f t="shared" si="9"/>
        <v>DATE</v>
      </c>
      <c r="R31" s="76" t="str">
        <f t="shared" si="10"/>
        <v/>
      </c>
      <c r="S31" s="76" t="str">
        <f t="shared" si="11"/>
        <v/>
      </c>
      <c r="T31" s="76" t="str">
        <f t="shared" si="12"/>
        <v>-- B207_疾患開始日</v>
      </c>
      <c r="U31" s="4" t="str">
        <f t="shared" si="14"/>
        <v>, CASE WHEN shikkan_disp_name = 'B207' THEN min_shikkan_start_date ::DATE ELSE NULL END AS shikkan13_start_date</v>
      </c>
      <c r="V31" s="25" t="str">
        <f t="shared" si="15"/>
        <v>, max(shikkan13_start_date)</v>
      </c>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milscm_2023_009.sny_202310_annony_non_annony2.shikkan13_start_date IS 'B207_疾患開始日';</v>
      </c>
    </row>
    <row r="32" spans="1:45" s="25" customFormat="1">
      <c r="A32" s="4" t="s">
        <v>5174</v>
      </c>
      <c r="B32" s="21">
        <f t="shared" si="7"/>
        <v>20</v>
      </c>
      <c r="C32" s="13" t="str">
        <f t="shared" si="13"/>
        <v>B208_疾患開始日</v>
      </c>
      <c r="D32" s="13" t="s">
        <v>4782</v>
      </c>
      <c r="E32" s="8"/>
      <c r="F32" s="7" t="s">
        <v>4348</v>
      </c>
      <c r="G32" s="7" t="s">
        <v>25</v>
      </c>
      <c r="H32" s="58"/>
      <c r="I32" s="23"/>
      <c r="J32" s="24"/>
      <c r="M32" s="4"/>
      <c r="N32" s="76"/>
      <c r="O32" s="76"/>
      <c r="P32" s="76" t="str">
        <f t="shared" si="8"/>
        <v>,shikkan14_start_date</v>
      </c>
      <c r="Q32" s="76" t="str">
        <f t="shared" si="9"/>
        <v>DATE</v>
      </c>
      <c r="R32" s="76" t="str">
        <f t="shared" si="10"/>
        <v/>
      </c>
      <c r="S32" s="76" t="str">
        <f t="shared" si="11"/>
        <v/>
      </c>
      <c r="T32" s="76" t="str">
        <f t="shared" si="12"/>
        <v>-- B208_疾患開始日</v>
      </c>
      <c r="U32" s="4" t="str">
        <f t="shared" si="14"/>
        <v>, CASE WHEN shikkan_disp_name = 'B208' THEN min_shikkan_start_date ::DATE ELSE NULL END AS shikkan14_start_date</v>
      </c>
      <c r="V32" s="25" t="str">
        <f t="shared" si="15"/>
        <v>, max(shikkan14_start_date)</v>
      </c>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milscm_2023_009.sny_202310_annony_non_annony2.shikkan14_start_date IS 'B208_疾患開始日';</v>
      </c>
    </row>
    <row r="33" spans="1:45" s="25" customFormat="1">
      <c r="A33" s="4" t="s">
        <v>5175</v>
      </c>
      <c r="B33" s="21">
        <f t="shared" si="7"/>
        <v>21</v>
      </c>
      <c r="C33" s="13" t="str">
        <f t="shared" si="13"/>
        <v>B209_疾患開始日</v>
      </c>
      <c r="D33" s="13" t="s">
        <v>4783</v>
      </c>
      <c r="E33" s="8"/>
      <c r="F33" s="7" t="s">
        <v>4348</v>
      </c>
      <c r="G33" s="7" t="s">
        <v>25</v>
      </c>
      <c r="H33" s="58"/>
      <c r="I33" s="23"/>
      <c r="J33" s="24"/>
      <c r="M33" s="4"/>
      <c r="N33" s="76"/>
      <c r="O33" s="76"/>
      <c r="P33" s="76" t="str">
        <f t="shared" si="8"/>
        <v>,shikkan15_start_date</v>
      </c>
      <c r="Q33" s="76" t="str">
        <f t="shared" si="9"/>
        <v>DATE</v>
      </c>
      <c r="R33" s="76" t="str">
        <f t="shared" si="10"/>
        <v/>
      </c>
      <c r="S33" s="76" t="str">
        <f t="shared" si="11"/>
        <v/>
      </c>
      <c r="T33" s="76" t="str">
        <f t="shared" si="12"/>
        <v>-- B209_疾患開始日</v>
      </c>
      <c r="U33" s="4" t="str">
        <f t="shared" si="14"/>
        <v>, CASE WHEN shikkan_disp_name = 'B209' THEN min_shikkan_start_date ::DATE ELSE NULL END AS shikkan15_start_date</v>
      </c>
      <c r="V33" s="25" t="str">
        <f t="shared" si="15"/>
        <v>, max(shikkan15_start_date)</v>
      </c>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milscm_2023_009.sny_202310_annony_non_annony2.shikkan15_start_date IS 'B209_疾患開始日';</v>
      </c>
    </row>
    <row r="34" spans="1:45" s="25" customFormat="1">
      <c r="A34" s="4" t="s">
        <v>5176</v>
      </c>
      <c r="B34" s="21">
        <f t="shared" si="7"/>
        <v>22</v>
      </c>
      <c r="C34" s="13" t="str">
        <f t="shared" si="13"/>
        <v>B210_疾患開始日</v>
      </c>
      <c r="D34" s="13" t="s">
        <v>4784</v>
      </c>
      <c r="E34" s="8"/>
      <c r="F34" s="7" t="s">
        <v>4348</v>
      </c>
      <c r="G34" s="7" t="s">
        <v>25</v>
      </c>
      <c r="H34" s="58"/>
      <c r="I34" s="23"/>
      <c r="J34" s="24"/>
      <c r="M34" s="4"/>
      <c r="N34" s="76"/>
      <c r="O34" s="76"/>
      <c r="P34" s="76" t="str">
        <f t="shared" si="8"/>
        <v>,shikkan16_start_date</v>
      </c>
      <c r="Q34" s="76" t="str">
        <f t="shared" si="9"/>
        <v>DATE</v>
      </c>
      <c r="R34" s="76" t="str">
        <f t="shared" si="10"/>
        <v/>
      </c>
      <c r="S34" s="76" t="str">
        <f t="shared" si="11"/>
        <v/>
      </c>
      <c r="T34" s="76" t="str">
        <f t="shared" si="12"/>
        <v>-- B210_疾患開始日</v>
      </c>
      <c r="U34" s="4" t="str">
        <f t="shared" si="14"/>
        <v>, CASE WHEN shikkan_disp_name = 'B210' THEN min_shikkan_start_date ::DATE ELSE NULL END AS shikkan16_start_date</v>
      </c>
      <c r="V34" s="25" t="str">
        <f t="shared" si="15"/>
        <v>, max(shikkan16_start_date)</v>
      </c>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milscm_2023_009.sny_202310_annony_non_annony2.shikkan16_start_date IS 'B210_疾患開始日';</v>
      </c>
    </row>
    <row r="35" spans="1:45" s="25" customFormat="1">
      <c r="A35" s="4" t="s">
        <v>5177</v>
      </c>
      <c r="B35" s="21">
        <f t="shared" si="7"/>
        <v>23</v>
      </c>
      <c r="C35" s="13" t="str">
        <f t="shared" si="13"/>
        <v>B211_疾患開始日</v>
      </c>
      <c r="D35" s="13" t="s">
        <v>4785</v>
      </c>
      <c r="E35" s="8"/>
      <c r="F35" s="7" t="s">
        <v>4348</v>
      </c>
      <c r="G35" s="7" t="s">
        <v>99</v>
      </c>
      <c r="H35" s="58"/>
      <c r="I35" s="23"/>
      <c r="J35" s="24"/>
      <c r="M35" s="4"/>
      <c r="N35" s="76"/>
      <c r="O35" s="76"/>
      <c r="P35" s="76" t="str">
        <f t="shared" si="8"/>
        <v>,shikkan17_start_date</v>
      </c>
      <c r="Q35" s="76" t="str">
        <f t="shared" si="9"/>
        <v>DATE</v>
      </c>
      <c r="R35" s="76" t="str">
        <f t="shared" si="10"/>
        <v/>
      </c>
      <c r="S35" s="76" t="str">
        <f t="shared" si="11"/>
        <v/>
      </c>
      <c r="T35" s="76" t="str">
        <f t="shared" si="12"/>
        <v>-- B211_疾患開始日</v>
      </c>
      <c r="U35" s="4" t="str">
        <f t="shared" si="14"/>
        <v>, CASE WHEN shikkan_disp_name = 'B211' THEN min_shikkan_start_date ::DATE ELSE NULL END AS shikkan17_start_date</v>
      </c>
      <c r="V35" s="25" t="str">
        <f t="shared" si="15"/>
        <v>, max(shikkan17_start_date)</v>
      </c>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milscm_2023_009.sny_202310_annony_non_annony2.shikkan17_start_date IS 'B211_疾患開始日';</v>
      </c>
    </row>
    <row r="36" spans="1:45" s="25" customFormat="1">
      <c r="A36" s="4" t="s">
        <v>5178</v>
      </c>
      <c r="B36" s="21">
        <f t="shared" si="7"/>
        <v>24</v>
      </c>
      <c r="C36" s="13" t="str">
        <f t="shared" si="13"/>
        <v>B212_疾患開始日</v>
      </c>
      <c r="D36" s="13" t="s">
        <v>4786</v>
      </c>
      <c r="E36" s="8"/>
      <c r="F36" s="7" t="s">
        <v>4348</v>
      </c>
      <c r="G36" s="7" t="s">
        <v>25</v>
      </c>
      <c r="H36" s="58"/>
      <c r="I36" s="23"/>
      <c r="J36" s="24"/>
      <c r="M36" s="4"/>
      <c r="N36" s="76"/>
      <c r="O36" s="76"/>
      <c r="P36" s="76" t="str">
        <f t="shared" si="8"/>
        <v>,shikkan18_start_date</v>
      </c>
      <c r="Q36" s="76" t="str">
        <f t="shared" si="9"/>
        <v>DATE</v>
      </c>
      <c r="R36" s="76" t="str">
        <f t="shared" si="10"/>
        <v/>
      </c>
      <c r="S36" s="76" t="str">
        <f t="shared" si="11"/>
        <v/>
      </c>
      <c r="T36" s="76" t="str">
        <f t="shared" si="12"/>
        <v>-- B212_疾患開始日</v>
      </c>
      <c r="U36" s="4" t="str">
        <f t="shared" si="14"/>
        <v>, CASE WHEN shikkan_disp_name = 'B212' THEN min_shikkan_start_date ::DATE ELSE NULL END AS shikkan18_start_date</v>
      </c>
      <c r="V36" s="25" t="str">
        <f t="shared" si="15"/>
        <v>, max(shikkan18_start_date)</v>
      </c>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milscm_2023_009.sny_202310_annony_non_annony2.shikkan18_start_date IS 'B212_疾患開始日';</v>
      </c>
    </row>
    <row r="37" spans="1:45" s="25" customFormat="1">
      <c r="A37" s="4" t="s">
        <v>5179</v>
      </c>
      <c r="B37" s="21">
        <f t="shared" si="7"/>
        <v>25</v>
      </c>
      <c r="C37" s="13" t="str">
        <f t="shared" si="13"/>
        <v>B213_疾患開始日</v>
      </c>
      <c r="D37" s="13" t="s">
        <v>4787</v>
      </c>
      <c r="E37" s="8"/>
      <c r="F37" s="7" t="s">
        <v>4348</v>
      </c>
      <c r="G37" s="7" t="s">
        <v>25</v>
      </c>
      <c r="H37" s="58"/>
      <c r="I37" s="23"/>
      <c r="J37" s="24"/>
      <c r="M37" s="4"/>
      <c r="N37" s="76"/>
      <c r="O37" s="76"/>
      <c r="P37" s="76" t="str">
        <f t="shared" si="8"/>
        <v>,shikkan19_start_date</v>
      </c>
      <c r="Q37" s="76" t="str">
        <f t="shared" si="9"/>
        <v>DATE</v>
      </c>
      <c r="R37" s="76" t="str">
        <f t="shared" si="10"/>
        <v/>
      </c>
      <c r="S37" s="76" t="str">
        <f t="shared" si="11"/>
        <v/>
      </c>
      <c r="T37" s="76" t="str">
        <f t="shared" si="12"/>
        <v>-- B213_疾患開始日</v>
      </c>
      <c r="U37" s="4" t="str">
        <f t="shared" si="14"/>
        <v>, CASE WHEN shikkan_disp_name = 'B213' THEN min_shikkan_start_date ::DATE ELSE NULL END AS shikkan19_start_date</v>
      </c>
      <c r="V37" s="25" t="str">
        <f t="shared" si="15"/>
        <v>, max(shikkan19_start_date)</v>
      </c>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milscm_2023_009.sny_202310_annony_non_annony2.shikkan19_start_date IS 'B213_疾患開始日';</v>
      </c>
    </row>
    <row r="38" spans="1:45" s="25" customFormat="1">
      <c r="A38" s="4" t="s">
        <v>5180</v>
      </c>
      <c r="B38" s="21">
        <f t="shared" si="7"/>
        <v>26</v>
      </c>
      <c r="C38" s="13" t="str">
        <f t="shared" si="13"/>
        <v>B217_疾患開始日</v>
      </c>
      <c r="D38" s="13" t="s">
        <v>4788</v>
      </c>
      <c r="E38" s="8"/>
      <c r="F38" s="7" t="s">
        <v>4348</v>
      </c>
      <c r="G38" s="7" t="s">
        <v>25</v>
      </c>
      <c r="H38" s="58"/>
      <c r="I38" s="23"/>
      <c r="J38" s="24"/>
      <c r="M38" s="4"/>
      <c r="N38" s="76"/>
      <c r="O38" s="76"/>
      <c r="P38" s="76" t="str">
        <f t="shared" si="8"/>
        <v>,shikkan20_start_date</v>
      </c>
      <c r="Q38" s="76" t="str">
        <f t="shared" si="9"/>
        <v>DATE</v>
      </c>
      <c r="R38" s="76" t="str">
        <f t="shared" si="10"/>
        <v/>
      </c>
      <c r="S38" s="76" t="str">
        <f t="shared" si="11"/>
        <v/>
      </c>
      <c r="T38" s="76" t="str">
        <f t="shared" si="12"/>
        <v>-- B217_疾患開始日</v>
      </c>
      <c r="U38" s="4" t="str">
        <f t="shared" si="14"/>
        <v>, CASE WHEN shikkan_disp_name = 'B217' THEN min_shikkan_start_date ::DATE ELSE NULL END AS shikkan20_start_date</v>
      </c>
      <c r="V38" s="25" t="str">
        <f t="shared" si="15"/>
        <v>, max(shikkan20_start_date)</v>
      </c>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milscm_2023_009.sny_202310_annony_non_annony2.shikkan20_start_date IS 'B217_疾患開始日';</v>
      </c>
    </row>
    <row r="39" spans="1:45" s="25" customFormat="1">
      <c r="A39" s="4" t="s">
        <v>5181</v>
      </c>
      <c r="B39" s="21">
        <f t="shared" si="7"/>
        <v>27</v>
      </c>
      <c r="C39" s="13" t="str">
        <f t="shared" si="13"/>
        <v>B218_疾患開始日</v>
      </c>
      <c r="D39" s="13" t="s">
        <v>4789</v>
      </c>
      <c r="E39" s="8"/>
      <c r="F39" s="7" t="s">
        <v>4348</v>
      </c>
      <c r="G39" s="7" t="s">
        <v>25</v>
      </c>
      <c r="H39" s="58"/>
      <c r="I39" s="23"/>
      <c r="J39" s="24"/>
      <c r="M39" s="4"/>
      <c r="N39" s="76"/>
      <c r="O39" s="76"/>
      <c r="P39" s="76" t="str">
        <f t="shared" si="8"/>
        <v>,shikkan21_start_date</v>
      </c>
      <c r="Q39" s="76" t="str">
        <f t="shared" si="9"/>
        <v>DATE</v>
      </c>
      <c r="R39" s="76" t="str">
        <f t="shared" si="10"/>
        <v/>
      </c>
      <c r="S39" s="76" t="str">
        <f t="shared" si="11"/>
        <v/>
      </c>
      <c r="T39" s="76" t="str">
        <f t="shared" si="12"/>
        <v>-- B218_疾患開始日</v>
      </c>
      <c r="U39" s="4" t="str">
        <f t="shared" si="14"/>
        <v>, CASE WHEN shikkan_disp_name = 'B218' THEN min_shikkan_start_date ::DATE ELSE NULL END AS shikkan21_start_date</v>
      </c>
      <c r="V39" s="25" t="str">
        <f t="shared" si="15"/>
        <v>, max(shikkan21_start_date)</v>
      </c>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milscm_2023_009.sny_202310_annony_non_annony2.shikkan21_start_date IS 'B218_疾患開始日';</v>
      </c>
    </row>
    <row r="40" spans="1:45" s="25" customFormat="1">
      <c r="A40" s="4" t="s">
        <v>5182</v>
      </c>
      <c r="B40" s="21">
        <f t="shared" si="7"/>
        <v>28</v>
      </c>
      <c r="C40" s="13" t="str">
        <f t="shared" si="13"/>
        <v>B219_疾患開始日</v>
      </c>
      <c r="D40" s="13" t="s">
        <v>4790</v>
      </c>
      <c r="E40" s="8"/>
      <c r="F40" s="7" t="s">
        <v>4348</v>
      </c>
      <c r="G40" s="7" t="s">
        <v>25</v>
      </c>
      <c r="H40" s="58"/>
      <c r="I40" s="23"/>
      <c r="J40" s="24"/>
      <c r="M40" s="4"/>
      <c r="N40" s="76"/>
      <c r="O40" s="76"/>
      <c r="P40" s="76" t="str">
        <f t="shared" si="8"/>
        <v>,shikkan22_start_date</v>
      </c>
      <c r="Q40" s="76" t="str">
        <f t="shared" si="9"/>
        <v>DATE</v>
      </c>
      <c r="R40" s="76" t="str">
        <f t="shared" si="10"/>
        <v/>
      </c>
      <c r="S40" s="76" t="str">
        <f t="shared" si="11"/>
        <v/>
      </c>
      <c r="T40" s="76" t="str">
        <f t="shared" si="12"/>
        <v>-- B219_疾患開始日</v>
      </c>
      <c r="U40" s="4" t="str">
        <f t="shared" si="14"/>
        <v>, CASE WHEN shikkan_disp_name = 'B219' THEN min_shikkan_start_date ::DATE ELSE NULL END AS shikkan22_start_date</v>
      </c>
      <c r="V40" s="25" t="str">
        <f t="shared" si="15"/>
        <v>, max(shikkan22_start_date)</v>
      </c>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milscm_2023_009.sny_202310_annony_non_annony2.shikkan22_start_date IS 'B219_疾患開始日';</v>
      </c>
    </row>
    <row r="41" spans="1:45" s="25" customFormat="1">
      <c r="A41" s="4" t="s">
        <v>5183</v>
      </c>
      <c r="B41" s="21">
        <f t="shared" si="7"/>
        <v>29</v>
      </c>
      <c r="C41" s="13" t="str">
        <f t="shared" si="13"/>
        <v>B220_疾患開始日</v>
      </c>
      <c r="D41" s="13" t="s">
        <v>4791</v>
      </c>
      <c r="E41" s="8"/>
      <c r="F41" s="7" t="s">
        <v>4348</v>
      </c>
      <c r="G41" s="7" t="s">
        <v>25</v>
      </c>
      <c r="H41" s="58"/>
      <c r="I41" s="23"/>
      <c r="J41" s="24"/>
      <c r="M41" s="4"/>
      <c r="N41" s="76"/>
      <c r="O41" s="76"/>
      <c r="P41" s="76" t="str">
        <f t="shared" si="8"/>
        <v>,shikkan23_start_date</v>
      </c>
      <c r="Q41" s="76" t="str">
        <f t="shared" si="9"/>
        <v>DATE</v>
      </c>
      <c r="R41" s="76" t="str">
        <f t="shared" si="10"/>
        <v/>
      </c>
      <c r="S41" s="76" t="str">
        <f t="shared" si="11"/>
        <v/>
      </c>
      <c r="T41" s="76" t="str">
        <f t="shared" si="12"/>
        <v>-- B220_疾患開始日</v>
      </c>
      <c r="U41" s="4" t="str">
        <f t="shared" si="14"/>
        <v>, CASE WHEN shikkan_disp_name = 'B220' THEN min_shikkan_start_date ::DATE ELSE NULL END AS shikkan23_start_date</v>
      </c>
      <c r="V41" s="25" t="str">
        <f t="shared" si="15"/>
        <v>, max(shikkan23_start_date)</v>
      </c>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milscm_2023_009.sny_202310_annony_non_annony2.shikkan23_start_date IS 'B220_疾患開始日';</v>
      </c>
    </row>
    <row r="42" spans="1:45" s="25" customFormat="1">
      <c r="A42" s="4" t="s">
        <v>5184</v>
      </c>
      <c r="B42" s="21">
        <f t="shared" si="7"/>
        <v>30</v>
      </c>
      <c r="C42" s="13" t="str">
        <f t="shared" si="13"/>
        <v>B221_疾患開始日</v>
      </c>
      <c r="D42" s="13" t="s">
        <v>4792</v>
      </c>
      <c r="E42" s="8"/>
      <c r="F42" s="7" t="s">
        <v>4348</v>
      </c>
      <c r="G42" s="7" t="s">
        <v>25</v>
      </c>
      <c r="H42" s="58"/>
      <c r="I42" s="23"/>
      <c r="J42" s="24"/>
      <c r="M42" s="4"/>
      <c r="N42" s="76"/>
      <c r="O42" s="76"/>
      <c r="P42" s="76" t="str">
        <f t="shared" si="8"/>
        <v>,shikkan24_start_date</v>
      </c>
      <c r="Q42" s="76" t="str">
        <f t="shared" si="9"/>
        <v>DATE</v>
      </c>
      <c r="R42" s="76" t="str">
        <f t="shared" si="10"/>
        <v/>
      </c>
      <c r="S42" s="76" t="str">
        <f t="shared" si="11"/>
        <v/>
      </c>
      <c r="T42" s="76" t="str">
        <f t="shared" si="12"/>
        <v>-- B221_疾患開始日</v>
      </c>
      <c r="U42" s="4" t="str">
        <f t="shared" si="14"/>
        <v>, CASE WHEN shikkan_disp_name = 'B221' THEN min_shikkan_start_date ::DATE ELSE NULL END AS shikkan24_start_date</v>
      </c>
      <c r="V42" s="25" t="str">
        <f t="shared" si="15"/>
        <v>, max(shikkan24_start_date)</v>
      </c>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milscm_2023_009.sny_202310_annony_non_annony2.shikkan24_start_date IS 'B221_疾患開始日';</v>
      </c>
    </row>
    <row r="43" spans="1:45" s="25" customFormat="1">
      <c r="A43" s="4" t="s">
        <v>5185</v>
      </c>
      <c r="B43" s="21">
        <f t="shared" si="7"/>
        <v>31</v>
      </c>
      <c r="C43" s="13" t="str">
        <f t="shared" si="13"/>
        <v>B222_疾患開始日</v>
      </c>
      <c r="D43" s="13" t="s">
        <v>4793</v>
      </c>
      <c r="E43" s="8"/>
      <c r="F43" s="7" t="s">
        <v>4348</v>
      </c>
      <c r="G43" s="7" t="s">
        <v>25</v>
      </c>
      <c r="H43" s="58"/>
      <c r="I43" s="23"/>
      <c r="J43" s="24"/>
      <c r="M43" s="4"/>
      <c r="N43" s="76"/>
      <c r="O43" s="76"/>
      <c r="P43" s="76" t="str">
        <f t="shared" si="8"/>
        <v>,shikkan25_start_date</v>
      </c>
      <c r="Q43" s="76" t="str">
        <f t="shared" si="9"/>
        <v>DATE</v>
      </c>
      <c r="R43" s="76" t="str">
        <f t="shared" si="10"/>
        <v/>
      </c>
      <c r="S43" s="76" t="str">
        <f t="shared" si="11"/>
        <v/>
      </c>
      <c r="T43" s="76" t="str">
        <f t="shared" si="12"/>
        <v>-- B222_疾患開始日</v>
      </c>
      <c r="U43" s="4" t="str">
        <f t="shared" si="14"/>
        <v>, CASE WHEN shikkan_disp_name = 'B222' THEN min_shikkan_start_date ::DATE ELSE NULL END AS shikkan25_start_date</v>
      </c>
      <c r="V43" s="25" t="str">
        <f t="shared" si="15"/>
        <v>, max(shikkan25_start_date)</v>
      </c>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milscm_2023_009.sny_202310_annony_non_annony2.shikkan25_start_date IS 'B222_疾患開始日';</v>
      </c>
    </row>
    <row r="44" spans="1:45" s="25" customFormat="1">
      <c r="A44" s="4" t="s">
        <v>5186</v>
      </c>
      <c r="B44" s="21">
        <f t="shared" si="7"/>
        <v>32</v>
      </c>
      <c r="C44" s="13" t="str">
        <f t="shared" si="13"/>
        <v>B227_疾患開始日</v>
      </c>
      <c r="D44" s="13" t="s">
        <v>4794</v>
      </c>
      <c r="E44" s="8"/>
      <c r="F44" s="7" t="s">
        <v>4348</v>
      </c>
      <c r="G44" s="7" t="s">
        <v>25</v>
      </c>
      <c r="H44" s="58"/>
      <c r="I44" s="23"/>
      <c r="J44" s="24"/>
      <c r="M44" s="4"/>
      <c r="N44" s="76"/>
      <c r="O44" s="76"/>
      <c r="P44" s="76" t="str">
        <f t="shared" si="8"/>
        <v>,shikkan26_start_date</v>
      </c>
      <c r="Q44" s="76" t="str">
        <f t="shared" si="9"/>
        <v>DATE</v>
      </c>
      <c r="R44" s="76" t="str">
        <f t="shared" si="10"/>
        <v/>
      </c>
      <c r="S44" s="76" t="str">
        <f t="shared" si="11"/>
        <v/>
      </c>
      <c r="T44" s="76" t="str">
        <f t="shared" si="12"/>
        <v>-- B227_疾患開始日</v>
      </c>
      <c r="U44" s="4" t="str">
        <f t="shared" si="14"/>
        <v>, CASE WHEN shikkan_disp_name = 'B227' THEN min_shikkan_start_date ::DATE ELSE NULL END AS shikkan26_start_date</v>
      </c>
      <c r="V44" s="25" t="str">
        <f t="shared" si="15"/>
        <v>, max(shikkan26_start_date)</v>
      </c>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milscm_2023_009.sny_202310_annony_non_annony2.shikkan26_start_date IS 'B227_疾患開始日';</v>
      </c>
    </row>
    <row r="45" spans="1:45" s="25" customFormat="1">
      <c r="A45" s="4" t="s">
        <v>5158</v>
      </c>
      <c r="B45" s="21">
        <f t="shared" si="7"/>
        <v>33</v>
      </c>
      <c r="C45" s="13" t="str">
        <f t="shared" si="13"/>
        <v>B24_疾患開始日</v>
      </c>
      <c r="D45" s="13" t="s">
        <v>4795</v>
      </c>
      <c r="E45" s="8"/>
      <c r="F45" s="7" t="s">
        <v>4348</v>
      </c>
      <c r="G45" s="7" t="s">
        <v>25</v>
      </c>
      <c r="H45" s="58"/>
      <c r="I45" s="23"/>
      <c r="J45" s="24"/>
      <c r="M45" s="4"/>
      <c r="N45" s="76"/>
      <c r="O45" s="76"/>
      <c r="P45" s="76" t="str">
        <f t="shared" si="8"/>
        <v>,shikkan27_start_date</v>
      </c>
      <c r="Q45" s="76" t="str">
        <f t="shared" si="9"/>
        <v>DATE</v>
      </c>
      <c r="R45" s="76" t="str">
        <f t="shared" si="10"/>
        <v/>
      </c>
      <c r="S45" s="76" t="str">
        <f t="shared" si="11"/>
        <v/>
      </c>
      <c r="T45" s="76" t="str">
        <f t="shared" si="12"/>
        <v>-- B24_疾患開始日</v>
      </c>
      <c r="U45" s="4" t="str">
        <f t="shared" si="14"/>
        <v>, CASE WHEN shikkan_disp_name = 'B24' THEN min_shikkan_start_date ::DATE ELSE NULL END AS shikkan27_start_date</v>
      </c>
      <c r="V45" s="25" t="str">
        <f t="shared" si="15"/>
        <v>, max(shikkan27_start_date)</v>
      </c>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milscm_2023_009.sny_202310_annony_non_annony2.shikkan27_start_date IS 'B24_疾患開始日';</v>
      </c>
    </row>
    <row r="46" spans="1:45" s="25" customFormat="1">
      <c r="A46" s="4" t="s">
        <v>5187</v>
      </c>
      <c r="B46" s="21">
        <f t="shared" si="7"/>
        <v>34</v>
      </c>
      <c r="C46" s="13" t="str">
        <f t="shared" si="13"/>
        <v>C000_疾患開始日</v>
      </c>
      <c r="D46" s="13" t="s">
        <v>4796</v>
      </c>
      <c r="E46" s="8"/>
      <c r="F46" s="7" t="s">
        <v>4348</v>
      </c>
      <c r="G46" s="7" t="s">
        <v>25</v>
      </c>
      <c r="H46" s="58"/>
      <c r="I46" s="23"/>
      <c r="J46" s="24"/>
      <c r="M46" s="4"/>
      <c r="N46" s="76"/>
      <c r="O46" s="76"/>
      <c r="P46" s="76" t="str">
        <f t="shared" si="8"/>
        <v>,shikkan28_start_date</v>
      </c>
      <c r="Q46" s="76" t="str">
        <f t="shared" si="9"/>
        <v>DATE</v>
      </c>
      <c r="R46" s="76" t="str">
        <f t="shared" si="10"/>
        <v/>
      </c>
      <c r="S46" s="76" t="str">
        <f t="shared" si="11"/>
        <v/>
      </c>
      <c r="T46" s="76" t="str">
        <f t="shared" si="12"/>
        <v>-- C000_疾患開始日</v>
      </c>
      <c r="U46" s="4" t="str">
        <f t="shared" si="14"/>
        <v>, CASE WHEN shikkan_disp_name = 'C000' THEN min_shikkan_start_date ::DATE ELSE NULL END AS shikkan28_start_date</v>
      </c>
      <c r="V46" s="25" t="str">
        <f t="shared" si="15"/>
        <v>, max(shikkan28_start_date)</v>
      </c>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milscm_2023_009.sny_202310_annony_non_annony2.shikkan28_start_date IS 'C000_疾患開始日';</v>
      </c>
    </row>
    <row r="47" spans="1:45" s="25" customFormat="1">
      <c r="A47" s="4" t="s">
        <v>5188</v>
      </c>
      <c r="B47" s="21">
        <f t="shared" si="7"/>
        <v>35</v>
      </c>
      <c r="C47" s="13" t="str">
        <f t="shared" si="13"/>
        <v>C001_疾患開始日</v>
      </c>
      <c r="D47" s="13" t="s">
        <v>4797</v>
      </c>
      <c r="E47" s="8"/>
      <c r="F47" s="7" t="s">
        <v>4348</v>
      </c>
      <c r="G47" s="7" t="s">
        <v>25</v>
      </c>
      <c r="H47" s="58"/>
      <c r="I47" s="23"/>
      <c r="J47" s="24"/>
      <c r="M47" s="4"/>
      <c r="N47" s="76"/>
      <c r="O47" s="76"/>
      <c r="P47" s="76" t="str">
        <f t="shared" si="8"/>
        <v>,shikkan29_start_date</v>
      </c>
      <c r="Q47" s="76" t="str">
        <f t="shared" si="9"/>
        <v>DATE</v>
      </c>
      <c r="R47" s="76" t="str">
        <f t="shared" si="10"/>
        <v/>
      </c>
      <c r="S47" s="76" t="str">
        <f t="shared" si="11"/>
        <v/>
      </c>
      <c r="T47" s="76" t="str">
        <f t="shared" si="12"/>
        <v>-- C001_疾患開始日</v>
      </c>
      <c r="U47" s="4" t="str">
        <f t="shared" si="14"/>
        <v>, CASE WHEN shikkan_disp_name = 'C001' THEN min_shikkan_start_date ::DATE ELSE NULL END AS shikkan29_start_date</v>
      </c>
      <c r="V47" s="25" t="str">
        <f t="shared" si="15"/>
        <v>, max(shikkan29_start_date)</v>
      </c>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milscm_2023_009.sny_202310_annony_non_annony2.shikkan29_start_date IS 'C001_疾患開始日';</v>
      </c>
    </row>
    <row r="48" spans="1:45" s="25" customFormat="1">
      <c r="A48" s="4" t="s">
        <v>5189</v>
      </c>
      <c r="B48" s="21">
        <f t="shared" si="7"/>
        <v>36</v>
      </c>
      <c r="C48" s="13" t="str">
        <f t="shared" si="13"/>
        <v>C002_疾患開始日</v>
      </c>
      <c r="D48" s="13" t="s">
        <v>4798</v>
      </c>
      <c r="E48" s="8"/>
      <c r="F48" s="7" t="s">
        <v>4348</v>
      </c>
      <c r="G48" s="7" t="s">
        <v>25</v>
      </c>
      <c r="H48" s="58"/>
      <c r="I48" s="23"/>
      <c r="J48" s="24"/>
      <c r="M48" s="4"/>
      <c r="N48" s="76"/>
      <c r="O48" s="76"/>
      <c r="P48" s="76" t="str">
        <f t="shared" si="8"/>
        <v>,shikkan30_start_date</v>
      </c>
      <c r="Q48" s="76" t="str">
        <f t="shared" si="9"/>
        <v>DATE</v>
      </c>
      <c r="R48" s="76" t="str">
        <f t="shared" si="10"/>
        <v/>
      </c>
      <c r="S48" s="76" t="str">
        <f t="shared" si="11"/>
        <v/>
      </c>
      <c r="T48" s="76" t="str">
        <f t="shared" si="12"/>
        <v>-- C002_疾患開始日</v>
      </c>
      <c r="U48" s="4" t="str">
        <f t="shared" si="14"/>
        <v>, CASE WHEN shikkan_disp_name = 'C002' THEN min_shikkan_start_date ::DATE ELSE NULL END AS shikkan30_start_date</v>
      </c>
      <c r="V48" s="25" t="str">
        <f t="shared" si="15"/>
        <v>, max(shikkan30_start_date)</v>
      </c>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milscm_2023_009.sny_202310_annony_non_annony2.shikkan30_start_date IS 'C002_疾患開始日';</v>
      </c>
    </row>
    <row r="49" spans="1:45" s="25" customFormat="1">
      <c r="A49" s="4" t="s">
        <v>5190</v>
      </c>
      <c r="B49" s="21">
        <f t="shared" si="7"/>
        <v>37</v>
      </c>
      <c r="C49" s="13" t="str">
        <f t="shared" si="13"/>
        <v>C003_疾患開始日</v>
      </c>
      <c r="D49" s="13" t="s">
        <v>4799</v>
      </c>
      <c r="E49" s="8"/>
      <c r="F49" s="7" t="s">
        <v>4348</v>
      </c>
      <c r="G49" s="7" t="s">
        <v>25</v>
      </c>
      <c r="H49" s="58"/>
      <c r="I49" s="23"/>
      <c r="J49" s="24"/>
      <c r="M49" s="4"/>
      <c r="N49" s="76"/>
      <c r="O49" s="76"/>
      <c r="P49" s="76" t="str">
        <f t="shared" si="8"/>
        <v>,shikkan31_start_date</v>
      </c>
      <c r="Q49" s="76" t="str">
        <f t="shared" si="9"/>
        <v>DATE</v>
      </c>
      <c r="R49" s="76" t="str">
        <f t="shared" si="10"/>
        <v/>
      </c>
      <c r="S49" s="76" t="str">
        <f t="shared" si="11"/>
        <v/>
      </c>
      <c r="T49" s="76" t="str">
        <f t="shared" si="12"/>
        <v>-- C003_疾患開始日</v>
      </c>
      <c r="U49" s="4" t="str">
        <f t="shared" si="14"/>
        <v>, CASE WHEN shikkan_disp_name = 'C003' THEN min_shikkan_start_date ::DATE ELSE NULL END AS shikkan31_start_date</v>
      </c>
      <c r="V49" s="25" t="str">
        <f t="shared" si="15"/>
        <v>, max(shikkan31_start_date)</v>
      </c>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milscm_2023_009.sny_202310_annony_non_annony2.shikkan31_start_date IS 'C003_疾患開始日';</v>
      </c>
    </row>
    <row r="50" spans="1:45" s="25" customFormat="1">
      <c r="A50" s="4" t="s">
        <v>5191</v>
      </c>
      <c r="B50" s="21">
        <f t="shared" si="7"/>
        <v>38</v>
      </c>
      <c r="C50" s="13" t="str">
        <f t="shared" si="13"/>
        <v>C004_疾患開始日</v>
      </c>
      <c r="D50" s="13" t="s">
        <v>4800</v>
      </c>
      <c r="E50" s="8"/>
      <c r="F50" s="7" t="s">
        <v>4348</v>
      </c>
      <c r="G50" s="7" t="s">
        <v>25</v>
      </c>
      <c r="H50" s="58"/>
      <c r="I50" s="23"/>
      <c r="J50" s="24"/>
      <c r="M50" s="4"/>
      <c r="N50" s="76"/>
      <c r="O50" s="76"/>
      <c r="P50" s="76" t="str">
        <f t="shared" si="8"/>
        <v>,shikkan32_start_date</v>
      </c>
      <c r="Q50" s="76" t="str">
        <f t="shared" si="9"/>
        <v>DATE</v>
      </c>
      <c r="R50" s="76" t="str">
        <f t="shared" si="10"/>
        <v/>
      </c>
      <c r="S50" s="76" t="str">
        <f t="shared" si="11"/>
        <v/>
      </c>
      <c r="T50" s="76" t="str">
        <f t="shared" si="12"/>
        <v>-- C004_疾患開始日</v>
      </c>
      <c r="U50" s="4" t="str">
        <f t="shared" si="14"/>
        <v>, CASE WHEN shikkan_disp_name = 'C004' THEN min_shikkan_start_date ::DATE ELSE NULL END AS shikkan32_start_date</v>
      </c>
      <c r="V50" s="25" t="str">
        <f t="shared" si="15"/>
        <v>, max(shikkan32_start_date)</v>
      </c>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milscm_2023_009.sny_202310_annony_non_annony2.shikkan32_start_date IS 'C004_疾患開始日';</v>
      </c>
    </row>
    <row r="51" spans="1:45" s="25" customFormat="1">
      <c r="A51" s="4" t="s">
        <v>5192</v>
      </c>
      <c r="B51" s="21">
        <f t="shared" si="7"/>
        <v>39</v>
      </c>
      <c r="C51" s="13" t="str">
        <f t="shared" si="13"/>
        <v>C005_疾患開始日</v>
      </c>
      <c r="D51" s="13" t="s">
        <v>4801</v>
      </c>
      <c r="E51" s="8"/>
      <c r="F51" s="7" t="s">
        <v>4348</v>
      </c>
      <c r="G51" s="7" t="s">
        <v>99</v>
      </c>
      <c r="H51" s="58"/>
      <c r="I51" s="23"/>
      <c r="J51" s="24"/>
      <c r="M51" s="4"/>
      <c r="N51" s="76"/>
      <c r="O51" s="76"/>
      <c r="P51" s="76" t="str">
        <f t="shared" si="8"/>
        <v>,shikkan33_start_date</v>
      </c>
      <c r="Q51" s="76" t="str">
        <f t="shared" si="9"/>
        <v>DATE</v>
      </c>
      <c r="R51" s="76" t="str">
        <f t="shared" si="10"/>
        <v/>
      </c>
      <c r="S51" s="76" t="str">
        <f t="shared" si="11"/>
        <v/>
      </c>
      <c r="T51" s="76" t="str">
        <f t="shared" si="12"/>
        <v>-- C005_疾患開始日</v>
      </c>
      <c r="U51" s="4" t="str">
        <f t="shared" si="14"/>
        <v>, CASE WHEN shikkan_disp_name = 'C005' THEN min_shikkan_start_date ::DATE ELSE NULL END AS shikkan33_start_date</v>
      </c>
      <c r="V51" s="25" t="str">
        <f t="shared" si="15"/>
        <v>, max(shikkan33_start_date)</v>
      </c>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milscm_2023_009.sny_202310_annony_non_annony2.shikkan33_start_date IS 'C005_疾患開始日';</v>
      </c>
    </row>
    <row r="52" spans="1:45" s="25" customFormat="1">
      <c r="A52" s="4" t="s">
        <v>5193</v>
      </c>
      <c r="B52" s="21">
        <f t="shared" si="7"/>
        <v>40</v>
      </c>
      <c r="C52" s="13" t="str">
        <f t="shared" si="13"/>
        <v>C006_疾患開始日</v>
      </c>
      <c r="D52" s="13" t="s">
        <v>4802</v>
      </c>
      <c r="E52" s="8"/>
      <c r="F52" s="7" t="s">
        <v>4348</v>
      </c>
      <c r="G52" s="7" t="s">
        <v>25</v>
      </c>
      <c r="H52" s="58"/>
      <c r="I52" s="23"/>
      <c r="J52" s="24"/>
      <c r="M52" s="4"/>
      <c r="N52" s="76"/>
      <c r="O52" s="76"/>
      <c r="P52" s="76" t="str">
        <f t="shared" si="8"/>
        <v>,shikkan34_start_date</v>
      </c>
      <c r="Q52" s="76" t="str">
        <f t="shared" si="9"/>
        <v>DATE</v>
      </c>
      <c r="R52" s="76" t="str">
        <f t="shared" si="10"/>
        <v/>
      </c>
      <c r="S52" s="76" t="str">
        <f t="shared" si="11"/>
        <v/>
      </c>
      <c r="T52" s="76" t="str">
        <f t="shared" si="12"/>
        <v>-- C006_疾患開始日</v>
      </c>
      <c r="U52" s="4" t="str">
        <f t="shared" si="14"/>
        <v>, CASE WHEN shikkan_disp_name = 'C006' THEN min_shikkan_start_date ::DATE ELSE NULL END AS shikkan34_start_date</v>
      </c>
      <c r="V52" s="25" t="str">
        <f t="shared" si="15"/>
        <v>, max(shikkan34_start_date)</v>
      </c>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milscm_2023_009.sny_202310_annony_non_annony2.shikkan34_start_date IS 'C006_疾患開始日';</v>
      </c>
    </row>
    <row r="53" spans="1:45" s="25" customFormat="1">
      <c r="A53" s="4" t="s">
        <v>5194</v>
      </c>
      <c r="B53" s="21">
        <f t="shared" si="7"/>
        <v>41</v>
      </c>
      <c r="C53" s="13" t="str">
        <f t="shared" si="13"/>
        <v>C008_疾患開始日</v>
      </c>
      <c r="D53" s="13" t="s">
        <v>4803</v>
      </c>
      <c r="E53" s="8"/>
      <c r="F53" s="7" t="s">
        <v>4348</v>
      </c>
      <c r="G53" s="7" t="s">
        <v>25</v>
      </c>
      <c r="H53" s="58"/>
      <c r="I53" s="23"/>
      <c r="J53" s="24"/>
      <c r="M53" s="4"/>
      <c r="N53" s="76"/>
      <c r="O53" s="76"/>
      <c r="P53" s="76" t="str">
        <f t="shared" si="8"/>
        <v>,shikkan35_start_date</v>
      </c>
      <c r="Q53" s="76" t="str">
        <f t="shared" si="9"/>
        <v>DATE</v>
      </c>
      <c r="R53" s="76" t="str">
        <f t="shared" si="10"/>
        <v/>
      </c>
      <c r="S53" s="76" t="str">
        <f t="shared" si="11"/>
        <v/>
      </c>
      <c r="T53" s="76" t="str">
        <f t="shared" si="12"/>
        <v>-- C008_疾患開始日</v>
      </c>
      <c r="U53" s="4" t="str">
        <f t="shared" si="14"/>
        <v>, CASE WHEN shikkan_disp_name = 'C008' THEN min_shikkan_start_date ::DATE ELSE NULL END AS shikkan35_start_date</v>
      </c>
      <c r="V53" s="25" t="str">
        <f t="shared" si="15"/>
        <v>, max(shikkan35_start_date)</v>
      </c>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milscm_2023_009.sny_202310_annony_non_annony2.shikkan35_start_date IS 'C008_疾患開始日';</v>
      </c>
    </row>
    <row r="54" spans="1:45" s="25" customFormat="1">
      <c r="A54" s="4" t="s">
        <v>5195</v>
      </c>
      <c r="B54" s="21">
        <f t="shared" si="7"/>
        <v>42</v>
      </c>
      <c r="C54" s="13" t="str">
        <f t="shared" si="13"/>
        <v>C009_疾患開始日</v>
      </c>
      <c r="D54" s="13" t="s">
        <v>4804</v>
      </c>
      <c r="E54" s="8"/>
      <c r="F54" s="7" t="s">
        <v>4348</v>
      </c>
      <c r="G54" s="7" t="s">
        <v>25</v>
      </c>
      <c r="H54" s="58"/>
      <c r="I54" s="23"/>
      <c r="J54" s="24"/>
      <c r="M54" s="4"/>
      <c r="N54" s="76"/>
      <c r="O54" s="76"/>
      <c r="P54" s="76" t="str">
        <f t="shared" si="8"/>
        <v>,shikkan36_start_date</v>
      </c>
      <c r="Q54" s="76" t="str">
        <f t="shared" si="9"/>
        <v>DATE</v>
      </c>
      <c r="R54" s="76" t="str">
        <f t="shared" si="10"/>
        <v/>
      </c>
      <c r="S54" s="76" t="str">
        <f t="shared" si="11"/>
        <v/>
      </c>
      <c r="T54" s="76" t="str">
        <f t="shared" si="12"/>
        <v>-- C009_疾患開始日</v>
      </c>
      <c r="U54" s="4" t="str">
        <f t="shared" si="14"/>
        <v>, CASE WHEN shikkan_disp_name = 'C009' THEN min_shikkan_start_date ::DATE ELSE NULL END AS shikkan36_start_date</v>
      </c>
      <c r="V54" s="25" t="str">
        <f t="shared" si="15"/>
        <v>, max(shikkan36_start_date)</v>
      </c>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milscm_2023_009.sny_202310_annony_non_annony2.shikkan36_start_date IS 'C009_疾患開始日';</v>
      </c>
    </row>
    <row r="55" spans="1:45" s="25" customFormat="1">
      <c r="A55" s="4" t="s">
        <v>5140</v>
      </c>
      <c r="B55" s="21">
        <f t="shared" si="7"/>
        <v>43</v>
      </c>
      <c r="C55" s="13" t="str">
        <f t="shared" si="13"/>
        <v>C01_疾患開始日</v>
      </c>
      <c r="D55" s="13" t="s">
        <v>4805</v>
      </c>
      <c r="E55" s="8"/>
      <c r="F55" s="7" t="s">
        <v>4348</v>
      </c>
      <c r="G55" s="7" t="s">
        <v>25</v>
      </c>
      <c r="H55" s="58"/>
      <c r="I55" s="23"/>
      <c r="J55" s="24"/>
      <c r="M55" s="4"/>
      <c r="N55" s="76"/>
      <c r="O55" s="76"/>
      <c r="P55" s="76" t="str">
        <f t="shared" si="8"/>
        <v>,shikkan37_start_date</v>
      </c>
      <c r="Q55" s="76" t="str">
        <f t="shared" si="9"/>
        <v>DATE</v>
      </c>
      <c r="R55" s="76" t="str">
        <f t="shared" si="10"/>
        <v/>
      </c>
      <c r="S55" s="76" t="str">
        <f t="shared" si="11"/>
        <v/>
      </c>
      <c r="T55" s="76" t="str">
        <f t="shared" si="12"/>
        <v>-- C01_疾患開始日</v>
      </c>
      <c r="U55" s="4" t="str">
        <f t="shared" si="14"/>
        <v>, CASE WHEN shikkan_disp_name = 'C01' THEN min_shikkan_start_date ::DATE ELSE NULL END AS shikkan37_start_date</v>
      </c>
      <c r="V55" s="25" t="str">
        <f t="shared" si="15"/>
        <v>, max(shikkan37_start_date)</v>
      </c>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milscm_2023_009.sny_202310_annony_non_annony2.shikkan37_start_date IS 'C01_疾患開始日';</v>
      </c>
    </row>
    <row r="56" spans="1:45" s="25" customFormat="1">
      <c r="A56" s="4" t="s">
        <v>5196</v>
      </c>
      <c r="B56" s="21">
        <f t="shared" si="7"/>
        <v>44</v>
      </c>
      <c r="C56" s="13" t="str">
        <f t="shared" si="13"/>
        <v>C020_疾患開始日</v>
      </c>
      <c r="D56" s="13" t="s">
        <v>4806</v>
      </c>
      <c r="E56" s="8"/>
      <c r="F56" s="7" t="s">
        <v>4348</v>
      </c>
      <c r="G56" s="7" t="s">
        <v>25</v>
      </c>
      <c r="H56" s="58"/>
      <c r="I56" s="23"/>
      <c r="J56" s="24"/>
      <c r="M56" s="4"/>
      <c r="N56" s="76"/>
      <c r="O56" s="76"/>
      <c r="P56" s="76" t="str">
        <f t="shared" si="8"/>
        <v>,shikkan38_start_date</v>
      </c>
      <c r="Q56" s="76" t="str">
        <f t="shared" si="9"/>
        <v>DATE</v>
      </c>
      <c r="R56" s="76" t="str">
        <f t="shared" si="10"/>
        <v/>
      </c>
      <c r="S56" s="76" t="str">
        <f t="shared" si="11"/>
        <v/>
      </c>
      <c r="T56" s="76" t="str">
        <f t="shared" si="12"/>
        <v>-- C020_疾患開始日</v>
      </c>
      <c r="U56" s="4" t="str">
        <f t="shared" si="14"/>
        <v>, CASE WHEN shikkan_disp_name = 'C020' THEN min_shikkan_start_date ::DATE ELSE NULL END AS shikkan38_start_date</v>
      </c>
      <c r="V56" s="25" t="str">
        <f t="shared" si="15"/>
        <v>, max(shikkan38_start_date)</v>
      </c>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milscm_2023_009.sny_202310_annony_non_annony2.shikkan38_start_date IS 'C020_疾患開始日';</v>
      </c>
    </row>
    <row r="57" spans="1:45" s="25" customFormat="1">
      <c r="A57" s="4" t="s">
        <v>5197</v>
      </c>
      <c r="B57" s="21">
        <f t="shared" si="7"/>
        <v>45</v>
      </c>
      <c r="C57" s="13" t="str">
        <f t="shared" si="13"/>
        <v>C021_疾患開始日</v>
      </c>
      <c r="D57" s="13" t="s">
        <v>4807</v>
      </c>
      <c r="E57" s="8"/>
      <c r="F57" s="7" t="s">
        <v>4348</v>
      </c>
      <c r="G57" s="7" t="s">
        <v>25</v>
      </c>
      <c r="H57" s="58"/>
      <c r="I57" s="23"/>
      <c r="J57" s="24"/>
      <c r="M57" s="4"/>
      <c r="N57" s="76"/>
      <c r="O57" s="76"/>
      <c r="P57" s="76" t="str">
        <f t="shared" si="8"/>
        <v>,shikkan39_start_date</v>
      </c>
      <c r="Q57" s="76" t="str">
        <f t="shared" si="9"/>
        <v>DATE</v>
      </c>
      <c r="R57" s="76" t="str">
        <f t="shared" si="10"/>
        <v/>
      </c>
      <c r="S57" s="76" t="str">
        <f t="shared" si="11"/>
        <v/>
      </c>
      <c r="T57" s="76" t="str">
        <f t="shared" si="12"/>
        <v>-- C021_疾患開始日</v>
      </c>
      <c r="U57" s="4" t="str">
        <f t="shared" si="14"/>
        <v>, CASE WHEN shikkan_disp_name = 'C021' THEN min_shikkan_start_date ::DATE ELSE NULL END AS shikkan39_start_date</v>
      </c>
      <c r="V57" s="25" t="str">
        <f t="shared" si="15"/>
        <v>, max(shikkan39_start_date)</v>
      </c>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milscm_2023_009.sny_202310_annony_non_annony2.shikkan39_start_date IS 'C021_疾患開始日';</v>
      </c>
    </row>
    <row r="58" spans="1:45" s="25" customFormat="1">
      <c r="A58" s="4" t="s">
        <v>5198</v>
      </c>
      <c r="B58" s="21">
        <f t="shared" si="7"/>
        <v>46</v>
      </c>
      <c r="C58" s="13" t="str">
        <f t="shared" si="13"/>
        <v>C022_疾患開始日</v>
      </c>
      <c r="D58" s="13" t="s">
        <v>4808</v>
      </c>
      <c r="E58" s="8"/>
      <c r="F58" s="7" t="s">
        <v>4348</v>
      </c>
      <c r="G58" s="7" t="s">
        <v>25</v>
      </c>
      <c r="H58" s="58"/>
      <c r="I58" s="23"/>
      <c r="J58" s="24"/>
      <c r="M58" s="4"/>
      <c r="N58" s="76"/>
      <c r="O58" s="76"/>
      <c r="P58" s="76" t="str">
        <f t="shared" si="8"/>
        <v>,shikkan40_start_date</v>
      </c>
      <c r="Q58" s="76" t="str">
        <f t="shared" si="9"/>
        <v>DATE</v>
      </c>
      <c r="R58" s="76" t="str">
        <f t="shared" si="10"/>
        <v/>
      </c>
      <c r="S58" s="76" t="str">
        <f t="shared" si="11"/>
        <v/>
      </c>
      <c r="T58" s="76" t="str">
        <f t="shared" si="12"/>
        <v>-- C022_疾患開始日</v>
      </c>
      <c r="U58" s="4" t="str">
        <f t="shared" si="14"/>
        <v>, CASE WHEN shikkan_disp_name = 'C022' THEN min_shikkan_start_date ::DATE ELSE NULL END AS shikkan40_start_date</v>
      </c>
      <c r="V58" s="25" t="str">
        <f t="shared" si="15"/>
        <v>, max(shikkan40_start_date)</v>
      </c>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milscm_2023_009.sny_202310_annony_non_annony2.shikkan40_start_date IS 'C022_疾患開始日';</v>
      </c>
    </row>
    <row r="59" spans="1:45" s="25" customFormat="1">
      <c r="A59" s="4" t="s">
        <v>5199</v>
      </c>
      <c r="B59" s="21">
        <f t="shared" si="7"/>
        <v>47</v>
      </c>
      <c r="C59" s="13" t="str">
        <f t="shared" si="13"/>
        <v>C023_疾患開始日</v>
      </c>
      <c r="D59" s="13" t="s">
        <v>4809</v>
      </c>
      <c r="E59" s="8"/>
      <c r="F59" s="7" t="s">
        <v>4348</v>
      </c>
      <c r="G59" s="7" t="s">
        <v>25</v>
      </c>
      <c r="H59" s="58"/>
      <c r="I59" s="23"/>
      <c r="J59" s="24"/>
      <c r="M59" s="4"/>
      <c r="N59" s="76"/>
      <c r="O59" s="76"/>
      <c r="P59" s="76" t="str">
        <f t="shared" si="8"/>
        <v>,shikkan41_start_date</v>
      </c>
      <c r="Q59" s="76" t="str">
        <f t="shared" si="9"/>
        <v>DATE</v>
      </c>
      <c r="R59" s="76" t="str">
        <f t="shared" si="10"/>
        <v/>
      </c>
      <c r="S59" s="76" t="str">
        <f t="shared" si="11"/>
        <v/>
      </c>
      <c r="T59" s="76" t="str">
        <f t="shared" si="12"/>
        <v>-- C023_疾患開始日</v>
      </c>
      <c r="U59" s="4" t="str">
        <f t="shared" si="14"/>
        <v>, CASE WHEN shikkan_disp_name = 'C023' THEN min_shikkan_start_date ::DATE ELSE NULL END AS shikkan41_start_date</v>
      </c>
      <c r="V59" s="25" t="str">
        <f t="shared" si="15"/>
        <v>, max(shikkan41_start_date)</v>
      </c>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milscm_2023_009.sny_202310_annony_non_annony2.shikkan41_start_date IS 'C023_疾患開始日';</v>
      </c>
    </row>
    <row r="60" spans="1:45" s="25" customFormat="1">
      <c r="A60" s="4" t="s">
        <v>5200</v>
      </c>
      <c r="B60" s="21">
        <f t="shared" si="7"/>
        <v>48</v>
      </c>
      <c r="C60" s="13" t="str">
        <f t="shared" si="13"/>
        <v>C024_疾患開始日</v>
      </c>
      <c r="D60" s="13" t="s">
        <v>4810</v>
      </c>
      <c r="E60" s="8"/>
      <c r="F60" s="7" t="s">
        <v>4348</v>
      </c>
      <c r="G60" s="7" t="s">
        <v>25</v>
      </c>
      <c r="H60" s="58"/>
      <c r="I60" s="23"/>
      <c r="J60" s="24"/>
      <c r="M60" s="4"/>
      <c r="N60" s="76"/>
      <c r="O60" s="76"/>
      <c r="P60" s="76" t="str">
        <f t="shared" si="8"/>
        <v>,shikkan42_start_date</v>
      </c>
      <c r="Q60" s="76" t="str">
        <f t="shared" si="9"/>
        <v>DATE</v>
      </c>
      <c r="R60" s="76" t="str">
        <f t="shared" si="10"/>
        <v/>
      </c>
      <c r="S60" s="76" t="str">
        <f t="shared" si="11"/>
        <v/>
      </c>
      <c r="T60" s="76" t="str">
        <f t="shared" si="12"/>
        <v>-- C024_疾患開始日</v>
      </c>
      <c r="U60" s="4" t="str">
        <f t="shared" si="14"/>
        <v>, CASE WHEN shikkan_disp_name = 'C024' THEN min_shikkan_start_date ::DATE ELSE NULL END AS shikkan42_start_date</v>
      </c>
      <c r="V60" s="25" t="str">
        <f t="shared" si="15"/>
        <v>, max(shikkan42_start_date)</v>
      </c>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milscm_2023_009.sny_202310_annony_non_annony2.shikkan42_start_date IS 'C024_疾患開始日';</v>
      </c>
    </row>
    <row r="61" spans="1:45" s="25" customFormat="1">
      <c r="A61" s="4" t="s">
        <v>5201</v>
      </c>
      <c r="B61" s="21">
        <f t="shared" si="7"/>
        <v>49</v>
      </c>
      <c r="C61" s="13" t="str">
        <f t="shared" si="13"/>
        <v>C028_疾患開始日</v>
      </c>
      <c r="D61" s="13" t="s">
        <v>4811</v>
      </c>
      <c r="E61" s="8"/>
      <c r="F61" s="7" t="s">
        <v>4348</v>
      </c>
      <c r="G61" s="7" t="s">
        <v>25</v>
      </c>
      <c r="H61" s="58"/>
      <c r="I61" s="23"/>
      <c r="J61" s="24"/>
      <c r="M61" s="4"/>
      <c r="N61" s="76"/>
      <c r="O61" s="76"/>
      <c r="P61" s="76" t="str">
        <f t="shared" si="8"/>
        <v>,shikkan43_start_date</v>
      </c>
      <c r="Q61" s="76" t="str">
        <f t="shared" si="9"/>
        <v>DATE</v>
      </c>
      <c r="R61" s="76" t="str">
        <f t="shared" si="10"/>
        <v/>
      </c>
      <c r="S61" s="76" t="str">
        <f t="shared" si="11"/>
        <v/>
      </c>
      <c r="T61" s="76" t="str">
        <f t="shared" si="12"/>
        <v>-- C028_疾患開始日</v>
      </c>
      <c r="U61" s="4" t="str">
        <f t="shared" si="14"/>
        <v>, CASE WHEN shikkan_disp_name = 'C028' THEN min_shikkan_start_date ::DATE ELSE NULL END AS shikkan43_start_date</v>
      </c>
      <c r="V61" s="25" t="str">
        <f t="shared" si="15"/>
        <v>, max(shikkan43_start_date)</v>
      </c>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milscm_2023_009.sny_202310_annony_non_annony2.shikkan43_start_date IS 'C028_疾患開始日';</v>
      </c>
    </row>
    <row r="62" spans="1:45" s="25" customFormat="1">
      <c r="A62" s="4" t="s">
        <v>5202</v>
      </c>
      <c r="B62" s="21">
        <f t="shared" si="7"/>
        <v>50</v>
      </c>
      <c r="C62" s="13" t="str">
        <f t="shared" si="13"/>
        <v>C029_疾患開始日</v>
      </c>
      <c r="D62" s="13" t="s">
        <v>4812</v>
      </c>
      <c r="E62" s="8"/>
      <c r="F62" s="7" t="s">
        <v>4348</v>
      </c>
      <c r="G62" s="7" t="s">
        <v>25</v>
      </c>
      <c r="H62" s="58"/>
      <c r="I62" s="23"/>
      <c r="J62" s="24"/>
      <c r="M62" s="4"/>
      <c r="N62" s="76"/>
      <c r="O62" s="76"/>
      <c r="P62" s="76" t="str">
        <f t="shared" si="8"/>
        <v>,shikkan44_start_date</v>
      </c>
      <c r="Q62" s="76" t="str">
        <f t="shared" si="9"/>
        <v>DATE</v>
      </c>
      <c r="R62" s="76" t="str">
        <f t="shared" si="10"/>
        <v/>
      </c>
      <c r="S62" s="76" t="str">
        <f t="shared" si="11"/>
        <v/>
      </c>
      <c r="T62" s="76" t="str">
        <f t="shared" si="12"/>
        <v>-- C029_疾患開始日</v>
      </c>
      <c r="U62" s="4" t="str">
        <f t="shared" si="14"/>
        <v>, CASE WHEN shikkan_disp_name = 'C029' THEN min_shikkan_start_date ::DATE ELSE NULL END AS shikkan44_start_date</v>
      </c>
      <c r="V62" s="25" t="str">
        <f t="shared" si="15"/>
        <v>, max(shikkan44_start_date)</v>
      </c>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milscm_2023_009.sny_202310_annony_non_annony2.shikkan44_start_date IS 'C029_疾患開始日';</v>
      </c>
    </row>
    <row r="63" spans="1:45" s="25" customFormat="1">
      <c r="A63" s="4" t="s">
        <v>5203</v>
      </c>
      <c r="B63" s="21">
        <f t="shared" si="7"/>
        <v>51</v>
      </c>
      <c r="C63" s="13" t="str">
        <f t="shared" si="13"/>
        <v>C030_疾患開始日</v>
      </c>
      <c r="D63" s="13" t="s">
        <v>4813</v>
      </c>
      <c r="E63" s="8"/>
      <c r="F63" s="7" t="s">
        <v>4348</v>
      </c>
      <c r="G63" s="7" t="s">
        <v>25</v>
      </c>
      <c r="H63" s="58"/>
      <c r="I63" s="23"/>
      <c r="J63" s="24"/>
      <c r="M63" s="4"/>
      <c r="N63" s="76"/>
      <c r="O63" s="76"/>
      <c r="P63" s="76" t="str">
        <f t="shared" si="8"/>
        <v>,shikkan45_start_date</v>
      </c>
      <c r="Q63" s="76" t="str">
        <f t="shared" si="9"/>
        <v>DATE</v>
      </c>
      <c r="R63" s="76" t="str">
        <f t="shared" si="10"/>
        <v/>
      </c>
      <c r="S63" s="76" t="str">
        <f t="shared" si="11"/>
        <v/>
      </c>
      <c r="T63" s="76" t="str">
        <f t="shared" si="12"/>
        <v>-- C030_疾患開始日</v>
      </c>
      <c r="U63" s="4" t="str">
        <f t="shared" si="14"/>
        <v>, CASE WHEN shikkan_disp_name = 'C030' THEN min_shikkan_start_date ::DATE ELSE NULL END AS shikkan45_start_date</v>
      </c>
      <c r="V63" s="25" t="str">
        <f t="shared" si="15"/>
        <v>, max(shikkan45_start_date)</v>
      </c>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milscm_2023_009.sny_202310_annony_non_annony2.shikkan45_start_date IS 'C030_疾患開始日';</v>
      </c>
    </row>
    <row r="64" spans="1:45" s="25" customFormat="1">
      <c r="A64" s="4" t="s">
        <v>5204</v>
      </c>
      <c r="B64" s="21">
        <f t="shared" si="7"/>
        <v>52</v>
      </c>
      <c r="C64" s="13" t="str">
        <f t="shared" si="13"/>
        <v>C031_疾患開始日</v>
      </c>
      <c r="D64" s="13" t="s">
        <v>4814</v>
      </c>
      <c r="E64" s="8"/>
      <c r="F64" s="7" t="s">
        <v>4348</v>
      </c>
      <c r="G64" s="7" t="s">
        <v>25</v>
      </c>
      <c r="H64" s="58"/>
      <c r="I64" s="23"/>
      <c r="J64" s="24"/>
      <c r="M64" s="4"/>
      <c r="N64" s="76"/>
      <c r="O64" s="76"/>
      <c r="P64" s="76" t="str">
        <f t="shared" si="8"/>
        <v>,shikkan46_start_date</v>
      </c>
      <c r="Q64" s="76" t="str">
        <f t="shared" si="9"/>
        <v>DATE</v>
      </c>
      <c r="R64" s="76" t="str">
        <f t="shared" si="10"/>
        <v/>
      </c>
      <c r="S64" s="76" t="str">
        <f t="shared" si="11"/>
        <v/>
      </c>
      <c r="T64" s="76" t="str">
        <f t="shared" si="12"/>
        <v>-- C031_疾患開始日</v>
      </c>
      <c r="U64" s="4" t="str">
        <f t="shared" si="14"/>
        <v>, CASE WHEN shikkan_disp_name = 'C031' THEN min_shikkan_start_date ::DATE ELSE NULL END AS shikkan46_start_date</v>
      </c>
      <c r="V64" s="25" t="str">
        <f t="shared" si="15"/>
        <v>, max(shikkan46_start_date)</v>
      </c>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milscm_2023_009.sny_202310_annony_non_annony2.shikkan46_start_date IS 'C031_疾患開始日';</v>
      </c>
    </row>
    <row r="65" spans="1:45" s="25" customFormat="1">
      <c r="A65" s="4" t="s">
        <v>5205</v>
      </c>
      <c r="B65" s="21">
        <f t="shared" si="7"/>
        <v>53</v>
      </c>
      <c r="C65" s="13" t="str">
        <f t="shared" si="13"/>
        <v>C039_疾患開始日</v>
      </c>
      <c r="D65" s="13" t="s">
        <v>4815</v>
      </c>
      <c r="E65" s="8"/>
      <c r="F65" s="7" t="s">
        <v>4348</v>
      </c>
      <c r="G65" s="7" t="s">
        <v>25</v>
      </c>
      <c r="H65" s="58"/>
      <c r="I65" s="23"/>
      <c r="J65" s="24"/>
      <c r="M65" s="4"/>
      <c r="N65" s="76"/>
      <c r="O65" s="76"/>
      <c r="P65" s="76" t="str">
        <f t="shared" si="8"/>
        <v>,shikkan47_start_date</v>
      </c>
      <c r="Q65" s="76" t="str">
        <f t="shared" si="9"/>
        <v>DATE</v>
      </c>
      <c r="R65" s="76" t="str">
        <f t="shared" si="10"/>
        <v/>
      </c>
      <c r="S65" s="76" t="str">
        <f t="shared" si="11"/>
        <v/>
      </c>
      <c r="T65" s="76" t="str">
        <f t="shared" si="12"/>
        <v>-- C039_疾患開始日</v>
      </c>
      <c r="U65" s="4" t="str">
        <f t="shared" si="14"/>
        <v>, CASE WHEN shikkan_disp_name = 'C039' THEN min_shikkan_start_date ::DATE ELSE NULL END AS shikkan47_start_date</v>
      </c>
      <c r="V65" s="25" t="str">
        <f t="shared" si="15"/>
        <v>, max(shikkan47_start_date)</v>
      </c>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milscm_2023_009.sny_202310_annony_non_annony2.shikkan47_start_date IS 'C039_疾患開始日';</v>
      </c>
    </row>
    <row r="66" spans="1:45" s="25" customFormat="1">
      <c r="A66" s="4" t="s">
        <v>5206</v>
      </c>
      <c r="B66" s="21">
        <f t="shared" si="7"/>
        <v>54</v>
      </c>
      <c r="C66" s="13" t="str">
        <f t="shared" si="13"/>
        <v>C040_疾患開始日</v>
      </c>
      <c r="D66" s="13" t="s">
        <v>4816</v>
      </c>
      <c r="E66" s="8"/>
      <c r="F66" s="7" t="s">
        <v>4348</v>
      </c>
      <c r="G66" s="7" t="s">
        <v>25</v>
      </c>
      <c r="H66" s="58"/>
      <c r="I66" s="23"/>
      <c r="J66" s="24"/>
      <c r="M66" s="4"/>
      <c r="N66" s="76"/>
      <c r="O66" s="76"/>
      <c r="P66" s="76" t="str">
        <f t="shared" si="8"/>
        <v>,shikkan48_start_date</v>
      </c>
      <c r="Q66" s="76" t="str">
        <f t="shared" si="9"/>
        <v>DATE</v>
      </c>
      <c r="R66" s="76" t="str">
        <f t="shared" si="10"/>
        <v/>
      </c>
      <c r="S66" s="76" t="str">
        <f t="shared" si="11"/>
        <v/>
      </c>
      <c r="T66" s="76" t="str">
        <f t="shared" si="12"/>
        <v>-- C040_疾患開始日</v>
      </c>
      <c r="U66" s="4" t="str">
        <f t="shared" si="14"/>
        <v>, CASE WHEN shikkan_disp_name = 'C040' THEN min_shikkan_start_date ::DATE ELSE NULL END AS shikkan48_start_date</v>
      </c>
      <c r="V66" s="25" t="str">
        <f t="shared" si="15"/>
        <v>, max(shikkan48_start_date)</v>
      </c>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milscm_2023_009.sny_202310_annony_non_annony2.shikkan48_start_date IS 'C040_疾患開始日';</v>
      </c>
    </row>
    <row r="67" spans="1:45" s="25" customFormat="1">
      <c r="A67" s="4" t="s">
        <v>5207</v>
      </c>
      <c r="B67" s="21">
        <f t="shared" si="7"/>
        <v>55</v>
      </c>
      <c r="C67" s="13" t="str">
        <f t="shared" si="13"/>
        <v>C041_疾患開始日</v>
      </c>
      <c r="D67" s="13" t="s">
        <v>4817</v>
      </c>
      <c r="E67" s="8"/>
      <c r="F67" s="7" t="s">
        <v>4348</v>
      </c>
      <c r="G67" s="7" t="s">
        <v>99</v>
      </c>
      <c r="H67" s="58"/>
      <c r="I67" s="23"/>
      <c r="J67" s="24"/>
      <c r="M67" s="4"/>
      <c r="N67" s="76"/>
      <c r="O67" s="76"/>
      <c r="P67" s="76" t="str">
        <f t="shared" si="8"/>
        <v>,shikkan49_start_date</v>
      </c>
      <c r="Q67" s="76" t="str">
        <f t="shared" si="9"/>
        <v>DATE</v>
      </c>
      <c r="R67" s="76" t="str">
        <f t="shared" si="10"/>
        <v/>
      </c>
      <c r="S67" s="76" t="str">
        <f t="shared" si="11"/>
        <v/>
      </c>
      <c r="T67" s="76" t="str">
        <f t="shared" si="12"/>
        <v>-- C041_疾患開始日</v>
      </c>
      <c r="U67" s="4" t="str">
        <f t="shared" si="14"/>
        <v>, CASE WHEN shikkan_disp_name = 'C041' THEN min_shikkan_start_date ::DATE ELSE NULL END AS shikkan49_start_date</v>
      </c>
      <c r="V67" s="25" t="str">
        <f t="shared" si="15"/>
        <v>, max(shikkan49_start_date)</v>
      </c>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milscm_2023_009.sny_202310_annony_non_annony2.shikkan49_start_date IS 'C041_疾患開始日';</v>
      </c>
    </row>
    <row r="68" spans="1:45" s="25" customFormat="1">
      <c r="A68" s="4" t="s">
        <v>5208</v>
      </c>
      <c r="B68" s="21">
        <f t="shared" si="7"/>
        <v>56</v>
      </c>
      <c r="C68" s="13" t="str">
        <f t="shared" si="13"/>
        <v>C048_疾患開始日</v>
      </c>
      <c r="D68" s="13" t="s">
        <v>4818</v>
      </c>
      <c r="E68" s="8"/>
      <c r="F68" s="7" t="s">
        <v>4348</v>
      </c>
      <c r="G68" s="7" t="s">
        <v>25</v>
      </c>
      <c r="H68" s="58"/>
      <c r="I68" s="23"/>
      <c r="J68" s="24"/>
      <c r="M68" s="4"/>
      <c r="N68" s="76"/>
      <c r="O68" s="76"/>
      <c r="P68" s="76" t="str">
        <f t="shared" si="8"/>
        <v>,shikkan50_start_date</v>
      </c>
      <c r="Q68" s="76" t="str">
        <f t="shared" si="9"/>
        <v>DATE</v>
      </c>
      <c r="R68" s="76" t="str">
        <f t="shared" si="10"/>
        <v/>
      </c>
      <c r="S68" s="76" t="str">
        <f t="shared" si="11"/>
        <v/>
      </c>
      <c r="T68" s="76" t="str">
        <f t="shared" si="12"/>
        <v>-- C048_疾患開始日</v>
      </c>
      <c r="U68" s="4" t="str">
        <f t="shared" si="14"/>
        <v>, CASE WHEN shikkan_disp_name = 'C048' THEN min_shikkan_start_date ::DATE ELSE NULL END AS shikkan50_start_date</v>
      </c>
      <c r="V68" s="25" t="str">
        <f t="shared" si="15"/>
        <v>, max(shikkan50_start_date)</v>
      </c>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milscm_2023_009.sny_202310_annony_non_annony2.shikkan50_start_date IS 'C048_疾患開始日';</v>
      </c>
    </row>
    <row r="69" spans="1:45" s="25" customFormat="1">
      <c r="A69" s="4" t="s">
        <v>5209</v>
      </c>
      <c r="B69" s="21">
        <f t="shared" si="7"/>
        <v>57</v>
      </c>
      <c r="C69" s="13" t="str">
        <f t="shared" si="13"/>
        <v>C049_疾患開始日</v>
      </c>
      <c r="D69" s="13" t="s">
        <v>4819</v>
      </c>
      <c r="E69" s="8"/>
      <c r="F69" s="7" t="s">
        <v>4348</v>
      </c>
      <c r="G69" s="7" t="s">
        <v>25</v>
      </c>
      <c r="H69" s="58"/>
      <c r="I69" s="23"/>
      <c r="J69" s="24"/>
      <c r="M69" s="4"/>
      <c r="N69" s="76"/>
      <c r="O69" s="76"/>
      <c r="P69" s="76" t="str">
        <f t="shared" si="8"/>
        <v>,shikkan51_start_date</v>
      </c>
      <c r="Q69" s="76" t="str">
        <f t="shared" si="9"/>
        <v>DATE</v>
      </c>
      <c r="R69" s="76" t="str">
        <f t="shared" si="10"/>
        <v/>
      </c>
      <c r="S69" s="76" t="str">
        <f t="shared" si="11"/>
        <v/>
      </c>
      <c r="T69" s="76" t="str">
        <f t="shared" si="12"/>
        <v>-- C049_疾患開始日</v>
      </c>
      <c r="U69" s="4" t="str">
        <f t="shared" si="14"/>
        <v>, CASE WHEN shikkan_disp_name = 'C049' THEN min_shikkan_start_date ::DATE ELSE NULL END AS shikkan51_start_date</v>
      </c>
      <c r="V69" s="25" t="str">
        <f t="shared" si="15"/>
        <v>, max(shikkan51_start_date)</v>
      </c>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milscm_2023_009.sny_202310_annony_non_annony2.shikkan51_start_date IS 'C049_疾患開始日';</v>
      </c>
    </row>
    <row r="70" spans="1:45" s="25" customFormat="1">
      <c r="A70" s="4" t="s">
        <v>5210</v>
      </c>
      <c r="B70" s="21">
        <f t="shared" si="7"/>
        <v>58</v>
      </c>
      <c r="C70" s="13" t="str">
        <f t="shared" si="13"/>
        <v>C050_疾患開始日</v>
      </c>
      <c r="D70" s="13" t="s">
        <v>4820</v>
      </c>
      <c r="E70" s="8"/>
      <c r="F70" s="7" t="s">
        <v>4348</v>
      </c>
      <c r="G70" s="7" t="s">
        <v>25</v>
      </c>
      <c r="H70" s="58"/>
      <c r="I70" s="23"/>
      <c r="J70" s="24"/>
      <c r="M70" s="4"/>
      <c r="N70" s="76"/>
      <c r="O70" s="76"/>
      <c r="P70" s="76" t="str">
        <f t="shared" si="8"/>
        <v>,shikkan52_start_date</v>
      </c>
      <c r="Q70" s="76" t="str">
        <f t="shared" si="9"/>
        <v>DATE</v>
      </c>
      <c r="R70" s="76" t="str">
        <f t="shared" si="10"/>
        <v/>
      </c>
      <c r="S70" s="76" t="str">
        <f t="shared" si="11"/>
        <v/>
      </c>
      <c r="T70" s="76" t="str">
        <f t="shared" si="12"/>
        <v>-- C050_疾患開始日</v>
      </c>
      <c r="U70" s="4" t="str">
        <f t="shared" si="14"/>
        <v>, CASE WHEN shikkan_disp_name = 'C050' THEN min_shikkan_start_date ::DATE ELSE NULL END AS shikkan52_start_date</v>
      </c>
      <c r="V70" s="25" t="str">
        <f t="shared" si="15"/>
        <v>, max(shikkan52_start_date)</v>
      </c>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milscm_2023_009.sny_202310_annony_non_annony2.shikkan52_start_date IS 'C050_疾患開始日';</v>
      </c>
    </row>
    <row r="71" spans="1:45" s="25" customFormat="1">
      <c r="A71" s="4" t="s">
        <v>5211</v>
      </c>
      <c r="B71" s="21">
        <f t="shared" si="7"/>
        <v>59</v>
      </c>
      <c r="C71" s="13" t="str">
        <f t="shared" si="13"/>
        <v>C051_疾患開始日</v>
      </c>
      <c r="D71" s="13" t="s">
        <v>4821</v>
      </c>
      <c r="E71" s="8"/>
      <c r="F71" s="7" t="s">
        <v>4348</v>
      </c>
      <c r="G71" s="7" t="s">
        <v>25</v>
      </c>
      <c r="H71" s="58"/>
      <c r="I71" s="23"/>
      <c r="J71" s="24"/>
      <c r="M71" s="4"/>
      <c r="N71" s="76"/>
      <c r="O71" s="76"/>
      <c r="P71" s="76" t="str">
        <f t="shared" si="8"/>
        <v>,shikkan53_start_date</v>
      </c>
      <c r="Q71" s="76" t="str">
        <f t="shared" si="9"/>
        <v>DATE</v>
      </c>
      <c r="R71" s="76" t="str">
        <f t="shared" si="10"/>
        <v/>
      </c>
      <c r="S71" s="76" t="str">
        <f t="shared" si="11"/>
        <v/>
      </c>
      <c r="T71" s="76" t="str">
        <f t="shared" si="12"/>
        <v>-- C051_疾患開始日</v>
      </c>
      <c r="U71" s="4" t="str">
        <f t="shared" si="14"/>
        <v>, CASE WHEN shikkan_disp_name = 'C051' THEN min_shikkan_start_date ::DATE ELSE NULL END AS shikkan53_start_date</v>
      </c>
      <c r="V71" s="25" t="str">
        <f t="shared" si="15"/>
        <v>, max(shikkan53_start_date)</v>
      </c>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milscm_2023_009.sny_202310_annony_non_annony2.shikkan53_start_date IS 'C051_疾患開始日';</v>
      </c>
    </row>
    <row r="72" spans="1:45" s="25" customFormat="1">
      <c r="A72" s="4" t="s">
        <v>5212</v>
      </c>
      <c r="B72" s="21">
        <f t="shared" si="7"/>
        <v>60</v>
      </c>
      <c r="C72" s="13" t="str">
        <f t="shared" si="13"/>
        <v>C052_疾患開始日</v>
      </c>
      <c r="D72" s="13" t="s">
        <v>4822</v>
      </c>
      <c r="E72" s="8"/>
      <c r="F72" s="7" t="s">
        <v>4348</v>
      </c>
      <c r="G72" s="7" t="s">
        <v>25</v>
      </c>
      <c r="H72" s="58"/>
      <c r="I72" s="23"/>
      <c r="J72" s="24"/>
      <c r="M72" s="4"/>
      <c r="N72" s="76"/>
      <c r="O72" s="76"/>
      <c r="P72" s="76" t="str">
        <f t="shared" si="8"/>
        <v>,shikkan54_start_date</v>
      </c>
      <c r="Q72" s="76" t="str">
        <f t="shared" si="9"/>
        <v>DATE</v>
      </c>
      <c r="R72" s="76" t="str">
        <f t="shared" si="10"/>
        <v/>
      </c>
      <c r="S72" s="76" t="str">
        <f t="shared" si="11"/>
        <v/>
      </c>
      <c r="T72" s="76" t="str">
        <f t="shared" si="12"/>
        <v>-- C052_疾患開始日</v>
      </c>
      <c r="U72" s="4" t="str">
        <f t="shared" si="14"/>
        <v>, CASE WHEN shikkan_disp_name = 'C052' THEN min_shikkan_start_date ::DATE ELSE NULL END AS shikkan54_start_date</v>
      </c>
      <c r="V72" s="25" t="str">
        <f t="shared" si="15"/>
        <v>, max(shikkan54_start_date)</v>
      </c>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milscm_2023_009.sny_202310_annony_non_annony2.shikkan54_start_date IS 'C052_疾患開始日';</v>
      </c>
    </row>
    <row r="73" spans="1:45" s="25" customFormat="1">
      <c r="A73" s="4" t="s">
        <v>5213</v>
      </c>
      <c r="B73" s="21">
        <f t="shared" si="7"/>
        <v>61</v>
      </c>
      <c r="C73" s="13" t="str">
        <f t="shared" si="13"/>
        <v>C058_疾患開始日</v>
      </c>
      <c r="D73" s="13" t="s">
        <v>4823</v>
      </c>
      <c r="E73" s="8"/>
      <c r="F73" s="7" t="s">
        <v>4348</v>
      </c>
      <c r="G73" s="7" t="s">
        <v>25</v>
      </c>
      <c r="H73" s="58"/>
      <c r="I73" s="23"/>
      <c r="J73" s="24"/>
      <c r="M73" s="4"/>
      <c r="N73" s="76"/>
      <c r="O73" s="76"/>
      <c r="P73" s="76" t="str">
        <f t="shared" si="8"/>
        <v>,shikkan55_start_date</v>
      </c>
      <c r="Q73" s="76" t="str">
        <f t="shared" si="9"/>
        <v>DATE</v>
      </c>
      <c r="R73" s="76" t="str">
        <f t="shared" si="10"/>
        <v/>
      </c>
      <c r="S73" s="76" t="str">
        <f t="shared" si="11"/>
        <v/>
      </c>
      <c r="T73" s="76" t="str">
        <f t="shared" si="12"/>
        <v>-- C058_疾患開始日</v>
      </c>
      <c r="U73" s="4" t="str">
        <f t="shared" si="14"/>
        <v>, CASE WHEN shikkan_disp_name = 'C058' THEN min_shikkan_start_date ::DATE ELSE NULL END AS shikkan55_start_date</v>
      </c>
      <c r="V73" s="25" t="str">
        <f t="shared" si="15"/>
        <v>, max(shikkan55_start_date)</v>
      </c>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milscm_2023_009.sny_202310_annony_non_annony2.shikkan55_start_date IS 'C058_疾患開始日';</v>
      </c>
    </row>
    <row r="74" spans="1:45" s="25" customFormat="1">
      <c r="A74" s="4" t="s">
        <v>5214</v>
      </c>
      <c r="B74" s="21">
        <f t="shared" si="7"/>
        <v>62</v>
      </c>
      <c r="C74" s="13" t="str">
        <f t="shared" si="13"/>
        <v>C059_疾患開始日</v>
      </c>
      <c r="D74" s="13" t="s">
        <v>4824</v>
      </c>
      <c r="E74" s="8"/>
      <c r="F74" s="7" t="s">
        <v>4348</v>
      </c>
      <c r="G74" s="7" t="s">
        <v>25</v>
      </c>
      <c r="H74" s="58"/>
      <c r="I74" s="23"/>
      <c r="J74" s="24"/>
      <c r="M74" s="4"/>
      <c r="N74" s="76"/>
      <c r="O74" s="76"/>
      <c r="P74" s="76" t="str">
        <f t="shared" si="8"/>
        <v>,shikkan56_start_date</v>
      </c>
      <c r="Q74" s="76" t="str">
        <f t="shared" si="9"/>
        <v>DATE</v>
      </c>
      <c r="R74" s="76" t="str">
        <f t="shared" si="10"/>
        <v/>
      </c>
      <c r="S74" s="76" t="str">
        <f t="shared" si="11"/>
        <v/>
      </c>
      <c r="T74" s="76" t="str">
        <f t="shared" si="12"/>
        <v>-- C059_疾患開始日</v>
      </c>
      <c r="U74" s="4" t="str">
        <f t="shared" si="14"/>
        <v>, CASE WHEN shikkan_disp_name = 'C059' THEN min_shikkan_start_date ::DATE ELSE NULL END AS shikkan56_start_date</v>
      </c>
      <c r="V74" s="25" t="str">
        <f t="shared" si="15"/>
        <v>, max(shikkan56_start_date)</v>
      </c>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milscm_2023_009.sny_202310_annony_non_annony2.shikkan56_start_date IS 'C059_疾患開始日';</v>
      </c>
    </row>
    <row r="75" spans="1:45" s="25" customFormat="1">
      <c r="A75" s="4" t="s">
        <v>5215</v>
      </c>
      <c r="B75" s="21">
        <f t="shared" si="7"/>
        <v>63</v>
      </c>
      <c r="C75" s="13" t="str">
        <f t="shared" si="13"/>
        <v>C060_疾患開始日</v>
      </c>
      <c r="D75" s="13" t="s">
        <v>4825</v>
      </c>
      <c r="E75" s="8"/>
      <c r="F75" s="7" t="s">
        <v>4348</v>
      </c>
      <c r="G75" s="7" t="s">
        <v>25</v>
      </c>
      <c r="H75" s="58"/>
      <c r="I75" s="23"/>
      <c r="J75" s="24"/>
      <c r="M75" s="4"/>
      <c r="N75" s="76"/>
      <c r="O75" s="76"/>
      <c r="P75" s="76" t="str">
        <f t="shared" si="8"/>
        <v>,shikkan57_start_date</v>
      </c>
      <c r="Q75" s="76" t="str">
        <f t="shared" si="9"/>
        <v>DATE</v>
      </c>
      <c r="R75" s="76" t="str">
        <f t="shared" si="10"/>
        <v/>
      </c>
      <c r="S75" s="76" t="str">
        <f t="shared" si="11"/>
        <v/>
      </c>
      <c r="T75" s="76" t="str">
        <f t="shared" si="12"/>
        <v>-- C060_疾患開始日</v>
      </c>
      <c r="U75" s="4" t="str">
        <f t="shared" si="14"/>
        <v>, CASE WHEN shikkan_disp_name = 'C060' THEN min_shikkan_start_date ::DATE ELSE NULL END AS shikkan57_start_date</v>
      </c>
      <c r="V75" s="25" t="str">
        <f t="shared" si="15"/>
        <v>, max(shikkan57_start_date)</v>
      </c>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milscm_2023_009.sny_202310_annony_non_annony2.shikkan57_start_date IS 'C060_疾患開始日';</v>
      </c>
    </row>
    <row r="76" spans="1:45" s="25" customFormat="1">
      <c r="A76" s="4" t="s">
        <v>5216</v>
      </c>
      <c r="B76" s="21">
        <f t="shared" si="7"/>
        <v>64</v>
      </c>
      <c r="C76" s="13" t="str">
        <f t="shared" si="13"/>
        <v>C061_疾患開始日</v>
      </c>
      <c r="D76" s="13" t="s">
        <v>4826</v>
      </c>
      <c r="E76" s="8"/>
      <c r="F76" s="7" t="s">
        <v>4348</v>
      </c>
      <c r="G76" s="7" t="s">
        <v>25</v>
      </c>
      <c r="H76" s="58"/>
      <c r="I76" s="23"/>
      <c r="J76" s="24"/>
      <c r="M76" s="4"/>
      <c r="N76" s="76"/>
      <c r="O76" s="76"/>
      <c r="P76" s="76" t="str">
        <f t="shared" si="8"/>
        <v>,shikkan58_start_date</v>
      </c>
      <c r="Q76" s="76" t="str">
        <f t="shared" si="9"/>
        <v>DATE</v>
      </c>
      <c r="R76" s="76" t="str">
        <f t="shared" si="10"/>
        <v/>
      </c>
      <c r="S76" s="76" t="str">
        <f t="shared" si="11"/>
        <v/>
      </c>
      <c r="T76" s="76" t="str">
        <f t="shared" si="12"/>
        <v>-- C061_疾患開始日</v>
      </c>
      <c r="U76" s="4" t="str">
        <f t="shared" si="14"/>
        <v>, CASE WHEN shikkan_disp_name = 'C061' THEN min_shikkan_start_date ::DATE ELSE NULL END AS shikkan58_start_date</v>
      </c>
      <c r="V76" s="25" t="str">
        <f t="shared" si="15"/>
        <v>, max(shikkan58_start_date)</v>
      </c>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milscm_2023_009.sny_202310_annony_non_annony2.shikkan58_start_date IS 'C061_疾患開始日';</v>
      </c>
    </row>
    <row r="77" spans="1:45" s="25" customFormat="1">
      <c r="A77" s="4" t="s">
        <v>5217</v>
      </c>
      <c r="B77" s="21">
        <f t="shared" si="7"/>
        <v>65</v>
      </c>
      <c r="C77" s="13" t="str">
        <f t="shared" si="13"/>
        <v>C062_疾患開始日</v>
      </c>
      <c r="D77" s="13" t="s">
        <v>4827</v>
      </c>
      <c r="E77" s="8"/>
      <c r="F77" s="7" t="s">
        <v>4348</v>
      </c>
      <c r="G77" s="7" t="s">
        <v>25</v>
      </c>
      <c r="H77" s="58"/>
      <c r="I77" s="23"/>
      <c r="J77" s="24"/>
      <c r="M77" s="4"/>
      <c r="N77" s="76"/>
      <c r="O77" s="76"/>
      <c r="P77" s="76" t="str">
        <f t="shared" si="8"/>
        <v>,shikkan59_start_date</v>
      </c>
      <c r="Q77" s="76" t="str">
        <f t="shared" si="9"/>
        <v>DATE</v>
      </c>
      <c r="R77" s="76" t="str">
        <f t="shared" si="10"/>
        <v/>
      </c>
      <c r="S77" s="76" t="str">
        <f t="shared" si="11"/>
        <v/>
      </c>
      <c r="T77" s="76" t="str">
        <f t="shared" si="12"/>
        <v>-- C062_疾患開始日</v>
      </c>
      <c r="U77" s="4" t="str">
        <f t="shared" si="14"/>
        <v>, CASE WHEN shikkan_disp_name = 'C062' THEN min_shikkan_start_date ::DATE ELSE NULL END AS shikkan59_start_date</v>
      </c>
      <c r="V77" s="25" t="str">
        <f t="shared" si="15"/>
        <v>, max(shikkan59_start_date)</v>
      </c>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milscm_2023_009.sny_202310_annony_non_annony2.shikkan59_start_date IS 'C062_疾患開始日';</v>
      </c>
    </row>
    <row r="78" spans="1:45" s="25" customFormat="1">
      <c r="A78" s="4" t="s">
        <v>5218</v>
      </c>
      <c r="B78" s="21">
        <f t="shared" si="7"/>
        <v>66</v>
      </c>
      <c r="C78" s="13" t="str">
        <f t="shared" si="13"/>
        <v>C068_疾患開始日</v>
      </c>
      <c r="D78" s="13" t="s">
        <v>4828</v>
      </c>
      <c r="E78" s="8"/>
      <c r="F78" s="7" t="s">
        <v>4348</v>
      </c>
      <c r="G78" s="7" t="s">
        <v>25</v>
      </c>
      <c r="H78" s="58"/>
      <c r="I78" s="23"/>
      <c r="J78" s="24"/>
      <c r="M78" s="4"/>
      <c r="N78" s="76"/>
      <c r="O78" s="76"/>
      <c r="P78" s="76" t="str">
        <f t="shared" si="8"/>
        <v>,shikkan60_start_date</v>
      </c>
      <c r="Q78" s="76" t="str">
        <f t="shared" si="9"/>
        <v>DATE</v>
      </c>
      <c r="R78" s="76" t="str">
        <f t="shared" si="10"/>
        <v/>
      </c>
      <c r="S78" s="76" t="str">
        <f t="shared" si="11"/>
        <v/>
      </c>
      <c r="T78" s="76" t="str">
        <f t="shared" si="12"/>
        <v>-- C068_疾患開始日</v>
      </c>
      <c r="U78" s="4" t="str">
        <f t="shared" si="14"/>
        <v>, CASE WHEN shikkan_disp_name = 'C068' THEN min_shikkan_start_date ::DATE ELSE NULL END AS shikkan60_start_date</v>
      </c>
      <c r="V78" s="25" t="str">
        <f t="shared" si="15"/>
        <v>, max(shikkan60_start_date)</v>
      </c>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milscm_2023_009.sny_202310_annony_non_annony2.shikkan60_start_date IS 'C068_疾患開始日';</v>
      </c>
    </row>
    <row r="79" spans="1:45" s="25" customFormat="1">
      <c r="A79" s="4" t="s">
        <v>5219</v>
      </c>
      <c r="B79" s="21">
        <f t="shared" si="7"/>
        <v>67</v>
      </c>
      <c r="C79" s="13" t="str">
        <f t="shared" si="13"/>
        <v>C069_疾患開始日</v>
      </c>
      <c r="D79" s="13" t="s">
        <v>4829</v>
      </c>
      <c r="E79" s="8"/>
      <c r="F79" s="7" t="s">
        <v>4348</v>
      </c>
      <c r="G79" s="7" t="s">
        <v>25</v>
      </c>
      <c r="H79" s="58"/>
      <c r="I79" s="23"/>
      <c r="J79" s="24"/>
      <c r="M79" s="4"/>
      <c r="N79" s="76"/>
      <c r="O79" s="76"/>
      <c r="P79" s="76" t="str">
        <f t="shared" si="8"/>
        <v>,shikkan61_start_date</v>
      </c>
      <c r="Q79" s="76" t="str">
        <f t="shared" si="9"/>
        <v>DATE</v>
      </c>
      <c r="R79" s="76" t="str">
        <f t="shared" si="10"/>
        <v/>
      </c>
      <c r="S79" s="76" t="str">
        <f t="shared" si="11"/>
        <v/>
      </c>
      <c r="T79" s="76" t="str">
        <f t="shared" si="12"/>
        <v>-- C069_疾患開始日</v>
      </c>
      <c r="U79" s="4" t="str">
        <f t="shared" si="14"/>
        <v>, CASE WHEN shikkan_disp_name = 'C069' THEN min_shikkan_start_date ::DATE ELSE NULL END AS shikkan61_start_date</v>
      </c>
      <c r="V79" s="25" t="str">
        <f t="shared" si="15"/>
        <v>, max(shikkan61_start_date)</v>
      </c>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milscm_2023_009.sny_202310_annony_non_annony2.shikkan61_start_date IS 'C069_疾患開始日';</v>
      </c>
    </row>
    <row r="80" spans="1:45" s="25" customFormat="1">
      <c r="A80" s="4" t="s">
        <v>5141</v>
      </c>
      <c r="B80" s="21">
        <f t="shared" si="7"/>
        <v>68</v>
      </c>
      <c r="C80" s="13" t="str">
        <f t="shared" si="13"/>
        <v>C07_疾患開始日</v>
      </c>
      <c r="D80" s="13" t="s">
        <v>4830</v>
      </c>
      <c r="E80" s="8"/>
      <c r="F80" s="7" t="s">
        <v>4348</v>
      </c>
      <c r="G80" s="7" t="s">
        <v>25</v>
      </c>
      <c r="H80" s="58"/>
      <c r="I80" s="23"/>
      <c r="J80" s="24"/>
      <c r="M80" s="4"/>
      <c r="N80" s="76"/>
      <c r="O80" s="76"/>
      <c r="P80" s="76" t="str">
        <f t="shared" si="8"/>
        <v>,shikkan62_start_date</v>
      </c>
      <c r="Q80" s="76" t="str">
        <f t="shared" si="9"/>
        <v>DATE</v>
      </c>
      <c r="R80" s="76" t="str">
        <f t="shared" si="10"/>
        <v/>
      </c>
      <c r="S80" s="76" t="str">
        <f t="shared" si="11"/>
        <v/>
      </c>
      <c r="T80" s="76" t="str">
        <f t="shared" si="12"/>
        <v>-- C07_疾患開始日</v>
      </c>
      <c r="U80" s="4" t="str">
        <f t="shared" si="14"/>
        <v>, CASE WHEN shikkan_disp_name = 'C07' THEN min_shikkan_start_date ::DATE ELSE NULL END AS shikkan62_start_date</v>
      </c>
      <c r="V80" s="25" t="str">
        <f t="shared" si="15"/>
        <v>, max(shikkan62_start_date)</v>
      </c>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milscm_2023_009.sny_202310_annony_non_annony2.shikkan62_start_date IS 'C07_疾患開始日';</v>
      </c>
    </row>
    <row r="81" spans="1:45" s="25" customFormat="1">
      <c r="A81" s="4" t="s">
        <v>5220</v>
      </c>
      <c r="B81" s="21">
        <f t="shared" si="7"/>
        <v>69</v>
      </c>
      <c r="C81" s="13" t="str">
        <f t="shared" si="13"/>
        <v>C080_疾患開始日</v>
      </c>
      <c r="D81" s="13" t="s">
        <v>4831</v>
      </c>
      <c r="E81" s="8"/>
      <c r="F81" s="7" t="s">
        <v>4348</v>
      </c>
      <c r="G81" s="7" t="s">
        <v>25</v>
      </c>
      <c r="H81" s="58"/>
      <c r="I81" s="23"/>
      <c r="J81" s="24"/>
      <c r="M81" s="4"/>
      <c r="N81" s="76"/>
      <c r="O81" s="76"/>
      <c r="P81" s="76" t="str">
        <f t="shared" si="8"/>
        <v>,shikkan63_start_date</v>
      </c>
      <c r="Q81" s="76" t="str">
        <f t="shared" si="9"/>
        <v>DATE</v>
      </c>
      <c r="R81" s="76" t="str">
        <f t="shared" si="10"/>
        <v/>
      </c>
      <c r="S81" s="76" t="str">
        <f t="shared" si="11"/>
        <v/>
      </c>
      <c r="T81" s="76" t="str">
        <f t="shared" si="12"/>
        <v>-- C080_疾患開始日</v>
      </c>
      <c r="U81" s="4" t="str">
        <f t="shared" si="14"/>
        <v>, CASE WHEN shikkan_disp_name = 'C080' THEN min_shikkan_start_date ::DATE ELSE NULL END AS shikkan63_start_date</v>
      </c>
      <c r="V81" s="25" t="str">
        <f t="shared" si="15"/>
        <v>, max(shikkan63_start_date)</v>
      </c>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milscm_2023_009.sny_202310_annony_non_annony2.shikkan63_start_date IS 'C080_疾患開始日';</v>
      </c>
    </row>
    <row r="82" spans="1:45" s="25" customFormat="1">
      <c r="A82" s="4" t="s">
        <v>5221</v>
      </c>
      <c r="B82" s="21">
        <f t="shared" si="7"/>
        <v>70</v>
      </c>
      <c r="C82" s="13" t="str">
        <f t="shared" si="13"/>
        <v>C081_疾患開始日</v>
      </c>
      <c r="D82" s="13" t="s">
        <v>4832</v>
      </c>
      <c r="E82" s="8"/>
      <c r="F82" s="7" t="s">
        <v>4348</v>
      </c>
      <c r="G82" s="7" t="s">
        <v>25</v>
      </c>
      <c r="H82" s="58"/>
      <c r="I82" s="23"/>
      <c r="J82" s="24"/>
      <c r="M82" s="4"/>
      <c r="N82" s="76"/>
      <c r="O82" s="76"/>
      <c r="P82" s="76" t="str">
        <f t="shared" si="8"/>
        <v>,shikkan64_start_date</v>
      </c>
      <c r="Q82" s="76" t="str">
        <f t="shared" si="9"/>
        <v>DATE</v>
      </c>
      <c r="R82" s="76" t="str">
        <f t="shared" si="10"/>
        <v/>
      </c>
      <c r="S82" s="76" t="str">
        <f t="shared" si="11"/>
        <v/>
      </c>
      <c r="T82" s="76" t="str">
        <f t="shared" si="12"/>
        <v>-- C081_疾患開始日</v>
      </c>
      <c r="U82" s="4" t="str">
        <f t="shared" si="14"/>
        <v>, CASE WHEN shikkan_disp_name = 'C081' THEN min_shikkan_start_date ::DATE ELSE NULL END AS shikkan64_start_date</v>
      </c>
      <c r="V82" s="25" t="str">
        <f t="shared" si="15"/>
        <v>, max(shikkan64_start_date)</v>
      </c>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milscm_2023_009.sny_202310_annony_non_annony2.shikkan64_start_date IS 'C081_疾患開始日';</v>
      </c>
    </row>
    <row r="83" spans="1:45" s="25" customFormat="1">
      <c r="A83" s="4" t="s">
        <v>5222</v>
      </c>
      <c r="B83" s="21">
        <f t="shared" si="7"/>
        <v>71</v>
      </c>
      <c r="C83" s="13" t="str">
        <f t="shared" si="13"/>
        <v>C088_疾患開始日</v>
      </c>
      <c r="D83" s="13" t="s">
        <v>4833</v>
      </c>
      <c r="E83" s="8"/>
      <c r="F83" s="7" t="s">
        <v>4348</v>
      </c>
      <c r="G83" s="7" t="s">
        <v>99</v>
      </c>
      <c r="H83" s="58"/>
      <c r="I83" s="23"/>
      <c r="J83" s="24"/>
      <c r="M83" s="4"/>
      <c r="N83" s="76"/>
      <c r="O83" s="76"/>
      <c r="P83" s="76" t="str">
        <f t="shared" si="8"/>
        <v>,shikkan65_start_date</v>
      </c>
      <c r="Q83" s="76" t="str">
        <f t="shared" si="9"/>
        <v>DATE</v>
      </c>
      <c r="R83" s="76" t="str">
        <f t="shared" si="10"/>
        <v/>
      </c>
      <c r="S83" s="76" t="str">
        <f t="shared" si="11"/>
        <v/>
      </c>
      <c r="T83" s="76" t="str">
        <f t="shared" si="12"/>
        <v>-- C088_疾患開始日</v>
      </c>
      <c r="U83" s="4" t="str">
        <f t="shared" si="14"/>
        <v>, CASE WHEN shikkan_disp_name = 'C088' THEN min_shikkan_start_date ::DATE ELSE NULL END AS shikkan65_start_date</v>
      </c>
      <c r="V83" s="25" t="str">
        <f t="shared" si="15"/>
        <v>, max(shikkan65_start_date)</v>
      </c>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milscm_2023_009.sny_202310_annony_non_annony2.shikkan65_start_date IS 'C088_疾患開始日';</v>
      </c>
    </row>
    <row r="84" spans="1:45" s="25" customFormat="1">
      <c r="A84" s="4" t="s">
        <v>5223</v>
      </c>
      <c r="B84" s="21">
        <f t="shared" ref="B84:B147" si="16">ROW()-12</f>
        <v>72</v>
      </c>
      <c r="C84" s="13" t="str">
        <f t="shared" ref="C84:C147" si="17">A84&amp;"_疾患開始日"</f>
        <v>C089_疾患開始日</v>
      </c>
      <c r="D84" s="13" t="s">
        <v>4834</v>
      </c>
      <c r="E84" s="8"/>
      <c r="F84" s="7" t="s">
        <v>4348</v>
      </c>
      <c r="G84" s="7" t="s">
        <v>25</v>
      </c>
      <c r="H84" s="58"/>
      <c r="I84" s="23"/>
      <c r="J84" s="24"/>
      <c r="M84" s="4"/>
      <c r="N84" s="76"/>
      <c r="O84" s="76"/>
      <c r="P84" s="76" t="str">
        <f t="shared" si="8"/>
        <v>,shikkan66_start_date</v>
      </c>
      <c r="Q84" s="76" t="str">
        <f t="shared" si="9"/>
        <v>DATE</v>
      </c>
      <c r="R84" s="76" t="str">
        <f t="shared" si="10"/>
        <v/>
      </c>
      <c r="S84" s="76" t="str">
        <f t="shared" si="11"/>
        <v/>
      </c>
      <c r="T84" s="76" t="str">
        <f t="shared" si="12"/>
        <v>-- C089_疾患開始日</v>
      </c>
      <c r="U84" s="4" t="str">
        <f t="shared" ref="U84:U147" si="18">", CASE WHEN shikkan_disp_name = '"&amp;A84&amp;"' THEN min_shikkan_start_date ::DATE ELSE NULL END AS "&amp;D84</f>
        <v>, CASE WHEN shikkan_disp_name = 'C089' THEN min_shikkan_start_date ::DATE ELSE NULL END AS shikkan66_start_date</v>
      </c>
      <c r="V84" s="25" t="str">
        <f t="shared" ref="V84:V147" si="19">", max("&amp;D84&amp;")"</f>
        <v>, max(shikkan66_start_date)</v>
      </c>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milscm_2023_009.sny_202310_annony_non_annony2.shikkan66_start_date IS 'C089_疾患開始日';</v>
      </c>
    </row>
    <row r="85" spans="1:45" s="25" customFormat="1">
      <c r="A85" s="4" t="s">
        <v>5224</v>
      </c>
      <c r="B85" s="21">
        <f t="shared" si="16"/>
        <v>73</v>
      </c>
      <c r="C85" s="13" t="str">
        <f t="shared" si="17"/>
        <v>C090_疾患開始日</v>
      </c>
      <c r="D85" s="13" t="s">
        <v>4835</v>
      </c>
      <c r="E85" s="8"/>
      <c r="F85" s="7" t="s">
        <v>4348</v>
      </c>
      <c r="G85" s="7" t="s">
        <v>25</v>
      </c>
      <c r="H85" s="58"/>
      <c r="I85" s="23"/>
      <c r="J85" s="24"/>
      <c r="M85" s="4"/>
      <c r="N85" s="76"/>
      <c r="O85" s="76"/>
      <c r="P85" s="76" t="str">
        <f t="shared" si="8"/>
        <v>,shikkan67_start_date</v>
      </c>
      <c r="Q85" s="76" t="str">
        <f t="shared" si="9"/>
        <v>DATE</v>
      </c>
      <c r="R85" s="76" t="str">
        <f t="shared" si="10"/>
        <v/>
      </c>
      <c r="S85" s="76" t="str">
        <f t="shared" si="11"/>
        <v/>
      </c>
      <c r="T85" s="76" t="str">
        <f t="shared" si="12"/>
        <v>-- C090_疾患開始日</v>
      </c>
      <c r="U85" s="4" t="str">
        <f t="shared" si="18"/>
        <v>, CASE WHEN shikkan_disp_name = 'C090' THEN min_shikkan_start_date ::DATE ELSE NULL END AS shikkan67_start_date</v>
      </c>
      <c r="V85" s="25" t="str">
        <f t="shared" si="19"/>
        <v>, max(shikkan67_start_date)</v>
      </c>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milscm_2023_009.sny_202310_annony_non_annony2.shikkan67_start_date IS 'C090_疾患開始日';</v>
      </c>
    </row>
    <row r="86" spans="1:45" s="25" customFormat="1">
      <c r="A86" s="4" t="s">
        <v>5225</v>
      </c>
      <c r="B86" s="21">
        <f t="shared" si="16"/>
        <v>74</v>
      </c>
      <c r="C86" s="13" t="str">
        <f t="shared" si="17"/>
        <v>C091_疾患開始日</v>
      </c>
      <c r="D86" s="13" t="s">
        <v>4836</v>
      </c>
      <c r="E86" s="8"/>
      <c r="F86" s="7" t="s">
        <v>4348</v>
      </c>
      <c r="G86" s="7" t="s">
        <v>25</v>
      </c>
      <c r="H86" s="58"/>
      <c r="I86" s="23"/>
      <c r="J86" s="24"/>
      <c r="M86" s="4"/>
      <c r="N86" s="76"/>
      <c r="O86" s="76"/>
      <c r="P86" s="76" t="str">
        <f t="shared" si="8"/>
        <v>,shikkan68_start_date</v>
      </c>
      <c r="Q86" s="76" t="str">
        <f t="shared" si="9"/>
        <v>DATE</v>
      </c>
      <c r="R86" s="76" t="str">
        <f t="shared" si="10"/>
        <v/>
      </c>
      <c r="S86" s="76" t="str">
        <f t="shared" si="11"/>
        <v/>
      </c>
      <c r="T86" s="76" t="str">
        <f t="shared" si="12"/>
        <v>-- C091_疾患開始日</v>
      </c>
      <c r="U86" s="4" t="str">
        <f t="shared" si="18"/>
        <v>, CASE WHEN shikkan_disp_name = 'C091' THEN min_shikkan_start_date ::DATE ELSE NULL END AS shikkan68_start_date</v>
      </c>
      <c r="V86" s="25" t="str">
        <f t="shared" si="19"/>
        <v>, max(shikkan68_start_date)</v>
      </c>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milscm_2023_009.sny_202310_annony_non_annony2.shikkan68_start_date IS 'C091_疾患開始日';</v>
      </c>
    </row>
    <row r="87" spans="1:45" s="25" customFormat="1">
      <c r="A87" s="4" t="s">
        <v>5226</v>
      </c>
      <c r="B87" s="21">
        <f t="shared" si="16"/>
        <v>75</v>
      </c>
      <c r="C87" s="13" t="str">
        <f t="shared" si="17"/>
        <v>C098_疾患開始日</v>
      </c>
      <c r="D87" s="13" t="s">
        <v>4837</v>
      </c>
      <c r="E87" s="8"/>
      <c r="F87" s="7" t="s">
        <v>4348</v>
      </c>
      <c r="G87" s="7" t="s">
        <v>25</v>
      </c>
      <c r="H87" s="58"/>
      <c r="I87" s="23"/>
      <c r="J87" s="24"/>
      <c r="M87" s="4"/>
      <c r="N87" s="76"/>
      <c r="O87" s="76"/>
      <c r="P87" s="76" t="str">
        <f t="shared" si="8"/>
        <v>,shikkan69_start_date</v>
      </c>
      <c r="Q87" s="76" t="str">
        <f t="shared" si="9"/>
        <v>DATE</v>
      </c>
      <c r="R87" s="76" t="str">
        <f t="shared" si="10"/>
        <v/>
      </c>
      <c r="S87" s="76" t="str">
        <f t="shared" si="11"/>
        <v/>
      </c>
      <c r="T87" s="76" t="str">
        <f t="shared" si="12"/>
        <v>-- C098_疾患開始日</v>
      </c>
      <c r="U87" s="4" t="str">
        <f t="shared" si="18"/>
        <v>, CASE WHEN shikkan_disp_name = 'C098' THEN min_shikkan_start_date ::DATE ELSE NULL END AS shikkan69_start_date</v>
      </c>
      <c r="V87" s="25" t="str">
        <f t="shared" si="19"/>
        <v>, max(shikkan69_start_date)</v>
      </c>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milscm_2023_009.sny_202310_annony_non_annony2.shikkan69_start_date IS 'C098_疾患開始日';</v>
      </c>
    </row>
    <row r="88" spans="1:45" s="25" customFormat="1">
      <c r="A88" s="4" t="s">
        <v>5227</v>
      </c>
      <c r="B88" s="21">
        <f t="shared" si="16"/>
        <v>76</v>
      </c>
      <c r="C88" s="13" t="str">
        <f t="shared" si="17"/>
        <v>C099_疾患開始日</v>
      </c>
      <c r="D88" s="13" t="s">
        <v>4838</v>
      </c>
      <c r="E88" s="8"/>
      <c r="F88" s="7" t="s">
        <v>4348</v>
      </c>
      <c r="G88" s="7" t="s">
        <v>25</v>
      </c>
      <c r="H88" s="58"/>
      <c r="I88" s="23"/>
      <c r="J88" s="24"/>
      <c r="M88" s="4"/>
      <c r="N88" s="76"/>
      <c r="O88" s="76"/>
      <c r="P88" s="76" t="str">
        <f t="shared" si="8"/>
        <v>,shikkan70_start_date</v>
      </c>
      <c r="Q88" s="76" t="str">
        <f t="shared" si="9"/>
        <v>DATE</v>
      </c>
      <c r="R88" s="76" t="str">
        <f t="shared" si="10"/>
        <v/>
      </c>
      <c r="S88" s="76" t="str">
        <f t="shared" si="11"/>
        <v/>
      </c>
      <c r="T88" s="76" t="str">
        <f t="shared" si="12"/>
        <v>-- C099_疾患開始日</v>
      </c>
      <c r="U88" s="4" t="str">
        <f t="shared" si="18"/>
        <v>, CASE WHEN shikkan_disp_name = 'C099' THEN min_shikkan_start_date ::DATE ELSE NULL END AS shikkan70_start_date</v>
      </c>
      <c r="V88" s="25" t="str">
        <f t="shared" si="19"/>
        <v>, max(shikkan70_start_date)</v>
      </c>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milscm_2023_009.sny_202310_annony_non_annony2.shikkan70_start_date IS 'C099_疾患開始日';</v>
      </c>
    </row>
    <row r="89" spans="1:45" s="25" customFormat="1">
      <c r="A89" s="4" t="s">
        <v>5228</v>
      </c>
      <c r="B89" s="21">
        <f t="shared" si="16"/>
        <v>77</v>
      </c>
      <c r="C89" s="13" t="str">
        <f t="shared" si="17"/>
        <v>C100_疾患開始日</v>
      </c>
      <c r="D89" s="13" t="s">
        <v>4839</v>
      </c>
      <c r="E89" s="8"/>
      <c r="F89" s="7" t="s">
        <v>4348</v>
      </c>
      <c r="G89" s="7" t="s">
        <v>25</v>
      </c>
      <c r="H89" s="58"/>
      <c r="I89" s="23"/>
      <c r="J89" s="24"/>
      <c r="M89" s="4"/>
      <c r="N89" s="76"/>
      <c r="O89" s="76"/>
      <c r="P89" s="76" t="str">
        <f t="shared" si="8"/>
        <v>,shikkan71_start_date</v>
      </c>
      <c r="Q89" s="76" t="str">
        <f t="shared" si="9"/>
        <v>DATE</v>
      </c>
      <c r="R89" s="76" t="str">
        <f t="shared" si="10"/>
        <v/>
      </c>
      <c r="S89" s="76" t="str">
        <f t="shared" si="11"/>
        <v/>
      </c>
      <c r="T89" s="76" t="str">
        <f t="shared" si="12"/>
        <v>-- C100_疾患開始日</v>
      </c>
      <c r="U89" s="4" t="str">
        <f t="shared" si="18"/>
        <v>, CASE WHEN shikkan_disp_name = 'C100' THEN min_shikkan_start_date ::DATE ELSE NULL END AS shikkan71_start_date</v>
      </c>
      <c r="V89" s="25" t="str">
        <f t="shared" si="19"/>
        <v>, max(shikkan71_start_date)</v>
      </c>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milscm_2023_009.sny_202310_annony_non_annony2.shikkan71_start_date IS 'C100_疾患開始日';</v>
      </c>
    </row>
    <row r="90" spans="1:45" s="25" customFormat="1">
      <c r="A90" s="4" t="s">
        <v>5229</v>
      </c>
      <c r="B90" s="21">
        <f t="shared" si="16"/>
        <v>78</v>
      </c>
      <c r="C90" s="13" t="str">
        <f t="shared" si="17"/>
        <v>C101_疾患開始日</v>
      </c>
      <c r="D90" s="13" t="s">
        <v>4840</v>
      </c>
      <c r="E90" s="8"/>
      <c r="F90" s="7" t="s">
        <v>4348</v>
      </c>
      <c r="G90" s="7" t="s">
        <v>25</v>
      </c>
      <c r="H90" s="58"/>
      <c r="I90" s="23"/>
      <c r="J90" s="24"/>
      <c r="M90" s="4"/>
      <c r="N90" s="76"/>
      <c r="O90" s="76"/>
      <c r="P90" s="76" t="str">
        <f t="shared" si="8"/>
        <v>,shikkan72_start_date</v>
      </c>
      <c r="Q90" s="76" t="str">
        <f t="shared" si="9"/>
        <v>DATE</v>
      </c>
      <c r="R90" s="76" t="str">
        <f t="shared" si="10"/>
        <v/>
      </c>
      <c r="S90" s="76" t="str">
        <f t="shared" si="11"/>
        <v/>
      </c>
      <c r="T90" s="76" t="str">
        <f t="shared" si="12"/>
        <v>-- C101_疾患開始日</v>
      </c>
      <c r="U90" s="4" t="str">
        <f t="shared" si="18"/>
        <v>, CASE WHEN shikkan_disp_name = 'C101' THEN min_shikkan_start_date ::DATE ELSE NULL END AS shikkan72_start_date</v>
      </c>
      <c r="V90" s="25" t="str">
        <f t="shared" si="19"/>
        <v>, max(shikkan72_start_date)</v>
      </c>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milscm_2023_009.sny_202310_annony_non_annony2.shikkan72_start_date IS 'C101_疾患開始日';</v>
      </c>
    </row>
    <row r="91" spans="1:45" s="25" customFormat="1">
      <c r="A91" s="4" t="s">
        <v>5230</v>
      </c>
      <c r="B91" s="21">
        <f t="shared" si="16"/>
        <v>79</v>
      </c>
      <c r="C91" s="13" t="str">
        <f t="shared" si="17"/>
        <v>C102_疾患開始日</v>
      </c>
      <c r="D91" s="13" t="s">
        <v>4841</v>
      </c>
      <c r="E91" s="8"/>
      <c r="F91" s="7" t="s">
        <v>4348</v>
      </c>
      <c r="G91" s="7" t="s">
        <v>25</v>
      </c>
      <c r="H91" s="58"/>
      <c r="I91" s="23"/>
      <c r="J91" s="24"/>
      <c r="M91" s="4"/>
      <c r="N91" s="76"/>
      <c r="O91" s="76"/>
      <c r="P91" s="76" t="str">
        <f t="shared" si="8"/>
        <v>,shikkan73_start_date</v>
      </c>
      <c r="Q91" s="76" t="str">
        <f t="shared" si="9"/>
        <v>DATE</v>
      </c>
      <c r="R91" s="76" t="str">
        <f t="shared" si="10"/>
        <v/>
      </c>
      <c r="S91" s="76" t="str">
        <f t="shared" si="11"/>
        <v/>
      </c>
      <c r="T91" s="76" t="str">
        <f t="shared" si="12"/>
        <v>-- C102_疾患開始日</v>
      </c>
      <c r="U91" s="4" t="str">
        <f t="shared" si="18"/>
        <v>, CASE WHEN shikkan_disp_name = 'C102' THEN min_shikkan_start_date ::DATE ELSE NULL END AS shikkan73_start_date</v>
      </c>
      <c r="V91" s="25" t="str">
        <f t="shared" si="19"/>
        <v>, max(shikkan73_start_date)</v>
      </c>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milscm_2023_009.sny_202310_annony_non_annony2.shikkan73_start_date IS 'C102_疾患開始日';</v>
      </c>
    </row>
    <row r="92" spans="1:45" s="25" customFormat="1">
      <c r="A92" s="4" t="s">
        <v>5231</v>
      </c>
      <c r="B92" s="21">
        <f t="shared" si="16"/>
        <v>80</v>
      </c>
      <c r="C92" s="13" t="str">
        <f t="shared" si="17"/>
        <v>C103_疾患開始日</v>
      </c>
      <c r="D92" s="13" t="s">
        <v>4842</v>
      </c>
      <c r="E92" s="8"/>
      <c r="F92" s="7" t="s">
        <v>4348</v>
      </c>
      <c r="G92" s="7" t="s">
        <v>25</v>
      </c>
      <c r="H92" s="58"/>
      <c r="I92" s="23"/>
      <c r="J92" s="24"/>
      <c r="M92" s="4"/>
      <c r="N92" s="76"/>
      <c r="O92" s="76"/>
      <c r="P92" s="76" t="str">
        <f t="shared" si="8"/>
        <v>,shikkan74_start_date</v>
      </c>
      <c r="Q92" s="76" t="str">
        <f t="shared" si="9"/>
        <v>DATE</v>
      </c>
      <c r="R92" s="76" t="str">
        <f t="shared" si="10"/>
        <v/>
      </c>
      <c r="S92" s="76" t="str">
        <f t="shared" si="11"/>
        <v/>
      </c>
      <c r="T92" s="76" t="str">
        <f t="shared" si="12"/>
        <v>-- C103_疾患開始日</v>
      </c>
      <c r="U92" s="4" t="str">
        <f t="shared" si="18"/>
        <v>, CASE WHEN shikkan_disp_name = 'C103' THEN min_shikkan_start_date ::DATE ELSE NULL END AS shikkan74_start_date</v>
      </c>
      <c r="V92" s="25" t="str">
        <f t="shared" si="19"/>
        <v>, max(shikkan74_start_date)</v>
      </c>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milscm_2023_009.sny_202310_annony_non_annony2.shikkan74_start_date IS 'C103_疾患開始日';</v>
      </c>
    </row>
    <row r="93" spans="1:45" s="25" customFormat="1">
      <c r="A93" s="4" t="s">
        <v>5232</v>
      </c>
      <c r="B93" s="21">
        <f t="shared" si="16"/>
        <v>81</v>
      </c>
      <c r="C93" s="13" t="str">
        <f t="shared" si="17"/>
        <v>C104_疾患開始日</v>
      </c>
      <c r="D93" s="13" t="s">
        <v>4843</v>
      </c>
      <c r="E93" s="8"/>
      <c r="F93" s="7" t="s">
        <v>4348</v>
      </c>
      <c r="G93" s="7" t="s">
        <v>25</v>
      </c>
      <c r="H93" s="58"/>
      <c r="I93" s="23"/>
      <c r="J93" s="24"/>
      <c r="M93" s="4"/>
      <c r="N93" s="76"/>
      <c r="O93" s="76"/>
      <c r="P93" s="76" t="str">
        <f t="shared" si="8"/>
        <v>,shikkan75_start_date</v>
      </c>
      <c r="Q93" s="76" t="str">
        <f t="shared" si="9"/>
        <v>DATE</v>
      </c>
      <c r="R93" s="76" t="str">
        <f t="shared" si="10"/>
        <v/>
      </c>
      <c r="S93" s="76" t="str">
        <f t="shared" si="11"/>
        <v/>
      </c>
      <c r="T93" s="76" t="str">
        <f t="shared" si="12"/>
        <v>-- C104_疾患開始日</v>
      </c>
      <c r="U93" s="4" t="str">
        <f t="shared" si="18"/>
        <v>, CASE WHEN shikkan_disp_name = 'C104' THEN min_shikkan_start_date ::DATE ELSE NULL END AS shikkan75_start_date</v>
      </c>
      <c r="V93" s="25" t="str">
        <f t="shared" si="19"/>
        <v>, max(shikkan75_start_date)</v>
      </c>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milscm_2023_009.sny_202310_annony_non_annony2.shikkan75_start_date IS 'C104_疾患開始日';</v>
      </c>
    </row>
    <row r="94" spans="1:45" s="25" customFormat="1">
      <c r="A94" s="4" t="s">
        <v>5233</v>
      </c>
      <c r="B94" s="21">
        <f t="shared" si="16"/>
        <v>82</v>
      </c>
      <c r="C94" s="13" t="str">
        <f t="shared" si="17"/>
        <v>C108_疾患開始日</v>
      </c>
      <c r="D94" s="13" t="s">
        <v>4844</v>
      </c>
      <c r="E94" s="8"/>
      <c r="F94" s="7" t="s">
        <v>4348</v>
      </c>
      <c r="G94" s="7" t="s">
        <v>25</v>
      </c>
      <c r="H94" s="58"/>
      <c r="I94" s="23"/>
      <c r="J94" s="24"/>
      <c r="M94" s="4"/>
      <c r="N94" s="76"/>
      <c r="O94" s="76"/>
      <c r="P94" s="76" t="str">
        <f t="shared" si="8"/>
        <v>,shikkan76_start_date</v>
      </c>
      <c r="Q94" s="76" t="str">
        <f t="shared" si="9"/>
        <v>DATE</v>
      </c>
      <c r="R94" s="76" t="str">
        <f t="shared" si="10"/>
        <v/>
      </c>
      <c r="S94" s="76" t="str">
        <f t="shared" si="11"/>
        <v/>
      </c>
      <c r="T94" s="76" t="str">
        <f t="shared" si="12"/>
        <v>-- C108_疾患開始日</v>
      </c>
      <c r="U94" s="4" t="str">
        <f t="shared" si="18"/>
        <v>, CASE WHEN shikkan_disp_name = 'C108' THEN min_shikkan_start_date ::DATE ELSE NULL END AS shikkan76_start_date</v>
      </c>
      <c r="V94" s="25" t="str">
        <f t="shared" si="19"/>
        <v>, max(shikkan76_start_date)</v>
      </c>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milscm_2023_009.sny_202310_annony_non_annony2.shikkan76_start_date IS 'C108_疾患開始日';</v>
      </c>
    </row>
    <row r="95" spans="1:45" s="25" customFormat="1">
      <c r="A95" s="4" t="s">
        <v>5234</v>
      </c>
      <c r="B95" s="21">
        <f t="shared" si="16"/>
        <v>83</v>
      </c>
      <c r="C95" s="13" t="str">
        <f t="shared" si="17"/>
        <v>C109_疾患開始日</v>
      </c>
      <c r="D95" s="13" t="s">
        <v>4845</v>
      </c>
      <c r="E95" s="8"/>
      <c r="F95" s="7" t="s">
        <v>4348</v>
      </c>
      <c r="G95" s="7" t="s">
        <v>25</v>
      </c>
      <c r="H95" s="58"/>
      <c r="I95" s="23"/>
      <c r="J95" s="24"/>
      <c r="M95" s="4"/>
      <c r="N95" s="76"/>
      <c r="O95" s="76"/>
      <c r="P95" s="76" t="str">
        <f t="shared" si="8"/>
        <v>,shikkan77_start_date</v>
      </c>
      <c r="Q95" s="76" t="str">
        <f t="shared" si="9"/>
        <v>DATE</v>
      </c>
      <c r="R95" s="76" t="str">
        <f t="shared" si="10"/>
        <v/>
      </c>
      <c r="S95" s="76" t="str">
        <f t="shared" si="11"/>
        <v/>
      </c>
      <c r="T95" s="76" t="str">
        <f t="shared" si="12"/>
        <v>-- C109_疾患開始日</v>
      </c>
      <c r="U95" s="4" t="str">
        <f t="shared" si="18"/>
        <v>, CASE WHEN shikkan_disp_name = 'C109' THEN min_shikkan_start_date ::DATE ELSE NULL END AS shikkan77_start_date</v>
      </c>
      <c r="V95" s="25" t="str">
        <f t="shared" si="19"/>
        <v>, max(shikkan77_start_date)</v>
      </c>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milscm_2023_009.sny_202310_annony_non_annony2.shikkan77_start_date IS 'C109_疾患開始日';</v>
      </c>
    </row>
    <row r="96" spans="1:45" s="25" customFormat="1">
      <c r="A96" s="4" t="s">
        <v>5235</v>
      </c>
      <c r="B96" s="21">
        <f t="shared" si="16"/>
        <v>84</v>
      </c>
      <c r="C96" s="13" t="str">
        <f t="shared" si="17"/>
        <v>C110_疾患開始日</v>
      </c>
      <c r="D96" s="13" t="s">
        <v>4846</v>
      </c>
      <c r="E96" s="8"/>
      <c r="F96" s="7" t="s">
        <v>4348</v>
      </c>
      <c r="G96" s="7" t="s">
        <v>25</v>
      </c>
      <c r="H96" s="58"/>
      <c r="I96" s="23"/>
      <c r="J96" s="24"/>
      <c r="M96" s="4"/>
      <c r="N96" s="76"/>
      <c r="O96" s="76"/>
      <c r="P96" s="76" t="str">
        <f t="shared" si="8"/>
        <v>,shikkan78_start_date</v>
      </c>
      <c r="Q96" s="76" t="str">
        <f t="shared" si="9"/>
        <v>DATE</v>
      </c>
      <c r="R96" s="76" t="str">
        <f t="shared" si="10"/>
        <v/>
      </c>
      <c r="S96" s="76" t="str">
        <f t="shared" si="11"/>
        <v/>
      </c>
      <c r="T96" s="76" t="str">
        <f t="shared" si="12"/>
        <v>-- C110_疾患開始日</v>
      </c>
      <c r="U96" s="4" t="str">
        <f t="shared" si="18"/>
        <v>, CASE WHEN shikkan_disp_name = 'C110' THEN min_shikkan_start_date ::DATE ELSE NULL END AS shikkan78_start_date</v>
      </c>
      <c r="V96" s="25" t="str">
        <f t="shared" si="19"/>
        <v>, max(shikkan78_start_date)</v>
      </c>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milscm_2023_009.sny_202310_annony_non_annony2.shikkan78_start_date IS 'C110_疾患開始日';</v>
      </c>
    </row>
    <row r="97" spans="1:45" s="25" customFormat="1">
      <c r="A97" s="4" t="s">
        <v>5236</v>
      </c>
      <c r="B97" s="21">
        <f t="shared" si="16"/>
        <v>85</v>
      </c>
      <c r="C97" s="13" t="str">
        <f t="shared" si="17"/>
        <v>C111_疾患開始日</v>
      </c>
      <c r="D97" s="13" t="s">
        <v>4847</v>
      </c>
      <c r="E97" s="8"/>
      <c r="F97" s="7" t="s">
        <v>4348</v>
      </c>
      <c r="G97" s="7" t="s">
        <v>25</v>
      </c>
      <c r="H97" s="58"/>
      <c r="I97" s="23"/>
      <c r="J97" s="24"/>
      <c r="M97" s="4"/>
      <c r="N97" s="76"/>
      <c r="O97" s="76"/>
      <c r="P97" s="76" t="str">
        <f t="shared" si="8"/>
        <v>,shikkan79_start_date</v>
      </c>
      <c r="Q97" s="76" t="str">
        <f t="shared" si="9"/>
        <v>DATE</v>
      </c>
      <c r="R97" s="76" t="str">
        <f t="shared" si="10"/>
        <v/>
      </c>
      <c r="S97" s="76" t="str">
        <f t="shared" si="11"/>
        <v/>
      </c>
      <c r="T97" s="76" t="str">
        <f t="shared" si="12"/>
        <v>-- C111_疾患開始日</v>
      </c>
      <c r="U97" s="4" t="str">
        <f t="shared" si="18"/>
        <v>, CASE WHEN shikkan_disp_name = 'C111' THEN min_shikkan_start_date ::DATE ELSE NULL END AS shikkan79_start_date</v>
      </c>
      <c r="V97" s="25" t="str">
        <f t="shared" si="19"/>
        <v>, max(shikkan79_start_date)</v>
      </c>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milscm_2023_009.sny_202310_annony_non_annony2.shikkan79_start_date IS 'C111_疾患開始日';</v>
      </c>
    </row>
    <row r="98" spans="1:45" s="25" customFormat="1">
      <c r="A98" s="4" t="s">
        <v>5237</v>
      </c>
      <c r="B98" s="21">
        <f t="shared" si="16"/>
        <v>86</v>
      </c>
      <c r="C98" s="13" t="str">
        <f t="shared" si="17"/>
        <v>C112_疾患開始日</v>
      </c>
      <c r="D98" s="13" t="s">
        <v>4848</v>
      </c>
      <c r="E98" s="8"/>
      <c r="F98" s="7" t="s">
        <v>4348</v>
      </c>
      <c r="G98" s="7" t="s">
        <v>25</v>
      </c>
      <c r="H98" s="58"/>
      <c r="I98" s="23"/>
      <c r="J98" s="24"/>
      <c r="M98" s="4"/>
      <c r="N98" s="76"/>
      <c r="O98" s="76"/>
      <c r="P98" s="76" t="str">
        <f t="shared" si="8"/>
        <v>,shikkan80_start_date</v>
      </c>
      <c r="Q98" s="76" t="str">
        <f t="shared" si="9"/>
        <v>DATE</v>
      </c>
      <c r="R98" s="76" t="str">
        <f t="shared" si="10"/>
        <v/>
      </c>
      <c r="S98" s="76" t="str">
        <f t="shared" si="11"/>
        <v/>
      </c>
      <c r="T98" s="76" t="str">
        <f t="shared" si="12"/>
        <v>-- C112_疾患開始日</v>
      </c>
      <c r="U98" s="4" t="str">
        <f t="shared" si="18"/>
        <v>, CASE WHEN shikkan_disp_name = 'C112' THEN min_shikkan_start_date ::DATE ELSE NULL END AS shikkan80_start_date</v>
      </c>
      <c r="V98" s="25" t="str">
        <f t="shared" si="19"/>
        <v>, max(shikkan80_start_date)</v>
      </c>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milscm_2023_009.sny_202310_annony_non_annony2.shikkan80_start_date IS 'C112_疾患開始日';</v>
      </c>
    </row>
    <row r="99" spans="1:45" s="25" customFormat="1">
      <c r="A99" s="4" t="s">
        <v>5238</v>
      </c>
      <c r="B99" s="21">
        <f t="shared" si="16"/>
        <v>87</v>
      </c>
      <c r="C99" s="13" t="str">
        <f t="shared" si="17"/>
        <v>C113_疾患開始日</v>
      </c>
      <c r="D99" s="13" t="s">
        <v>4849</v>
      </c>
      <c r="E99" s="8"/>
      <c r="F99" s="7" t="s">
        <v>4348</v>
      </c>
      <c r="G99" s="7" t="s">
        <v>99</v>
      </c>
      <c r="H99" s="58"/>
      <c r="I99" s="23"/>
      <c r="J99" s="24"/>
      <c r="M99" s="4"/>
      <c r="N99" s="76"/>
      <c r="O99" s="76"/>
      <c r="P99" s="76" t="str">
        <f t="shared" si="8"/>
        <v>,shikkan81_start_date</v>
      </c>
      <c r="Q99" s="76" t="str">
        <f t="shared" si="9"/>
        <v>DATE</v>
      </c>
      <c r="R99" s="76" t="str">
        <f t="shared" si="10"/>
        <v/>
      </c>
      <c r="S99" s="76" t="str">
        <f t="shared" si="11"/>
        <v/>
      </c>
      <c r="T99" s="76" t="str">
        <f t="shared" si="12"/>
        <v>-- C113_疾患開始日</v>
      </c>
      <c r="U99" s="4" t="str">
        <f t="shared" si="18"/>
        <v>, CASE WHEN shikkan_disp_name = 'C113' THEN min_shikkan_start_date ::DATE ELSE NULL END AS shikkan81_start_date</v>
      </c>
      <c r="V99" s="25" t="str">
        <f t="shared" si="19"/>
        <v>, max(shikkan81_start_date)</v>
      </c>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milscm_2023_009.sny_202310_annony_non_annony2.shikkan81_start_date IS 'C113_疾患開始日';</v>
      </c>
    </row>
    <row r="100" spans="1:45" s="25" customFormat="1">
      <c r="A100" s="4" t="s">
        <v>5239</v>
      </c>
      <c r="B100" s="21">
        <f t="shared" si="16"/>
        <v>88</v>
      </c>
      <c r="C100" s="13" t="str">
        <f t="shared" si="17"/>
        <v>C118_疾患開始日</v>
      </c>
      <c r="D100" s="13" t="s">
        <v>4850</v>
      </c>
      <c r="E100" s="8"/>
      <c r="F100" s="7" t="s">
        <v>4348</v>
      </c>
      <c r="G100" s="7" t="s">
        <v>25</v>
      </c>
      <c r="H100" s="58"/>
      <c r="I100" s="23"/>
      <c r="J100" s="24"/>
      <c r="M100" s="4"/>
      <c r="N100" s="76"/>
      <c r="O100" s="76"/>
      <c r="P100" s="76" t="str">
        <f t="shared" si="8"/>
        <v>,shikkan82_start_date</v>
      </c>
      <c r="Q100" s="76" t="str">
        <f t="shared" si="9"/>
        <v>DATE</v>
      </c>
      <c r="R100" s="76" t="str">
        <f t="shared" si="10"/>
        <v/>
      </c>
      <c r="S100" s="76" t="str">
        <f t="shared" si="11"/>
        <v/>
      </c>
      <c r="T100" s="76" t="str">
        <f t="shared" si="12"/>
        <v>-- C118_疾患開始日</v>
      </c>
      <c r="U100" s="4" t="str">
        <f t="shared" si="18"/>
        <v>, CASE WHEN shikkan_disp_name = 'C118' THEN min_shikkan_start_date ::DATE ELSE NULL END AS shikkan82_start_date</v>
      </c>
      <c r="V100" s="25" t="str">
        <f t="shared" si="19"/>
        <v>, max(shikkan82_start_date)</v>
      </c>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milscm_2023_009.sny_202310_annony_non_annony2.shikkan82_start_date IS 'C118_疾患開始日';</v>
      </c>
    </row>
    <row r="101" spans="1:45" s="25" customFormat="1">
      <c r="A101" s="4" t="s">
        <v>5240</v>
      </c>
      <c r="B101" s="21">
        <f t="shared" si="16"/>
        <v>89</v>
      </c>
      <c r="C101" s="13" t="str">
        <f t="shared" si="17"/>
        <v>C119_疾患開始日</v>
      </c>
      <c r="D101" s="13" t="s">
        <v>4851</v>
      </c>
      <c r="E101" s="8"/>
      <c r="F101" s="7" t="s">
        <v>4348</v>
      </c>
      <c r="G101" s="7" t="s">
        <v>25</v>
      </c>
      <c r="H101" s="58"/>
      <c r="I101" s="23"/>
      <c r="J101" s="24"/>
      <c r="M101" s="4"/>
      <c r="N101" s="76"/>
      <c r="O101" s="76"/>
      <c r="P101" s="76" t="str">
        <f t="shared" si="8"/>
        <v>,shikkan83_start_date</v>
      </c>
      <c r="Q101" s="76" t="str">
        <f t="shared" si="9"/>
        <v>DATE</v>
      </c>
      <c r="R101" s="76" t="str">
        <f t="shared" si="10"/>
        <v/>
      </c>
      <c r="S101" s="76" t="str">
        <f t="shared" si="11"/>
        <v/>
      </c>
      <c r="T101" s="76" t="str">
        <f t="shared" si="12"/>
        <v>-- C119_疾患開始日</v>
      </c>
      <c r="U101" s="4" t="str">
        <f t="shared" si="18"/>
        <v>, CASE WHEN shikkan_disp_name = 'C119' THEN min_shikkan_start_date ::DATE ELSE NULL END AS shikkan83_start_date</v>
      </c>
      <c r="V101" s="25" t="str">
        <f t="shared" si="19"/>
        <v>, max(shikkan83_start_date)</v>
      </c>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milscm_2023_009.sny_202310_annony_non_annony2.shikkan83_start_date IS 'C119_疾患開始日';</v>
      </c>
    </row>
    <row r="102" spans="1:45" s="25" customFormat="1">
      <c r="A102" s="4" t="s">
        <v>5142</v>
      </c>
      <c r="B102" s="21">
        <f t="shared" si="16"/>
        <v>90</v>
      </c>
      <c r="C102" s="13" t="str">
        <f t="shared" si="17"/>
        <v>C12_疾患開始日</v>
      </c>
      <c r="D102" s="13" t="s">
        <v>4852</v>
      </c>
      <c r="E102" s="8"/>
      <c r="F102" s="7" t="s">
        <v>4348</v>
      </c>
      <c r="G102" s="7" t="s">
        <v>25</v>
      </c>
      <c r="H102" s="58"/>
      <c r="I102" s="23"/>
      <c r="J102" s="24"/>
      <c r="M102" s="4"/>
      <c r="N102" s="76"/>
      <c r="O102" s="76"/>
      <c r="P102" s="76" t="str">
        <f t="shared" si="8"/>
        <v>,shikkan84_start_date</v>
      </c>
      <c r="Q102" s="76" t="str">
        <f t="shared" si="9"/>
        <v>DATE</v>
      </c>
      <c r="R102" s="76" t="str">
        <f t="shared" si="10"/>
        <v/>
      </c>
      <c r="S102" s="76" t="str">
        <f t="shared" si="11"/>
        <v/>
      </c>
      <c r="T102" s="76" t="str">
        <f t="shared" si="12"/>
        <v>-- C12_疾患開始日</v>
      </c>
      <c r="U102" s="4" t="str">
        <f t="shared" si="18"/>
        <v>, CASE WHEN shikkan_disp_name = 'C12' THEN min_shikkan_start_date ::DATE ELSE NULL END AS shikkan84_start_date</v>
      </c>
      <c r="V102" s="25" t="str">
        <f t="shared" si="19"/>
        <v>, max(shikkan84_start_date)</v>
      </c>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milscm_2023_009.sny_202310_annony_non_annony2.shikkan84_start_date IS 'C12_疾患開始日';</v>
      </c>
    </row>
    <row r="103" spans="1:45" s="25" customFormat="1">
      <c r="A103" s="4" t="s">
        <v>5241</v>
      </c>
      <c r="B103" s="21">
        <f t="shared" si="16"/>
        <v>91</v>
      </c>
      <c r="C103" s="13" t="str">
        <f t="shared" si="17"/>
        <v>C130_疾患開始日</v>
      </c>
      <c r="D103" s="13" t="s">
        <v>4853</v>
      </c>
      <c r="E103" s="8"/>
      <c r="F103" s="7" t="s">
        <v>4348</v>
      </c>
      <c r="G103" s="7" t="s">
        <v>25</v>
      </c>
      <c r="H103" s="58"/>
      <c r="I103" s="23"/>
      <c r="J103" s="24"/>
      <c r="M103" s="4"/>
      <c r="N103" s="76"/>
      <c r="O103" s="76"/>
      <c r="P103" s="76" t="str">
        <f t="shared" si="8"/>
        <v>,shikkan85_start_date</v>
      </c>
      <c r="Q103" s="76" t="str">
        <f t="shared" si="9"/>
        <v>DATE</v>
      </c>
      <c r="R103" s="76" t="str">
        <f t="shared" si="10"/>
        <v/>
      </c>
      <c r="S103" s="76" t="str">
        <f t="shared" si="11"/>
        <v/>
      </c>
      <c r="T103" s="76" t="str">
        <f t="shared" si="12"/>
        <v>-- C130_疾患開始日</v>
      </c>
      <c r="U103" s="4" t="str">
        <f t="shared" si="18"/>
        <v>, CASE WHEN shikkan_disp_name = 'C130' THEN min_shikkan_start_date ::DATE ELSE NULL END AS shikkan85_start_date</v>
      </c>
      <c r="V103" s="25" t="str">
        <f t="shared" si="19"/>
        <v>, max(shikkan85_start_date)</v>
      </c>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milscm_2023_009.sny_202310_annony_non_annony2.shikkan85_start_date IS 'C130_疾患開始日';</v>
      </c>
    </row>
    <row r="104" spans="1:45" s="25" customFormat="1">
      <c r="A104" s="4" t="s">
        <v>5242</v>
      </c>
      <c r="B104" s="21">
        <f t="shared" si="16"/>
        <v>92</v>
      </c>
      <c r="C104" s="13" t="str">
        <f t="shared" si="17"/>
        <v>C131_疾患開始日</v>
      </c>
      <c r="D104" s="13" t="s">
        <v>4854</v>
      </c>
      <c r="E104" s="8"/>
      <c r="F104" s="7" t="s">
        <v>4348</v>
      </c>
      <c r="G104" s="7" t="s">
        <v>25</v>
      </c>
      <c r="H104" s="58"/>
      <c r="I104" s="23"/>
      <c r="J104" s="24"/>
      <c r="M104" s="4"/>
      <c r="N104" s="76"/>
      <c r="O104" s="76"/>
      <c r="P104" s="76" t="str">
        <f t="shared" si="8"/>
        <v>,shikkan86_start_date</v>
      </c>
      <c r="Q104" s="76" t="str">
        <f t="shared" si="9"/>
        <v>DATE</v>
      </c>
      <c r="R104" s="76" t="str">
        <f t="shared" si="10"/>
        <v/>
      </c>
      <c r="S104" s="76" t="str">
        <f t="shared" si="11"/>
        <v/>
      </c>
      <c r="T104" s="76" t="str">
        <f t="shared" si="12"/>
        <v>-- C131_疾患開始日</v>
      </c>
      <c r="U104" s="4" t="str">
        <f t="shared" si="18"/>
        <v>, CASE WHEN shikkan_disp_name = 'C131' THEN min_shikkan_start_date ::DATE ELSE NULL END AS shikkan86_start_date</v>
      </c>
      <c r="V104" s="25" t="str">
        <f t="shared" si="19"/>
        <v>, max(shikkan86_start_date)</v>
      </c>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milscm_2023_009.sny_202310_annony_non_annony2.shikkan86_start_date IS 'C131_疾患開始日';</v>
      </c>
    </row>
    <row r="105" spans="1:45" s="25" customFormat="1">
      <c r="A105" s="4" t="s">
        <v>5243</v>
      </c>
      <c r="B105" s="21">
        <f t="shared" si="16"/>
        <v>93</v>
      </c>
      <c r="C105" s="13" t="str">
        <f t="shared" si="17"/>
        <v>C132_疾患開始日</v>
      </c>
      <c r="D105" s="13" t="s">
        <v>4855</v>
      </c>
      <c r="E105" s="8"/>
      <c r="F105" s="7" t="s">
        <v>4348</v>
      </c>
      <c r="G105" s="7" t="s">
        <v>25</v>
      </c>
      <c r="H105" s="58"/>
      <c r="I105" s="23"/>
      <c r="J105" s="24"/>
      <c r="M105" s="4"/>
      <c r="N105" s="76"/>
      <c r="O105" s="76"/>
      <c r="P105" s="76" t="str">
        <f t="shared" si="8"/>
        <v>,shikkan87_start_date</v>
      </c>
      <c r="Q105" s="76" t="str">
        <f t="shared" si="9"/>
        <v>DATE</v>
      </c>
      <c r="R105" s="76" t="str">
        <f t="shared" si="10"/>
        <v/>
      </c>
      <c r="S105" s="76" t="str">
        <f t="shared" si="11"/>
        <v/>
      </c>
      <c r="T105" s="76" t="str">
        <f t="shared" si="12"/>
        <v>-- C132_疾患開始日</v>
      </c>
      <c r="U105" s="4" t="str">
        <f t="shared" si="18"/>
        <v>, CASE WHEN shikkan_disp_name = 'C132' THEN min_shikkan_start_date ::DATE ELSE NULL END AS shikkan87_start_date</v>
      </c>
      <c r="V105" s="25" t="str">
        <f t="shared" si="19"/>
        <v>, max(shikkan87_start_date)</v>
      </c>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milscm_2023_009.sny_202310_annony_non_annony2.shikkan87_start_date IS 'C132_疾患開始日';</v>
      </c>
    </row>
    <row r="106" spans="1:45" s="25" customFormat="1">
      <c r="A106" s="4" t="s">
        <v>5244</v>
      </c>
      <c r="B106" s="21">
        <f t="shared" si="16"/>
        <v>94</v>
      </c>
      <c r="C106" s="13" t="str">
        <f t="shared" si="17"/>
        <v>C138_疾患開始日</v>
      </c>
      <c r="D106" s="13" t="s">
        <v>4856</v>
      </c>
      <c r="E106" s="8"/>
      <c r="F106" s="7" t="s">
        <v>4348</v>
      </c>
      <c r="G106" s="7" t="s">
        <v>25</v>
      </c>
      <c r="H106" s="58"/>
      <c r="I106" s="23"/>
      <c r="J106" s="24"/>
      <c r="M106" s="4"/>
      <c r="N106" s="76"/>
      <c r="O106" s="76"/>
      <c r="P106" s="76" t="str">
        <f t="shared" si="8"/>
        <v>,shikkan88_start_date</v>
      </c>
      <c r="Q106" s="76" t="str">
        <f t="shared" si="9"/>
        <v>DATE</v>
      </c>
      <c r="R106" s="76" t="str">
        <f t="shared" si="10"/>
        <v/>
      </c>
      <c r="S106" s="76" t="str">
        <f t="shared" si="11"/>
        <v/>
      </c>
      <c r="T106" s="76" t="str">
        <f t="shared" si="12"/>
        <v>-- C138_疾患開始日</v>
      </c>
      <c r="U106" s="4" t="str">
        <f t="shared" si="18"/>
        <v>, CASE WHEN shikkan_disp_name = 'C138' THEN min_shikkan_start_date ::DATE ELSE NULL END AS shikkan88_start_date</v>
      </c>
      <c r="V106" s="25" t="str">
        <f t="shared" si="19"/>
        <v>, max(shikkan88_start_date)</v>
      </c>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milscm_2023_009.sny_202310_annony_non_annony2.shikkan88_start_date IS 'C138_疾患開始日';</v>
      </c>
    </row>
    <row r="107" spans="1:45" s="25" customFormat="1">
      <c r="A107" s="4" t="s">
        <v>5245</v>
      </c>
      <c r="B107" s="21">
        <f t="shared" si="16"/>
        <v>95</v>
      </c>
      <c r="C107" s="13" t="str">
        <f t="shared" si="17"/>
        <v>C139_疾患開始日</v>
      </c>
      <c r="D107" s="13" t="s">
        <v>4857</v>
      </c>
      <c r="E107" s="8"/>
      <c r="F107" s="7" t="s">
        <v>4348</v>
      </c>
      <c r="G107" s="7" t="s">
        <v>25</v>
      </c>
      <c r="H107" s="58"/>
      <c r="I107" s="23"/>
      <c r="J107" s="24"/>
      <c r="M107" s="4"/>
      <c r="N107" s="76"/>
      <c r="O107" s="76"/>
      <c r="P107" s="76" t="str">
        <f t="shared" si="8"/>
        <v>,shikkan89_start_date</v>
      </c>
      <c r="Q107" s="76" t="str">
        <f t="shared" si="9"/>
        <v>DATE</v>
      </c>
      <c r="R107" s="76" t="str">
        <f t="shared" si="10"/>
        <v/>
      </c>
      <c r="S107" s="76" t="str">
        <f t="shared" si="11"/>
        <v/>
      </c>
      <c r="T107" s="76" t="str">
        <f t="shared" si="12"/>
        <v>-- C139_疾患開始日</v>
      </c>
      <c r="U107" s="4" t="str">
        <f t="shared" si="18"/>
        <v>, CASE WHEN shikkan_disp_name = 'C139' THEN min_shikkan_start_date ::DATE ELSE NULL END AS shikkan89_start_date</v>
      </c>
      <c r="V107" s="25" t="str">
        <f t="shared" si="19"/>
        <v>, max(shikkan89_start_date)</v>
      </c>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milscm_2023_009.sny_202310_annony_non_annony2.shikkan89_start_date IS 'C139_疾患開始日';</v>
      </c>
    </row>
    <row r="108" spans="1:45" s="25" customFormat="1">
      <c r="A108" s="4" t="s">
        <v>5246</v>
      </c>
      <c r="B108" s="21">
        <f t="shared" si="16"/>
        <v>96</v>
      </c>
      <c r="C108" s="13" t="str">
        <f t="shared" si="17"/>
        <v>C140_疾患開始日</v>
      </c>
      <c r="D108" s="13" t="s">
        <v>4858</v>
      </c>
      <c r="E108" s="8"/>
      <c r="F108" s="7" t="s">
        <v>4348</v>
      </c>
      <c r="G108" s="7" t="s">
        <v>25</v>
      </c>
      <c r="H108" s="58"/>
      <c r="I108" s="23"/>
      <c r="J108" s="24"/>
      <c r="M108" s="4"/>
      <c r="N108" s="76"/>
      <c r="O108" s="76"/>
      <c r="P108" s="76" t="str">
        <f t="shared" si="8"/>
        <v>,shikkan90_start_date</v>
      </c>
      <c r="Q108" s="76" t="str">
        <f t="shared" si="9"/>
        <v>DATE</v>
      </c>
      <c r="R108" s="76" t="str">
        <f t="shared" si="10"/>
        <v/>
      </c>
      <c r="S108" s="76" t="str">
        <f t="shared" si="11"/>
        <v/>
      </c>
      <c r="T108" s="76" t="str">
        <f t="shared" si="12"/>
        <v>-- C140_疾患開始日</v>
      </c>
      <c r="U108" s="4" t="str">
        <f t="shared" si="18"/>
        <v>, CASE WHEN shikkan_disp_name = 'C140' THEN min_shikkan_start_date ::DATE ELSE NULL END AS shikkan90_start_date</v>
      </c>
      <c r="V108" s="25" t="str">
        <f t="shared" si="19"/>
        <v>, max(shikkan90_start_date)</v>
      </c>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milscm_2023_009.sny_202310_annony_non_annony2.shikkan90_start_date IS 'C140_疾患開始日';</v>
      </c>
    </row>
    <row r="109" spans="1:45" s="25" customFormat="1">
      <c r="A109" s="4" t="s">
        <v>5247</v>
      </c>
      <c r="B109" s="21">
        <f t="shared" si="16"/>
        <v>97</v>
      </c>
      <c r="C109" s="13" t="str">
        <f t="shared" si="17"/>
        <v>C142_疾患開始日</v>
      </c>
      <c r="D109" s="13" t="s">
        <v>4859</v>
      </c>
      <c r="E109" s="8"/>
      <c r="F109" s="7" t="s">
        <v>4348</v>
      </c>
      <c r="G109" s="7" t="s">
        <v>25</v>
      </c>
      <c r="H109" s="58"/>
      <c r="I109" s="23"/>
      <c r="J109" s="24"/>
      <c r="M109" s="4"/>
      <c r="N109" s="76"/>
      <c r="O109" s="76"/>
      <c r="P109" s="76" t="str">
        <f t="shared" si="8"/>
        <v>,shikkan91_start_date</v>
      </c>
      <c r="Q109" s="76" t="str">
        <f t="shared" si="9"/>
        <v>DATE</v>
      </c>
      <c r="R109" s="76" t="str">
        <f t="shared" si="10"/>
        <v/>
      </c>
      <c r="S109" s="76" t="str">
        <f t="shared" si="11"/>
        <v/>
      </c>
      <c r="T109" s="76" t="str">
        <f t="shared" si="12"/>
        <v>-- C142_疾患開始日</v>
      </c>
      <c r="U109" s="4" t="str">
        <f t="shared" si="18"/>
        <v>, CASE WHEN shikkan_disp_name = 'C142' THEN min_shikkan_start_date ::DATE ELSE NULL END AS shikkan91_start_date</v>
      </c>
      <c r="V109" s="25" t="str">
        <f t="shared" si="19"/>
        <v>, max(shikkan91_start_date)</v>
      </c>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milscm_2023_009.sny_202310_annony_non_annony2.shikkan91_start_date IS 'C142_疾患開始日';</v>
      </c>
    </row>
    <row r="110" spans="1:45" s="25" customFormat="1">
      <c r="A110" s="4" t="s">
        <v>5248</v>
      </c>
      <c r="B110" s="21">
        <f t="shared" si="16"/>
        <v>98</v>
      </c>
      <c r="C110" s="13" t="str">
        <f t="shared" si="17"/>
        <v>C148_疾患開始日</v>
      </c>
      <c r="D110" s="13" t="s">
        <v>4860</v>
      </c>
      <c r="E110" s="8"/>
      <c r="F110" s="7" t="s">
        <v>4348</v>
      </c>
      <c r="G110" s="7" t="s">
        <v>25</v>
      </c>
      <c r="H110" s="58"/>
      <c r="I110" s="23"/>
      <c r="J110" s="24"/>
      <c r="M110" s="4"/>
      <c r="N110" s="76"/>
      <c r="O110" s="76"/>
      <c r="P110" s="76" t="str">
        <f t="shared" si="8"/>
        <v>,shikkan92_start_date</v>
      </c>
      <c r="Q110" s="76" t="str">
        <f t="shared" si="9"/>
        <v>DATE</v>
      </c>
      <c r="R110" s="76" t="str">
        <f t="shared" si="10"/>
        <v/>
      </c>
      <c r="S110" s="76" t="str">
        <f t="shared" si="11"/>
        <v/>
      </c>
      <c r="T110" s="76" t="str">
        <f t="shared" si="12"/>
        <v>-- C148_疾患開始日</v>
      </c>
      <c r="U110" s="4" t="str">
        <f t="shared" si="18"/>
        <v>, CASE WHEN shikkan_disp_name = 'C148' THEN min_shikkan_start_date ::DATE ELSE NULL END AS shikkan92_start_date</v>
      </c>
      <c r="V110" s="25" t="str">
        <f t="shared" si="19"/>
        <v>, max(shikkan92_start_date)</v>
      </c>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milscm_2023_009.sny_202310_annony_non_annony2.shikkan92_start_date IS 'C148_疾患開始日';</v>
      </c>
    </row>
    <row r="111" spans="1:45" s="25" customFormat="1">
      <c r="A111" s="4" t="s">
        <v>5249</v>
      </c>
      <c r="B111" s="21">
        <f t="shared" si="16"/>
        <v>99</v>
      </c>
      <c r="C111" s="13" t="str">
        <f t="shared" si="17"/>
        <v>C150_疾患開始日</v>
      </c>
      <c r="D111" s="13" t="s">
        <v>4861</v>
      </c>
      <c r="E111" s="8"/>
      <c r="F111" s="7" t="s">
        <v>4348</v>
      </c>
      <c r="G111" s="7" t="s">
        <v>25</v>
      </c>
      <c r="H111" s="58"/>
      <c r="I111" s="23"/>
      <c r="J111" s="24"/>
      <c r="M111" s="4"/>
      <c r="N111" s="76"/>
      <c r="O111" s="76"/>
      <c r="P111" s="76" t="str">
        <f t="shared" si="8"/>
        <v>,shikkan93_start_date</v>
      </c>
      <c r="Q111" s="76" t="str">
        <f t="shared" si="9"/>
        <v>DATE</v>
      </c>
      <c r="R111" s="76" t="str">
        <f t="shared" si="10"/>
        <v/>
      </c>
      <c r="S111" s="76" t="str">
        <f t="shared" si="11"/>
        <v/>
      </c>
      <c r="T111" s="76" t="str">
        <f t="shared" si="12"/>
        <v>-- C150_疾患開始日</v>
      </c>
      <c r="U111" s="4" t="str">
        <f t="shared" si="18"/>
        <v>, CASE WHEN shikkan_disp_name = 'C150' THEN min_shikkan_start_date ::DATE ELSE NULL END AS shikkan93_start_date</v>
      </c>
      <c r="V111" s="25" t="str">
        <f t="shared" si="19"/>
        <v>, max(shikkan93_start_date)</v>
      </c>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milscm_2023_009.sny_202310_annony_non_annony2.shikkan93_start_date IS 'C150_疾患開始日';</v>
      </c>
    </row>
    <row r="112" spans="1:45" s="25" customFormat="1">
      <c r="A112" s="4" t="s">
        <v>5250</v>
      </c>
      <c r="B112" s="21">
        <f t="shared" si="16"/>
        <v>100</v>
      </c>
      <c r="C112" s="13" t="str">
        <f t="shared" si="17"/>
        <v>C151_疾患開始日</v>
      </c>
      <c r="D112" s="13" t="s">
        <v>4862</v>
      </c>
      <c r="E112" s="8"/>
      <c r="F112" s="7" t="s">
        <v>4348</v>
      </c>
      <c r="G112" s="7" t="s">
        <v>25</v>
      </c>
      <c r="H112" s="58"/>
      <c r="I112" s="23"/>
      <c r="J112" s="24"/>
      <c r="M112" s="4"/>
      <c r="N112" s="76"/>
      <c r="O112" s="76"/>
      <c r="P112" s="76" t="str">
        <f t="shared" si="8"/>
        <v>,shikkan94_start_date</v>
      </c>
      <c r="Q112" s="76" t="str">
        <f t="shared" si="9"/>
        <v>DATE</v>
      </c>
      <c r="R112" s="76" t="str">
        <f t="shared" si="10"/>
        <v/>
      </c>
      <c r="S112" s="76" t="str">
        <f t="shared" si="11"/>
        <v/>
      </c>
      <c r="T112" s="76" t="str">
        <f t="shared" si="12"/>
        <v>-- C151_疾患開始日</v>
      </c>
      <c r="U112" s="4" t="str">
        <f t="shared" si="18"/>
        <v>, CASE WHEN shikkan_disp_name = 'C151' THEN min_shikkan_start_date ::DATE ELSE NULL END AS shikkan94_start_date</v>
      </c>
      <c r="V112" s="25" t="str">
        <f t="shared" si="19"/>
        <v>, max(shikkan94_start_date)</v>
      </c>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milscm_2023_009.sny_202310_annony_non_annony2.shikkan94_start_date IS 'C151_疾患開始日';</v>
      </c>
    </row>
    <row r="113" spans="1:45" s="25" customFormat="1">
      <c r="A113" s="4" t="s">
        <v>5251</v>
      </c>
      <c r="B113" s="21">
        <f t="shared" si="16"/>
        <v>101</v>
      </c>
      <c r="C113" s="13" t="str">
        <f t="shared" si="17"/>
        <v>C152_疾患開始日</v>
      </c>
      <c r="D113" s="13" t="s">
        <v>4863</v>
      </c>
      <c r="E113" s="8"/>
      <c r="F113" s="7" t="s">
        <v>4348</v>
      </c>
      <c r="G113" s="7" t="s">
        <v>25</v>
      </c>
      <c r="H113" s="58"/>
      <c r="I113" s="23"/>
      <c r="J113" s="24"/>
      <c r="M113" s="4"/>
      <c r="N113" s="76"/>
      <c r="O113" s="76"/>
      <c r="P113" s="76" t="str">
        <f t="shared" si="8"/>
        <v>,shikkan95_start_date</v>
      </c>
      <c r="Q113" s="76" t="str">
        <f t="shared" si="9"/>
        <v>DATE</v>
      </c>
      <c r="R113" s="76" t="str">
        <f t="shared" si="10"/>
        <v/>
      </c>
      <c r="S113" s="76" t="str">
        <f t="shared" si="11"/>
        <v/>
      </c>
      <c r="T113" s="76" t="str">
        <f t="shared" si="12"/>
        <v>-- C152_疾患開始日</v>
      </c>
      <c r="U113" s="4" t="str">
        <f t="shared" si="18"/>
        <v>, CASE WHEN shikkan_disp_name = 'C152' THEN min_shikkan_start_date ::DATE ELSE NULL END AS shikkan95_start_date</v>
      </c>
      <c r="V113" s="25" t="str">
        <f t="shared" si="19"/>
        <v>, max(shikkan95_start_date)</v>
      </c>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milscm_2023_009.sny_202310_annony_non_annony2.shikkan95_start_date IS 'C152_疾患開始日';</v>
      </c>
    </row>
    <row r="114" spans="1:45" s="25" customFormat="1">
      <c r="A114" s="4" t="s">
        <v>5252</v>
      </c>
      <c r="B114" s="21">
        <f t="shared" si="16"/>
        <v>102</v>
      </c>
      <c r="C114" s="13" t="str">
        <f t="shared" si="17"/>
        <v>C153_疾患開始日</v>
      </c>
      <c r="D114" s="13" t="s">
        <v>4864</v>
      </c>
      <c r="E114" s="8"/>
      <c r="F114" s="7" t="s">
        <v>4348</v>
      </c>
      <c r="G114" s="7" t="s">
        <v>25</v>
      </c>
      <c r="H114" s="58"/>
      <c r="I114" s="23"/>
      <c r="J114" s="24"/>
      <c r="M114" s="4"/>
      <c r="N114" s="76"/>
      <c r="O114" s="76"/>
      <c r="P114" s="76" t="str">
        <f t="shared" si="8"/>
        <v>,shikkan96_start_date</v>
      </c>
      <c r="Q114" s="76" t="str">
        <f t="shared" si="9"/>
        <v>DATE</v>
      </c>
      <c r="R114" s="76" t="str">
        <f t="shared" si="10"/>
        <v/>
      </c>
      <c r="S114" s="76" t="str">
        <f t="shared" si="11"/>
        <v/>
      </c>
      <c r="T114" s="76" t="str">
        <f t="shared" si="12"/>
        <v>-- C153_疾患開始日</v>
      </c>
      <c r="U114" s="4" t="str">
        <f t="shared" si="18"/>
        <v>, CASE WHEN shikkan_disp_name = 'C153' THEN min_shikkan_start_date ::DATE ELSE NULL END AS shikkan96_start_date</v>
      </c>
      <c r="V114" s="25" t="str">
        <f t="shared" si="19"/>
        <v>, max(shikkan96_start_date)</v>
      </c>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milscm_2023_009.sny_202310_annony_non_annony2.shikkan96_start_date IS 'C153_疾患開始日';</v>
      </c>
    </row>
    <row r="115" spans="1:45" s="25" customFormat="1">
      <c r="A115" s="4" t="s">
        <v>5253</v>
      </c>
      <c r="B115" s="21">
        <f t="shared" si="16"/>
        <v>103</v>
      </c>
      <c r="C115" s="13" t="str">
        <f t="shared" si="17"/>
        <v>C154_疾患開始日</v>
      </c>
      <c r="D115" s="13" t="s">
        <v>4865</v>
      </c>
      <c r="E115" s="8"/>
      <c r="F115" s="7" t="s">
        <v>4348</v>
      </c>
      <c r="G115" s="7" t="s">
        <v>99</v>
      </c>
      <c r="H115" s="58"/>
      <c r="I115" s="23"/>
      <c r="J115" s="24"/>
      <c r="M115" s="4"/>
      <c r="N115" s="76"/>
      <c r="O115" s="76"/>
      <c r="P115" s="76" t="str">
        <f t="shared" si="8"/>
        <v>,shikkan97_start_date</v>
      </c>
      <c r="Q115" s="76" t="str">
        <f t="shared" si="9"/>
        <v>DATE</v>
      </c>
      <c r="R115" s="76" t="str">
        <f t="shared" si="10"/>
        <v/>
      </c>
      <c r="S115" s="76" t="str">
        <f t="shared" si="11"/>
        <v/>
      </c>
      <c r="T115" s="76" t="str">
        <f t="shared" si="12"/>
        <v>-- C154_疾患開始日</v>
      </c>
      <c r="U115" s="4" t="str">
        <f t="shared" si="18"/>
        <v>, CASE WHEN shikkan_disp_name = 'C154' THEN min_shikkan_start_date ::DATE ELSE NULL END AS shikkan97_start_date</v>
      </c>
      <c r="V115" s="25" t="str">
        <f t="shared" si="19"/>
        <v>, max(shikkan97_start_date)</v>
      </c>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milscm_2023_009.sny_202310_annony_non_annony2.shikkan97_start_date IS 'C154_疾患開始日';</v>
      </c>
    </row>
    <row r="116" spans="1:45" s="25" customFormat="1">
      <c r="A116" s="4" t="s">
        <v>5254</v>
      </c>
      <c r="B116" s="21">
        <f t="shared" si="16"/>
        <v>104</v>
      </c>
      <c r="C116" s="13" t="str">
        <f t="shared" si="17"/>
        <v>C155_疾患開始日</v>
      </c>
      <c r="D116" s="13" t="s">
        <v>4866</v>
      </c>
      <c r="E116" s="8"/>
      <c r="F116" s="7" t="s">
        <v>4348</v>
      </c>
      <c r="G116" s="7" t="s">
        <v>25</v>
      </c>
      <c r="H116" s="58"/>
      <c r="I116" s="23"/>
      <c r="J116" s="24"/>
      <c r="M116" s="4"/>
      <c r="N116" s="76"/>
      <c r="O116" s="76"/>
      <c r="P116" s="76" t="str">
        <f t="shared" si="8"/>
        <v>,shikkan98_start_date</v>
      </c>
      <c r="Q116" s="76" t="str">
        <f t="shared" si="9"/>
        <v>DATE</v>
      </c>
      <c r="R116" s="76" t="str">
        <f t="shared" si="10"/>
        <v/>
      </c>
      <c r="S116" s="76" t="str">
        <f t="shared" si="11"/>
        <v/>
      </c>
      <c r="T116" s="76" t="str">
        <f t="shared" si="12"/>
        <v>-- C155_疾患開始日</v>
      </c>
      <c r="U116" s="4" t="str">
        <f t="shared" si="18"/>
        <v>, CASE WHEN shikkan_disp_name = 'C155' THEN min_shikkan_start_date ::DATE ELSE NULL END AS shikkan98_start_date</v>
      </c>
      <c r="V116" s="25" t="str">
        <f t="shared" si="19"/>
        <v>, max(shikkan98_start_date)</v>
      </c>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milscm_2023_009.sny_202310_annony_non_annony2.shikkan98_start_date IS 'C155_疾患開始日';</v>
      </c>
    </row>
    <row r="117" spans="1:45" s="25" customFormat="1">
      <c r="A117" s="4" t="s">
        <v>5255</v>
      </c>
      <c r="B117" s="21">
        <f t="shared" si="16"/>
        <v>105</v>
      </c>
      <c r="C117" s="13" t="str">
        <f t="shared" si="17"/>
        <v>C158_疾患開始日</v>
      </c>
      <c r="D117" s="13" t="s">
        <v>4867</v>
      </c>
      <c r="E117" s="8"/>
      <c r="F117" s="7" t="s">
        <v>4348</v>
      </c>
      <c r="G117" s="7" t="s">
        <v>25</v>
      </c>
      <c r="H117" s="58"/>
      <c r="I117" s="23"/>
      <c r="J117" s="24"/>
      <c r="M117" s="4"/>
      <c r="N117" s="76"/>
      <c r="O117" s="76"/>
      <c r="P117" s="76" t="str">
        <f t="shared" si="8"/>
        <v>,shikkan99_start_date</v>
      </c>
      <c r="Q117" s="76" t="str">
        <f t="shared" si="9"/>
        <v>DATE</v>
      </c>
      <c r="R117" s="76" t="str">
        <f t="shared" si="10"/>
        <v/>
      </c>
      <c r="S117" s="76" t="str">
        <f t="shared" si="11"/>
        <v/>
      </c>
      <c r="T117" s="76" t="str">
        <f t="shared" si="12"/>
        <v>-- C158_疾患開始日</v>
      </c>
      <c r="U117" s="4" t="str">
        <f t="shared" si="18"/>
        <v>, CASE WHEN shikkan_disp_name = 'C158' THEN min_shikkan_start_date ::DATE ELSE NULL END AS shikkan99_start_date</v>
      </c>
      <c r="V117" s="25" t="str">
        <f t="shared" si="19"/>
        <v>, max(shikkan99_start_date)</v>
      </c>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milscm_2023_009.sny_202310_annony_non_annony2.shikkan99_start_date IS 'C158_疾患開始日';</v>
      </c>
    </row>
    <row r="118" spans="1:45" s="25" customFormat="1">
      <c r="A118" s="4" t="s">
        <v>5256</v>
      </c>
      <c r="B118" s="21">
        <f t="shared" si="16"/>
        <v>106</v>
      </c>
      <c r="C118" s="13" t="str">
        <f t="shared" si="17"/>
        <v>C159_疾患開始日</v>
      </c>
      <c r="D118" s="13" t="s">
        <v>4868</v>
      </c>
      <c r="E118" s="8"/>
      <c r="F118" s="7" t="s">
        <v>4348</v>
      </c>
      <c r="G118" s="7" t="s">
        <v>25</v>
      </c>
      <c r="H118" s="58"/>
      <c r="I118" s="23"/>
      <c r="J118" s="24"/>
      <c r="M118" s="4"/>
      <c r="N118" s="76"/>
      <c r="O118" s="76"/>
      <c r="P118" s="76" t="str">
        <f t="shared" si="8"/>
        <v>,shikkan100_start_date</v>
      </c>
      <c r="Q118" s="76" t="str">
        <f t="shared" si="9"/>
        <v>DATE</v>
      </c>
      <c r="R118" s="76" t="str">
        <f t="shared" si="10"/>
        <v/>
      </c>
      <c r="S118" s="76" t="str">
        <f t="shared" si="11"/>
        <v/>
      </c>
      <c r="T118" s="76" t="str">
        <f t="shared" si="12"/>
        <v>-- C159_疾患開始日</v>
      </c>
      <c r="U118" s="4" t="str">
        <f t="shared" si="18"/>
        <v>, CASE WHEN shikkan_disp_name = 'C159' THEN min_shikkan_start_date ::DATE ELSE NULL END AS shikkan100_start_date</v>
      </c>
      <c r="V118" s="25" t="str">
        <f t="shared" si="19"/>
        <v>, max(shikkan100_start_date)</v>
      </c>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milscm_2023_009.sny_202310_annony_non_annony2.shikkan100_start_date IS 'C159_疾患開始日';</v>
      </c>
    </row>
    <row r="119" spans="1:45" s="25" customFormat="1">
      <c r="A119" s="4" t="s">
        <v>5257</v>
      </c>
      <c r="B119" s="21">
        <f t="shared" si="16"/>
        <v>107</v>
      </c>
      <c r="C119" s="13" t="str">
        <f t="shared" si="17"/>
        <v>C160_疾患開始日</v>
      </c>
      <c r="D119" s="13" t="s">
        <v>4869</v>
      </c>
      <c r="E119" s="8"/>
      <c r="F119" s="7" t="s">
        <v>4348</v>
      </c>
      <c r="G119" s="7" t="s">
        <v>25</v>
      </c>
      <c r="H119" s="58"/>
      <c r="I119" s="23"/>
      <c r="J119" s="24"/>
      <c r="M119" s="4"/>
      <c r="N119" s="76"/>
      <c r="O119" s="76"/>
      <c r="P119" s="76" t="str">
        <f t="shared" si="8"/>
        <v>,shikkan101_start_date</v>
      </c>
      <c r="Q119" s="76" t="str">
        <f t="shared" si="9"/>
        <v>DATE</v>
      </c>
      <c r="R119" s="76" t="str">
        <f t="shared" si="10"/>
        <v/>
      </c>
      <c r="S119" s="76" t="str">
        <f t="shared" si="11"/>
        <v/>
      </c>
      <c r="T119" s="76" t="str">
        <f t="shared" si="12"/>
        <v>-- C160_疾患開始日</v>
      </c>
      <c r="U119" s="4" t="str">
        <f t="shared" si="18"/>
        <v>, CASE WHEN shikkan_disp_name = 'C160' THEN min_shikkan_start_date ::DATE ELSE NULL END AS shikkan101_start_date</v>
      </c>
      <c r="V119" s="25" t="str">
        <f t="shared" si="19"/>
        <v>, max(shikkan101_start_date)</v>
      </c>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milscm_2023_009.sny_202310_annony_non_annony2.shikkan101_start_date IS 'C160_疾患開始日';</v>
      </c>
    </row>
    <row r="120" spans="1:45" s="25" customFormat="1">
      <c r="A120" s="4" t="s">
        <v>5258</v>
      </c>
      <c r="B120" s="21">
        <f t="shared" si="16"/>
        <v>108</v>
      </c>
      <c r="C120" s="13" t="str">
        <f t="shared" si="17"/>
        <v>C161_疾患開始日</v>
      </c>
      <c r="D120" s="13" t="s">
        <v>4870</v>
      </c>
      <c r="E120" s="8"/>
      <c r="F120" s="7" t="s">
        <v>4348</v>
      </c>
      <c r="G120" s="7" t="s">
        <v>25</v>
      </c>
      <c r="H120" s="58"/>
      <c r="I120" s="23"/>
      <c r="J120" s="24"/>
      <c r="M120" s="4"/>
      <c r="N120" s="76"/>
      <c r="O120" s="76"/>
      <c r="P120" s="76" t="str">
        <f t="shared" si="8"/>
        <v>,shikkan102_start_date</v>
      </c>
      <c r="Q120" s="76" t="str">
        <f t="shared" si="9"/>
        <v>DATE</v>
      </c>
      <c r="R120" s="76" t="str">
        <f t="shared" si="10"/>
        <v/>
      </c>
      <c r="S120" s="76" t="str">
        <f t="shared" si="11"/>
        <v/>
      </c>
      <c r="T120" s="76" t="str">
        <f t="shared" si="12"/>
        <v>-- C161_疾患開始日</v>
      </c>
      <c r="U120" s="4" t="str">
        <f t="shared" si="18"/>
        <v>, CASE WHEN shikkan_disp_name = 'C161' THEN min_shikkan_start_date ::DATE ELSE NULL END AS shikkan102_start_date</v>
      </c>
      <c r="V120" s="25" t="str">
        <f t="shared" si="19"/>
        <v>, max(shikkan102_start_date)</v>
      </c>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milscm_2023_009.sny_202310_annony_non_annony2.shikkan102_start_date IS 'C161_疾患開始日';</v>
      </c>
    </row>
    <row r="121" spans="1:45" s="25" customFormat="1">
      <c r="A121" s="4" t="s">
        <v>5259</v>
      </c>
      <c r="B121" s="21">
        <f t="shared" si="16"/>
        <v>109</v>
      </c>
      <c r="C121" s="13" t="str">
        <f t="shared" si="17"/>
        <v>C162_疾患開始日</v>
      </c>
      <c r="D121" s="13" t="s">
        <v>4871</v>
      </c>
      <c r="E121" s="8"/>
      <c r="F121" s="7" t="s">
        <v>4348</v>
      </c>
      <c r="G121" s="7" t="s">
        <v>25</v>
      </c>
      <c r="H121" s="58"/>
      <c r="I121" s="23"/>
      <c r="J121" s="24"/>
      <c r="M121" s="4"/>
      <c r="N121" s="76"/>
      <c r="O121" s="76"/>
      <c r="P121" s="76" t="str">
        <f t="shared" si="8"/>
        <v>,shikkan103_start_date</v>
      </c>
      <c r="Q121" s="76" t="str">
        <f t="shared" si="9"/>
        <v>DATE</v>
      </c>
      <c r="R121" s="76" t="str">
        <f t="shared" si="10"/>
        <v/>
      </c>
      <c r="S121" s="76" t="str">
        <f t="shared" si="11"/>
        <v/>
      </c>
      <c r="T121" s="76" t="str">
        <f t="shared" si="12"/>
        <v>-- C162_疾患開始日</v>
      </c>
      <c r="U121" s="4" t="str">
        <f t="shared" si="18"/>
        <v>, CASE WHEN shikkan_disp_name = 'C162' THEN min_shikkan_start_date ::DATE ELSE NULL END AS shikkan103_start_date</v>
      </c>
      <c r="V121" s="25" t="str">
        <f t="shared" si="19"/>
        <v>, max(shikkan103_start_date)</v>
      </c>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milscm_2023_009.sny_202310_annony_non_annony2.shikkan103_start_date IS 'C162_疾患開始日';</v>
      </c>
    </row>
    <row r="122" spans="1:45" s="25" customFormat="1">
      <c r="A122" s="4" t="s">
        <v>5260</v>
      </c>
      <c r="B122" s="21">
        <f t="shared" si="16"/>
        <v>110</v>
      </c>
      <c r="C122" s="13" t="str">
        <f t="shared" si="17"/>
        <v>C163_疾患開始日</v>
      </c>
      <c r="D122" s="13" t="s">
        <v>4872</v>
      </c>
      <c r="E122" s="8"/>
      <c r="F122" s="7" t="s">
        <v>4348</v>
      </c>
      <c r="G122" s="7" t="s">
        <v>25</v>
      </c>
      <c r="H122" s="58"/>
      <c r="I122" s="23"/>
      <c r="J122" s="24"/>
      <c r="M122" s="4"/>
      <c r="N122" s="76"/>
      <c r="O122" s="76"/>
      <c r="P122" s="76" t="str">
        <f t="shared" si="8"/>
        <v>,shikkan104_start_date</v>
      </c>
      <c r="Q122" s="76" t="str">
        <f t="shared" si="9"/>
        <v>DATE</v>
      </c>
      <c r="R122" s="76" t="str">
        <f t="shared" si="10"/>
        <v/>
      </c>
      <c r="S122" s="76" t="str">
        <f t="shared" si="11"/>
        <v/>
      </c>
      <c r="T122" s="76" t="str">
        <f t="shared" si="12"/>
        <v>-- C163_疾患開始日</v>
      </c>
      <c r="U122" s="4" t="str">
        <f t="shared" si="18"/>
        <v>, CASE WHEN shikkan_disp_name = 'C163' THEN min_shikkan_start_date ::DATE ELSE NULL END AS shikkan104_start_date</v>
      </c>
      <c r="V122" s="25" t="str">
        <f t="shared" si="19"/>
        <v>, max(shikkan104_start_date)</v>
      </c>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milscm_2023_009.sny_202310_annony_non_annony2.shikkan104_start_date IS 'C163_疾患開始日';</v>
      </c>
    </row>
    <row r="123" spans="1:45" s="25" customFormat="1">
      <c r="A123" s="4" t="s">
        <v>5261</v>
      </c>
      <c r="B123" s="21">
        <f t="shared" si="16"/>
        <v>111</v>
      </c>
      <c r="C123" s="13" t="str">
        <f t="shared" si="17"/>
        <v>C164_疾患開始日</v>
      </c>
      <c r="D123" s="13" t="s">
        <v>4873</v>
      </c>
      <c r="E123" s="8"/>
      <c r="F123" s="7" t="s">
        <v>4348</v>
      </c>
      <c r="G123" s="7" t="s">
        <v>25</v>
      </c>
      <c r="H123" s="58"/>
      <c r="I123" s="23"/>
      <c r="J123" s="24"/>
      <c r="M123" s="4"/>
      <c r="N123" s="76"/>
      <c r="O123" s="76"/>
      <c r="P123" s="76" t="str">
        <f t="shared" si="8"/>
        <v>,shikkan105_start_date</v>
      </c>
      <c r="Q123" s="76" t="str">
        <f t="shared" si="9"/>
        <v>DATE</v>
      </c>
      <c r="R123" s="76" t="str">
        <f t="shared" si="10"/>
        <v/>
      </c>
      <c r="S123" s="76" t="str">
        <f t="shared" si="11"/>
        <v/>
      </c>
      <c r="T123" s="76" t="str">
        <f t="shared" si="12"/>
        <v>-- C164_疾患開始日</v>
      </c>
      <c r="U123" s="4" t="str">
        <f t="shared" si="18"/>
        <v>, CASE WHEN shikkan_disp_name = 'C164' THEN min_shikkan_start_date ::DATE ELSE NULL END AS shikkan105_start_date</v>
      </c>
      <c r="V123" s="25" t="str">
        <f t="shared" si="19"/>
        <v>, max(shikkan105_start_date)</v>
      </c>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milscm_2023_009.sny_202310_annony_non_annony2.shikkan105_start_date IS 'C164_疾患開始日';</v>
      </c>
    </row>
    <row r="124" spans="1:45" s="25" customFormat="1">
      <c r="A124" s="4" t="s">
        <v>5262</v>
      </c>
      <c r="B124" s="21">
        <f t="shared" si="16"/>
        <v>112</v>
      </c>
      <c r="C124" s="13" t="str">
        <f t="shared" si="17"/>
        <v>C165_疾患開始日</v>
      </c>
      <c r="D124" s="13" t="s">
        <v>4874</v>
      </c>
      <c r="E124" s="8"/>
      <c r="F124" s="7" t="s">
        <v>4348</v>
      </c>
      <c r="G124" s="7" t="s">
        <v>25</v>
      </c>
      <c r="H124" s="58"/>
      <c r="I124" s="23"/>
      <c r="J124" s="24"/>
      <c r="M124" s="4"/>
      <c r="N124" s="76"/>
      <c r="O124" s="76"/>
      <c r="P124" s="76" t="str">
        <f t="shared" si="8"/>
        <v>,shikkan106_start_date</v>
      </c>
      <c r="Q124" s="76" t="str">
        <f t="shared" si="9"/>
        <v>DATE</v>
      </c>
      <c r="R124" s="76" t="str">
        <f t="shared" si="10"/>
        <v/>
      </c>
      <c r="S124" s="76" t="str">
        <f t="shared" si="11"/>
        <v/>
      </c>
      <c r="T124" s="76" t="str">
        <f t="shared" si="12"/>
        <v>-- C165_疾患開始日</v>
      </c>
      <c r="U124" s="4" t="str">
        <f t="shared" si="18"/>
        <v>, CASE WHEN shikkan_disp_name = 'C165' THEN min_shikkan_start_date ::DATE ELSE NULL END AS shikkan106_start_date</v>
      </c>
      <c r="V124" s="25" t="str">
        <f t="shared" si="19"/>
        <v>, max(shikkan106_start_date)</v>
      </c>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milscm_2023_009.sny_202310_annony_non_annony2.shikkan106_start_date IS 'C165_疾患開始日';</v>
      </c>
    </row>
    <row r="125" spans="1:45" s="25" customFormat="1">
      <c r="A125" s="4" t="s">
        <v>5263</v>
      </c>
      <c r="B125" s="21">
        <f t="shared" si="16"/>
        <v>113</v>
      </c>
      <c r="C125" s="13" t="str">
        <f t="shared" si="17"/>
        <v>C166_疾患開始日</v>
      </c>
      <c r="D125" s="13" t="s">
        <v>4875</v>
      </c>
      <c r="E125" s="8"/>
      <c r="F125" s="7" t="s">
        <v>4348</v>
      </c>
      <c r="G125" s="7" t="s">
        <v>25</v>
      </c>
      <c r="H125" s="58"/>
      <c r="I125" s="23"/>
      <c r="J125" s="24"/>
      <c r="M125" s="4"/>
      <c r="N125" s="76"/>
      <c r="O125" s="76"/>
      <c r="P125" s="76" t="str">
        <f t="shared" si="8"/>
        <v>,shikkan107_start_date</v>
      </c>
      <c r="Q125" s="76" t="str">
        <f t="shared" si="9"/>
        <v>DATE</v>
      </c>
      <c r="R125" s="76" t="str">
        <f t="shared" si="10"/>
        <v/>
      </c>
      <c r="S125" s="76" t="str">
        <f t="shared" si="11"/>
        <v/>
      </c>
      <c r="T125" s="76" t="str">
        <f t="shared" si="12"/>
        <v>-- C166_疾患開始日</v>
      </c>
      <c r="U125" s="4" t="str">
        <f t="shared" si="18"/>
        <v>, CASE WHEN shikkan_disp_name = 'C166' THEN min_shikkan_start_date ::DATE ELSE NULL END AS shikkan107_start_date</v>
      </c>
      <c r="V125" s="25" t="str">
        <f t="shared" si="19"/>
        <v>, max(shikkan107_start_date)</v>
      </c>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milscm_2023_009.sny_202310_annony_non_annony2.shikkan107_start_date IS 'C166_疾患開始日';</v>
      </c>
    </row>
    <row r="126" spans="1:45" s="25" customFormat="1">
      <c r="A126" s="4" t="s">
        <v>5264</v>
      </c>
      <c r="B126" s="21">
        <f t="shared" si="16"/>
        <v>114</v>
      </c>
      <c r="C126" s="13" t="str">
        <f t="shared" si="17"/>
        <v>C168_疾患開始日</v>
      </c>
      <c r="D126" s="13" t="s">
        <v>4876</v>
      </c>
      <c r="E126" s="8"/>
      <c r="F126" s="7" t="s">
        <v>4348</v>
      </c>
      <c r="G126" s="7" t="s">
        <v>25</v>
      </c>
      <c r="H126" s="58"/>
      <c r="I126" s="23"/>
      <c r="J126" s="24"/>
      <c r="M126" s="4"/>
      <c r="N126" s="76"/>
      <c r="O126" s="76"/>
      <c r="P126" s="76" t="str">
        <f t="shared" si="8"/>
        <v>,shikkan108_start_date</v>
      </c>
      <c r="Q126" s="76" t="str">
        <f t="shared" si="9"/>
        <v>DATE</v>
      </c>
      <c r="R126" s="76" t="str">
        <f t="shared" si="10"/>
        <v/>
      </c>
      <c r="S126" s="76" t="str">
        <f t="shared" si="11"/>
        <v/>
      </c>
      <c r="T126" s="76" t="str">
        <f t="shared" si="12"/>
        <v>-- C168_疾患開始日</v>
      </c>
      <c r="U126" s="4" t="str">
        <f t="shared" si="18"/>
        <v>, CASE WHEN shikkan_disp_name = 'C168' THEN min_shikkan_start_date ::DATE ELSE NULL END AS shikkan108_start_date</v>
      </c>
      <c r="V126" s="25" t="str">
        <f t="shared" si="19"/>
        <v>, max(shikkan108_start_date)</v>
      </c>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milscm_2023_009.sny_202310_annony_non_annony2.shikkan108_start_date IS 'C168_疾患開始日';</v>
      </c>
    </row>
    <row r="127" spans="1:45" s="25" customFormat="1">
      <c r="A127" s="4" t="s">
        <v>5265</v>
      </c>
      <c r="B127" s="21">
        <f t="shared" si="16"/>
        <v>115</v>
      </c>
      <c r="C127" s="13" t="str">
        <f t="shared" si="17"/>
        <v>C169_疾患開始日</v>
      </c>
      <c r="D127" s="13" t="s">
        <v>4877</v>
      </c>
      <c r="E127" s="8"/>
      <c r="F127" s="7" t="s">
        <v>4348</v>
      </c>
      <c r="G127" s="7" t="s">
        <v>25</v>
      </c>
      <c r="H127" s="58"/>
      <c r="I127" s="23"/>
      <c r="J127" s="24"/>
      <c r="M127" s="4"/>
      <c r="N127" s="76"/>
      <c r="O127" s="76"/>
      <c r="P127" s="76" t="str">
        <f t="shared" si="8"/>
        <v>,shikkan109_start_date</v>
      </c>
      <c r="Q127" s="76" t="str">
        <f t="shared" si="9"/>
        <v>DATE</v>
      </c>
      <c r="R127" s="76" t="str">
        <f t="shared" si="10"/>
        <v/>
      </c>
      <c r="S127" s="76" t="str">
        <f t="shared" si="11"/>
        <v/>
      </c>
      <c r="T127" s="76" t="str">
        <f t="shared" si="12"/>
        <v>-- C169_疾患開始日</v>
      </c>
      <c r="U127" s="4" t="str">
        <f t="shared" si="18"/>
        <v>, CASE WHEN shikkan_disp_name = 'C169' THEN min_shikkan_start_date ::DATE ELSE NULL END AS shikkan109_start_date</v>
      </c>
      <c r="V127" s="25" t="str">
        <f t="shared" si="19"/>
        <v>, max(shikkan109_start_date)</v>
      </c>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milscm_2023_009.sny_202310_annony_non_annony2.shikkan109_start_date IS 'C169_疾患開始日';</v>
      </c>
    </row>
    <row r="128" spans="1:45" s="25" customFormat="1">
      <c r="A128" s="4" t="s">
        <v>5266</v>
      </c>
      <c r="B128" s="21">
        <f t="shared" si="16"/>
        <v>116</v>
      </c>
      <c r="C128" s="13" t="str">
        <f t="shared" si="17"/>
        <v>C170_疾患開始日</v>
      </c>
      <c r="D128" s="13" t="s">
        <v>4878</v>
      </c>
      <c r="E128" s="8"/>
      <c r="F128" s="7" t="s">
        <v>4348</v>
      </c>
      <c r="G128" s="7" t="s">
        <v>25</v>
      </c>
      <c r="H128" s="58"/>
      <c r="I128" s="23"/>
      <c r="J128" s="24"/>
      <c r="M128" s="4"/>
      <c r="N128" s="76"/>
      <c r="O128" s="76"/>
      <c r="P128" s="76" t="str">
        <f t="shared" si="8"/>
        <v>,shikkan110_start_date</v>
      </c>
      <c r="Q128" s="76" t="str">
        <f t="shared" si="9"/>
        <v>DATE</v>
      </c>
      <c r="R128" s="76" t="str">
        <f t="shared" si="10"/>
        <v/>
      </c>
      <c r="S128" s="76" t="str">
        <f t="shared" si="11"/>
        <v/>
      </c>
      <c r="T128" s="76" t="str">
        <f t="shared" si="12"/>
        <v>-- C170_疾患開始日</v>
      </c>
      <c r="U128" s="4" t="str">
        <f t="shared" si="18"/>
        <v>, CASE WHEN shikkan_disp_name = 'C170' THEN min_shikkan_start_date ::DATE ELSE NULL END AS shikkan110_start_date</v>
      </c>
      <c r="V128" s="25" t="str">
        <f t="shared" si="19"/>
        <v>, max(shikkan110_start_date)</v>
      </c>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milscm_2023_009.sny_202310_annony_non_annony2.shikkan110_start_date IS 'C170_疾患開始日';</v>
      </c>
    </row>
    <row r="129" spans="1:45" s="25" customFormat="1">
      <c r="A129" s="4" t="s">
        <v>5267</v>
      </c>
      <c r="B129" s="21">
        <f t="shared" si="16"/>
        <v>117</v>
      </c>
      <c r="C129" s="13" t="str">
        <f t="shared" si="17"/>
        <v>C171_疾患開始日</v>
      </c>
      <c r="D129" s="13" t="s">
        <v>4879</v>
      </c>
      <c r="E129" s="8"/>
      <c r="F129" s="7" t="s">
        <v>4348</v>
      </c>
      <c r="G129" s="7" t="s">
        <v>25</v>
      </c>
      <c r="H129" s="58"/>
      <c r="I129" s="23"/>
      <c r="J129" s="24"/>
      <c r="M129" s="4"/>
      <c r="N129" s="76"/>
      <c r="O129" s="76"/>
      <c r="P129" s="76" t="str">
        <f t="shared" si="8"/>
        <v>,shikkan111_start_date</v>
      </c>
      <c r="Q129" s="76" t="str">
        <f t="shared" si="9"/>
        <v>DATE</v>
      </c>
      <c r="R129" s="76" t="str">
        <f t="shared" si="10"/>
        <v/>
      </c>
      <c r="S129" s="76" t="str">
        <f t="shared" si="11"/>
        <v/>
      </c>
      <c r="T129" s="76" t="str">
        <f t="shared" si="12"/>
        <v>-- C171_疾患開始日</v>
      </c>
      <c r="U129" s="4" t="str">
        <f t="shared" si="18"/>
        <v>, CASE WHEN shikkan_disp_name = 'C171' THEN min_shikkan_start_date ::DATE ELSE NULL END AS shikkan111_start_date</v>
      </c>
      <c r="V129" s="25" t="str">
        <f t="shared" si="19"/>
        <v>, max(shikkan111_start_date)</v>
      </c>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milscm_2023_009.sny_202310_annony_non_annony2.shikkan111_start_date IS 'C171_疾患開始日';</v>
      </c>
    </row>
    <row r="130" spans="1:45" s="25" customFormat="1">
      <c r="A130" s="4" t="s">
        <v>5268</v>
      </c>
      <c r="B130" s="21">
        <f t="shared" si="16"/>
        <v>118</v>
      </c>
      <c r="C130" s="13" t="str">
        <f t="shared" si="17"/>
        <v>C172_疾患開始日</v>
      </c>
      <c r="D130" s="13" t="s">
        <v>4880</v>
      </c>
      <c r="E130" s="8"/>
      <c r="F130" s="7" t="s">
        <v>4348</v>
      </c>
      <c r="G130" s="7" t="s">
        <v>25</v>
      </c>
      <c r="H130" s="58"/>
      <c r="I130" s="23"/>
      <c r="J130" s="24"/>
      <c r="M130" s="4"/>
      <c r="N130" s="76"/>
      <c r="O130" s="76"/>
      <c r="P130" s="76" t="str">
        <f t="shared" si="8"/>
        <v>,shikkan112_start_date</v>
      </c>
      <c r="Q130" s="76" t="str">
        <f t="shared" si="9"/>
        <v>DATE</v>
      </c>
      <c r="R130" s="76" t="str">
        <f t="shared" si="10"/>
        <v/>
      </c>
      <c r="S130" s="76" t="str">
        <f t="shared" si="11"/>
        <v/>
      </c>
      <c r="T130" s="76" t="str">
        <f t="shared" si="12"/>
        <v>-- C172_疾患開始日</v>
      </c>
      <c r="U130" s="4" t="str">
        <f t="shared" si="18"/>
        <v>, CASE WHEN shikkan_disp_name = 'C172' THEN min_shikkan_start_date ::DATE ELSE NULL END AS shikkan112_start_date</v>
      </c>
      <c r="V130" s="25" t="str">
        <f t="shared" si="19"/>
        <v>, max(shikkan112_start_date)</v>
      </c>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milscm_2023_009.sny_202310_annony_non_annony2.shikkan112_start_date IS 'C172_疾患開始日';</v>
      </c>
    </row>
    <row r="131" spans="1:45" s="25" customFormat="1">
      <c r="A131" s="4" t="s">
        <v>5269</v>
      </c>
      <c r="B131" s="21">
        <f t="shared" si="16"/>
        <v>119</v>
      </c>
      <c r="C131" s="13" t="str">
        <f t="shared" si="17"/>
        <v>C173_疾患開始日</v>
      </c>
      <c r="D131" s="13" t="s">
        <v>4881</v>
      </c>
      <c r="E131" s="8"/>
      <c r="F131" s="7" t="s">
        <v>4348</v>
      </c>
      <c r="G131" s="7" t="s">
        <v>99</v>
      </c>
      <c r="H131" s="58"/>
      <c r="I131" s="23"/>
      <c r="J131" s="24"/>
      <c r="M131" s="4"/>
      <c r="N131" s="76"/>
      <c r="O131" s="76"/>
      <c r="P131" s="76" t="str">
        <f t="shared" si="8"/>
        <v>,shikkan113_start_date</v>
      </c>
      <c r="Q131" s="76" t="str">
        <f t="shared" si="9"/>
        <v>DATE</v>
      </c>
      <c r="R131" s="76" t="str">
        <f t="shared" si="10"/>
        <v/>
      </c>
      <c r="S131" s="76" t="str">
        <f t="shared" si="11"/>
        <v/>
      </c>
      <c r="T131" s="76" t="str">
        <f t="shared" si="12"/>
        <v>-- C173_疾患開始日</v>
      </c>
      <c r="U131" s="4" t="str">
        <f t="shared" si="18"/>
        <v>, CASE WHEN shikkan_disp_name = 'C173' THEN min_shikkan_start_date ::DATE ELSE NULL END AS shikkan113_start_date</v>
      </c>
      <c r="V131" s="25" t="str">
        <f t="shared" si="19"/>
        <v>, max(shikkan113_start_date)</v>
      </c>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milscm_2023_009.sny_202310_annony_non_annony2.shikkan113_start_date IS 'C173_疾患開始日';</v>
      </c>
    </row>
    <row r="132" spans="1:45" s="25" customFormat="1">
      <c r="A132" s="4" t="s">
        <v>5270</v>
      </c>
      <c r="B132" s="21">
        <f t="shared" si="16"/>
        <v>120</v>
      </c>
      <c r="C132" s="13" t="str">
        <f t="shared" si="17"/>
        <v>C178_疾患開始日</v>
      </c>
      <c r="D132" s="13" t="s">
        <v>4882</v>
      </c>
      <c r="E132" s="8"/>
      <c r="F132" s="7" t="s">
        <v>4348</v>
      </c>
      <c r="G132" s="7" t="s">
        <v>25</v>
      </c>
      <c r="H132" s="58"/>
      <c r="I132" s="23"/>
      <c r="J132" s="24"/>
      <c r="M132" s="4"/>
      <c r="N132" s="76"/>
      <c r="O132" s="76"/>
      <c r="P132" s="76" t="str">
        <f t="shared" si="8"/>
        <v>,shikkan114_start_date</v>
      </c>
      <c r="Q132" s="76" t="str">
        <f t="shared" si="9"/>
        <v>DATE</v>
      </c>
      <c r="R132" s="76" t="str">
        <f t="shared" si="10"/>
        <v/>
      </c>
      <c r="S132" s="76" t="str">
        <f t="shared" si="11"/>
        <v/>
      </c>
      <c r="T132" s="76" t="str">
        <f t="shared" si="12"/>
        <v>-- C178_疾患開始日</v>
      </c>
      <c r="U132" s="4" t="str">
        <f t="shared" si="18"/>
        <v>, CASE WHEN shikkan_disp_name = 'C178' THEN min_shikkan_start_date ::DATE ELSE NULL END AS shikkan114_start_date</v>
      </c>
      <c r="V132" s="25" t="str">
        <f t="shared" si="19"/>
        <v>, max(shikkan114_start_date)</v>
      </c>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milscm_2023_009.sny_202310_annony_non_annony2.shikkan114_start_date IS 'C178_疾患開始日';</v>
      </c>
    </row>
    <row r="133" spans="1:45" s="25" customFormat="1">
      <c r="A133" s="4" t="s">
        <v>5271</v>
      </c>
      <c r="B133" s="21">
        <f t="shared" si="16"/>
        <v>121</v>
      </c>
      <c r="C133" s="13" t="str">
        <f t="shared" si="17"/>
        <v>C179_疾患開始日</v>
      </c>
      <c r="D133" s="13" t="s">
        <v>4883</v>
      </c>
      <c r="E133" s="8"/>
      <c r="F133" s="7" t="s">
        <v>4348</v>
      </c>
      <c r="G133" s="7" t="s">
        <v>25</v>
      </c>
      <c r="H133" s="58"/>
      <c r="I133" s="23"/>
      <c r="J133" s="24"/>
      <c r="M133" s="4"/>
      <c r="N133" s="76"/>
      <c r="O133" s="76"/>
      <c r="P133" s="76" t="str">
        <f t="shared" si="8"/>
        <v>,shikkan115_start_date</v>
      </c>
      <c r="Q133" s="76" t="str">
        <f t="shared" si="9"/>
        <v>DATE</v>
      </c>
      <c r="R133" s="76" t="str">
        <f t="shared" si="10"/>
        <v/>
      </c>
      <c r="S133" s="76" t="str">
        <f t="shared" si="11"/>
        <v/>
      </c>
      <c r="T133" s="76" t="str">
        <f t="shared" si="12"/>
        <v>-- C179_疾患開始日</v>
      </c>
      <c r="U133" s="4" t="str">
        <f t="shared" si="18"/>
        <v>, CASE WHEN shikkan_disp_name = 'C179' THEN min_shikkan_start_date ::DATE ELSE NULL END AS shikkan115_start_date</v>
      </c>
      <c r="V133" s="25" t="str">
        <f t="shared" si="19"/>
        <v>, max(shikkan115_start_date)</v>
      </c>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milscm_2023_009.sny_202310_annony_non_annony2.shikkan115_start_date IS 'C179_疾患開始日';</v>
      </c>
    </row>
    <row r="134" spans="1:45" s="25" customFormat="1">
      <c r="A134" s="4" t="s">
        <v>5272</v>
      </c>
      <c r="B134" s="21">
        <f t="shared" si="16"/>
        <v>122</v>
      </c>
      <c r="C134" s="13" t="str">
        <f t="shared" si="17"/>
        <v>C180_疾患開始日</v>
      </c>
      <c r="D134" s="13" t="s">
        <v>4884</v>
      </c>
      <c r="E134" s="8"/>
      <c r="F134" s="7" t="s">
        <v>4348</v>
      </c>
      <c r="G134" s="7" t="s">
        <v>25</v>
      </c>
      <c r="H134" s="58"/>
      <c r="I134" s="23"/>
      <c r="J134" s="24"/>
      <c r="M134" s="4"/>
      <c r="N134" s="76"/>
      <c r="O134" s="76"/>
      <c r="P134" s="76" t="str">
        <f t="shared" si="8"/>
        <v>,shikkan116_start_date</v>
      </c>
      <c r="Q134" s="76" t="str">
        <f t="shared" si="9"/>
        <v>DATE</v>
      </c>
      <c r="R134" s="76" t="str">
        <f t="shared" si="10"/>
        <v/>
      </c>
      <c r="S134" s="76" t="str">
        <f t="shared" si="11"/>
        <v/>
      </c>
      <c r="T134" s="76" t="str">
        <f t="shared" si="12"/>
        <v>-- C180_疾患開始日</v>
      </c>
      <c r="U134" s="4" t="str">
        <f t="shared" si="18"/>
        <v>, CASE WHEN shikkan_disp_name = 'C180' THEN min_shikkan_start_date ::DATE ELSE NULL END AS shikkan116_start_date</v>
      </c>
      <c r="V134" s="25" t="str">
        <f t="shared" si="19"/>
        <v>, max(shikkan116_start_date)</v>
      </c>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milscm_2023_009.sny_202310_annony_non_annony2.shikkan116_start_date IS 'C180_疾患開始日';</v>
      </c>
    </row>
    <row r="135" spans="1:45" s="25" customFormat="1">
      <c r="A135" s="4" t="s">
        <v>5273</v>
      </c>
      <c r="B135" s="21">
        <f t="shared" si="16"/>
        <v>123</v>
      </c>
      <c r="C135" s="13" t="str">
        <f t="shared" si="17"/>
        <v>C181_疾患開始日</v>
      </c>
      <c r="D135" s="13" t="s">
        <v>4885</v>
      </c>
      <c r="E135" s="8"/>
      <c r="F135" s="7" t="s">
        <v>4348</v>
      </c>
      <c r="G135" s="7" t="s">
        <v>25</v>
      </c>
      <c r="H135" s="58"/>
      <c r="I135" s="23"/>
      <c r="J135" s="24"/>
      <c r="M135" s="4"/>
      <c r="N135" s="76"/>
      <c r="O135" s="76"/>
      <c r="P135" s="76" t="str">
        <f t="shared" si="8"/>
        <v>,shikkan117_start_date</v>
      </c>
      <c r="Q135" s="76" t="str">
        <f t="shared" si="9"/>
        <v>DATE</v>
      </c>
      <c r="R135" s="76" t="str">
        <f t="shared" si="10"/>
        <v/>
      </c>
      <c r="S135" s="76" t="str">
        <f t="shared" si="11"/>
        <v/>
      </c>
      <c r="T135" s="76" t="str">
        <f t="shared" si="12"/>
        <v>-- C181_疾患開始日</v>
      </c>
      <c r="U135" s="4" t="str">
        <f t="shared" si="18"/>
        <v>, CASE WHEN shikkan_disp_name = 'C181' THEN min_shikkan_start_date ::DATE ELSE NULL END AS shikkan117_start_date</v>
      </c>
      <c r="V135" s="25" t="str">
        <f t="shared" si="19"/>
        <v>, max(shikkan117_start_date)</v>
      </c>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milscm_2023_009.sny_202310_annony_non_annony2.shikkan117_start_date IS 'C181_疾患開始日';</v>
      </c>
    </row>
    <row r="136" spans="1:45" s="25" customFormat="1">
      <c r="A136" s="4" t="s">
        <v>5274</v>
      </c>
      <c r="B136" s="21">
        <f t="shared" si="16"/>
        <v>124</v>
      </c>
      <c r="C136" s="13" t="str">
        <f t="shared" si="17"/>
        <v>C182_疾患開始日</v>
      </c>
      <c r="D136" s="13" t="s">
        <v>4886</v>
      </c>
      <c r="E136" s="8"/>
      <c r="F136" s="7" t="s">
        <v>4348</v>
      </c>
      <c r="G136" s="7" t="s">
        <v>25</v>
      </c>
      <c r="H136" s="58"/>
      <c r="I136" s="23"/>
      <c r="J136" s="24"/>
      <c r="M136" s="4"/>
      <c r="N136" s="76"/>
      <c r="O136" s="76"/>
      <c r="P136" s="76" t="str">
        <f t="shared" si="8"/>
        <v>,shikkan118_start_date</v>
      </c>
      <c r="Q136" s="76" t="str">
        <f t="shared" si="9"/>
        <v>DATE</v>
      </c>
      <c r="R136" s="76" t="str">
        <f t="shared" si="10"/>
        <v/>
      </c>
      <c r="S136" s="76" t="str">
        <f t="shared" si="11"/>
        <v/>
      </c>
      <c r="T136" s="76" t="str">
        <f t="shared" si="12"/>
        <v>-- C182_疾患開始日</v>
      </c>
      <c r="U136" s="4" t="str">
        <f t="shared" si="18"/>
        <v>, CASE WHEN shikkan_disp_name = 'C182' THEN min_shikkan_start_date ::DATE ELSE NULL END AS shikkan118_start_date</v>
      </c>
      <c r="V136" s="25" t="str">
        <f t="shared" si="19"/>
        <v>, max(shikkan118_start_date)</v>
      </c>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milscm_2023_009.sny_202310_annony_non_annony2.shikkan118_start_date IS 'C182_疾患開始日';</v>
      </c>
    </row>
    <row r="137" spans="1:45" s="25" customFormat="1">
      <c r="A137" s="4" t="s">
        <v>5275</v>
      </c>
      <c r="B137" s="21">
        <f t="shared" si="16"/>
        <v>125</v>
      </c>
      <c r="C137" s="13" t="str">
        <f t="shared" si="17"/>
        <v>C183_疾患開始日</v>
      </c>
      <c r="D137" s="13" t="s">
        <v>4887</v>
      </c>
      <c r="E137" s="8"/>
      <c r="F137" s="7" t="s">
        <v>4348</v>
      </c>
      <c r="G137" s="7" t="s">
        <v>25</v>
      </c>
      <c r="H137" s="58"/>
      <c r="I137" s="23"/>
      <c r="J137" s="24"/>
      <c r="M137" s="4"/>
      <c r="N137" s="76"/>
      <c r="O137" s="76"/>
      <c r="P137" s="76" t="str">
        <f t="shared" si="8"/>
        <v>,shikkan119_start_date</v>
      </c>
      <c r="Q137" s="76" t="str">
        <f t="shared" si="9"/>
        <v>DATE</v>
      </c>
      <c r="R137" s="76" t="str">
        <f t="shared" si="10"/>
        <v/>
      </c>
      <c r="S137" s="76" t="str">
        <f t="shared" si="11"/>
        <v/>
      </c>
      <c r="T137" s="76" t="str">
        <f t="shared" si="12"/>
        <v>-- C183_疾患開始日</v>
      </c>
      <c r="U137" s="4" t="str">
        <f t="shared" si="18"/>
        <v>, CASE WHEN shikkan_disp_name = 'C183' THEN min_shikkan_start_date ::DATE ELSE NULL END AS shikkan119_start_date</v>
      </c>
      <c r="V137" s="25" t="str">
        <f t="shared" si="19"/>
        <v>, max(shikkan119_start_date)</v>
      </c>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milscm_2023_009.sny_202310_annony_non_annony2.shikkan119_start_date IS 'C183_疾患開始日';</v>
      </c>
    </row>
    <row r="138" spans="1:45" s="25" customFormat="1">
      <c r="A138" s="4" t="s">
        <v>5276</v>
      </c>
      <c r="B138" s="21">
        <f t="shared" si="16"/>
        <v>126</v>
      </c>
      <c r="C138" s="13" t="str">
        <f t="shared" si="17"/>
        <v>C184_疾患開始日</v>
      </c>
      <c r="D138" s="13" t="s">
        <v>4888</v>
      </c>
      <c r="E138" s="8"/>
      <c r="F138" s="7" t="s">
        <v>4348</v>
      </c>
      <c r="G138" s="7" t="s">
        <v>25</v>
      </c>
      <c r="H138" s="58"/>
      <c r="I138" s="23"/>
      <c r="J138" s="24"/>
      <c r="M138" s="4"/>
      <c r="N138" s="76"/>
      <c r="O138" s="76"/>
      <c r="P138" s="76" t="str">
        <f t="shared" si="8"/>
        <v>,shikkan120_start_date</v>
      </c>
      <c r="Q138" s="76" t="str">
        <f t="shared" si="9"/>
        <v>DATE</v>
      </c>
      <c r="R138" s="76" t="str">
        <f t="shared" si="10"/>
        <v/>
      </c>
      <c r="S138" s="76" t="str">
        <f t="shared" si="11"/>
        <v/>
      </c>
      <c r="T138" s="76" t="str">
        <f t="shared" si="12"/>
        <v>-- C184_疾患開始日</v>
      </c>
      <c r="U138" s="4" t="str">
        <f t="shared" si="18"/>
        <v>, CASE WHEN shikkan_disp_name = 'C184' THEN min_shikkan_start_date ::DATE ELSE NULL END AS shikkan120_start_date</v>
      </c>
      <c r="V138" s="25" t="str">
        <f t="shared" si="19"/>
        <v>, max(shikkan120_start_date)</v>
      </c>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milscm_2023_009.sny_202310_annony_non_annony2.shikkan120_start_date IS 'C184_疾患開始日';</v>
      </c>
    </row>
    <row r="139" spans="1:45" s="25" customFormat="1">
      <c r="A139" s="4" t="s">
        <v>5277</v>
      </c>
      <c r="B139" s="21">
        <f t="shared" si="16"/>
        <v>127</v>
      </c>
      <c r="C139" s="13" t="str">
        <f t="shared" si="17"/>
        <v>C185_疾患開始日</v>
      </c>
      <c r="D139" s="13" t="s">
        <v>4889</v>
      </c>
      <c r="E139" s="8"/>
      <c r="F139" s="7" t="s">
        <v>4348</v>
      </c>
      <c r="G139" s="7" t="s">
        <v>25</v>
      </c>
      <c r="H139" s="58"/>
      <c r="I139" s="23"/>
      <c r="J139" s="24"/>
      <c r="M139" s="4"/>
      <c r="N139" s="76"/>
      <c r="O139" s="76"/>
      <c r="P139" s="76" t="str">
        <f t="shared" si="8"/>
        <v>,shikkan121_start_date</v>
      </c>
      <c r="Q139" s="76" t="str">
        <f t="shared" si="9"/>
        <v>DATE</v>
      </c>
      <c r="R139" s="76" t="str">
        <f t="shared" si="10"/>
        <v/>
      </c>
      <c r="S139" s="76" t="str">
        <f t="shared" si="11"/>
        <v/>
      </c>
      <c r="T139" s="76" t="str">
        <f t="shared" si="12"/>
        <v>-- C185_疾患開始日</v>
      </c>
      <c r="U139" s="4" t="str">
        <f t="shared" si="18"/>
        <v>, CASE WHEN shikkan_disp_name = 'C185' THEN min_shikkan_start_date ::DATE ELSE NULL END AS shikkan121_start_date</v>
      </c>
      <c r="V139" s="25" t="str">
        <f t="shared" si="19"/>
        <v>, max(shikkan121_start_date)</v>
      </c>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milscm_2023_009.sny_202310_annony_non_annony2.shikkan121_start_date IS 'C185_疾患開始日';</v>
      </c>
    </row>
    <row r="140" spans="1:45" s="25" customFormat="1">
      <c r="A140" s="4" t="s">
        <v>5278</v>
      </c>
      <c r="B140" s="21">
        <f t="shared" si="16"/>
        <v>128</v>
      </c>
      <c r="C140" s="13" t="str">
        <f t="shared" si="17"/>
        <v>C186_疾患開始日</v>
      </c>
      <c r="D140" s="13" t="s">
        <v>4890</v>
      </c>
      <c r="E140" s="8"/>
      <c r="F140" s="7" t="s">
        <v>4348</v>
      </c>
      <c r="G140" s="7" t="s">
        <v>25</v>
      </c>
      <c r="H140" s="58"/>
      <c r="I140" s="23"/>
      <c r="J140" s="24"/>
      <c r="M140" s="4"/>
      <c r="N140" s="76"/>
      <c r="O140" s="76"/>
      <c r="P140" s="76" t="str">
        <f t="shared" si="8"/>
        <v>,shikkan122_start_date</v>
      </c>
      <c r="Q140" s="76" t="str">
        <f t="shared" si="9"/>
        <v>DATE</v>
      </c>
      <c r="R140" s="76" t="str">
        <f t="shared" si="10"/>
        <v/>
      </c>
      <c r="S140" s="76" t="str">
        <f t="shared" si="11"/>
        <v/>
      </c>
      <c r="T140" s="76" t="str">
        <f t="shared" si="12"/>
        <v>-- C186_疾患開始日</v>
      </c>
      <c r="U140" s="4" t="str">
        <f t="shared" si="18"/>
        <v>, CASE WHEN shikkan_disp_name = 'C186' THEN min_shikkan_start_date ::DATE ELSE NULL END AS shikkan122_start_date</v>
      </c>
      <c r="V140" s="25" t="str">
        <f t="shared" si="19"/>
        <v>, max(shikkan122_start_date)</v>
      </c>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milscm_2023_009.sny_202310_annony_non_annony2.shikkan122_start_date IS 'C186_疾患開始日';</v>
      </c>
    </row>
    <row r="141" spans="1:45" s="25" customFormat="1">
      <c r="A141" s="4" t="s">
        <v>5279</v>
      </c>
      <c r="B141" s="21">
        <f t="shared" si="16"/>
        <v>129</v>
      </c>
      <c r="C141" s="13" t="str">
        <f t="shared" si="17"/>
        <v>C187_疾患開始日</v>
      </c>
      <c r="D141" s="13" t="s">
        <v>4891</v>
      </c>
      <c r="E141" s="8"/>
      <c r="F141" s="7" t="s">
        <v>4348</v>
      </c>
      <c r="G141" s="7" t="s">
        <v>25</v>
      </c>
      <c r="H141" s="58"/>
      <c r="I141" s="23"/>
      <c r="J141" s="24"/>
      <c r="M141" s="4"/>
      <c r="N141" s="76"/>
      <c r="O141" s="76"/>
      <c r="P141" s="76" t="str">
        <f t="shared" si="8"/>
        <v>,shikkan123_start_date</v>
      </c>
      <c r="Q141" s="76" t="str">
        <f t="shared" si="9"/>
        <v>DATE</v>
      </c>
      <c r="R141" s="76" t="str">
        <f t="shared" si="10"/>
        <v/>
      </c>
      <c r="S141" s="76" t="str">
        <f t="shared" si="11"/>
        <v/>
      </c>
      <c r="T141" s="76" t="str">
        <f t="shared" si="12"/>
        <v>-- C187_疾患開始日</v>
      </c>
      <c r="U141" s="4" t="str">
        <f t="shared" si="18"/>
        <v>, CASE WHEN shikkan_disp_name = 'C187' THEN min_shikkan_start_date ::DATE ELSE NULL END AS shikkan123_start_date</v>
      </c>
      <c r="V141" s="25" t="str">
        <f t="shared" si="19"/>
        <v>, max(shikkan123_start_date)</v>
      </c>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milscm_2023_009.sny_202310_annony_non_annony2.shikkan123_start_date IS 'C187_疾患開始日';</v>
      </c>
    </row>
    <row r="142" spans="1:45" s="25" customFormat="1">
      <c r="A142" s="4" t="s">
        <v>5280</v>
      </c>
      <c r="B142" s="21">
        <f t="shared" si="16"/>
        <v>130</v>
      </c>
      <c r="C142" s="13" t="str">
        <f t="shared" si="17"/>
        <v>C188_疾患開始日</v>
      </c>
      <c r="D142" s="13" t="s">
        <v>4892</v>
      </c>
      <c r="E142" s="8"/>
      <c r="F142" s="7" t="s">
        <v>4348</v>
      </c>
      <c r="G142" s="7" t="s">
        <v>25</v>
      </c>
      <c r="H142" s="58"/>
      <c r="I142" s="23"/>
      <c r="J142" s="24"/>
      <c r="M142" s="4"/>
      <c r="N142" s="76"/>
      <c r="O142" s="76"/>
      <c r="P142" s="76" t="str">
        <f t="shared" si="8"/>
        <v>,shikkan124_start_date</v>
      </c>
      <c r="Q142" s="76" t="str">
        <f t="shared" si="9"/>
        <v>DATE</v>
      </c>
      <c r="R142" s="76" t="str">
        <f t="shared" si="10"/>
        <v/>
      </c>
      <c r="S142" s="76" t="str">
        <f t="shared" si="11"/>
        <v/>
      </c>
      <c r="T142" s="76" t="str">
        <f t="shared" si="12"/>
        <v>-- C188_疾患開始日</v>
      </c>
      <c r="U142" s="4" t="str">
        <f t="shared" si="18"/>
        <v>, CASE WHEN shikkan_disp_name = 'C188' THEN min_shikkan_start_date ::DATE ELSE NULL END AS shikkan124_start_date</v>
      </c>
      <c r="V142" s="25" t="str">
        <f t="shared" si="19"/>
        <v>, max(shikkan124_start_date)</v>
      </c>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milscm_2023_009.sny_202310_annony_non_annony2.shikkan124_start_date IS 'C188_疾患開始日';</v>
      </c>
    </row>
    <row r="143" spans="1:45" s="25" customFormat="1">
      <c r="A143" s="4" t="s">
        <v>5281</v>
      </c>
      <c r="B143" s="21">
        <f t="shared" si="16"/>
        <v>131</v>
      </c>
      <c r="C143" s="13" t="str">
        <f t="shared" si="17"/>
        <v>C189_疾患開始日</v>
      </c>
      <c r="D143" s="13" t="s">
        <v>4893</v>
      </c>
      <c r="E143" s="8"/>
      <c r="F143" s="7" t="s">
        <v>4348</v>
      </c>
      <c r="G143" s="7" t="s">
        <v>25</v>
      </c>
      <c r="H143" s="58"/>
      <c r="I143" s="23"/>
      <c r="J143" s="24"/>
      <c r="M143" s="4"/>
      <c r="N143" s="76"/>
      <c r="O143" s="76"/>
      <c r="P143" s="76" t="str">
        <f t="shared" si="8"/>
        <v>,shikkan125_start_date</v>
      </c>
      <c r="Q143" s="76" t="str">
        <f t="shared" si="9"/>
        <v>DATE</v>
      </c>
      <c r="R143" s="76" t="str">
        <f t="shared" si="10"/>
        <v/>
      </c>
      <c r="S143" s="76" t="str">
        <f t="shared" si="11"/>
        <v/>
      </c>
      <c r="T143" s="76" t="str">
        <f t="shared" si="12"/>
        <v>-- C189_疾患開始日</v>
      </c>
      <c r="U143" s="4" t="str">
        <f t="shared" si="18"/>
        <v>, CASE WHEN shikkan_disp_name = 'C189' THEN min_shikkan_start_date ::DATE ELSE NULL END AS shikkan125_start_date</v>
      </c>
      <c r="V143" s="25" t="str">
        <f t="shared" si="19"/>
        <v>, max(shikkan125_start_date)</v>
      </c>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milscm_2023_009.sny_202310_annony_non_annony2.shikkan125_start_date IS 'C189_疾患開始日';</v>
      </c>
    </row>
    <row r="144" spans="1:45" s="25" customFormat="1">
      <c r="A144" s="4" t="s">
        <v>5143</v>
      </c>
      <c r="B144" s="21">
        <f t="shared" si="16"/>
        <v>132</v>
      </c>
      <c r="C144" s="13" t="str">
        <f t="shared" si="17"/>
        <v>C19_疾患開始日</v>
      </c>
      <c r="D144" s="13" t="s">
        <v>4894</v>
      </c>
      <c r="E144" s="8"/>
      <c r="F144" s="7" t="s">
        <v>4348</v>
      </c>
      <c r="G144" s="7" t="s">
        <v>25</v>
      </c>
      <c r="H144" s="58"/>
      <c r="I144" s="23"/>
      <c r="J144" s="24"/>
      <c r="M144" s="4"/>
      <c r="N144" s="76"/>
      <c r="O144" s="76"/>
      <c r="P144" s="76" t="str">
        <f t="shared" si="8"/>
        <v>,shikkan126_start_date</v>
      </c>
      <c r="Q144" s="76" t="str">
        <f t="shared" si="9"/>
        <v>DATE</v>
      </c>
      <c r="R144" s="76" t="str">
        <f t="shared" si="10"/>
        <v/>
      </c>
      <c r="S144" s="76" t="str">
        <f t="shared" si="11"/>
        <v/>
      </c>
      <c r="T144" s="76" t="str">
        <f t="shared" si="12"/>
        <v>-- C19_疾患開始日</v>
      </c>
      <c r="U144" s="4" t="str">
        <f t="shared" si="18"/>
        <v>, CASE WHEN shikkan_disp_name = 'C19' THEN min_shikkan_start_date ::DATE ELSE NULL END AS shikkan126_start_date</v>
      </c>
      <c r="V144" s="25" t="str">
        <f t="shared" si="19"/>
        <v>, max(shikkan126_start_date)</v>
      </c>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milscm_2023_009.sny_202310_annony_non_annony2.shikkan126_start_date IS 'C19_疾患開始日';</v>
      </c>
    </row>
    <row r="145" spans="1:45" s="25" customFormat="1">
      <c r="A145" s="4" t="s">
        <v>5144</v>
      </c>
      <c r="B145" s="21">
        <f t="shared" si="16"/>
        <v>133</v>
      </c>
      <c r="C145" s="13" t="str">
        <f t="shared" si="17"/>
        <v>C20_疾患開始日</v>
      </c>
      <c r="D145" s="13" t="s">
        <v>4895</v>
      </c>
      <c r="E145" s="8"/>
      <c r="F145" s="7" t="s">
        <v>4348</v>
      </c>
      <c r="G145" s="7" t="s">
        <v>25</v>
      </c>
      <c r="H145" s="58"/>
      <c r="I145" s="23"/>
      <c r="J145" s="24"/>
      <c r="M145" s="4"/>
      <c r="N145" s="76"/>
      <c r="O145" s="76"/>
      <c r="P145" s="76" t="str">
        <f t="shared" si="8"/>
        <v>,shikkan127_start_date</v>
      </c>
      <c r="Q145" s="76" t="str">
        <f t="shared" si="9"/>
        <v>DATE</v>
      </c>
      <c r="R145" s="76" t="str">
        <f t="shared" si="10"/>
        <v/>
      </c>
      <c r="S145" s="76" t="str">
        <f t="shared" si="11"/>
        <v/>
      </c>
      <c r="T145" s="76" t="str">
        <f t="shared" si="12"/>
        <v>-- C20_疾患開始日</v>
      </c>
      <c r="U145" s="4" t="str">
        <f t="shared" si="18"/>
        <v>, CASE WHEN shikkan_disp_name = 'C20' THEN min_shikkan_start_date ::DATE ELSE NULL END AS shikkan127_start_date</v>
      </c>
      <c r="V145" s="25" t="str">
        <f t="shared" si="19"/>
        <v>, max(shikkan127_start_date)</v>
      </c>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milscm_2023_009.sny_202310_annony_non_annony2.shikkan127_start_date IS 'C20_疾患開始日';</v>
      </c>
    </row>
    <row r="146" spans="1:45" s="25" customFormat="1">
      <c r="A146" s="4" t="s">
        <v>5282</v>
      </c>
      <c r="B146" s="21">
        <f t="shared" si="16"/>
        <v>134</v>
      </c>
      <c r="C146" s="13" t="str">
        <f t="shared" si="17"/>
        <v>C210_疾患開始日</v>
      </c>
      <c r="D146" s="13" t="s">
        <v>4896</v>
      </c>
      <c r="E146" s="8"/>
      <c r="F146" s="7" t="s">
        <v>4348</v>
      </c>
      <c r="G146" s="7" t="s">
        <v>25</v>
      </c>
      <c r="H146" s="58"/>
      <c r="I146" s="23"/>
      <c r="J146" s="24"/>
      <c r="M146" s="4"/>
      <c r="N146" s="76"/>
      <c r="O146" s="76"/>
      <c r="P146" s="76" t="str">
        <f t="shared" si="8"/>
        <v>,shikkan128_start_date</v>
      </c>
      <c r="Q146" s="76" t="str">
        <f t="shared" si="9"/>
        <v>DATE</v>
      </c>
      <c r="R146" s="76" t="str">
        <f t="shared" si="10"/>
        <v/>
      </c>
      <c r="S146" s="76" t="str">
        <f t="shared" si="11"/>
        <v/>
      </c>
      <c r="T146" s="76" t="str">
        <f t="shared" si="12"/>
        <v>-- C210_疾患開始日</v>
      </c>
      <c r="U146" s="4" t="str">
        <f t="shared" si="18"/>
        <v>, CASE WHEN shikkan_disp_name = 'C210' THEN min_shikkan_start_date ::DATE ELSE NULL END AS shikkan128_start_date</v>
      </c>
      <c r="V146" s="25" t="str">
        <f t="shared" si="19"/>
        <v>, max(shikkan128_start_date)</v>
      </c>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milscm_2023_009.sny_202310_annony_non_annony2.shikkan128_start_date IS 'C210_疾患開始日';</v>
      </c>
    </row>
    <row r="147" spans="1:45" s="25" customFormat="1">
      <c r="A147" s="4" t="s">
        <v>5283</v>
      </c>
      <c r="B147" s="21">
        <f t="shared" si="16"/>
        <v>135</v>
      </c>
      <c r="C147" s="13" t="str">
        <f t="shared" si="17"/>
        <v>C211_疾患開始日</v>
      </c>
      <c r="D147" s="13" t="s">
        <v>4897</v>
      </c>
      <c r="E147" s="8"/>
      <c r="F147" s="7" t="s">
        <v>4348</v>
      </c>
      <c r="G147" s="7" t="s">
        <v>99</v>
      </c>
      <c r="H147" s="58"/>
      <c r="I147" s="23"/>
      <c r="J147" s="24"/>
      <c r="M147" s="4"/>
      <c r="N147" s="76"/>
      <c r="O147" s="76"/>
      <c r="P147" s="76" t="str">
        <f t="shared" si="8"/>
        <v>,shikkan129_start_date</v>
      </c>
      <c r="Q147" s="76" t="str">
        <f t="shared" si="9"/>
        <v>DATE</v>
      </c>
      <c r="R147" s="76" t="str">
        <f t="shared" si="10"/>
        <v/>
      </c>
      <c r="S147" s="76" t="str">
        <f t="shared" si="11"/>
        <v/>
      </c>
      <c r="T147" s="76" t="str">
        <f t="shared" si="12"/>
        <v>-- C211_疾患開始日</v>
      </c>
      <c r="U147" s="4" t="str">
        <f t="shared" si="18"/>
        <v>, CASE WHEN shikkan_disp_name = 'C211' THEN min_shikkan_start_date ::DATE ELSE NULL END AS shikkan129_start_date</v>
      </c>
      <c r="V147" s="25" t="str">
        <f t="shared" si="19"/>
        <v>, max(shikkan129_start_date)</v>
      </c>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milscm_2023_009.sny_202310_annony_non_annony2.shikkan129_start_date IS 'C211_疾患開始日';</v>
      </c>
    </row>
    <row r="148" spans="1:45" s="25" customFormat="1">
      <c r="A148" s="4" t="s">
        <v>5284</v>
      </c>
      <c r="B148" s="21">
        <f t="shared" ref="B148:B211" si="20">ROW()-12</f>
        <v>136</v>
      </c>
      <c r="C148" s="13" t="str">
        <f t="shared" ref="C148:C211" si="21">A148&amp;"_疾患開始日"</f>
        <v>C212_疾患開始日</v>
      </c>
      <c r="D148" s="13" t="s">
        <v>4898</v>
      </c>
      <c r="E148" s="8"/>
      <c r="F148" s="7" t="s">
        <v>4348</v>
      </c>
      <c r="G148" s="7" t="s">
        <v>25</v>
      </c>
      <c r="H148" s="58"/>
      <c r="I148" s="23"/>
      <c r="J148" s="24"/>
      <c r="M148" s="4"/>
      <c r="N148" s="76"/>
      <c r="O148" s="76"/>
      <c r="P148" s="76" t="str">
        <f t="shared" si="8"/>
        <v>,shikkan130_start_date</v>
      </c>
      <c r="Q148" s="76" t="str">
        <f t="shared" si="9"/>
        <v>DATE</v>
      </c>
      <c r="R148" s="76" t="str">
        <f t="shared" si="10"/>
        <v/>
      </c>
      <c r="S148" s="76" t="str">
        <f t="shared" si="11"/>
        <v/>
      </c>
      <c r="T148" s="76" t="str">
        <f t="shared" si="12"/>
        <v>-- C212_疾患開始日</v>
      </c>
      <c r="U148" s="4" t="str">
        <f t="shared" ref="U148:U211" si="22">", CASE WHEN shikkan_disp_name = '"&amp;A148&amp;"' THEN min_shikkan_start_date ::DATE ELSE NULL END AS "&amp;D148</f>
        <v>, CASE WHEN shikkan_disp_name = 'C212' THEN min_shikkan_start_date ::DATE ELSE NULL END AS shikkan130_start_date</v>
      </c>
      <c r="V148" s="25" t="str">
        <f t="shared" ref="V148:V211" si="23">", max("&amp;D148&amp;")"</f>
        <v>, max(shikkan130_start_date)</v>
      </c>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milscm_2023_009.sny_202310_annony_non_annony2.shikkan130_start_date IS 'C212_疾患開始日';</v>
      </c>
    </row>
    <row r="149" spans="1:45" s="25" customFormat="1">
      <c r="A149" s="4" t="s">
        <v>5285</v>
      </c>
      <c r="B149" s="21">
        <f t="shared" si="20"/>
        <v>137</v>
      </c>
      <c r="C149" s="13" t="str">
        <f t="shared" si="21"/>
        <v>C218_疾患開始日</v>
      </c>
      <c r="D149" s="13" t="s">
        <v>4899</v>
      </c>
      <c r="E149" s="8"/>
      <c r="F149" s="7" t="s">
        <v>4348</v>
      </c>
      <c r="G149" s="7" t="s">
        <v>25</v>
      </c>
      <c r="H149" s="58"/>
      <c r="I149" s="23"/>
      <c r="J149" s="24"/>
      <c r="M149" s="4"/>
      <c r="N149" s="76"/>
      <c r="O149" s="76"/>
      <c r="P149" s="76" t="str">
        <f t="shared" si="8"/>
        <v>,shikkan131_start_date</v>
      </c>
      <c r="Q149" s="76" t="str">
        <f t="shared" si="9"/>
        <v>DATE</v>
      </c>
      <c r="R149" s="76" t="str">
        <f t="shared" si="10"/>
        <v/>
      </c>
      <c r="S149" s="76" t="str">
        <f t="shared" si="11"/>
        <v/>
      </c>
      <c r="T149" s="76" t="str">
        <f t="shared" si="12"/>
        <v>-- C218_疾患開始日</v>
      </c>
      <c r="U149" s="4" t="str">
        <f t="shared" si="22"/>
        <v>, CASE WHEN shikkan_disp_name = 'C218' THEN min_shikkan_start_date ::DATE ELSE NULL END AS shikkan131_start_date</v>
      </c>
      <c r="V149" s="25" t="str">
        <f t="shared" si="23"/>
        <v>, max(shikkan131_start_date)</v>
      </c>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milscm_2023_009.sny_202310_annony_non_annony2.shikkan131_start_date IS 'C218_疾患開始日';</v>
      </c>
    </row>
    <row r="150" spans="1:45" s="25" customFormat="1">
      <c r="A150" s="4" t="s">
        <v>5286</v>
      </c>
      <c r="B150" s="21">
        <f t="shared" si="20"/>
        <v>138</v>
      </c>
      <c r="C150" s="13" t="str">
        <f t="shared" si="21"/>
        <v>C220_疾患開始日</v>
      </c>
      <c r="D150" s="13" t="s">
        <v>4900</v>
      </c>
      <c r="E150" s="8"/>
      <c r="F150" s="7" t="s">
        <v>4348</v>
      </c>
      <c r="G150" s="7" t="s">
        <v>25</v>
      </c>
      <c r="H150" s="58"/>
      <c r="I150" s="23"/>
      <c r="J150" s="24"/>
      <c r="M150" s="4"/>
      <c r="N150" s="76"/>
      <c r="O150" s="76"/>
      <c r="P150" s="76" t="str">
        <f t="shared" si="8"/>
        <v>,shikkan132_start_date</v>
      </c>
      <c r="Q150" s="76" t="str">
        <f t="shared" si="9"/>
        <v>DATE</v>
      </c>
      <c r="R150" s="76" t="str">
        <f t="shared" si="10"/>
        <v/>
      </c>
      <c r="S150" s="76" t="str">
        <f t="shared" si="11"/>
        <v/>
      </c>
      <c r="T150" s="76" t="str">
        <f t="shared" si="12"/>
        <v>-- C220_疾患開始日</v>
      </c>
      <c r="U150" s="4" t="str">
        <f t="shared" si="22"/>
        <v>, CASE WHEN shikkan_disp_name = 'C220' THEN min_shikkan_start_date ::DATE ELSE NULL END AS shikkan132_start_date</v>
      </c>
      <c r="V150" s="25" t="str">
        <f t="shared" si="23"/>
        <v>, max(shikkan132_start_date)</v>
      </c>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milscm_2023_009.sny_202310_annony_non_annony2.shikkan132_start_date IS 'C220_疾患開始日';</v>
      </c>
    </row>
    <row r="151" spans="1:45" s="25" customFormat="1">
      <c r="A151" s="4" t="s">
        <v>5287</v>
      </c>
      <c r="B151" s="21">
        <f t="shared" si="20"/>
        <v>139</v>
      </c>
      <c r="C151" s="13" t="str">
        <f t="shared" si="21"/>
        <v>C221_疾患開始日</v>
      </c>
      <c r="D151" s="13" t="s">
        <v>4901</v>
      </c>
      <c r="E151" s="8"/>
      <c r="F151" s="7" t="s">
        <v>4348</v>
      </c>
      <c r="G151" s="7" t="s">
        <v>25</v>
      </c>
      <c r="H151" s="58"/>
      <c r="I151" s="23"/>
      <c r="J151" s="24"/>
      <c r="M151" s="4"/>
      <c r="N151" s="76"/>
      <c r="O151" s="76"/>
      <c r="P151" s="76" t="str">
        <f t="shared" si="8"/>
        <v>,shikkan133_start_date</v>
      </c>
      <c r="Q151" s="76" t="str">
        <f t="shared" si="9"/>
        <v>DATE</v>
      </c>
      <c r="R151" s="76" t="str">
        <f t="shared" si="10"/>
        <v/>
      </c>
      <c r="S151" s="76" t="str">
        <f t="shared" si="11"/>
        <v/>
      </c>
      <c r="T151" s="76" t="str">
        <f t="shared" si="12"/>
        <v>-- C221_疾患開始日</v>
      </c>
      <c r="U151" s="4" t="str">
        <f t="shared" si="22"/>
        <v>, CASE WHEN shikkan_disp_name = 'C221' THEN min_shikkan_start_date ::DATE ELSE NULL END AS shikkan133_start_date</v>
      </c>
      <c r="V151" s="25" t="str">
        <f t="shared" si="23"/>
        <v>, max(shikkan133_start_date)</v>
      </c>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milscm_2023_009.sny_202310_annony_non_annony2.shikkan133_start_date IS 'C221_疾患開始日';</v>
      </c>
    </row>
    <row r="152" spans="1:45" s="25" customFormat="1">
      <c r="A152" s="4" t="s">
        <v>5288</v>
      </c>
      <c r="B152" s="21">
        <f t="shared" si="20"/>
        <v>140</v>
      </c>
      <c r="C152" s="13" t="str">
        <f t="shared" si="21"/>
        <v>C222_疾患開始日</v>
      </c>
      <c r="D152" s="13" t="s">
        <v>4902</v>
      </c>
      <c r="E152" s="8"/>
      <c r="F152" s="7" t="s">
        <v>4348</v>
      </c>
      <c r="G152" s="7" t="s">
        <v>25</v>
      </c>
      <c r="H152" s="58"/>
      <c r="I152" s="23"/>
      <c r="J152" s="24"/>
      <c r="M152" s="4"/>
      <c r="N152" s="76"/>
      <c r="O152" s="76"/>
      <c r="P152" s="76" t="str">
        <f t="shared" si="8"/>
        <v>,shikkan134_start_date</v>
      </c>
      <c r="Q152" s="76" t="str">
        <f t="shared" si="9"/>
        <v>DATE</v>
      </c>
      <c r="R152" s="76" t="str">
        <f t="shared" si="10"/>
        <v/>
      </c>
      <c r="S152" s="76" t="str">
        <f t="shared" si="11"/>
        <v/>
      </c>
      <c r="T152" s="76" t="str">
        <f t="shared" si="12"/>
        <v>-- C222_疾患開始日</v>
      </c>
      <c r="U152" s="4" t="str">
        <f t="shared" si="22"/>
        <v>, CASE WHEN shikkan_disp_name = 'C222' THEN min_shikkan_start_date ::DATE ELSE NULL END AS shikkan134_start_date</v>
      </c>
      <c r="V152" s="25" t="str">
        <f t="shared" si="23"/>
        <v>, max(shikkan134_start_date)</v>
      </c>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milscm_2023_009.sny_202310_annony_non_annony2.shikkan134_start_date IS 'C222_疾患開始日';</v>
      </c>
    </row>
    <row r="153" spans="1:45" s="25" customFormat="1">
      <c r="A153" s="4" t="s">
        <v>5289</v>
      </c>
      <c r="B153" s="21">
        <f t="shared" si="20"/>
        <v>141</v>
      </c>
      <c r="C153" s="13" t="str">
        <f t="shared" si="21"/>
        <v>C223_疾患開始日</v>
      </c>
      <c r="D153" s="13" t="s">
        <v>4903</v>
      </c>
      <c r="E153" s="8"/>
      <c r="F153" s="7" t="s">
        <v>4348</v>
      </c>
      <c r="G153" s="7" t="s">
        <v>25</v>
      </c>
      <c r="H153" s="58"/>
      <c r="I153" s="23"/>
      <c r="J153" s="24"/>
      <c r="M153" s="4"/>
      <c r="N153" s="76"/>
      <c r="O153" s="76"/>
      <c r="P153" s="76" t="str">
        <f t="shared" si="8"/>
        <v>,shikkan135_start_date</v>
      </c>
      <c r="Q153" s="76" t="str">
        <f t="shared" si="9"/>
        <v>DATE</v>
      </c>
      <c r="R153" s="76" t="str">
        <f t="shared" si="10"/>
        <v/>
      </c>
      <c r="S153" s="76" t="str">
        <f t="shared" si="11"/>
        <v/>
      </c>
      <c r="T153" s="76" t="str">
        <f t="shared" si="12"/>
        <v>-- C223_疾患開始日</v>
      </c>
      <c r="U153" s="4" t="str">
        <f t="shared" si="22"/>
        <v>, CASE WHEN shikkan_disp_name = 'C223' THEN min_shikkan_start_date ::DATE ELSE NULL END AS shikkan135_start_date</v>
      </c>
      <c r="V153" s="25" t="str">
        <f t="shared" si="23"/>
        <v>, max(shikkan135_start_date)</v>
      </c>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milscm_2023_009.sny_202310_annony_non_annony2.shikkan135_start_date IS 'C223_疾患開始日';</v>
      </c>
    </row>
    <row r="154" spans="1:45" s="25" customFormat="1">
      <c r="A154" s="4" t="s">
        <v>5290</v>
      </c>
      <c r="B154" s="21">
        <f t="shared" si="20"/>
        <v>142</v>
      </c>
      <c r="C154" s="13" t="str">
        <f t="shared" si="21"/>
        <v>C224_疾患開始日</v>
      </c>
      <c r="D154" s="13" t="s">
        <v>4904</v>
      </c>
      <c r="E154" s="8"/>
      <c r="F154" s="7" t="s">
        <v>4348</v>
      </c>
      <c r="G154" s="7" t="s">
        <v>25</v>
      </c>
      <c r="H154" s="58"/>
      <c r="I154" s="23"/>
      <c r="J154" s="24"/>
      <c r="M154" s="4"/>
      <c r="N154" s="76"/>
      <c r="O154" s="76"/>
      <c r="P154" s="76" t="str">
        <f t="shared" si="8"/>
        <v>,shikkan136_start_date</v>
      </c>
      <c r="Q154" s="76" t="str">
        <f t="shared" si="9"/>
        <v>DATE</v>
      </c>
      <c r="R154" s="76" t="str">
        <f t="shared" si="10"/>
        <v/>
      </c>
      <c r="S154" s="76" t="str">
        <f t="shared" si="11"/>
        <v/>
      </c>
      <c r="T154" s="76" t="str">
        <f t="shared" si="12"/>
        <v>-- C224_疾患開始日</v>
      </c>
      <c r="U154" s="4" t="str">
        <f t="shared" si="22"/>
        <v>, CASE WHEN shikkan_disp_name = 'C224' THEN min_shikkan_start_date ::DATE ELSE NULL END AS shikkan136_start_date</v>
      </c>
      <c r="V154" s="25" t="str">
        <f t="shared" si="23"/>
        <v>, max(shikkan136_start_date)</v>
      </c>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milscm_2023_009.sny_202310_annony_non_annony2.shikkan136_start_date IS 'C224_疾患開始日';</v>
      </c>
    </row>
    <row r="155" spans="1:45" s="25" customFormat="1">
      <c r="A155" s="4" t="s">
        <v>5291</v>
      </c>
      <c r="B155" s="21">
        <f t="shared" si="20"/>
        <v>143</v>
      </c>
      <c r="C155" s="13" t="str">
        <f t="shared" si="21"/>
        <v>C227_疾患開始日</v>
      </c>
      <c r="D155" s="13" t="s">
        <v>4905</v>
      </c>
      <c r="E155" s="8"/>
      <c r="F155" s="7" t="s">
        <v>4348</v>
      </c>
      <c r="G155" s="7" t="s">
        <v>25</v>
      </c>
      <c r="H155" s="58"/>
      <c r="I155" s="23"/>
      <c r="J155" s="24"/>
      <c r="M155" s="4"/>
      <c r="N155" s="76"/>
      <c r="O155" s="76"/>
      <c r="P155" s="76" t="str">
        <f t="shared" si="8"/>
        <v>,shikkan137_start_date</v>
      </c>
      <c r="Q155" s="76" t="str">
        <f t="shared" si="9"/>
        <v>DATE</v>
      </c>
      <c r="R155" s="76" t="str">
        <f t="shared" si="10"/>
        <v/>
      </c>
      <c r="S155" s="76" t="str">
        <f t="shared" si="11"/>
        <v/>
      </c>
      <c r="T155" s="76" t="str">
        <f t="shared" si="12"/>
        <v>-- C227_疾患開始日</v>
      </c>
      <c r="U155" s="4" t="str">
        <f t="shared" si="22"/>
        <v>, CASE WHEN shikkan_disp_name = 'C227' THEN min_shikkan_start_date ::DATE ELSE NULL END AS shikkan137_start_date</v>
      </c>
      <c r="V155" s="25" t="str">
        <f t="shared" si="23"/>
        <v>, max(shikkan137_start_date)</v>
      </c>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milscm_2023_009.sny_202310_annony_non_annony2.shikkan137_start_date IS 'C227_疾患開始日';</v>
      </c>
    </row>
    <row r="156" spans="1:45" s="25" customFormat="1">
      <c r="A156" s="4" t="s">
        <v>5292</v>
      </c>
      <c r="B156" s="21">
        <f t="shared" si="20"/>
        <v>144</v>
      </c>
      <c r="C156" s="13" t="str">
        <f t="shared" si="21"/>
        <v>C229_疾患開始日</v>
      </c>
      <c r="D156" s="13" t="s">
        <v>4906</v>
      </c>
      <c r="E156" s="8"/>
      <c r="F156" s="7" t="s">
        <v>4348</v>
      </c>
      <c r="G156" s="7" t="s">
        <v>25</v>
      </c>
      <c r="H156" s="58"/>
      <c r="I156" s="23"/>
      <c r="J156" s="24"/>
      <c r="M156" s="4"/>
      <c r="N156" s="76"/>
      <c r="O156" s="76"/>
      <c r="P156" s="76" t="str">
        <f t="shared" si="8"/>
        <v>,shikkan138_start_date</v>
      </c>
      <c r="Q156" s="76" t="str">
        <f t="shared" si="9"/>
        <v>DATE</v>
      </c>
      <c r="R156" s="76" t="str">
        <f t="shared" si="10"/>
        <v/>
      </c>
      <c r="S156" s="76" t="str">
        <f t="shared" si="11"/>
        <v/>
      </c>
      <c r="T156" s="76" t="str">
        <f t="shared" si="12"/>
        <v>-- C229_疾患開始日</v>
      </c>
      <c r="U156" s="4" t="str">
        <f t="shared" si="22"/>
        <v>, CASE WHEN shikkan_disp_name = 'C229' THEN min_shikkan_start_date ::DATE ELSE NULL END AS shikkan138_start_date</v>
      </c>
      <c r="V156" s="25" t="str">
        <f t="shared" si="23"/>
        <v>, max(shikkan138_start_date)</v>
      </c>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milscm_2023_009.sny_202310_annony_non_annony2.shikkan138_start_date IS 'C229_疾患開始日';</v>
      </c>
    </row>
    <row r="157" spans="1:45" s="25" customFormat="1">
      <c r="A157" s="4" t="s">
        <v>5145</v>
      </c>
      <c r="B157" s="21">
        <f t="shared" si="20"/>
        <v>145</v>
      </c>
      <c r="C157" s="13" t="str">
        <f t="shared" si="21"/>
        <v>C23_疾患開始日</v>
      </c>
      <c r="D157" s="13" t="s">
        <v>4907</v>
      </c>
      <c r="E157" s="8"/>
      <c r="F157" s="7" t="s">
        <v>4348</v>
      </c>
      <c r="G157" s="7" t="s">
        <v>25</v>
      </c>
      <c r="H157" s="58"/>
      <c r="I157" s="23"/>
      <c r="J157" s="24"/>
      <c r="M157" s="4"/>
      <c r="N157" s="76"/>
      <c r="O157" s="76"/>
      <c r="P157" s="76" t="str">
        <f t="shared" si="8"/>
        <v>,shikkan139_start_date</v>
      </c>
      <c r="Q157" s="76" t="str">
        <f t="shared" si="9"/>
        <v>DATE</v>
      </c>
      <c r="R157" s="76" t="str">
        <f t="shared" si="10"/>
        <v/>
      </c>
      <c r="S157" s="76" t="str">
        <f t="shared" si="11"/>
        <v/>
      </c>
      <c r="T157" s="76" t="str">
        <f t="shared" si="12"/>
        <v>-- C23_疾患開始日</v>
      </c>
      <c r="U157" s="4" t="str">
        <f t="shared" si="22"/>
        <v>, CASE WHEN shikkan_disp_name = 'C23' THEN min_shikkan_start_date ::DATE ELSE NULL END AS shikkan139_start_date</v>
      </c>
      <c r="V157" s="25" t="str">
        <f t="shared" si="23"/>
        <v>, max(shikkan139_start_date)</v>
      </c>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milscm_2023_009.sny_202310_annony_non_annony2.shikkan139_start_date IS 'C23_疾患開始日';</v>
      </c>
    </row>
    <row r="158" spans="1:45" s="25" customFormat="1">
      <c r="A158" s="4" t="s">
        <v>5293</v>
      </c>
      <c r="B158" s="21">
        <f t="shared" si="20"/>
        <v>146</v>
      </c>
      <c r="C158" s="13" t="str">
        <f t="shared" si="21"/>
        <v>C240_疾患開始日</v>
      </c>
      <c r="D158" s="13" t="s">
        <v>4908</v>
      </c>
      <c r="E158" s="8"/>
      <c r="F158" s="7" t="s">
        <v>4348</v>
      </c>
      <c r="G158" s="7" t="s">
        <v>25</v>
      </c>
      <c r="H158" s="58"/>
      <c r="I158" s="23"/>
      <c r="J158" s="24"/>
      <c r="M158" s="4"/>
      <c r="N158" s="76"/>
      <c r="O158" s="76"/>
      <c r="P158" s="76" t="str">
        <f t="shared" si="8"/>
        <v>,shikkan140_start_date</v>
      </c>
      <c r="Q158" s="76" t="str">
        <f t="shared" si="9"/>
        <v>DATE</v>
      </c>
      <c r="R158" s="76" t="str">
        <f t="shared" si="10"/>
        <v/>
      </c>
      <c r="S158" s="76" t="str">
        <f t="shared" si="11"/>
        <v/>
      </c>
      <c r="T158" s="76" t="str">
        <f t="shared" si="12"/>
        <v>-- C240_疾患開始日</v>
      </c>
      <c r="U158" s="4" t="str">
        <f t="shared" si="22"/>
        <v>, CASE WHEN shikkan_disp_name = 'C240' THEN min_shikkan_start_date ::DATE ELSE NULL END AS shikkan140_start_date</v>
      </c>
      <c r="V158" s="25" t="str">
        <f t="shared" si="23"/>
        <v>, max(shikkan140_start_date)</v>
      </c>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milscm_2023_009.sny_202310_annony_non_annony2.shikkan140_start_date IS 'C240_疾患開始日';</v>
      </c>
    </row>
    <row r="159" spans="1:45" s="25" customFormat="1">
      <c r="A159" s="4" t="s">
        <v>5294</v>
      </c>
      <c r="B159" s="21">
        <f t="shared" si="20"/>
        <v>147</v>
      </c>
      <c r="C159" s="13" t="str">
        <f t="shared" si="21"/>
        <v>C241_疾患開始日</v>
      </c>
      <c r="D159" s="13" t="s">
        <v>4909</v>
      </c>
      <c r="E159" s="8"/>
      <c r="F159" s="7" t="s">
        <v>4348</v>
      </c>
      <c r="G159" s="7" t="s">
        <v>25</v>
      </c>
      <c r="H159" s="58"/>
      <c r="I159" s="23"/>
      <c r="J159" s="24"/>
      <c r="M159" s="4"/>
      <c r="N159" s="76"/>
      <c r="O159" s="76"/>
      <c r="P159" s="76" t="str">
        <f t="shared" si="8"/>
        <v>,shikkan141_start_date</v>
      </c>
      <c r="Q159" s="76" t="str">
        <f t="shared" si="9"/>
        <v>DATE</v>
      </c>
      <c r="R159" s="76" t="str">
        <f t="shared" si="10"/>
        <v/>
      </c>
      <c r="S159" s="76" t="str">
        <f t="shared" si="11"/>
        <v/>
      </c>
      <c r="T159" s="76" t="str">
        <f t="shared" si="12"/>
        <v>-- C241_疾患開始日</v>
      </c>
      <c r="U159" s="4" t="str">
        <f t="shared" si="22"/>
        <v>, CASE WHEN shikkan_disp_name = 'C241' THEN min_shikkan_start_date ::DATE ELSE NULL END AS shikkan141_start_date</v>
      </c>
      <c r="V159" s="25" t="str">
        <f t="shared" si="23"/>
        <v>, max(shikkan141_start_date)</v>
      </c>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milscm_2023_009.sny_202310_annony_non_annony2.shikkan141_start_date IS 'C241_疾患開始日';</v>
      </c>
    </row>
    <row r="160" spans="1:45" s="25" customFormat="1">
      <c r="A160" s="4" t="s">
        <v>5295</v>
      </c>
      <c r="B160" s="21">
        <f t="shared" si="20"/>
        <v>148</v>
      </c>
      <c r="C160" s="13" t="str">
        <f t="shared" si="21"/>
        <v>C248_疾患開始日</v>
      </c>
      <c r="D160" s="13" t="s">
        <v>4910</v>
      </c>
      <c r="E160" s="8"/>
      <c r="F160" s="7" t="s">
        <v>4348</v>
      </c>
      <c r="G160" s="7" t="s">
        <v>25</v>
      </c>
      <c r="H160" s="58"/>
      <c r="I160" s="23"/>
      <c r="J160" s="24"/>
      <c r="M160" s="4"/>
      <c r="N160" s="76"/>
      <c r="O160" s="76"/>
      <c r="P160" s="76" t="str">
        <f t="shared" si="8"/>
        <v>,shikkan142_start_date</v>
      </c>
      <c r="Q160" s="76" t="str">
        <f t="shared" si="9"/>
        <v>DATE</v>
      </c>
      <c r="R160" s="76" t="str">
        <f t="shared" si="10"/>
        <v/>
      </c>
      <c r="S160" s="76" t="str">
        <f t="shared" si="11"/>
        <v/>
      </c>
      <c r="T160" s="76" t="str">
        <f t="shared" si="12"/>
        <v>-- C248_疾患開始日</v>
      </c>
      <c r="U160" s="4" t="str">
        <f t="shared" si="22"/>
        <v>, CASE WHEN shikkan_disp_name = 'C248' THEN min_shikkan_start_date ::DATE ELSE NULL END AS shikkan142_start_date</v>
      </c>
      <c r="V160" s="25" t="str">
        <f t="shared" si="23"/>
        <v>, max(shikkan142_start_date)</v>
      </c>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milscm_2023_009.sny_202310_annony_non_annony2.shikkan142_start_date IS 'C248_疾患開始日';</v>
      </c>
    </row>
    <row r="161" spans="1:45" s="25" customFormat="1">
      <c r="A161" s="4" t="s">
        <v>5296</v>
      </c>
      <c r="B161" s="21">
        <f t="shared" si="20"/>
        <v>149</v>
      </c>
      <c r="C161" s="13" t="str">
        <f t="shared" si="21"/>
        <v>C249_疾患開始日</v>
      </c>
      <c r="D161" s="13" t="s">
        <v>4911</v>
      </c>
      <c r="E161" s="8"/>
      <c r="F161" s="7" t="s">
        <v>4348</v>
      </c>
      <c r="G161" s="7" t="s">
        <v>25</v>
      </c>
      <c r="H161" s="58"/>
      <c r="I161" s="23"/>
      <c r="J161" s="24"/>
      <c r="M161" s="4"/>
      <c r="N161" s="76"/>
      <c r="O161" s="76"/>
      <c r="P161" s="76" t="str">
        <f t="shared" si="8"/>
        <v>,shikkan143_start_date</v>
      </c>
      <c r="Q161" s="76" t="str">
        <f t="shared" si="9"/>
        <v>DATE</v>
      </c>
      <c r="R161" s="76" t="str">
        <f t="shared" si="10"/>
        <v/>
      </c>
      <c r="S161" s="76" t="str">
        <f t="shared" si="11"/>
        <v/>
      </c>
      <c r="T161" s="76" t="str">
        <f t="shared" si="12"/>
        <v>-- C249_疾患開始日</v>
      </c>
      <c r="U161" s="4" t="str">
        <f t="shared" si="22"/>
        <v>, CASE WHEN shikkan_disp_name = 'C249' THEN min_shikkan_start_date ::DATE ELSE NULL END AS shikkan143_start_date</v>
      </c>
      <c r="V161" s="25" t="str">
        <f t="shared" si="23"/>
        <v>, max(shikkan143_start_date)</v>
      </c>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milscm_2023_009.sny_202310_annony_non_annony2.shikkan143_start_date IS 'C249_疾患開始日';</v>
      </c>
    </row>
    <row r="162" spans="1:45" s="25" customFormat="1">
      <c r="A162" s="4" t="s">
        <v>5297</v>
      </c>
      <c r="B162" s="21">
        <f t="shared" si="20"/>
        <v>150</v>
      </c>
      <c r="C162" s="13" t="str">
        <f t="shared" si="21"/>
        <v>C250_疾患開始日</v>
      </c>
      <c r="D162" s="13" t="s">
        <v>4912</v>
      </c>
      <c r="E162" s="8"/>
      <c r="F162" s="7" t="s">
        <v>4348</v>
      </c>
      <c r="G162" s="7" t="s">
        <v>25</v>
      </c>
      <c r="H162" s="58"/>
      <c r="I162" s="23"/>
      <c r="J162" s="24"/>
      <c r="M162" s="4"/>
      <c r="N162" s="76"/>
      <c r="O162" s="76"/>
      <c r="P162" s="76" t="str">
        <f t="shared" si="8"/>
        <v>,shikkan144_start_date</v>
      </c>
      <c r="Q162" s="76" t="str">
        <f t="shared" si="9"/>
        <v>DATE</v>
      </c>
      <c r="R162" s="76" t="str">
        <f t="shared" si="10"/>
        <v/>
      </c>
      <c r="S162" s="76" t="str">
        <f t="shared" si="11"/>
        <v/>
      </c>
      <c r="T162" s="76" t="str">
        <f t="shared" si="12"/>
        <v>-- C250_疾患開始日</v>
      </c>
      <c r="U162" s="4" t="str">
        <f t="shared" si="22"/>
        <v>, CASE WHEN shikkan_disp_name = 'C250' THEN min_shikkan_start_date ::DATE ELSE NULL END AS shikkan144_start_date</v>
      </c>
      <c r="V162" s="25" t="str">
        <f t="shared" si="23"/>
        <v>, max(shikkan144_start_date)</v>
      </c>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milscm_2023_009.sny_202310_annony_non_annony2.shikkan144_start_date IS 'C250_疾患開始日';</v>
      </c>
    </row>
    <row r="163" spans="1:45" s="25" customFormat="1">
      <c r="A163" s="4" t="s">
        <v>5298</v>
      </c>
      <c r="B163" s="21">
        <f t="shared" si="20"/>
        <v>151</v>
      </c>
      <c r="C163" s="13" t="str">
        <f t="shared" si="21"/>
        <v>C251_疾患開始日</v>
      </c>
      <c r="D163" s="13" t="s">
        <v>4913</v>
      </c>
      <c r="E163" s="8"/>
      <c r="F163" s="7" t="s">
        <v>4348</v>
      </c>
      <c r="G163" s="7" t="s">
        <v>99</v>
      </c>
      <c r="H163" s="58"/>
      <c r="I163" s="23"/>
      <c r="J163" s="24"/>
      <c r="M163" s="4"/>
      <c r="N163" s="76"/>
      <c r="O163" s="76"/>
      <c r="P163" s="76" t="str">
        <f t="shared" si="8"/>
        <v>,shikkan145_start_date</v>
      </c>
      <c r="Q163" s="76" t="str">
        <f t="shared" si="9"/>
        <v>DATE</v>
      </c>
      <c r="R163" s="76" t="str">
        <f t="shared" si="10"/>
        <v/>
      </c>
      <c r="S163" s="76" t="str">
        <f t="shared" si="11"/>
        <v/>
      </c>
      <c r="T163" s="76" t="str">
        <f t="shared" si="12"/>
        <v>-- C251_疾患開始日</v>
      </c>
      <c r="U163" s="4" t="str">
        <f t="shared" si="22"/>
        <v>, CASE WHEN shikkan_disp_name = 'C251' THEN min_shikkan_start_date ::DATE ELSE NULL END AS shikkan145_start_date</v>
      </c>
      <c r="V163" s="25" t="str">
        <f t="shared" si="23"/>
        <v>, max(shikkan145_start_date)</v>
      </c>
      <c r="AA163" s="4"/>
      <c r="AB163" s="4"/>
      <c r="AC163" s="4"/>
      <c r="AD163" s="4"/>
      <c r="AE163" s="4"/>
      <c r="AF163" s="4"/>
      <c r="AG163" s="4"/>
      <c r="AH163" s="4"/>
      <c r="AI163" s="4"/>
      <c r="AJ163" s="76" t="str">
        <f>IF(E163="○",IF(COUNTA(E$13:E163)=1,"",",")&amp;D163,"")</f>
        <v/>
      </c>
      <c r="AK163" s="4"/>
      <c r="AL163" s="4"/>
      <c r="AM163" s="4"/>
      <c r="AN163" s="4"/>
      <c r="AO163" s="4"/>
      <c r="AP163" s="4"/>
      <c r="AQ163" s="4"/>
      <c r="AR163" s="4"/>
      <c r="AS163" s="76" t="str">
        <f>"COMMENT ON COLUMN "&amp;エンティティ一覧!$O$2&amp;"."&amp;D$8&amp;"."&amp;D163&amp;" IS '"&amp;C163&amp;"';"</f>
        <v>COMMENT ON COLUMN milscm_2023_009.sny_202310_annony_non_annony2.shikkan145_start_date IS 'C251_疾患開始日';</v>
      </c>
    </row>
    <row r="164" spans="1:45" s="25" customFormat="1">
      <c r="A164" s="4" t="s">
        <v>5299</v>
      </c>
      <c r="B164" s="21">
        <f t="shared" si="20"/>
        <v>152</v>
      </c>
      <c r="C164" s="13" t="str">
        <f t="shared" si="21"/>
        <v>C252_疾患開始日</v>
      </c>
      <c r="D164" s="13" t="s">
        <v>4914</v>
      </c>
      <c r="E164" s="8"/>
      <c r="F164" s="7" t="s">
        <v>4348</v>
      </c>
      <c r="G164" s="7" t="s">
        <v>25</v>
      </c>
      <c r="H164" s="58"/>
      <c r="I164" s="23"/>
      <c r="J164" s="24"/>
      <c r="M164" s="4"/>
      <c r="N164" s="76"/>
      <c r="O164" s="76"/>
      <c r="P164" s="76" t="str">
        <f t="shared" si="8"/>
        <v>,shikkan146_start_date</v>
      </c>
      <c r="Q164" s="76" t="str">
        <f t="shared" si="9"/>
        <v>DATE</v>
      </c>
      <c r="R164" s="76" t="str">
        <f t="shared" si="10"/>
        <v/>
      </c>
      <c r="S164" s="76" t="str">
        <f t="shared" si="11"/>
        <v/>
      </c>
      <c r="T164" s="76" t="str">
        <f t="shared" si="12"/>
        <v>-- C252_疾患開始日</v>
      </c>
      <c r="U164" s="4" t="str">
        <f t="shared" si="22"/>
        <v>, CASE WHEN shikkan_disp_name = 'C252' THEN min_shikkan_start_date ::DATE ELSE NULL END AS shikkan146_start_date</v>
      </c>
      <c r="V164" s="25" t="str">
        <f t="shared" si="23"/>
        <v>, max(shikkan146_start_date)</v>
      </c>
      <c r="AA164" s="4"/>
      <c r="AB164" s="4"/>
      <c r="AC164" s="4"/>
      <c r="AD164" s="4"/>
      <c r="AE164" s="4"/>
      <c r="AF164" s="4"/>
      <c r="AG164" s="4"/>
      <c r="AH164" s="4"/>
      <c r="AI164" s="4"/>
      <c r="AJ164" s="76" t="str">
        <f>IF(E164="○",IF(COUNTA(E$13:E164)=1,"",",")&amp;D164,"")</f>
        <v/>
      </c>
      <c r="AK164" s="4"/>
      <c r="AL164" s="4"/>
      <c r="AM164" s="4"/>
      <c r="AN164" s="4"/>
      <c r="AO164" s="4"/>
      <c r="AP164" s="4"/>
      <c r="AQ164" s="4"/>
      <c r="AR164" s="4"/>
      <c r="AS164" s="76" t="str">
        <f>"COMMENT ON COLUMN "&amp;エンティティ一覧!$O$2&amp;"."&amp;D$8&amp;"."&amp;D164&amp;" IS '"&amp;C164&amp;"';"</f>
        <v>COMMENT ON COLUMN milscm_2023_009.sny_202310_annony_non_annony2.shikkan146_start_date IS 'C252_疾患開始日';</v>
      </c>
    </row>
    <row r="165" spans="1:45" s="25" customFormat="1">
      <c r="A165" s="4" t="s">
        <v>5300</v>
      </c>
      <c r="B165" s="21">
        <f t="shared" si="20"/>
        <v>153</v>
      </c>
      <c r="C165" s="13" t="str">
        <f t="shared" si="21"/>
        <v>C253_疾患開始日</v>
      </c>
      <c r="D165" s="13" t="s">
        <v>4915</v>
      </c>
      <c r="E165" s="8"/>
      <c r="F165" s="7" t="s">
        <v>4348</v>
      </c>
      <c r="G165" s="7" t="s">
        <v>25</v>
      </c>
      <c r="H165" s="58"/>
      <c r="I165" s="23"/>
      <c r="J165" s="24"/>
      <c r="M165" s="4"/>
      <c r="N165" s="76"/>
      <c r="O165" s="76"/>
      <c r="P165" s="76" t="str">
        <f t="shared" si="8"/>
        <v>,shikkan147_start_date</v>
      </c>
      <c r="Q165" s="76" t="str">
        <f t="shared" si="9"/>
        <v>DATE</v>
      </c>
      <c r="R165" s="76" t="str">
        <f t="shared" si="10"/>
        <v/>
      </c>
      <c r="S165" s="76" t="str">
        <f t="shared" si="11"/>
        <v/>
      </c>
      <c r="T165" s="76" t="str">
        <f t="shared" si="12"/>
        <v>-- C253_疾患開始日</v>
      </c>
      <c r="U165" s="4" t="str">
        <f t="shared" si="22"/>
        <v>, CASE WHEN shikkan_disp_name = 'C253' THEN min_shikkan_start_date ::DATE ELSE NULL END AS shikkan147_start_date</v>
      </c>
      <c r="V165" s="25" t="str">
        <f t="shared" si="23"/>
        <v>, max(shikkan147_start_date)</v>
      </c>
      <c r="AA165" s="4"/>
      <c r="AB165" s="4"/>
      <c r="AC165" s="4"/>
      <c r="AD165" s="4"/>
      <c r="AE165" s="4"/>
      <c r="AF165" s="4"/>
      <c r="AG165" s="4"/>
      <c r="AH165" s="4"/>
      <c r="AI165" s="4"/>
      <c r="AJ165" s="76" t="str">
        <f>IF(E165="○",IF(COUNTA(E$13:E165)=1,"",",")&amp;D165,"")</f>
        <v/>
      </c>
      <c r="AK165" s="4"/>
      <c r="AL165" s="4"/>
      <c r="AM165" s="4"/>
      <c r="AN165" s="4"/>
      <c r="AO165" s="4"/>
      <c r="AP165" s="4"/>
      <c r="AQ165" s="4"/>
      <c r="AR165" s="4"/>
      <c r="AS165" s="76" t="str">
        <f>"COMMENT ON COLUMN "&amp;エンティティ一覧!$O$2&amp;"."&amp;D$8&amp;"."&amp;D165&amp;" IS '"&amp;C165&amp;"';"</f>
        <v>COMMENT ON COLUMN milscm_2023_009.sny_202310_annony_non_annony2.shikkan147_start_date IS 'C253_疾患開始日';</v>
      </c>
    </row>
    <row r="166" spans="1:45" s="25" customFormat="1">
      <c r="A166" s="4" t="s">
        <v>5301</v>
      </c>
      <c r="B166" s="21">
        <f t="shared" si="20"/>
        <v>154</v>
      </c>
      <c r="C166" s="13" t="str">
        <f t="shared" si="21"/>
        <v>C254_疾患開始日</v>
      </c>
      <c r="D166" s="13" t="s">
        <v>4916</v>
      </c>
      <c r="E166" s="8"/>
      <c r="F166" s="7" t="s">
        <v>4348</v>
      </c>
      <c r="G166" s="7" t="s">
        <v>25</v>
      </c>
      <c r="H166" s="58"/>
      <c r="I166" s="23"/>
      <c r="J166" s="24"/>
      <c r="M166" s="4"/>
      <c r="N166" s="76"/>
      <c r="O166" s="76"/>
      <c r="P166" s="76" t="str">
        <f t="shared" si="8"/>
        <v>,shikkan148_start_date</v>
      </c>
      <c r="Q166" s="76" t="str">
        <f t="shared" si="9"/>
        <v>DATE</v>
      </c>
      <c r="R166" s="76" t="str">
        <f t="shared" si="10"/>
        <v/>
      </c>
      <c r="S166" s="76" t="str">
        <f t="shared" si="11"/>
        <v/>
      </c>
      <c r="T166" s="76" t="str">
        <f t="shared" si="12"/>
        <v>-- C254_疾患開始日</v>
      </c>
      <c r="U166" s="4" t="str">
        <f t="shared" si="22"/>
        <v>, CASE WHEN shikkan_disp_name = 'C254' THEN min_shikkan_start_date ::DATE ELSE NULL END AS shikkan148_start_date</v>
      </c>
      <c r="V166" s="25" t="str">
        <f t="shared" si="23"/>
        <v>, max(shikkan148_start_date)</v>
      </c>
      <c r="AA166" s="4"/>
      <c r="AB166" s="4"/>
      <c r="AC166" s="4"/>
      <c r="AD166" s="4"/>
      <c r="AE166" s="4"/>
      <c r="AF166" s="4"/>
      <c r="AG166" s="4"/>
      <c r="AH166" s="4"/>
      <c r="AI166" s="4"/>
      <c r="AJ166" s="76" t="str">
        <f>IF(E166="○",IF(COUNTA(E$13:E166)=1,"",",")&amp;D166,"")</f>
        <v/>
      </c>
      <c r="AK166" s="4"/>
      <c r="AL166" s="4"/>
      <c r="AM166" s="4"/>
      <c r="AN166" s="4"/>
      <c r="AO166" s="4"/>
      <c r="AP166" s="4"/>
      <c r="AQ166" s="4"/>
      <c r="AR166" s="4"/>
      <c r="AS166" s="76" t="str">
        <f>"COMMENT ON COLUMN "&amp;エンティティ一覧!$O$2&amp;"."&amp;D$8&amp;"."&amp;D166&amp;" IS '"&amp;C166&amp;"';"</f>
        <v>COMMENT ON COLUMN milscm_2023_009.sny_202310_annony_non_annony2.shikkan148_start_date IS 'C254_疾患開始日';</v>
      </c>
    </row>
    <row r="167" spans="1:45" s="25" customFormat="1">
      <c r="A167" s="4" t="s">
        <v>5302</v>
      </c>
      <c r="B167" s="21">
        <f t="shared" si="20"/>
        <v>155</v>
      </c>
      <c r="C167" s="13" t="str">
        <f t="shared" si="21"/>
        <v>C257_疾患開始日</v>
      </c>
      <c r="D167" s="13" t="s">
        <v>4917</v>
      </c>
      <c r="E167" s="8"/>
      <c r="F167" s="7" t="s">
        <v>4348</v>
      </c>
      <c r="G167" s="7" t="s">
        <v>25</v>
      </c>
      <c r="H167" s="58"/>
      <c r="I167" s="23"/>
      <c r="J167" s="24"/>
      <c r="M167" s="4"/>
      <c r="N167" s="76"/>
      <c r="O167" s="76"/>
      <c r="P167" s="76" t="str">
        <f t="shared" si="8"/>
        <v>,shikkan149_start_date</v>
      </c>
      <c r="Q167" s="76" t="str">
        <f t="shared" si="9"/>
        <v>DATE</v>
      </c>
      <c r="R167" s="76" t="str">
        <f t="shared" si="10"/>
        <v/>
      </c>
      <c r="S167" s="76" t="str">
        <f t="shared" si="11"/>
        <v/>
      </c>
      <c r="T167" s="76" t="str">
        <f t="shared" si="12"/>
        <v>-- C257_疾患開始日</v>
      </c>
      <c r="U167" s="4" t="str">
        <f t="shared" si="22"/>
        <v>, CASE WHEN shikkan_disp_name = 'C257' THEN min_shikkan_start_date ::DATE ELSE NULL END AS shikkan149_start_date</v>
      </c>
      <c r="V167" s="25" t="str">
        <f t="shared" si="23"/>
        <v>, max(shikkan149_start_date)</v>
      </c>
      <c r="AA167" s="4"/>
      <c r="AB167" s="4"/>
      <c r="AC167" s="4"/>
      <c r="AD167" s="4"/>
      <c r="AE167" s="4"/>
      <c r="AF167" s="4"/>
      <c r="AG167" s="4"/>
      <c r="AH167" s="4"/>
      <c r="AI167" s="4"/>
      <c r="AJ167" s="76" t="str">
        <f>IF(E167="○",IF(COUNTA(E$13:E167)=1,"",",")&amp;D167,"")</f>
        <v/>
      </c>
      <c r="AK167" s="4"/>
      <c r="AL167" s="4"/>
      <c r="AM167" s="4"/>
      <c r="AN167" s="4"/>
      <c r="AO167" s="4"/>
      <c r="AP167" s="4"/>
      <c r="AQ167" s="4"/>
      <c r="AR167" s="4"/>
      <c r="AS167" s="76" t="str">
        <f>"COMMENT ON COLUMN "&amp;エンティティ一覧!$O$2&amp;"."&amp;D$8&amp;"."&amp;D167&amp;" IS '"&amp;C167&amp;"';"</f>
        <v>COMMENT ON COLUMN milscm_2023_009.sny_202310_annony_non_annony2.shikkan149_start_date IS 'C257_疾患開始日';</v>
      </c>
    </row>
    <row r="168" spans="1:45" s="25" customFormat="1">
      <c r="A168" s="4" t="s">
        <v>5303</v>
      </c>
      <c r="B168" s="21">
        <f t="shared" si="20"/>
        <v>156</v>
      </c>
      <c r="C168" s="13" t="str">
        <f t="shared" si="21"/>
        <v>C258_疾患開始日</v>
      </c>
      <c r="D168" s="13" t="s">
        <v>4918</v>
      </c>
      <c r="E168" s="8"/>
      <c r="F168" s="7" t="s">
        <v>4348</v>
      </c>
      <c r="G168" s="7" t="s">
        <v>25</v>
      </c>
      <c r="H168" s="58"/>
      <c r="I168" s="23"/>
      <c r="J168" s="24"/>
      <c r="M168" s="4"/>
      <c r="N168" s="76"/>
      <c r="O168" s="76"/>
      <c r="P168" s="76" t="str">
        <f t="shared" si="8"/>
        <v>,shikkan150_start_date</v>
      </c>
      <c r="Q168" s="76" t="str">
        <f t="shared" si="9"/>
        <v>DATE</v>
      </c>
      <c r="R168" s="76" t="str">
        <f t="shared" si="10"/>
        <v/>
      </c>
      <c r="S168" s="76" t="str">
        <f t="shared" si="11"/>
        <v/>
      </c>
      <c r="T168" s="76" t="str">
        <f t="shared" si="12"/>
        <v>-- C258_疾患開始日</v>
      </c>
      <c r="U168" s="4" t="str">
        <f t="shared" si="22"/>
        <v>, CASE WHEN shikkan_disp_name = 'C258' THEN min_shikkan_start_date ::DATE ELSE NULL END AS shikkan150_start_date</v>
      </c>
      <c r="V168" s="25" t="str">
        <f t="shared" si="23"/>
        <v>, max(shikkan150_start_date)</v>
      </c>
      <c r="AA168" s="4"/>
      <c r="AB168" s="4"/>
      <c r="AC168" s="4"/>
      <c r="AD168" s="4"/>
      <c r="AE168" s="4"/>
      <c r="AF168" s="4"/>
      <c r="AG168" s="4"/>
      <c r="AH168" s="4"/>
      <c r="AI168" s="4"/>
      <c r="AJ168" s="76" t="str">
        <f>IF(E168="○",IF(COUNTA(E$13:E168)=1,"",",")&amp;D168,"")</f>
        <v/>
      </c>
      <c r="AK168" s="4"/>
      <c r="AL168" s="4"/>
      <c r="AM168" s="4"/>
      <c r="AN168" s="4"/>
      <c r="AO168" s="4"/>
      <c r="AP168" s="4"/>
      <c r="AQ168" s="4"/>
      <c r="AR168" s="4"/>
      <c r="AS168" s="76" t="str">
        <f>"COMMENT ON COLUMN "&amp;エンティティ一覧!$O$2&amp;"."&amp;D$8&amp;"."&amp;D168&amp;" IS '"&amp;C168&amp;"';"</f>
        <v>COMMENT ON COLUMN milscm_2023_009.sny_202310_annony_non_annony2.shikkan150_start_date IS 'C258_疾患開始日';</v>
      </c>
    </row>
    <row r="169" spans="1:45" s="25" customFormat="1">
      <c r="A169" s="4" t="s">
        <v>5304</v>
      </c>
      <c r="B169" s="21">
        <f t="shared" si="20"/>
        <v>157</v>
      </c>
      <c r="C169" s="13" t="str">
        <f t="shared" si="21"/>
        <v>C259_疾患開始日</v>
      </c>
      <c r="D169" s="13" t="s">
        <v>4919</v>
      </c>
      <c r="E169" s="8"/>
      <c r="F169" s="7" t="s">
        <v>4348</v>
      </c>
      <c r="G169" s="7" t="s">
        <v>25</v>
      </c>
      <c r="H169" s="58"/>
      <c r="I169" s="23"/>
      <c r="J169" s="24"/>
      <c r="M169" s="4"/>
      <c r="N169" s="76"/>
      <c r="O169" s="76"/>
      <c r="P169" s="76" t="str">
        <f t="shared" si="8"/>
        <v>,shikkan151_start_date</v>
      </c>
      <c r="Q169" s="76" t="str">
        <f t="shared" si="9"/>
        <v>DATE</v>
      </c>
      <c r="R169" s="76" t="str">
        <f t="shared" si="10"/>
        <v/>
      </c>
      <c r="S169" s="76" t="str">
        <f t="shared" si="11"/>
        <v/>
      </c>
      <c r="T169" s="76" t="str">
        <f t="shared" si="12"/>
        <v>-- C259_疾患開始日</v>
      </c>
      <c r="U169" s="4" t="str">
        <f t="shared" si="22"/>
        <v>, CASE WHEN shikkan_disp_name = 'C259' THEN min_shikkan_start_date ::DATE ELSE NULL END AS shikkan151_start_date</v>
      </c>
      <c r="V169" s="25" t="str">
        <f t="shared" si="23"/>
        <v>, max(shikkan151_start_date)</v>
      </c>
      <c r="AA169" s="4"/>
      <c r="AB169" s="4"/>
      <c r="AC169" s="4"/>
      <c r="AD169" s="4"/>
      <c r="AE169" s="4"/>
      <c r="AF169" s="4"/>
      <c r="AG169" s="4"/>
      <c r="AH169" s="4"/>
      <c r="AI169" s="4"/>
      <c r="AJ169" s="76" t="str">
        <f>IF(E169="○",IF(COUNTA(E$13:E169)=1,"",",")&amp;D169,"")</f>
        <v/>
      </c>
      <c r="AK169" s="4"/>
      <c r="AL169" s="4"/>
      <c r="AM169" s="4"/>
      <c r="AN169" s="4"/>
      <c r="AO169" s="4"/>
      <c r="AP169" s="4"/>
      <c r="AQ169" s="4"/>
      <c r="AR169" s="4"/>
      <c r="AS169" s="76" t="str">
        <f>"COMMENT ON COLUMN "&amp;エンティティ一覧!$O$2&amp;"."&amp;D$8&amp;"."&amp;D169&amp;" IS '"&amp;C169&amp;"';"</f>
        <v>COMMENT ON COLUMN milscm_2023_009.sny_202310_annony_non_annony2.shikkan151_start_date IS 'C259_疾患開始日';</v>
      </c>
    </row>
    <row r="170" spans="1:45" s="25" customFormat="1">
      <c r="A170" s="4" t="s">
        <v>5305</v>
      </c>
      <c r="B170" s="21">
        <f t="shared" si="20"/>
        <v>158</v>
      </c>
      <c r="C170" s="13" t="str">
        <f t="shared" si="21"/>
        <v>C260_疾患開始日</v>
      </c>
      <c r="D170" s="13" t="s">
        <v>4920</v>
      </c>
      <c r="E170" s="8"/>
      <c r="F170" s="7" t="s">
        <v>4348</v>
      </c>
      <c r="G170" s="7" t="s">
        <v>25</v>
      </c>
      <c r="H170" s="58"/>
      <c r="I170" s="23"/>
      <c r="J170" s="24"/>
      <c r="M170" s="4"/>
      <c r="N170" s="76"/>
      <c r="O170" s="76"/>
      <c r="P170" s="76" t="str">
        <f t="shared" si="8"/>
        <v>,shikkan152_start_date</v>
      </c>
      <c r="Q170" s="76" t="str">
        <f t="shared" si="9"/>
        <v>DATE</v>
      </c>
      <c r="R170" s="76" t="str">
        <f t="shared" si="10"/>
        <v/>
      </c>
      <c r="S170" s="76" t="str">
        <f t="shared" si="11"/>
        <v/>
      </c>
      <c r="T170" s="76" t="str">
        <f t="shared" si="12"/>
        <v>-- C260_疾患開始日</v>
      </c>
      <c r="U170" s="4" t="str">
        <f t="shared" si="22"/>
        <v>, CASE WHEN shikkan_disp_name = 'C260' THEN min_shikkan_start_date ::DATE ELSE NULL END AS shikkan152_start_date</v>
      </c>
      <c r="V170" s="25" t="str">
        <f t="shared" si="23"/>
        <v>, max(shikkan152_start_date)</v>
      </c>
      <c r="AA170" s="4"/>
      <c r="AB170" s="4"/>
      <c r="AC170" s="4"/>
      <c r="AD170" s="4"/>
      <c r="AE170" s="4"/>
      <c r="AF170" s="4"/>
      <c r="AG170" s="4"/>
      <c r="AH170" s="4"/>
      <c r="AI170" s="4"/>
      <c r="AJ170" s="76" t="str">
        <f>IF(E170="○",IF(COUNTA(E$13:E170)=1,"",",")&amp;D170,"")</f>
        <v/>
      </c>
      <c r="AK170" s="4"/>
      <c r="AL170" s="4"/>
      <c r="AM170" s="4"/>
      <c r="AN170" s="4"/>
      <c r="AO170" s="4"/>
      <c r="AP170" s="4"/>
      <c r="AQ170" s="4"/>
      <c r="AR170" s="4"/>
      <c r="AS170" s="76" t="str">
        <f>"COMMENT ON COLUMN "&amp;エンティティ一覧!$O$2&amp;"."&amp;D$8&amp;"."&amp;D170&amp;" IS '"&amp;C170&amp;"';"</f>
        <v>COMMENT ON COLUMN milscm_2023_009.sny_202310_annony_non_annony2.shikkan152_start_date IS 'C260_疾患開始日';</v>
      </c>
    </row>
    <row r="171" spans="1:45" s="25" customFormat="1">
      <c r="A171" s="4" t="s">
        <v>5306</v>
      </c>
      <c r="B171" s="21">
        <f t="shared" si="20"/>
        <v>159</v>
      </c>
      <c r="C171" s="13" t="str">
        <f t="shared" si="21"/>
        <v>C261_疾患開始日</v>
      </c>
      <c r="D171" s="13" t="s">
        <v>4921</v>
      </c>
      <c r="E171" s="8"/>
      <c r="F171" s="7" t="s">
        <v>4348</v>
      </c>
      <c r="G171" s="7" t="s">
        <v>25</v>
      </c>
      <c r="H171" s="58"/>
      <c r="I171" s="23"/>
      <c r="J171" s="24"/>
      <c r="M171" s="4"/>
      <c r="N171" s="76"/>
      <c r="O171" s="76"/>
      <c r="P171" s="76" t="str">
        <f t="shared" si="8"/>
        <v>,shikkan153_start_date</v>
      </c>
      <c r="Q171" s="76" t="str">
        <f t="shared" si="9"/>
        <v>DATE</v>
      </c>
      <c r="R171" s="76" t="str">
        <f t="shared" si="10"/>
        <v/>
      </c>
      <c r="S171" s="76" t="str">
        <f t="shared" si="11"/>
        <v/>
      </c>
      <c r="T171" s="76" t="str">
        <f t="shared" si="12"/>
        <v>-- C261_疾患開始日</v>
      </c>
      <c r="U171" s="4" t="str">
        <f t="shared" si="22"/>
        <v>, CASE WHEN shikkan_disp_name = 'C261' THEN min_shikkan_start_date ::DATE ELSE NULL END AS shikkan153_start_date</v>
      </c>
      <c r="V171" s="25" t="str">
        <f t="shared" si="23"/>
        <v>, max(shikkan153_start_date)</v>
      </c>
      <c r="AA171" s="4"/>
      <c r="AB171" s="4"/>
      <c r="AC171" s="4"/>
      <c r="AD171" s="4"/>
      <c r="AE171" s="4"/>
      <c r="AF171" s="4"/>
      <c r="AG171" s="4"/>
      <c r="AH171" s="4"/>
      <c r="AI171" s="4"/>
      <c r="AJ171" s="76" t="str">
        <f>IF(E171="○",IF(COUNTA(E$13:E171)=1,"",",")&amp;D171,"")</f>
        <v/>
      </c>
      <c r="AK171" s="4"/>
      <c r="AL171" s="4"/>
      <c r="AM171" s="4"/>
      <c r="AN171" s="4"/>
      <c r="AO171" s="4"/>
      <c r="AP171" s="4"/>
      <c r="AQ171" s="4"/>
      <c r="AR171" s="4"/>
      <c r="AS171" s="76" t="str">
        <f>"COMMENT ON COLUMN "&amp;エンティティ一覧!$O$2&amp;"."&amp;D$8&amp;"."&amp;D171&amp;" IS '"&amp;C171&amp;"';"</f>
        <v>COMMENT ON COLUMN milscm_2023_009.sny_202310_annony_non_annony2.shikkan153_start_date IS 'C261_疾患開始日';</v>
      </c>
    </row>
    <row r="172" spans="1:45" s="25" customFormat="1">
      <c r="A172" s="4" t="s">
        <v>5307</v>
      </c>
      <c r="B172" s="21">
        <f t="shared" si="20"/>
        <v>160</v>
      </c>
      <c r="C172" s="13" t="str">
        <f t="shared" si="21"/>
        <v>C268_疾患開始日</v>
      </c>
      <c r="D172" s="13" t="s">
        <v>4922</v>
      </c>
      <c r="E172" s="8"/>
      <c r="F172" s="7" t="s">
        <v>4348</v>
      </c>
      <c r="G172" s="7" t="s">
        <v>25</v>
      </c>
      <c r="H172" s="58"/>
      <c r="I172" s="23"/>
      <c r="J172" s="24"/>
      <c r="M172" s="4"/>
      <c r="N172" s="76"/>
      <c r="O172" s="76"/>
      <c r="P172" s="76" t="str">
        <f t="shared" si="8"/>
        <v>,shikkan154_start_date</v>
      </c>
      <c r="Q172" s="76" t="str">
        <f t="shared" si="9"/>
        <v>DATE</v>
      </c>
      <c r="R172" s="76" t="str">
        <f t="shared" si="10"/>
        <v/>
      </c>
      <c r="S172" s="76" t="str">
        <f t="shared" si="11"/>
        <v/>
      </c>
      <c r="T172" s="76" t="str">
        <f t="shared" si="12"/>
        <v>-- C268_疾患開始日</v>
      </c>
      <c r="U172" s="4" t="str">
        <f t="shared" si="22"/>
        <v>, CASE WHEN shikkan_disp_name = 'C268' THEN min_shikkan_start_date ::DATE ELSE NULL END AS shikkan154_start_date</v>
      </c>
      <c r="V172" s="25" t="str">
        <f t="shared" si="23"/>
        <v>, max(shikkan154_start_date)</v>
      </c>
      <c r="AA172" s="4"/>
      <c r="AB172" s="4"/>
      <c r="AC172" s="4"/>
      <c r="AD172" s="4"/>
      <c r="AE172" s="4"/>
      <c r="AF172" s="4"/>
      <c r="AG172" s="4"/>
      <c r="AH172" s="4"/>
      <c r="AI172" s="4"/>
      <c r="AJ172" s="76" t="str">
        <f>IF(E172="○",IF(COUNTA(E$13:E172)=1,"",",")&amp;D172,"")</f>
        <v/>
      </c>
      <c r="AK172" s="4"/>
      <c r="AL172" s="4"/>
      <c r="AM172" s="4"/>
      <c r="AN172" s="4"/>
      <c r="AO172" s="4"/>
      <c r="AP172" s="4"/>
      <c r="AQ172" s="4"/>
      <c r="AR172" s="4"/>
      <c r="AS172" s="76" t="str">
        <f>"COMMENT ON COLUMN "&amp;エンティティ一覧!$O$2&amp;"."&amp;D$8&amp;"."&amp;D172&amp;" IS '"&amp;C172&amp;"';"</f>
        <v>COMMENT ON COLUMN milscm_2023_009.sny_202310_annony_non_annony2.shikkan154_start_date IS 'C268_疾患開始日';</v>
      </c>
    </row>
    <row r="173" spans="1:45" s="25" customFormat="1">
      <c r="A173" s="4" t="s">
        <v>5308</v>
      </c>
      <c r="B173" s="21">
        <f t="shared" si="20"/>
        <v>161</v>
      </c>
      <c r="C173" s="13" t="str">
        <f t="shared" si="21"/>
        <v>C269_疾患開始日</v>
      </c>
      <c r="D173" s="13" t="s">
        <v>4923</v>
      </c>
      <c r="E173" s="8"/>
      <c r="F173" s="7" t="s">
        <v>4348</v>
      </c>
      <c r="G173" s="7" t="s">
        <v>25</v>
      </c>
      <c r="H173" s="58"/>
      <c r="I173" s="23"/>
      <c r="J173" s="24"/>
      <c r="M173" s="4"/>
      <c r="N173" s="76"/>
      <c r="O173" s="76"/>
      <c r="P173" s="76" t="str">
        <f t="shared" si="8"/>
        <v>,shikkan155_start_date</v>
      </c>
      <c r="Q173" s="76" t="str">
        <f t="shared" si="9"/>
        <v>DATE</v>
      </c>
      <c r="R173" s="76" t="str">
        <f t="shared" si="10"/>
        <v/>
      </c>
      <c r="S173" s="76" t="str">
        <f t="shared" si="11"/>
        <v/>
      </c>
      <c r="T173" s="76" t="str">
        <f t="shared" si="12"/>
        <v>-- C269_疾患開始日</v>
      </c>
      <c r="U173" s="4" t="str">
        <f t="shared" si="22"/>
        <v>, CASE WHEN shikkan_disp_name = 'C269' THEN min_shikkan_start_date ::DATE ELSE NULL END AS shikkan155_start_date</v>
      </c>
      <c r="V173" s="25" t="str">
        <f t="shared" si="23"/>
        <v>, max(shikkan155_start_date)</v>
      </c>
      <c r="AA173" s="4"/>
      <c r="AB173" s="4"/>
      <c r="AC173" s="4"/>
      <c r="AD173" s="4"/>
      <c r="AE173" s="4"/>
      <c r="AF173" s="4"/>
      <c r="AG173" s="4"/>
      <c r="AH173" s="4"/>
      <c r="AI173" s="4"/>
      <c r="AJ173" s="76" t="str">
        <f>IF(E173="○",IF(COUNTA(E$13:E173)=1,"",",")&amp;D173,"")</f>
        <v/>
      </c>
      <c r="AK173" s="4"/>
      <c r="AL173" s="4"/>
      <c r="AM173" s="4"/>
      <c r="AN173" s="4"/>
      <c r="AO173" s="4"/>
      <c r="AP173" s="4"/>
      <c r="AQ173" s="4"/>
      <c r="AR173" s="4"/>
      <c r="AS173" s="76" t="str">
        <f>"COMMENT ON COLUMN "&amp;エンティティ一覧!$O$2&amp;"."&amp;D$8&amp;"."&amp;D173&amp;" IS '"&amp;C173&amp;"';"</f>
        <v>COMMENT ON COLUMN milscm_2023_009.sny_202310_annony_non_annony2.shikkan155_start_date IS 'C269_疾患開始日';</v>
      </c>
    </row>
    <row r="174" spans="1:45" s="25" customFormat="1">
      <c r="A174" s="4" t="s">
        <v>5309</v>
      </c>
      <c r="B174" s="21">
        <f t="shared" si="20"/>
        <v>162</v>
      </c>
      <c r="C174" s="13" t="str">
        <f t="shared" si="21"/>
        <v>C300_疾患開始日</v>
      </c>
      <c r="D174" s="13" t="s">
        <v>4924</v>
      </c>
      <c r="E174" s="8"/>
      <c r="F174" s="7" t="s">
        <v>4348</v>
      </c>
      <c r="G174" s="7" t="s">
        <v>25</v>
      </c>
      <c r="H174" s="58"/>
      <c r="I174" s="23"/>
      <c r="J174" s="24"/>
      <c r="M174" s="4"/>
      <c r="N174" s="76"/>
      <c r="O174" s="76"/>
      <c r="P174" s="76" t="str">
        <f t="shared" si="8"/>
        <v>,shikkan156_start_date</v>
      </c>
      <c r="Q174" s="76" t="str">
        <f t="shared" si="9"/>
        <v>DATE</v>
      </c>
      <c r="R174" s="76" t="str">
        <f t="shared" si="10"/>
        <v/>
      </c>
      <c r="S174" s="76" t="str">
        <f t="shared" si="11"/>
        <v/>
      </c>
      <c r="T174" s="76" t="str">
        <f t="shared" si="12"/>
        <v>-- C300_疾患開始日</v>
      </c>
      <c r="U174" s="4" t="str">
        <f t="shared" si="22"/>
        <v>, CASE WHEN shikkan_disp_name = 'C300' THEN min_shikkan_start_date ::DATE ELSE NULL END AS shikkan156_start_date</v>
      </c>
      <c r="V174" s="25" t="str">
        <f t="shared" si="23"/>
        <v>, max(shikkan156_start_date)</v>
      </c>
      <c r="AA174" s="4"/>
      <c r="AB174" s="4"/>
      <c r="AC174" s="4"/>
      <c r="AD174" s="4"/>
      <c r="AE174" s="4"/>
      <c r="AF174" s="4"/>
      <c r="AG174" s="4"/>
      <c r="AH174" s="4"/>
      <c r="AI174" s="4"/>
      <c r="AJ174" s="76" t="str">
        <f>IF(E174="○",IF(COUNTA(E$13:E174)=1,"",",")&amp;D174,"")</f>
        <v/>
      </c>
      <c r="AK174" s="4"/>
      <c r="AL174" s="4"/>
      <c r="AM174" s="4"/>
      <c r="AN174" s="4"/>
      <c r="AO174" s="4"/>
      <c r="AP174" s="4"/>
      <c r="AQ174" s="4"/>
      <c r="AR174" s="4"/>
      <c r="AS174" s="76" t="str">
        <f>"COMMENT ON COLUMN "&amp;エンティティ一覧!$O$2&amp;"."&amp;D$8&amp;"."&amp;D174&amp;" IS '"&amp;C174&amp;"';"</f>
        <v>COMMENT ON COLUMN milscm_2023_009.sny_202310_annony_non_annony2.shikkan156_start_date IS 'C300_疾患開始日';</v>
      </c>
    </row>
    <row r="175" spans="1:45" s="25" customFormat="1">
      <c r="A175" s="4" t="s">
        <v>5310</v>
      </c>
      <c r="B175" s="21">
        <f t="shared" si="20"/>
        <v>163</v>
      </c>
      <c r="C175" s="13" t="str">
        <f t="shared" si="21"/>
        <v>C301_疾患開始日</v>
      </c>
      <c r="D175" s="13" t="s">
        <v>4925</v>
      </c>
      <c r="E175" s="8"/>
      <c r="F175" s="7" t="s">
        <v>4348</v>
      </c>
      <c r="G175" s="7" t="s">
        <v>25</v>
      </c>
      <c r="H175" s="58"/>
      <c r="I175" s="23"/>
      <c r="J175" s="24"/>
      <c r="M175" s="4"/>
      <c r="N175" s="76"/>
      <c r="O175" s="76"/>
      <c r="P175" s="76" t="str">
        <f t="shared" si="8"/>
        <v>,shikkan157_start_date</v>
      </c>
      <c r="Q175" s="76" t="str">
        <f t="shared" si="9"/>
        <v>DATE</v>
      </c>
      <c r="R175" s="76" t="str">
        <f t="shared" si="10"/>
        <v/>
      </c>
      <c r="S175" s="76" t="str">
        <f t="shared" si="11"/>
        <v/>
      </c>
      <c r="T175" s="76" t="str">
        <f t="shared" si="12"/>
        <v>-- C301_疾患開始日</v>
      </c>
      <c r="U175" s="4" t="str">
        <f t="shared" si="22"/>
        <v>, CASE WHEN shikkan_disp_name = 'C301' THEN min_shikkan_start_date ::DATE ELSE NULL END AS shikkan157_start_date</v>
      </c>
      <c r="V175" s="25" t="str">
        <f t="shared" si="23"/>
        <v>, max(shikkan157_start_date)</v>
      </c>
      <c r="AA175" s="4"/>
      <c r="AB175" s="4"/>
      <c r="AC175" s="4"/>
      <c r="AD175" s="4"/>
      <c r="AE175" s="4"/>
      <c r="AF175" s="4"/>
      <c r="AG175" s="4"/>
      <c r="AH175" s="4"/>
      <c r="AI175" s="4"/>
      <c r="AJ175" s="76" t="str">
        <f>IF(E175="○",IF(COUNTA(E$13:E175)=1,"",",")&amp;D175,"")</f>
        <v/>
      </c>
      <c r="AK175" s="4"/>
      <c r="AL175" s="4"/>
      <c r="AM175" s="4"/>
      <c r="AN175" s="4"/>
      <c r="AO175" s="4"/>
      <c r="AP175" s="4"/>
      <c r="AQ175" s="4"/>
      <c r="AR175" s="4"/>
      <c r="AS175" s="76" t="str">
        <f>"COMMENT ON COLUMN "&amp;エンティティ一覧!$O$2&amp;"."&amp;D$8&amp;"."&amp;D175&amp;" IS '"&amp;C175&amp;"';"</f>
        <v>COMMENT ON COLUMN milscm_2023_009.sny_202310_annony_non_annony2.shikkan157_start_date IS 'C301_疾患開始日';</v>
      </c>
    </row>
    <row r="176" spans="1:45" s="25" customFormat="1">
      <c r="A176" s="4" t="s">
        <v>5311</v>
      </c>
      <c r="B176" s="21">
        <f t="shared" si="20"/>
        <v>164</v>
      </c>
      <c r="C176" s="13" t="str">
        <f t="shared" si="21"/>
        <v>C310_疾患開始日</v>
      </c>
      <c r="D176" s="13" t="s">
        <v>4926</v>
      </c>
      <c r="E176" s="8"/>
      <c r="F176" s="7" t="s">
        <v>4348</v>
      </c>
      <c r="G176" s="7" t="s">
        <v>25</v>
      </c>
      <c r="H176" s="58"/>
      <c r="I176" s="23"/>
      <c r="J176" s="24"/>
      <c r="M176" s="4"/>
      <c r="N176" s="76"/>
      <c r="O176" s="76"/>
      <c r="P176" s="76" t="str">
        <f t="shared" si="8"/>
        <v>,shikkan158_start_date</v>
      </c>
      <c r="Q176" s="76" t="str">
        <f t="shared" si="9"/>
        <v>DATE</v>
      </c>
      <c r="R176" s="76" t="str">
        <f t="shared" si="10"/>
        <v/>
      </c>
      <c r="S176" s="76" t="str">
        <f t="shared" si="11"/>
        <v/>
      </c>
      <c r="T176" s="76" t="str">
        <f t="shared" si="12"/>
        <v>-- C310_疾患開始日</v>
      </c>
      <c r="U176" s="4" t="str">
        <f t="shared" si="22"/>
        <v>, CASE WHEN shikkan_disp_name = 'C310' THEN min_shikkan_start_date ::DATE ELSE NULL END AS shikkan158_start_date</v>
      </c>
      <c r="V176" s="25" t="str">
        <f t="shared" si="23"/>
        <v>, max(shikkan158_start_date)</v>
      </c>
      <c r="AA176" s="4"/>
      <c r="AB176" s="4"/>
      <c r="AC176" s="4"/>
      <c r="AD176" s="4"/>
      <c r="AE176" s="4"/>
      <c r="AF176" s="4"/>
      <c r="AG176" s="4"/>
      <c r="AH176" s="4"/>
      <c r="AI176" s="4"/>
      <c r="AJ176" s="76" t="str">
        <f>IF(E176="○",IF(COUNTA(E$13:E176)=1,"",",")&amp;D176,"")</f>
        <v/>
      </c>
      <c r="AK176" s="4"/>
      <c r="AL176" s="4"/>
      <c r="AM176" s="4"/>
      <c r="AN176" s="4"/>
      <c r="AO176" s="4"/>
      <c r="AP176" s="4"/>
      <c r="AQ176" s="4"/>
      <c r="AR176" s="4"/>
      <c r="AS176" s="76" t="str">
        <f>"COMMENT ON COLUMN "&amp;エンティティ一覧!$O$2&amp;"."&amp;D$8&amp;"."&amp;D176&amp;" IS '"&amp;C176&amp;"';"</f>
        <v>COMMENT ON COLUMN milscm_2023_009.sny_202310_annony_non_annony2.shikkan158_start_date IS 'C310_疾患開始日';</v>
      </c>
    </row>
    <row r="177" spans="1:45" s="25" customFormat="1">
      <c r="A177" s="4" t="s">
        <v>5312</v>
      </c>
      <c r="B177" s="21">
        <f t="shared" si="20"/>
        <v>165</v>
      </c>
      <c r="C177" s="13" t="str">
        <f t="shared" si="21"/>
        <v>C311_疾患開始日</v>
      </c>
      <c r="D177" s="13" t="s">
        <v>4927</v>
      </c>
      <c r="E177" s="8"/>
      <c r="F177" s="7" t="s">
        <v>4348</v>
      </c>
      <c r="G177" s="7" t="s">
        <v>25</v>
      </c>
      <c r="H177" s="58"/>
      <c r="I177" s="23"/>
      <c r="J177" s="24"/>
      <c r="M177" s="4"/>
      <c r="N177" s="76"/>
      <c r="O177" s="76"/>
      <c r="P177" s="76" t="str">
        <f t="shared" si="8"/>
        <v>,shikkan159_start_date</v>
      </c>
      <c r="Q177" s="76" t="str">
        <f t="shared" si="9"/>
        <v>DATE</v>
      </c>
      <c r="R177" s="76" t="str">
        <f t="shared" si="10"/>
        <v/>
      </c>
      <c r="S177" s="76" t="str">
        <f t="shared" si="11"/>
        <v/>
      </c>
      <c r="T177" s="76" t="str">
        <f t="shared" si="12"/>
        <v>-- C311_疾患開始日</v>
      </c>
      <c r="U177" s="4" t="str">
        <f t="shared" si="22"/>
        <v>, CASE WHEN shikkan_disp_name = 'C311' THEN min_shikkan_start_date ::DATE ELSE NULL END AS shikkan159_start_date</v>
      </c>
      <c r="V177" s="25" t="str">
        <f t="shared" si="23"/>
        <v>, max(shikkan159_start_date)</v>
      </c>
      <c r="AA177" s="4"/>
      <c r="AB177" s="4"/>
      <c r="AC177" s="4"/>
      <c r="AD177" s="4"/>
      <c r="AE177" s="4"/>
      <c r="AF177" s="4"/>
      <c r="AG177" s="4"/>
      <c r="AH177" s="4"/>
      <c r="AI177" s="4"/>
      <c r="AJ177" s="76" t="str">
        <f>IF(E177="○",IF(COUNTA(E$13:E177)=1,"",",")&amp;D177,"")</f>
        <v/>
      </c>
      <c r="AK177" s="4"/>
      <c r="AL177" s="4"/>
      <c r="AM177" s="4"/>
      <c r="AN177" s="4"/>
      <c r="AO177" s="4"/>
      <c r="AP177" s="4"/>
      <c r="AQ177" s="4"/>
      <c r="AR177" s="4"/>
      <c r="AS177" s="76" t="str">
        <f>"COMMENT ON COLUMN "&amp;エンティティ一覧!$O$2&amp;"."&amp;D$8&amp;"."&amp;D177&amp;" IS '"&amp;C177&amp;"';"</f>
        <v>COMMENT ON COLUMN milscm_2023_009.sny_202310_annony_non_annony2.shikkan159_start_date IS 'C311_疾患開始日';</v>
      </c>
    </row>
    <row r="178" spans="1:45" s="25" customFormat="1">
      <c r="A178" s="4" t="s">
        <v>5313</v>
      </c>
      <c r="B178" s="21">
        <f t="shared" si="20"/>
        <v>166</v>
      </c>
      <c r="C178" s="13" t="str">
        <f t="shared" si="21"/>
        <v>C312_疾患開始日</v>
      </c>
      <c r="D178" s="13" t="s">
        <v>4928</v>
      </c>
      <c r="E178" s="8"/>
      <c r="F178" s="7" t="s">
        <v>4348</v>
      </c>
      <c r="G178" s="7" t="s">
        <v>25</v>
      </c>
      <c r="H178" s="58"/>
      <c r="I178" s="23"/>
      <c r="J178" s="24"/>
      <c r="M178" s="4"/>
      <c r="N178" s="76"/>
      <c r="O178" s="76"/>
      <c r="P178" s="76" t="str">
        <f t="shared" si="8"/>
        <v>,shikkan160_start_date</v>
      </c>
      <c r="Q178" s="76" t="str">
        <f t="shared" si="9"/>
        <v>DATE</v>
      </c>
      <c r="R178" s="76" t="str">
        <f t="shared" si="10"/>
        <v/>
      </c>
      <c r="S178" s="76" t="str">
        <f t="shared" si="11"/>
        <v/>
      </c>
      <c r="T178" s="76" t="str">
        <f t="shared" si="12"/>
        <v>-- C312_疾患開始日</v>
      </c>
      <c r="U178" s="4" t="str">
        <f t="shared" si="22"/>
        <v>, CASE WHEN shikkan_disp_name = 'C312' THEN min_shikkan_start_date ::DATE ELSE NULL END AS shikkan160_start_date</v>
      </c>
      <c r="V178" s="25" t="str">
        <f t="shared" si="23"/>
        <v>, max(shikkan160_start_date)</v>
      </c>
      <c r="AA178" s="4"/>
      <c r="AB178" s="4"/>
      <c r="AC178" s="4"/>
      <c r="AD178" s="4"/>
      <c r="AE178" s="4"/>
      <c r="AF178" s="4"/>
      <c r="AG178" s="4"/>
      <c r="AH178" s="4"/>
      <c r="AI178" s="4"/>
      <c r="AJ178" s="76" t="str">
        <f>IF(E178="○",IF(COUNTA(E$13:E178)=1,"",",")&amp;D178,"")</f>
        <v/>
      </c>
      <c r="AK178" s="4"/>
      <c r="AL178" s="4"/>
      <c r="AM178" s="4"/>
      <c r="AN178" s="4"/>
      <c r="AO178" s="4"/>
      <c r="AP178" s="4"/>
      <c r="AQ178" s="4"/>
      <c r="AR178" s="4"/>
      <c r="AS178" s="76" t="str">
        <f>"COMMENT ON COLUMN "&amp;エンティティ一覧!$O$2&amp;"."&amp;D$8&amp;"."&amp;D178&amp;" IS '"&amp;C178&amp;"';"</f>
        <v>COMMENT ON COLUMN milscm_2023_009.sny_202310_annony_non_annony2.shikkan160_start_date IS 'C312_疾患開始日';</v>
      </c>
    </row>
    <row r="179" spans="1:45" s="25" customFormat="1">
      <c r="A179" s="4" t="s">
        <v>5314</v>
      </c>
      <c r="B179" s="21">
        <f t="shared" si="20"/>
        <v>167</v>
      </c>
      <c r="C179" s="13" t="str">
        <f t="shared" si="21"/>
        <v>C313_疾患開始日</v>
      </c>
      <c r="D179" s="13" t="s">
        <v>4929</v>
      </c>
      <c r="E179" s="8"/>
      <c r="F179" s="7" t="s">
        <v>4348</v>
      </c>
      <c r="G179" s="7" t="s">
        <v>99</v>
      </c>
      <c r="H179" s="58"/>
      <c r="I179" s="23"/>
      <c r="J179" s="24"/>
      <c r="M179" s="4"/>
      <c r="N179" s="76"/>
      <c r="O179" s="76"/>
      <c r="P179" s="76" t="str">
        <f t="shared" si="8"/>
        <v>,shikkan161_start_date</v>
      </c>
      <c r="Q179" s="76" t="str">
        <f t="shared" si="9"/>
        <v>DATE</v>
      </c>
      <c r="R179" s="76" t="str">
        <f t="shared" si="10"/>
        <v/>
      </c>
      <c r="S179" s="76" t="str">
        <f t="shared" si="11"/>
        <v/>
      </c>
      <c r="T179" s="76" t="str">
        <f t="shared" si="12"/>
        <v>-- C313_疾患開始日</v>
      </c>
      <c r="U179" s="4" t="str">
        <f t="shared" si="22"/>
        <v>, CASE WHEN shikkan_disp_name = 'C313' THEN min_shikkan_start_date ::DATE ELSE NULL END AS shikkan161_start_date</v>
      </c>
      <c r="V179" s="25" t="str">
        <f t="shared" si="23"/>
        <v>, max(shikkan161_start_date)</v>
      </c>
      <c r="AA179" s="4"/>
      <c r="AB179" s="4"/>
      <c r="AC179" s="4"/>
      <c r="AD179" s="4"/>
      <c r="AE179" s="4"/>
      <c r="AF179" s="4"/>
      <c r="AG179" s="4"/>
      <c r="AH179" s="4"/>
      <c r="AI179" s="4"/>
      <c r="AJ179" s="76" t="str">
        <f>IF(E179="○",IF(COUNTA(E$13:E179)=1,"",",")&amp;D179,"")</f>
        <v/>
      </c>
      <c r="AK179" s="4"/>
      <c r="AL179" s="4"/>
      <c r="AM179" s="4"/>
      <c r="AN179" s="4"/>
      <c r="AO179" s="4"/>
      <c r="AP179" s="4"/>
      <c r="AQ179" s="4"/>
      <c r="AR179" s="4"/>
      <c r="AS179" s="76" t="str">
        <f>"COMMENT ON COLUMN "&amp;エンティティ一覧!$O$2&amp;"."&amp;D$8&amp;"."&amp;D179&amp;" IS '"&amp;C179&amp;"';"</f>
        <v>COMMENT ON COLUMN milscm_2023_009.sny_202310_annony_non_annony2.shikkan161_start_date IS 'C313_疾患開始日';</v>
      </c>
    </row>
    <row r="180" spans="1:45" s="25" customFormat="1">
      <c r="A180" s="4" t="s">
        <v>5315</v>
      </c>
      <c r="B180" s="21">
        <f t="shared" si="20"/>
        <v>168</v>
      </c>
      <c r="C180" s="13" t="str">
        <f t="shared" si="21"/>
        <v>C318_疾患開始日</v>
      </c>
      <c r="D180" s="13" t="s">
        <v>4930</v>
      </c>
      <c r="E180" s="8"/>
      <c r="F180" s="7" t="s">
        <v>4348</v>
      </c>
      <c r="G180" s="7" t="s">
        <v>25</v>
      </c>
      <c r="H180" s="58"/>
      <c r="I180" s="23"/>
      <c r="J180" s="24"/>
      <c r="M180" s="4"/>
      <c r="N180" s="76"/>
      <c r="O180" s="76"/>
      <c r="P180" s="76" t="str">
        <f t="shared" si="8"/>
        <v>,shikkan162_start_date</v>
      </c>
      <c r="Q180" s="76" t="str">
        <f t="shared" si="9"/>
        <v>DATE</v>
      </c>
      <c r="R180" s="76" t="str">
        <f t="shared" si="10"/>
        <v/>
      </c>
      <c r="S180" s="76" t="str">
        <f t="shared" si="11"/>
        <v/>
      </c>
      <c r="T180" s="76" t="str">
        <f t="shared" si="12"/>
        <v>-- C318_疾患開始日</v>
      </c>
      <c r="U180" s="4" t="str">
        <f t="shared" si="22"/>
        <v>, CASE WHEN shikkan_disp_name = 'C318' THEN min_shikkan_start_date ::DATE ELSE NULL END AS shikkan162_start_date</v>
      </c>
      <c r="V180" s="25" t="str">
        <f t="shared" si="23"/>
        <v>, max(shikkan162_start_date)</v>
      </c>
      <c r="AA180" s="4"/>
      <c r="AB180" s="4"/>
      <c r="AC180" s="4"/>
      <c r="AD180" s="4"/>
      <c r="AE180" s="4"/>
      <c r="AF180" s="4"/>
      <c r="AG180" s="4"/>
      <c r="AH180" s="4"/>
      <c r="AI180" s="4"/>
      <c r="AJ180" s="76" t="str">
        <f>IF(E180="○",IF(COUNTA(E$13:E180)=1,"",",")&amp;D180,"")</f>
        <v/>
      </c>
      <c r="AK180" s="4"/>
      <c r="AL180" s="4"/>
      <c r="AM180" s="4"/>
      <c r="AN180" s="4"/>
      <c r="AO180" s="4"/>
      <c r="AP180" s="4"/>
      <c r="AQ180" s="4"/>
      <c r="AR180" s="4"/>
      <c r="AS180" s="76" t="str">
        <f>"COMMENT ON COLUMN "&amp;エンティティ一覧!$O$2&amp;"."&amp;D$8&amp;"."&amp;D180&amp;" IS '"&amp;C180&amp;"';"</f>
        <v>COMMENT ON COLUMN milscm_2023_009.sny_202310_annony_non_annony2.shikkan162_start_date IS 'C318_疾患開始日';</v>
      </c>
    </row>
    <row r="181" spans="1:45" s="25" customFormat="1">
      <c r="A181" s="4" t="s">
        <v>5316</v>
      </c>
      <c r="B181" s="21">
        <f t="shared" si="20"/>
        <v>169</v>
      </c>
      <c r="C181" s="13" t="str">
        <f t="shared" si="21"/>
        <v>C319_疾患開始日</v>
      </c>
      <c r="D181" s="13" t="s">
        <v>4931</v>
      </c>
      <c r="E181" s="8"/>
      <c r="F181" s="7" t="s">
        <v>4348</v>
      </c>
      <c r="G181" s="7" t="s">
        <v>25</v>
      </c>
      <c r="H181" s="58"/>
      <c r="I181" s="23"/>
      <c r="J181" s="24"/>
      <c r="M181" s="4"/>
      <c r="N181" s="76"/>
      <c r="O181" s="76"/>
      <c r="P181" s="76" t="str">
        <f t="shared" si="8"/>
        <v>,shikkan163_start_date</v>
      </c>
      <c r="Q181" s="76" t="str">
        <f t="shared" si="9"/>
        <v>DATE</v>
      </c>
      <c r="R181" s="76" t="str">
        <f t="shared" si="10"/>
        <v/>
      </c>
      <c r="S181" s="76" t="str">
        <f t="shared" si="11"/>
        <v/>
      </c>
      <c r="T181" s="76" t="str">
        <f t="shared" si="12"/>
        <v>-- C319_疾患開始日</v>
      </c>
      <c r="U181" s="4" t="str">
        <f t="shared" si="22"/>
        <v>, CASE WHEN shikkan_disp_name = 'C319' THEN min_shikkan_start_date ::DATE ELSE NULL END AS shikkan163_start_date</v>
      </c>
      <c r="V181" s="25" t="str">
        <f t="shared" si="23"/>
        <v>, max(shikkan163_start_date)</v>
      </c>
      <c r="AA181" s="4"/>
      <c r="AB181" s="4"/>
      <c r="AC181" s="4"/>
      <c r="AD181" s="4"/>
      <c r="AE181" s="4"/>
      <c r="AF181" s="4"/>
      <c r="AG181" s="4"/>
      <c r="AH181" s="4"/>
      <c r="AI181" s="4"/>
      <c r="AJ181" s="76" t="str">
        <f>IF(E181="○",IF(COUNTA(E$13:E181)=1,"",",")&amp;D181,"")</f>
        <v/>
      </c>
      <c r="AK181" s="4"/>
      <c r="AL181" s="4"/>
      <c r="AM181" s="4"/>
      <c r="AN181" s="4"/>
      <c r="AO181" s="4"/>
      <c r="AP181" s="4"/>
      <c r="AQ181" s="4"/>
      <c r="AR181" s="4"/>
      <c r="AS181" s="76" t="str">
        <f>"COMMENT ON COLUMN "&amp;エンティティ一覧!$O$2&amp;"."&amp;D$8&amp;"."&amp;D181&amp;" IS '"&amp;C181&amp;"';"</f>
        <v>COMMENT ON COLUMN milscm_2023_009.sny_202310_annony_non_annony2.shikkan163_start_date IS 'C319_疾患開始日';</v>
      </c>
    </row>
    <row r="182" spans="1:45" s="25" customFormat="1">
      <c r="A182" s="4" t="s">
        <v>5317</v>
      </c>
      <c r="B182" s="21">
        <f t="shared" si="20"/>
        <v>170</v>
      </c>
      <c r="C182" s="13" t="str">
        <f t="shared" si="21"/>
        <v>C320_疾患開始日</v>
      </c>
      <c r="D182" s="13" t="s">
        <v>4932</v>
      </c>
      <c r="E182" s="8"/>
      <c r="F182" s="7" t="s">
        <v>4348</v>
      </c>
      <c r="G182" s="7" t="s">
        <v>25</v>
      </c>
      <c r="H182" s="58"/>
      <c r="I182" s="23"/>
      <c r="J182" s="24"/>
      <c r="M182" s="4"/>
      <c r="N182" s="76"/>
      <c r="O182" s="76"/>
      <c r="P182" s="76" t="str">
        <f t="shared" si="8"/>
        <v>,shikkan164_start_date</v>
      </c>
      <c r="Q182" s="76" t="str">
        <f t="shared" si="9"/>
        <v>DATE</v>
      </c>
      <c r="R182" s="76" t="str">
        <f t="shared" si="10"/>
        <v/>
      </c>
      <c r="S182" s="76" t="str">
        <f t="shared" si="11"/>
        <v/>
      </c>
      <c r="T182" s="76" t="str">
        <f t="shared" si="12"/>
        <v>-- C320_疾患開始日</v>
      </c>
      <c r="U182" s="4" t="str">
        <f t="shared" si="22"/>
        <v>, CASE WHEN shikkan_disp_name = 'C320' THEN min_shikkan_start_date ::DATE ELSE NULL END AS shikkan164_start_date</v>
      </c>
      <c r="V182" s="25" t="str">
        <f t="shared" si="23"/>
        <v>, max(shikkan164_start_date)</v>
      </c>
      <c r="AA182" s="4"/>
      <c r="AB182" s="4"/>
      <c r="AC182" s="4"/>
      <c r="AD182" s="4"/>
      <c r="AE182" s="4"/>
      <c r="AF182" s="4"/>
      <c r="AG182" s="4"/>
      <c r="AH182" s="4"/>
      <c r="AI182" s="4"/>
      <c r="AJ182" s="76" t="str">
        <f>IF(E182="○",IF(COUNTA(E$13:E182)=1,"",",")&amp;D182,"")</f>
        <v/>
      </c>
      <c r="AK182" s="4"/>
      <c r="AL182" s="4"/>
      <c r="AM182" s="4"/>
      <c r="AN182" s="4"/>
      <c r="AO182" s="4"/>
      <c r="AP182" s="4"/>
      <c r="AQ182" s="4"/>
      <c r="AR182" s="4"/>
      <c r="AS182" s="76" t="str">
        <f>"COMMENT ON COLUMN "&amp;エンティティ一覧!$O$2&amp;"."&amp;D$8&amp;"."&amp;D182&amp;" IS '"&amp;C182&amp;"';"</f>
        <v>COMMENT ON COLUMN milscm_2023_009.sny_202310_annony_non_annony2.shikkan164_start_date IS 'C320_疾患開始日';</v>
      </c>
    </row>
    <row r="183" spans="1:45" s="25" customFormat="1">
      <c r="A183" s="4" t="s">
        <v>5318</v>
      </c>
      <c r="B183" s="21">
        <f t="shared" si="20"/>
        <v>171</v>
      </c>
      <c r="C183" s="13" t="str">
        <f t="shared" si="21"/>
        <v>C321_疾患開始日</v>
      </c>
      <c r="D183" s="13" t="s">
        <v>4933</v>
      </c>
      <c r="E183" s="8"/>
      <c r="F183" s="7" t="s">
        <v>4348</v>
      </c>
      <c r="G183" s="7" t="s">
        <v>25</v>
      </c>
      <c r="H183" s="58"/>
      <c r="I183" s="23"/>
      <c r="J183" s="24"/>
      <c r="M183" s="4"/>
      <c r="N183" s="76"/>
      <c r="O183" s="76"/>
      <c r="P183" s="76" t="str">
        <f t="shared" si="8"/>
        <v>,shikkan165_start_date</v>
      </c>
      <c r="Q183" s="76" t="str">
        <f t="shared" si="9"/>
        <v>DATE</v>
      </c>
      <c r="R183" s="76" t="str">
        <f t="shared" si="10"/>
        <v/>
      </c>
      <c r="S183" s="76" t="str">
        <f t="shared" si="11"/>
        <v/>
      </c>
      <c r="T183" s="76" t="str">
        <f t="shared" si="12"/>
        <v>-- C321_疾患開始日</v>
      </c>
      <c r="U183" s="4" t="str">
        <f t="shared" si="22"/>
        <v>, CASE WHEN shikkan_disp_name = 'C321' THEN min_shikkan_start_date ::DATE ELSE NULL END AS shikkan165_start_date</v>
      </c>
      <c r="V183" s="25" t="str">
        <f t="shared" si="23"/>
        <v>, max(shikkan165_start_date)</v>
      </c>
      <c r="AA183" s="4"/>
      <c r="AB183" s="4"/>
      <c r="AC183" s="4"/>
      <c r="AD183" s="4"/>
      <c r="AE183" s="4"/>
      <c r="AF183" s="4"/>
      <c r="AG183" s="4"/>
      <c r="AH183" s="4"/>
      <c r="AI183" s="4"/>
      <c r="AJ183" s="76" t="str">
        <f>IF(E183="○",IF(COUNTA(E$13:E183)=1,"",",")&amp;D183,"")</f>
        <v/>
      </c>
      <c r="AK183" s="4"/>
      <c r="AL183" s="4"/>
      <c r="AM183" s="4"/>
      <c r="AN183" s="4"/>
      <c r="AO183" s="4"/>
      <c r="AP183" s="4"/>
      <c r="AQ183" s="4"/>
      <c r="AR183" s="4"/>
      <c r="AS183" s="76" t="str">
        <f>"COMMENT ON COLUMN "&amp;エンティティ一覧!$O$2&amp;"."&amp;D$8&amp;"."&amp;D183&amp;" IS '"&amp;C183&amp;"';"</f>
        <v>COMMENT ON COLUMN milscm_2023_009.sny_202310_annony_non_annony2.shikkan165_start_date IS 'C321_疾患開始日';</v>
      </c>
    </row>
    <row r="184" spans="1:45" s="25" customFormat="1">
      <c r="A184" s="4" t="s">
        <v>5319</v>
      </c>
      <c r="B184" s="21">
        <f t="shared" si="20"/>
        <v>172</v>
      </c>
      <c r="C184" s="13" t="str">
        <f t="shared" si="21"/>
        <v>C322_疾患開始日</v>
      </c>
      <c r="D184" s="13" t="s">
        <v>4934</v>
      </c>
      <c r="E184" s="8"/>
      <c r="F184" s="7" t="s">
        <v>4348</v>
      </c>
      <c r="G184" s="7" t="s">
        <v>25</v>
      </c>
      <c r="H184" s="58"/>
      <c r="I184" s="23"/>
      <c r="J184" s="24"/>
      <c r="M184" s="4"/>
      <c r="N184" s="76"/>
      <c r="O184" s="76"/>
      <c r="P184" s="76" t="str">
        <f t="shared" si="8"/>
        <v>,shikkan166_start_date</v>
      </c>
      <c r="Q184" s="76" t="str">
        <f t="shared" si="9"/>
        <v>DATE</v>
      </c>
      <c r="R184" s="76" t="str">
        <f t="shared" si="10"/>
        <v/>
      </c>
      <c r="S184" s="76" t="str">
        <f t="shared" si="11"/>
        <v/>
      </c>
      <c r="T184" s="76" t="str">
        <f t="shared" si="12"/>
        <v>-- C322_疾患開始日</v>
      </c>
      <c r="U184" s="4" t="str">
        <f t="shared" si="22"/>
        <v>, CASE WHEN shikkan_disp_name = 'C322' THEN min_shikkan_start_date ::DATE ELSE NULL END AS shikkan166_start_date</v>
      </c>
      <c r="V184" s="25" t="str">
        <f t="shared" si="23"/>
        <v>, max(shikkan166_start_date)</v>
      </c>
      <c r="AA184" s="4"/>
      <c r="AB184" s="4"/>
      <c r="AC184" s="4"/>
      <c r="AD184" s="4"/>
      <c r="AE184" s="4"/>
      <c r="AF184" s="4"/>
      <c r="AG184" s="4"/>
      <c r="AH184" s="4"/>
      <c r="AI184" s="4"/>
      <c r="AJ184" s="76" t="str">
        <f>IF(E184="○",IF(COUNTA(E$13:E184)=1,"",",")&amp;D184,"")</f>
        <v/>
      </c>
      <c r="AK184" s="4"/>
      <c r="AL184" s="4"/>
      <c r="AM184" s="4"/>
      <c r="AN184" s="4"/>
      <c r="AO184" s="4"/>
      <c r="AP184" s="4"/>
      <c r="AQ184" s="4"/>
      <c r="AR184" s="4"/>
      <c r="AS184" s="76" t="str">
        <f>"COMMENT ON COLUMN "&amp;エンティティ一覧!$O$2&amp;"."&amp;D$8&amp;"."&amp;D184&amp;" IS '"&amp;C184&amp;"';"</f>
        <v>COMMENT ON COLUMN milscm_2023_009.sny_202310_annony_non_annony2.shikkan166_start_date IS 'C322_疾患開始日';</v>
      </c>
    </row>
    <row r="185" spans="1:45" s="25" customFormat="1">
      <c r="A185" s="4" t="s">
        <v>5320</v>
      </c>
      <c r="B185" s="21">
        <f t="shared" si="20"/>
        <v>173</v>
      </c>
      <c r="C185" s="13" t="str">
        <f t="shared" si="21"/>
        <v>C323_疾患開始日</v>
      </c>
      <c r="D185" s="13" t="s">
        <v>4935</v>
      </c>
      <c r="E185" s="8"/>
      <c r="F185" s="7" t="s">
        <v>4348</v>
      </c>
      <c r="G185" s="7" t="s">
        <v>25</v>
      </c>
      <c r="H185" s="58"/>
      <c r="I185" s="23"/>
      <c r="J185" s="24"/>
      <c r="M185" s="4"/>
      <c r="N185" s="76"/>
      <c r="O185" s="76"/>
      <c r="P185" s="76" t="str">
        <f t="shared" si="8"/>
        <v>,shikkan167_start_date</v>
      </c>
      <c r="Q185" s="76" t="str">
        <f t="shared" si="9"/>
        <v>DATE</v>
      </c>
      <c r="R185" s="76" t="str">
        <f t="shared" si="10"/>
        <v/>
      </c>
      <c r="S185" s="76" t="str">
        <f t="shared" si="11"/>
        <v/>
      </c>
      <c r="T185" s="76" t="str">
        <f t="shared" si="12"/>
        <v>-- C323_疾患開始日</v>
      </c>
      <c r="U185" s="4" t="str">
        <f t="shared" si="22"/>
        <v>, CASE WHEN shikkan_disp_name = 'C323' THEN min_shikkan_start_date ::DATE ELSE NULL END AS shikkan167_start_date</v>
      </c>
      <c r="V185" s="25" t="str">
        <f t="shared" si="23"/>
        <v>, max(shikkan167_start_date)</v>
      </c>
      <c r="AA185" s="4"/>
      <c r="AB185" s="4"/>
      <c r="AC185" s="4"/>
      <c r="AD185" s="4"/>
      <c r="AE185" s="4"/>
      <c r="AF185" s="4"/>
      <c r="AG185" s="4"/>
      <c r="AH185" s="4"/>
      <c r="AI185" s="4"/>
      <c r="AJ185" s="76" t="str">
        <f>IF(E185="○",IF(COUNTA(E$13:E185)=1,"",",")&amp;D185,"")</f>
        <v/>
      </c>
      <c r="AK185" s="4"/>
      <c r="AL185" s="4"/>
      <c r="AM185" s="4"/>
      <c r="AN185" s="4"/>
      <c r="AO185" s="4"/>
      <c r="AP185" s="4"/>
      <c r="AQ185" s="4"/>
      <c r="AR185" s="4"/>
      <c r="AS185" s="76" t="str">
        <f>"COMMENT ON COLUMN "&amp;エンティティ一覧!$O$2&amp;"."&amp;D$8&amp;"."&amp;D185&amp;" IS '"&amp;C185&amp;"';"</f>
        <v>COMMENT ON COLUMN milscm_2023_009.sny_202310_annony_non_annony2.shikkan167_start_date IS 'C323_疾患開始日';</v>
      </c>
    </row>
    <row r="186" spans="1:45" s="25" customFormat="1">
      <c r="A186" s="4" t="s">
        <v>5321</v>
      </c>
      <c r="B186" s="21">
        <f t="shared" si="20"/>
        <v>174</v>
      </c>
      <c r="C186" s="13" t="str">
        <f t="shared" si="21"/>
        <v>C328_疾患開始日</v>
      </c>
      <c r="D186" s="13" t="s">
        <v>4936</v>
      </c>
      <c r="E186" s="8"/>
      <c r="F186" s="7" t="s">
        <v>4348</v>
      </c>
      <c r="G186" s="7" t="s">
        <v>25</v>
      </c>
      <c r="H186" s="58"/>
      <c r="I186" s="23"/>
      <c r="J186" s="24"/>
      <c r="M186" s="4"/>
      <c r="N186" s="76"/>
      <c r="O186" s="76"/>
      <c r="P186" s="76" t="str">
        <f t="shared" si="8"/>
        <v>,shikkan168_start_date</v>
      </c>
      <c r="Q186" s="76" t="str">
        <f t="shared" si="9"/>
        <v>DATE</v>
      </c>
      <c r="R186" s="76" t="str">
        <f t="shared" si="10"/>
        <v/>
      </c>
      <c r="S186" s="76" t="str">
        <f t="shared" si="11"/>
        <v/>
      </c>
      <c r="T186" s="76" t="str">
        <f t="shared" si="12"/>
        <v>-- C328_疾患開始日</v>
      </c>
      <c r="U186" s="4" t="str">
        <f t="shared" si="22"/>
        <v>, CASE WHEN shikkan_disp_name = 'C328' THEN min_shikkan_start_date ::DATE ELSE NULL END AS shikkan168_start_date</v>
      </c>
      <c r="V186" s="25" t="str">
        <f t="shared" si="23"/>
        <v>, max(shikkan168_start_date)</v>
      </c>
      <c r="AA186" s="4"/>
      <c r="AB186" s="4"/>
      <c r="AC186" s="4"/>
      <c r="AD186" s="4"/>
      <c r="AE186" s="4"/>
      <c r="AF186" s="4"/>
      <c r="AG186" s="4"/>
      <c r="AH186" s="4"/>
      <c r="AI186" s="4"/>
      <c r="AJ186" s="76" t="str">
        <f>IF(E186="○",IF(COUNTA(E$13:E186)=1,"",",")&amp;D186,"")</f>
        <v/>
      </c>
      <c r="AK186" s="4"/>
      <c r="AL186" s="4"/>
      <c r="AM186" s="4"/>
      <c r="AN186" s="4"/>
      <c r="AO186" s="4"/>
      <c r="AP186" s="4"/>
      <c r="AQ186" s="4"/>
      <c r="AR186" s="4"/>
      <c r="AS186" s="76" t="str">
        <f>"COMMENT ON COLUMN "&amp;エンティティ一覧!$O$2&amp;"."&amp;D$8&amp;"."&amp;D186&amp;" IS '"&amp;C186&amp;"';"</f>
        <v>COMMENT ON COLUMN milscm_2023_009.sny_202310_annony_non_annony2.shikkan168_start_date IS 'C328_疾患開始日';</v>
      </c>
    </row>
    <row r="187" spans="1:45" s="25" customFormat="1">
      <c r="A187" s="4" t="s">
        <v>5322</v>
      </c>
      <c r="B187" s="21">
        <f t="shared" si="20"/>
        <v>175</v>
      </c>
      <c r="C187" s="13" t="str">
        <f t="shared" si="21"/>
        <v>C329_疾患開始日</v>
      </c>
      <c r="D187" s="13" t="s">
        <v>4937</v>
      </c>
      <c r="E187" s="8"/>
      <c r="F187" s="7" t="s">
        <v>4348</v>
      </c>
      <c r="G187" s="7" t="s">
        <v>25</v>
      </c>
      <c r="H187" s="58"/>
      <c r="I187" s="23"/>
      <c r="J187" s="24"/>
      <c r="M187" s="4"/>
      <c r="N187" s="76"/>
      <c r="O187" s="76"/>
      <c r="P187" s="76" t="str">
        <f t="shared" si="8"/>
        <v>,shikkan169_start_date</v>
      </c>
      <c r="Q187" s="76" t="str">
        <f t="shared" si="9"/>
        <v>DATE</v>
      </c>
      <c r="R187" s="76" t="str">
        <f t="shared" si="10"/>
        <v/>
      </c>
      <c r="S187" s="76" t="str">
        <f t="shared" si="11"/>
        <v/>
      </c>
      <c r="T187" s="76" t="str">
        <f t="shared" si="12"/>
        <v>-- C329_疾患開始日</v>
      </c>
      <c r="U187" s="4" t="str">
        <f t="shared" si="22"/>
        <v>, CASE WHEN shikkan_disp_name = 'C329' THEN min_shikkan_start_date ::DATE ELSE NULL END AS shikkan169_start_date</v>
      </c>
      <c r="V187" s="25" t="str">
        <f t="shared" si="23"/>
        <v>, max(shikkan169_start_date)</v>
      </c>
      <c r="AA187" s="4"/>
      <c r="AB187" s="4"/>
      <c r="AC187" s="4"/>
      <c r="AD187" s="4"/>
      <c r="AE187" s="4"/>
      <c r="AF187" s="4"/>
      <c r="AG187" s="4"/>
      <c r="AH187" s="4"/>
      <c r="AI187" s="4"/>
      <c r="AJ187" s="76" t="str">
        <f>IF(E187="○",IF(COUNTA(E$13:E187)=1,"",",")&amp;D187,"")</f>
        <v/>
      </c>
      <c r="AK187" s="4"/>
      <c r="AL187" s="4"/>
      <c r="AM187" s="4"/>
      <c r="AN187" s="4"/>
      <c r="AO187" s="4"/>
      <c r="AP187" s="4"/>
      <c r="AQ187" s="4"/>
      <c r="AR187" s="4"/>
      <c r="AS187" s="76" t="str">
        <f>"COMMENT ON COLUMN "&amp;エンティティ一覧!$O$2&amp;"."&amp;D$8&amp;"."&amp;D187&amp;" IS '"&amp;C187&amp;"';"</f>
        <v>COMMENT ON COLUMN milscm_2023_009.sny_202310_annony_non_annony2.shikkan169_start_date IS 'C329_疾患開始日';</v>
      </c>
    </row>
    <row r="188" spans="1:45" s="25" customFormat="1">
      <c r="A188" s="4" t="s">
        <v>5146</v>
      </c>
      <c r="B188" s="21">
        <f t="shared" si="20"/>
        <v>176</v>
      </c>
      <c r="C188" s="13" t="str">
        <f t="shared" si="21"/>
        <v>C33_疾患開始日</v>
      </c>
      <c r="D188" s="13" t="s">
        <v>4938</v>
      </c>
      <c r="E188" s="8"/>
      <c r="F188" s="7" t="s">
        <v>4348</v>
      </c>
      <c r="G188" s="7" t="s">
        <v>25</v>
      </c>
      <c r="H188" s="58"/>
      <c r="I188" s="23"/>
      <c r="J188" s="24"/>
      <c r="M188" s="4"/>
      <c r="N188" s="76"/>
      <c r="O188" s="76"/>
      <c r="P188" s="76" t="str">
        <f t="shared" si="8"/>
        <v>,shikkan170_start_date</v>
      </c>
      <c r="Q188" s="76" t="str">
        <f t="shared" si="9"/>
        <v>DATE</v>
      </c>
      <c r="R188" s="76" t="str">
        <f t="shared" si="10"/>
        <v/>
      </c>
      <c r="S188" s="76" t="str">
        <f t="shared" si="11"/>
        <v/>
      </c>
      <c r="T188" s="76" t="str">
        <f t="shared" si="12"/>
        <v>-- C33_疾患開始日</v>
      </c>
      <c r="U188" s="4" t="str">
        <f t="shared" si="22"/>
        <v>, CASE WHEN shikkan_disp_name = 'C33' THEN min_shikkan_start_date ::DATE ELSE NULL END AS shikkan170_start_date</v>
      </c>
      <c r="V188" s="25" t="str">
        <f t="shared" si="23"/>
        <v>, max(shikkan170_start_date)</v>
      </c>
      <c r="AA188" s="4"/>
      <c r="AB188" s="4"/>
      <c r="AC188" s="4"/>
      <c r="AD188" s="4"/>
      <c r="AE188" s="4"/>
      <c r="AF188" s="4"/>
      <c r="AG188" s="4"/>
      <c r="AH188" s="4"/>
      <c r="AI188" s="4"/>
      <c r="AJ188" s="76" t="str">
        <f>IF(E188="○",IF(COUNTA(E$13:E188)=1,"",",")&amp;D188,"")</f>
        <v/>
      </c>
      <c r="AK188" s="4"/>
      <c r="AL188" s="4"/>
      <c r="AM188" s="4"/>
      <c r="AN188" s="4"/>
      <c r="AO188" s="4"/>
      <c r="AP188" s="4"/>
      <c r="AQ188" s="4"/>
      <c r="AR188" s="4"/>
      <c r="AS188" s="76" t="str">
        <f>"COMMENT ON COLUMN "&amp;エンティティ一覧!$O$2&amp;"."&amp;D$8&amp;"."&amp;D188&amp;" IS '"&amp;C188&amp;"';"</f>
        <v>COMMENT ON COLUMN milscm_2023_009.sny_202310_annony_non_annony2.shikkan170_start_date IS 'C33_疾患開始日';</v>
      </c>
    </row>
    <row r="189" spans="1:45" s="25" customFormat="1">
      <c r="A189" s="4" t="s">
        <v>5323</v>
      </c>
      <c r="B189" s="21">
        <f t="shared" si="20"/>
        <v>177</v>
      </c>
      <c r="C189" s="13" t="str">
        <f t="shared" si="21"/>
        <v>C340_疾患開始日</v>
      </c>
      <c r="D189" s="13" t="s">
        <v>4939</v>
      </c>
      <c r="E189" s="8"/>
      <c r="F189" s="7" t="s">
        <v>4348</v>
      </c>
      <c r="G189" s="7" t="s">
        <v>25</v>
      </c>
      <c r="H189" s="58"/>
      <c r="I189" s="23"/>
      <c r="J189" s="24"/>
      <c r="M189" s="4"/>
      <c r="N189" s="76"/>
      <c r="O189" s="76"/>
      <c r="P189" s="76" t="str">
        <f t="shared" si="8"/>
        <v>,shikkan171_start_date</v>
      </c>
      <c r="Q189" s="76" t="str">
        <f t="shared" si="9"/>
        <v>DATE</v>
      </c>
      <c r="R189" s="76" t="str">
        <f t="shared" si="10"/>
        <v/>
      </c>
      <c r="S189" s="76" t="str">
        <f t="shared" si="11"/>
        <v/>
      </c>
      <c r="T189" s="76" t="str">
        <f t="shared" si="12"/>
        <v>-- C340_疾患開始日</v>
      </c>
      <c r="U189" s="4" t="str">
        <f t="shared" si="22"/>
        <v>, CASE WHEN shikkan_disp_name = 'C340' THEN min_shikkan_start_date ::DATE ELSE NULL END AS shikkan171_start_date</v>
      </c>
      <c r="V189" s="25" t="str">
        <f t="shared" si="23"/>
        <v>, max(shikkan171_start_date)</v>
      </c>
      <c r="AA189" s="4"/>
      <c r="AB189" s="4"/>
      <c r="AC189" s="4"/>
      <c r="AD189" s="4"/>
      <c r="AE189" s="4"/>
      <c r="AF189" s="4"/>
      <c r="AG189" s="4"/>
      <c r="AH189" s="4"/>
      <c r="AI189" s="4"/>
      <c r="AJ189" s="76" t="str">
        <f>IF(E189="○",IF(COUNTA(E$13:E189)=1,"",",")&amp;D189,"")</f>
        <v/>
      </c>
      <c r="AK189" s="4"/>
      <c r="AL189" s="4"/>
      <c r="AM189" s="4"/>
      <c r="AN189" s="4"/>
      <c r="AO189" s="4"/>
      <c r="AP189" s="4"/>
      <c r="AQ189" s="4"/>
      <c r="AR189" s="4"/>
      <c r="AS189" s="76" t="str">
        <f>"COMMENT ON COLUMN "&amp;エンティティ一覧!$O$2&amp;"."&amp;D$8&amp;"."&amp;D189&amp;" IS '"&amp;C189&amp;"';"</f>
        <v>COMMENT ON COLUMN milscm_2023_009.sny_202310_annony_non_annony2.shikkan171_start_date IS 'C340_疾患開始日';</v>
      </c>
    </row>
    <row r="190" spans="1:45" s="25" customFormat="1">
      <c r="A190" s="4" t="s">
        <v>5324</v>
      </c>
      <c r="B190" s="21">
        <f t="shared" si="20"/>
        <v>178</v>
      </c>
      <c r="C190" s="13" t="str">
        <f t="shared" si="21"/>
        <v>C341_疾患開始日</v>
      </c>
      <c r="D190" s="13" t="s">
        <v>4940</v>
      </c>
      <c r="E190" s="8"/>
      <c r="F190" s="7" t="s">
        <v>4348</v>
      </c>
      <c r="G190" s="7" t="s">
        <v>25</v>
      </c>
      <c r="H190" s="58"/>
      <c r="I190" s="23"/>
      <c r="J190" s="24"/>
      <c r="M190" s="4"/>
      <c r="N190" s="76"/>
      <c r="O190" s="76"/>
      <c r="P190" s="76" t="str">
        <f t="shared" si="8"/>
        <v>,shikkan172_start_date</v>
      </c>
      <c r="Q190" s="76" t="str">
        <f t="shared" si="9"/>
        <v>DATE</v>
      </c>
      <c r="R190" s="76" t="str">
        <f t="shared" si="10"/>
        <v/>
      </c>
      <c r="S190" s="76" t="str">
        <f t="shared" si="11"/>
        <v/>
      </c>
      <c r="T190" s="76" t="str">
        <f t="shared" si="12"/>
        <v>-- C341_疾患開始日</v>
      </c>
      <c r="U190" s="4" t="str">
        <f t="shared" si="22"/>
        <v>, CASE WHEN shikkan_disp_name = 'C341' THEN min_shikkan_start_date ::DATE ELSE NULL END AS shikkan172_start_date</v>
      </c>
      <c r="V190" s="25" t="str">
        <f t="shared" si="23"/>
        <v>, max(shikkan172_start_date)</v>
      </c>
      <c r="AA190" s="4"/>
      <c r="AB190" s="4"/>
      <c r="AC190" s="4"/>
      <c r="AD190" s="4"/>
      <c r="AE190" s="4"/>
      <c r="AF190" s="4"/>
      <c r="AG190" s="4"/>
      <c r="AH190" s="4"/>
      <c r="AI190" s="4"/>
      <c r="AJ190" s="76" t="str">
        <f>IF(E190="○",IF(COUNTA(E$13:E190)=1,"",",")&amp;D190,"")</f>
        <v/>
      </c>
      <c r="AK190" s="4"/>
      <c r="AL190" s="4"/>
      <c r="AM190" s="4"/>
      <c r="AN190" s="4"/>
      <c r="AO190" s="4"/>
      <c r="AP190" s="4"/>
      <c r="AQ190" s="4"/>
      <c r="AR190" s="4"/>
      <c r="AS190" s="76" t="str">
        <f>"COMMENT ON COLUMN "&amp;エンティティ一覧!$O$2&amp;"."&amp;D$8&amp;"."&amp;D190&amp;" IS '"&amp;C190&amp;"';"</f>
        <v>COMMENT ON COLUMN milscm_2023_009.sny_202310_annony_non_annony2.shikkan172_start_date IS 'C341_疾患開始日';</v>
      </c>
    </row>
    <row r="191" spans="1:45" s="25" customFormat="1">
      <c r="A191" s="4" t="s">
        <v>5325</v>
      </c>
      <c r="B191" s="21">
        <f t="shared" si="20"/>
        <v>179</v>
      </c>
      <c r="C191" s="13" t="str">
        <f t="shared" si="21"/>
        <v>C342_疾患開始日</v>
      </c>
      <c r="D191" s="13" t="s">
        <v>4941</v>
      </c>
      <c r="E191" s="8"/>
      <c r="F191" s="7" t="s">
        <v>4348</v>
      </c>
      <c r="G191" s="7" t="s">
        <v>25</v>
      </c>
      <c r="H191" s="58"/>
      <c r="I191" s="23"/>
      <c r="J191" s="24"/>
      <c r="M191" s="4"/>
      <c r="N191" s="76"/>
      <c r="O191" s="76"/>
      <c r="P191" s="76" t="str">
        <f t="shared" si="8"/>
        <v>,shikkan173_start_date</v>
      </c>
      <c r="Q191" s="76" t="str">
        <f t="shared" si="9"/>
        <v>DATE</v>
      </c>
      <c r="R191" s="76" t="str">
        <f t="shared" si="10"/>
        <v/>
      </c>
      <c r="S191" s="76" t="str">
        <f t="shared" si="11"/>
        <v/>
      </c>
      <c r="T191" s="76" t="str">
        <f t="shared" si="12"/>
        <v>-- C342_疾患開始日</v>
      </c>
      <c r="U191" s="4" t="str">
        <f t="shared" si="22"/>
        <v>, CASE WHEN shikkan_disp_name = 'C342' THEN min_shikkan_start_date ::DATE ELSE NULL END AS shikkan173_start_date</v>
      </c>
      <c r="V191" s="25" t="str">
        <f t="shared" si="23"/>
        <v>, max(shikkan173_start_date)</v>
      </c>
      <c r="AA191" s="4"/>
      <c r="AB191" s="4"/>
      <c r="AC191" s="4"/>
      <c r="AD191" s="4"/>
      <c r="AE191" s="4"/>
      <c r="AF191" s="4"/>
      <c r="AG191" s="4"/>
      <c r="AH191" s="4"/>
      <c r="AI191" s="4"/>
      <c r="AJ191" s="76" t="str">
        <f>IF(E191="○",IF(COUNTA(E$13:E191)=1,"",",")&amp;D191,"")</f>
        <v/>
      </c>
      <c r="AK191" s="4"/>
      <c r="AL191" s="4"/>
      <c r="AM191" s="4"/>
      <c r="AN191" s="4"/>
      <c r="AO191" s="4"/>
      <c r="AP191" s="4"/>
      <c r="AQ191" s="4"/>
      <c r="AR191" s="4"/>
      <c r="AS191" s="76" t="str">
        <f>"COMMENT ON COLUMN "&amp;エンティティ一覧!$O$2&amp;"."&amp;D$8&amp;"."&amp;D191&amp;" IS '"&amp;C191&amp;"';"</f>
        <v>COMMENT ON COLUMN milscm_2023_009.sny_202310_annony_non_annony2.shikkan173_start_date IS 'C342_疾患開始日';</v>
      </c>
    </row>
    <row r="192" spans="1:45" s="25" customFormat="1">
      <c r="A192" s="4" t="s">
        <v>5326</v>
      </c>
      <c r="B192" s="21">
        <f t="shared" si="20"/>
        <v>180</v>
      </c>
      <c r="C192" s="13" t="str">
        <f t="shared" si="21"/>
        <v>C343_疾患開始日</v>
      </c>
      <c r="D192" s="13" t="s">
        <v>4942</v>
      </c>
      <c r="E192" s="8"/>
      <c r="F192" s="7" t="s">
        <v>4348</v>
      </c>
      <c r="G192" s="7" t="s">
        <v>25</v>
      </c>
      <c r="H192" s="58"/>
      <c r="I192" s="23"/>
      <c r="J192" s="24"/>
      <c r="M192" s="4"/>
      <c r="N192" s="76"/>
      <c r="O192" s="76"/>
      <c r="P192" s="76" t="str">
        <f t="shared" si="8"/>
        <v>,shikkan174_start_date</v>
      </c>
      <c r="Q192" s="76" t="str">
        <f t="shared" si="9"/>
        <v>DATE</v>
      </c>
      <c r="R192" s="76" t="str">
        <f t="shared" si="10"/>
        <v/>
      </c>
      <c r="S192" s="76" t="str">
        <f t="shared" si="11"/>
        <v/>
      </c>
      <c r="T192" s="76" t="str">
        <f t="shared" si="12"/>
        <v>-- C343_疾患開始日</v>
      </c>
      <c r="U192" s="4" t="str">
        <f t="shared" si="22"/>
        <v>, CASE WHEN shikkan_disp_name = 'C343' THEN min_shikkan_start_date ::DATE ELSE NULL END AS shikkan174_start_date</v>
      </c>
      <c r="V192" s="25" t="str">
        <f t="shared" si="23"/>
        <v>, max(shikkan174_start_date)</v>
      </c>
      <c r="AA192" s="4"/>
      <c r="AB192" s="4"/>
      <c r="AC192" s="4"/>
      <c r="AD192" s="4"/>
      <c r="AE192" s="4"/>
      <c r="AF192" s="4"/>
      <c r="AG192" s="4"/>
      <c r="AH192" s="4"/>
      <c r="AI192" s="4"/>
      <c r="AJ192" s="76" t="str">
        <f>IF(E192="○",IF(COUNTA(E$13:E192)=1,"",",")&amp;D192,"")</f>
        <v/>
      </c>
      <c r="AK192" s="4"/>
      <c r="AL192" s="4"/>
      <c r="AM192" s="4"/>
      <c r="AN192" s="4"/>
      <c r="AO192" s="4"/>
      <c r="AP192" s="4"/>
      <c r="AQ192" s="4"/>
      <c r="AR192" s="4"/>
      <c r="AS192" s="76" t="str">
        <f>"COMMENT ON COLUMN "&amp;エンティティ一覧!$O$2&amp;"."&amp;D$8&amp;"."&amp;D192&amp;" IS '"&amp;C192&amp;"';"</f>
        <v>COMMENT ON COLUMN milscm_2023_009.sny_202310_annony_non_annony2.shikkan174_start_date IS 'C343_疾患開始日';</v>
      </c>
    </row>
    <row r="193" spans="1:45" s="25" customFormat="1">
      <c r="A193" s="4" t="s">
        <v>5327</v>
      </c>
      <c r="B193" s="21">
        <f t="shared" si="20"/>
        <v>181</v>
      </c>
      <c r="C193" s="13" t="str">
        <f t="shared" si="21"/>
        <v>C348_疾患開始日</v>
      </c>
      <c r="D193" s="13" t="s">
        <v>4943</v>
      </c>
      <c r="E193" s="8"/>
      <c r="F193" s="7" t="s">
        <v>4348</v>
      </c>
      <c r="G193" s="7" t="s">
        <v>25</v>
      </c>
      <c r="H193" s="58"/>
      <c r="I193" s="23"/>
      <c r="J193" s="24"/>
      <c r="M193" s="4"/>
      <c r="N193" s="76"/>
      <c r="O193" s="76"/>
      <c r="P193" s="76" t="str">
        <f t="shared" si="8"/>
        <v>,shikkan175_start_date</v>
      </c>
      <c r="Q193" s="76" t="str">
        <f t="shared" si="9"/>
        <v>DATE</v>
      </c>
      <c r="R193" s="76" t="str">
        <f t="shared" si="10"/>
        <v/>
      </c>
      <c r="S193" s="76" t="str">
        <f t="shared" si="11"/>
        <v/>
      </c>
      <c r="T193" s="76" t="str">
        <f t="shared" si="12"/>
        <v>-- C348_疾患開始日</v>
      </c>
      <c r="U193" s="4" t="str">
        <f t="shared" si="22"/>
        <v>, CASE WHEN shikkan_disp_name = 'C348' THEN min_shikkan_start_date ::DATE ELSE NULL END AS shikkan175_start_date</v>
      </c>
      <c r="V193" s="25" t="str">
        <f t="shared" si="23"/>
        <v>, max(shikkan175_start_date)</v>
      </c>
      <c r="AA193" s="4"/>
      <c r="AB193" s="4"/>
      <c r="AC193" s="4"/>
      <c r="AD193" s="4"/>
      <c r="AE193" s="4"/>
      <c r="AF193" s="4"/>
      <c r="AG193" s="4"/>
      <c r="AH193" s="4"/>
      <c r="AI193" s="4"/>
      <c r="AJ193" s="76" t="str">
        <f>IF(E193="○",IF(COUNTA(E$13:E193)=1,"",",")&amp;D193,"")</f>
        <v/>
      </c>
      <c r="AK193" s="4"/>
      <c r="AL193" s="4"/>
      <c r="AM193" s="4"/>
      <c r="AN193" s="4"/>
      <c r="AO193" s="4"/>
      <c r="AP193" s="4"/>
      <c r="AQ193" s="4"/>
      <c r="AR193" s="4"/>
      <c r="AS193" s="76" t="str">
        <f>"COMMENT ON COLUMN "&amp;エンティティ一覧!$O$2&amp;"."&amp;D$8&amp;"."&amp;D193&amp;" IS '"&amp;C193&amp;"';"</f>
        <v>COMMENT ON COLUMN milscm_2023_009.sny_202310_annony_non_annony2.shikkan175_start_date IS 'C348_疾患開始日';</v>
      </c>
    </row>
    <row r="194" spans="1:45" s="25" customFormat="1">
      <c r="A194" s="4" t="s">
        <v>5328</v>
      </c>
      <c r="B194" s="21">
        <f t="shared" si="20"/>
        <v>182</v>
      </c>
      <c r="C194" s="13" t="str">
        <f t="shared" si="21"/>
        <v>C349_疾患開始日</v>
      </c>
      <c r="D194" s="13" t="s">
        <v>4944</v>
      </c>
      <c r="E194" s="8"/>
      <c r="F194" s="7" t="s">
        <v>4348</v>
      </c>
      <c r="G194" s="7" t="s">
        <v>25</v>
      </c>
      <c r="H194" s="58"/>
      <c r="I194" s="23"/>
      <c r="J194" s="24"/>
      <c r="M194" s="4"/>
      <c r="N194" s="76"/>
      <c r="O194" s="76"/>
      <c r="P194" s="76" t="str">
        <f t="shared" si="8"/>
        <v>,shikkan176_start_date</v>
      </c>
      <c r="Q194" s="76" t="str">
        <f t="shared" si="9"/>
        <v>DATE</v>
      </c>
      <c r="R194" s="76" t="str">
        <f t="shared" si="10"/>
        <v/>
      </c>
      <c r="S194" s="76" t="str">
        <f t="shared" si="11"/>
        <v/>
      </c>
      <c r="T194" s="76" t="str">
        <f t="shared" si="12"/>
        <v>-- C349_疾患開始日</v>
      </c>
      <c r="U194" s="4" t="str">
        <f t="shared" si="22"/>
        <v>, CASE WHEN shikkan_disp_name = 'C349' THEN min_shikkan_start_date ::DATE ELSE NULL END AS shikkan176_start_date</v>
      </c>
      <c r="V194" s="25" t="str">
        <f t="shared" si="23"/>
        <v>, max(shikkan176_start_date)</v>
      </c>
      <c r="AA194" s="4"/>
      <c r="AB194" s="4"/>
      <c r="AC194" s="4"/>
      <c r="AD194" s="4"/>
      <c r="AE194" s="4"/>
      <c r="AF194" s="4"/>
      <c r="AG194" s="4"/>
      <c r="AH194" s="4"/>
      <c r="AI194" s="4"/>
      <c r="AJ194" s="76" t="str">
        <f>IF(E194="○",IF(COUNTA(E$13:E194)=1,"",",")&amp;D194,"")</f>
        <v/>
      </c>
      <c r="AK194" s="4"/>
      <c r="AL194" s="4"/>
      <c r="AM194" s="4"/>
      <c r="AN194" s="4"/>
      <c r="AO194" s="4"/>
      <c r="AP194" s="4"/>
      <c r="AQ194" s="4"/>
      <c r="AR194" s="4"/>
      <c r="AS194" s="76" t="str">
        <f>"COMMENT ON COLUMN "&amp;エンティティ一覧!$O$2&amp;"."&amp;D$8&amp;"."&amp;D194&amp;" IS '"&amp;C194&amp;"';"</f>
        <v>COMMENT ON COLUMN milscm_2023_009.sny_202310_annony_non_annony2.shikkan176_start_date IS 'C349_疾患開始日';</v>
      </c>
    </row>
    <row r="195" spans="1:45" s="25" customFormat="1">
      <c r="A195" s="4" t="s">
        <v>5147</v>
      </c>
      <c r="B195" s="21">
        <f t="shared" si="20"/>
        <v>183</v>
      </c>
      <c r="C195" s="13" t="str">
        <f t="shared" si="21"/>
        <v>C37_疾患開始日</v>
      </c>
      <c r="D195" s="13" t="s">
        <v>4945</v>
      </c>
      <c r="E195" s="8"/>
      <c r="F195" s="7" t="s">
        <v>4348</v>
      </c>
      <c r="G195" s="7" t="s">
        <v>99</v>
      </c>
      <c r="H195" s="58"/>
      <c r="I195" s="23"/>
      <c r="J195" s="24"/>
      <c r="M195" s="4"/>
      <c r="N195" s="76"/>
      <c r="O195" s="76"/>
      <c r="P195" s="76" t="str">
        <f t="shared" si="8"/>
        <v>,shikkan177_start_date</v>
      </c>
      <c r="Q195" s="76" t="str">
        <f t="shared" si="9"/>
        <v>DATE</v>
      </c>
      <c r="R195" s="76" t="str">
        <f t="shared" si="10"/>
        <v/>
      </c>
      <c r="S195" s="76" t="str">
        <f t="shared" si="11"/>
        <v/>
      </c>
      <c r="T195" s="76" t="str">
        <f t="shared" si="12"/>
        <v>-- C37_疾患開始日</v>
      </c>
      <c r="U195" s="4" t="str">
        <f t="shared" si="22"/>
        <v>, CASE WHEN shikkan_disp_name = 'C37' THEN min_shikkan_start_date ::DATE ELSE NULL END AS shikkan177_start_date</v>
      </c>
      <c r="V195" s="25" t="str">
        <f t="shared" si="23"/>
        <v>, max(shikkan177_start_date)</v>
      </c>
      <c r="AA195" s="4"/>
      <c r="AB195" s="4"/>
      <c r="AC195" s="4"/>
      <c r="AD195" s="4"/>
      <c r="AE195" s="4"/>
      <c r="AF195" s="4"/>
      <c r="AG195" s="4"/>
      <c r="AH195" s="4"/>
      <c r="AI195" s="4"/>
      <c r="AJ195" s="76" t="str">
        <f>IF(E195="○",IF(COUNTA(E$13:E195)=1,"",",")&amp;D195,"")</f>
        <v/>
      </c>
      <c r="AK195" s="4"/>
      <c r="AL195" s="4"/>
      <c r="AM195" s="4"/>
      <c r="AN195" s="4"/>
      <c r="AO195" s="4"/>
      <c r="AP195" s="4"/>
      <c r="AQ195" s="4"/>
      <c r="AR195" s="4"/>
      <c r="AS195" s="76" t="str">
        <f>"COMMENT ON COLUMN "&amp;エンティティ一覧!$O$2&amp;"."&amp;D$8&amp;"."&amp;D195&amp;" IS '"&amp;C195&amp;"';"</f>
        <v>COMMENT ON COLUMN milscm_2023_009.sny_202310_annony_non_annony2.shikkan177_start_date IS 'C37_疾患開始日';</v>
      </c>
    </row>
    <row r="196" spans="1:45" s="25" customFormat="1">
      <c r="A196" s="4" t="s">
        <v>5329</v>
      </c>
      <c r="B196" s="21">
        <f t="shared" si="20"/>
        <v>184</v>
      </c>
      <c r="C196" s="13" t="str">
        <f t="shared" si="21"/>
        <v>C380_疾患開始日</v>
      </c>
      <c r="D196" s="13" t="s">
        <v>4946</v>
      </c>
      <c r="E196" s="8"/>
      <c r="F196" s="7" t="s">
        <v>4348</v>
      </c>
      <c r="G196" s="7" t="s">
        <v>25</v>
      </c>
      <c r="H196" s="58"/>
      <c r="I196" s="23"/>
      <c r="J196" s="24"/>
      <c r="M196" s="4"/>
      <c r="N196" s="76"/>
      <c r="O196" s="76"/>
      <c r="P196" s="76" t="str">
        <f t="shared" si="8"/>
        <v>,shikkan178_start_date</v>
      </c>
      <c r="Q196" s="76" t="str">
        <f t="shared" si="9"/>
        <v>DATE</v>
      </c>
      <c r="R196" s="76" t="str">
        <f t="shared" si="10"/>
        <v/>
      </c>
      <c r="S196" s="76" t="str">
        <f t="shared" si="11"/>
        <v/>
      </c>
      <c r="T196" s="76" t="str">
        <f t="shared" si="12"/>
        <v>-- C380_疾患開始日</v>
      </c>
      <c r="U196" s="4" t="str">
        <f t="shared" si="22"/>
        <v>, CASE WHEN shikkan_disp_name = 'C380' THEN min_shikkan_start_date ::DATE ELSE NULL END AS shikkan178_start_date</v>
      </c>
      <c r="V196" s="25" t="str">
        <f t="shared" si="23"/>
        <v>, max(shikkan178_start_date)</v>
      </c>
      <c r="AA196" s="4"/>
      <c r="AB196" s="4"/>
      <c r="AC196" s="4"/>
      <c r="AD196" s="4"/>
      <c r="AE196" s="4"/>
      <c r="AF196" s="4"/>
      <c r="AG196" s="4"/>
      <c r="AH196" s="4"/>
      <c r="AI196" s="4"/>
      <c r="AJ196" s="76" t="str">
        <f>IF(E196="○",IF(COUNTA(E$13:E196)=1,"",",")&amp;D196,"")</f>
        <v/>
      </c>
      <c r="AK196" s="4"/>
      <c r="AL196" s="4"/>
      <c r="AM196" s="4"/>
      <c r="AN196" s="4"/>
      <c r="AO196" s="4"/>
      <c r="AP196" s="4"/>
      <c r="AQ196" s="4"/>
      <c r="AR196" s="4"/>
      <c r="AS196" s="76" t="str">
        <f>"COMMENT ON COLUMN "&amp;エンティティ一覧!$O$2&amp;"."&amp;D$8&amp;"."&amp;D196&amp;" IS '"&amp;C196&amp;"';"</f>
        <v>COMMENT ON COLUMN milscm_2023_009.sny_202310_annony_non_annony2.shikkan178_start_date IS 'C380_疾患開始日';</v>
      </c>
    </row>
    <row r="197" spans="1:45" s="25" customFormat="1">
      <c r="A197" s="4" t="s">
        <v>5330</v>
      </c>
      <c r="B197" s="21">
        <f t="shared" si="20"/>
        <v>185</v>
      </c>
      <c r="C197" s="13" t="str">
        <f t="shared" si="21"/>
        <v>C381_疾患開始日</v>
      </c>
      <c r="D197" s="13" t="s">
        <v>4947</v>
      </c>
      <c r="E197" s="8"/>
      <c r="F197" s="7" t="s">
        <v>4348</v>
      </c>
      <c r="G197" s="7" t="s">
        <v>25</v>
      </c>
      <c r="H197" s="58"/>
      <c r="I197" s="23"/>
      <c r="J197" s="24"/>
      <c r="M197" s="4"/>
      <c r="N197" s="76"/>
      <c r="O197" s="76"/>
      <c r="P197" s="76" t="str">
        <f t="shared" si="8"/>
        <v>,shikkan179_start_date</v>
      </c>
      <c r="Q197" s="76" t="str">
        <f t="shared" si="9"/>
        <v>DATE</v>
      </c>
      <c r="R197" s="76" t="str">
        <f t="shared" si="10"/>
        <v/>
      </c>
      <c r="S197" s="76" t="str">
        <f t="shared" si="11"/>
        <v/>
      </c>
      <c r="T197" s="76" t="str">
        <f t="shared" si="12"/>
        <v>-- C381_疾患開始日</v>
      </c>
      <c r="U197" s="4" t="str">
        <f t="shared" si="22"/>
        <v>, CASE WHEN shikkan_disp_name = 'C381' THEN min_shikkan_start_date ::DATE ELSE NULL END AS shikkan179_start_date</v>
      </c>
      <c r="V197" s="25" t="str">
        <f t="shared" si="23"/>
        <v>, max(shikkan179_start_date)</v>
      </c>
      <c r="AA197" s="4"/>
      <c r="AB197" s="4"/>
      <c r="AC197" s="4"/>
      <c r="AD197" s="4"/>
      <c r="AE197" s="4"/>
      <c r="AF197" s="4"/>
      <c r="AG197" s="4"/>
      <c r="AH197" s="4"/>
      <c r="AI197" s="4"/>
      <c r="AJ197" s="76" t="str">
        <f>IF(E197="○",IF(COUNTA(E$13:E197)=1,"",",")&amp;D197,"")</f>
        <v/>
      </c>
      <c r="AK197" s="4"/>
      <c r="AL197" s="4"/>
      <c r="AM197" s="4"/>
      <c r="AN197" s="4"/>
      <c r="AO197" s="4"/>
      <c r="AP197" s="4"/>
      <c r="AQ197" s="4"/>
      <c r="AR197" s="4"/>
      <c r="AS197" s="76" t="str">
        <f>"COMMENT ON COLUMN "&amp;エンティティ一覧!$O$2&amp;"."&amp;D$8&amp;"."&amp;D197&amp;" IS '"&amp;C197&amp;"';"</f>
        <v>COMMENT ON COLUMN milscm_2023_009.sny_202310_annony_non_annony2.shikkan179_start_date IS 'C381_疾患開始日';</v>
      </c>
    </row>
    <row r="198" spans="1:45" s="25" customFormat="1">
      <c r="A198" s="4" t="s">
        <v>5331</v>
      </c>
      <c r="B198" s="21">
        <f t="shared" si="20"/>
        <v>186</v>
      </c>
      <c r="C198" s="13" t="str">
        <f t="shared" si="21"/>
        <v>C382_疾患開始日</v>
      </c>
      <c r="D198" s="13" t="s">
        <v>4948</v>
      </c>
      <c r="E198" s="8"/>
      <c r="F198" s="7" t="s">
        <v>4348</v>
      </c>
      <c r="G198" s="7" t="s">
        <v>25</v>
      </c>
      <c r="H198" s="58"/>
      <c r="I198" s="23"/>
      <c r="J198" s="24"/>
      <c r="M198" s="4"/>
      <c r="N198" s="76"/>
      <c r="O198" s="76"/>
      <c r="P198" s="76" t="str">
        <f t="shared" si="8"/>
        <v>,shikkan180_start_date</v>
      </c>
      <c r="Q198" s="76" t="str">
        <f t="shared" si="9"/>
        <v>DATE</v>
      </c>
      <c r="R198" s="76" t="str">
        <f t="shared" si="10"/>
        <v/>
      </c>
      <c r="S198" s="76" t="str">
        <f t="shared" si="11"/>
        <v/>
      </c>
      <c r="T198" s="76" t="str">
        <f t="shared" si="12"/>
        <v>-- C382_疾患開始日</v>
      </c>
      <c r="U198" s="4" t="str">
        <f t="shared" si="22"/>
        <v>, CASE WHEN shikkan_disp_name = 'C382' THEN min_shikkan_start_date ::DATE ELSE NULL END AS shikkan180_start_date</v>
      </c>
      <c r="V198" s="25" t="str">
        <f t="shared" si="23"/>
        <v>, max(shikkan180_start_date)</v>
      </c>
      <c r="AA198" s="4"/>
      <c r="AB198" s="4"/>
      <c r="AC198" s="4"/>
      <c r="AD198" s="4"/>
      <c r="AE198" s="4"/>
      <c r="AF198" s="4"/>
      <c r="AG198" s="4"/>
      <c r="AH198" s="4"/>
      <c r="AI198" s="4"/>
      <c r="AJ198" s="76" t="str">
        <f>IF(E198="○",IF(COUNTA(E$13:E198)=1,"",",")&amp;D198,"")</f>
        <v/>
      </c>
      <c r="AK198" s="4"/>
      <c r="AL198" s="4"/>
      <c r="AM198" s="4"/>
      <c r="AN198" s="4"/>
      <c r="AO198" s="4"/>
      <c r="AP198" s="4"/>
      <c r="AQ198" s="4"/>
      <c r="AR198" s="4"/>
      <c r="AS198" s="76" t="str">
        <f>"COMMENT ON COLUMN "&amp;エンティティ一覧!$O$2&amp;"."&amp;D$8&amp;"."&amp;D198&amp;" IS '"&amp;C198&amp;"';"</f>
        <v>COMMENT ON COLUMN milscm_2023_009.sny_202310_annony_non_annony2.shikkan180_start_date IS 'C382_疾患開始日';</v>
      </c>
    </row>
    <row r="199" spans="1:45" s="25" customFormat="1">
      <c r="A199" s="4" t="s">
        <v>5332</v>
      </c>
      <c r="B199" s="21">
        <f t="shared" si="20"/>
        <v>187</v>
      </c>
      <c r="C199" s="13" t="str">
        <f t="shared" si="21"/>
        <v>C383_疾患開始日</v>
      </c>
      <c r="D199" s="13" t="s">
        <v>4949</v>
      </c>
      <c r="E199" s="8"/>
      <c r="F199" s="7" t="s">
        <v>4348</v>
      </c>
      <c r="G199" s="7" t="s">
        <v>25</v>
      </c>
      <c r="H199" s="58"/>
      <c r="I199" s="23"/>
      <c r="J199" s="24"/>
      <c r="M199" s="4"/>
      <c r="N199" s="76"/>
      <c r="O199" s="76"/>
      <c r="P199" s="76" t="str">
        <f t="shared" si="8"/>
        <v>,shikkan181_start_date</v>
      </c>
      <c r="Q199" s="76" t="str">
        <f t="shared" si="9"/>
        <v>DATE</v>
      </c>
      <c r="R199" s="76" t="str">
        <f t="shared" si="10"/>
        <v/>
      </c>
      <c r="S199" s="76" t="str">
        <f t="shared" si="11"/>
        <v/>
      </c>
      <c r="T199" s="76" t="str">
        <f t="shared" si="12"/>
        <v>-- C383_疾患開始日</v>
      </c>
      <c r="U199" s="4" t="str">
        <f t="shared" si="22"/>
        <v>, CASE WHEN shikkan_disp_name = 'C383' THEN min_shikkan_start_date ::DATE ELSE NULL END AS shikkan181_start_date</v>
      </c>
      <c r="V199" s="25" t="str">
        <f t="shared" si="23"/>
        <v>, max(shikkan181_start_date)</v>
      </c>
      <c r="AA199" s="4"/>
      <c r="AB199" s="4"/>
      <c r="AC199" s="4"/>
      <c r="AD199" s="4"/>
      <c r="AE199" s="4"/>
      <c r="AF199" s="4"/>
      <c r="AG199" s="4"/>
      <c r="AH199" s="4"/>
      <c r="AI199" s="4"/>
      <c r="AJ199" s="76" t="str">
        <f>IF(E199="○",IF(COUNTA(E$13:E199)=1,"",",")&amp;D199,"")</f>
        <v/>
      </c>
      <c r="AK199" s="4"/>
      <c r="AL199" s="4"/>
      <c r="AM199" s="4"/>
      <c r="AN199" s="4"/>
      <c r="AO199" s="4"/>
      <c r="AP199" s="4"/>
      <c r="AQ199" s="4"/>
      <c r="AR199" s="4"/>
      <c r="AS199" s="76" t="str">
        <f>"COMMENT ON COLUMN "&amp;エンティティ一覧!$O$2&amp;"."&amp;D$8&amp;"."&amp;D199&amp;" IS '"&amp;C199&amp;"';"</f>
        <v>COMMENT ON COLUMN milscm_2023_009.sny_202310_annony_non_annony2.shikkan181_start_date IS 'C383_疾患開始日';</v>
      </c>
    </row>
    <row r="200" spans="1:45" s="25" customFormat="1">
      <c r="A200" s="4" t="s">
        <v>5333</v>
      </c>
      <c r="B200" s="21">
        <f t="shared" si="20"/>
        <v>188</v>
      </c>
      <c r="C200" s="13" t="str">
        <f t="shared" si="21"/>
        <v>C384_疾患開始日</v>
      </c>
      <c r="D200" s="13" t="s">
        <v>4950</v>
      </c>
      <c r="E200" s="8"/>
      <c r="F200" s="7" t="s">
        <v>4348</v>
      </c>
      <c r="G200" s="7" t="s">
        <v>25</v>
      </c>
      <c r="H200" s="58"/>
      <c r="I200" s="23"/>
      <c r="J200" s="24"/>
      <c r="M200" s="4"/>
      <c r="N200" s="76"/>
      <c r="O200" s="76"/>
      <c r="P200" s="76" t="str">
        <f t="shared" si="8"/>
        <v>,shikkan182_start_date</v>
      </c>
      <c r="Q200" s="76" t="str">
        <f t="shared" si="9"/>
        <v>DATE</v>
      </c>
      <c r="R200" s="76" t="str">
        <f t="shared" si="10"/>
        <v/>
      </c>
      <c r="S200" s="76" t="str">
        <f t="shared" si="11"/>
        <v/>
      </c>
      <c r="T200" s="76" t="str">
        <f t="shared" si="12"/>
        <v>-- C384_疾患開始日</v>
      </c>
      <c r="U200" s="4" t="str">
        <f t="shared" si="22"/>
        <v>, CASE WHEN shikkan_disp_name = 'C384' THEN min_shikkan_start_date ::DATE ELSE NULL END AS shikkan182_start_date</v>
      </c>
      <c r="V200" s="25" t="str">
        <f t="shared" si="23"/>
        <v>, max(shikkan182_start_date)</v>
      </c>
      <c r="AA200" s="4"/>
      <c r="AB200" s="4"/>
      <c r="AC200" s="4"/>
      <c r="AD200" s="4"/>
      <c r="AE200" s="4"/>
      <c r="AF200" s="4"/>
      <c r="AG200" s="4"/>
      <c r="AH200" s="4"/>
      <c r="AI200" s="4"/>
      <c r="AJ200" s="76" t="str">
        <f>IF(E200="○",IF(COUNTA(E$13:E200)=1,"",",")&amp;D200,"")</f>
        <v/>
      </c>
      <c r="AK200" s="4"/>
      <c r="AL200" s="4"/>
      <c r="AM200" s="4"/>
      <c r="AN200" s="4"/>
      <c r="AO200" s="4"/>
      <c r="AP200" s="4"/>
      <c r="AQ200" s="4"/>
      <c r="AR200" s="4"/>
      <c r="AS200" s="76" t="str">
        <f>"COMMENT ON COLUMN "&amp;エンティティ一覧!$O$2&amp;"."&amp;D$8&amp;"."&amp;D200&amp;" IS '"&amp;C200&amp;"';"</f>
        <v>COMMENT ON COLUMN milscm_2023_009.sny_202310_annony_non_annony2.shikkan182_start_date IS 'C384_疾患開始日';</v>
      </c>
    </row>
    <row r="201" spans="1:45" s="25" customFormat="1">
      <c r="A201" s="4" t="s">
        <v>5334</v>
      </c>
      <c r="B201" s="21">
        <f t="shared" si="20"/>
        <v>189</v>
      </c>
      <c r="C201" s="13" t="str">
        <f t="shared" si="21"/>
        <v>C388_疾患開始日</v>
      </c>
      <c r="D201" s="13" t="s">
        <v>4951</v>
      </c>
      <c r="E201" s="8"/>
      <c r="F201" s="7" t="s">
        <v>4348</v>
      </c>
      <c r="G201" s="7" t="s">
        <v>25</v>
      </c>
      <c r="H201" s="58"/>
      <c r="I201" s="23"/>
      <c r="J201" s="24"/>
      <c r="M201" s="4"/>
      <c r="N201" s="76"/>
      <c r="O201" s="76"/>
      <c r="P201" s="76" t="str">
        <f t="shared" si="8"/>
        <v>,shikkan183_start_date</v>
      </c>
      <c r="Q201" s="76" t="str">
        <f t="shared" si="9"/>
        <v>DATE</v>
      </c>
      <c r="R201" s="76" t="str">
        <f t="shared" si="10"/>
        <v/>
      </c>
      <c r="S201" s="76" t="str">
        <f t="shared" si="11"/>
        <v/>
      </c>
      <c r="T201" s="76" t="str">
        <f t="shared" si="12"/>
        <v>-- C388_疾患開始日</v>
      </c>
      <c r="U201" s="4" t="str">
        <f t="shared" si="22"/>
        <v>, CASE WHEN shikkan_disp_name = 'C388' THEN min_shikkan_start_date ::DATE ELSE NULL END AS shikkan183_start_date</v>
      </c>
      <c r="V201" s="25" t="str">
        <f t="shared" si="23"/>
        <v>, max(shikkan183_start_date)</v>
      </c>
      <c r="AA201" s="4"/>
      <c r="AB201" s="4"/>
      <c r="AC201" s="4"/>
      <c r="AD201" s="4"/>
      <c r="AE201" s="4"/>
      <c r="AF201" s="4"/>
      <c r="AG201" s="4"/>
      <c r="AH201" s="4"/>
      <c r="AI201" s="4"/>
      <c r="AJ201" s="76" t="str">
        <f>IF(E201="○",IF(COUNTA(E$13:E201)=1,"",",")&amp;D201,"")</f>
        <v/>
      </c>
      <c r="AK201" s="4"/>
      <c r="AL201" s="4"/>
      <c r="AM201" s="4"/>
      <c r="AN201" s="4"/>
      <c r="AO201" s="4"/>
      <c r="AP201" s="4"/>
      <c r="AQ201" s="4"/>
      <c r="AR201" s="4"/>
      <c r="AS201" s="76" t="str">
        <f>"COMMENT ON COLUMN "&amp;エンティティ一覧!$O$2&amp;"."&amp;D$8&amp;"."&amp;D201&amp;" IS '"&amp;C201&amp;"';"</f>
        <v>COMMENT ON COLUMN milscm_2023_009.sny_202310_annony_non_annony2.shikkan183_start_date IS 'C388_疾患開始日';</v>
      </c>
    </row>
    <row r="202" spans="1:45" s="25" customFormat="1">
      <c r="A202" s="4" t="s">
        <v>5335</v>
      </c>
      <c r="B202" s="21">
        <f t="shared" si="20"/>
        <v>190</v>
      </c>
      <c r="C202" s="13" t="str">
        <f t="shared" si="21"/>
        <v>C390_疾患開始日</v>
      </c>
      <c r="D202" s="13" t="s">
        <v>4952</v>
      </c>
      <c r="E202" s="8"/>
      <c r="F202" s="7" t="s">
        <v>4348</v>
      </c>
      <c r="G202" s="7" t="s">
        <v>25</v>
      </c>
      <c r="H202" s="58"/>
      <c r="I202" s="23"/>
      <c r="J202" s="24"/>
      <c r="M202" s="4"/>
      <c r="N202" s="76"/>
      <c r="O202" s="76"/>
      <c r="P202" s="76" t="str">
        <f t="shared" si="8"/>
        <v>,shikkan184_start_date</v>
      </c>
      <c r="Q202" s="76" t="str">
        <f t="shared" si="9"/>
        <v>DATE</v>
      </c>
      <c r="R202" s="76" t="str">
        <f t="shared" si="10"/>
        <v/>
      </c>
      <c r="S202" s="76" t="str">
        <f t="shared" si="11"/>
        <v/>
      </c>
      <c r="T202" s="76" t="str">
        <f t="shared" si="12"/>
        <v>-- C390_疾患開始日</v>
      </c>
      <c r="U202" s="4" t="str">
        <f t="shared" si="22"/>
        <v>, CASE WHEN shikkan_disp_name = 'C390' THEN min_shikkan_start_date ::DATE ELSE NULL END AS shikkan184_start_date</v>
      </c>
      <c r="V202" s="25" t="str">
        <f t="shared" si="23"/>
        <v>, max(shikkan184_start_date)</v>
      </c>
      <c r="AA202" s="4"/>
      <c r="AB202" s="4"/>
      <c r="AC202" s="4"/>
      <c r="AD202" s="4"/>
      <c r="AE202" s="4"/>
      <c r="AF202" s="4"/>
      <c r="AG202" s="4"/>
      <c r="AH202" s="4"/>
      <c r="AI202" s="4"/>
      <c r="AJ202" s="76" t="str">
        <f>IF(E202="○",IF(COUNTA(E$13:E202)=1,"",",")&amp;D202,"")</f>
        <v/>
      </c>
      <c r="AK202" s="4"/>
      <c r="AL202" s="4"/>
      <c r="AM202" s="4"/>
      <c r="AN202" s="4"/>
      <c r="AO202" s="4"/>
      <c r="AP202" s="4"/>
      <c r="AQ202" s="4"/>
      <c r="AR202" s="4"/>
      <c r="AS202" s="76" t="str">
        <f>"COMMENT ON COLUMN "&amp;エンティティ一覧!$O$2&amp;"."&amp;D$8&amp;"."&amp;D202&amp;" IS '"&amp;C202&amp;"';"</f>
        <v>COMMENT ON COLUMN milscm_2023_009.sny_202310_annony_non_annony2.shikkan184_start_date IS 'C390_疾患開始日';</v>
      </c>
    </row>
    <row r="203" spans="1:45" s="25" customFormat="1">
      <c r="A203" s="4" t="s">
        <v>5336</v>
      </c>
      <c r="B203" s="21">
        <f t="shared" si="20"/>
        <v>191</v>
      </c>
      <c r="C203" s="13" t="str">
        <f t="shared" si="21"/>
        <v>C398_疾患開始日</v>
      </c>
      <c r="D203" s="13" t="s">
        <v>4953</v>
      </c>
      <c r="E203" s="8"/>
      <c r="F203" s="7" t="s">
        <v>4348</v>
      </c>
      <c r="G203" s="7" t="s">
        <v>25</v>
      </c>
      <c r="H203" s="58"/>
      <c r="I203" s="23"/>
      <c r="J203" s="24"/>
      <c r="M203" s="4"/>
      <c r="N203" s="76"/>
      <c r="O203" s="76"/>
      <c r="P203" s="76" t="str">
        <f t="shared" si="8"/>
        <v>,shikkan185_start_date</v>
      </c>
      <c r="Q203" s="76" t="str">
        <f t="shared" si="9"/>
        <v>DATE</v>
      </c>
      <c r="R203" s="76" t="str">
        <f t="shared" si="10"/>
        <v/>
      </c>
      <c r="S203" s="76" t="str">
        <f t="shared" si="11"/>
        <v/>
      </c>
      <c r="T203" s="76" t="str">
        <f t="shared" si="12"/>
        <v>-- C398_疾患開始日</v>
      </c>
      <c r="U203" s="4" t="str">
        <f t="shared" si="22"/>
        <v>, CASE WHEN shikkan_disp_name = 'C398' THEN min_shikkan_start_date ::DATE ELSE NULL END AS shikkan185_start_date</v>
      </c>
      <c r="V203" s="25" t="str">
        <f t="shared" si="23"/>
        <v>, max(shikkan185_start_date)</v>
      </c>
      <c r="AA203" s="4"/>
      <c r="AB203" s="4"/>
      <c r="AC203" s="4"/>
      <c r="AD203" s="4"/>
      <c r="AE203" s="4"/>
      <c r="AF203" s="4"/>
      <c r="AG203" s="4"/>
      <c r="AH203" s="4"/>
      <c r="AI203" s="4"/>
      <c r="AJ203" s="76" t="str">
        <f>IF(E203="○",IF(COUNTA(E$13:E203)=1,"",",")&amp;D203,"")</f>
        <v/>
      </c>
      <c r="AK203" s="4"/>
      <c r="AL203" s="4"/>
      <c r="AM203" s="4"/>
      <c r="AN203" s="4"/>
      <c r="AO203" s="4"/>
      <c r="AP203" s="4"/>
      <c r="AQ203" s="4"/>
      <c r="AR203" s="4"/>
      <c r="AS203" s="76" t="str">
        <f>"COMMENT ON COLUMN "&amp;エンティティ一覧!$O$2&amp;"."&amp;D$8&amp;"."&amp;D203&amp;" IS '"&amp;C203&amp;"';"</f>
        <v>COMMENT ON COLUMN milscm_2023_009.sny_202310_annony_non_annony2.shikkan185_start_date IS 'C398_疾患開始日';</v>
      </c>
    </row>
    <row r="204" spans="1:45" s="25" customFormat="1">
      <c r="A204" s="4" t="s">
        <v>5337</v>
      </c>
      <c r="B204" s="21">
        <f t="shared" si="20"/>
        <v>192</v>
      </c>
      <c r="C204" s="13" t="str">
        <f t="shared" si="21"/>
        <v>C399_疾患開始日</v>
      </c>
      <c r="D204" s="13" t="s">
        <v>4954</v>
      </c>
      <c r="E204" s="8"/>
      <c r="F204" s="7" t="s">
        <v>4348</v>
      </c>
      <c r="G204" s="7" t="s">
        <v>25</v>
      </c>
      <c r="H204" s="58"/>
      <c r="I204" s="23"/>
      <c r="J204" s="24"/>
      <c r="M204" s="4"/>
      <c r="N204" s="76"/>
      <c r="O204" s="76"/>
      <c r="P204" s="76" t="str">
        <f t="shared" si="8"/>
        <v>,shikkan186_start_date</v>
      </c>
      <c r="Q204" s="76" t="str">
        <f t="shared" si="9"/>
        <v>DATE</v>
      </c>
      <c r="R204" s="76" t="str">
        <f t="shared" si="10"/>
        <v/>
      </c>
      <c r="S204" s="76" t="str">
        <f t="shared" si="11"/>
        <v/>
      </c>
      <c r="T204" s="76" t="str">
        <f t="shared" si="12"/>
        <v>-- C399_疾患開始日</v>
      </c>
      <c r="U204" s="4" t="str">
        <f t="shared" si="22"/>
        <v>, CASE WHEN shikkan_disp_name = 'C399' THEN min_shikkan_start_date ::DATE ELSE NULL END AS shikkan186_start_date</v>
      </c>
      <c r="V204" s="25" t="str">
        <f t="shared" si="23"/>
        <v>, max(shikkan186_start_date)</v>
      </c>
      <c r="AA204" s="4"/>
      <c r="AB204" s="4"/>
      <c r="AC204" s="4"/>
      <c r="AD204" s="4"/>
      <c r="AE204" s="4"/>
      <c r="AF204" s="4"/>
      <c r="AG204" s="4"/>
      <c r="AH204" s="4"/>
      <c r="AI204" s="4"/>
      <c r="AJ204" s="76" t="str">
        <f>IF(E204="○",IF(COUNTA(E$13:E204)=1,"",",")&amp;D204,"")</f>
        <v/>
      </c>
      <c r="AK204" s="4"/>
      <c r="AL204" s="4"/>
      <c r="AM204" s="4"/>
      <c r="AN204" s="4"/>
      <c r="AO204" s="4"/>
      <c r="AP204" s="4"/>
      <c r="AQ204" s="4"/>
      <c r="AR204" s="4"/>
      <c r="AS204" s="76" t="str">
        <f>"COMMENT ON COLUMN "&amp;エンティティ一覧!$O$2&amp;"."&amp;D$8&amp;"."&amp;D204&amp;" IS '"&amp;C204&amp;"';"</f>
        <v>COMMENT ON COLUMN milscm_2023_009.sny_202310_annony_non_annony2.shikkan186_start_date IS 'C399_疾患開始日';</v>
      </c>
    </row>
    <row r="205" spans="1:45" s="25" customFormat="1">
      <c r="A205" s="4" t="s">
        <v>5338</v>
      </c>
      <c r="B205" s="21">
        <f t="shared" si="20"/>
        <v>193</v>
      </c>
      <c r="C205" s="13" t="str">
        <f t="shared" si="21"/>
        <v>C400_疾患開始日</v>
      </c>
      <c r="D205" s="13" t="s">
        <v>4955</v>
      </c>
      <c r="E205" s="8"/>
      <c r="F205" s="7" t="s">
        <v>4348</v>
      </c>
      <c r="G205" s="7" t="s">
        <v>25</v>
      </c>
      <c r="H205" s="58"/>
      <c r="I205" s="23"/>
      <c r="J205" s="24"/>
      <c r="M205" s="4"/>
      <c r="N205" s="76"/>
      <c r="O205" s="76"/>
      <c r="P205" s="76" t="str">
        <f t="shared" si="8"/>
        <v>,shikkan187_start_date</v>
      </c>
      <c r="Q205" s="76" t="str">
        <f t="shared" si="9"/>
        <v>DATE</v>
      </c>
      <c r="R205" s="76" t="str">
        <f t="shared" si="10"/>
        <v/>
      </c>
      <c r="S205" s="76" t="str">
        <f t="shared" si="11"/>
        <v/>
      </c>
      <c r="T205" s="76" t="str">
        <f t="shared" si="12"/>
        <v>-- C400_疾患開始日</v>
      </c>
      <c r="U205" s="4" t="str">
        <f t="shared" si="22"/>
        <v>, CASE WHEN shikkan_disp_name = 'C400' THEN min_shikkan_start_date ::DATE ELSE NULL END AS shikkan187_start_date</v>
      </c>
      <c r="V205" s="25" t="str">
        <f t="shared" si="23"/>
        <v>, max(shikkan187_start_date)</v>
      </c>
      <c r="AA205" s="4"/>
      <c r="AB205" s="4"/>
      <c r="AC205" s="4"/>
      <c r="AD205" s="4"/>
      <c r="AE205" s="4"/>
      <c r="AF205" s="4"/>
      <c r="AG205" s="4"/>
      <c r="AH205" s="4"/>
      <c r="AI205" s="4"/>
      <c r="AJ205" s="76" t="str">
        <f>IF(E205="○",IF(COUNTA(E$13:E205)=1,"",",")&amp;D205,"")</f>
        <v/>
      </c>
      <c r="AK205" s="4"/>
      <c r="AL205" s="4"/>
      <c r="AM205" s="4"/>
      <c r="AN205" s="4"/>
      <c r="AO205" s="4"/>
      <c r="AP205" s="4"/>
      <c r="AQ205" s="4"/>
      <c r="AR205" s="4"/>
      <c r="AS205" s="76" t="str">
        <f>"COMMENT ON COLUMN "&amp;エンティティ一覧!$O$2&amp;"."&amp;D$8&amp;"."&amp;D205&amp;" IS '"&amp;C205&amp;"';"</f>
        <v>COMMENT ON COLUMN milscm_2023_009.sny_202310_annony_non_annony2.shikkan187_start_date IS 'C400_疾患開始日';</v>
      </c>
    </row>
    <row r="206" spans="1:45" s="25" customFormat="1">
      <c r="A206" s="4" t="s">
        <v>5339</v>
      </c>
      <c r="B206" s="21">
        <f t="shared" si="20"/>
        <v>194</v>
      </c>
      <c r="C206" s="13" t="str">
        <f t="shared" si="21"/>
        <v>C401_疾患開始日</v>
      </c>
      <c r="D206" s="13" t="s">
        <v>4956</v>
      </c>
      <c r="E206" s="8"/>
      <c r="F206" s="7" t="s">
        <v>4348</v>
      </c>
      <c r="G206" s="7" t="s">
        <v>25</v>
      </c>
      <c r="H206" s="58"/>
      <c r="I206" s="23"/>
      <c r="J206" s="24"/>
      <c r="M206" s="4"/>
      <c r="N206" s="76"/>
      <c r="O206" s="76"/>
      <c r="P206" s="76" t="str">
        <f t="shared" si="8"/>
        <v>,shikkan188_start_date</v>
      </c>
      <c r="Q206" s="76" t="str">
        <f t="shared" si="9"/>
        <v>DATE</v>
      </c>
      <c r="R206" s="76" t="str">
        <f t="shared" si="10"/>
        <v/>
      </c>
      <c r="S206" s="76" t="str">
        <f t="shared" si="11"/>
        <v/>
      </c>
      <c r="T206" s="76" t="str">
        <f t="shared" si="12"/>
        <v>-- C401_疾患開始日</v>
      </c>
      <c r="U206" s="4" t="str">
        <f t="shared" si="22"/>
        <v>, CASE WHEN shikkan_disp_name = 'C401' THEN min_shikkan_start_date ::DATE ELSE NULL END AS shikkan188_start_date</v>
      </c>
      <c r="V206" s="25" t="str">
        <f t="shared" si="23"/>
        <v>, max(shikkan188_start_date)</v>
      </c>
      <c r="AA206" s="4"/>
      <c r="AB206" s="4"/>
      <c r="AC206" s="4"/>
      <c r="AD206" s="4"/>
      <c r="AE206" s="4"/>
      <c r="AF206" s="4"/>
      <c r="AG206" s="4"/>
      <c r="AH206" s="4"/>
      <c r="AI206" s="4"/>
      <c r="AJ206" s="76" t="str">
        <f>IF(E206="○",IF(COUNTA(E$13:E206)=1,"",",")&amp;D206,"")</f>
        <v/>
      </c>
      <c r="AK206" s="4"/>
      <c r="AL206" s="4"/>
      <c r="AM206" s="4"/>
      <c r="AN206" s="4"/>
      <c r="AO206" s="4"/>
      <c r="AP206" s="4"/>
      <c r="AQ206" s="4"/>
      <c r="AR206" s="4"/>
      <c r="AS206" s="76" t="str">
        <f>"COMMENT ON COLUMN "&amp;エンティティ一覧!$O$2&amp;"."&amp;D$8&amp;"."&amp;D206&amp;" IS '"&amp;C206&amp;"';"</f>
        <v>COMMENT ON COLUMN milscm_2023_009.sny_202310_annony_non_annony2.shikkan188_start_date IS 'C401_疾患開始日';</v>
      </c>
    </row>
    <row r="207" spans="1:45" s="25" customFormat="1">
      <c r="A207" s="4" t="s">
        <v>5340</v>
      </c>
      <c r="B207" s="21">
        <f t="shared" si="20"/>
        <v>195</v>
      </c>
      <c r="C207" s="13" t="str">
        <f t="shared" si="21"/>
        <v>C402_疾患開始日</v>
      </c>
      <c r="D207" s="13" t="s">
        <v>4957</v>
      </c>
      <c r="E207" s="8"/>
      <c r="F207" s="7" t="s">
        <v>4348</v>
      </c>
      <c r="G207" s="7" t="s">
        <v>25</v>
      </c>
      <c r="H207" s="58"/>
      <c r="I207" s="23"/>
      <c r="J207" s="24"/>
      <c r="M207" s="4"/>
      <c r="N207" s="76"/>
      <c r="O207" s="76"/>
      <c r="P207" s="76" t="str">
        <f t="shared" si="8"/>
        <v>,shikkan189_start_date</v>
      </c>
      <c r="Q207" s="76" t="str">
        <f t="shared" si="9"/>
        <v>DATE</v>
      </c>
      <c r="R207" s="76" t="str">
        <f t="shared" si="10"/>
        <v/>
      </c>
      <c r="S207" s="76" t="str">
        <f t="shared" si="11"/>
        <v/>
      </c>
      <c r="T207" s="76" t="str">
        <f t="shared" si="12"/>
        <v>-- C402_疾患開始日</v>
      </c>
      <c r="U207" s="4" t="str">
        <f t="shared" si="22"/>
        <v>, CASE WHEN shikkan_disp_name = 'C402' THEN min_shikkan_start_date ::DATE ELSE NULL END AS shikkan189_start_date</v>
      </c>
      <c r="V207" s="25" t="str">
        <f t="shared" si="23"/>
        <v>, max(shikkan189_start_date)</v>
      </c>
      <c r="AA207" s="4"/>
      <c r="AB207" s="4"/>
      <c r="AC207" s="4"/>
      <c r="AD207" s="4"/>
      <c r="AE207" s="4"/>
      <c r="AF207" s="4"/>
      <c r="AG207" s="4"/>
      <c r="AH207" s="4"/>
      <c r="AI207" s="4"/>
      <c r="AJ207" s="76" t="str">
        <f>IF(E207="○",IF(COUNTA(E$13:E207)=1,"",",")&amp;D207,"")</f>
        <v/>
      </c>
      <c r="AK207" s="4"/>
      <c r="AL207" s="4"/>
      <c r="AM207" s="4"/>
      <c r="AN207" s="4"/>
      <c r="AO207" s="4"/>
      <c r="AP207" s="4"/>
      <c r="AQ207" s="4"/>
      <c r="AR207" s="4"/>
      <c r="AS207" s="76" t="str">
        <f>"COMMENT ON COLUMN "&amp;エンティティ一覧!$O$2&amp;"."&amp;D$8&amp;"."&amp;D207&amp;" IS '"&amp;C207&amp;"';"</f>
        <v>COMMENT ON COLUMN milscm_2023_009.sny_202310_annony_non_annony2.shikkan189_start_date IS 'C402_疾患開始日';</v>
      </c>
    </row>
    <row r="208" spans="1:45" s="25" customFormat="1">
      <c r="A208" s="4" t="s">
        <v>5341</v>
      </c>
      <c r="B208" s="21">
        <f t="shared" si="20"/>
        <v>196</v>
      </c>
      <c r="C208" s="13" t="str">
        <f t="shared" si="21"/>
        <v>C403_疾患開始日</v>
      </c>
      <c r="D208" s="13" t="s">
        <v>4958</v>
      </c>
      <c r="E208" s="8"/>
      <c r="F208" s="7" t="s">
        <v>4348</v>
      </c>
      <c r="G208" s="7" t="s">
        <v>25</v>
      </c>
      <c r="H208" s="58"/>
      <c r="I208" s="23"/>
      <c r="J208" s="24"/>
      <c r="M208" s="4"/>
      <c r="N208" s="76"/>
      <c r="O208" s="76"/>
      <c r="P208" s="76" t="str">
        <f t="shared" si="8"/>
        <v>,shikkan190_start_date</v>
      </c>
      <c r="Q208" s="76" t="str">
        <f t="shared" si="9"/>
        <v>DATE</v>
      </c>
      <c r="R208" s="76" t="str">
        <f t="shared" si="10"/>
        <v/>
      </c>
      <c r="S208" s="76" t="str">
        <f t="shared" si="11"/>
        <v/>
      </c>
      <c r="T208" s="76" t="str">
        <f t="shared" si="12"/>
        <v>-- C403_疾患開始日</v>
      </c>
      <c r="U208" s="4" t="str">
        <f t="shared" si="22"/>
        <v>, CASE WHEN shikkan_disp_name = 'C403' THEN min_shikkan_start_date ::DATE ELSE NULL END AS shikkan190_start_date</v>
      </c>
      <c r="V208" s="25" t="str">
        <f t="shared" si="23"/>
        <v>, max(shikkan190_start_date)</v>
      </c>
      <c r="AA208" s="4"/>
      <c r="AB208" s="4"/>
      <c r="AC208" s="4"/>
      <c r="AD208" s="4"/>
      <c r="AE208" s="4"/>
      <c r="AF208" s="4"/>
      <c r="AG208" s="4"/>
      <c r="AH208" s="4"/>
      <c r="AI208" s="4"/>
      <c r="AJ208" s="76" t="str">
        <f>IF(E208="○",IF(COUNTA(E$13:E208)=1,"",",")&amp;D208,"")</f>
        <v/>
      </c>
      <c r="AK208" s="4"/>
      <c r="AL208" s="4"/>
      <c r="AM208" s="4"/>
      <c r="AN208" s="4"/>
      <c r="AO208" s="4"/>
      <c r="AP208" s="4"/>
      <c r="AQ208" s="4"/>
      <c r="AR208" s="4"/>
      <c r="AS208" s="76" t="str">
        <f>"COMMENT ON COLUMN "&amp;エンティティ一覧!$O$2&amp;"."&amp;D$8&amp;"."&amp;D208&amp;" IS '"&amp;C208&amp;"';"</f>
        <v>COMMENT ON COLUMN milscm_2023_009.sny_202310_annony_non_annony2.shikkan190_start_date IS 'C403_疾患開始日';</v>
      </c>
    </row>
    <row r="209" spans="1:45" s="25" customFormat="1">
      <c r="A209" s="4" t="s">
        <v>5342</v>
      </c>
      <c r="B209" s="21">
        <f t="shared" si="20"/>
        <v>197</v>
      </c>
      <c r="C209" s="13" t="str">
        <f t="shared" si="21"/>
        <v>C408_疾患開始日</v>
      </c>
      <c r="D209" s="13" t="s">
        <v>4959</v>
      </c>
      <c r="E209" s="8"/>
      <c r="F209" s="7" t="s">
        <v>4348</v>
      </c>
      <c r="G209" s="7" t="s">
        <v>25</v>
      </c>
      <c r="H209" s="58"/>
      <c r="I209" s="23"/>
      <c r="J209" s="24"/>
      <c r="M209" s="4"/>
      <c r="N209" s="76"/>
      <c r="O209" s="76"/>
      <c r="P209" s="76" t="str">
        <f t="shared" si="8"/>
        <v>,shikkan191_start_date</v>
      </c>
      <c r="Q209" s="76" t="str">
        <f t="shared" si="9"/>
        <v>DATE</v>
      </c>
      <c r="R209" s="76" t="str">
        <f t="shared" si="10"/>
        <v/>
      </c>
      <c r="S209" s="76" t="str">
        <f t="shared" si="11"/>
        <v/>
      </c>
      <c r="T209" s="76" t="str">
        <f t="shared" si="12"/>
        <v>-- C408_疾患開始日</v>
      </c>
      <c r="U209" s="4" t="str">
        <f t="shared" si="22"/>
        <v>, CASE WHEN shikkan_disp_name = 'C408' THEN min_shikkan_start_date ::DATE ELSE NULL END AS shikkan191_start_date</v>
      </c>
      <c r="V209" s="25" t="str">
        <f t="shared" si="23"/>
        <v>, max(shikkan191_start_date)</v>
      </c>
      <c r="AA209" s="4"/>
      <c r="AB209" s="4"/>
      <c r="AC209" s="4"/>
      <c r="AD209" s="4"/>
      <c r="AE209" s="4"/>
      <c r="AF209" s="4"/>
      <c r="AG209" s="4"/>
      <c r="AH209" s="4"/>
      <c r="AI209" s="4"/>
      <c r="AJ209" s="76" t="str">
        <f>IF(E209="○",IF(COUNTA(E$13:E209)=1,"",",")&amp;D209,"")</f>
        <v/>
      </c>
      <c r="AK209" s="4"/>
      <c r="AL209" s="4"/>
      <c r="AM209" s="4"/>
      <c r="AN209" s="4"/>
      <c r="AO209" s="4"/>
      <c r="AP209" s="4"/>
      <c r="AQ209" s="4"/>
      <c r="AR209" s="4"/>
      <c r="AS209" s="76" t="str">
        <f>"COMMENT ON COLUMN "&amp;エンティティ一覧!$O$2&amp;"."&amp;D$8&amp;"."&amp;D209&amp;" IS '"&amp;C209&amp;"';"</f>
        <v>COMMENT ON COLUMN milscm_2023_009.sny_202310_annony_non_annony2.shikkan191_start_date IS 'C408_疾患開始日';</v>
      </c>
    </row>
    <row r="210" spans="1:45" s="25" customFormat="1">
      <c r="A210" s="4" t="s">
        <v>5343</v>
      </c>
      <c r="B210" s="21">
        <f t="shared" si="20"/>
        <v>198</v>
      </c>
      <c r="C210" s="13" t="str">
        <f t="shared" si="21"/>
        <v>C409_疾患開始日</v>
      </c>
      <c r="D210" s="13" t="s">
        <v>4960</v>
      </c>
      <c r="E210" s="8"/>
      <c r="F210" s="7" t="s">
        <v>4348</v>
      </c>
      <c r="G210" s="7" t="s">
        <v>25</v>
      </c>
      <c r="H210" s="58"/>
      <c r="I210" s="23"/>
      <c r="J210" s="24"/>
      <c r="M210" s="4"/>
      <c r="N210" s="76"/>
      <c r="O210" s="76"/>
      <c r="P210" s="76" t="str">
        <f t="shared" si="8"/>
        <v>,shikkan192_start_date</v>
      </c>
      <c r="Q210" s="76" t="str">
        <f t="shared" si="9"/>
        <v>DATE</v>
      </c>
      <c r="R210" s="76" t="str">
        <f t="shared" si="10"/>
        <v/>
      </c>
      <c r="S210" s="76" t="str">
        <f t="shared" si="11"/>
        <v/>
      </c>
      <c r="T210" s="76" t="str">
        <f t="shared" si="12"/>
        <v>-- C409_疾患開始日</v>
      </c>
      <c r="U210" s="4" t="str">
        <f t="shared" si="22"/>
        <v>, CASE WHEN shikkan_disp_name = 'C409' THEN min_shikkan_start_date ::DATE ELSE NULL END AS shikkan192_start_date</v>
      </c>
      <c r="V210" s="25" t="str">
        <f t="shared" si="23"/>
        <v>, max(shikkan192_start_date)</v>
      </c>
      <c r="AA210" s="4"/>
      <c r="AB210" s="4"/>
      <c r="AC210" s="4"/>
      <c r="AD210" s="4"/>
      <c r="AE210" s="4"/>
      <c r="AF210" s="4"/>
      <c r="AG210" s="4"/>
      <c r="AH210" s="4"/>
      <c r="AI210" s="4"/>
      <c r="AJ210" s="76" t="str">
        <f>IF(E210="○",IF(COUNTA(E$13:E210)=1,"",",")&amp;D210,"")</f>
        <v/>
      </c>
      <c r="AK210" s="4"/>
      <c r="AL210" s="4"/>
      <c r="AM210" s="4"/>
      <c r="AN210" s="4"/>
      <c r="AO210" s="4"/>
      <c r="AP210" s="4"/>
      <c r="AQ210" s="4"/>
      <c r="AR210" s="4"/>
      <c r="AS210" s="76" t="str">
        <f>"COMMENT ON COLUMN "&amp;エンティティ一覧!$O$2&amp;"."&amp;D$8&amp;"."&amp;D210&amp;" IS '"&amp;C210&amp;"';"</f>
        <v>COMMENT ON COLUMN milscm_2023_009.sny_202310_annony_non_annony2.shikkan192_start_date IS 'C409_疾患開始日';</v>
      </c>
    </row>
    <row r="211" spans="1:45" s="25" customFormat="1">
      <c r="A211" s="4" t="s">
        <v>5344</v>
      </c>
      <c r="B211" s="21">
        <f t="shared" si="20"/>
        <v>199</v>
      </c>
      <c r="C211" s="13" t="str">
        <f t="shared" si="21"/>
        <v>C410_疾患開始日</v>
      </c>
      <c r="D211" s="13" t="s">
        <v>4961</v>
      </c>
      <c r="E211" s="8"/>
      <c r="F211" s="7" t="s">
        <v>4348</v>
      </c>
      <c r="G211" s="7" t="s">
        <v>99</v>
      </c>
      <c r="H211" s="58"/>
      <c r="I211" s="23"/>
      <c r="J211" s="24"/>
      <c r="M211" s="4"/>
      <c r="N211" s="76"/>
      <c r="O211" s="76"/>
      <c r="P211" s="76" t="str">
        <f t="shared" si="8"/>
        <v>,shikkan193_start_date</v>
      </c>
      <c r="Q211" s="76" t="str">
        <f t="shared" si="9"/>
        <v>DATE</v>
      </c>
      <c r="R211" s="76" t="str">
        <f t="shared" si="10"/>
        <v/>
      </c>
      <c r="S211" s="76" t="str">
        <f t="shared" si="11"/>
        <v/>
      </c>
      <c r="T211" s="76" t="str">
        <f t="shared" si="12"/>
        <v>-- C410_疾患開始日</v>
      </c>
      <c r="U211" s="4" t="str">
        <f t="shared" si="22"/>
        <v>, CASE WHEN shikkan_disp_name = 'C410' THEN min_shikkan_start_date ::DATE ELSE NULL END AS shikkan193_start_date</v>
      </c>
      <c r="V211" s="25" t="str">
        <f t="shared" si="23"/>
        <v>, max(shikkan193_start_date)</v>
      </c>
      <c r="AA211" s="4"/>
      <c r="AB211" s="4"/>
      <c r="AC211" s="4"/>
      <c r="AD211" s="4"/>
      <c r="AE211" s="4"/>
      <c r="AF211" s="4"/>
      <c r="AG211" s="4"/>
      <c r="AH211" s="4"/>
      <c r="AI211" s="4"/>
      <c r="AJ211" s="76" t="str">
        <f>IF(E211="○",IF(COUNTA(E$13:E211)=1,"",",")&amp;D211,"")</f>
        <v/>
      </c>
      <c r="AK211" s="4"/>
      <c r="AL211" s="4"/>
      <c r="AM211" s="4"/>
      <c r="AN211" s="4"/>
      <c r="AO211" s="4"/>
      <c r="AP211" s="4"/>
      <c r="AQ211" s="4"/>
      <c r="AR211" s="4"/>
      <c r="AS211" s="76" t="str">
        <f>"COMMENT ON COLUMN "&amp;エンティティ一覧!$O$2&amp;"."&amp;D$8&amp;"."&amp;D211&amp;" IS '"&amp;C211&amp;"';"</f>
        <v>COMMENT ON COLUMN milscm_2023_009.sny_202310_annony_non_annony2.shikkan193_start_date IS 'C410_疾患開始日';</v>
      </c>
    </row>
    <row r="212" spans="1:45" s="25" customFormat="1">
      <c r="A212" s="4" t="s">
        <v>5345</v>
      </c>
      <c r="B212" s="21">
        <f t="shared" ref="B212:B275" si="24">ROW()-12</f>
        <v>200</v>
      </c>
      <c r="C212" s="13" t="str">
        <f t="shared" ref="C212:C275" si="25">A212&amp;"_疾患開始日"</f>
        <v>C411_疾患開始日</v>
      </c>
      <c r="D212" s="13" t="s">
        <v>4962</v>
      </c>
      <c r="E212" s="8"/>
      <c r="F212" s="7" t="s">
        <v>4348</v>
      </c>
      <c r="G212" s="7" t="s">
        <v>25</v>
      </c>
      <c r="H212" s="58"/>
      <c r="I212" s="23"/>
      <c r="J212" s="24"/>
      <c r="M212" s="4"/>
      <c r="N212" s="76"/>
      <c r="O212" s="76"/>
      <c r="P212" s="76" t="str">
        <f t="shared" si="8"/>
        <v>,shikkan194_start_date</v>
      </c>
      <c r="Q212" s="76" t="str">
        <f t="shared" si="9"/>
        <v>DATE</v>
      </c>
      <c r="R212" s="76" t="str">
        <f t="shared" si="10"/>
        <v/>
      </c>
      <c r="S212" s="76" t="str">
        <f t="shared" si="11"/>
        <v/>
      </c>
      <c r="T212" s="76" t="str">
        <f t="shared" si="12"/>
        <v>-- C411_疾患開始日</v>
      </c>
      <c r="U212" s="4" t="str">
        <f t="shared" ref="U212:U275" si="26">", CASE WHEN shikkan_disp_name = '"&amp;A212&amp;"' THEN min_shikkan_start_date ::DATE ELSE NULL END AS "&amp;D212</f>
        <v>, CASE WHEN shikkan_disp_name = 'C411' THEN min_shikkan_start_date ::DATE ELSE NULL END AS shikkan194_start_date</v>
      </c>
      <c r="V212" s="25" t="str">
        <f t="shared" ref="V212:V275" si="27">", max("&amp;D212&amp;")"</f>
        <v>, max(shikkan194_start_date)</v>
      </c>
      <c r="AA212" s="4"/>
      <c r="AB212" s="4"/>
      <c r="AC212" s="4"/>
      <c r="AD212" s="4"/>
      <c r="AE212" s="4"/>
      <c r="AF212" s="4"/>
      <c r="AG212" s="4"/>
      <c r="AH212" s="4"/>
      <c r="AI212" s="4"/>
      <c r="AJ212" s="76" t="str">
        <f>IF(E212="○",IF(COUNTA(E$13:E212)=1,"",",")&amp;D212,"")</f>
        <v/>
      </c>
      <c r="AK212" s="4"/>
      <c r="AL212" s="4"/>
      <c r="AM212" s="4"/>
      <c r="AN212" s="4"/>
      <c r="AO212" s="4"/>
      <c r="AP212" s="4"/>
      <c r="AQ212" s="4"/>
      <c r="AR212" s="4"/>
      <c r="AS212" s="76" t="str">
        <f>"COMMENT ON COLUMN "&amp;エンティティ一覧!$O$2&amp;"."&amp;D$8&amp;"."&amp;D212&amp;" IS '"&amp;C212&amp;"';"</f>
        <v>COMMENT ON COLUMN milscm_2023_009.sny_202310_annony_non_annony2.shikkan194_start_date IS 'C411_疾患開始日';</v>
      </c>
    </row>
    <row r="213" spans="1:45" s="25" customFormat="1">
      <c r="A213" s="4" t="s">
        <v>5346</v>
      </c>
      <c r="B213" s="21">
        <f t="shared" si="24"/>
        <v>201</v>
      </c>
      <c r="C213" s="13" t="str">
        <f t="shared" si="25"/>
        <v>C412_疾患開始日</v>
      </c>
      <c r="D213" s="13" t="s">
        <v>4963</v>
      </c>
      <c r="E213" s="8"/>
      <c r="F213" s="7" t="s">
        <v>4348</v>
      </c>
      <c r="G213" s="7" t="s">
        <v>25</v>
      </c>
      <c r="H213" s="58"/>
      <c r="I213" s="23"/>
      <c r="J213" s="24"/>
      <c r="M213" s="4"/>
      <c r="N213" s="76"/>
      <c r="O213" s="76"/>
      <c r="P213" s="76" t="str">
        <f t="shared" si="8"/>
        <v>,shikkan195_start_date</v>
      </c>
      <c r="Q213" s="76" t="str">
        <f t="shared" si="9"/>
        <v>DATE</v>
      </c>
      <c r="R213" s="76" t="str">
        <f t="shared" si="10"/>
        <v/>
      </c>
      <c r="S213" s="76" t="str">
        <f t="shared" si="11"/>
        <v/>
      </c>
      <c r="T213" s="76" t="str">
        <f t="shared" si="12"/>
        <v>-- C412_疾患開始日</v>
      </c>
      <c r="U213" s="4" t="str">
        <f t="shared" si="26"/>
        <v>, CASE WHEN shikkan_disp_name = 'C412' THEN min_shikkan_start_date ::DATE ELSE NULL END AS shikkan195_start_date</v>
      </c>
      <c r="V213" s="25" t="str">
        <f t="shared" si="27"/>
        <v>, max(shikkan195_start_date)</v>
      </c>
      <c r="AA213" s="4"/>
      <c r="AB213" s="4"/>
      <c r="AC213" s="4"/>
      <c r="AD213" s="4"/>
      <c r="AE213" s="4"/>
      <c r="AF213" s="4"/>
      <c r="AG213" s="4"/>
      <c r="AH213" s="4"/>
      <c r="AI213" s="4"/>
      <c r="AJ213" s="76" t="str">
        <f>IF(E213="○",IF(COUNTA(E$13:E213)=1,"",",")&amp;D213,"")</f>
        <v/>
      </c>
      <c r="AK213" s="4"/>
      <c r="AL213" s="4"/>
      <c r="AM213" s="4"/>
      <c r="AN213" s="4"/>
      <c r="AO213" s="4"/>
      <c r="AP213" s="4"/>
      <c r="AQ213" s="4"/>
      <c r="AR213" s="4"/>
      <c r="AS213" s="76" t="str">
        <f>"COMMENT ON COLUMN "&amp;エンティティ一覧!$O$2&amp;"."&amp;D$8&amp;"."&amp;D213&amp;" IS '"&amp;C213&amp;"';"</f>
        <v>COMMENT ON COLUMN milscm_2023_009.sny_202310_annony_non_annony2.shikkan195_start_date IS 'C412_疾患開始日';</v>
      </c>
    </row>
    <row r="214" spans="1:45" s="25" customFormat="1">
      <c r="A214" s="4" t="s">
        <v>5347</v>
      </c>
      <c r="B214" s="21">
        <f t="shared" si="24"/>
        <v>202</v>
      </c>
      <c r="C214" s="13" t="str">
        <f t="shared" si="25"/>
        <v>C413_疾患開始日</v>
      </c>
      <c r="D214" s="13" t="s">
        <v>4964</v>
      </c>
      <c r="E214" s="8"/>
      <c r="F214" s="7" t="s">
        <v>4348</v>
      </c>
      <c r="G214" s="7" t="s">
        <v>25</v>
      </c>
      <c r="H214" s="58"/>
      <c r="I214" s="23"/>
      <c r="J214" s="24"/>
      <c r="M214" s="4"/>
      <c r="N214" s="76"/>
      <c r="O214" s="76"/>
      <c r="P214" s="76" t="str">
        <f t="shared" si="8"/>
        <v>,shikkan196_start_date</v>
      </c>
      <c r="Q214" s="76" t="str">
        <f t="shared" si="9"/>
        <v>DATE</v>
      </c>
      <c r="R214" s="76" t="str">
        <f t="shared" si="10"/>
        <v/>
      </c>
      <c r="S214" s="76" t="str">
        <f t="shared" si="11"/>
        <v/>
      </c>
      <c r="T214" s="76" t="str">
        <f t="shared" si="12"/>
        <v>-- C413_疾患開始日</v>
      </c>
      <c r="U214" s="4" t="str">
        <f t="shared" si="26"/>
        <v>, CASE WHEN shikkan_disp_name = 'C413' THEN min_shikkan_start_date ::DATE ELSE NULL END AS shikkan196_start_date</v>
      </c>
      <c r="V214" s="25" t="str">
        <f t="shared" si="27"/>
        <v>, max(shikkan196_start_date)</v>
      </c>
      <c r="AA214" s="4"/>
      <c r="AB214" s="4"/>
      <c r="AC214" s="4"/>
      <c r="AD214" s="4"/>
      <c r="AE214" s="4"/>
      <c r="AF214" s="4"/>
      <c r="AG214" s="4"/>
      <c r="AH214" s="4"/>
      <c r="AI214" s="4"/>
      <c r="AJ214" s="76" t="str">
        <f>IF(E214="○",IF(COUNTA(E$13:E214)=1,"",",")&amp;D214,"")</f>
        <v/>
      </c>
      <c r="AK214" s="4"/>
      <c r="AL214" s="4"/>
      <c r="AM214" s="4"/>
      <c r="AN214" s="4"/>
      <c r="AO214" s="4"/>
      <c r="AP214" s="4"/>
      <c r="AQ214" s="4"/>
      <c r="AR214" s="4"/>
      <c r="AS214" s="76" t="str">
        <f>"COMMENT ON COLUMN "&amp;エンティティ一覧!$O$2&amp;"."&amp;D$8&amp;"."&amp;D214&amp;" IS '"&amp;C214&amp;"';"</f>
        <v>COMMENT ON COLUMN milscm_2023_009.sny_202310_annony_non_annony2.shikkan196_start_date IS 'C413_疾患開始日';</v>
      </c>
    </row>
    <row r="215" spans="1:45" s="25" customFormat="1">
      <c r="A215" s="4" t="s">
        <v>5348</v>
      </c>
      <c r="B215" s="21">
        <f t="shared" si="24"/>
        <v>203</v>
      </c>
      <c r="C215" s="13" t="str">
        <f t="shared" si="25"/>
        <v>C414_疾患開始日</v>
      </c>
      <c r="D215" s="13" t="s">
        <v>4965</v>
      </c>
      <c r="E215" s="8"/>
      <c r="F215" s="7" t="s">
        <v>4348</v>
      </c>
      <c r="G215" s="7" t="s">
        <v>25</v>
      </c>
      <c r="H215" s="58"/>
      <c r="I215" s="23"/>
      <c r="J215" s="24"/>
      <c r="M215" s="4"/>
      <c r="N215" s="76"/>
      <c r="O215" s="76"/>
      <c r="P215" s="76" t="str">
        <f t="shared" si="8"/>
        <v>,shikkan197_start_date</v>
      </c>
      <c r="Q215" s="76" t="str">
        <f t="shared" si="9"/>
        <v>DATE</v>
      </c>
      <c r="R215" s="76" t="str">
        <f t="shared" si="10"/>
        <v/>
      </c>
      <c r="S215" s="76" t="str">
        <f t="shared" si="11"/>
        <v/>
      </c>
      <c r="T215" s="76" t="str">
        <f t="shared" si="12"/>
        <v>-- C414_疾患開始日</v>
      </c>
      <c r="U215" s="4" t="str">
        <f t="shared" si="26"/>
        <v>, CASE WHEN shikkan_disp_name = 'C414' THEN min_shikkan_start_date ::DATE ELSE NULL END AS shikkan197_start_date</v>
      </c>
      <c r="V215" s="25" t="str">
        <f t="shared" si="27"/>
        <v>, max(shikkan197_start_date)</v>
      </c>
      <c r="AA215" s="4"/>
      <c r="AB215" s="4"/>
      <c r="AC215" s="4"/>
      <c r="AD215" s="4"/>
      <c r="AE215" s="4"/>
      <c r="AF215" s="4"/>
      <c r="AG215" s="4"/>
      <c r="AH215" s="4"/>
      <c r="AI215" s="4"/>
      <c r="AJ215" s="76" t="str">
        <f>IF(E215="○",IF(COUNTA(E$13:E215)=1,"",",")&amp;D215,"")</f>
        <v/>
      </c>
      <c r="AK215" s="4"/>
      <c r="AL215" s="4"/>
      <c r="AM215" s="4"/>
      <c r="AN215" s="4"/>
      <c r="AO215" s="4"/>
      <c r="AP215" s="4"/>
      <c r="AQ215" s="4"/>
      <c r="AR215" s="4"/>
      <c r="AS215" s="76" t="str">
        <f>"COMMENT ON COLUMN "&amp;エンティティ一覧!$O$2&amp;"."&amp;D$8&amp;"."&amp;D215&amp;" IS '"&amp;C215&amp;"';"</f>
        <v>COMMENT ON COLUMN milscm_2023_009.sny_202310_annony_non_annony2.shikkan197_start_date IS 'C414_疾患開始日';</v>
      </c>
    </row>
    <row r="216" spans="1:45" s="25" customFormat="1">
      <c r="A216" s="4" t="s">
        <v>5349</v>
      </c>
      <c r="B216" s="21">
        <f t="shared" si="24"/>
        <v>204</v>
      </c>
      <c r="C216" s="13" t="str">
        <f t="shared" si="25"/>
        <v>C418_疾患開始日</v>
      </c>
      <c r="D216" s="13" t="s">
        <v>4966</v>
      </c>
      <c r="E216" s="8"/>
      <c r="F216" s="7" t="s">
        <v>4348</v>
      </c>
      <c r="G216" s="7" t="s">
        <v>25</v>
      </c>
      <c r="H216" s="58"/>
      <c r="I216" s="23"/>
      <c r="J216" s="24"/>
      <c r="M216" s="4"/>
      <c r="N216" s="76"/>
      <c r="O216" s="76"/>
      <c r="P216" s="76" t="str">
        <f t="shared" si="8"/>
        <v>,shikkan198_start_date</v>
      </c>
      <c r="Q216" s="76" t="str">
        <f t="shared" si="9"/>
        <v>DATE</v>
      </c>
      <c r="R216" s="76" t="str">
        <f t="shared" si="10"/>
        <v/>
      </c>
      <c r="S216" s="76" t="str">
        <f t="shared" si="11"/>
        <v/>
      </c>
      <c r="T216" s="76" t="str">
        <f t="shared" si="12"/>
        <v>-- C418_疾患開始日</v>
      </c>
      <c r="U216" s="4" t="str">
        <f t="shared" si="26"/>
        <v>, CASE WHEN shikkan_disp_name = 'C418' THEN min_shikkan_start_date ::DATE ELSE NULL END AS shikkan198_start_date</v>
      </c>
      <c r="V216" s="25" t="str">
        <f t="shared" si="27"/>
        <v>, max(shikkan198_start_date)</v>
      </c>
      <c r="AA216" s="4"/>
      <c r="AB216" s="4"/>
      <c r="AC216" s="4"/>
      <c r="AD216" s="4"/>
      <c r="AE216" s="4"/>
      <c r="AF216" s="4"/>
      <c r="AG216" s="4"/>
      <c r="AH216" s="4"/>
      <c r="AI216" s="4"/>
      <c r="AJ216" s="76" t="str">
        <f>IF(E216="○",IF(COUNTA(E$13:E216)=1,"",",")&amp;D216,"")</f>
        <v/>
      </c>
      <c r="AK216" s="4"/>
      <c r="AL216" s="4"/>
      <c r="AM216" s="4"/>
      <c r="AN216" s="4"/>
      <c r="AO216" s="4"/>
      <c r="AP216" s="4"/>
      <c r="AQ216" s="4"/>
      <c r="AR216" s="4"/>
      <c r="AS216" s="76" t="str">
        <f>"COMMENT ON COLUMN "&amp;エンティティ一覧!$O$2&amp;"."&amp;D$8&amp;"."&amp;D216&amp;" IS '"&amp;C216&amp;"';"</f>
        <v>COMMENT ON COLUMN milscm_2023_009.sny_202310_annony_non_annony2.shikkan198_start_date IS 'C418_疾患開始日';</v>
      </c>
    </row>
    <row r="217" spans="1:45" s="25" customFormat="1">
      <c r="A217" s="4" t="s">
        <v>5350</v>
      </c>
      <c r="B217" s="21">
        <f t="shared" si="24"/>
        <v>205</v>
      </c>
      <c r="C217" s="13" t="str">
        <f t="shared" si="25"/>
        <v>C419_疾患開始日</v>
      </c>
      <c r="D217" s="13" t="s">
        <v>4967</v>
      </c>
      <c r="E217" s="8"/>
      <c r="F217" s="7" t="s">
        <v>4348</v>
      </c>
      <c r="G217" s="7" t="s">
        <v>25</v>
      </c>
      <c r="H217" s="58"/>
      <c r="I217" s="23"/>
      <c r="J217" s="24"/>
      <c r="M217" s="4"/>
      <c r="N217" s="76"/>
      <c r="O217" s="76"/>
      <c r="P217" s="76" t="str">
        <f t="shared" si="8"/>
        <v>,shikkan199_start_date</v>
      </c>
      <c r="Q217" s="76" t="str">
        <f t="shared" si="9"/>
        <v>DATE</v>
      </c>
      <c r="R217" s="76" t="str">
        <f t="shared" si="10"/>
        <v/>
      </c>
      <c r="S217" s="76" t="str">
        <f t="shared" si="11"/>
        <v/>
      </c>
      <c r="T217" s="76" t="str">
        <f t="shared" si="12"/>
        <v>-- C419_疾患開始日</v>
      </c>
      <c r="U217" s="4" t="str">
        <f t="shared" si="26"/>
        <v>, CASE WHEN shikkan_disp_name = 'C419' THEN min_shikkan_start_date ::DATE ELSE NULL END AS shikkan199_start_date</v>
      </c>
      <c r="V217" s="25" t="str">
        <f t="shared" si="27"/>
        <v>, max(shikkan199_start_date)</v>
      </c>
      <c r="AA217" s="4"/>
      <c r="AB217" s="4"/>
      <c r="AC217" s="4"/>
      <c r="AD217" s="4"/>
      <c r="AE217" s="4"/>
      <c r="AF217" s="4"/>
      <c r="AG217" s="4"/>
      <c r="AH217" s="4"/>
      <c r="AI217" s="4"/>
      <c r="AJ217" s="76" t="str">
        <f>IF(E217="○",IF(COUNTA(E$13:E217)=1,"",",")&amp;D217,"")</f>
        <v/>
      </c>
      <c r="AK217" s="4"/>
      <c r="AL217" s="4"/>
      <c r="AM217" s="4"/>
      <c r="AN217" s="4"/>
      <c r="AO217" s="4"/>
      <c r="AP217" s="4"/>
      <c r="AQ217" s="4"/>
      <c r="AR217" s="4"/>
      <c r="AS217" s="76" t="str">
        <f>"COMMENT ON COLUMN "&amp;エンティティ一覧!$O$2&amp;"."&amp;D$8&amp;"."&amp;D217&amp;" IS '"&amp;C217&amp;"';"</f>
        <v>COMMENT ON COLUMN milscm_2023_009.sny_202310_annony_non_annony2.shikkan199_start_date IS 'C419_疾患開始日';</v>
      </c>
    </row>
    <row r="218" spans="1:45" s="25" customFormat="1">
      <c r="A218" s="4" t="s">
        <v>5351</v>
      </c>
      <c r="B218" s="21">
        <f t="shared" si="24"/>
        <v>206</v>
      </c>
      <c r="C218" s="13" t="str">
        <f t="shared" si="25"/>
        <v>C430_疾患開始日</v>
      </c>
      <c r="D218" s="13" t="s">
        <v>4968</v>
      </c>
      <c r="E218" s="8"/>
      <c r="F218" s="7" t="s">
        <v>4348</v>
      </c>
      <c r="G218" s="7" t="s">
        <v>25</v>
      </c>
      <c r="H218" s="58"/>
      <c r="I218" s="23"/>
      <c r="J218" s="24"/>
      <c r="M218" s="4"/>
      <c r="N218" s="76"/>
      <c r="O218" s="76"/>
      <c r="P218" s="76" t="str">
        <f t="shared" si="8"/>
        <v>,shikkan200_start_date</v>
      </c>
      <c r="Q218" s="76" t="str">
        <f t="shared" si="9"/>
        <v>DATE</v>
      </c>
      <c r="R218" s="76" t="str">
        <f t="shared" si="10"/>
        <v/>
      </c>
      <c r="S218" s="76" t="str">
        <f t="shared" si="11"/>
        <v/>
      </c>
      <c r="T218" s="76" t="str">
        <f t="shared" si="12"/>
        <v>-- C430_疾患開始日</v>
      </c>
      <c r="U218" s="4" t="str">
        <f t="shared" si="26"/>
        <v>, CASE WHEN shikkan_disp_name = 'C430' THEN min_shikkan_start_date ::DATE ELSE NULL END AS shikkan200_start_date</v>
      </c>
      <c r="V218" s="25" t="str">
        <f t="shared" si="27"/>
        <v>, max(shikkan200_start_date)</v>
      </c>
      <c r="AA218" s="4"/>
      <c r="AB218" s="4"/>
      <c r="AC218" s="4"/>
      <c r="AD218" s="4"/>
      <c r="AE218" s="4"/>
      <c r="AF218" s="4"/>
      <c r="AG218" s="4"/>
      <c r="AH218" s="4"/>
      <c r="AI218" s="4"/>
      <c r="AJ218" s="76" t="str">
        <f>IF(E218="○",IF(COUNTA(E$13:E218)=1,"",",")&amp;D218,"")</f>
        <v/>
      </c>
      <c r="AK218" s="4"/>
      <c r="AL218" s="4"/>
      <c r="AM218" s="4"/>
      <c r="AN218" s="4"/>
      <c r="AO218" s="4"/>
      <c r="AP218" s="4"/>
      <c r="AQ218" s="4"/>
      <c r="AR218" s="4"/>
      <c r="AS218" s="76" t="str">
        <f>"COMMENT ON COLUMN "&amp;エンティティ一覧!$O$2&amp;"."&amp;D$8&amp;"."&amp;D218&amp;" IS '"&amp;C218&amp;"';"</f>
        <v>COMMENT ON COLUMN milscm_2023_009.sny_202310_annony_non_annony2.shikkan200_start_date IS 'C430_疾患開始日';</v>
      </c>
    </row>
    <row r="219" spans="1:45" s="25" customFormat="1">
      <c r="A219" s="4" t="s">
        <v>5352</v>
      </c>
      <c r="B219" s="21">
        <f t="shared" si="24"/>
        <v>207</v>
      </c>
      <c r="C219" s="13" t="str">
        <f t="shared" si="25"/>
        <v>C431_疾患開始日</v>
      </c>
      <c r="D219" s="13" t="s">
        <v>4969</v>
      </c>
      <c r="E219" s="8"/>
      <c r="F219" s="7" t="s">
        <v>4348</v>
      </c>
      <c r="G219" s="7" t="s">
        <v>25</v>
      </c>
      <c r="H219" s="58"/>
      <c r="I219" s="23"/>
      <c r="J219" s="24"/>
      <c r="M219" s="4"/>
      <c r="N219" s="76"/>
      <c r="O219" s="76"/>
      <c r="P219" s="76" t="str">
        <f t="shared" si="8"/>
        <v>,shikkan201_start_date</v>
      </c>
      <c r="Q219" s="76" t="str">
        <f t="shared" si="9"/>
        <v>DATE</v>
      </c>
      <c r="R219" s="76" t="str">
        <f t="shared" si="10"/>
        <v/>
      </c>
      <c r="S219" s="76" t="str">
        <f t="shared" si="11"/>
        <v/>
      </c>
      <c r="T219" s="76" t="str">
        <f t="shared" si="12"/>
        <v>-- C431_疾患開始日</v>
      </c>
      <c r="U219" s="4" t="str">
        <f t="shared" si="26"/>
        <v>, CASE WHEN shikkan_disp_name = 'C431' THEN min_shikkan_start_date ::DATE ELSE NULL END AS shikkan201_start_date</v>
      </c>
      <c r="V219" s="25" t="str">
        <f t="shared" si="27"/>
        <v>, max(shikkan201_start_date)</v>
      </c>
      <c r="AA219" s="4"/>
      <c r="AB219" s="4"/>
      <c r="AC219" s="4"/>
      <c r="AD219" s="4"/>
      <c r="AE219" s="4"/>
      <c r="AF219" s="4"/>
      <c r="AG219" s="4"/>
      <c r="AH219" s="4"/>
      <c r="AI219" s="4"/>
      <c r="AJ219" s="76" t="str">
        <f>IF(E219="○",IF(COUNTA(E$13:E219)=1,"",",")&amp;D219,"")</f>
        <v/>
      </c>
      <c r="AK219" s="4"/>
      <c r="AL219" s="4"/>
      <c r="AM219" s="4"/>
      <c r="AN219" s="4"/>
      <c r="AO219" s="4"/>
      <c r="AP219" s="4"/>
      <c r="AQ219" s="4"/>
      <c r="AR219" s="4"/>
      <c r="AS219" s="76" t="str">
        <f>"COMMENT ON COLUMN "&amp;エンティティ一覧!$O$2&amp;"."&amp;D$8&amp;"."&amp;D219&amp;" IS '"&amp;C219&amp;"';"</f>
        <v>COMMENT ON COLUMN milscm_2023_009.sny_202310_annony_non_annony2.shikkan201_start_date IS 'C431_疾患開始日';</v>
      </c>
    </row>
    <row r="220" spans="1:45" s="25" customFormat="1">
      <c r="A220" s="4" t="s">
        <v>5353</v>
      </c>
      <c r="B220" s="21">
        <f t="shared" si="24"/>
        <v>208</v>
      </c>
      <c r="C220" s="13" t="str">
        <f t="shared" si="25"/>
        <v>C432_疾患開始日</v>
      </c>
      <c r="D220" s="13" t="s">
        <v>4970</v>
      </c>
      <c r="E220" s="8"/>
      <c r="F220" s="7" t="s">
        <v>4348</v>
      </c>
      <c r="G220" s="7" t="s">
        <v>25</v>
      </c>
      <c r="H220" s="58"/>
      <c r="I220" s="23"/>
      <c r="J220" s="24"/>
      <c r="M220" s="4"/>
      <c r="N220" s="76"/>
      <c r="O220" s="76"/>
      <c r="P220" s="76" t="str">
        <f t="shared" si="8"/>
        <v>,shikkan202_start_date</v>
      </c>
      <c r="Q220" s="76" t="str">
        <f t="shared" si="9"/>
        <v>DATE</v>
      </c>
      <c r="R220" s="76" t="str">
        <f t="shared" si="10"/>
        <v/>
      </c>
      <c r="S220" s="76" t="str">
        <f t="shared" si="11"/>
        <v/>
      </c>
      <c r="T220" s="76" t="str">
        <f t="shared" si="12"/>
        <v>-- C432_疾患開始日</v>
      </c>
      <c r="U220" s="4" t="str">
        <f t="shared" si="26"/>
        <v>, CASE WHEN shikkan_disp_name = 'C432' THEN min_shikkan_start_date ::DATE ELSE NULL END AS shikkan202_start_date</v>
      </c>
      <c r="V220" s="25" t="str">
        <f t="shared" si="27"/>
        <v>, max(shikkan202_start_date)</v>
      </c>
      <c r="AA220" s="4"/>
      <c r="AB220" s="4"/>
      <c r="AC220" s="4"/>
      <c r="AD220" s="4"/>
      <c r="AE220" s="4"/>
      <c r="AF220" s="4"/>
      <c r="AG220" s="4"/>
      <c r="AH220" s="4"/>
      <c r="AI220" s="4"/>
      <c r="AJ220" s="76" t="str">
        <f>IF(E220="○",IF(COUNTA(E$13:E220)=1,"",",")&amp;D220,"")</f>
        <v/>
      </c>
      <c r="AK220" s="4"/>
      <c r="AL220" s="4"/>
      <c r="AM220" s="4"/>
      <c r="AN220" s="4"/>
      <c r="AO220" s="4"/>
      <c r="AP220" s="4"/>
      <c r="AQ220" s="4"/>
      <c r="AR220" s="4"/>
      <c r="AS220" s="76" t="str">
        <f>"COMMENT ON COLUMN "&amp;エンティティ一覧!$O$2&amp;"."&amp;D$8&amp;"."&amp;D220&amp;" IS '"&amp;C220&amp;"';"</f>
        <v>COMMENT ON COLUMN milscm_2023_009.sny_202310_annony_non_annony2.shikkan202_start_date IS 'C432_疾患開始日';</v>
      </c>
    </row>
    <row r="221" spans="1:45" s="25" customFormat="1">
      <c r="A221" s="4" t="s">
        <v>5354</v>
      </c>
      <c r="B221" s="21">
        <f t="shared" si="24"/>
        <v>209</v>
      </c>
      <c r="C221" s="13" t="str">
        <f t="shared" si="25"/>
        <v>C433_疾患開始日</v>
      </c>
      <c r="D221" s="13" t="s">
        <v>4971</v>
      </c>
      <c r="E221" s="8"/>
      <c r="F221" s="7" t="s">
        <v>4348</v>
      </c>
      <c r="G221" s="7" t="s">
        <v>25</v>
      </c>
      <c r="H221" s="58"/>
      <c r="I221" s="23"/>
      <c r="J221" s="24"/>
      <c r="M221" s="4"/>
      <c r="N221" s="76"/>
      <c r="O221" s="76"/>
      <c r="P221" s="76" t="str">
        <f t="shared" si="8"/>
        <v>,shikkan203_start_date</v>
      </c>
      <c r="Q221" s="76" t="str">
        <f t="shared" si="9"/>
        <v>DATE</v>
      </c>
      <c r="R221" s="76" t="str">
        <f t="shared" si="10"/>
        <v/>
      </c>
      <c r="S221" s="76" t="str">
        <f t="shared" si="11"/>
        <v/>
      </c>
      <c r="T221" s="76" t="str">
        <f t="shared" si="12"/>
        <v>-- C433_疾患開始日</v>
      </c>
      <c r="U221" s="4" t="str">
        <f t="shared" si="26"/>
        <v>, CASE WHEN shikkan_disp_name = 'C433' THEN min_shikkan_start_date ::DATE ELSE NULL END AS shikkan203_start_date</v>
      </c>
      <c r="V221" s="25" t="str">
        <f t="shared" si="27"/>
        <v>, max(shikkan203_start_date)</v>
      </c>
      <c r="AA221" s="4"/>
      <c r="AB221" s="4"/>
      <c r="AC221" s="4"/>
      <c r="AD221" s="4"/>
      <c r="AE221" s="4"/>
      <c r="AF221" s="4"/>
      <c r="AG221" s="4"/>
      <c r="AH221" s="4"/>
      <c r="AI221" s="4"/>
      <c r="AJ221" s="76" t="str">
        <f>IF(E221="○",IF(COUNTA(E$13:E221)=1,"",",")&amp;D221,"")</f>
        <v/>
      </c>
      <c r="AK221" s="4"/>
      <c r="AL221" s="4"/>
      <c r="AM221" s="4"/>
      <c r="AN221" s="4"/>
      <c r="AO221" s="4"/>
      <c r="AP221" s="4"/>
      <c r="AQ221" s="4"/>
      <c r="AR221" s="4"/>
      <c r="AS221" s="76" t="str">
        <f>"COMMENT ON COLUMN "&amp;エンティティ一覧!$O$2&amp;"."&amp;D$8&amp;"."&amp;D221&amp;" IS '"&amp;C221&amp;"';"</f>
        <v>COMMENT ON COLUMN milscm_2023_009.sny_202310_annony_non_annony2.shikkan203_start_date IS 'C433_疾患開始日';</v>
      </c>
    </row>
    <row r="222" spans="1:45" s="25" customFormat="1">
      <c r="A222" s="4" t="s">
        <v>5355</v>
      </c>
      <c r="B222" s="21">
        <f t="shared" si="24"/>
        <v>210</v>
      </c>
      <c r="C222" s="13" t="str">
        <f t="shared" si="25"/>
        <v>C434_疾患開始日</v>
      </c>
      <c r="D222" s="13" t="s">
        <v>4972</v>
      </c>
      <c r="E222" s="8"/>
      <c r="F222" s="7" t="s">
        <v>4348</v>
      </c>
      <c r="G222" s="7" t="s">
        <v>25</v>
      </c>
      <c r="H222" s="58"/>
      <c r="I222" s="23"/>
      <c r="J222" s="24"/>
      <c r="M222" s="4"/>
      <c r="N222" s="76"/>
      <c r="O222" s="76"/>
      <c r="P222" s="76" t="str">
        <f t="shared" si="8"/>
        <v>,shikkan204_start_date</v>
      </c>
      <c r="Q222" s="76" t="str">
        <f t="shared" si="9"/>
        <v>DATE</v>
      </c>
      <c r="R222" s="76" t="str">
        <f t="shared" si="10"/>
        <v/>
      </c>
      <c r="S222" s="76" t="str">
        <f t="shared" si="11"/>
        <v/>
      </c>
      <c r="T222" s="76" t="str">
        <f t="shared" si="12"/>
        <v>-- C434_疾患開始日</v>
      </c>
      <c r="U222" s="4" t="str">
        <f t="shared" si="26"/>
        <v>, CASE WHEN shikkan_disp_name = 'C434' THEN min_shikkan_start_date ::DATE ELSE NULL END AS shikkan204_start_date</v>
      </c>
      <c r="V222" s="25" t="str">
        <f t="shared" si="27"/>
        <v>, max(shikkan204_start_date)</v>
      </c>
      <c r="AA222" s="4"/>
      <c r="AB222" s="4"/>
      <c r="AC222" s="4"/>
      <c r="AD222" s="4"/>
      <c r="AE222" s="4"/>
      <c r="AF222" s="4"/>
      <c r="AG222" s="4"/>
      <c r="AH222" s="4"/>
      <c r="AI222" s="4"/>
      <c r="AJ222" s="76" t="str">
        <f>IF(E222="○",IF(COUNTA(E$13:E222)=1,"",",")&amp;D222,"")</f>
        <v/>
      </c>
      <c r="AK222" s="4"/>
      <c r="AL222" s="4"/>
      <c r="AM222" s="4"/>
      <c r="AN222" s="4"/>
      <c r="AO222" s="4"/>
      <c r="AP222" s="4"/>
      <c r="AQ222" s="4"/>
      <c r="AR222" s="4"/>
      <c r="AS222" s="76" t="str">
        <f>"COMMENT ON COLUMN "&amp;エンティティ一覧!$O$2&amp;"."&amp;D$8&amp;"."&amp;D222&amp;" IS '"&amp;C222&amp;"';"</f>
        <v>COMMENT ON COLUMN milscm_2023_009.sny_202310_annony_non_annony2.shikkan204_start_date IS 'C434_疾患開始日';</v>
      </c>
    </row>
    <row r="223" spans="1:45" s="25" customFormat="1">
      <c r="A223" s="4" t="s">
        <v>5356</v>
      </c>
      <c r="B223" s="21">
        <f t="shared" si="24"/>
        <v>211</v>
      </c>
      <c r="C223" s="13" t="str">
        <f t="shared" si="25"/>
        <v>C435_疾患開始日</v>
      </c>
      <c r="D223" s="13" t="s">
        <v>4973</v>
      </c>
      <c r="E223" s="8"/>
      <c r="F223" s="7" t="s">
        <v>4348</v>
      </c>
      <c r="G223" s="7" t="s">
        <v>25</v>
      </c>
      <c r="H223" s="58"/>
      <c r="I223" s="23"/>
      <c r="J223" s="24"/>
      <c r="M223" s="4"/>
      <c r="N223" s="76"/>
      <c r="O223" s="76"/>
      <c r="P223" s="76" t="str">
        <f t="shared" si="8"/>
        <v>,shikkan205_start_date</v>
      </c>
      <c r="Q223" s="76" t="str">
        <f t="shared" si="9"/>
        <v>DATE</v>
      </c>
      <c r="R223" s="76" t="str">
        <f t="shared" si="10"/>
        <v/>
      </c>
      <c r="S223" s="76" t="str">
        <f t="shared" si="11"/>
        <v/>
      </c>
      <c r="T223" s="76" t="str">
        <f t="shared" si="12"/>
        <v>-- C435_疾患開始日</v>
      </c>
      <c r="U223" s="4" t="str">
        <f t="shared" si="26"/>
        <v>, CASE WHEN shikkan_disp_name = 'C435' THEN min_shikkan_start_date ::DATE ELSE NULL END AS shikkan205_start_date</v>
      </c>
      <c r="V223" s="25" t="str">
        <f t="shared" si="27"/>
        <v>, max(shikkan205_start_date)</v>
      </c>
      <c r="AA223" s="4"/>
      <c r="AB223" s="4"/>
      <c r="AC223" s="4"/>
      <c r="AD223" s="4"/>
      <c r="AE223" s="4"/>
      <c r="AF223" s="4"/>
      <c r="AG223" s="4"/>
      <c r="AH223" s="4"/>
      <c r="AI223" s="4"/>
      <c r="AJ223" s="76" t="str">
        <f>IF(E223="○",IF(COUNTA(E$13:E223)=1,"",",")&amp;D223,"")</f>
        <v/>
      </c>
      <c r="AK223" s="4"/>
      <c r="AL223" s="4"/>
      <c r="AM223" s="4"/>
      <c r="AN223" s="4"/>
      <c r="AO223" s="4"/>
      <c r="AP223" s="4"/>
      <c r="AQ223" s="4"/>
      <c r="AR223" s="4"/>
      <c r="AS223" s="76" t="str">
        <f>"COMMENT ON COLUMN "&amp;エンティティ一覧!$O$2&amp;"."&amp;D$8&amp;"."&amp;D223&amp;" IS '"&amp;C223&amp;"';"</f>
        <v>COMMENT ON COLUMN milscm_2023_009.sny_202310_annony_non_annony2.shikkan205_start_date IS 'C435_疾患開始日';</v>
      </c>
    </row>
    <row r="224" spans="1:45" s="25" customFormat="1">
      <c r="A224" s="4" t="s">
        <v>5357</v>
      </c>
      <c r="B224" s="21">
        <f t="shared" si="24"/>
        <v>212</v>
      </c>
      <c r="C224" s="13" t="str">
        <f t="shared" si="25"/>
        <v>C436_疾患開始日</v>
      </c>
      <c r="D224" s="13" t="s">
        <v>4974</v>
      </c>
      <c r="E224" s="8"/>
      <c r="F224" s="7" t="s">
        <v>4348</v>
      </c>
      <c r="G224" s="7" t="s">
        <v>25</v>
      </c>
      <c r="H224" s="58"/>
      <c r="I224" s="23"/>
      <c r="J224" s="24"/>
      <c r="M224" s="4"/>
      <c r="N224" s="76"/>
      <c r="O224" s="76"/>
      <c r="P224" s="76" t="str">
        <f t="shared" si="8"/>
        <v>,shikkan206_start_date</v>
      </c>
      <c r="Q224" s="76" t="str">
        <f t="shared" si="9"/>
        <v>DATE</v>
      </c>
      <c r="R224" s="76" t="str">
        <f t="shared" si="10"/>
        <v/>
      </c>
      <c r="S224" s="76" t="str">
        <f t="shared" si="11"/>
        <v/>
      </c>
      <c r="T224" s="76" t="str">
        <f t="shared" si="12"/>
        <v>-- C436_疾患開始日</v>
      </c>
      <c r="U224" s="4" t="str">
        <f t="shared" si="26"/>
        <v>, CASE WHEN shikkan_disp_name = 'C436' THEN min_shikkan_start_date ::DATE ELSE NULL END AS shikkan206_start_date</v>
      </c>
      <c r="V224" s="25" t="str">
        <f t="shared" si="27"/>
        <v>, max(shikkan206_start_date)</v>
      </c>
      <c r="AA224" s="4"/>
      <c r="AB224" s="4"/>
      <c r="AC224" s="4"/>
      <c r="AD224" s="4"/>
      <c r="AE224" s="4"/>
      <c r="AF224" s="4"/>
      <c r="AG224" s="4"/>
      <c r="AH224" s="4"/>
      <c r="AI224" s="4"/>
      <c r="AJ224" s="76" t="str">
        <f>IF(E224="○",IF(COUNTA(E$13:E224)=1,"",",")&amp;D224,"")</f>
        <v/>
      </c>
      <c r="AK224" s="4"/>
      <c r="AL224" s="4"/>
      <c r="AM224" s="4"/>
      <c r="AN224" s="4"/>
      <c r="AO224" s="4"/>
      <c r="AP224" s="4"/>
      <c r="AQ224" s="4"/>
      <c r="AR224" s="4"/>
      <c r="AS224" s="76" t="str">
        <f>"COMMENT ON COLUMN "&amp;エンティティ一覧!$O$2&amp;"."&amp;D$8&amp;"."&amp;D224&amp;" IS '"&amp;C224&amp;"';"</f>
        <v>COMMENT ON COLUMN milscm_2023_009.sny_202310_annony_non_annony2.shikkan206_start_date IS 'C436_疾患開始日';</v>
      </c>
    </row>
    <row r="225" spans="1:45" s="25" customFormat="1">
      <c r="A225" s="4" t="s">
        <v>5358</v>
      </c>
      <c r="B225" s="21">
        <f t="shared" si="24"/>
        <v>213</v>
      </c>
      <c r="C225" s="13" t="str">
        <f t="shared" si="25"/>
        <v>C437_疾患開始日</v>
      </c>
      <c r="D225" s="13" t="s">
        <v>4975</v>
      </c>
      <c r="E225" s="8"/>
      <c r="F225" s="7" t="s">
        <v>4348</v>
      </c>
      <c r="G225" s="7" t="s">
        <v>25</v>
      </c>
      <c r="H225" s="58"/>
      <c r="I225" s="23"/>
      <c r="J225" s="24"/>
      <c r="M225" s="4"/>
      <c r="N225" s="76"/>
      <c r="O225" s="76"/>
      <c r="P225" s="76" t="str">
        <f t="shared" si="8"/>
        <v>,shikkan207_start_date</v>
      </c>
      <c r="Q225" s="76" t="str">
        <f t="shared" si="9"/>
        <v>DATE</v>
      </c>
      <c r="R225" s="76" t="str">
        <f t="shared" si="10"/>
        <v/>
      </c>
      <c r="S225" s="76" t="str">
        <f t="shared" si="11"/>
        <v/>
      </c>
      <c r="T225" s="76" t="str">
        <f t="shared" si="12"/>
        <v>-- C437_疾患開始日</v>
      </c>
      <c r="U225" s="4" t="str">
        <f t="shared" si="26"/>
        <v>, CASE WHEN shikkan_disp_name = 'C437' THEN min_shikkan_start_date ::DATE ELSE NULL END AS shikkan207_start_date</v>
      </c>
      <c r="V225" s="25" t="str">
        <f t="shared" si="27"/>
        <v>, max(shikkan207_start_date)</v>
      </c>
      <c r="AA225" s="4"/>
      <c r="AB225" s="4"/>
      <c r="AC225" s="4"/>
      <c r="AD225" s="4"/>
      <c r="AE225" s="4"/>
      <c r="AF225" s="4"/>
      <c r="AG225" s="4"/>
      <c r="AH225" s="4"/>
      <c r="AI225" s="4"/>
      <c r="AJ225" s="76" t="str">
        <f>IF(E225="○",IF(COUNTA(E$13:E225)=1,"",",")&amp;D225,"")</f>
        <v/>
      </c>
      <c r="AK225" s="4"/>
      <c r="AL225" s="4"/>
      <c r="AM225" s="4"/>
      <c r="AN225" s="4"/>
      <c r="AO225" s="4"/>
      <c r="AP225" s="4"/>
      <c r="AQ225" s="4"/>
      <c r="AR225" s="4"/>
      <c r="AS225" s="76" t="str">
        <f>"COMMENT ON COLUMN "&amp;エンティティ一覧!$O$2&amp;"."&amp;D$8&amp;"."&amp;D225&amp;" IS '"&amp;C225&amp;"';"</f>
        <v>COMMENT ON COLUMN milscm_2023_009.sny_202310_annony_non_annony2.shikkan207_start_date IS 'C437_疾患開始日';</v>
      </c>
    </row>
    <row r="226" spans="1:45" s="25" customFormat="1">
      <c r="A226" s="4" t="s">
        <v>5359</v>
      </c>
      <c r="B226" s="21">
        <f t="shared" si="24"/>
        <v>214</v>
      </c>
      <c r="C226" s="13" t="str">
        <f t="shared" si="25"/>
        <v>C438_疾患開始日</v>
      </c>
      <c r="D226" s="13" t="s">
        <v>4976</v>
      </c>
      <c r="E226" s="8"/>
      <c r="F226" s="7" t="s">
        <v>4348</v>
      </c>
      <c r="G226" s="7" t="s">
        <v>25</v>
      </c>
      <c r="H226" s="58"/>
      <c r="I226" s="23"/>
      <c r="J226" s="24"/>
      <c r="M226" s="4"/>
      <c r="N226" s="76"/>
      <c r="O226" s="76"/>
      <c r="P226" s="76" t="str">
        <f t="shared" si="8"/>
        <v>,shikkan208_start_date</v>
      </c>
      <c r="Q226" s="76" t="str">
        <f t="shared" si="9"/>
        <v>DATE</v>
      </c>
      <c r="R226" s="76" t="str">
        <f t="shared" si="10"/>
        <v/>
      </c>
      <c r="S226" s="76" t="str">
        <f t="shared" si="11"/>
        <v/>
      </c>
      <c r="T226" s="76" t="str">
        <f t="shared" si="12"/>
        <v>-- C438_疾患開始日</v>
      </c>
      <c r="U226" s="4" t="str">
        <f t="shared" si="26"/>
        <v>, CASE WHEN shikkan_disp_name = 'C438' THEN min_shikkan_start_date ::DATE ELSE NULL END AS shikkan208_start_date</v>
      </c>
      <c r="V226" s="25" t="str">
        <f t="shared" si="27"/>
        <v>, max(shikkan208_start_date)</v>
      </c>
      <c r="AA226" s="4"/>
      <c r="AB226" s="4"/>
      <c r="AC226" s="4"/>
      <c r="AD226" s="4"/>
      <c r="AE226" s="4"/>
      <c r="AF226" s="4"/>
      <c r="AG226" s="4"/>
      <c r="AH226" s="4"/>
      <c r="AI226" s="4"/>
      <c r="AJ226" s="76" t="str">
        <f>IF(E226="○",IF(COUNTA(E$13:E226)=1,"",",")&amp;D226,"")</f>
        <v/>
      </c>
      <c r="AK226" s="4"/>
      <c r="AL226" s="4"/>
      <c r="AM226" s="4"/>
      <c r="AN226" s="4"/>
      <c r="AO226" s="4"/>
      <c r="AP226" s="4"/>
      <c r="AQ226" s="4"/>
      <c r="AR226" s="4"/>
      <c r="AS226" s="76" t="str">
        <f>"COMMENT ON COLUMN "&amp;エンティティ一覧!$O$2&amp;"."&amp;D$8&amp;"."&amp;D226&amp;" IS '"&amp;C226&amp;"';"</f>
        <v>COMMENT ON COLUMN milscm_2023_009.sny_202310_annony_non_annony2.shikkan208_start_date IS 'C438_疾患開始日';</v>
      </c>
    </row>
    <row r="227" spans="1:45" s="25" customFormat="1">
      <c r="A227" s="4" t="s">
        <v>5360</v>
      </c>
      <c r="B227" s="21">
        <f t="shared" si="24"/>
        <v>215</v>
      </c>
      <c r="C227" s="13" t="str">
        <f t="shared" si="25"/>
        <v>C439_疾患開始日</v>
      </c>
      <c r="D227" s="13" t="s">
        <v>4977</v>
      </c>
      <c r="E227" s="8"/>
      <c r="F227" s="7" t="s">
        <v>4348</v>
      </c>
      <c r="G227" s="7" t="s">
        <v>99</v>
      </c>
      <c r="H227" s="58"/>
      <c r="I227" s="23"/>
      <c r="J227" s="24"/>
      <c r="M227" s="4"/>
      <c r="N227" s="76"/>
      <c r="O227" s="76"/>
      <c r="P227" s="76" t="str">
        <f t="shared" si="8"/>
        <v>,shikkan209_start_date</v>
      </c>
      <c r="Q227" s="76" t="str">
        <f t="shared" si="9"/>
        <v>DATE</v>
      </c>
      <c r="R227" s="76" t="str">
        <f t="shared" si="10"/>
        <v/>
      </c>
      <c r="S227" s="76" t="str">
        <f t="shared" si="11"/>
        <v/>
      </c>
      <c r="T227" s="76" t="str">
        <f t="shared" si="12"/>
        <v>-- C439_疾患開始日</v>
      </c>
      <c r="U227" s="4" t="str">
        <f t="shared" si="26"/>
        <v>, CASE WHEN shikkan_disp_name = 'C439' THEN min_shikkan_start_date ::DATE ELSE NULL END AS shikkan209_start_date</v>
      </c>
      <c r="V227" s="25" t="str">
        <f t="shared" si="27"/>
        <v>, max(shikkan209_start_date)</v>
      </c>
      <c r="AA227" s="4"/>
      <c r="AB227" s="4"/>
      <c r="AC227" s="4"/>
      <c r="AD227" s="4"/>
      <c r="AE227" s="4"/>
      <c r="AF227" s="4"/>
      <c r="AG227" s="4"/>
      <c r="AH227" s="4"/>
      <c r="AI227" s="4"/>
      <c r="AJ227" s="76" t="str">
        <f>IF(E227="○",IF(COUNTA(E$13:E227)=1,"",",")&amp;D227,"")</f>
        <v/>
      </c>
      <c r="AK227" s="4"/>
      <c r="AL227" s="4"/>
      <c r="AM227" s="4"/>
      <c r="AN227" s="4"/>
      <c r="AO227" s="4"/>
      <c r="AP227" s="4"/>
      <c r="AQ227" s="4"/>
      <c r="AR227" s="4"/>
      <c r="AS227" s="76" t="str">
        <f>"COMMENT ON COLUMN "&amp;エンティティ一覧!$O$2&amp;"."&amp;D$8&amp;"."&amp;D227&amp;" IS '"&amp;C227&amp;"';"</f>
        <v>COMMENT ON COLUMN milscm_2023_009.sny_202310_annony_non_annony2.shikkan209_start_date IS 'C439_疾患開始日';</v>
      </c>
    </row>
    <row r="228" spans="1:45" s="25" customFormat="1">
      <c r="A228" s="4" t="s">
        <v>5361</v>
      </c>
      <c r="B228" s="21">
        <f t="shared" si="24"/>
        <v>216</v>
      </c>
      <c r="C228" s="13" t="str">
        <f t="shared" si="25"/>
        <v>C450_疾患開始日</v>
      </c>
      <c r="D228" s="13" t="s">
        <v>4978</v>
      </c>
      <c r="E228" s="8"/>
      <c r="F228" s="7" t="s">
        <v>4348</v>
      </c>
      <c r="G228" s="7" t="s">
        <v>25</v>
      </c>
      <c r="H228" s="58"/>
      <c r="I228" s="23"/>
      <c r="J228" s="24"/>
      <c r="M228" s="4"/>
      <c r="N228" s="76"/>
      <c r="O228" s="76"/>
      <c r="P228" s="76" t="str">
        <f t="shared" si="8"/>
        <v>,shikkan210_start_date</v>
      </c>
      <c r="Q228" s="76" t="str">
        <f t="shared" si="9"/>
        <v>DATE</v>
      </c>
      <c r="R228" s="76" t="str">
        <f t="shared" si="10"/>
        <v/>
      </c>
      <c r="S228" s="76" t="str">
        <f t="shared" si="11"/>
        <v/>
      </c>
      <c r="T228" s="76" t="str">
        <f t="shared" si="12"/>
        <v>-- C450_疾患開始日</v>
      </c>
      <c r="U228" s="4" t="str">
        <f t="shared" si="26"/>
        <v>, CASE WHEN shikkan_disp_name = 'C450' THEN min_shikkan_start_date ::DATE ELSE NULL END AS shikkan210_start_date</v>
      </c>
      <c r="V228" s="25" t="str">
        <f t="shared" si="27"/>
        <v>, max(shikkan210_start_date)</v>
      </c>
      <c r="AA228" s="4"/>
      <c r="AB228" s="4"/>
      <c r="AC228" s="4"/>
      <c r="AD228" s="4"/>
      <c r="AE228" s="4"/>
      <c r="AF228" s="4"/>
      <c r="AG228" s="4"/>
      <c r="AH228" s="4"/>
      <c r="AI228" s="4"/>
      <c r="AJ228" s="76" t="str">
        <f>IF(E228="○",IF(COUNTA(E$13:E228)=1,"",",")&amp;D228,"")</f>
        <v/>
      </c>
      <c r="AK228" s="4"/>
      <c r="AL228" s="4"/>
      <c r="AM228" s="4"/>
      <c r="AN228" s="4"/>
      <c r="AO228" s="4"/>
      <c r="AP228" s="4"/>
      <c r="AQ228" s="4"/>
      <c r="AR228" s="4"/>
      <c r="AS228" s="76" t="str">
        <f>"COMMENT ON COLUMN "&amp;エンティティ一覧!$O$2&amp;"."&amp;D$8&amp;"."&amp;D228&amp;" IS '"&amp;C228&amp;"';"</f>
        <v>COMMENT ON COLUMN milscm_2023_009.sny_202310_annony_non_annony2.shikkan210_start_date IS 'C450_疾患開始日';</v>
      </c>
    </row>
    <row r="229" spans="1:45" s="25" customFormat="1">
      <c r="A229" s="4" t="s">
        <v>5362</v>
      </c>
      <c r="B229" s="21">
        <f t="shared" si="24"/>
        <v>217</v>
      </c>
      <c r="C229" s="13" t="str">
        <f t="shared" si="25"/>
        <v>C451_疾患開始日</v>
      </c>
      <c r="D229" s="13" t="s">
        <v>4979</v>
      </c>
      <c r="E229" s="8"/>
      <c r="F229" s="7" t="s">
        <v>4348</v>
      </c>
      <c r="G229" s="7" t="s">
        <v>25</v>
      </c>
      <c r="H229" s="58"/>
      <c r="I229" s="23"/>
      <c r="J229" s="24"/>
      <c r="M229" s="4"/>
      <c r="N229" s="76"/>
      <c r="O229" s="76"/>
      <c r="P229" s="76" t="str">
        <f t="shared" si="8"/>
        <v>,shikkan211_start_date</v>
      </c>
      <c r="Q229" s="76" t="str">
        <f t="shared" si="9"/>
        <v>DATE</v>
      </c>
      <c r="R229" s="76" t="str">
        <f t="shared" si="10"/>
        <v/>
      </c>
      <c r="S229" s="76" t="str">
        <f t="shared" si="11"/>
        <v/>
      </c>
      <c r="T229" s="76" t="str">
        <f t="shared" si="12"/>
        <v>-- C451_疾患開始日</v>
      </c>
      <c r="U229" s="4" t="str">
        <f t="shared" si="26"/>
        <v>, CASE WHEN shikkan_disp_name = 'C451' THEN min_shikkan_start_date ::DATE ELSE NULL END AS shikkan211_start_date</v>
      </c>
      <c r="V229" s="25" t="str">
        <f t="shared" si="27"/>
        <v>, max(shikkan211_start_date)</v>
      </c>
      <c r="AA229" s="4"/>
      <c r="AB229" s="4"/>
      <c r="AC229" s="4"/>
      <c r="AD229" s="4"/>
      <c r="AE229" s="4"/>
      <c r="AF229" s="4"/>
      <c r="AG229" s="4"/>
      <c r="AH229" s="4"/>
      <c r="AI229" s="4"/>
      <c r="AJ229" s="76" t="str">
        <f>IF(E229="○",IF(COUNTA(E$13:E229)=1,"",",")&amp;D229,"")</f>
        <v/>
      </c>
      <c r="AK229" s="4"/>
      <c r="AL229" s="4"/>
      <c r="AM229" s="4"/>
      <c r="AN229" s="4"/>
      <c r="AO229" s="4"/>
      <c r="AP229" s="4"/>
      <c r="AQ229" s="4"/>
      <c r="AR229" s="4"/>
      <c r="AS229" s="76" t="str">
        <f>"COMMENT ON COLUMN "&amp;エンティティ一覧!$O$2&amp;"."&amp;D$8&amp;"."&amp;D229&amp;" IS '"&amp;C229&amp;"';"</f>
        <v>COMMENT ON COLUMN milscm_2023_009.sny_202310_annony_non_annony2.shikkan211_start_date IS 'C451_疾患開始日';</v>
      </c>
    </row>
    <row r="230" spans="1:45" s="25" customFormat="1">
      <c r="A230" s="4" t="s">
        <v>5363</v>
      </c>
      <c r="B230" s="21">
        <f t="shared" si="24"/>
        <v>218</v>
      </c>
      <c r="C230" s="13" t="str">
        <f t="shared" si="25"/>
        <v>C452_疾患開始日</v>
      </c>
      <c r="D230" s="13" t="s">
        <v>4980</v>
      </c>
      <c r="E230" s="8"/>
      <c r="F230" s="7" t="s">
        <v>4348</v>
      </c>
      <c r="G230" s="7" t="s">
        <v>25</v>
      </c>
      <c r="H230" s="58"/>
      <c r="I230" s="23"/>
      <c r="J230" s="24"/>
      <c r="M230" s="4"/>
      <c r="N230" s="76"/>
      <c r="O230" s="76"/>
      <c r="P230" s="76" t="str">
        <f t="shared" si="8"/>
        <v>,shikkan212_start_date</v>
      </c>
      <c r="Q230" s="76" t="str">
        <f t="shared" si="9"/>
        <v>DATE</v>
      </c>
      <c r="R230" s="76" t="str">
        <f t="shared" si="10"/>
        <v/>
      </c>
      <c r="S230" s="76" t="str">
        <f t="shared" si="11"/>
        <v/>
      </c>
      <c r="T230" s="76" t="str">
        <f t="shared" si="12"/>
        <v>-- C452_疾患開始日</v>
      </c>
      <c r="U230" s="4" t="str">
        <f t="shared" si="26"/>
        <v>, CASE WHEN shikkan_disp_name = 'C452' THEN min_shikkan_start_date ::DATE ELSE NULL END AS shikkan212_start_date</v>
      </c>
      <c r="V230" s="25" t="str">
        <f t="shared" si="27"/>
        <v>, max(shikkan212_start_date)</v>
      </c>
      <c r="AA230" s="4"/>
      <c r="AB230" s="4"/>
      <c r="AC230" s="4"/>
      <c r="AD230" s="4"/>
      <c r="AE230" s="4"/>
      <c r="AF230" s="4"/>
      <c r="AG230" s="4"/>
      <c r="AH230" s="4"/>
      <c r="AI230" s="4"/>
      <c r="AJ230" s="76" t="str">
        <f>IF(E230="○",IF(COUNTA(E$13:E230)=1,"",",")&amp;D230,"")</f>
        <v/>
      </c>
      <c r="AK230" s="4"/>
      <c r="AL230" s="4"/>
      <c r="AM230" s="4"/>
      <c r="AN230" s="4"/>
      <c r="AO230" s="4"/>
      <c r="AP230" s="4"/>
      <c r="AQ230" s="4"/>
      <c r="AR230" s="4"/>
      <c r="AS230" s="76" t="str">
        <f>"COMMENT ON COLUMN "&amp;エンティティ一覧!$O$2&amp;"."&amp;D$8&amp;"."&amp;D230&amp;" IS '"&amp;C230&amp;"';"</f>
        <v>COMMENT ON COLUMN milscm_2023_009.sny_202310_annony_non_annony2.shikkan212_start_date IS 'C452_疾患開始日';</v>
      </c>
    </row>
    <row r="231" spans="1:45" s="25" customFormat="1">
      <c r="A231" s="4" t="s">
        <v>5364</v>
      </c>
      <c r="B231" s="21">
        <f t="shared" si="24"/>
        <v>219</v>
      </c>
      <c r="C231" s="13" t="str">
        <f t="shared" si="25"/>
        <v>C457_疾患開始日</v>
      </c>
      <c r="D231" s="13" t="s">
        <v>4981</v>
      </c>
      <c r="E231" s="8"/>
      <c r="F231" s="7" t="s">
        <v>4348</v>
      </c>
      <c r="G231" s="7" t="s">
        <v>25</v>
      </c>
      <c r="H231" s="58"/>
      <c r="I231" s="23"/>
      <c r="J231" s="24"/>
      <c r="M231" s="4"/>
      <c r="N231" s="76"/>
      <c r="O231" s="76"/>
      <c r="P231" s="76" t="str">
        <f t="shared" si="8"/>
        <v>,shikkan213_start_date</v>
      </c>
      <c r="Q231" s="76" t="str">
        <f t="shared" si="9"/>
        <v>DATE</v>
      </c>
      <c r="R231" s="76" t="str">
        <f t="shared" si="10"/>
        <v/>
      </c>
      <c r="S231" s="76" t="str">
        <f t="shared" si="11"/>
        <v/>
      </c>
      <c r="T231" s="76" t="str">
        <f t="shared" si="12"/>
        <v>-- C457_疾患開始日</v>
      </c>
      <c r="U231" s="4" t="str">
        <f t="shared" si="26"/>
        <v>, CASE WHEN shikkan_disp_name = 'C457' THEN min_shikkan_start_date ::DATE ELSE NULL END AS shikkan213_start_date</v>
      </c>
      <c r="V231" s="25" t="str">
        <f t="shared" si="27"/>
        <v>, max(shikkan213_start_date)</v>
      </c>
      <c r="AA231" s="4"/>
      <c r="AB231" s="4"/>
      <c r="AC231" s="4"/>
      <c r="AD231" s="4"/>
      <c r="AE231" s="4"/>
      <c r="AF231" s="4"/>
      <c r="AG231" s="4"/>
      <c r="AH231" s="4"/>
      <c r="AI231" s="4"/>
      <c r="AJ231" s="76" t="str">
        <f>IF(E231="○",IF(COUNTA(E$13:E231)=1,"",",")&amp;D231,"")</f>
        <v/>
      </c>
      <c r="AK231" s="4"/>
      <c r="AL231" s="4"/>
      <c r="AM231" s="4"/>
      <c r="AN231" s="4"/>
      <c r="AO231" s="4"/>
      <c r="AP231" s="4"/>
      <c r="AQ231" s="4"/>
      <c r="AR231" s="4"/>
      <c r="AS231" s="76" t="str">
        <f>"COMMENT ON COLUMN "&amp;エンティティ一覧!$O$2&amp;"."&amp;D$8&amp;"."&amp;D231&amp;" IS '"&amp;C231&amp;"';"</f>
        <v>COMMENT ON COLUMN milscm_2023_009.sny_202310_annony_non_annony2.shikkan213_start_date IS 'C457_疾患開始日';</v>
      </c>
    </row>
    <row r="232" spans="1:45" s="25" customFormat="1">
      <c r="A232" s="4" t="s">
        <v>5365</v>
      </c>
      <c r="B232" s="21">
        <f t="shared" si="24"/>
        <v>220</v>
      </c>
      <c r="C232" s="13" t="str">
        <f t="shared" si="25"/>
        <v>C459_疾患開始日</v>
      </c>
      <c r="D232" s="13" t="s">
        <v>4982</v>
      </c>
      <c r="E232" s="8"/>
      <c r="F232" s="7" t="s">
        <v>4348</v>
      </c>
      <c r="G232" s="7" t="s">
        <v>25</v>
      </c>
      <c r="H232" s="58"/>
      <c r="I232" s="23"/>
      <c r="J232" s="24"/>
      <c r="M232" s="4"/>
      <c r="N232" s="76"/>
      <c r="O232" s="76"/>
      <c r="P232" s="76" t="str">
        <f t="shared" si="8"/>
        <v>,shikkan214_start_date</v>
      </c>
      <c r="Q232" s="76" t="str">
        <f t="shared" si="9"/>
        <v>DATE</v>
      </c>
      <c r="R232" s="76" t="str">
        <f t="shared" si="10"/>
        <v/>
      </c>
      <c r="S232" s="76" t="str">
        <f t="shared" si="11"/>
        <v/>
      </c>
      <c r="T232" s="76" t="str">
        <f t="shared" si="12"/>
        <v>-- C459_疾患開始日</v>
      </c>
      <c r="U232" s="4" t="str">
        <f t="shared" si="26"/>
        <v>, CASE WHEN shikkan_disp_name = 'C459' THEN min_shikkan_start_date ::DATE ELSE NULL END AS shikkan214_start_date</v>
      </c>
      <c r="V232" s="25" t="str">
        <f t="shared" si="27"/>
        <v>, max(shikkan214_start_date)</v>
      </c>
      <c r="AA232" s="4"/>
      <c r="AB232" s="4"/>
      <c r="AC232" s="4"/>
      <c r="AD232" s="4"/>
      <c r="AE232" s="4"/>
      <c r="AF232" s="4"/>
      <c r="AG232" s="4"/>
      <c r="AH232" s="4"/>
      <c r="AI232" s="4"/>
      <c r="AJ232" s="76" t="str">
        <f>IF(E232="○",IF(COUNTA(E$13:E232)=1,"",",")&amp;D232,"")</f>
        <v/>
      </c>
      <c r="AK232" s="4"/>
      <c r="AL232" s="4"/>
      <c r="AM232" s="4"/>
      <c r="AN232" s="4"/>
      <c r="AO232" s="4"/>
      <c r="AP232" s="4"/>
      <c r="AQ232" s="4"/>
      <c r="AR232" s="4"/>
      <c r="AS232" s="76" t="str">
        <f>"COMMENT ON COLUMN "&amp;エンティティ一覧!$O$2&amp;"."&amp;D$8&amp;"."&amp;D232&amp;" IS '"&amp;C232&amp;"';"</f>
        <v>COMMENT ON COLUMN milscm_2023_009.sny_202310_annony_non_annony2.shikkan214_start_date IS 'C459_疾患開始日';</v>
      </c>
    </row>
    <row r="233" spans="1:45" s="25" customFormat="1">
      <c r="A233" s="4" t="s">
        <v>5366</v>
      </c>
      <c r="B233" s="21">
        <f t="shared" si="24"/>
        <v>221</v>
      </c>
      <c r="C233" s="13" t="str">
        <f t="shared" si="25"/>
        <v>C460_疾患開始日</v>
      </c>
      <c r="D233" s="13" t="s">
        <v>4983</v>
      </c>
      <c r="E233" s="8"/>
      <c r="F233" s="7" t="s">
        <v>4348</v>
      </c>
      <c r="G233" s="7" t="s">
        <v>25</v>
      </c>
      <c r="H233" s="58"/>
      <c r="I233" s="23"/>
      <c r="J233" s="24"/>
      <c r="M233" s="4"/>
      <c r="N233" s="76"/>
      <c r="O233" s="76"/>
      <c r="P233" s="76" t="str">
        <f t="shared" si="8"/>
        <v>,shikkan215_start_date</v>
      </c>
      <c r="Q233" s="76" t="str">
        <f t="shared" si="9"/>
        <v>DATE</v>
      </c>
      <c r="R233" s="76" t="str">
        <f t="shared" si="10"/>
        <v/>
      </c>
      <c r="S233" s="76" t="str">
        <f t="shared" si="11"/>
        <v/>
      </c>
      <c r="T233" s="76" t="str">
        <f t="shared" si="12"/>
        <v>-- C460_疾患開始日</v>
      </c>
      <c r="U233" s="4" t="str">
        <f t="shared" si="26"/>
        <v>, CASE WHEN shikkan_disp_name = 'C460' THEN min_shikkan_start_date ::DATE ELSE NULL END AS shikkan215_start_date</v>
      </c>
      <c r="V233" s="25" t="str">
        <f t="shared" si="27"/>
        <v>, max(shikkan215_start_date)</v>
      </c>
      <c r="AA233" s="4"/>
      <c r="AB233" s="4"/>
      <c r="AC233" s="4"/>
      <c r="AD233" s="4"/>
      <c r="AE233" s="4"/>
      <c r="AF233" s="4"/>
      <c r="AG233" s="4"/>
      <c r="AH233" s="4"/>
      <c r="AI233" s="4"/>
      <c r="AJ233" s="76" t="str">
        <f>IF(E233="○",IF(COUNTA(E$13:E233)=1,"",",")&amp;D233,"")</f>
        <v/>
      </c>
      <c r="AK233" s="4"/>
      <c r="AL233" s="4"/>
      <c r="AM233" s="4"/>
      <c r="AN233" s="4"/>
      <c r="AO233" s="4"/>
      <c r="AP233" s="4"/>
      <c r="AQ233" s="4"/>
      <c r="AR233" s="4"/>
      <c r="AS233" s="76" t="str">
        <f>"COMMENT ON COLUMN "&amp;エンティティ一覧!$O$2&amp;"."&amp;D$8&amp;"."&amp;D233&amp;" IS '"&amp;C233&amp;"';"</f>
        <v>COMMENT ON COLUMN milscm_2023_009.sny_202310_annony_non_annony2.shikkan215_start_date IS 'C460_疾患開始日';</v>
      </c>
    </row>
    <row r="234" spans="1:45" s="25" customFormat="1">
      <c r="A234" s="4" t="s">
        <v>5367</v>
      </c>
      <c r="B234" s="21">
        <f t="shared" si="24"/>
        <v>222</v>
      </c>
      <c r="C234" s="13" t="str">
        <f t="shared" si="25"/>
        <v>C461_疾患開始日</v>
      </c>
      <c r="D234" s="13" t="s">
        <v>4984</v>
      </c>
      <c r="E234" s="8"/>
      <c r="F234" s="7" t="s">
        <v>4348</v>
      </c>
      <c r="G234" s="7" t="s">
        <v>25</v>
      </c>
      <c r="H234" s="58"/>
      <c r="I234" s="23"/>
      <c r="J234" s="24"/>
      <c r="M234" s="4"/>
      <c r="N234" s="76"/>
      <c r="O234" s="76"/>
      <c r="P234" s="76" t="str">
        <f t="shared" si="8"/>
        <v>,shikkan216_start_date</v>
      </c>
      <c r="Q234" s="76" t="str">
        <f t="shared" si="9"/>
        <v>DATE</v>
      </c>
      <c r="R234" s="76" t="str">
        <f t="shared" si="10"/>
        <v/>
      </c>
      <c r="S234" s="76" t="str">
        <f t="shared" si="11"/>
        <v/>
      </c>
      <c r="T234" s="76" t="str">
        <f t="shared" si="12"/>
        <v>-- C461_疾患開始日</v>
      </c>
      <c r="U234" s="4" t="str">
        <f t="shared" si="26"/>
        <v>, CASE WHEN shikkan_disp_name = 'C461' THEN min_shikkan_start_date ::DATE ELSE NULL END AS shikkan216_start_date</v>
      </c>
      <c r="V234" s="25" t="str">
        <f t="shared" si="27"/>
        <v>, max(shikkan216_start_date)</v>
      </c>
      <c r="AA234" s="4"/>
      <c r="AB234" s="4"/>
      <c r="AC234" s="4"/>
      <c r="AD234" s="4"/>
      <c r="AE234" s="4"/>
      <c r="AF234" s="4"/>
      <c r="AG234" s="4"/>
      <c r="AH234" s="4"/>
      <c r="AI234" s="4"/>
      <c r="AJ234" s="76" t="str">
        <f>IF(E234="○",IF(COUNTA(E$13:E234)=1,"",",")&amp;D234,"")</f>
        <v/>
      </c>
      <c r="AK234" s="4"/>
      <c r="AL234" s="4"/>
      <c r="AM234" s="4"/>
      <c r="AN234" s="4"/>
      <c r="AO234" s="4"/>
      <c r="AP234" s="4"/>
      <c r="AQ234" s="4"/>
      <c r="AR234" s="4"/>
      <c r="AS234" s="76" t="str">
        <f>"COMMENT ON COLUMN "&amp;エンティティ一覧!$O$2&amp;"."&amp;D$8&amp;"."&amp;D234&amp;" IS '"&amp;C234&amp;"';"</f>
        <v>COMMENT ON COLUMN milscm_2023_009.sny_202310_annony_non_annony2.shikkan216_start_date IS 'C461_疾患開始日';</v>
      </c>
    </row>
    <row r="235" spans="1:45" s="25" customFormat="1">
      <c r="A235" s="4" t="s">
        <v>5368</v>
      </c>
      <c r="B235" s="21">
        <f t="shared" si="24"/>
        <v>223</v>
      </c>
      <c r="C235" s="13" t="str">
        <f t="shared" si="25"/>
        <v>C462_疾患開始日</v>
      </c>
      <c r="D235" s="13" t="s">
        <v>4985</v>
      </c>
      <c r="E235" s="8"/>
      <c r="F235" s="7" t="s">
        <v>4348</v>
      </c>
      <c r="G235" s="7" t="s">
        <v>25</v>
      </c>
      <c r="H235" s="58"/>
      <c r="I235" s="23"/>
      <c r="J235" s="24"/>
      <c r="M235" s="4"/>
      <c r="N235" s="76"/>
      <c r="O235" s="76"/>
      <c r="P235" s="76" t="str">
        <f t="shared" si="8"/>
        <v>,shikkan217_start_date</v>
      </c>
      <c r="Q235" s="76" t="str">
        <f t="shared" si="9"/>
        <v>DATE</v>
      </c>
      <c r="R235" s="76" t="str">
        <f t="shared" si="10"/>
        <v/>
      </c>
      <c r="S235" s="76" t="str">
        <f t="shared" si="11"/>
        <v/>
      </c>
      <c r="T235" s="76" t="str">
        <f t="shared" si="12"/>
        <v>-- C462_疾患開始日</v>
      </c>
      <c r="U235" s="4" t="str">
        <f t="shared" si="26"/>
        <v>, CASE WHEN shikkan_disp_name = 'C462' THEN min_shikkan_start_date ::DATE ELSE NULL END AS shikkan217_start_date</v>
      </c>
      <c r="V235" s="25" t="str">
        <f t="shared" si="27"/>
        <v>, max(shikkan217_start_date)</v>
      </c>
      <c r="AA235" s="4"/>
      <c r="AB235" s="4"/>
      <c r="AC235" s="4"/>
      <c r="AD235" s="4"/>
      <c r="AE235" s="4"/>
      <c r="AF235" s="4"/>
      <c r="AG235" s="4"/>
      <c r="AH235" s="4"/>
      <c r="AI235" s="4"/>
      <c r="AJ235" s="76" t="str">
        <f>IF(E235="○",IF(COUNTA(E$13:E235)=1,"",",")&amp;D235,"")</f>
        <v/>
      </c>
      <c r="AK235" s="4"/>
      <c r="AL235" s="4"/>
      <c r="AM235" s="4"/>
      <c r="AN235" s="4"/>
      <c r="AO235" s="4"/>
      <c r="AP235" s="4"/>
      <c r="AQ235" s="4"/>
      <c r="AR235" s="4"/>
      <c r="AS235" s="76" t="str">
        <f>"COMMENT ON COLUMN "&amp;エンティティ一覧!$O$2&amp;"."&amp;D$8&amp;"."&amp;D235&amp;" IS '"&amp;C235&amp;"';"</f>
        <v>COMMENT ON COLUMN milscm_2023_009.sny_202310_annony_non_annony2.shikkan217_start_date IS 'C462_疾患開始日';</v>
      </c>
    </row>
    <row r="236" spans="1:45" s="25" customFormat="1">
      <c r="A236" s="4" t="s">
        <v>5369</v>
      </c>
      <c r="B236" s="21">
        <f t="shared" si="24"/>
        <v>224</v>
      </c>
      <c r="C236" s="13" t="str">
        <f t="shared" si="25"/>
        <v>C463_疾患開始日</v>
      </c>
      <c r="D236" s="13" t="s">
        <v>4986</v>
      </c>
      <c r="E236" s="8"/>
      <c r="F236" s="7" t="s">
        <v>4348</v>
      </c>
      <c r="G236" s="7" t="s">
        <v>25</v>
      </c>
      <c r="H236" s="58"/>
      <c r="I236" s="23"/>
      <c r="J236" s="24"/>
      <c r="M236" s="4"/>
      <c r="N236" s="76"/>
      <c r="O236" s="76"/>
      <c r="P236" s="76" t="str">
        <f t="shared" si="8"/>
        <v>,shikkan218_start_date</v>
      </c>
      <c r="Q236" s="76" t="str">
        <f t="shared" si="9"/>
        <v>DATE</v>
      </c>
      <c r="R236" s="76" t="str">
        <f t="shared" si="10"/>
        <v/>
      </c>
      <c r="S236" s="76" t="str">
        <f t="shared" si="11"/>
        <v/>
      </c>
      <c r="T236" s="76" t="str">
        <f t="shared" si="12"/>
        <v>-- C463_疾患開始日</v>
      </c>
      <c r="U236" s="4" t="str">
        <f t="shared" si="26"/>
        <v>, CASE WHEN shikkan_disp_name = 'C463' THEN min_shikkan_start_date ::DATE ELSE NULL END AS shikkan218_start_date</v>
      </c>
      <c r="V236" s="25" t="str">
        <f t="shared" si="27"/>
        <v>, max(shikkan218_start_date)</v>
      </c>
      <c r="AA236" s="4"/>
      <c r="AB236" s="4"/>
      <c r="AC236" s="4"/>
      <c r="AD236" s="4"/>
      <c r="AE236" s="4"/>
      <c r="AF236" s="4"/>
      <c r="AG236" s="4"/>
      <c r="AH236" s="4"/>
      <c r="AI236" s="4"/>
      <c r="AJ236" s="76" t="str">
        <f>IF(E236="○",IF(COUNTA(E$13:E236)=1,"",",")&amp;D236,"")</f>
        <v/>
      </c>
      <c r="AK236" s="4"/>
      <c r="AL236" s="4"/>
      <c r="AM236" s="4"/>
      <c r="AN236" s="4"/>
      <c r="AO236" s="4"/>
      <c r="AP236" s="4"/>
      <c r="AQ236" s="4"/>
      <c r="AR236" s="4"/>
      <c r="AS236" s="76" t="str">
        <f>"COMMENT ON COLUMN "&amp;エンティティ一覧!$O$2&amp;"."&amp;D$8&amp;"."&amp;D236&amp;" IS '"&amp;C236&amp;"';"</f>
        <v>COMMENT ON COLUMN milscm_2023_009.sny_202310_annony_non_annony2.shikkan218_start_date IS 'C463_疾患開始日';</v>
      </c>
    </row>
    <row r="237" spans="1:45" s="25" customFormat="1">
      <c r="A237" s="4" t="s">
        <v>5370</v>
      </c>
      <c r="B237" s="21">
        <f t="shared" si="24"/>
        <v>225</v>
      </c>
      <c r="C237" s="13" t="str">
        <f t="shared" si="25"/>
        <v>C467_疾患開始日</v>
      </c>
      <c r="D237" s="13" t="s">
        <v>4987</v>
      </c>
      <c r="E237" s="8"/>
      <c r="F237" s="7" t="s">
        <v>4348</v>
      </c>
      <c r="G237" s="7" t="s">
        <v>25</v>
      </c>
      <c r="H237" s="58"/>
      <c r="I237" s="23"/>
      <c r="J237" s="24"/>
      <c r="M237" s="4"/>
      <c r="N237" s="76"/>
      <c r="O237" s="76"/>
      <c r="P237" s="76" t="str">
        <f t="shared" si="8"/>
        <v>,shikkan219_start_date</v>
      </c>
      <c r="Q237" s="76" t="str">
        <f t="shared" si="9"/>
        <v>DATE</v>
      </c>
      <c r="R237" s="76" t="str">
        <f t="shared" si="10"/>
        <v/>
      </c>
      <c r="S237" s="76" t="str">
        <f t="shared" si="11"/>
        <v/>
      </c>
      <c r="T237" s="76" t="str">
        <f t="shared" si="12"/>
        <v>-- C467_疾患開始日</v>
      </c>
      <c r="U237" s="4" t="str">
        <f t="shared" si="26"/>
        <v>, CASE WHEN shikkan_disp_name = 'C467' THEN min_shikkan_start_date ::DATE ELSE NULL END AS shikkan219_start_date</v>
      </c>
      <c r="V237" s="25" t="str">
        <f t="shared" si="27"/>
        <v>, max(shikkan219_start_date)</v>
      </c>
      <c r="AA237" s="4"/>
      <c r="AB237" s="4"/>
      <c r="AC237" s="4"/>
      <c r="AD237" s="4"/>
      <c r="AE237" s="4"/>
      <c r="AF237" s="4"/>
      <c r="AG237" s="4"/>
      <c r="AH237" s="4"/>
      <c r="AI237" s="4"/>
      <c r="AJ237" s="76" t="str">
        <f>IF(E237="○",IF(COUNTA(E$13:E237)=1,"",",")&amp;D237,"")</f>
        <v/>
      </c>
      <c r="AK237" s="4"/>
      <c r="AL237" s="4"/>
      <c r="AM237" s="4"/>
      <c r="AN237" s="4"/>
      <c r="AO237" s="4"/>
      <c r="AP237" s="4"/>
      <c r="AQ237" s="4"/>
      <c r="AR237" s="4"/>
      <c r="AS237" s="76" t="str">
        <f>"COMMENT ON COLUMN "&amp;エンティティ一覧!$O$2&amp;"."&amp;D$8&amp;"."&amp;D237&amp;" IS '"&amp;C237&amp;"';"</f>
        <v>COMMENT ON COLUMN milscm_2023_009.sny_202310_annony_non_annony2.shikkan219_start_date IS 'C467_疾患開始日';</v>
      </c>
    </row>
    <row r="238" spans="1:45" s="25" customFormat="1">
      <c r="A238" s="4" t="s">
        <v>5371</v>
      </c>
      <c r="B238" s="21">
        <f t="shared" si="24"/>
        <v>226</v>
      </c>
      <c r="C238" s="13" t="str">
        <f t="shared" si="25"/>
        <v>C468_疾患開始日</v>
      </c>
      <c r="D238" s="13" t="s">
        <v>4988</v>
      </c>
      <c r="E238" s="8"/>
      <c r="F238" s="7" t="s">
        <v>4348</v>
      </c>
      <c r="G238" s="7" t="s">
        <v>25</v>
      </c>
      <c r="H238" s="58"/>
      <c r="I238" s="23"/>
      <c r="J238" s="24"/>
      <c r="M238" s="4"/>
      <c r="N238" s="76"/>
      <c r="O238" s="76"/>
      <c r="P238" s="76" t="str">
        <f t="shared" si="8"/>
        <v>,shikkan220_start_date</v>
      </c>
      <c r="Q238" s="76" t="str">
        <f t="shared" si="9"/>
        <v>DATE</v>
      </c>
      <c r="R238" s="76" t="str">
        <f t="shared" si="10"/>
        <v/>
      </c>
      <c r="S238" s="76" t="str">
        <f t="shared" si="11"/>
        <v/>
      </c>
      <c r="T238" s="76" t="str">
        <f t="shared" si="12"/>
        <v>-- C468_疾患開始日</v>
      </c>
      <c r="U238" s="4" t="str">
        <f t="shared" si="26"/>
        <v>, CASE WHEN shikkan_disp_name = 'C468' THEN min_shikkan_start_date ::DATE ELSE NULL END AS shikkan220_start_date</v>
      </c>
      <c r="V238" s="25" t="str">
        <f t="shared" si="27"/>
        <v>, max(shikkan220_start_date)</v>
      </c>
      <c r="AA238" s="4"/>
      <c r="AB238" s="4"/>
      <c r="AC238" s="4"/>
      <c r="AD238" s="4"/>
      <c r="AE238" s="4"/>
      <c r="AF238" s="4"/>
      <c r="AG238" s="4"/>
      <c r="AH238" s="4"/>
      <c r="AI238" s="4"/>
      <c r="AJ238" s="76" t="str">
        <f>IF(E238="○",IF(COUNTA(E$13:E238)=1,"",",")&amp;D238,"")</f>
        <v/>
      </c>
      <c r="AK238" s="4"/>
      <c r="AL238" s="4"/>
      <c r="AM238" s="4"/>
      <c r="AN238" s="4"/>
      <c r="AO238" s="4"/>
      <c r="AP238" s="4"/>
      <c r="AQ238" s="4"/>
      <c r="AR238" s="4"/>
      <c r="AS238" s="76" t="str">
        <f>"COMMENT ON COLUMN "&amp;エンティティ一覧!$O$2&amp;"."&amp;D$8&amp;"."&amp;D238&amp;" IS '"&amp;C238&amp;"';"</f>
        <v>COMMENT ON COLUMN milscm_2023_009.sny_202310_annony_non_annony2.shikkan220_start_date IS 'C468_疾患開始日';</v>
      </c>
    </row>
    <row r="239" spans="1:45" s="25" customFormat="1">
      <c r="A239" s="4" t="s">
        <v>5372</v>
      </c>
      <c r="B239" s="21">
        <f t="shared" si="24"/>
        <v>227</v>
      </c>
      <c r="C239" s="13" t="str">
        <f t="shared" si="25"/>
        <v>C469_疾患開始日</v>
      </c>
      <c r="D239" s="13" t="s">
        <v>4989</v>
      </c>
      <c r="E239" s="8"/>
      <c r="F239" s="7" t="s">
        <v>4348</v>
      </c>
      <c r="G239" s="7" t="s">
        <v>25</v>
      </c>
      <c r="H239" s="58"/>
      <c r="I239" s="23"/>
      <c r="J239" s="24"/>
      <c r="M239" s="4"/>
      <c r="N239" s="76"/>
      <c r="O239" s="76"/>
      <c r="P239" s="76" t="str">
        <f t="shared" si="8"/>
        <v>,shikkan221_start_date</v>
      </c>
      <c r="Q239" s="76" t="str">
        <f t="shared" si="9"/>
        <v>DATE</v>
      </c>
      <c r="R239" s="76" t="str">
        <f t="shared" si="10"/>
        <v/>
      </c>
      <c r="S239" s="76" t="str">
        <f t="shared" si="11"/>
        <v/>
      </c>
      <c r="T239" s="76" t="str">
        <f t="shared" si="12"/>
        <v>-- C469_疾患開始日</v>
      </c>
      <c r="U239" s="4" t="str">
        <f t="shared" si="26"/>
        <v>, CASE WHEN shikkan_disp_name = 'C469' THEN min_shikkan_start_date ::DATE ELSE NULL END AS shikkan221_start_date</v>
      </c>
      <c r="V239" s="25" t="str">
        <f t="shared" si="27"/>
        <v>, max(shikkan221_start_date)</v>
      </c>
      <c r="AA239" s="4"/>
      <c r="AB239" s="4"/>
      <c r="AC239" s="4"/>
      <c r="AD239" s="4"/>
      <c r="AE239" s="4"/>
      <c r="AF239" s="4"/>
      <c r="AG239" s="4"/>
      <c r="AH239" s="4"/>
      <c r="AI239" s="4"/>
      <c r="AJ239" s="76" t="str">
        <f>IF(E239="○",IF(COUNTA(E$13:E239)=1,"",",")&amp;D239,"")</f>
        <v/>
      </c>
      <c r="AK239" s="4"/>
      <c r="AL239" s="4"/>
      <c r="AM239" s="4"/>
      <c r="AN239" s="4"/>
      <c r="AO239" s="4"/>
      <c r="AP239" s="4"/>
      <c r="AQ239" s="4"/>
      <c r="AR239" s="4"/>
      <c r="AS239" s="76" t="str">
        <f>"COMMENT ON COLUMN "&amp;エンティティ一覧!$O$2&amp;"."&amp;D$8&amp;"."&amp;D239&amp;" IS '"&amp;C239&amp;"';"</f>
        <v>COMMENT ON COLUMN milscm_2023_009.sny_202310_annony_non_annony2.shikkan221_start_date IS 'C469_疾患開始日';</v>
      </c>
    </row>
    <row r="240" spans="1:45" s="25" customFormat="1">
      <c r="A240" s="4" t="s">
        <v>5373</v>
      </c>
      <c r="B240" s="21">
        <f t="shared" si="24"/>
        <v>228</v>
      </c>
      <c r="C240" s="13" t="str">
        <f t="shared" si="25"/>
        <v>C470_疾患開始日</v>
      </c>
      <c r="D240" s="13" t="s">
        <v>4990</v>
      </c>
      <c r="E240" s="8"/>
      <c r="F240" s="7" t="s">
        <v>4348</v>
      </c>
      <c r="G240" s="7" t="s">
        <v>25</v>
      </c>
      <c r="H240" s="58"/>
      <c r="I240" s="23"/>
      <c r="J240" s="24"/>
      <c r="M240" s="4"/>
      <c r="N240" s="76"/>
      <c r="O240" s="76"/>
      <c r="P240" s="76" t="str">
        <f t="shared" si="8"/>
        <v>,shikkan222_start_date</v>
      </c>
      <c r="Q240" s="76" t="str">
        <f t="shared" si="9"/>
        <v>DATE</v>
      </c>
      <c r="R240" s="76" t="str">
        <f t="shared" si="10"/>
        <v/>
      </c>
      <c r="S240" s="76" t="str">
        <f t="shared" si="11"/>
        <v/>
      </c>
      <c r="T240" s="76" t="str">
        <f t="shared" si="12"/>
        <v>-- C470_疾患開始日</v>
      </c>
      <c r="U240" s="4" t="str">
        <f t="shared" si="26"/>
        <v>, CASE WHEN shikkan_disp_name = 'C470' THEN min_shikkan_start_date ::DATE ELSE NULL END AS shikkan222_start_date</v>
      </c>
      <c r="V240" s="25" t="str">
        <f t="shared" si="27"/>
        <v>, max(shikkan222_start_date)</v>
      </c>
      <c r="AA240" s="4"/>
      <c r="AB240" s="4"/>
      <c r="AC240" s="4"/>
      <c r="AD240" s="4"/>
      <c r="AE240" s="4"/>
      <c r="AF240" s="4"/>
      <c r="AG240" s="4"/>
      <c r="AH240" s="4"/>
      <c r="AI240" s="4"/>
      <c r="AJ240" s="76" t="str">
        <f>IF(E240="○",IF(COUNTA(E$13:E240)=1,"",",")&amp;D240,"")</f>
        <v/>
      </c>
      <c r="AK240" s="4"/>
      <c r="AL240" s="4"/>
      <c r="AM240" s="4"/>
      <c r="AN240" s="4"/>
      <c r="AO240" s="4"/>
      <c r="AP240" s="4"/>
      <c r="AQ240" s="4"/>
      <c r="AR240" s="4"/>
      <c r="AS240" s="76" t="str">
        <f>"COMMENT ON COLUMN "&amp;エンティティ一覧!$O$2&amp;"."&amp;D$8&amp;"."&amp;D240&amp;" IS '"&amp;C240&amp;"';"</f>
        <v>COMMENT ON COLUMN milscm_2023_009.sny_202310_annony_non_annony2.shikkan222_start_date IS 'C470_疾患開始日';</v>
      </c>
    </row>
    <row r="241" spans="1:45" s="25" customFormat="1">
      <c r="A241" s="4" t="s">
        <v>5374</v>
      </c>
      <c r="B241" s="21">
        <f t="shared" si="24"/>
        <v>229</v>
      </c>
      <c r="C241" s="13" t="str">
        <f t="shared" si="25"/>
        <v>C471_疾患開始日</v>
      </c>
      <c r="D241" s="13" t="s">
        <v>4991</v>
      </c>
      <c r="E241" s="8"/>
      <c r="F241" s="7" t="s">
        <v>4348</v>
      </c>
      <c r="G241" s="7" t="s">
        <v>25</v>
      </c>
      <c r="H241" s="58"/>
      <c r="I241" s="23"/>
      <c r="J241" s="24"/>
      <c r="M241" s="4"/>
      <c r="N241" s="76"/>
      <c r="O241" s="76"/>
      <c r="P241" s="76" t="str">
        <f t="shared" si="8"/>
        <v>,shikkan223_start_date</v>
      </c>
      <c r="Q241" s="76" t="str">
        <f t="shared" si="9"/>
        <v>DATE</v>
      </c>
      <c r="R241" s="76" t="str">
        <f t="shared" si="10"/>
        <v/>
      </c>
      <c r="S241" s="76" t="str">
        <f t="shared" si="11"/>
        <v/>
      </c>
      <c r="T241" s="76" t="str">
        <f t="shared" si="12"/>
        <v>-- C471_疾患開始日</v>
      </c>
      <c r="U241" s="4" t="str">
        <f t="shared" si="26"/>
        <v>, CASE WHEN shikkan_disp_name = 'C471' THEN min_shikkan_start_date ::DATE ELSE NULL END AS shikkan223_start_date</v>
      </c>
      <c r="V241" s="25" t="str">
        <f t="shared" si="27"/>
        <v>, max(shikkan223_start_date)</v>
      </c>
      <c r="AA241" s="4"/>
      <c r="AB241" s="4"/>
      <c r="AC241" s="4"/>
      <c r="AD241" s="4"/>
      <c r="AE241" s="4"/>
      <c r="AF241" s="4"/>
      <c r="AG241" s="4"/>
      <c r="AH241" s="4"/>
      <c r="AI241" s="4"/>
      <c r="AJ241" s="76" t="str">
        <f>IF(E241="○",IF(COUNTA(E$13:E241)=1,"",",")&amp;D241,"")</f>
        <v/>
      </c>
      <c r="AK241" s="4"/>
      <c r="AL241" s="4"/>
      <c r="AM241" s="4"/>
      <c r="AN241" s="4"/>
      <c r="AO241" s="4"/>
      <c r="AP241" s="4"/>
      <c r="AQ241" s="4"/>
      <c r="AR241" s="4"/>
      <c r="AS241" s="76" t="str">
        <f>"COMMENT ON COLUMN "&amp;エンティティ一覧!$O$2&amp;"."&amp;D$8&amp;"."&amp;D241&amp;" IS '"&amp;C241&amp;"';"</f>
        <v>COMMENT ON COLUMN milscm_2023_009.sny_202310_annony_non_annony2.shikkan223_start_date IS 'C471_疾患開始日';</v>
      </c>
    </row>
    <row r="242" spans="1:45" s="25" customFormat="1">
      <c r="A242" s="4" t="s">
        <v>5375</v>
      </c>
      <c r="B242" s="21">
        <f t="shared" si="24"/>
        <v>230</v>
      </c>
      <c r="C242" s="13" t="str">
        <f t="shared" si="25"/>
        <v>C472_疾患開始日</v>
      </c>
      <c r="D242" s="13" t="s">
        <v>4992</v>
      </c>
      <c r="E242" s="8"/>
      <c r="F242" s="7" t="s">
        <v>4348</v>
      </c>
      <c r="G242" s="7" t="s">
        <v>25</v>
      </c>
      <c r="H242" s="58"/>
      <c r="I242" s="23"/>
      <c r="J242" s="24"/>
      <c r="M242" s="4"/>
      <c r="N242" s="76"/>
      <c r="O242" s="76"/>
      <c r="P242" s="76" t="str">
        <f t="shared" si="8"/>
        <v>,shikkan224_start_date</v>
      </c>
      <c r="Q242" s="76" t="str">
        <f t="shared" si="9"/>
        <v>DATE</v>
      </c>
      <c r="R242" s="76" t="str">
        <f t="shared" si="10"/>
        <v/>
      </c>
      <c r="S242" s="76" t="str">
        <f t="shared" si="11"/>
        <v/>
      </c>
      <c r="T242" s="76" t="str">
        <f t="shared" si="12"/>
        <v>-- C472_疾患開始日</v>
      </c>
      <c r="U242" s="4" t="str">
        <f t="shared" si="26"/>
        <v>, CASE WHEN shikkan_disp_name = 'C472' THEN min_shikkan_start_date ::DATE ELSE NULL END AS shikkan224_start_date</v>
      </c>
      <c r="V242" s="25" t="str">
        <f t="shared" si="27"/>
        <v>, max(shikkan224_start_date)</v>
      </c>
      <c r="AA242" s="4"/>
      <c r="AB242" s="4"/>
      <c r="AC242" s="4"/>
      <c r="AD242" s="4"/>
      <c r="AE242" s="4"/>
      <c r="AF242" s="4"/>
      <c r="AG242" s="4"/>
      <c r="AH242" s="4"/>
      <c r="AI242" s="4"/>
      <c r="AJ242" s="76" t="str">
        <f>IF(E242="○",IF(COUNTA(E$13:E242)=1,"",",")&amp;D242,"")</f>
        <v/>
      </c>
      <c r="AK242" s="4"/>
      <c r="AL242" s="4"/>
      <c r="AM242" s="4"/>
      <c r="AN242" s="4"/>
      <c r="AO242" s="4"/>
      <c r="AP242" s="4"/>
      <c r="AQ242" s="4"/>
      <c r="AR242" s="4"/>
      <c r="AS242" s="76" t="str">
        <f>"COMMENT ON COLUMN "&amp;エンティティ一覧!$O$2&amp;"."&amp;D$8&amp;"."&amp;D242&amp;" IS '"&amp;C242&amp;"';"</f>
        <v>COMMENT ON COLUMN milscm_2023_009.sny_202310_annony_non_annony2.shikkan224_start_date IS 'C472_疾患開始日';</v>
      </c>
    </row>
    <row r="243" spans="1:45" s="25" customFormat="1">
      <c r="A243" s="4" t="s">
        <v>5376</v>
      </c>
      <c r="B243" s="21">
        <f t="shared" si="24"/>
        <v>231</v>
      </c>
      <c r="C243" s="13" t="str">
        <f t="shared" si="25"/>
        <v>C473_疾患開始日</v>
      </c>
      <c r="D243" s="13" t="s">
        <v>4993</v>
      </c>
      <c r="E243" s="8"/>
      <c r="F243" s="7" t="s">
        <v>4348</v>
      </c>
      <c r="G243" s="7" t="s">
        <v>99</v>
      </c>
      <c r="H243" s="58"/>
      <c r="I243" s="23"/>
      <c r="J243" s="24"/>
      <c r="M243" s="4"/>
      <c r="N243" s="76"/>
      <c r="O243" s="76"/>
      <c r="P243" s="76" t="str">
        <f t="shared" si="8"/>
        <v>,shikkan225_start_date</v>
      </c>
      <c r="Q243" s="76" t="str">
        <f t="shared" si="9"/>
        <v>DATE</v>
      </c>
      <c r="R243" s="76" t="str">
        <f t="shared" si="10"/>
        <v/>
      </c>
      <c r="S243" s="76" t="str">
        <f t="shared" si="11"/>
        <v/>
      </c>
      <c r="T243" s="76" t="str">
        <f t="shared" si="12"/>
        <v>-- C473_疾患開始日</v>
      </c>
      <c r="U243" s="4" t="str">
        <f t="shared" si="26"/>
        <v>, CASE WHEN shikkan_disp_name = 'C473' THEN min_shikkan_start_date ::DATE ELSE NULL END AS shikkan225_start_date</v>
      </c>
      <c r="V243" s="25" t="str">
        <f t="shared" si="27"/>
        <v>, max(shikkan225_start_date)</v>
      </c>
      <c r="AA243" s="4"/>
      <c r="AB243" s="4"/>
      <c r="AC243" s="4"/>
      <c r="AD243" s="4"/>
      <c r="AE243" s="4"/>
      <c r="AF243" s="4"/>
      <c r="AG243" s="4"/>
      <c r="AH243" s="4"/>
      <c r="AI243" s="4"/>
      <c r="AJ243" s="76" t="str">
        <f>IF(E243="○",IF(COUNTA(E$13:E243)=1,"",",")&amp;D243,"")</f>
        <v/>
      </c>
      <c r="AK243" s="4"/>
      <c r="AL243" s="4"/>
      <c r="AM243" s="4"/>
      <c r="AN243" s="4"/>
      <c r="AO243" s="4"/>
      <c r="AP243" s="4"/>
      <c r="AQ243" s="4"/>
      <c r="AR243" s="4"/>
      <c r="AS243" s="76" t="str">
        <f>"COMMENT ON COLUMN "&amp;エンティティ一覧!$O$2&amp;"."&amp;D$8&amp;"."&amp;D243&amp;" IS '"&amp;C243&amp;"';"</f>
        <v>COMMENT ON COLUMN milscm_2023_009.sny_202310_annony_non_annony2.shikkan225_start_date IS 'C473_疾患開始日';</v>
      </c>
    </row>
    <row r="244" spans="1:45" s="25" customFormat="1">
      <c r="A244" s="4" t="s">
        <v>5377</v>
      </c>
      <c r="B244" s="21">
        <f t="shared" si="24"/>
        <v>232</v>
      </c>
      <c r="C244" s="13" t="str">
        <f t="shared" si="25"/>
        <v>C474_疾患開始日</v>
      </c>
      <c r="D244" s="13" t="s">
        <v>4994</v>
      </c>
      <c r="E244" s="8"/>
      <c r="F244" s="7" t="s">
        <v>4348</v>
      </c>
      <c r="G244" s="7" t="s">
        <v>25</v>
      </c>
      <c r="H244" s="58"/>
      <c r="I244" s="23"/>
      <c r="J244" s="24"/>
      <c r="M244" s="4"/>
      <c r="N244" s="76"/>
      <c r="O244" s="76"/>
      <c r="P244" s="76" t="str">
        <f t="shared" si="8"/>
        <v>,shikkan226_start_date</v>
      </c>
      <c r="Q244" s="76" t="str">
        <f t="shared" si="9"/>
        <v>DATE</v>
      </c>
      <c r="R244" s="76" t="str">
        <f t="shared" si="10"/>
        <v/>
      </c>
      <c r="S244" s="76" t="str">
        <f t="shared" si="11"/>
        <v/>
      </c>
      <c r="T244" s="76" t="str">
        <f t="shared" si="12"/>
        <v>-- C474_疾患開始日</v>
      </c>
      <c r="U244" s="4" t="str">
        <f t="shared" si="26"/>
        <v>, CASE WHEN shikkan_disp_name = 'C474' THEN min_shikkan_start_date ::DATE ELSE NULL END AS shikkan226_start_date</v>
      </c>
      <c r="V244" s="25" t="str">
        <f t="shared" si="27"/>
        <v>, max(shikkan226_start_date)</v>
      </c>
      <c r="AA244" s="4"/>
      <c r="AB244" s="4"/>
      <c r="AC244" s="4"/>
      <c r="AD244" s="4"/>
      <c r="AE244" s="4"/>
      <c r="AF244" s="4"/>
      <c r="AG244" s="4"/>
      <c r="AH244" s="4"/>
      <c r="AI244" s="4"/>
      <c r="AJ244" s="76" t="str">
        <f>IF(E244="○",IF(COUNTA(E$13:E244)=1,"",",")&amp;D244,"")</f>
        <v/>
      </c>
      <c r="AK244" s="4"/>
      <c r="AL244" s="4"/>
      <c r="AM244" s="4"/>
      <c r="AN244" s="4"/>
      <c r="AO244" s="4"/>
      <c r="AP244" s="4"/>
      <c r="AQ244" s="4"/>
      <c r="AR244" s="4"/>
      <c r="AS244" s="76" t="str">
        <f>"COMMENT ON COLUMN "&amp;エンティティ一覧!$O$2&amp;"."&amp;D$8&amp;"."&amp;D244&amp;" IS '"&amp;C244&amp;"';"</f>
        <v>COMMENT ON COLUMN milscm_2023_009.sny_202310_annony_non_annony2.shikkan226_start_date IS 'C474_疾患開始日';</v>
      </c>
    </row>
    <row r="245" spans="1:45" s="25" customFormat="1">
      <c r="A245" s="4" t="s">
        <v>5378</v>
      </c>
      <c r="B245" s="21">
        <f t="shared" si="24"/>
        <v>233</v>
      </c>
      <c r="C245" s="13" t="str">
        <f t="shared" si="25"/>
        <v>C475_疾患開始日</v>
      </c>
      <c r="D245" s="13" t="s">
        <v>4995</v>
      </c>
      <c r="E245" s="8"/>
      <c r="F245" s="7" t="s">
        <v>4348</v>
      </c>
      <c r="G245" s="7" t="s">
        <v>25</v>
      </c>
      <c r="H245" s="58"/>
      <c r="I245" s="23"/>
      <c r="J245" s="24"/>
      <c r="M245" s="4"/>
      <c r="N245" s="76"/>
      <c r="O245" s="76"/>
      <c r="P245" s="76" t="str">
        <f t="shared" si="8"/>
        <v>,shikkan227_start_date</v>
      </c>
      <c r="Q245" s="76" t="str">
        <f t="shared" si="9"/>
        <v>DATE</v>
      </c>
      <c r="R245" s="76" t="str">
        <f t="shared" si="10"/>
        <v/>
      </c>
      <c r="S245" s="76" t="str">
        <f t="shared" si="11"/>
        <v/>
      </c>
      <c r="T245" s="76" t="str">
        <f t="shared" si="12"/>
        <v>-- C475_疾患開始日</v>
      </c>
      <c r="U245" s="4" t="str">
        <f t="shared" si="26"/>
        <v>, CASE WHEN shikkan_disp_name = 'C475' THEN min_shikkan_start_date ::DATE ELSE NULL END AS shikkan227_start_date</v>
      </c>
      <c r="V245" s="25" t="str">
        <f t="shared" si="27"/>
        <v>, max(shikkan227_start_date)</v>
      </c>
      <c r="AA245" s="4"/>
      <c r="AB245" s="4"/>
      <c r="AC245" s="4"/>
      <c r="AD245" s="4"/>
      <c r="AE245" s="4"/>
      <c r="AF245" s="4"/>
      <c r="AG245" s="4"/>
      <c r="AH245" s="4"/>
      <c r="AI245" s="4"/>
      <c r="AJ245" s="76" t="str">
        <f>IF(E245="○",IF(COUNTA(E$13:E245)=1,"",",")&amp;D245,"")</f>
        <v/>
      </c>
      <c r="AK245" s="4"/>
      <c r="AL245" s="4"/>
      <c r="AM245" s="4"/>
      <c r="AN245" s="4"/>
      <c r="AO245" s="4"/>
      <c r="AP245" s="4"/>
      <c r="AQ245" s="4"/>
      <c r="AR245" s="4"/>
      <c r="AS245" s="76" t="str">
        <f>"COMMENT ON COLUMN "&amp;エンティティ一覧!$O$2&amp;"."&amp;D$8&amp;"."&amp;D245&amp;" IS '"&amp;C245&amp;"';"</f>
        <v>COMMENT ON COLUMN milscm_2023_009.sny_202310_annony_non_annony2.shikkan227_start_date IS 'C475_疾患開始日';</v>
      </c>
    </row>
    <row r="246" spans="1:45" s="25" customFormat="1">
      <c r="A246" s="4" t="s">
        <v>5379</v>
      </c>
      <c r="B246" s="21">
        <f t="shared" si="24"/>
        <v>234</v>
      </c>
      <c r="C246" s="13" t="str">
        <f t="shared" si="25"/>
        <v>C476_疾患開始日</v>
      </c>
      <c r="D246" s="13" t="s">
        <v>4996</v>
      </c>
      <c r="E246" s="8"/>
      <c r="F246" s="7" t="s">
        <v>4348</v>
      </c>
      <c r="G246" s="7" t="s">
        <v>25</v>
      </c>
      <c r="H246" s="58"/>
      <c r="I246" s="23"/>
      <c r="J246" s="24"/>
      <c r="M246" s="4"/>
      <c r="N246" s="76"/>
      <c r="O246" s="76"/>
      <c r="P246" s="76" t="str">
        <f t="shared" si="8"/>
        <v>,shikkan228_start_date</v>
      </c>
      <c r="Q246" s="76" t="str">
        <f t="shared" si="9"/>
        <v>DATE</v>
      </c>
      <c r="R246" s="76" t="str">
        <f t="shared" si="10"/>
        <v/>
      </c>
      <c r="S246" s="76" t="str">
        <f t="shared" si="11"/>
        <v/>
      </c>
      <c r="T246" s="76" t="str">
        <f t="shared" si="12"/>
        <v>-- C476_疾患開始日</v>
      </c>
      <c r="U246" s="4" t="str">
        <f t="shared" si="26"/>
        <v>, CASE WHEN shikkan_disp_name = 'C476' THEN min_shikkan_start_date ::DATE ELSE NULL END AS shikkan228_start_date</v>
      </c>
      <c r="V246" s="25" t="str">
        <f t="shared" si="27"/>
        <v>, max(shikkan228_start_date)</v>
      </c>
      <c r="AA246" s="4"/>
      <c r="AB246" s="4"/>
      <c r="AC246" s="4"/>
      <c r="AD246" s="4"/>
      <c r="AE246" s="4"/>
      <c r="AF246" s="4"/>
      <c r="AG246" s="4"/>
      <c r="AH246" s="4"/>
      <c r="AI246" s="4"/>
      <c r="AJ246" s="76" t="str">
        <f>IF(E246="○",IF(COUNTA(E$13:E246)=1,"",",")&amp;D246,"")</f>
        <v/>
      </c>
      <c r="AK246" s="4"/>
      <c r="AL246" s="4"/>
      <c r="AM246" s="4"/>
      <c r="AN246" s="4"/>
      <c r="AO246" s="4"/>
      <c r="AP246" s="4"/>
      <c r="AQ246" s="4"/>
      <c r="AR246" s="4"/>
      <c r="AS246" s="76" t="str">
        <f>"COMMENT ON COLUMN "&amp;エンティティ一覧!$O$2&amp;"."&amp;D$8&amp;"."&amp;D246&amp;" IS '"&amp;C246&amp;"';"</f>
        <v>COMMENT ON COLUMN milscm_2023_009.sny_202310_annony_non_annony2.shikkan228_start_date IS 'C476_疾患開始日';</v>
      </c>
    </row>
    <row r="247" spans="1:45" s="25" customFormat="1">
      <c r="A247" s="4" t="s">
        <v>5380</v>
      </c>
      <c r="B247" s="21">
        <f t="shared" si="24"/>
        <v>235</v>
      </c>
      <c r="C247" s="13" t="str">
        <f t="shared" si="25"/>
        <v>C478_疾患開始日</v>
      </c>
      <c r="D247" s="13" t="s">
        <v>4997</v>
      </c>
      <c r="E247" s="8"/>
      <c r="F247" s="7" t="s">
        <v>4348</v>
      </c>
      <c r="G247" s="7" t="s">
        <v>25</v>
      </c>
      <c r="H247" s="58"/>
      <c r="I247" s="23"/>
      <c r="J247" s="24"/>
      <c r="M247" s="4"/>
      <c r="N247" s="76"/>
      <c r="O247" s="76"/>
      <c r="P247" s="76" t="str">
        <f t="shared" si="8"/>
        <v>,shikkan229_start_date</v>
      </c>
      <c r="Q247" s="76" t="str">
        <f t="shared" si="9"/>
        <v>DATE</v>
      </c>
      <c r="R247" s="76" t="str">
        <f t="shared" si="10"/>
        <v/>
      </c>
      <c r="S247" s="76" t="str">
        <f t="shared" si="11"/>
        <v/>
      </c>
      <c r="T247" s="76" t="str">
        <f t="shared" si="12"/>
        <v>-- C478_疾患開始日</v>
      </c>
      <c r="U247" s="4" t="str">
        <f t="shared" si="26"/>
        <v>, CASE WHEN shikkan_disp_name = 'C478' THEN min_shikkan_start_date ::DATE ELSE NULL END AS shikkan229_start_date</v>
      </c>
      <c r="V247" s="25" t="str">
        <f t="shared" si="27"/>
        <v>, max(shikkan229_start_date)</v>
      </c>
      <c r="AA247" s="4"/>
      <c r="AB247" s="4"/>
      <c r="AC247" s="4"/>
      <c r="AD247" s="4"/>
      <c r="AE247" s="4"/>
      <c r="AF247" s="4"/>
      <c r="AG247" s="4"/>
      <c r="AH247" s="4"/>
      <c r="AI247" s="4"/>
      <c r="AJ247" s="76" t="str">
        <f>IF(E247="○",IF(COUNTA(E$13:E247)=1,"",",")&amp;D247,"")</f>
        <v/>
      </c>
      <c r="AK247" s="4"/>
      <c r="AL247" s="4"/>
      <c r="AM247" s="4"/>
      <c r="AN247" s="4"/>
      <c r="AO247" s="4"/>
      <c r="AP247" s="4"/>
      <c r="AQ247" s="4"/>
      <c r="AR247" s="4"/>
      <c r="AS247" s="76" t="str">
        <f>"COMMENT ON COLUMN "&amp;エンティティ一覧!$O$2&amp;"."&amp;D$8&amp;"."&amp;D247&amp;" IS '"&amp;C247&amp;"';"</f>
        <v>COMMENT ON COLUMN milscm_2023_009.sny_202310_annony_non_annony2.shikkan229_start_date IS 'C478_疾患開始日';</v>
      </c>
    </row>
    <row r="248" spans="1:45" s="25" customFormat="1">
      <c r="A248" s="4" t="s">
        <v>5381</v>
      </c>
      <c r="B248" s="21">
        <f t="shared" si="24"/>
        <v>236</v>
      </c>
      <c r="C248" s="13" t="str">
        <f t="shared" si="25"/>
        <v>C479_疾患開始日</v>
      </c>
      <c r="D248" s="13" t="s">
        <v>4998</v>
      </c>
      <c r="E248" s="8"/>
      <c r="F248" s="7" t="s">
        <v>4348</v>
      </c>
      <c r="G248" s="7" t="s">
        <v>25</v>
      </c>
      <c r="H248" s="58"/>
      <c r="I248" s="23"/>
      <c r="J248" s="24"/>
      <c r="M248" s="4"/>
      <c r="N248" s="76"/>
      <c r="O248" s="76"/>
      <c r="P248" s="76" t="str">
        <f t="shared" si="8"/>
        <v>,shikkan230_start_date</v>
      </c>
      <c r="Q248" s="76" t="str">
        <f t="shared" si="9"/>
        <v>DATE</v>
      </c>
      <c r="R248" s="76" t="str">
        <f t="shared" si="10"/>
        <v/>
      </c>
      <c r="S248" s="76" t="str">
        <f t="shared" si="11"/>
        <v/>
      </c>
      <c r="T248" s="76" t="str">
        <f t="shared" si="12"/>
        <v>-- C479_疾患開始日</v>
      </c>
      <c r="U248" s="4" t="str">
        <f t="shared" si="26"/>
        <v>, CASE WHEN shikkan_disp_name = 'C479' THEN min_shikkan_start_date ::DATE ELSE NULL END AS shikkan230_start_date</v>
      </c>
      <c r="V248" s="25" t="str">
        <f t="shared" si="27"/>
        <v>, max(shikkan230_start_date)</v>
      </c>
      <c r="AA248" s="4"/>
      <c r="AB248" s="4"/>
      <c r="AC248" s="4"/>
      <c r="AD248" s="4"/>
      <c r="AE248" s="4"/>
      <c r="AF248" s="4"/>
      <c r="AG248" s="4"/>
      <c r="AH248" s="4"/>
      <c r="AI248" s="4"/>
      <c r="AJ248" s="76" t="str">
        <f>IF(E248="○",IF(COUNTA(E$13:E248)=1,"",",")&amp;D248,"")</f>
        <v/>
      </c>
      <c r="AK248" s="4"/>
      <c r="AL248" s="4"/>
      <c r="AM248" s="4"/>
      <c r="AN248" s="4"/>
      <c r="AO248" s="4"/>
      <c r="AP248" s="4"/>
      <c r="AQ248" s="4"/>
      <c r="AR248" s="4"/>
      <c r="AS248" s="76" t="str">
        <f>"COMMENT ON COLUMN "&amp;エンティティ一覧!$O$2&amp;"."&amp;D$8&amp;"."&amp;D248&amp;" IS '"&amp;C248&amp;"';"</f>
        <v>COMMENT ON COLUMN milscm_2023_009.sny_202310_annony_non_annony2.shikkan230_start_date IS 'C479_疾患開始日';</v>
      </c>
    </row>
    <row r="249" spans="1:45" s="25" customFormat="1">
      <c r="A249" s="4" t="s">
        <v>5382</v>
      </c>
      <c r="B249" s="21">
        <f t="shared" si="24"/>
        <v>237</v>
      </c>
      <c r="C249" s="13" t="str">
        <f t="shared" si="25"/>
        <v>C480_疾患開始日</v>
      </c>
      <c r="D249" s="13" t="s">
        <v>4999</v>
      </c>
      <c r="E249" s="8"/>
      <c r="F249" s="7" t="s">
        <v>4348</v>
      </c>
      <c r="G249" s="7" t="s">
        <v>25</v>
      </c>
      <c r="H249" s="58"/>
      <c r="I249" s="23"/>
      <c r="J249" s="24"/>
      <c r="M249" s="4"/>
      <c r="N249" s="76"/>
      <c r="O249" s="76"/>
      <c r="P249" s="76" t="str">
        <f t="shared" si="8"/>
        <v>,shikkan231_start_date</v>
      </c>
      <c r="Q249" s="76" t="str">
        <f t="shared" si="9"/>
        <v>DATE</v>
      </c>
      <c r="R249" s="76" t="str">
        <f t="shared" si="10"/>
        <v/>
      </c>
      <c r="S249" s="76" t="str">
        <f t="shared" si="11"/>
        <v/>
      </c>
      <c r="T249" s="76" t="str">
        <f t="shared" si="12"/>
        <v>-- C480_疾患開始日</v>
      </c>
      <c r="U249" s="4" t="str">
        <f t="shared" si="26"/>
        <v>, CASE WHEN shikkan_disp_name = 'C480' THEN min_shikkan_start_date ::DATE ELSE NULL END AS shikkan231_start_date</v>
      </c>
      <c r="V249" s="25" t="str">
        <f t="shared" si="27"/>
        <v>, max(shikkan231_start_date)</v>
      </c>
      <c r="AA249" s="4"/>
      <c r="AB249" s="4"/>
      <c r="AC249" s="4"/>
      <c r="AD249" s="4"/>
      <c r="AE249" s="4"/>
      <c r="AF249" s="4"/>
      <c r="AG249" s="4"/>
      <c r="AH249" s="4"/>
      <c r="AI249" s="4"/>
      <c r="AJ249" s="76" t="str">
        <f>IF(E249="○",IF(COUNTA(E$13:E249)=1,"",",")&amp;D249,"")</f>
        <v/>
      </c>
      <c r="AK249" s="4"/>
      <c r="AL249" s="4"/>
      <c r="AM249" s="4"/>
      <c r="AN249" s="4"/>
      <c r="AO249" s="4"/>
      <c r="AP249" s="4"/>
      <c r="AQ249" s="4"/>
      <c r="AR249" s="4"/>
      <c r="AS249" s="76" t="str">
        <f>"COMMENT ON COLUMN "&amp;エンティティ一覧!$O$2&amp;"."&amp;D$8&amp;"."&amp;D249&amp;" IS '"&amp;C249&amp;"';"</f>
        <v>COMMENT ON COLUMN milscm_2023_009.sny_202310_annony_non_annony2.shikkan231_start_date IS 'C480_疾患開始日';</v>
      </c>
    </row>
    <row r="250" spans="1:45" s="25" customFormat="1">
      <c r="A250" s="4" t="s">
        <v>5383</v>
      </c>
      <c r="B250" s="21">
        <f t="shared" si="24"/>
        <v>238</v>
      </c>
      <c r="C250" s="13" t="str">
        <f t="shared" si="25"/>
        <v>C481_疾患開始日</v>
      </c>
      <c r="D250" s="13" t="s">
        <v>5000</v>
      </c>
      <c r="E250" s="8"/>
      <c r="F250" s="7" t="s">
        <v>4348</v>
      </c>
      <c r="G250" s="7" t="s">
        <v>25</v>
      </c>
      <c r="H250" s="58"/>
      <c r="I250" s="23"/>
      <c r="J250" s="24"/>
      <c r="M250" s="4"/>
      <c r="N250" s="76"/>
      <c r="O250" s="76"/>
      <c r="P250" s="76" t="str">
        <f t="shared" si="8"/>
        <v>,shikkan232_start_date</v>
      </c>
      <c r="Q250" s="76" t="str">
        <f t="shared" si="9"/>
        <v>DATE</v>
      </c>
      <c r="R250" s="76" t="str">
        <f t="shared" si="10"/>
        <v/>
      </c>
      <c r="S250" s="76" t="str">
        <f t="shared" si="11"/>
        <v/>
      </c>
      <c r="T250" s="76" t="str">
        <f t="shared" si="12"/>
        <v>-- C481_疾患開始日</v>
      </c>
      <c r="U250" s="4" t="str">
        <f t="shared" si="26"/>
        <v>, CASE WHEN shikkan_disp_name = 'C481' THEN min_shikkan_start_date ::DATE ELSE NULL END AS shikkan232_start_date</v>
      </c>
      <c r="V250" s="25" t="str">
        <f t="shared" si="27"/>
        <v>, max(shikkan232_start_date)</v>
      </c>
      <c r="AA250" s="4"/>
      <c r="AB250" s="4"/>
      <c r="AC250" s="4"/>
      <c r="AD250" s="4"/>
      <c r="AE250" s="4"/>
      <c r="AF250" s="4"/>
      <c r="AG250" s="4"/>
      <c r="AH250" s="4"/>
      <c r="AI250" s="4"/>
      <c r="AJ250" s="76" t="str">
        <f>IF(E250="○",IF(COUNTA(E$13:E250)=1,"",",")&amp;D250,"")</f>
        <v/>
      </c>
      <c r="AK250" s="4"/>
      <c r="AL250" s="4"/>
      <c r="AM250" s="4"/>
      <c r="AN250" s="4"/>
      <c r="AO250" s="4"/>
      <c r="AP250" s="4"/>
      <c r="AQ250" s="4"/>
      <c r="AR250" s="4"/>
      <c r="AS250" s="76" t="str">
        <f>"COMMENT ON COLUMN "&amp;エンティティ一覧!$O$2&amp;"."&amp;D$8&amp;"."&amp;D250&amp;" IS '"&amp;C250&amp;"';"</f>
        <v>COMMENT ON COLUMN milscm_2023_009.sny_202310_annony_non_annony2.shikkan232_start_date IS 'C481_疾患開始日';</v>
      </c>
    </row>
    <row r="251" spans="1:45" s="25" customFormat="1">
      <c r="A251" s="4" t="s">
        <v>5384</v>
      </c>
      <c r="B251" s="21">
        <f t="shared" si="24"/>
        <v>239</v>
      </c>
      <c r="C251" s="13" t="str">
        <f t="shared" si="25"/>
        <v>C482_疾患開始日</v>
      </c>
      <c r="D251" s="13" t="s">
        <v>5001</v>
      </c>
      <c r="E251" s="8"/>
      <c r="F251" s="7" t="s">
        <v>4348</v>
      </c>
      <c r="G251" s="7" t="s">
        <v>25</v>
      </c>
      <c r="H251" s="58"/>
      <c r="I251" s="23"/>
      <c r="J251" s="24"/>
      <c r="M251" s="4"/>
      <c r="N251" s="76"/>
      <c r="O251" s="76"/>
      <c r="P251" s="76" t="str">
        <f t="shared" si="8"/>
        <v>,shikkan233_start_date</v>
      </c>
      <c r="Q251" s="76" t="str">
        <f t="shared" si="9"/>
        <v>DATE</v>
      </c>
      <c r="R251" s="76" t="str">
        <f t="shared" si="10"/>
        <v/>
      </c>
      <c r="S251" s="76" t="str">
        <f t="shared" si="11"/>
        <v/>
      </c>
      <c r="T251" s="76" t="str">
        <f t="shared" si="12"/>
        <v>-- C482_疾患開始日</v>
      </c>
      <c r="U251" s="4" t="str">
        <f t="shared" si="26"/>
        <v>, CASE WHEN shikkan_disp_name = 'C482' THEN min_shikkan_start_date ::DATE ELSE NULL END AS shikkan233_start_date</v>
      </c>
      <c r="V251" s="25" t="str">
        <f t="shared" si="27"/>
        <v>, max(shikkan233_start_date)</v>
      </c>
      <c r="AA251" s="4"/>
      <c r="AB251" s="4"/>
      <c r="AC251" s="4"/>
      <c r="AD251" s="4"/>
      <c r="AE251" s="4"/>
      <c r="AF251" s="4"/>
      <c r="AG251" s="4"/>
      <c r="AH251" s="4"/>
      <c r="AI251" s="4"/>
      <c r="AJ251" s="76" t="str">
        <f>IF(E251="○",IF(COUNTA(E$13:E251)=1,"",",")&amp;D251,"")</f>
        <v/>
      </c>
      <c r="AK251" s="4"/>
      <c r="AL251" s="4"/>
      <c r="AM251" s="4"/>
      <c r="AN251" s="4"/>
      <c r="AO251" s="4"/>
      <c r="AP251" s="4"/>
      <c r="AQ251" s="4"/>
      <c r="AR251" s="4"/>
      <c r="AS251" s="76" t="str">
        <f>"COMMENT ON COLUMN "&amp;エンティティ一覧!$O$2&amp;"."&amp;D$8&amp;"."&amp;D251&amp;" IS '"&amp;C251&amp;"';"</f>
        <v>COMMENT ON COLUMN milscm_2023_009.sny_202310_annony_non_annony2.shikkan233_start_date IS 'C482_疾患開始日';</v>
      </c>
    </row>
    <row r="252" spans="1:45" s="25" customFormat="1">
      <c r="A252" s="4" t="s">
        <v>5385</v>
      </c>
      <c r="B252" s="21">
        <f t="shared" si="24"/>
        <v>240</v>
      </c>
      <c r="C252" s="13" t="str">
        <f t="shared" si="25"/>
        <v>C488_疾患開始日</v>
      </c>
      <c r="D252" s="13" t="s">
        <v>5002</v>
      </c>
      <c r="E252" s="8"/>
      <c r="F252" s="7" t="s">
        <v>4348</v>
      </c>
      <c r="G252" s="7" t="s">
        <v>25</v>
      </c>
      <c r="H252" s="58"/>
      <c r="I252" s="23"/>
      <c r="J252" s="24"/>
      <c r="M252" s="4"/>
      <c r="N252" s="76"/>
      <c r="O252" s="76"/>
      <c r="P252" s="76" t="str">
        <f t="shared" si="8"/>
        <v>,shikkan234_start_date</v>
      </c>
      <c r="Q252" s="76" t="str">
        <f t="shared" si="9"/>
        <v>DATE</v>
      </c>
      <c r="R252" s="76" t="str">
        <f t="shared" si="10"/>
        <v/>
      </c>
      <c r="S252" s="76" t="str">
        <f t="shared" si="11"/>
        <v/>
      </c>
      <c r="T252" s="76" t="str">
        <f t="shared" si="12"/>
        <v>-- C488_疾患開始日</v>
      </c>
      <c r="U252" s="4" t="str">
        <f t="shared" si="26"/>
        <v>, CASE WHEN shikkan_disp_name = 'C488' THEN min_shikkan_start_date ::DATE ELSE NULL END AS shikkan234_start_date</v>
      </c>
      <c r="V252" s="25" t="str">
        <f t="shared" si="27"/>
        <v>, max(shikkan234_start_date)</v>
      </c>
      <c r="AA252" s="4"/>
      <c r="AB252" s="4"/>
      <c r="AC252" s="4"/>
      <c r="AD252" s="4"/>
      <c r="AE252" s="4"/>
      <c r="AF252" s="4"/>
      <c r="AG252" s="4"/>
      <c r="AH252" s="4"/>
      <c r="AI252" s="4"/>
      <c r="AJ252" s="76" t="str">
        <f>IF(E252="○",IF(COUNTA(E$13:E252)=1,"",",")&amp;D252,"")</f>
        <v/>
      </c>
      <c r="AK252" s="4"/>
      <c r="AL252" s="4"/>
      <c r="AM252" s="4"/>
      <c r="AN252" s="4"/>
      <c r="AO252" s="4"/>
      <c r="AP252" s="4"/>
      <c r="AQ252" s="4"/>
      <c r="AR252" s="4"/>
      <c r="AS252" s="76" t="str">
        <f>"COMMENT ON COLUMN "&amp;エンティティ一覧!$O$2&amp;"."&amp;D$8&amp;"."&amp;D252&amp;" IS '"&amp;C252&amp;"';"</f>
        <v>COMMENT ON COLUMN milscm_2023_009.sny_202310_annony_non_annony2.shikkan234_start_date IS 'C488_疾患開始日';</v>
      </c>
    </row>
    <row r="253" spans="1:45" s="25" customFormat="1">
      <c r="A253" s="4" t="s">
        <v>5386</v>
      </c>
      <c r="B253" s="21">
        <f t="shared" si="24"/>
        <v>241</v>
      </c>
      <c r="C253" s="13" t="str">
        <f t="shared" si="25"/>
        <v>C490_疾患開始日</v>
      </c>
      <c r="D253" s="13" t="s">
        <v>5003</v>
      </c>
      <c r="E253" s="8"/>
      <c r="F253" s="7" t="s">
        <v>4348</v>
      </c>
      <c r="G253" s="7" t="s">
        <v>25</v>
      </c>
      <c r="H253" s="58"/>
      <c r="I253" s="23"/>
      <c r="J253" s="24"/>
      <c r="M253" s="4"/>
      <c r="N253" s="76"/>
      <c r="O253" s="76"/>
      <c r="P253" s="76" t="str">
        <f t="shared" si="8"/>
        <v>,shikkan235_start_date</v>
      </c>
      <c r="Q253" s="76" t="str">
        <f t="shared" si="9"/>
        <v>DATE</v>
      </c>
      <c r="R253" s="76" t="str">
        <f t="shared" si="10"/>
        <v/>
      </c>
      <c r="S253" s="76" t="str">
        <f t="shared" si="11"/>
        <v/>
      </c>
      <c r="T253" s="76" t="str">
        <f t="shared" si="12"/>
        <v>-- C490_疾患開始日</v>
      </c>
      <c r="U253" s="4" t="str">
        <f t="shared" si="26"/>
        <v>, CASE WHEN shikkan_disp_name = 'C490' THEN min_shikkan_start_date ::DATE ELSE NULL END AS shikkan235_start_date</v>
      </c>
      <c r="V253" s="25" t="str">
        <f t="shared" si="27"/>
        <v>, max(shikkan235_start_date)</v>
      </c>
      <c r="AA253" s="4"/>
      <c r="AB253" s="4"/>
      <c r="AC253" s="4"/>
      <c r="AD253" s="4"/>
      <c r="AE253" s="4"/>
      <c r="AF253" s="4"/>
      <c r="AG253" s="4"/>
      <c r="AH253" s="4"/>
      <c r="AI253" s="4"/>
      <c r="AJ253" s="76" t="str">
        <f>IF(E253="○",IF(COUNTA(E$13:E253)=1,"",",")&amp;D253,"")</f>
        <v/>
      </c>
      <c r="AK253" s="4"/>
      <c r="AL253" s="4"/>
      <c r="AM253" s="4"/>
      <c r="AN253" s="4"/>
      <c r="AO253" s="4"/>
      <c r="AP253" s="4"/>
      <c r="AQ253" s="4"/>
      <c r="AR253" s="4"/>
      <c r="AS253" s="76" t="str">
        <f>"COMMENT ON COLUMN "&amp;エンティティ一覧!$O$2&amp;"."&amp;D$8&amp;"."&amp;D253&amp;" IS '"&amp;C253&amp;"';"</f>
        <v>COMMENT ON COLUMN milscm_2023_009.sny_202310_annony_non_annony2.shikkan235_start_date IS 'C490_疾患開始日';</v>
      </c>
    </row>
    <row r="254" spans="1:45" s="25" customFormat="1">
      <c r="A254" s="4" t="s">
        <v>5387</v>
      </c>
      <c r="B254" s="21">
        <f t="shared" si="24"/>
        <v>242</v>
      </c>
      <c r="C254" s="13" t="str">
        <f t="shared" si="25"/>
        <v>C491_疾患開始日</v>
      </c>
      <c r="D254" s="13" t="s">
        <v>5004</v>
      </c>
      <c r="E254" s="8"/>
      <c r="F254" s="7" t="s">
        <v>4348</v>
      </c>
      <c r="G254" s="7" t="s">
        <v>25</v>
      </c>
      <c r="H254" s="58"/>
      <c r="I254" s="23"/>
      <c r="J254" s="24"/>
      <c r="M254" s="4"/>
      <c r="N254" s="76"/>
      <c r="O254" s="76"/>
      <c r="P254" s="76" t="str">
        <f t="shared" si="8"/>
        <v>,shikkan236_start_date</v>
      </c>
      <c r="Q254" s="76" t="str">
        <f t="shared" si="9"/>
        <v>DATE</v>
      </c>
      <c r="R254" s="76" t="str">
        <f t="shared" si="10"/>
        <v/>
      </c>
      <c r="S254" s="76" t="str">
        <f t="shared" si="11"/>
        <v/>
      </c>
      <c r="T254" s="76" t="str">
        <f t="shared" si="12"/>
        <v>-- C491_疾患開始日</v>
      </c>
      <c r="U254" s="4" t="str">
        <f t="shared" si="26"/>
        <v>, CASE WHEN shikkan_disp_name = 'C491' THEN min_shikkan_start_date ::DATE ELSE NULL END AS shikkan236_start_date</v>
      </c>
      <c r="V254" s="25" t="str">
        <f t="shared" si="27"/>
        <v>, max(shikkan236_start_date)</v>
      </c>
      <c r="AA254" s="4"/>
      <c r="AB254" s="4"/>
      <c r="AC254" s="4"/>
      <c r="AD254" s="4"/>
      <c r="AE254" s="4"/>
      <c r="AF254" s="4"/>
      <c r="AG254" s="4"/>
      <c r="AH254" s="4"/>
      <c r="AI254" s="4"/>
      <c r="AJ254" s="76" t="str">
        <f>IF(E254="○",IF(COUNTA(E$13:E254)=1,"",",")&amp;D254,"")</f>
        <v/>
      </c>
      <c r="AK254" s="4"/>
      <c r="AL254" s="4"/>
      <c r="AM254" s="4"/>
      <c r="AN254" s="4"/>
      <c r="AO254" s="4"/>
      <c r="AP254" s="4"/>
      <c r="AQ254" s="4"/>
      <c r="AR254" s="4"/>
      <c r="AS254" s="76" t="str">
        <f>"COMMENT ON COLUMN "&amp;エンティティ一覧!$O$2&amp;"."&amp;D$8&amp;"."&amp;D254&amp;" IS '"&amp;C254&amp;"';"</f>
        <v>COMMENT ON COLUMN milscm_2023_009.sny_202310_annony_non_annony2.shikkan236_start_date IS 'C491_疾患開始日';</v>
      </c>
    </row>
    <row r="255" spans="1:45" s="25" customFormat="1">
      <c r="A255" s="4" t="s">
        <v>5388</v>
      </c>
      <c r="B255" s="21">
        <f t="shared" si="24"/>
        <v>243</v>
      </c>
      <c r="C255" s="13" t="str">
        <f t="shared" si="25"/>
        <v>C492_疾患開始日</v>
      </c>
      <c r="D255" s="13" t="s">
        <v>5005</v>
      </c>
      <c r="E255" s="8"/>
      <c r="F255" s="7" t="s">
        <v>4348</v>
      </c>
      <c r="G255" s="7" t="s">
        <v>25</v>
      </c>
      <c r="H255" s="58"/>
      <c r="I255" s="23"/>
      <c r="J255" s="24"/>
      <c r="M255" s="4"/>
      <c r="N255" s="76"/>
      <c r="O255" s="76"/>
      <c r="P255" s="76" t="str">
        <f t="shared" si="8"/>
        <v>,shikkan237_start_date</v>
      </c>
      <c r="Q255" s="76" t="str">
        <f t="shared" si="9"/>
        <v>DATE</v>
      </c>
      <c r="R255" s="76" t="str">
        <f t="shared" si="10"/>
        <v/>
      </c>
      <c r="S255" s="76" t="str">
        <f t="shared" si="11"/>
        <v/>
      </c>
      <c r="T255" s="76" t="str">
        <f t="shared" si="12"/>
        <v>-- C492_疾患開始日</v>
      </c>
      <c r="U255" s="4" t="str">
        <f t="shared" si="26"/>
        <v>, CASE WHEN shikkan_disp_name = 'C492' THEN min_shikkan_start_date ::DATE ELSE NULL END AS shikkan237_start_date</v>
      </c>
      <c r="V255" s="25" t="str">
        <f t="shared" si="27"/>
        <v>, max(shikkan237_start_date)</v>
      </c>
      <c r="AA255" s="4"/>
      <c r="AB255" s="4"/>
      <c r="AC255" s="4"/>
      <c r="AD255" s="4"/>
      <c r="AE255" s="4"/>
      <c r="AF255" s="4"/>
      <c r="AG255" s="4"/>
      <c r="AH255" s="4"/>
      <c r="AI255" s="4"/>
      <c r="AJ255" s="76" t="str">
        <f>IF(E255="○",IF(COUNTA(E$13:E255)=1,"",",")&amp;D255,"")</f>
        <v/>
      </c>
      <c r="AK255" s="4"/>
      <c r="AL255" s="4"/>
      <c r="AM255" s="4"/>
      <c r="AN255" s="4"/>
      <c r="AO255" s="4"/>
      <c r="AP255" s="4"/>
      <c r="AQ255" s="4"/>
      <c r="AR255" s="4"/>
      <c r="AS255" s="76" t="str">
        <f>"COMMENT ON COLUMN "&amp;エンティティ一覧!$O$2&amp;"."&amp;D$8&amp;"."&amp;D255&amp;" IS '"&amp;C255&amp;"';"</f>
        <v>COMMENT ON COLUMN milscm_2023_009.sny_202310_annony_non_annony2.shikkan237_start_date IS 'C492_疾患開始日';</v>
      </c>
    </row>
    <row r="256" spans="1:45" s="25" customFormat="1">
      <c r="A256" s="4" t="s">
        <v>5389</v>
      </c>
      <c r="B256" s="21">
        <f t="shared" si="24"/>
        <v>244</v>
      </c>
      <c r="C256" s="13" t="str">
        <f t="shared" si="25"/>
        <v>C493_疾患開始日</v>
      </c>
      <c r="D256" s="13" t="s">
        <v>5006</v>
      </c>
      <c r="E256" s="8"/>
      <c r="F256" s="7" t="s">
        <v>4348</v>
      </c>
      <c r="G256" s="7" t="s">
        <v>25</v>
      </c>
      <c r="H256" s="58"/>
      <c r="I256" s="23"/>
      <c r="J256" s="24"/>
      <c r="M256" s="4"/>
      <c r="N256" s="76"/>
      <c r="O256" s="76"/>
      <c r="P256" s="76" t="str">
        <f t="shared" si="8"/>
        <v>,shikkan238_start_date</v>
      </c>
      <c r="Q256" s="76" t="str">
        <f t="shared" si="9"/>
        <v>DATE</v>
      </c>
      <c r="R256" s="76" t="str">
        <f t="shared" si="10"/>
        <v/>
      </c>
      <c r="S256" s="76" t="str">
        <f t="shared" si="11"/>
        <v/>
      </c>
      <c r="T256" s="76" t="str">
        <f t="shared" si="12"/>
        <v>-- C493_疾患開始日</v>
      </c>
      <c r="U256" s="4" t="str">
        <f t="shared" si="26"/>
        <v>, CASE WHEN shikkan_disp_name = 'C493' THEN min_shikkan_start_date ::DATE ELSE NULL END AS shikkan238_start_date</v>
      </c>
      <c r="V256" s="25" t="str">
        <f t="shared" si="27"/>
        <v>, max(shikkan238_start_date)</v>
      </c>
      <c r="AA256" s="4"/>
      <c r="AB256" s="4"/>
      <c r="AC256" s="4"/>
      <c r="AD256" s="4"/>
      <c r="AE256" s="4"/>
      <c r="AF256" s="4"/>
      <c r="AG256" s="4"/>
      <c r="AH256" s="4"/>
      <c r="AI256" s="4"/>
      <c r="AJ256" s="76" t="str">
        <f>IF(E256="○",IF(COUNTA(E$13:E256)=1,"",",")&amp;D256,"")</f>
        <v/>
      </c>
      <c r="AK256" s="4"/>
      <c r="AL256" s="4"/>
      <c r="AM256" s="4"/>
      <c r="AN256" s="4"/>
      <c r="AO256" s="4"/>
      <c r="AP256" s="4"/>
      <c r="AQ256" s="4"/>
      <c r="AR256" s="4"/>
      <c r="AS256" s="76" t="str">
        <f>"COMMENT ON COLUMN "&amp;エンティティ一覧!$O$2&amp;"."&amp;D$8&amp;"."&amp;D256&amp;" IS '"&amp;C256&amp;"';"</f>
        <v>COMMENT ON COLUMN milscm_2023_009.sny_202310_annony_non_annony2.shikkan238_start_date IS 'C493_疾患開始日';</v>
      </c>
    </row>
    <row r="257" spans="1:45" s="25" customFormat="1">
      <c r="A257" s="4" t="s">
        <v>5390</v>
      </c>
      <c r="B257" s="21">
        <f t="shared" si="24"/>
        <v>245</v>
      </c>
      <c r="C257" s="13" t="str">
        <f t="shared" si="25"/>
        <v>C494_疾患開始日</v>
      </c>
      <c r="D257" s="13" t="s">
        <v>5007</v>
      </c>
      <c r="E257" s="8"/>
      <c r="F257" s="7" t="s">
        <v>4348</v>
      </c>
      <c r="G257" s="7" t="s">
        <v>25</v>
      </c>
      <c r="H257" s="58"/>
      <c r="I257" s="23"/>
      <c r="J257" s="24"/>
      <c r="M257" s="4"/>
      <c r="N257" s="76"/>
      <c r="O257" s="76"/>
      <c r="P257" s="76" t="str">
        <f t="shared" si="8"/>
        <v>,shikkan239_start_date</v>
      </c>
      <c r="Q257" s="76" t="str">
        <f t="shared" si="9"/>
        <v>DATE</v>
      </c>
      <c r="R257" s="76" t="str">
        <f t="shared" si="10"/>
        <v/>
      </c>
      <c r="S257" s="76" t="str">
        <f t="shared" si="11"/>
        <v/>
      </c>
      <c r="T257" s="76" t="str">
        <f t="shared" si="12"/>
        <v>-- C494_疾患開始日</v>
      </c>
      <c r="U257" s="4" t="str">
        <f t="shared" si="26"/>
        <v>, CASE WHEN shikkan_disp_name = 'C494' THEN min_shikkan_start_date ::DATE ELSE NULL END AS shikkan239_start_date</v>
      </c>
      <c r="V257" s="25" t="str">
        <f t="shared" si="27"/>
        <v>, max(shikkan239_start_date)</v>
      </c>
      <c r="AA257" s="4"/>
      <c r="AB257" s="4"/>
      <c r="AC257" s="4"/>
      <c r="AD257" s="4"/>
      <c r="AE257" s="4"/>
      <c r="AF257" s="4"/>
      <c r="AG257" s="4"/>
      <c r="AH257" s="4"/>
      <c r="AI257" s="4"/>
      <c r="AJ257" s="76" t="str">
        <f>IF(E257="○",IF(COUNTA(E$13:E257)=1,"",",")&amp;D257,"")</f>
        <v/>
      </c>
      <c r="AK257" s="4"/>
      <c r="AL257" s="4"/>
      <c r="AM257" s="4"/>
      <c r="AN257" s="4"/>
      <c r="AO257" s="4"/>
      <c r="AP257" s="4"/>
      <c r="AQ257" s="4"/>
      <c r="AR257" s="4"/>
      <c r="AS257" s="76" t="str">
        <f>"COMMENT ON COLUMN "&amp;エンティティ一覧!$O$2&amp;"."&amp;D$8&amp;"."&amp;D257&amp;" IS '"&amp;C257&amp;"';"</f>
        <v>COMMENT ON COLUMN milscm_2023_009.sny_202310_annony_non_annony2.shikkan239_start_date IS 'C494_疾患開始日';</v>
      </c>
    </row>
    <row r="258" spans="1:45" s="25" customFormat="1">
      <c r="A258" s="4" t="s">
        <v>5391</v>
      </c>
      <c r="B258" s="21">
        <f t="shared" si="24"/>
        <v>246</v>
      </c>
      <c r="C258" s="13" t="str">
        <f t="shared" si="25"/>
        <v>C495_疾患開始日</v>
      </c>
      <c r="D258" s="13" t="s">
        <v>5008</v>
      </c>
      <c r="E258" s="8"/>
      <c r="F258" s="7" t="s">
        <v>4348</v>
      </c>
      <c r="G258" s="7" t="s">
        <v>25</v>
      </c>
      <c r="H258" s="58"/>
      <c r="I258" s="23"/>
      <c r="J258" s="24"/>
      <c r="M258" s="4"/>
      <c r="N258" s="76"/>
      <c r="O258" s="76"/>
      <c r="P258" s="76" t="str">
        <f t="shared" si="8"/>
        <v>,shikkan240_start_date</v>
      </c>
      <c r="Q258" s="76" t="str">
        <f t="shared" si="9"/>
        <v>DATE</v>
      </c>
      <c r="R258" s="76" t="str">
        <f t="shared" si="10"/>
        <v/>
      </c>
      <c r="S258" s="76" t="str">
        <f t="shared" si="11"/>
        <v/>
      </c>
      <c r="T258" s="76" t="str">
        <f t="shared" si="12"/>
        <v>-- C495_疾患開始日</v>
      </c>
      <c r="U258" s="4" t="str">
        <f t="shared" si="26"/>
        <v>, CASE WHEN shikkan_disp_name = 'C495' THEN min_shikkan_start_date ::DATE ELSE NULL END AS shikkan240_start_date</v>
      </c>
      <c r="V258" s="25" t="str">
        <f t="shared" si="27"/>
        <v>, max(shikkan240_start_date)</v>
      </c>
      <c r="AA258" s="4"/>
      <c r="AB258" s="4"/>
      <c r="AC258" s="4"/>
      <c r="AD258" s="4"/>
      <c r="AE258" s="4"/>
      <c r="AF258" s="4"/>
      <c r="AG258" s="4"/>
      <c r="AH258" s="4"/>
      <c r="AI258" s="4"/>
      <c r="AJ258" s="76" t="str">
        <f>IF(E258="○",IF(COUNTA(E$13:E258)=1,"",",")&amp;D258,"")</f>
        <v/>
      </c>
      <c r="AK258" s="4"/>
      <c r="AL258" s="4"/>
      <c r="AM258" s="4"/>
      <c r="AN258" s="4"/>
      <c r="AO258" s="4"/>
      <c r="AP258" s="4"/>
      <c r="AQ258" s="4"/>
      <c r="AR258" s="4"/>
      <c r="AS258" s="76" t="str">
        <f>"COMMENT ON COLUMN "&amp;エンティティ一覧!$O$2&amp;"."&amp;D$8&amp;"."&amp;D258&amp;" IS '"&amp;C258&amp;"';"</f>
        <v>COMMENT ON COLUMN milscm_2023_009.sny_202310_annony_non_annony2.shikkan240_start_date IS 'C495_疾患開始日';</v>
      </c>
    </row>
    <row r="259" spans="1:45" s="25" customFormat="1">
      <c r="A259" s="4" t="s">
        <v>5392</v>
      </c>
      <c r="B259" s="21">
        <f t="shared" si="24"/>
        <v>247</v>
      </c>
      <c r="C259" s="13" t="str">
        <f t="shared" si="25"/>
        <v>C496_疾患開始日</v>
      </c>
      <c r="D259" s="13" t="s">
        <v>5009</v>
      </c>
      <c r="E259" s="8"/>
      <c r="F259" s="7" t="s">
        <v>4348</v>
      </c>
      <c r="G259" s="7" t="s">
        <v>99</v>
      </c>
      <c r="H259" s="58"/>
      <c r="I259" s="23"/>
      <c r="J259" s="24"/>
      <c r="M259" s="4"/>
      <c r="N259" s="76"/>
      <c r="O259" s="76"/>
      <c r="P259" s="76" t="str">
        <f t="shared" si="8"/>
        <v>,shikkan241_start_date</v>
      </c>
      <c r="Q259" s="76" t="str">
        <f t="shared" si="9"/>
        <v>DATE</v>
      </c>
      <c r="R259" s="76" t="str">
        <f t="shared" si="10"/>
        <v/>
      </c>
      <c r="S259" s="76" t="str">
        <f t="shared" si="11"/>
        <v/>
      </c>
      <c r="T259" s="76" t="str">
        <f t="shared" si="12"/>
        <v>-- C496_疾患開始日</v>
      </c>
      <c r="U259" s="4" t="str">
        <f t="shared" si="26"/>
        <v>, CASE WHEN shikkan_disp_name = 'C496' THEN min_shikkan_start_date ::DATE ELSE NULL END AS shikkan241_start_date</v>
      </c>
      <c r="V259" s="25" t="str">
        <f t="shared" si="27"/>
        <v>, max(shikkan241_start_date)</v>
      </c>
      <c r="AA259" s="4"/>
      <c r="AB259" s="4"/>
      <c r="AC259" s="4"/>
      <c r="AD259" s="4"/>
      <c r="AE259" s="4"/>
      <c r="AF259" s="4"/>
      <c r="AG259" s="4"/>
      <c r="AH259" s="4"/>
      <c r="AI259" s="4"/>
      <c r="AJ259" s="76" t="str">
        <f>IF(E259="○",IF(COUNTA(E$13:E259)=1,"",",")&amp;D259,"")</f>
        <v/>
      </c>
      <c r="AK259" s="4"/>
      <c r="AL259" s="4"/>
      <c r="AM259" s="4"/>
      <c r="AN259" s="4"/>
      <c r="AO259" s="4"/>
      <c r="AP259" s="4"/>
      <c r="AQ259" s="4"/>
      <c r="AR259" s="4"/>
      <c r="AS259" s="76" t="str">
        <f>"COMMENT ON COLUMN "&amp;エンティティ一覧!$O$2&amp;"."&amp;D$8&amp;"."&amp;D259&amp;" IS '"&amp;C259&amp;"';"</f>
        <v>COMMENT ON COLUMN milscm_2023_009.sny_202310_annony_non_annony2.shikkan241_start_date IS 'C496_疾患開始日';</v>
      </c>
    </row>
    <row r="260" spans="1:45" s="25" customFormat="1">
      <c r="A260" s="4" t="s">
        <v>5393</v>
      </c>
      <c r="B260" s="21">
        <f t="shared" si="24"/>
        <v>248</v>
      </c>
      <c r="C260" s="13" t="str">
        <f t="shared" si="25"/>
        <v>C498_疾患開始日</v>
      </c>
      <c r="D260" s="13" t="s">
        <v>5010</v>
      </c>
      <c r="E260" s="8"/>
      <c r="F260" s="7" t="s">
        <v>4348</v>
      </c>
      <c r="G260" s="7" t="s">
        <v>25</v>
      </c>
      <c r="H260" s="58"/>
      <c r="I260" s="23"/>
      <c r="J260" s="24"/>
      <c r="M260" s="4"/>
      <c r="N260" s="76"/>
      <c r="O260" s="76"/>
      <c r="P260" s="76" t="str">
        <f t="shared" si="8"/>
        <v>,shikkan242_start_date</v>
      </c>
      <c r="Q260" s="76" t="str">
        <f t="shared" si="9"/>
        <v>DATE</v>
      </c>
      <c r="R260" s="76" t="str">
        <f t="shared" si="10"/>
        <v/>
      </c>
      <c r="S260" s="76" t="str">
        <f t="shared" si="11"/>
        <v/>
      </c>
      <c r="T260" s="76" t="str">
        <f t="shared" si="12"/>
        <v>-- C498_疾患開始日</v>
      </c>
      <c r="U260" s="4" t="str">
        <f t="shared" si="26"/>
        <v>, CASE WHEN shikkan_disp_name = 'C498' THEN min_shikkan_start_date ::DATE ELSE NULL END AS shikkan242_start_date</v>
      </c>
      <c r="V260" s="25" t="str">
        <f t="shared" si="27"/>
        <v>, max(shikkan242_start_date)</v>
      </c>
      <c r="AA260" s="4"/>
      <c r="AB260" s="4"/>
      <c r="AC260" s="4"/>
      <c r="AD260" s="4"/>
      <c r="AE260" s="4"/>
      <c r="AF260" s="4"/>
      <c r="AG260" s="4"/>
      <c r="AH260" s="4"/>
      <c r="AI260" s="4"/>
      <c r="AJ260" s="76" t="str">
        <f>IF(E260="○",IF(COUNTA(E$13:E260)=1,"",",")&amp;D260,"")</f>
        <v/>
      </c>
      <c r="AK260" s="4"/>
      <c r="AL260" s="4"/>
      <c r="AM260" s="4"/>
      <c r="AN260" s="4"/>
      <c r="AO260" s="4"/>
      <c r="AP260" s="4"/>
      <c r="AQ260" s="4"/>
      <c r="AR260" s="4"/>
      <c r="AS260" s="76" t="str">
        <f>"COMMENT ON COLUMN "&amp;エンティティ一覧!$O$2&amp;"."&amp;D$8&amp;"."&amp;D260&amp;" IS '"&amp;C260&amp;"';"</f>
        <v>COMMENT ON COLUMN milscm_2023_009.sny_202310_annony_non_annony2.shikkan242_start_date IS 'C498_疾患開始日';</v>
      </c>
    </row>
    <row r="261" spans="1:45" s="25" customFormat="1">
      <c r="A261" s="4" t="s">
        <v>5394</v>
      </c>
      <c r="B261" s="21">
        <f t="shared" si="24"/>
        <v>249</v>
      </c>
      <c r="C261" s="13" t="str">
        <f t="shared" si="25"/>
        <v>C499_疾患開始日</v>
      </c>
      <c r="D261" s="13" t="s">
        <v>5011</v>
      </c>
      <c r="E261" s="8"/>
      <c r="F261" s="7" t="s">
        <v>4348</v>
      </c>
      <c r="G261" s="7" t="s">
        <v>25</v>
      </c>
      <c r="H261" s="58"/>
      <c r="I261" s="23"/>
      <c r="J261" s="24"/>
      <c r="M261" s="4"/>
      <c r="N261" s="76"/>
      <c r="O261" s="76"/>
      <c r="P261" s="76" t="str">
        <f t="shared" si="8"/>
        <v>,shikkan243_start_date</v>
      </c>
      <c r="Q261" s="76" t="str">
        <f t="shared" si="9"/>
        <v>DATE</v>
      </c>
      <c r="R261" s="76" t="str">
        <f t="shared" si="10"/>
        <v/>
      </c>
      <c r="S261" s="76" t="str">
        <f t="shared" si="11"/>
        <v/>
      </c>
      <c r="T261" s="76" t="str">
        <f t="shared" si="12"/>
        <v>-- C499_疾患開始日</v>
      </c>
      <c r="U261" s="4" t="str">
        <f t="shared" si="26"/>
        <v>, CASE WHEN shikkan_disp_name = 'C499' THEN min_shikkan_start_date ::DATE ELSE NULL END AS shikkan243_start_date</v>
      </c>
      <c r="V261" s="25" t="str">
        <f t="shared" si="27"/>
        <v>, max(shikkan243_start_date)</v>
      </c>
      <c r="AA261" s="4"/>
      <c r="AB261" s="4"/>
      <c r="AC261" s="4"/>
      <c r="AD261" s="4"/>
      <c r="AE261" s="4"/>
      <c r="AF261" s="4"/>
      <c r="AG261" s="4"/>
      <c r="AH261" s="4"/>
      <c r="AI261" s="4"/>
      <c r="AJ261" s="76" t="str">
        <f>IF(E261="○",IF(COUNTA(E$13:E261)=1,"",",")&amp;D261,"")</f>
        <v/>
      </c>
      <c r="AK261" s="4"/>
      <c r="AL261" s="4"/>
      <c r="AM261" s="4"/>
      <c r="AN261" s="4"/>
      <c r="AO261" s="4"/>
      <c r="AP261" s="4"/>
      <c r="AQ261" s="4"/>
      <c r="AR261" s="4"/>
      <c r="AS261" s="76" t="str">
        <f>"COMMENT ON COLUMN "&amp;エンティティ一覧!$O$2&amp;"."&amp;D$8&amp;"."&amp;D261&amp;" IS '"&amp;C261&amp;"';"</f>
        <v>COMMENT ON COLUMN milscm_2023_009.sny_202310_annony_non_annony2.shikkan243_start_date IS 'C499_疾患開始日';</v>
      </c>
    </row>
    <row r="262" spans="1:45" s="25" customFormat="1">
      <c r="A262" s="4" t="s">
        <v>5395</v>
      </c>
      <c r="B262" s="21">
        <f t="shared" si="24"/>
        <v>250</v>
      </c>
      <c r="C262" s="13" t="str">
        <f t="shared" si="25"/>
        <v>C500_疾患開始日</v>
      </c>
      <c r="D262" s="13" t="s">
        <v>5012</v>
      </c>
      <c r="E262" s="8"/>
      <c r="F262" s="7" t="s">
        <v>4348</v>
      </c>
      <c r="G262" s="7" t="s">
        <v>25</v>
      </c>
      <c r="H262" s="58"/>
      <c r="I262" s="23"/>
      <c r="J262" s="24"/>
      <c r="M262" s="4"/>
      <c r="N262" s="76"/>
      <c r="O262" s="76"/>
      <c r="P262" s="76" t="str">
        <f t="shared" si="8"/>
        <v>,shikkan244_start_date</v>
      </c>
      <c r="Q262" s="76" t="str">
        <f t="shared" si="9"/>
        <v>DATE</v>
      </c>
      <c r="R262" s="76" t="str">
        <f t="shared" si="10"/>
        <v/>
      </c>
      <c r="S262" s="76" t="str">
        <f t="shared" si="11"/>
        <v/>
      </c>
      <c r="T262" s="76" t="str">
        <f t="shared" si="12"/>
        <v>-- C500_疾患開始日</v>
      </c>
      <c r="U262" s="4" t="str">
        <f t="shared" si="26"/>
        <v>, CASE WHEN shikkan_disp_name = 'C500' THEN min_shikkan_start_date ::DATE ELSE NULL END AS shikkan244_start_date</v>
      </c>
      <c r="V262" s="25" t="str">
        <f t="shared" si="27"/>
        <v>, max(shikkan244_start_date)</v>
      </c>
      <c r="AA262" s="4"/>
      <c r="AB262" s="4"/>
      <c r="AC262" s="4"/>
      <c r="AD262" s="4"/>
      <c r="AE262" s="4"/>
      <c r="AF262" s="4"/>
      <c r="AG262" s="4"/>
      <c r="AH262" s="4"/>
      <c r="AI262" s="4"/>
      <c r="AJ262" s="76" t="str">
        <f>IF(E262="○",IF(COUNTA(E$13:E262)=1,"",",")&amp;D262,"")</f>
        <v/>
      </c>
      <c r="AK262" s="4"/>
      <c r="AL262" s="4"/>
      <c r="AM262" s="4"/>
      <c r="AN262" s="4"/>
      <c r="AO262" s="4"/>
      <c r="AP262" s="4"/>
      <c r="AQ262" s="4"/>
      <c r="AR262" s="4"/>
      <c r="AS262" s="76" t="str">
        <f>"COMMENT ON COLUMN "&amp;エンティティ一覧!$O$2&amp;"."&amp;D$8&amp;"."&amp;D262&amp;" IS '"&amp;C262&amp;"';"</f>
        <v>COMMENT ON COLUMN milscm_2023_009.sny_202310_annony_non_annony2.shikkan244_start_date IS 'C500_疾患開始日';</v>
      </c>
    </row>
    <row r="263" spans="1:45" s="25" customFormat="1">
      <c r="A263" s="4" t="s">
        <v>5396</v>
      </c>
      <c r="B263" s="21">
        <f t="shared" si="24"/>
        <v>251</v>
      </c>
      <c r="C263" s="13" t="str">
        <f t="shared" si="25"/>
        <v>C501_疾患開始日</v>
      </c>
      <c r="D263" s="13" t="s">
        <v>5013</v>
      </c>
      <c r="E263" s="8"/>
      <c r="F263" s="7" t="s">
        <v>4348</v>
      </c>
      <c r="G263" s="7" t="s">
        <v>25</v>
      </c>
      <c r="H263" s="58"/>
      <c r="I263" s="23"/>
      <c r="J263" s="24"/>
      <c r="M263" s="4"/>
      <c r="N263" s="76"/>
      <c r="O263" s="76"/>
      <c r="P263" s="76" t="str">
        <f t="shared" si="8"/>
        <v>,shikkan245_start_date</v>
      </c>
      <c r="Q263" s="76" t="str">
        <f t="shared" si="9"/>
        <v>DATE</v>
      </c>
      <c r="R263" s="76" t="str">
        <f t="shared" si="10"/>
        <v/>
      </c>
      <c r="S263" s="76" t="str">
        <f t="shared" si="11"/>
        <v/>
      </c>
      <c r="T263" s="76" t="str">
        <f t="shared" si="12"/>
        <v>-- C501_疾患開始日</v>
      </c>
      <c r="U263" s="4" t="str">
        <f t="shared" si="26"/>
        <v>, CASE WHEN shikkan_disp_name = 'C501' THEN min_shikkan_start_date ::DATE ELSE NULL END AS shikkan245_start_date</v>
      </c>
      <c r="V263" s="25" t="str">
        <f t="shared" si="27"/>
        <v>, max(shikkan245_start_date)</v>
      </c>
      <c r="AA263" s="4"/>
      <c r="AB263" s="4"/>
      <c r="AC263" s="4"/>
      <c r="AD263" s="4"/>
      <c r="AE263" s="4"/>
      <c r="AF263" s="4"/>
      <c r="AG263" s="4"/>
      <c r="AH263" s="4"/>
      <c r="AI263" s="4"/>
      <c r="AJ263" s="76" t="str">
        <f>IF(E263="○",IF(COUNTA(E$13:E263)=1,"",",")&amp;D263,"")</f>
        <v/>
      </c>
      <c r="AK263" s="4"/>
      <c r="AL263" s="4"/>
      <c r="AM263" s="4"/>
      <c r="AN263" s="4"/>
      <c r="AO263" s="4"/>
      <c r="AP263" s="4"/>
      <c r="AQ263" s="4"/>
      <c r="AR263" s="4"/>
      <c r="AS263" s="76" t="str">
        <f>"COMMENT ON COLUMN "&amp;エンティティ一覧!$O$2&amp;"."&amp;D$8&amp;"."&amp;D263&amp;" IS '"&amp;C263&amp;"';"</f>
        <v>COMMENT ON COLUMN milscm_2023_009.sny_202310_annony_non_annony2.shikkan245_start_date IS 'C501_疾患開始日';</v>
      </c>
    </row>
    <row r="264" spans="1:45" s="25" customFormat="1">
      <c r="A264" s="4" t="s">
        <v>5397</v>
      </c>
      <c r="B264" s="21">
        <f t="shared" si="24"/>
        <v>252</v>
      </c>
      <c r="C264" s="13" t="str">
        <f t="shared" si="25"/>
        <v>C502_疾患開始日</v>
      </c>
      <c r="D264" s="13" t="s">
        <v>5014</v>
      </c>
      <c r="E264" s="8"/>
      <c r="F264" s="7" t="s">
        <v>4348</v>
      </c>
      <c r="G264" s="7" t="s">
        <v>25</v>
      </c>
      <c r="H264" s="58"/>
      <c r="I264" s="23"/>
      <c r="J264" s="24"/>
      <c r="M264" s="4"/>
      <c r="N264" s="76"/>
      <c r="O264" s="76"/>
      <c r="P264" s="76" t="str">
        <f t="shared" si="8"/>
        <v>,shikkan246_start_date</v>
      </c>
      <c r="Q264" s="76" t="str">
        <f t="shared" si="9"/>
        <v>DATE</v>
      </c>
      <c r="R264" s="76" t="str">
        <f t="shared" si="10"/>
        <v/>
      </c>
      <c r="S264" s="76" t="str">
        <f t="shared" si="11"/>
        <v/>
      </c>
      <c r="T264" s="76" t="str">
        <f t="shared" si="12"/>
        <v>-- C502_疾患開始日</v>
      </c>
      <c r="U264" s="4" t="str">
        <f t="shared" si="26"/>
        <v>, CASE WHEN shikkan_disp_name = 'C502' THEN min_shikkan_start_date ::DATE ELSE NULL END AS shikkan246_start_date</v>
      </c>
      <c r="V264" s="25" t="str">
        <f t="shared" si="27"/>
        <v>, max(shikkan246_start_date)</v>
      </c>
      <c r="AA264" s="4"/>
      <c r="AB264" s="4"/>
      <c r="AC264" s="4"/>
      <c r="AD264" s="4"/>
      <c r="AE264" s="4"/>
      <c r="AF264" s="4"/>
      <c r="AG264" s="4"/>
      <c r="AH264" s="4"/>
      <c r="AI264" s="4"/>
      <c r="AJ264" s="76" t="str">
        <f>IF(E264="○",IF(COUNTA(E$13:E264)=1,"",",")&amp;D264,"")</f>
        <v/>
      </c>
      <c r="AK264" s="4"/>
      <c r="AL264" s="4"/>
      <c r="AM264" s="4"/>
      <c r="AN264" s="4"/>
      <c r="AO264" s="4"/>
      <c r="AP264" s="4"/>
      <c r="AQ264" s="4"/>
      <c r="AR264" s="4"/>
      <c r="AS264" s="76" t="str">
        <f>"COMMENT ON COLUMN "&amp;エンティティ一覧!$O$2&amp;"."&amp;D$8&amp;"."&amp;D264&amp;" IS '"&amp;C264&amp;"';"</f>
        <v>COMMENT ON COLUMN milscm_2023_009.sny_202310_annony_non_annony2.shikkan246_start_date IS 'C502_疾患開始日';</v>
      </c>
    </row>
    <row r="265" spans="1:45" s="25" customFormat="1">
      <c r="A265" s="4" t="s">
        <v>5398</v>
      </c>
      <c r="B265" s="21">
        <f t="shared" si="24"/>
        <v>253</v>
      </c>
      <c r="C265" s="13" t="str">
        <f t="shared" si="25"/>
        <v>C503_疾患開始日</v>
      </c>
      <c r="D265" s="13" t="s">
        <v>5015</v>
      </c>
      <c r="E265" s="8"/>
      <c r="F265" s="7" t="s">
        <v>4348</v>
      </c>
      <c r="G265" s="7" t="s">
        <v>25</v>
      </c>
      <c r="H265" s="58"/>
      <c r="I265" s="23"/>
      <c r="J265" s="24"/>
      <c r="M265" s="4"/>
      <c r="N265" s="76"/>
      <c r="O265" s="76"/>
      <c r="P265" s="76" t="str">
        <f t="shared" si="8"/>
        <v>,shikkan247_start_date</v>
      </c>
      <c r="Q265" s="76" t="str">
        <f t="shared" si="9"/>
        <v>DATE</v>
      </c>
      <c r="R265" s="76" t="str">
        <f t="shared" si="10"/>
        <v/>
      </c>
      <c r="S265" s="76" t="str">
        <f t="shared" si="11"/>
        <v/>
      </c>
      <c r="T265" s="76" t="str">
        <f t="shared" si="12"/>
        <v>-- C503_疾患開始日</v>
      </c>
      <c r="U265" s="4" t="str">
        <f t="shared" si="26"/>
        <v>, CASE WHEN shikkan_disp_name = 'C503' THEN min_shikkan_start_date ::DATE ELSE NULL END AS shikkan247_start_date</v>
      </c>
      <c r="V265" s="25" t="str">
        <f t="shared" si="27"/>
        <v>, max(shikkan247_start_date)</v>
      </c>
      <c r="AA265" s="4"/>
      <c r="AB265" s="4"/>
      <c r="AC265" s="4"/>
      <c r="AD265" s="4"/>
      <c r="AE265" s="4"/>
      <c r="AF265" s="4"/>
      <c r="AG265" s="4"/>
      <c r="AH265" s="4"/>
      <c r="AI265" s="4"/>
      <c r="AJ265" s="76" t="str">
        <f>IF(E265="○",IF(COUNTA(E$13:E265)=1,"",",")&amp;D265,"")</f>
        <v/>
      </c>
      <c r="AK265" s="4"/>
      <c r="AL265" s="4"/>
      <c r="AM265" s="4"/>
      <c r="AN265" s="4"/>
      <c r="AO265" s="4"/>
      <c r="AP265" s="4"/>
      <c r="AQ265" s="4"/>
      <c r="AR265" s="4"/>
      <c r="AS265" s="76" t="str">
        <f>"COMMENT ON COLUMN "&amp;エンティティ一覧!$O$2&amp;"."&amp;D$8&amp;"."&amp;D265&amp;" IS '"&amp;C265&amp;"';"</f>
        <v>COMMENT ON COLUMN milscm_2023_009.sny_202310_annony_non_annony2.shikkan247_start_date IS 'C503_疾患開始日';</v>
      </c>
    </row>
    <row r="266" spans="1:45" s="25" customFormat="1">
      <c r="A266" s="4" t="s">
        <v>5399</v>
      </c>
      <c r="B266" s="21">
        <f t="shared" si="24"/>
        <v>254</v>
      </c>
      <c r="C266" s="13" t="str">
        <f t="shared" si="25"/>
        <v>C504_疾患開始日</v>
      </c>
      <c r="D266" s="13" t="s">
        <v>5016</v>
      </c>
      <c r="E266" s="8"/>
      <c r="F266" s="7" t="s">
        <v>4348</v>
      </c>
      <c r="G266" s="7" t="s">
        <v>25</v>
      </c>
      <c r="H266" s="58"/>
      <c r="I266" s="23"/>
      <c r="J266" s="24"/>
      <c r="M266" s="4"/>
      <c r="N266" s="76"/>
      <c r="O266" s="76"/>
      <c r="P266" s="76" t="str">
        <f t="shared" si="8"/>
        <v>,shikkan248_start_date</v>
      </c>
      <c r="Q266" s="76" t="str">
        <f t="shared" si="9"/>
        <v>DATE</v>
      </c>
      <c r="R266" s="76" t="str">
        <f t="shared" si="10"/>
        <v/>
      </c>
      <c r="S266" s="76" t="str">
        <f t="shared" si="11"/>
        <v/>
      </c>
      <c r="T266" s="76" t="str">
        <f t="shared" si="12"/>
        <v>-- C504_疾患開始日</v>
      </c>
      <c r="U266" s="4" t="str">
        <f t="shared" si="26"/>
        <v>, CASE WHEN shikkan_disp_name = 'C504' THEN min_shikkan_start_date ::DATE ELSE NULL END AS shikkan248_start_date</v>
      </c>
      <c r="V266" s="25" t="str">
        <f t="shared" si="27"/>
        <v>, max(shikkan248_start_date)</v>
      </c>
      <c r="AA266" s="4"/>
      <c r="AB266" s="4"/>
      <c r="AC266" s="4"/>
      <c r="AD266" s="4"/>
      <c r="AE266" s="4"/>
      <c r="AF266" s="4"/>
      <c r="AG266" s="4"/>
      <c r="AH266" s="4"/>
      <c r="AI266" s="4"/>
      <c r="AJ266" s="76" t="str">
        <f>IF(E266="○",IF(COUNTA(E$13:E266)=1,"",",")&amp;D266,"")</f>
        <v/>
      </c>
      <c r="AK266" s="4"/>
      <c r="AL266" s="4"/>
      <c r="AM266" s="4"/>
      <c r="AN266" s="4"/>
      <c r="AO266" s="4"/>
      <c r="AP266" s="4"/>
      <c r="AQ266" s="4"/>
      <c r="AR266" s="4"/>
      <c r="AS266" s="76" t="str">
        <f>"COMMENT ON COLUMN "&amp;エンティティ一覧!$O$2&amp;"."&amp;D$8&amp;"."&amp;D266&amp;" IS '"&amp;C266&amp;"';"</f>
        <v>COMMENT ON COLUMN milscm_2023_009.sny_202310_annony_non_annony2.shikkan248_start_date IS 'C504_疾患開始日';</v>
      </c>
    </row>
    <row r="267" spans="1:45" s="25" customFormat="1">
      <c r="A267" s="4" t="s">
        <v>5400</v>
      </c>
      <c r="B267" s="21">
        <f t="shared" si="24"/>
        <v>255</v>
      </c>
      <c r="C267" s="13" t="str">
        <f t="shared" si="25"/>
        <v>C505_疾患開始日</v>
      </c>
      <c r="D267" s="13" t="s">
        <v>5017</v>
      </c>
      <c r="E267" s="8"/>
      <c r="F267" s="7" t="s">
        <v>4348</v>
      </c>
      <c r="G267" s="7" t="s">
        <v>25</v>
      </c>
      <c r="H267" s="58"/>
      <c r="I267" s="23"/>
      <c r="J267" s="24"/>
      <c r="M267" s="4"/>
      <c r="N267" s="76"/>
      <c r="O267" s="76"/>
      <c r="P267" s="76" t="str">
        <f t="shared" si="8"/>
        <v>,shikkan249_start_date</v>
      </c>
      <c r="Q267" s="76" t="str">
        <f t="shared" si="9"/>
        <v>DATE</v>
      </c>
      <c r="R267" s="76" t="str">
        <f t="shared" si="10"/>
        <v/>
      </c>
      <c r="S267" s="76" t="str">
        <f t="shared" si="11"/>
        <v/>
      </c>
      <c r="T267" s="76" t="str">
        <f t="shared" si="12"/>
        <v>-- C505_疾患開始日</v>
      </c>
      <c r="U267" s="4" t="str">
        <f t="shared" si="26"/>
        <v>, CASE WHEN shikkan_disp_name = 'C505' THEN min_shikkan_start_date ::DATE ELSE NULL END AS shikkan249_start_date</v>
      </c>
      <c r="V267" s="25" t="str">
        <f t="shared" si="27"/>
        <v>, max(shikkan249_start_date)</v>
      </c>
      <c r="AA267" s="4"/>
      <c r="AB267" s="4"/>
      <c r="AC267" s="4"/>
      <c r="AD267" s="4"/>
      <c r="AE267" s="4"/>
      <c r="AF267" s="4"/>
      <c r="AG267" s="4"/>
      <c r="AH267" s="4"/>
      <c r="AI267" s="4"/>
      <c r="AJ267" s="76" t="str">
        <f>IF(E267="○",IF(COUNTA(E$13:E267)=1,"",",")&amp;D267,"")</f>
        <v/>
      </c>
      <c r="AK267" s="4"/>
      <c r="AL267" s="4"/>
      <c r="AM267" s="4"/>
      <c r="AN267" s="4"/>
      <c r="AO267" s="4"/>
      <c r="AP267" s="4"/>
      <c r="AQ267" s="4"/>
      <c r="AR267" s="4"/>
      <c r="AS267" s="76" t="str">
        <f>"COMMENT ON COLUMN "&amp;エンティティ一覧!$O$2&amp;"."&amp;D$8&amp;"."&amp;D267&amp;" IS '"&amp;C267&amp;"';"</f>
        <v>COMMENT ON COLUMN milscm_2023_009.sny_202310_annony_non_annony2.shikkan249_start_date IS 'C505_疾患開始日';</v>
      </c>
    </row>
    <row r="268" spans="1:45" s="25" customFormat="1">
      <c r="A268" s="4" t="s">
        <v>5401</v>
      </c>
      <c r="B268" s="21">
        <f t="shared" si="24"/>
        <v>256</v>
      </c>
      <c r="C268" s="13" t="str">
        <f t="shared" si="25"/>
        <v>C506_疾患開始日</v>
      </c>
      <c r="D268" s="13" t="s">
        <v>5018</v>
      </c>
      <c r="E268" s="8"/>
      <c r="F268" s="7" t="s">
        <v>4348</v>
      </c>
      <c r="G268" s="7" t="s">
        <v>25</v>
      </c>
      <c r="H268" s="58"/>
      <c r="I268" s="23"/>
      <c r="J268" s="24"/>
      <c r="M268" s="4"/>
      <c r="N268" s="76"/>
      <c r="O268" s="76"/>
      <c r="P268" s="76" t="str">
        <f t="shared" si="8"/>
        <v>,shikkan250_start_date</v>
      </c>
      <c r="Q268" s="76" t="str">
        <f t="shared" si="9"/>
        <v>DATE</v>
      </c>
      <c r="R268" s="76" t="str">
        <f t="shared" si="10"/>
        <v/>
      </c>
      <c r="S268" s="76" t="str">
        <f t="shared" si="11"/>
        <v/>
      </c>
      <c r="T268" s="76" t="str">
        <f t="shared" si="12"/>
        <v>-- C506_疾患開始日</v>
      </c>
      <c r="U268" s="4" t="str">
        <f t="shared" si="26"/>
        <v>, CASE WHEN shikkan_disp_name = 'C506' THEN min_shikkan_start_date ::DATE ELSE NULL END AS shikkan250_start_date</v>
      </c>
      <c r="V268" s="25" t="str">
        <f t="shared" si="27"/>
        <v>, max(shikkan250_start_date)</v>
      </c>
      <c r="AA268" s="4"/>
      <c r="AB268" s="4"/>
      <c r="AC268" s="4"/>
      <c r="AD268" s="4"/>
      <c r="AE268" s="4"/>
      <c r="AF268" s="4"/>
      <c r="AG268" s="4"/>
      <c r="AH268" s="4"/>
      <c r="AI268" s="4"/>
      <c r="AJ268" s="76" t="str">
        <f>IF(E268="○",IF(COUNTA(E$13:E268)=1,"",",")&amp;D268,"")</f>
        <v/>
      </c>
      <c r="AK268" s="4"/>
      <c r="AL268" s="4"/>
      <c r="AM268" s="4"/>
      <c r="AN268" s="4"/>
      <c r="AO268" s="4"/>
      <c r="AP268" s="4"/>
      <c r="AQ268" s="4"/>
      <c r="AR268" s="4"/>
      <c r="AS268" s="76" t="str">
        <f>"COMMENT ON COLUMN "&amp;エンティティ一覧!$O$2&amp;"."&amp;D$8&amp;"."&amp;D268&amp;" IS '"&amp;C268&amp;"';"</f>
        <v>COMMENT ON COLUMN milscm_2023_009.sny_202310_annony_non_annony2.shikkan250_start_date IS 'C506_疾患開始日';</v>
      </c>
    </row>
    <row r="269" spans="1:45" s="25" customFormat="1">
      <c r="A269" s="4" t="s">
        <v>5402</v>
      </c>
      <c r="B269" s="21">
        <f t="shared" si="24"/>
        <v>257</v>
      </c>
      <c r="C269" s="13" t="str">
        <f t="shared" si="25"/>
        <v>C508_疾患開始日</v>
      </c>
      <c r="D269" s="13" t="s">
        <v>5019</v>
      </c>
      <c r="E269" s="8"/>
      <c r="F269" s="7" t="s">
        <v>4348</v>
      </c>
      <c r="G269" s="7" t="s">
        <v>25</v>
      </c>
      <c r="H269" s="58"/>
      <c r="I269" s="23"/>
      <c r="J269" s="24"/>
      <c r="M269" s="4"/>
      <c r="N269" s="76"/>
      <c r="O269" s="76"/>
      <c r="P269" s="76" t="str">
        <f t="shared" si="8"/>
        <v>,shikkan251_start_date</v>
      </c>
      <c r="Q269" s="76" t="str">
        <f t="shared" si="9"/>
        <v>DATE</v>
      </c>
      <c r="R269" s="76" t="str">
        <f t="shared" si="10"/>
        <v/>
      </c>
      <c r="S269" s="76" t="str">
        <f t="shared" si="11"/>
        <v/>
      </c>
      <c r="T269" s="76" t="str">
        <f t="shared" si="12"/>
        <v>-- C508_疾患開始日</v>
      </c>
      <c r="U269" s="4" t="str">
        <f t="shared" si="26"/>
        <v>, CASE WHEN shikkan_disp_name = 'C508' THEN min_shikkan_start_date ::DATE ELSE NULL END AS shikkan251_start_date</v>
      </c>
      <c r="V269" s="25" t="str">
        <f t="shared" si="27"/>
        <v>, max(shikkan251_start_date)</v>
      </c>
      <c r="AA269" s="4"/>
      <c r="AB269" s="4"/>
      <c r="AC269" s="4"/>
      <c r="AD269" s="4"/>
      <c r="AE269" s="4"/>
      <c r="AF269" s="4"/>
      <c r="AG269" s="4"/>
      <c r="AH269" s="4"/>
      <c r="AI269" s="4"/>
      <c r="AJ269" s="76" t="str">
        <f>IF(E269="○",IF(COUNTA(E$13:E269)=1,"",",")&amp;D269,"")</f>
        <v/>
      </c>
      <c r="AK269" s="4"/>
      <c r="AL269" s="4"/>
      <c r="AM269" s="4"/>
      <c r="AN269" s="4"/>
      <c r="AO269" s="4"/>
      <c r="AP269" s="4"/>
      <c r="AQ269" s="4"/>
      <c r="AR269" s="4"/>
      <c r="AS269" s="76" t="str">
        <f>"COMMENT ON COLUMN "&amp;エンティティ一覧!$O$2&amp;"."&amp;D$8&amp;"."&amp;D269&amp;" IS '"&amp;C269&amp;"';"</f>
        <v>COMMENT ON COLUMN milscm_2023_009.sny_202310_annony_non_annony2.shikkan251_start_date IS 'C508_疾患開始日';</v>
      </c>
    </row>
    <row r="270" spans="1:45" s="25" customFormat="1">
      <c r="A270" s="4" t="s">
        <v>5403</v>
      </c>
      <c r="B270" s="21">
        <f t="shared" si="24"/>
        <v>258</v>
      </c>
      <c r="C270" s="13" t="str">
        <f t="shared" si="25"/>
        <v>C509_疾患開始日</v>
      </c>
      <c r="D270" s="13" t="s">
        <v>5020</v>
      </c>
      <c r="E270" s="8"/>
      <c r="F270" s="7" t="s">
        <v>4348</v>
      </c>
      <c r="G270" s="7" t="s">
        <v>25</v>
      </c>
      <c r="H270" s="58"/>
      <c r="I270" s="23"/>
      <c r="J270" s="24"/>
      <c r="M270" s="4"/>
      <c r="N270" s="76"/>
      <c r="O270" s="76"/>
      <c r="P270" s="76" t="str">
        <f t="shared" si="8"/>
        <v>,shikkan252_start_date</v>
      </c>
      <c r="Q270" s="76" t="str">
        <f t="shared" si="9"/>
        <v>DATE</v>
      </c>
      <c r="R270" s="76" t="str">
        <f t="shared" si="10"/>
        <v/>
      </c>
      <c r="S270" s="76" t="str">
        <f t="shared" si="11"/>
        <v/>
      </c>
      <c r="T270" s="76" t="str">
        <f t="shared" si="12"/>
        <v>-- C509_疾患開始日</v>
      </c>
      <c r="U270" s="4" t="str">
        <f t="shared" si="26"/>
        <v>, CASE WHEN shikkan_disp_name = 'C509' THEN min_shikkan_start_date ::DATE ELSE NULL END AS shikkan252_start_date</v>
      </c>
      <c r="V270" s="25" t="str">
        <f t="shared" si="27"/>
        <v>, max(shikkan252_start_date)</v>
      </c>
      <c r="AA270" s="4"/>
      <c r="AB270" s="4"/>
      <c r="AC270" s="4"/>
      <c r="AD270" s="4"/>
      <c r="AE270" s="4"/>
      <c r="AF270" s="4"/>
      <c r="AG270" s="4"/>
      <c r="AH270" s="4"/>
      <c r="AI270" s="4"/>
      <c r="AJ270" s="76" t="str">
        <f>IF(E270="○",IF(COUNTA(E$13:E270)=1,"",",")&amp;D270,"")</f>
        <v/>
      </c>
      <c r="AK270" s="4"/>
      <c r="AL270" s="4"/>
      <c r="AM270" s="4"/>
      <c r="AN270" s="4"/>
      <c r="AO270" s="4"/>
      <c r="AP270" s="4"/>
      <c r="AQ270" s="4"/>
      <c r="AR270" s="4"/>
      <c r="AS270" s="76" t="str">
        <f>"COMMENT ON COLUMN "&amp;エンティティ一覧!$O$2&amp;"."&amp;D$8&amp;"."&amp;D270&amp;" IS '"&amp;C270&amp;"';"</f>
        <v>COMMENT ON COLUMN milscm_2023_009.sny_202310_annony_non_annony2.shikkan252_start_date IS 'C509_疾患開始日';</v>
      </c>
    </row>
    <row r="271" spans="1:45" s="25" customFormat="1">
      <c r="A271" s="4" t="s">
        <v>5404</v>
      </c>
      <c r="B271" s="21">
        <f t="shared" si="24"/>
        <v>259</v>
      </c>
      <c r="C271" s="13" t="str">
        <f t="shared" si="25"/>
        <v>C510_疾患開始日</v>
      </c>
      <c r="D271" s="13" t="s">
        <v>5021</v>
      </c>
      <c r="E271" s="8"/>
      <c r="F271" s="7" t="s">
        <v>4348</v>
      </c>
      <c r="G271" s="7" t="s">
        <v>25</v>
      </c>
      <c r="H271" s="58"/>
      <c r="I271" s="23"/>
      <c r="J271" s="24"/>
      <c r="M271" s="4"/>
      <c r="N271" s="76"/>
      <c r="O271" s="76"/>
      <c r="P271" s="76" t="str">
        <f t="shared" si="8"/>
        <v>,shikkan253_start_date</v>
      </c>
      <c r="Q271" s="76" t="str">
        <f t="shared" si="9"/>
        <v>DATE</v>
      </c>
      <c r="R271" s="76" t="str">
        <f t="shared" si="10"/>
        <v/>
      </c>
      <c r="S271" s="76" t="str">
        <f t="shared" si="11"/>
        <v/>
      </c>
      <c r="T271" s="76" t="str">
        <f t="shared" si="12"/>
        <v>-- C510_疾患開始日</v>
      </c>
      <c r="U271" s="4" t="str">
        <f t="shared" si="26"/>
        <v>, CASE WHEN shikkan_disp_name = 'C510' THEN min_shikkan_start_date ::DATE ELSE NULL END AS shikkan253_start_date</v>
      </c>
      <c r="V271" s="25" t="str">
        <f t="shared" si="27"/>
        <v>, max(shikkan253_start_date)</v>
      </c>
      <c r="AA271" s="4"/>
      <c r="AB271" s="4"/>
      <c r="AC271" s="4"/>
      <c r="AD271" s="4"/>
      <c r="AE271" s="4"/>
      <c r="AF271" s="4"/>
      <c r="AG271" s="4"/>
      <c r="AH271" s="4"/>
      <c r="AI271" s="4"/>
      <c r="AJ271" s="76" t="str">
        <f>IF(E271="○",IF(COUNTA(E$13:E271)=1,"",",")&amp;D271,"")</f>
        <v/>
      </c>
      <c r="AK271" s="4"/>
      <c r="AL271" s="4"/>
      <c r="AM271" s="4"/>
      <c r="AN271" s="4"/>
      <c r="AO271" s="4"/>
      <c r="AP271" s="4"/>
      <c r="AQ271" s="4"/>
      <c r="AR271" s="4"/>
      <c r="AS271" s="76" t="str">
        <f>"COMMENT ON COLUMN "&amp;エンティティ一覧!$O$2&amp;"."&amp;D$8&amp;"."&amp;D271&amp;" IS '"&amp;C271&amp;"';"</f>
        <v>COMMENT ON COLUMN milscm_2023_009.sny_202310_annony_non_annony2.shikkan253_start_date IS 'C510_疾患開始日';</v>
      </c>
    </row>
    <row r="272" spans="1:45" s="25" customFormat="1">
      <c r="A272" s="4" t="s">
        <v>5405</v>
      </c>
      <c r="B272" s="21">
        <f t="shared" si="24"/>
        <v>260</v>
      </c>
      <c r="C272" s="13" t="str">
        <f t="shared" si="25"/>
        <v>C511_疾患開始日</v>
      </c>
      <c r="D272" s="13" t="s">
        <v>5022</v>
      </c>
      <c r="E272" s="8"/>
      <c r="F272" s="7" t="s">
        <v>4348</v>
      </c>
      <c r="G272" s="7" t="s">
        <v>25</v>
      </c>
      <c r="H272" s="58"/>
      <c r="I272" s="23"/>
      <c r="J272" s="24"/>
      <c r="M272" s="4"/>
      <c r="N272" s="76"/>
      <c r="O272" s="76"/>
      <c r="P272" s="76" t="str">
        <f t="shared" si="8"/>
        <v>,shikkan254_start_date</v>
      </c>
      <c r="Q272" s="76" t="str">
        <f t="shared" si="9"/>
        <v>DATE</v>
      </c>
      <c r="R272" s="76" t="str">
        <f t="shared" si="10"/>
        <v/>
      </c>
      <c r="S272" s="76" t="str">
        <f t="shared" si="11"/>
        <v/>
      </c>
      <c r="T272" s="76" t="str">
        <f t="shared" si="12"/>
        <v>-- C511_疾患開始日</v>
      </c>
      <c r="U272" s="4" t="str">
        <f t="shared" si="26"/>
        <v>, CASE WHEN shikkan_disp_name = 'C511' THEN min_shikkan_start_date ::DATE ELSE NULL END AS shikkan254_start_date</v>
      </c>
      <c r="V272" s="25" t="str">
        <f t="shared" si="27"/>
        <v>, max(shikkan254_start_date)</v>
      </c>
      <c r="AA272" s="4"/>
      <c r="AB272" s="4"/>
      <c r="AC272" s="4"/>
      <c r="AD272" s="4"/>
      <c r="AE272" s="4"/>
      <c r="AF272" s="4"/>
      <c r="AG272" s="4"/>
      <c r="AH272" s="4"/>
      <c r="AI272" s="4"/>
      <c r="AJ272" s="76" t="str">
        <f>IF(E272="○",IF(COUNTA(E$13:E272)=1,"",",")&amp;D272,"")</f>
        <v/>
      </c>
      <c r="AK272" s="4"/>
      <c r="AL272" s="4"/>
      <c r="AM272" s="4"/>
      <c r="AN272" s="4"/>
      <c r="AO272" s="4"/>
      <c r="AP272" s="4"/>
      <c r="AQ272" s="4"/>
      <c r="AR272" s="4"/>
      <c r="AS272" s="76" t="str">
        <f>"COMMENT ON COLUMN "&amp;エンティティ一覧!$O$2&amp;"."&amp;D$8&amp;"."&amp;D272&amp;" IS '"&amp;C272&amp;"';"</f>
        <v>COMMENT ON COLUMN milscm_2023_009.sny_202310_annony_non_annony2.shikkan254_start_date IS 'C511_疾患開始日';</v>
      </c>
    </row>
    <row r="273" spans="1:45" s="25" customFormat="1">
      <c r="A273" s="4" t="s">
        <v>5406</v>
      </c>
      <c r="B273" s="21">
        <f t="shared" si="24"/>
        <v>261</v>
      </c>
      <c r="C273" s="13" t="str">
        <f t="shared" si="25"/>
        <v>C512_疾患開始日</v>
      </c>
      <c r="D273" s="13" t="s">
        <v>5023</v>
      </c>
      <c r="E273" s="8"/>
      <c r="F273" s="7" t="s">
        <v>4348</v>
      </c>
      <c r="G273" s="7" t="s">
        <v>25</v>
      </c>
      <c r="H273" s="58"/>
      <c r="I273" s="23"/>
      <c r="J273" s="24"/>
      <c r="M273" s="4"/>
      <c r="N273" s="76"/>
      <c r="O273" s="76"/>
      <c r="P273" s="76" t="str">
        <f t="shared" si="8"/>
        <v>,shikkan255_start_date</v>
      </c>
      <c r="Q273" s="76" t="str">
        <f t="shared" si="9"/>
        <v>DATE</v>
      </c>
      <c r="R273" s="76" t="str">
        <f t="shared" si="10"/>
        <v/>
      </c>
      <c r="S273" s="76" t="str">
        <f t="shared" si="11"/>
        <v/>
      </c>
      <c r="T273" s="76" t="str">
        <f t="shared" si="12"/>
        <v>-- C512_疾患開始日</v>
      </c>
      <c r="U273" s="4" t="str">
        <f t="shared" si="26"/>
        <v>, CASE WHEN shikkan_disp_name = 'C512' THEN min_shikkan_start_date ::DATE ELSE NULL END AS shikkan255_start_date</v>
      </c>
      <c r="V273" s="25" t="str">
        <f t="shared" si="27"/>
        <v>, max(shikkan255_start_date)</v>
      </c>
      <c r="AA273" s="4"/>
      <c r="AB273" s="4"/>
      <c r="AC273" s="4"/>
      <c r="AD273" s="4"/>
      <c r="AE273" s="4"/>
      <c r="AF273" s="4"/>
      <c r="AG273" s="4"/>
      <c r="AH273" s="4"/>
      <c r="AI273" s="4"/>
      <c r="AJ273" s="76" t="str">
        <f>IF(E273="○",IF(COUNTA(E$13:E273)=1,"",",")&amp;D273,"")</f>
        <v/>
      </c>
      <c r="AK273" s="4"/>
      <c r="AL273" s="4"/>
      <c r="AM273" s="4"/>
      <c r="AN273" s="4"/>
      <c r="AO273" s="4"/>
      <c r="AP273" s="4"/>
      <c r="AQ273" s="4"/>
      <c r="AR273" s="4"/>
      <c r="AS273" s="76" t="str">
        <f>"COMMENT ON COLUMN "&amp;エンティティ一覧!$O$2&amp;"."&amp;D$8&amp;"."&amp;D273&amp;" IS '"&amp;C273&amp;"';"</f>
        <v>COMMENT ON COLUMN milscm_2023_009.sny_202310_annony_non_annony2.shikkan255_start_date IS 'C512_疾患開始日';</v>
      </c>
    </row>
    <row r="274" spans="1:45" s="25" customFormat="1">
      <c r="A274" s="4" t="s">
        <v>5407</v>
      </c>
      <c r="B274" s="21">
        <f t="shared" si="24"/>
        <v>262</v>
      </c>
      <c r="C274" s="13" t="str">
        <f t="shared" si="25"/>
        <v>C518_疾患開始日</v>
      </c>
      <c r="D274" s="13" t="s">
        <v>5024</v>
      </c>
      <c r="E274" s="8"/>
      <c r="F274" s="7" t="s">
        <v>4348</v>
      </c>
      <c r="G274" s="7" t="s">
        <v>25</v>
      </c>
      <c r="H274" s="58"/>
      <c r="I274" s="23"/>
      <c r="J274" s="24"/>
      <c r="M274" s="4"/>
      <c r="N274" s="76"/>
      <c r="O274" s="76"/>
      <c r="P274" s="76" t="str">
        <f t="shared" ref="P274:P337" si="28">IF(B274&lt;&gt;1,","&amp;D274,D274)</f>
        <v>,shikkan256_start_date</v>
      </c>
      <c r="Q274" s="76" t="str">
        <f t="shared" ref="Q274:Q337" si="29">UPPER(G274)</f>
        <v>DATE</v>
      </c>
      <c r="R274" s="76" t="str">
        <f t="shared" ref="R274:R337" si="30">IF(H274&lt;&gt;"","default "&amp;IF(G274="text","'"&amp;H274&amp;"'",H274),"")</f>
        <v/>
      </c>
      <c r="S274" s="76" t="str">
        <f t="shared" ref="S274:S337" si="31">IF(I274="○","NOT NULL","")</f>
        <v/>
      </c>
      <c r="T274" s="76" t="str">
        <f t="shared" ref="T274:T337" si="32">"-- "&amp;C274</f>
        <v>-- C518_疾患開始日</v>
      </c>
      <c r="U274" s="4" t="str">
        <f t="shared" si="26"/>
        <v>, CASE WHEN shikkan_disp_name = 'C518' THEN min_shikkan_start_date ::DATE ELSE NULL END AS shikkan256_start_date</v>
      </c>
      <c r="V274" s="25" t="str">
        <f t="shared" si="27"/>
        <v>, max(shikkan256_start_date)</v>
      </c>
      <c r="AA274" s="4"/>
      <c r="AB274" s="4"/>
      <c r="AC274" s="4"/>
      <c r="AD274" s="4"/>
      <c r="AE274" s="4"/>
      <c r="AF274" s="4"/>
      <c r="AG274" s="4"/>
      <c r="AH274" s="4"/>
      <c r="AI274" s="4"/>
      <c r="AJ274" s="76" t="str">
        <f>IF(E274="○",IF(COUNTA(E$13:E274)=1,"",",")&amp;D274,"")</f>
        <v/>
      </c>
      <c r="AK274" s="4"/>
      <c r="AL274" s="4"/>
      <c r="AM274" s="4"/>
      <c r="AN274" s="4"/>
      <c r="AO274" s="4"/>
      <c r="AP274" s="4"/>
      <c r="AQ274" s="4"/>
      <c r="AR274" s="4"/>
      <c r="AS274" s="76" t="str">
        <f>"COMMENT ON COLUMN "&amp;エンティティ一覧!$O$2&amp;"."&amp;D$8&amp;"."&amp;D274&amp;" IS '"&amp;C274&amp;"';"</f>
        <v>COMMENT ON COLUMN milscm_2023_009.sny_202310_annony_non_annony2.shikkan256_start_date IS 'C518_疾患開始日';</v>
      </c>
    </row>
    <row r="275" spans="1:45" s="25" customFormat="1">
      <c r="A275" s="4" t="s">
        <v>5408</v>
      </c>
      <c r="B275" s="21">
        <f t="shared" si="24"/>
        <v>263</v>
      </c>
      <c r="C275" s="13" t="str">
        <f t="shared" si="25"/>
        <v>C519_疾患開始日</v>
      </c>
      <c r="D275" s="13" t="s">
        <v>5025</v>
      </c>
      <c r="E275" s="8"/>
      <c r="F275" s="7" t="s">
        <v>4348</v>
      </c>
      <c r="G275" s="7" t="s">
        <v>25</v>
      </c>
      <c r="H275" s="58"/>
      <c r="I275" s="23"/>
      <c r="J275" s="24"/>
      <c r="M275" s="4"/>
      <c r="N275" s="76"/>
      <c r="O275" s="76"/>
      <c r="P275" s="76" t="str">
        <f t="shared" si="28"/>
        <v>,shikkan257_start_date</v>
      </c>
      <c r="Q275" s="76" t="str">
        <f t="shared" si="29"/>
        <v>DATE</v>
      </c>
      <c r="R275" s="76" t="str">
        <f t="shared" si="30"/>
        <v/>
      </c>
      <c r="S275" s="76" t="str">
        <f t="shared" si="31"/>
        <v/>
      </c>
      <c r="T275" s="76" t="str">
        <f t="shared" si="32"/>
        <v>-- C519_疾患開始日</v>
      </c>
      <c r="U275" s="4" t="str">
        <f t="shared" si="26"/>
        <v>, CASE WHEN shikkan_disp_name = 'C519' THEN min_shikkan_start_date ::DATE ELSE NULL END AS shikkan257_start_date</v>
      </c>
      <c r="V275" s="25" t="str">
        <f t="shared" si="27"/>
        <v>, max(shikkan257_start_date)</v>
      </c>
      <c r="AA275" s="4"/>
      <c r="AB275" s="4"/>
      <c r="AC275" s="4"/>
      <c r="AD275" s="4"/>
      <c r="AE275" s="4"/>
      <c r="AF275" s="4"/>
      <c r="AG275" s="4"/>
      <c r="AH275" s="4"/>
      <c r="AI275" s="4"/>
      <c r="AJ275" s="76" t="str">
        <f>IF(E275="○",IF(COUNTA(E$13:E275)=1,"",",")&amp;D275,"")</f>
        <v/>
      </c>
      <c r="AK275" s="4"/>
      <c r="AL275" s="4"/>
      <c r="AM275" s="4"/>
      <c r="AN275" s="4"/>
      <c r="AO275" s="4"/>
      <c r="AP275" s="4"/>
      <c r="AQ275" s="4"/>
      <c r="AR275" s="4"/>
      <c r="AS275" s="76" t="str">
        <f>"COMMENT ON COLUMN "&amp;エンティティ一覧!$O$2&amp;"."&amp;D$8&amp;"."&amp;D275&amp;" IS '"&amp;C275&amp;"';"</f>
        <v>COMMENT ON COLUMN milscm_2023_009.sny_202310_annony_non_annony2.shikkan257_start_date IS 'C519_疾患開始日';</v>
      </c>
    </row>
    <row r="276" spans="1:45" s="25" customFormat="1">
      <c r="A276" s="4" t="s">
        <v>5148</v>
      </c>
      <c r="B276" s="21">
        <f t="shared" ref="B276:B339" si="33">ROW()-12</f>
        <v>264</v>
      </c>
      <c r="C276" s="13" t="str">
        <f t="shared" ref="C276:C339" si="34">A276&amp;"_疾患開始日"</f>
        <v>C52_疾患開始日</v>
      </c>
      <c r="D276" s="13" t="s">
        <v>5026</v>
      </c>
      <c r="E276" s="8"/>
      <c r="F276" s="7" t="s">
        <v>4348</v>
      </c>
      <c r="G276" s="7" t="s">
        <v>25</v>
      </c>
      <c r="H276" s="58"/>
      <c r="I276" s="23"/>
      <c r="J276" s="24"/>
      <c r="M276" s="4"/>
      <c r="N276" s="76"/>
      <c r="O276" s="76"/>
      <c r="P276" s="76" t="str">
        <f t="shared" si="28"/>
        <v>,shikkan258_start_date</v>
      </c>
      <c r="Q276" s="76" t="str">
        <f t="shared" si="29"/>
        <v>DATE</v>
      </c>
      <c r="R276" s="76" t="str">
        <f t="shared" si="30"/>
        <v/>
      </c>
      <c r="S276" s="76" t="str">
        <f t="shared" si="31"/>
        <v/>
      </c>
      <c r="T276" s="76" t="str">
        <f t="shared" si="32"/>
        <v>-- C52_疾患開始日</v>
      </c>
      <c r="U276" s="4" t="str">
        <f t="shared" ref="U276:U908" si="35">", CASE WHEN shikkan_disp_name = '"&amp;A276&amp;"' THEN min_shikkan_start_date ::DATE ELSE NULL END AS "&amp;D276</f>
        <v>, CASE WHEN shikkan_disp_name = 'C52' THEN min_shikkan_start_date ::DATE ELSE NULL END AS shikkan258_start_date</v>
      </c>
      <c r="V276" s="25" t="str">
        <f t="shared" ref="V276:V908" si="36">", max("&amp;D276&amp;")"</f>
        <v>, max(shikkan258_start_date)</v>
      </c>
      <c r="AA276" s="4"/>
      <c r="AB276" s="4"/>
      <c r="AC276" s="4"/>
      <c r="AD276" s="4"/>
      <c r="AE276" s="4"/>
      <c r="AF276" s="4"/>
      <c r="AG276" s="4"/>
      <c r="AH276" s="4"/>
      <c r="AI276" s="4"/>
      <c r="AJ276" s="76" t="str">
        <f>IF(E276="○",IF(COUNTA(E$13:E276)=1,"",",")&amp;D276,"")</f>
        <v/>
      </c>
      <c r="AK276" s="4"/>
      <c r="AL276" s="4"/>
      <c r="AM276" s="4"/>
      <c r="AN276" s="4"/>
      <c r="AO276" s="4"/>
      <c r="AP276" s="4"/>
      <c r="AQ276" s="4"/>
      <c r="AR276" s="4"/>
      <c r="AS276" s="76" t="str">
        <f>"COMMENT ON COLUMN "&amp;エンティティ一覧!$O$2&amp;"."&amp;D$8&amp;"."&amp;D276&amp;" IS '"&amp;C276&amp;"';"</f>
        <v>COMMENT ON COLUMN milscm_2023_009.sny_202310_annony_non_annony2.shikkan258_start_date IS 'C52_疾患開始日';</v>
      </c>
    </row>
    <row r="277" spans="1:45" s="25" customFormat="1">
      <c r="A277" s="4" t="s">
        <v>5409</v>
      </c>
      <c r="B277" s="21">
        <f t="shared" si="33"/>
        <v>265</v>
      </c>
      <c r="C277" s="13" t="str">
        <f t="shared" si="34"/>
        <v>C530_疾患開始日</v>
      </c>
      <c r="D277" s="13" t="s">
        <v>5027</v>
      </c>
      <c r="E277" s="8"/>
      <c r="F277" s="7" t="s">
        <v>4348</v>
      </c>
      <c r="G277" s="7" t="s">
        <v>25</v>
      </c>
      <c r="H277" s="58"/>
      <c r="I277" s="23"/>
      <c r="J277" s="24"/>
      <c r="M277" s="4"/>
      <c r="N277" s="76"/>
      <c r="O277" s="76"/>
      <c r="P277" s="76" t="str">
        <f t="shared" si="28"/>
        <v>,shikkan259_start_date</v>
      </c>
      <c r="Q277" s="76" t="str">
        <f t="shared" si="29"/>
        <v>DATE</v>
      </c>
      <c r="R277" s="76" t="str">
        <f t="shared" si="30"/>
        <v/>
      </c>
      <c r="S277" s="76" t="str">
        <f t="shared" si="31"/>
        <v/>
      </c>
      <c r="T277" s="76" t="str">
        <f t="shared" si="32"/>
        <v>-- C530_疾患開始日</v>
      </c>
      <c r="U277" s="4" t="str">
        <f t="shared" si="35"/>
        <v>, CASE WHEN shikkan_disp_name = 'C530' THEN min_shikkan_start_date ::DATE ELSE NULL END AS shikkan259_start_date</v>
      </c>
      <c r="V277" s="25" t="str">
        <f t="shared" si="36"/>
        <v>, max(shikkan259_start_date)</v>
      </c>
      <c r="AA277" s="4"/>
      <c r="AB277" s="4"/>
      <c r="AC277" s="4"/>
      <c r="AD277" s="4"/>
      <c r="AE277" s="4"/>
      <c r="AF277" s="4"/>
      <c r="AG277" s="4"/>
      <c r="AH277" s="4"/>
      <c r="AI277" s="4"/>
      <c r="AJ277" s="76" t="str">
        <f>IF(E277="○",IF(COUNTA(E$13:E277)=1,"",",")&amp;D277,"")</f>
        <v/>
      </c>
      <c r="AK277" s="4"/>
      <c r="AL277" s="4"/>
      <c r="AM277" s="4"/>
      <c r="AN277" s="4"/>
      <c r="AO277" s="4"/>
      <c r="AP277" s="4"/>
      <c r="AQ277" s="4"/>
      <c r="AR277" s="4"/>
      <c r="AS277" s="76" t="str">
        <f>"COMMENT ON COLUMN "&amp;エンティティ一覧!$O$2&amp;"."&amp;D$8&amp;"."&amp;D277&amp;" IS '"&amp;C277&amp;"';"</f>
        <v>COMMENT ON COLUMN milscm_2023_009.sny_202310_annony_non_annony2.shikkan259_start_date IS 'C530_疾患開始日';</v>
      </c>
    </row>
    <row r="278" spans="1:45" s="25" customFormat="1">
      <c r="A278" s="4" t="s">
        <v>5410</v>
      </c>
      <c r="B278" s="21">
        <f t="shared" si="33"/>
        <v>266</v>
      </c>
      <c r="C278" s="13" t="str">
        <f t="shared" si="34"/>
        <v>C531_疾患開始日</v>
      </c>
      <c r="D278" s="13" t="s">
        <v>5028</v>
      </c>
      <c r="E278" s="8"/>
      <c r="F278" s="7" t="s">
        <v>4348</v>
      </c>
      <c r="G278" s="7" t="s">
        <v>25</v>
      </c>
      <c r="H278" s="58"/>
      <c r="I278" s="23"/>
      <c r="J278" s="24"/>
      <c r="M278" s="4"/>
      <c r="N278" s="76"/>
      <c r="O278" s="76"/>
      <c r="P278" s="76" t="str">
        <f t="shared" si="28"/>
        <v>,shikkan260_start_date</v>
      </c>
      <c r="Q278" s="76" t="str">
        <f t="shared" si="29"/>
        <v>DATE</v>
      </c>
      <c r="R278" s="76" t="str">
        <f t="shared" si="30"/>
        <v/>
      </c>
      <c r="S278" s="76" t="str">
        <f t="shared" si="31"/>
        <v/>
      </c>
      <c r="T278" s="76" t="str">
        <f t="shared" si="32"/>
        <v>-- C531_疾患開始日</v>
      </c>
      <c r="U278" s="4" t="str">
        <f t="shared" si="35"/>
        <v>, CASE WHEN shikkan_disp_name = 'C531' THEN min_shikkan_start_date ::DATE ELSE NULL END AS shikkan260_start_date</v>
      </c>
      <c r="V278" s="25" t="str">
        <f t="shared" si="36"/>
        <v>, max(shikkan260_start_date)</v>
      </c>
      <c r="AA278" s="4"/>
      <c r="AB278" s="4"/>
      <c r="AC278" s="4"/>
      <c r="AD278" s="4"/>
      <c r="AE278" s="4"/>
      <c r="AF278" s="4"/>
      <c r="AG278" s="4"/>
      <c r="AH278" s="4"/>
      <c r="AI278" s="4"/>
      <c r="AJ278" s="76" t="str">
        <f>IF(E278="○",IF(COUNTA(E$13:E278)=1,"",",")&amp;D278,"")</f>
        <v/>
      </c>
      <c r="AK278" s="4"/>
      <c r="AL278" s="4"/>
      <c r="AM278" s="4"/>
      <c r="AN278" s="4"/>
      <c r="AO278" s="4"/>
      <c r="AP278" s="4"/>
      <c r="AQ278" s="4"/>
      <c r="AR278" s="4"/>
      <c r="AS278" s="76" t="str">
        <f>"COMMENT ON COLUMN "&amp;エンティティ一覧!$O$2&amp;"."&amp;D$8&amp;"."&amp;D278&amp;" IS '"&amp;C278&amp;"';"</f>
        <v>COMMENT ON COLUMN milscm_2023_009.sny_202310_annony_non_annony2.shikkan260_start_date IS 'C531_疾患開始日';</v>
      </c>
    </row>
    <row r="279" spans="1:45" s="25" customFormat="1">
      <c r="A279" s="4" t="s">
        <v>5411</v>
      </c>
      <c r="B279" s="21">
        <f t="shared" si="33"/>
        <v>267</v>
      </c>
      <c r="C279" s="13" t="str">
        <f t="shared" si="34"/>
        <v>C538_疾患開始日</v>
      </c>
      <c r="D279" s="13" t="s">
        <v>5029</v>
      </c>
      <c r="E279" s="8"/>
      <c r="F279" s="7" t="s">
        <v>4348</v>
      </c>
      <c r="G279" s="7" t="s">
        <v>25</v>
      </c>
      <c r="H279" s="58"/>
      <c r="I279" s="23"/>
      <c r="J279" s="24"/>
      <c r="M279" s="4"/>
      <c r="N279" s="76"/>
      <c r="O279" s="76"/>
      <c r="P279" s="76" t="str">
        <f t="shared" si="28"/>
        <v>,shikkan261_start_date</v>
      </c>
      <c r="Q279" s="76" t="str">
        <f t="shared" si="29"/>
        <v>DATE</v>
      </c>
      <c r="R279" s="76" t="str">
        <f t="shared" si="30"/>
        <v/>
      </c>
      <c r="S279" s="76" t="str">
        <f t="shared" si="31"/>
        <v/>
      </c>
      <c r="T279" s="76" t="str">
        <f t="shared" si="32"/>
        <v>-- C538_疾患開始日</v>
      </c>
      <c r="U279" s="4" t="str">
        <f t="shared" si="35"/>
        <v>, CASE WHEN shikkan_disp_name = 'C538' THEN min_shikkan_start_date ::DATE ELSE NULL END AS shikkan261_start_date</v>
      </c>
      <c r="V279" s="25" t="str">
        <f t="shared" si="36"/>
        <v>, max(shikkan261_start_date)</v>
      </c>
      <c r="AA279" s="4"/>
      <c r="AB279" s="4"/>
      <c r="AC279" s="4"/>
      <c r="AD279" s="4"/>
      <c r="AE279" s="4"/>
      <c r="AF279" s="4"/>
      <c r="AG279" s="4"/>
      <c r="AH279" s="4"/>
      <c r="AI279" s="4"/>
      <c r="AJ279" s="76" t="str">
        <f>IF(E279="○",IF(COUNTA(E$13:E279)=1,"",",")&amp;D279,"")</f>
        <v/>
      </c>
      <c r="AK279" s="4"/>
      <c r="AL279" s="4"/>
      <c r="AM279" s="4"/>
      <c r="AN279" s="4"/>
      <c r="AO279" s="4"/>
      <c r="AP279" s="4"/>
      <c r="AQ279" s="4"/>
      <c r="AR279" s="4"/>
      <c r="AS279" s="76" t="str">
        <f>"COMMENT ON COLUMN "&amp;エンティティ一覧!$O$2&amp;"."&amp;D$8&amp;"."&amp;D279&amp;" IS '"&amp;C279&amp;"';"</f>
        <v>COMMENT ON COLUMN milscm_2023_009.sny_202310_annony_non_annony2.shikkan261_start_date IS 'C538_疾患開始日';</v>
      </c>
    </row>
    <row r="280" spans="1:45" s="25" customFormat="1">
      <c r="A280" s="4" t="s">
        <v>5412</v>
      </c>
      <c r="B280" s="21">
        <f t="shared" si="33"/>
        <v>268</v>
      </c>
      <c r="C280" s="13" t="str">
        <f t="shared" si="34"/>
        <v>C539_疾患開始日</v>
      </c>
      <c r="D280" s="13" t="s">
        <v>5030</v>
      </c>
      <c r="E280" s="8"/>
      <c r="F280" s="7" t="s">
        <v>4348</v>
      </c>
      <c r="G280" s="7" t="s">
        <v>25</v>
      </c>
      <c r="H280" s="58"/>
      <c r="I280" s="23"/>
      <c r="J280" s="24"/>
      <c r="M280" s="4"/>
      <c r="N280" s="76"/>
      <c r="O280" s="76"/>
      <c r="P280" s="76" t="str">
        <f t="shared" si="28"/>
        <v>,shikkan262_start_date</v>
      </c>
      <c r="Q280" s="76" t="str">
        <f t="shared" si="29"/>
        <v>DATE</v>
      </c>
      <c r="R280" s="76" t="str">
        <f t="shared" si="30"/>
        <v/>
      </c>
      <c r="S280" s="76" t="str">
        <f t="shared" si="31"/>
        <v/>
      </c>
      <c r="T280" s="76" t="str">
        <f t="shared" si="32"/>
        <v>-- C539_疾患開始日</v>
      </c>
      <c r="U280" s="4" t="str">
        <f t="shared" si="35"/>
        <v>, CASE WHEN shikkan_disp_name = 'C539' THEN min_shikkan_start_date ::DATE ELSE NULL END AS shikkan262_start_date</v>
      </c>
      <c r="V280" s="25" t="str">
        <f t="shared" si="36"/>
        <v>, max(shikkan262_start_date)</v>
      </c>
      <c r="AA280" s="4"/>
      <c r="AB280" s="4"/>
      <c r="AC280" s="4"/>
      <c r="AD280" s="4"/>
      <c r="AE280" s="4"/>
      <c r="AF280" s="4"/>
      <c r="AG280" s="4"/>
      <c r="AH280" s="4"/>
      <c r="AI280" s="4"/>
      <c r="AJ280" s="76" t="str">
        <f>IF(E280="○",IF(COUNTA(E$13:E280)=1,"",",")&amp;D280,"")</f>
        <v/>
      </c>
      <c r="AK280" s="4"/>
      <c r="AL280" s="4"/>
      <c r="AM280" s="4"/>
      <c r="AN280" s="4"/>
      <c r="AO280" s="4"/>
      <c r="AP280" s="4"/>
      <c r="AQ280" s="4"/>
      <c r="AR280" s="4"/>
      <c r="AS280" s="76" t="str">
        <f>"COMMENT ON COLUMN "&amp;エンティティ一覧!$O$2&amp;"."&amp;D$8&amp;"."&amp;D280&amp;" IS '"&amp;C280&amp;"';"</f>
        <v>COMMENT ON COLUMN milscm_2023_009.sny_202310_annony_non_annony2.shikkan262_start_date IS 'C539_疾患開始日';</v>
      </c>
    </row>
    <row r="281" spans="1:45" s="25" customFormat="1">
      <c r="A281" s="4" t="s">
        <v>5413</v>
      </c>
      <c r="B281" s="21">
        <f t="shared" si="33"/>
        <v>269</v>
      </c>
      <c r="C281" s="13" t="str">
        <f t="shared" si="34"/>
        <v>C540_疾患開始日</v>
      </c>
      <c r="D281" s="13" t="s">
        <v>5031</v>
      </c>
      <c r="E281" s="8"/>
      <c r="F281" s="7" t="s">
        <v>4348</v>
      </c>
      <c r="G281" s="7" t="s">
        <v>25</v>
      </c>
      <c r="H281" s="58"/>
      <c r="I281" s="23"/>
      <c r="J281" s="24"/>
      <c r="M281" s="4"/>
      <c r="N281" s="76"/>
      <c r="O281" s="76"/>
      <c r="P281" s="76" t="str">
        <f t="shared" si="28"/>
        <v>,shikkan263_start_date</v>
      </c>
      <c r="Q281" s="76" t="str">
        <f t="shared" si="29"/>
        <v>DATE</v>
      </c>
      <c r="R281" s="76" t="str">
        <f t="shared" si="30"/>
        <v/>
      </c>
      <c r="S281" s="76" t="str">
        <f t="shared" si="31"/>
        <v/>
      </c>
      <c r="T281" s="76" t="str">
        <f t="shared" si="32"/>
        <v>-- C540_疾患開始日</v>
      </c>
      <c r="U281" s="4" t="str">
        <f t="shared" si="35"/>
        <v>, CASE WHEN shikkan_disp_name = 'C540' THEN min_shikkan_start_date ::DATE ELSE NULL END AS shikkan263_start_date</v>
      </c>
      <c r="V281" s="25" t="str">
        <f t="shared" si="36"/>
        <v>, max(shikkan263_start_date)</v>
      </c>
      <c r="AA281" s="4"/>
      <c r="AB281" s="4"/>
      <c r="AC281" s="4"/>
      <c r="AD281" s="4"/>
      <c r="AE281" s="4"/>
      <c r="AF281" s="4"/>
      <c r="AG281" s="4"/>
      <c r="AH281" s="4"/>
      <c r="AI281" s="4"/>
      <c r="AJ281" s="76" t="str">
        <f>IF(E281="○",IF(COUNTA(E$13:E281)=1,"",",")&amp;D281,"")</f>
        <v/>
      </c>
      <c r="AK281" s="4"/>
      <c r="AL281" s="4"/>
      <c r="AM281" s="4"/>
      <c r="AN281" s="4"/>
      <c r="AO281" s="4"/>
      <c r="AP281" s="4"/>
      <c r="AQ281" s="4"/>
      <c r="AR281" s="4"/>
      <c r="AS281" s="76" t="str">
        <f>"COMMENT ON COLUMN "&amp;エンティティ一覧!$O$2&amp;"."&amp;D$8&amp;"."&amp;D281&amp;" IS '"&amp;C281&amp;"';"</f>
        <v>COMMENT ON COLUMN milscm_2023_009.sny_202310_annony_non_annony2.shikkan263_start_date IS 'C540_疾患開始日';</v>
      </c>
    </row>
    <row r="282" spans="1:45" s="25" customFormat="1">
      <c r="A282" s="4" t="s">
        <v>5414</v>
      </c>
      <c r="B282" s="21">
        <f t="shared" si="33"/>
        <v>270</v>
      </c>
      <c r="C282" s="13" t="str">
        <f t="shared" si="34"/>
        <v>C541_疾患開始日</v>
      </c>
      <c r="D282" s="13" t="s">
        <v>5032</v>
      </c>
      <c r="E282" s="8"/>
      <c r="F282" s="7" t="s">
        <v>4348</v>
      </c>
      <c r="G282" s="7" t="s">
        <v>25</v>
      </c>
      <c r="H282" s="58"/>
      <c r="I282" s="23"/>
      <c r="J282" s="24"/>
      <c r="M282" s="4"/>
      <c r="N282" s="76"/>
      <c r="O282" s="76"/>
      <c r="P282" s="76" t="str">
        <f t="shared" si="28"/>
        <v>,shikkan264_start_date</v>
      </c>
      <c r="Q282" s="76" t="str">
        <f t="shared" si="29"/>
        <v>DATE</v>
      </c>
      <c r="R282" s="76" t="str">
        <f t="shared" si="30"/>
        <v/>
      </c>
      <c r="S282" s="76" t="str">
        <f t="shared" si="31"/>
        <v/>
      </c>
      <c r="T282" s="76" t="str">
        <f t="shared" si="32"/>
        <v>-- C541_疾患開始日</v>
      </c>
      <c r="U282" s="4" t="str">
        <f t="shared" si="35"/>
        <v>, CASE WHEN shikkan_disp_name = 'C541' THEN min_shikkan_start_date ::DATE ELSE NULL END AS shikkan264_start_date</v>
      </c>
      <c r="V282" s="25" t="str">
        <f t="shared" si="36"/>
        <v>, max(shikkan264_start_date)</v>
      </c>
      <c r="AA282" s="4"/>
      <c r="AB282" s="4"/>
      <c r="AC282" s="4"/>
      <c r="AD282" s="4"/>
      <c r="AE282" s="4"/>
      <c r="AF282" s="4"/>
      <c r="AG282" s="4"/>
      <c r="AH282" s="4"/>
      <c r="AI282" s="4"/>
      <c r="AJ282" s="76" t="str">
        <f>IF(E282="○",IF(COUNTA(E$13:E282)=1,"",",")&amp;D282,"")</f>
        <v/>
      </c>
      <c r="AK282" s="4"/>
      <c r="AL282" s="4"/>
      <c r="AM282" s="4"/>
      <c r="AN282" s="4"/>
      <c r="AO282" s="4"/>
      <c r="AP282" s="4"/>
      <c r="AQ282" s="4"/>
      <c r="AR282" s="4"/>
      <c r="AS282" s="76" t="str">
        <f>"COMMENT ON COLUMN "&amp;エンティティ一覧!$O$2&amp;"."&amp;D$8&amp;"."&amp;D282&amp;" IS '"&amp;C282&amp;"';"</f>
        <v>COMMENT ON COLUMN milscm_2023_009.sny_202310_annony_non_annony2.shikkan264_start_date IS 'C541_疾患開始日';</v>
      </c>
    </row>
    <row r="283" spans="1:45" s="25" customFormat="1">
      <c r="A283" s="4" t="s">
        <v>5415</v>
      </c>
      <c r="B283" s="21">
        <f t="shared" si="33"/>
        <v>271</v>
      </c>
      <c r="C283" s="13" t="str">
        <f t="shared" si="34"/>
        <v>C542_疾患開始日</v>
      </c>
      <c r="D283" s="13" t="s">
        <v>5033</v>
      </c>
      <c r="E283" s="8"/>
      <c r="F283" s="7" t="s">
        <v>4348</v>
      </c>
      <c r="G283" s="7" t="s">
        <v>25</v>
      </c>
      <c r="H283" s="58"/>
      <c r="I283" s="23"/>
      <c r="J283" s="24"/>
      <c r="M283" s="4"/>
      <c r="N283" s="76"/>
      <c r="O283" s="76"/>
      <c r="P283" s="76" t="str">
        <f t="shared" si="28"/>
        <v>,shikkan265_start_date</v>
      </c>
      <c r="Q283" s="76" t="str">
        <f t="shared" si="29"/>
        <v>DATE</v>
      </c>
      <c r="R283" s="76" t="str">
        <f t="shared" si="30"/>
        <v/>
      </c>
      <c r="S283" s="76" t="str">
        <f t="shared" si="31"/>
        <v/>
      </c>
      <c r="T283" s="76" t="str">
        <f t="shared" si="32"/>
        <v>-- C542_疾患開始日</v>
      </c>
      <c r="U283" s="4" t="str">
        <f t="shared" si="35"/>
        <v>, CASE WHEN shikkan_disp_name = 'C542' THEN min_shikkan_start_date ::DATE ELSE NULL END AS shikkan265_start_date</v>
      </c>
      <c r="V283" s="25" t="str">
        <f t="shared" si="36"/>
        <v>, max(shikkan265_start_date)</v>
      </c>
      <c r="AA283" s="4"/>
      <c r="AB283" s="4"/>
      <c r="AC283" s="4"/>
      <c r="AD283" s="4"/>
      <c r="AE283" s="4"/>
      <c r="AF283" s="4"/>
      <c r="AG283" s="4"/>
      <c r="AH283" s="4"/>
      <c r="AI283" s="4"/>
      <c r="AJ283" s="76" t="str">
        <f>IF(E283="○",IF(COUNTA(E$13:E283)=1,"",",")&amp;D283,"")</f>
        <v/>
      </c>
      <c r="AK283" s="4"/>
      <c r="AL283" s="4"/>
      <c r="AM283" s="4"/>
      <c r="AN283" s="4"/>
      <c r="AO283" s="4"/>
      <c r="AP283" s="4"/>
      <c r="AQ283" s="4"/>
      <c r="AR283" s="4"/>
      <c r="AS283" s="76" t="str">
        <f>"COMMENT ON COLUMN "&amp;エンティティ一覧!$O$2&amp;"."&amp;D$8&amp;"."&amp;D283&amp;" IS '"&amp;C283&amp;"';"</f>
        <v>COMMENT ON COLUMN milscm_2023_009.sny_202310_annony_non_annony2.shikkan265_start_date IS 'C542_疾患開始日';</v>
      </c>
    </row>
    <row r="284" spans="1:45" s="25" customFormat="1">
      <c r="A284" s="4" t="s">
        <v>5416</v>
      </c>
      <c r="B284" s="21">
        <f t="shared" si="33"/>
        <v>272</v>
      </c>
      <c r="C284" s="13" t="str">
        <f t="shared" si="34"/>
        <v>C543_疾患開始日</v>
      </c>
      <c r="D284" s="13" t="s">
        <v>5034</v>
      </c>
      <c r="E284" s="8"/>
      <c r="F284" s="7" t="s">
        <v>4348</v>
      </c>
      <c r="G284" s="7" t="s">
        <v>25</v>
      </c>
      <c r="H284" s="58"/>
      <c r="I284" s="23"/>
      <c r="J284" s="24"/>
      <c r="M284" s="4"/>
      <c r="N284" s="76"/>
      <c r="O284" s="76"/>
      <c r="P284" s="76" t="str">
        <f t="shared" si="28"/>
        <v>,shikkan266_start_date</v>
      </c>
      <c r="Q284" s="76" t="str">
        <f t="shared" si="29"/>
        <v>DATE</v>
      </c>
      <c r="R284" s="76" t="str">
        <f t="shared" si="30"/>
        <v/>
      </c>
      <c r="S284" s="76" t="str">
        <f t="shared" si="31"/>
        <v/>
      </c>
      <c r="T284" s="76" t="str">
        <f t="shared" si="32"/>
        <v>-- C543_疾患開始日</v>
      </c>
      <c r="U284" s="4" t="str">
        <f t="shared" si="35"/>
        <v>, CASE WHEN shikkan_disp_name = 'C543' THEN min_shikkan_start_date ::DATE ELSE NULL END AS shikkan266_start_date</v>
      </c>
      <c r="V284" s="25" t="str">
        <f t="shared" si="36"/>
        <v>, max(shikkan266_start_date)</v>
      </c>
      <c r="AA284" s="4"/>
      <c r="AB284" s="4"/>
      <c r="AC284" s="4"/>
      <c r="AD284" s="4"/>
      <c r="AE284" s="4"/>
      <c r="AF284" s="4"/>
      <c r="AG284" s="4"/>
      <c r="AH284" s="4"/>
      <c r="AI284" s="4"/>
      <c r="AJ284" s="76" t="str">
        <f>IF(E284="○",IF(COUNTA(E$13:E284)=1,"",",")&amp;D284,"")</f>
        <v/>
      </c>
      <c r="AK284" s="4"/>
      <c r="AL284" s="4"/>
      <c r="AM284" s="4"/>
      <c r="AN284" s="4"/>
      <c r="AO284" s="4"/>
      <c r="AP284" s="4"/>
      <c r="AQ284" s="4"/>
      <c r="AR284" s="4"/>
      <c r="AS284" s="76" t="str">
        <f>"COMMENT ON COLUMN "&amp;エンティティ一覧!$O$2&amp;"."&amp;D$8&amp;"."&amp;D284&amp;" IS '"&amp;C284&amp;"';"</f>
        <v>COMMENT ON COLUMN milscm_2023_009.sny_202310_annony_non_annony2.shikkan266_start_date IS 'C543_疾患開始日';</v>
      </c>
    </row>
    <row r="285" spans="1:45" s="25" customFormat="1">
      <c r="A285" s="4" t="s">
        <v>5417</v>
      </c>
      <c r="B285" s="21">
        <f t="shared" si="33"/>
        <v>273</v>
      </c>
      <c r="C285" s="13" t="str">
        <f t="shared" si="34"/>
        <v>C548_疾患開始日</v>
      </c>
      <c r="D285" s="13" t="s">
        <v>5035</v>
      </c>
      <c r="E285" s="8"/>
      <c r="F285" s="7" t="s">
        <v>4348</v>
      </c>
      <c r="G285" s="7" t="s">
        <v>25</v>
      </c>
      <c r="H285" s="58"/>
      <c r="I285" s="23"/>
      <c r="J285" s="24"/>
      <c r="M285" s="4"/>
      <c r="N285" s="76"/>
      <c r="O285" s="76"/>
      <c r="P285" s="76" t="str">
        <f t="shared" si="28"/>
        <v>,shikkan267_start_date</v>
      </c>
      <c r="Q285" s="76" t="str">
        <f t="shared" si="29"/>
        <v>DATE</v>
      </c>
      <c r="R285" s="76" t="str">
        <f t="shared" si="30"/>
        <v/>
      </c>
      <c r="S285" s="76" t="str">
        <f t="shared" si="31"/>
        <v/>
      </c>
      <c r="T285" s="76" t="str">
        <f t="shared" si="32"/>
        <v>-- C548_疾患開始日</v>
      </c>
      <c r="U285" s="4" t="str">
        <f t="shared" si="35"/>
        <v>, CASE WHEN shikkan_disp_name = 'C548' THEN min_shikkan_start_date ::DATE ELSE NULL END AS shikkan267_start_date</v>
      </c>
      <c r="V285" s="25" t="str">
        <f t="shared" si="36"/>
        <v>, max(shikkan267_start_date)</v>
      </c>
      <c r="AA285" s="4"/>
      <c r="AB285" s="4"/>
      <c r="AC285" s="4"/>
      <c r="AD285" s="4"/>
      <c r="AE285" s="4"/>
      <c r="AF285" s="4"/>
      <c r="AG285" s="4"/>
      <c r="AH285" s="4"/>
      <c r="AI285" s="4"/>
      <c r="AJ285" s="76" t="str">
        <f>IF(E285="○",IF(COUNTA(E$13:E285)=1,"",",")&amp;D285,"")</f>
        <v/>
      </c>
      <c r="AK285" s="4"/>
      <c r="AL285" s="4"/>
      <c r="AM285" s="4"/>
      <c r="AN285" s="4"/>
      <c r="AO285" s="4"/>
      <c r="AP285" s="4"/>
      <c r="AQ285" s="4"/>
      <c r="AR285" s="4"/>
      <c r="AS285" s="76" t="str">
        <f>"COMMENT ON COLUMN "&amp;エンティティ一覧!$O$2&amp;"."&amp;D$8&amp;"."&amp;D285&amp;" IS '"&amp;C285&amp;"';"</f>
        <v>COMMENT ON COLUMN milscm_2023_009.sny_202310_annony_non_annony2.shikkan267_start_date IS 'C548_疾患開始日';</v>
      </c>
    </row>
    <row r="286" spans="1:45" s="25" customFormat="1">
      <c r="A286" s="4" t="s">
        <v>5418</v>
      </c>
      <c r="B286" s="21">
        <f t="shared" si="33"/>
        <v>274</v>
      </c>
      <c r="C286" s="13" t="str">
        <f t="shared" si="34"/>
        <v>C549_疾患開始日</v>
      </c>
      <c r="D286" s="13" t="s">
        <v>5036</v>
      </c>
      <c r="E286" s="8"/>
      <c r="F286" s="7" t="s">
        <v>4348</v>
      </c>
      <c r="G286" s="7" t="s">
        <v>25</v>
      </c>
      <c r="H286" s="58"/>
      <c r="I286" s="23"/>
      <c r="J286" s="24"/>
      <c r="M286" s="4"/>
      <c r="N286" s="76"/>
      <c r="O286" s="76"/>
      <c r="P286" s="76" t="str">
        <f t="shared" si="28"/>
        <v>,shikkan268_start_date</v>
      </c>
      <c r="Q286" s="76" t="str">
        <f t="shared" si="29"/>
        <v>DATE</v>
      </c>
      <c r="R286" s="76" t="str">
        <f t="shared" si="30"/>
        <v/>
      </c>
      <c r="S286" s="76" t="str">
        <f t="shared" si="31"/>
        <v/>
      </c>
      <c r="T286" s="76" t="str">
        <f t="shared" si="32"/>
        <v>-- C549_疾患開始日</v>
      </c>
      <c r="U286" s="4" t="str">
        <f t="shared" si="35"/>
        <v>, CASE WHEN shikkan_disp_name = 'C549' THEN min_shikkan_start_date ::DATE ELSE NULL END AS shikkan268_start_date</v>
      </c>
      <c r="V286" s="25" t="str">
        <f t="shared" si="36"/>
        <v>, max(shikkan268_start_date)</v>
      </c>
      <c r="AA286" s="4"/>
      <c r="AB286" s="4"/>
      <c r="AC286" s="4"/>
      <c r="AD286" s="4"/>
      <c r="AE286" s="4"/>
      <c r="AF286" s="4"/>
      <c r="AG286" s="4"/>
      <c r="AH286" s="4"/>
      <c r="AI286" s="4"/>
      <c r="AJ286" s="76" t="str">
        <f>IF(E286="○",IF(COUNTA(E$13:E286)=1,"",",")&amp;D286,"")</f>
        <v/>
      </c>
      <c r="AK286" s="4"/>
      <c r="AL286" s="4"/>
      <c r="AM286" s="4"/>
      <c r="AN286" s="4"/>
      <c r="AO286" s="4"/>
      <c r="AP286" s="4"/>
      <c r="AQ286" s="4"/>
      <c r="AR286" s="4"/>
      <c r="AS286" s="76" t="str">
        <f>"COMMENT ON COLUMN "&amp;エンティティ一覧!$O$2&amp;"."&amp;D$8&amp;"."&amp;D286&amp;" IS '"&amp;C286&amp;"';"</f>
        <v>COMMENT ON COLUMN milscm_2023_009.sny_202310_annony_non_annony2.shikkan268_start_date IS 'C549_疾患開始日';</v>
      </c>
    </row>
    <row r="287" spans="1:45" s="25" customFormat="1">
      <c r="A287" s="4" t="s">
        <v>5149</v>
      </c>
      <c r="B287" s="21">
        <f t="shared" si="33"/>
        <v>275</v>
      </c>
      <c r="C287" s="13" t="str">
        <f t="shared" si="34"/>
        <v>C55_疾患開始日</v>
      </c>
      <c r="D287" s="13" t="s">
        <v>5037</v>
      </c>
      <c r="E287" s="8"/>
      <c r="F287" s="7" t="s">
        <v>4348</v>
      </c>
      <c r="G287" s="7" t="s">
        <v>25</v>
      </c>
      <c r="H287" s="58"/>
      <c r="I287" s="23"/>
      <c r="J287" s="24"/>
      <c r="M287" s="4"/>
      <c r="N287" s="76"/>
      <c r="O287" s="76"/>
      <c r="P287" s="76" t="str">
        <f t="shared" si="28"/>
        <v>,shikkan269_start_date</v>
      </c>
      <c r="Q287" s="76" t="str">
        <f t="shared" si="29"/>
        <v>DATE</v>
      </c>
      <c r="R287" s="76" t="str">
        <f t="shared" si="30"/>
        <v/>
      </c>
      <c r="S287" s="76" t="str">
        <f t="shared" si="31"/>
        <v/>
      </c>
      <c r="T287" s="76" t="str">
        <f t="shared" si="32"/>
        <v>-- C55_疾患開始日</v>
      </c>
      <c r="U287" s="4" t="str">
        <f t="shared" si="35"/>
        <v>, CASE WHEN shikkan_disp_name = 'C55' THEN min_shikkan_start_date ::DATE ELSE NULL END AS shikkan269_start_date</v>
      </c>
      <c r="V287" s="25" t="str">
        <f t="shared" si="36"/>
        <v>, max(shikkan269_start_date)</v>
      </c>
      <c r="AA287" s="4"/>
      <c r="AB287" s="4"/>
      <c r="AC287" s="4"/>
      <c r="AD287" s="4"/>
      <c r="AE287" s="4"/>
      <c r="AF287" s="4"/>
      <c r="AG287" s="4"/>
      <c r="AH287" s="4"/>
      <c r="AI287" s="4"/>
      <c r="AJ287" s="76" t="str">
        <f>IF(E287="○",IF(COUNTA(E$13:E287)=1,"",",")&amp;D287,"")</f>
        <v/>
      </c>
      <c r="AK287" s="4"/>
      <c r="AL287" s="4"/>
      <c r="AM287" s="4"/>
      <c r="AN287" s="4"/>
      <c r="AO287" s="4"/>
      <c r="AP287" s="4"/>
      <c r="AQ287" s="4"/>
      <c r="AR287" s="4"/>
      <c r="AS287" s="76" t="str">
        <f>"COMMENT ON COLUMN "&amp;エンティティ一覧!$O$2&amp;"."&amp;D$8&amp;"."&amp;D287&amp;" IS '"&amp;C287&amp;"';"</f>
        <v>COMMENT ON COLUMN milscm_2023_009.sny_202310_annony_non_annony2.shikkan269_start_date IS 'C55_疾患開始日';</v>
      </c>
    </row>
    <row r="288" spans="1:45" s="25" customFormat="1">
      <c r="A288" s="4" t="s">
        <v>5150</v>
      </c>
      <c r="B288" s="21">
        <f t="shared" si="33"/>
        <v>276</v>
      </c>
      <c r="C288" s="13" t="str">
        <f t="shared" si="34"/>
        <v>C56_疾患開始日</v>
      </c>
      <c r="D288" s="13" t="s">
        <v>5038</v>
      </c>
      <c r="E288" s="8"/>
      <c r="F288" s="7" t="s">
        <v>4348</v>
      </c>
      <c r="G288" s="7" t="s">
        <v>25</v>
      </c>
      <c r="H288" s="58"/>
      <c r="I288" s="23"/>
      <c r="J288" s="24"/>
      <c r="M288" s="4"/>
      <c r="N288" s="76"/>
      <c r="O288" s="76"/>
      <c r="P288" s="76" t="str">
        <f t="shared" si="28"/>
        <v>,shikkan270_start_date</v>
      </c>
      <c r="Q288" s="76" t="str">
        <f t="shared" si="29"/>
        <v>DATE</v>
      </c>
      <c r="R288" s="76" t="str">
        <f t="shared" si="30"/>
        <v/>
      </c>
      <c r="S288" s="76" t="str">
        <f t="shared" si="31"/>
        <v/>
      </c>
      <c r="T288" s="76" t="str">
        <f t="shared" si="32"/>
        <v>-- C56_疾患開始日</v>
      </c>
      <c r="U288" s="4" t="str">
        <f t="shared" si="35"/>
        <v>, CASE WHEN shikkan_disp_name = 'C56' THEN min_shikkan_start_date ::DATE ELSE NULL END AS shikkan270_start_date</v>
      </c>
      <c r="V288" s="25" t="str">
        <f t="shared" si="36"/>
        <v>, max(shikkan270_start_date)</v>
      </c>
      <c r="AA288" s="4"/>
      <c r="AB288" s="4"/>
      <c r="AC288" s="4"/>
      <c r="AD288" s="4"/>
      <c r="AE288" s="4"/>
      <c r="AF288" s="4"/>
      <c r="AG288" s="4"/>
      <c r="AH288" s="4"/>
      <c r="AI288" s="4"/>
      <c r="AJ288" s="76" t="str">
        <f>IF(E288="○",IF(COUNTA(E$13:E288)=1,"",",")&amp;D288,"")</f>
        <v/>
      </c>
      <c r="AK288" s="4"/>
      <c r="AL288" s="4"/>
      <c r="AM288" s="4"/>
      <c r="AN288" s="4"/>
      <c r="AO288" s="4"/>
      <c r="AP288" s="4"/>
      <c r="AQ288" s="4"/>
      <c r="AR288" s="4"/>
      <c r="AS288" s="76" t="str">
        <f>"COMMENT ON COLUMN "&amp;エンティティ一覧!$O$2&amp;"."&amp;D$8&amp;"."&amp;D288&amp;" IS '"&amp;C288&amp;"';"</f>
        <v>COMMENT ON COLUMN milscm_2023_009.sny_202310_annony_non_annony2.shikkan270_start_date IS 'C56_疾患開始日';</v>
      </c>
    </row>
    <row r="289" spans="1:45" s="25" customFormat="1">
      <c r="A289" s="4" t="s">
        <v>5419</v>
      </c>
      <c r="B289" s="21">
        <f t="shared" si="33"/>
        <v>277</v>
      </c>
      <c r="C289" s="13" t="str">
        <f t="shared" si="34"/>
        <v>C570_疾患開始日</v>
      </c>
      <c r="D289" s="13" t="s">
        <v>5039</v>
      </c>
      <c r="E289" s="8"/>
      <c r="F289" s="7" t="s">
        <v>4348</v>
      </c>
      <c r="G289" s="7" t="s">
        <v>25</v>
      </c>
      <c r="H289" s="58"/>
      <c r="I289" s="23"/>
      <c r="J289" s="24"/>
      <c r="M289" s="4"/>
      <c r="N289" s="76"/>
      <c r="O289" s="76"/>
      <c r="P289" s="76" t="str">
        <f t="shared" si="28"/>
        <v>,shikkan271_start_date</v>
      </c>
      <c r="Q289" s="76" t="str">
        <f t="shared" si="29"/>
        <v>DATE</v>
      </c>
      <c r="R289" s="76" t="str">
        <f t="shared" si="30"/>
        <v/>
      </c>
      <c r="S289" s="76" t="str">
        <f t="shared" si="31"/>
        <v/>
      </c>
      <c r="T289" s="76" t="str">
        <f t="shared" si="32"/>
        <v>-- C570_疾患開始日</v>
      </c>
      <c r="U289" s="4" t="str">
        <f t="shared" si="35"/>
        <v>, CASE WHEN shikkan_disp_name = 'C570' THEN min_shikkan_start_date ::DATE ELSE NULL END AS shikkan271_start_date</v>
      </c>
      <c r="V289" s="25" t="str">
        <f t="shared" si="36"/>
        <v>, max(shikkan271_start_date)</v>
      </c>
      <c r="AA289" s="4"/>
      <c r="AB289" s="4"/>
      <c r="AC289" s="4"/>
      <c r="AD289" s="4"/>
      <c r="AE289" s="4"/>
      <c r="AF289" s="4"/>
      <c r="AG289" s="4"/>
      <c r="AH289" s="4"/>
      <c r="AI289" s="4"/>
      <c r="AJ289" s="76" t="str">
        <f>IF(E289="○",IF(COUNTA(E$13:E289)=1,"",",")&amp;D289,"")</f>
        <v/>
      </c>
      <c r="AK289" s="4"/>
      <c r="AL289" s="4"/>
      <c r="AM289" s="4"/>
      <c r="AN289" s="4"/>
      <c r="AO289" s="4"/>
      <c r="AP289" s="4"/>
      <c r="AQ289" s="4"/>
      <c r="AR289" s="4"/>
      <c r="AS289" s="76" t="str">
        <f>"COMMENT ON COLUMN "&amp;エンティティ一覧!$O$2&amp;"."&amp;D$8&amp;"."&amp;D289&amp;" IS '"&amp;C289&amp;"';"</f>
        <v>COMMENT ON COLUMN milscm_2023_009.sny_202310_annony_non_annony2.shikkan271_start_date IS 'C570_疾患開始日';</v>
      </c>
    </row>
    <row r="290" spans="1:45" s="25" customFormat="1">
      <c r="A290" s="4" t="s">
        <v>5420</v>
      </c>
      <c r="B290" s="21">
        <f t="shared" si="33"/>
        <v>278</v>
      </c>
      <c r="C290" s="13" t="str">
        <f t="shared" si="34"/>
        <v>C571_疾患開始日</v>
      </c>
      <c r="D290" s="13" t="s">
        <v>5040</v>
      </c>
      <c r="E290" s="8"/>
      <c r="F290" s="7" t="s">
        <v>4348</v>
      </c>
      <c r="G290" s="7" t="s">
        <v>25</v>
      </c>
      <c r="H290" s="58"/>
      <c r="I290" s="23"/>
      <c r="J290" s="24"/>
      <c r="M290" s="4"/>
      <c r="N290" s="76"/>
      <c r="O290" s="76"/>
      <c r="P290" s="76" t="str">
        <f t="shared" si="28"/>
        <v>,shikkan272_start_date</v>
      </c>
      <c r="Q290" s="76" t="str">
        <f t="shared" si="29"/>
        <v>DATE</v>
      </c>
      <c r="R290" s="76" t="str">
        <f t="shared" si="30"/>
        <v/>
      </c>
      <c r="S290" s="76" t="str">
        <f t="shared" si="31"/>
        <v/>
      </c>
      <c r="T290" s="76" t="str">
        <f t="shared" si="32"/>
        <v>-- C571_疾患開始日</v>
      </c>
      <c r="U290" s="4" t="str">
        <f t="shared" si="35"/>
        <v>, CASE WHEN shikkan_disp_name = 'C571' THEN min_shikkan_start_date ::DATE ELSE NULL END AS shikkan272_start_date</v>
      </c>
      <c r="V290" s="25" t="str">
        <f t="shared" si="36"/>
        <v>, max(shikkan272_start_date)</v>
      </c>
      <c r="AA290" s="4"/>
      <c r="AB290" s="4"/>
      <c r="AC290" s="4"/>
      <c r="AD290" s="4"/>
      <c r="AE290" s="4"/>
      <c r="AF290" s="4"/>
      <c r="AG290" s="4"/>
      <c r="AH290" s="4"/>
      <c r="AI290" s="4"/>
      <c r="AJ290" s="76" t="str">
        <f>IF(E290="○",IF(COUNTA(E$13:E290)=1,"",",")&amp;D290,"")</f>
        <v/>
      </c>
      <c r="AK290" s="4"/>
      <c r="AL290" s="4"/>
      <c r="AM290" s="4"/>
      <c r="AN290" s="4"/>
      <c r="AO290" s="4"/>
      <c r="AP290" s="4"/>
      <c r="AQ290" s="4"/>
      <c r="AR290" s="4"/>
      <c r="AS290" s="76" t="str">
        <f>"COMMENT ON COLUMN "&amp;エンティティ一覧!$O$2&amp;"."&amp;D$8&amp;"."&amp;D290&amp;" IS '"&amp;C290&amp;"';"</f>
        <v>COMMENT ON COLUMN milscm_2023_009.sny_202310_annony_non_annony2.shikkan272_start_date IS 'C571_疾患開始日';</v>
      </c>
    </row>
    <row r="291" spans="1:45" s="25" customFormat="1">
      <c r="A291" s="4" t="s">
        <v>5421</v>
      </c>
      <c r="B291" s="21">
        <f t="shared" si="33"/>
        <v>279</v>
      </c>
      <c r="C291" s="13" t="str">
        <f t="shared" si="34"/>
        <v>C572_疾患開始日</v>
      </c>
      <c r="D291" s="13" t="s">
        <v>5041</v>
      </c>
      <c r="E291" s="8"/>
      <c r="F291" s="7" t="s">
        <v>4348</v>
      </c>
      <c r="G291" s="7" t="s">
        <v>25</v>
      </c>
      <c r="H291" s="58"/>
      <c r="I291" s="23"/>
      <c r="J291" s="24"/>
      <c r="M291" s="4"/>
      <c r="N291" s="76"/>
      <c r="O291" s="76"/>
      <c r="P291" s="76" t="str">
        <f t="shared" si="28"/>
        <v>,shikkan273_start_date</v>
      </c>
      <c r="Q291" s="76" t="str">
        <f t="shared" si="29"/>
        <v>DATE</v>
      </c>
      <c r="R291" s="76" t="str">
        <f t="shared" si="30"/>
        <v/>
      </c>
      <c r="S291" s="76" t="str">
        <f t="shared" si="31"/>
        <v/>
      </c>
      <c r="T291" s="76" t="str">
        <f t="shared" si="32"/>
        <v>-- C572_疾患開始日</v>
      </c>
      <c r="U291" s="4" t="str">
        <f t="shared" si="35"/>
        <v>, CASE WHEN shikkan_disp_name = 'C572' THEN min_shikkan_start_date ::DATE ELSE NULL END AS shikkan273_start_date</v>
      </c>
      <c r="V291" s="25" t="str">
        <f t="shared" si="36"/>
        <v>, max(shikkan273_start_date)</v>
      </c>
      <c r="AA291" s="4"/>
      <c r="AB291" s="4"/>
      <c r="AC291" s="4"/>
      <c r="AD291" s="4"/>
      <c r="AE291" s="4"/>
      <c r="AF291" s="4"/>
      <c r="AG291" s="4"/>
      <c r="AH291" s="4"/>
      <c r="AI291" s="4"/>
      <c r="AJ291" s="76" t="str">
        <f>IF(E291="○",IF(COUNTA(E$13:E291)=1,"",",")&amp;D291,"")</f>
        <v/>
      </c>
      <c r="AK291" s="4"/>
      <c r="AL291" s="4"/>
      <c r="AM291" s="4"/>
      <c r="AN291" s="4"/>
      <c r="AO291" s="4"/>
      <c r="AP291" s="4"/>
      <c r="AQ291" s="4"/>
      <c r="AR291" s="4"/>
      <c r="AS291" s="76" t="str">
        <f>"COMMENT ON COLUMN "&amp;エンティティ一覧!$O$2&amp;"."&amp;D$8&amp;"."&amp;D291&amp;" IS '"&amp;C291&amp;"';"</f>
        <v>COMMENT ON COLUMN milscm_2023_009.sny_202310_annony_non_annony2.shikkan273_start_date IS 'C572_疾患開始日';</v>
      </c>
    </row>
    <row r="292" spans="1:45" s="25" customFormat="1">
      <c r="A292" s="4" t="s">
        <v>5422</v>
      </c>
      <c r="B292" s="21">
        <f t="shared" si="33"/>
        <v>280</v>
      </c>
      <c r="C292" s="13" t="str">
        <f t="shared" si="34"/>
        <v>C573_疾患開始日</v>
      </c>
      <c r="D292" s="13" t="s">
        <v>5042</v>
      </c>
      <c r="E292" s="8"/>
      <c r="F292" s="7" t="s">
        <v>4348</v>
      </c>
      <c r="G292" s="7" t="s">
        <v>25</v>
      </c>
      <c r="H292" s="58"/>
      <c r="I292" s="23"/>
      <c r="J292" s="24"/>
      <c r="M292" s="4"/>
      <c r="N292" s="76"/>
      <c r="O292" s="76"/>
      <c r="P292" s="76" t="str">
        <f t="shared" si="28"/>
        <v>,shikkan274_start_date</v>
      </c>
      <c r="Q292" s="76" t="str">
        <f t="shared" si="29"/>
        <v>DATE</v>
      </c>
      <c r="R292" s="76" t="str">
        <f t="shared" si="30"/>
        <v/>
      </c>
      <c r="S292" s="76" t="str">
        <f t="shared" si="31"/>
        <v/>
      </c>
      <c r="T292" s="76" t="str">
        <f t="shared" si="32"/>
        <v>-- C573_疾患開始日</v>
      </c>
      <c r="U292" s="4" t="str">
        <f t="shared" si="35"/>
        <v>, CASE WHEN shikkan_disp_name = 'C573' THEN min_shikkan_start_date ::DATE ELSE NULL END AS shikkan274_start_date</v>
      </c>
      <c r="V292" s="25" t="str">
        <f t="shared" si="36"/>
        <v>, max(shikkan274_start_date)</v>
      </c>
      <c r="AA292" s="4"/>
      <c r="AB292" s="4"/>
      <c r="AC292" s="4"/>
      <c r="AD292" s="4"/>
      <c r="AE292" s="4"/>
      <c r="AF292" s="4"/>
      <c r="AG292" s="4"/>
      <c r="AH292" s="4"/>
      <c r="AI292" s="4"/>
      <c r="AJ292" s="76" t="str">
        <f>IF(E292="○",IF(COUNTA(E$13:E292)=1,"",",")&amp;D292,"")</f>
        <v/>
      </c>
      <c r="AK292" s="4"/>
      <c r="AL292" s="4"/>
      <c r="AM292" s="4"/>
      <c r="AN292" s="4"/>
      <c r="AO292" s="4"/>
      <c r="AP292" s="4"/>
      <c r="AQ292" s="4"/>
      <c r="AR292" s="4"/>
      <c r="AS292" s="76" t="str">
        <f>"COMMENT ON COLUMN "&amp;エンティティ一覧!$O$2&amp;"."&amp;D$8&amp;"."&amp;D292&amp;" IS '"&amp;C292&amp;"';"</f>
        <v>COMMENT ON COLUMN milscm_2023_009.sny_202310_annony_non_annony2.shikkan274_start_date IS 'C573_疾患開始日';</v>
      </c>
    </row>
    <row r="293" spans="1:45" s="25" customFormat="1">
      <c r="A293" s="4" t="s">
        <v>5423</v>
      </c>
      <c r="B293" s="21">
        <f t="shared" si="33"/>
        <v>281</v>
      </c>
      <c r="C293" s="13" t="str">
        <f t="shared" si="34"/>
        <v>C574_疾患開始日</v>
      </c>
      <c r="D293" s="13" t="s">
        <v>5043</v>
      </c>
      <c r="E293" s="8"/>
      <c r="F293" s="7" t="s">
        <v>4348</v>
      </c>
      <c r="G293" s="7" t="s">
        <v>25</v>
      </c>
      <c r="H293" s="58"/>
      <c r="I293" s="23"/>
      <c r="J293" s="24"/>
      <c r="M293" s="4"/>
      <c r="N293" s="76"/>
      <c r="O293" s="76"/>
      <c r="P293" s="76" t="str">
        <f t="shared" si="28"/>
        <v>,shikkan275_start_date</v>
      </c>
      <c r="Q293" s="76" t="str">
        <f t="shared" si="29"/>
        <v>DATE</v>
      </c>
      <c r="R293" s="76" t="str">
        <f t="shared" si="30"/>
        <v/>
      </c>
      <c r="S293" s="76" t="str">
        <f t="shared" si="31"/>
        <v/>
      </c>
      <c r="T293" s="76" t="str">
        <f t="shared" si="32"/>
        <v>-- C574_疾患開始日</v>
      </c>
      <c r="U293" s="4" t="str">
        <f t="shared" si="35"/>
        <v>, CASE WHEN shikkan_disp_name = 'C574' THEN min_shikkan_start_date ::DATE ELSE NULL END AS shikkan275_start_date</v>
      </c>
      <c r="V293" s="25" t="str">
        <f t="shared" si="36"/>
        <v>, max(shikkan275_start_date)</v>
      </c>
      <c r="AA293" s="4"/>
      <c r="AB293" s="4"/>
      <c r="AC293" s="4"/>
      <c r="AD293" s="4"/>
      <c r="AE293" s="4"/>
      <c r="AF293" s="4"/>
      <c r="AG293" s="4"/>
      <c r="AH293" s="4"/>
      <c r="AI293" s="4"/>
      <c r="AJ293" s="76" t="str">
        <f>IF(E293="○",IF(COUNTA(E$13:E293)=1,"",",")&amp;D293,"")</f>
        <v/>
      </c>
      <c r="AK293" s="4"/>
      <c r="AL293" s="4"/>
      <c r="AM293" s="4"/>
      <c r="AN293" s="4"/>
      <c r="AO293" s="4"/>
      <c r="AP293" s="4"/>
      <c r="AQ293" s="4"/>
      <c r="AR293" s="4"/>
      <c r="AS293" s="76" t="str">
        <f>"COMMENT ON COLUMN "&amp;エンティティ一覧!$O$2&amp;"."&amp;D$8&amp;"."&amp;D293&amp;" IS '"&amp;C293&amp;"';"</f>
        <v>COMMENT ON COLUMN milscm_2023_009.sny_202310_annony_non_annony2.shikkan275_start_date IS 'C574_疾患開始日';</v>
      </c>
    </row>
    <row r="294" spans="1:45" s="25" customFormat="1">
      <c r="A294" s="4" t="s">
        <v>5424</v>
      </c>
      <c r="B294" s="21">
        <f t="shared" si="33"/>
        <v>282</v>
      </c>
      <c r="C294" s="13" t="str">
        <f t="shared" si="34"/>
        <v>C577_疾患開始日</v>
      </c>
      <c r="D294" s="13" t="s">
        <v>5044</v>
      </c>
      <c r="E294" s="8"/>
      <c r="F294" s="7" t="s">
        <v>4348</v>
      </c>
      <c r="G294" s="7" t="s">
        <v>25</v>
      </c>
      <c r="H294" s="58"/>
      <c r="I294" s="23"/>
      <c r="J294" s="24"/>
      <c r="M294" s="4"/>
      <c r="N294" s="76"/>
      <c r="O294" s="76"/>
      <c r="P294" s="76" t="str">
        <f t="shared" si="28"/>
        <v>,shikkan276_start_date</v>
      </c>
      <c r="Q294" s="76" t="str">
        <f t="shared" si="29"/>
        <v>DATE</v>
      </c>
      <c r="R294" s="76" t="str">
        <f t="shared" si="30"/>
        <v/>
      </c>
      <c r="S294" s="76" t="str">
        <f t="shared" si="31"/>
        <v/>
      </c>
      <c r="T294" s="76" t="str">
        <f t="shared" si="32"/>
        <v>-- C577_疾患開始日</v>
      </c>
      <c r="U294" s="4" t="str">
        <f t="shared" si="35"/>
        <v>, CASE WHEN shikkan_disp_name = 'C577' THEN min_shikkan_start_date ::DATE ELSE NULL END AS shikkan276_start_date</v>
      </c>
      <c r="V294" s="25" t="str">
        <f t="shared" si="36"/>
        <v>, max(shikkan276_start_date)</v>
      </c>
      <c r="AA294" s="4"/>
      <c r="AB294" s="4"/>
      <c r="AC294" s="4"/>
      <c r="AD294" s="4"/>
      <c r="AE294" s="4"/>
      <c r="AF294" s="4"/>
      <c r="AG294" s="4"/>
      <c r="AH294" s="4"/>
      <c r="AI294" s="4"/>
      <c r="AJ294" s="76" t="str">
        <f>IF(E294="○",IF(COUNTA(E$13:E294)=1,"",",")&amp;D294,"")</f>
        <v/>
      </c>
      <c r="AK294" s="4"/>
      <c r="AL294" s="4"/>
      <c r="AM294" s="4"/>
      <c r="AN294" s="4"/>
      <c r="AO294" s="4"/>
      <c r="AP294" s="4"/>
      <c r="AQ294" s="4"/>
      <c r="AR294" s="4"/>
      <c r="AS294" s="76" t="str">
        <f>"COMMENT ON COLUMN "&amp;エンティティ一覧!$O$2&amp;"."&amp;D$8&amp;"."&amp;D294&amp;" IS '"&amp;C294&amp;"';"</f>
        <v>COMMENT ON COLUMN milscm_2023_009.sny_202310_annony_non_annony2.shikkan276_start_date IS 'C577_疾患開始日';</v>
      </c>
    </row>
    <row r="295" spans="1:45" s="25" customFormat="1">
      <c r="A295" s="4" t="s">
        <v>5425</v>
      </c>
      <c r="B295" s="21">
        <f t="shared" si="33"/>
        <v>283</v>
      </c>
      <c r="C295" s="13" t="str">
        <f t="shared" si="34"/>
        <v>C578_疾患開始日</v>
      </c>
      <c r="D295" s="13" t="s">
        <v>5045</v>
      </c>
      <c r="E295" s="8"/>
      <c r="F295" s="7" t="s">
        <v>4348</v>
      </c>
      <c r="G295" s="7" t="s">
        <v>25</v>
      </c>
      <c r="H295" s="58"/>
      <c r="I295" s="23"/>
      <c r="J295" s="24"/>
      <c r="M295" s="4"/>
      <c r="N295" s="76"/>
      <c r="O295" s="76"/>
      <c r="P295" s="76" t="str">
        <f t="shared" si="28"/>
        <v>,shikkan277_start_date</v>
      </c>
      <c r="Q295" s="76" t="str">
        <f t="shared" si="29"/>
        <v>DATE</v>
      </c>
      <c r="R295" s="76" t="str">
        <f t="shared" si="30"/>
        <v/>
      </c>
      <c r="S295" s="76" t="str">
        <f t="shared" si="31"/>
        <v/>
      </c>
      <c r="T295" s="76" t="str">
        <f t="shared" si="32"/>
        <v>-- C578_疾患開始日</v>
      </c>
      <c r="U295" s="4" t="str">
        <f t="shared" si="35"/>
        <v>, CASE WHEN shikkan_disp_name = 'C578' THEN min_shikkan_start_date ::DATE ELSE NULL END AS shikkan277_start_date</v>
      </c>
      <c r="V295" s="25" t="str">
        <f t="shared" si="36"/>
        <v>, max(shikkan277_start_date)</v>
      </c>
      <c r="AA295" s="4"/>
      <c r="AB295" s="4"/>
      <c r="AC295" s="4"/>
      <c r="AD295" s="4"/>
      <c r="AE295" s="4"/>
      <c r="AF295" s="4"/>
      <c r="AG295" s="4"/>
      <c r="AH295" s="4"/>
      <c r="AI295" s="4"/>
      <c r="AJ295" s="76" t="str">
        <f>IF(E295="○",IF(COUNTA(E$13:E295)=1,"",",")&amp;D295,"")</f>
        <v/>
      </c>
      <c r="AK295" s="4"/>
      <c r="AL295" s="4"/>
      <c r="AM295" s="4"/>
      <c r="AN295" s="4"/>
      <c r="AO295" s="4"/>
      <c r="AP295" s="4"/>
      <c r="AQ295" s="4"/>
      <c r="AR295" s="4"/>
      <c r="AS295" s="76" t="str">
        <f>"COMMENT ON COLUMN "&amp;エンティティ一覧!$O$2&amp;"."&amp;D$8&amp;"."&amp;D295&amp;" IS '"&amp;C295&amp;"';"</f>
        <v>COMMENT ON COLUMN milscm_2023_009.sny_202310_annony_non_annony2.shikkan277_start_date IS 'C578_疾患開始日';</v>
      </c>
    </row>
    <row r="296" spans="1:45" s="25" customFormat="1">
      <c r="A296" s="4" t="s">
        <v>5426</v>
      </c>
      <c r="B296" s="21">
        <f t="shared" si="33"/>
        <v>284</v>
      </c>
      <c r="C296" s="13" t="str">
        <f t="shared" si="34"/>
        <v>C579_疾患開始日</v>
      </c>
      <c r="D296" s="13" t="s">
        <v>5046</v>
      </c>
      <c r="E296" s="8"/>
      <c r="F296" s="7" t="s">
        <v>4348</v>
      </c>
      <c r="G296" s="7" t="s">
        <v>25</v>
      </c>
      <c r="H296" s="58"/>
      <c r="I296" s="23"/>
      <c r="J296" s="24"/>
      <c r="M296" s="4"/>
      <c r="N296" s="76"/>
      <c r="O296" s="76"/>
      <c r="P296" s="76" t="str">
        <f t="shared" si="28"/>
        <v>,shikkan278_start_date</v>
      </c>
      <c r="Q296" s="76" t="str">
        <f t="shared" si="29"/>
        <v>DATE</v>
      </c>
      <c r="R296" s="76" t="str">
        <f t="shared" si="30"/>
        <v/>
      </c>
      <c r="S296" s="76" t="str">
        <f t="shared" si="31"/>
        <v/>
      </c>
      <c r="T296" s="76" t="str">
        <f t="shared" si="32"/>
        <v>-- C579_疾患開始日</v>
      </c>
      <c r="U296" s="4" t="str">
        <f t="shared" si="35"/>
        <v>, CASE WHEN shikkan_disp_name = 'C579' THEN min_shikkan_start_date ::DATE ELSE NULL END AS shikkan278_start_date</v>
      </c>
      <c r="V296" s="25" t="str">
        <f t="shared" si="36"/>
        <v>, max(shikkan278_start_date)</v>
      </c>
      <c r="AA296" s="4"/>
      <c r="AB296" s="4"/>
      <c r="AC296" s="4"/>
      <c r="AD296" s="4"/>
      <c r="AE296" s="4"/>
      <c r="AF296" s="4"/>
      <c r="AG296" s="4"/>
      <c r="AH296" s="4"/>
      <c r="AI296" s="4"/>
      <c r="AJ296" s="76" t="str">
        <f>IF(E296="○",IF(COUNTA(E$13:E296)=1,"",",")&amp;D296,"")</f>
        <v/>
      </c>
      <c r="AK296" s="4"/>
      <c r="AL296" s="4"/>
      <c r="AM296" s="4"/>
      <c r="AN296" s="4"/>
      <c r="AO296" s="4"/>
      <c r="AP296" s="4"/>
      <c r="AQ296" s="4"/>
      <c r="AR296" s="4"/>
      <c r="AS296" s="76" t="str">
        <f>"COMMENT ON COLUMN "&amp;エンティティ一覧!$O$2&amp;"."&amp;D$8&amp;"."&amp;D296&amp;" IS '"&amp;C296&amp;"';"</f>
        <v>COMMENT ON COLUMN milscm_2023_009.sny_202310_annony_non_annony2.shikkan278_start_date IS 'C579_疾患開始日';</v>
      </c>
    </row>
    <row r="297" spans="1:45" s="25" customFormat="1">
      <c r="A297" s="4" t="s">
        <v>5151</v>
      </c>
      <c r="B297" s="21">
        <f t="shared" si="33"/>
        <v>285</v>
      </c>
      <c r="C297" s="13" t="str">
        <f t="shared" si="34"/>
        <v>C58_疾患開始日</v>
      </c>
      <c r="D297" s="13" t="s">
        <v>5047</v>
      </c>
      <c r="E297" s="8"/>
      <c r="F297" s="7" t="s">
        <v>4348</v>
      </c>
      <c r="G297" s="7" t="s">
        <v>25</v>
      </c>
      <c r="H297" s="58"/>
      <c r="I297" s="23"/>
      <c r="J297" s="24"/>
      <c r="M297" s="4"/>
      <c r="N297" s="76"/>
      <c r="O297" s="76"/>
      <c r="P297" s="76" t="str">
        <f t="shared" si="28"/>
        <v>,shikkan279_start_date</v>
      </c>
      <c r="Q297" s="76" t="str">
        <f t="shared" si="29"/>
        <v>DATE</v>
      </c>
      <c r="R297" s="76" t="str">
        <f t="shared" si="30"/>
        <v/>
      </c>
      <c r="S297" s="76" t="str">
        <f t="shared" si="31"/>
        <v/>
      </c>
      <c r="T297" s="76" t="str">
        <f t="shared" si="32"/>
        <v>-- C58_疾患開始日</v>
      </c>
      <c r="U297" s="4" t="str">
        <f t="shared" si="35"/>
        <v>, CASE WHEN shikkan_disp_name = 'C58' THEN min_shikkan_start_date ::DATE ELSE NULL END AS shikkan279_start_date</v>
      </c>
      <c r="V297" s="25" t="str">
        <f t="shared" si="36"/>
        <v>, max(shikkan279_start_date)</v>
      </c>
      <c r="AA297" s="4"/>
      <c r="AB297" s="4"/>
      <c r="AC297" s="4"/>
      <c r="AD297" s="4"/>
      <c r="AE297" s="4"/>
      <c r="AF297" s="4"/>
      <c r="AG297" s="4"/>
      <c r="AH297" s="4"/>
      <c r="AI297" s="4"/>
      <c r="AJ297" s="76" t="str">
        <f>IF(E297="○",IF(COUNTA(E$13:E297)=1,"",",")&amp;D297,"")</f>
        <v/>
      </c>
      <c r="AK297" s="4"/>
      <c r="AL297" s="4"/>
      <c r="AM297" s="4"/>
      <c r="AN297" s="4"/>
      <c r="AO297" s="4"/>
      <c r="AP297" s="4"/>
      <c r="AQ297" s="4"/>
      <c r="AR297" s="4"/>
      <c r="AS297" s="76" t="str">
        <f>"COMMENT ON COLUMN "&amp;エンティティ一覧!$O$2&amp;"."&amp;D$8&amp;"."&amp;D297&amp;" IS '"&amp;C297&amp;"';"</f>
        <v>COMMENT ON COLUMN milscm_2023_009.sny_202310_annony_non_annony2.shikkan279_start_date IS 'C58_疾患開始日';</v>
      </c>
    </row>
    <row r="298" spans="1:45" s="25" customFormat="1">
      <c r="A298" s="4" t="s">
        <v>5427</v>
      </c>
      <c r="B298" s="21">
        <f t="shared" si="33"/>
        <v>286</v>
      </c>
      <c r="C298" s="13" t="str">
        <f t="shared" si="34"/>
        <v>C600_疾患開始日</v>
      </c>
      <c r="D298" s="13" t="s">
        <v>5048</v>
      </c>
      <c r="E298" s="8"/>
      <c r="F298" s="7" t="s">
        <v>4348</v>
      </c>
      <c r="G298" s="7" t="s">
        <v>25</v>
      </c>
      <c r="H298" s="58"/>
      <c r="I298" s="23"/>
      <c r="J298" s="24"/>
      <c r="M298" s="4"/>
      <c r="N298" s="76"/>
      <c r="O298" s="76"/>
      <c r="P298" s="76" t="str">
        <f t="shared" si="28"/>
        <v>,shikkan280_start_date</v>
      </c>
      <c r="Q298" s="76" t="str">
        <f t="shared" si="29"/>
        <v>DATE</v>
      </c>
      <c r="R298" s="76" t="str">
        <f t="shared" si="30"/>
        <v/>
      </c>
      <c r="S298" s="76" t="str">
        <f t="shared" si="31"/>
        <v/>
      </c>
      <c r="T298" s="76" t="str">
        <f t="shared" si="32"/>
        <v>-- C600_疾患開始日</v>
      </c>
      <c r="U298" s="4" t="str">
        <f t="shared" si="35"/>
        <v>, CASE WHEN shikkan_disp_name = 'C600' THEN min_shikkan_start_date ::DATE ELSE NULL END AS shikkan280_start_date</v>
      </c>
      <c r="V298" s="25" t="str">
        <f t="shared" si="36"/>
        <v>, max(shikkan280_start_date)</v>
      </c>
      <c r="AA298" s="4"/>
      <c r="AB298" s="4"/>
      <c r="AC298" s="4"/>
      <c r="AD298" s="4"/>
      <c r="AE298" s="4"/>
      <c r="AF298" s="4"/>
      <c r="AG298" s="4"/>
      <c r="AH298" s="4"/>
      <c r="AI298" s="4"/>
      <c r="AJ298" s="76" t="str">
        <f>IF(E298="○",IF(COUNTA(E$13:E298)=1,"",",")&amp;D298,"")</f>
        <v/>
      </c>
      <c r="AK298" s="4"/>
      <c r="AL298" s="4"/>
      <c r="AM298" s="4"/>
      <c r="AN298" s="4"/>
      <c r="AO298" s="4"/>
      <c r="AP298" s="4"/>
      <c r="AQ298" s="4"/>
      <c r="AR298" s="4"/>
      <c r="AS298" s="76" t="str">
        <f>"COMMENT ON COLUMN "&amp;エンティティ一覧!$O$2&amp;"."&amp;D$8&amp;"."&amp;D298&amp;" IS '"&amp;C298&amp;"';"</f>
        <v>COMMENT ON COLUMN milscm_2023_009.sny_202310_annony_non_annony2.shikkan280_start_date IS 'C600_疾患開始日';</v>
      </c>
    </row>
    <row r="299" spans="1:45" s="25" customFormat="1">
      <c r="A299" s="4" t="s">
        <v>5428</v>
      </c>
      <c r="B299" s="21">
        <f t="shared" si="33"/>
        <v>287</v>
      </c>
      <c r="C299" s="13" t="str">
        <f t="shared" si="34"/>
        <v>C601_疾患開始日</v>
      </c>
      <c r="D299" s="13" t="s">
        <v>5049</v>
      </c>
      <c r="E299" s="8"/>
      <c r="F299" s="7" t="s">
        <v>4348</v>
      </c>
      <c r="G299" s="7" t="s">
        <v>25</v>
      </c>
      <c r="H299" s="58"/>
      <c r="I299" s="23"/>
      <c r="J299" s="24"/>
      <c r="M299" s="4"/>
      <c r="N299" s="76"/>
      <c r="O299" s="76"/>
      <c r="P299" s="76" t="str">
        <f t="shared" si="28"/>
        <v>,shikkan281_start_date</v>
      </c>
      <c r="Q299" s="76" t="str">
        <f t="shared" si="29"/>
        <v>DATE</v>
      </c>
      <c r="R299" s="76" t="str">
        <f t="shared" si="30"/>
        <v/>
      </c>
      <c r="S299" s="76" t="str">
        <f t="shared" si="31"/>
        <v/>
      </c>
      <c r="T299" s="76" t="str">
        <f t="shared" si="32"/>
        <v>-- C601_疾患開始日</v>
      </c>
      <c r="U299" s="4" t="str">
        <f t="shared" si="35"/>
        <v>, CASE WHEN shikkan_disp_name = 'C601' THEN min_shikkan_start_date ::DATE ELSE NULL END AS shikkan281_start_date</v>
      </c>
      <c r="V299" s="25" t="str">
        <f t="shared" si="36"/>
        <v>, max(shikkan281_start_date)</v>
      </c>
      <c r="AA299" s="4"/>
      <c r="AB299" s="4"/>
      <c r="AC299" s="4"/>
      <c r="AD299" s="4"/>
      <c r="AE299" s="4"/>
      <c r="AF299" s="4"/>
      <c r="AG299" s="4"/>
      <c r="AH299" s="4"/>
      <c r="AI299" s="4"/>
      <c r="AJ299" s="76" t="str">
        <f>IF(E299="○",IF(COUNTA(E$13:E299)=1,"",",")&amp;D299,"")</f>
        <v/>
      </c>
      <c r="AK299" s="4"/>
      <c r="AL299" s="4"/>
      <c r="AM299" s="4"/>
      <c r="AN299" s="4"/>
      <c r="AO299" s="4"/>
      <c r="AP299" s="4"/>
      <c r="AQ299" s="4"/>
      <c r="AR299" s="4"/>
      <c r="AS299" s="76" t="str">
        <f>"COMMENT ON COLUMN "&amp;エンティティ一覧!$O$2&amp;"."&amp;D$8&amp;"."&amp;D299&amp;" IS '"&amp;C299&amp;"';"</f>
        <v>COMMENT ON COLUMN milscm_2023_009.sny_202310_annony_non_annony2.shikkan281_start_date IS 'C601_疾患開始日';</v>
      </c>
    </row>
    <row r="300" spans="1:45" s="25" customFormat="1">
      <c r="A300" s="4" t="s">
        <v>5429</v>
      </c>
      <c r="B300" s="21">
        <f t="shared" si="33"/>
        <v>288</v>
      </c>
      <c r="C300" s="13" t="str">
        <f t="shared" si="34"/>
        <v>C602_疾患開始日</v>
      </c>
      <c r="D300" s="13" t="s">
        <v>5050</v>
      </c>
      <c r="E300" s="8"/>
      <c r="F300" s="7" t="s">
        <v>4348</v>
      </c>
      <c r="G300" s="7" t="s">
        <v>25</v>
      </c>
      <c r="H300" s="58"/>
      <c r="I300" s="23"/>
      <c r="J300" s="24"/>
      <c r="M300" s="4"/>
      <c r="N300" s="76"/>
      <c r="O300" s="76"/>
      <c r="P300" s="76" t="str">
        <f t="shared" si="28"/>
        <v>,shikkan282_start_date</v>
      </c>
      <c r="Q300" s="76" t="str">
        <f t="shared" si="29"/>
        <v>DATE</v>
      </c>
      <c r="R300" s="76" t="str">
        <f t="shared" si="30"/>
        <v/>
      </c>
      <c r="S300" s="76" t="str">
        <f t="shared" si="31"/>
        <v/>
      </c>
      <c r="T300" s="76" t="str">
        <f t="shared" si="32"/>
        <v>-- C602_疾患開始日</v>
      </c>
      <c r="U300" s="4" t="str">
        <f t="shared" si="35"/>
        <v>, CASE WHEN shikkan_disp_name = 'C602' THEN min_shikkan_start_date ::DATE ELSE NULL END AS shikkan282_start_date</v>
      </c>
      <c r="V300" s="25" t="str">
        <f t="shared" si="36"/>
        <v>, max(shikkan282_start_date)</v>
      </c>
      <c r="AA300" s="4"/>
      <c r="AB300" s="4"/>
      <c r="AC300" s="4"/>
      <c r="AD300" s="4"/>
      <c r="AE300" s="4"/>
      <c r="AF300" s="4"/>
      <c r="AG300" s="4"/>
      <c r="AH300" s="4"/>
      <c r="AI300" s="4"/>
      <c r="AJ300" s="76" t="str">
        <f>IF(E300="○",IF(COUNTA(E$13:E300)=1,"",",")&amp;D300,"")</f>
        <v/>
      </c>
      <c r="AK300" s="4"/>
      <c r="AL300" s="4"/>
      <c r="AM300" s="4"/>
      <c r="AN300" s="4"/>
      <c r="AO300" s="4"/>
      <c r="AP300" s="4"/>
      <c r="AQ300" s="4"/>
      <c r="AR300" s="4"/>
      <c r="AS300" s="76" t="str">
        <f>"COMMENT ON COLUMN "&amp;エンティティ一覧!$O$2&amp;"."&amp;D$8&amp;"."&amp;D300&amp;" IS '"&amp;C300&amp;"';"</f>
        <v>COMMENT ON COLUMN milscm_2023_009.sny_202310_annony_non_annony2.shikkan282_start_date IS 'C602_疾患開始日';</v>
      </c>
    </row>
    <row r="301" spans="1:45" s="25" customFormat="1">
      <c r="A301" s="4" t="s">
        <v>5430</v>
      </c>
      <c r="B301" s="21">
        <f t="shared" si="33"/>
        <v>289</v>
      </c>
      <c r="C301" s="13" t="str">
        <f t="shared" si="34"/>
        <v>C608_疾患開始日</v>
      </c>
      <c r="D301" s="13" t="s">
        <v>5051</v>
      </c>
      <c r="E301" s="8"/>
      <c r="F301" s="7" t="s">
        <v>4348</v>
      </c>
      <c r="G301" s="7" t="s">
        <v>25</v>
      </c>
      <c r="H301" s="58"/>
      <c r="I301" s="23"/>
      <c r="J301" s="24"/>
      <c r="M301" s="4"/>
      <c r="N301" s="76"/>
      <c r="O301" s="76"/>
      <c r="P301" s="76" t="str">
        <f t="shared" si="28"/>
        <v>,shikkan283_start_date</v>
      </c>
      <c r="Q301" s="76" t="str">
        <f t="shared" si="29"/>
        <v>DATE</v>
      </c>
      <c r="R301" s="76" t="str">
        <f t="shared" si="30"/>
        <v/>
      </c>
      <c r="S301" s="76" t="str">
        <f t="shared" si="31"/>
        <v/>
      </c>
      <c r="T301" s="76" t="str">
        <f t="shared" si="32"/>
        <v>-- C608_疾患開始日</v>
      </c>
      <c r="U301" s="4" t="str">
        <f t="shared" si="35"/>
        <v>, CASE WHEN shikkan_disp_name = 'C608' THEN min_shikkan_start_date ::DATE ELSE NULL END AS shikkan283_start_date</v>
      </c>
      <c r="V301" s="25" t="str">
        <f t="shared" si="36"/>
        <v>, max(shikkan283_start_date)</v>
      </c>
      <c r="AA301" s="4"/>
      <c r="AB301" s="4"/>
      <c r="AC301" s="4"/>
      <c r="AD301" s="4"/>
      <c r="AE301" s="4"/>
      <c r="AF301" s="4"/>
      <c r="AG301" s="4"/>
      <c r="AH301" s="4"/>
      <c r="AI301" s="4"/>
      <c r="AJ301" s="76" t="str">
        <f>IF(E301="○",IF(COUNTA(E$13:E301)=1,"",",")&amp;D301,"")</f>
        <v/>
      </c>
      <c r="AK301" s="4"/>
      <c r="AL301" s="4"/>
      <c r="AM301" s="4"/>
      <c r="AN301" s="4"/>
      <c r="AO301" s="4"/>
      <c r="AP301" s="4"/>
      <c r="AQ301" s="4"/>
      <c r="AR301" s="4"/>
      <c r="AS301" s="76" t="str">
        <f>"COMMENT ON COLUMN "&amp;エンティティ一覧!$O$2&amp;"."&amp;D$8&amp;"."&amp;D301&amp;" IS '"&amp;C301&amp;"';"</f>
        <v>COMMENT ON COLUMN milscm_2023_009.sny_202310_annony_non_annony2.shikkan283_start_date IS 'C608_疾患開始日';</v>
      </c>
    </row>
    <row r="302" spans="1:45" s="25" customFormat="1">
      <c r="A302" s="4" t="s">
        <v>5431</v>
      </c>
      <c r="B302" s="21">
        <f t="shared" si="33"/>
        <v>290</v>
      </c>
      <c r="C302" s="13" t="str">
        <f t="shared" si="34"/>
        <v>C609_疾患開始日</v>
      </c>
      <c r="D302" s="13" t="s">
        <v>5052</v>
      </c>
      <c r="E302" s="8"/>
      <c r="F302" s="7" t="s">
        <v>4348</v>
      </c>
      <c r="G302" s="7" t="s">
        <v>25</v>
      </c>
      <c r="H302" s="58"/>
      <c r="I302" s="23"/>
      <c r="J302" s="24"/>
      <c r="M302" s="4"/>
      <c r="N302" s="76"/>
      <c r="O302" s="76"/>
      <c r="P302" s="76" t="str">
        <f t="shared" si="28"/>
        <v>,shikkan284_start_date</v>
      </c>
      <c r="Q302" s="76" t="str">
        <f t="shared" si="29"/>
        <v>DATE</v>
      </c>
      <c r="R302" s="76" t="str">
        <f t="shared" si="30"/>
        <v/>
      </c>
      <c r="S302" s="76" t="str">
        <f t="shared" si="31"/>
        <v/>
      </c>
      <c r="T302" s="76" t="str">
        <f t="shared" si="32"/>
        <v>-- C609_疾患開始日</v>
      </c>
      <c r="U302" s="4" t="str">
        <f t="shared" si="35"/>
        <v>, CASE WHEN shikkan_disp_name = 'C609' THEN min_shikkan_start_date ::DATE ELSE NULL END AS shikkan284_start_date</v>
      </c>
      <c r="V302" s="25" t="str">
        <f t="shared" si="36"/>
        <v>, max(shikkan284_start_date)</v>
      </c>
      <c r="AA302" s="4"/>
      <c r="AB302" s="4"/>
      <c r="AC302" s="4"/>
      <c r="AD302" s="4"/>
      <c r="AE302" s="4"/>
      <c r="AF302" s="4"/>
      <c r="AG302" s="4"/>
      <c r="AH302" s="4"/>
      <c r="AI302" s="4"/>
      <c r="AJ302" s="76" t="str">
        <f>IF(E302="○",IF(COUNTA(E$13:E302)=1,"",",")&amp;D302,"")</f>
        <v/>
      </c>
      <c r="AK302" s="4"/>
      <c r="AL302" s="4"/>
      <c r="AM302" s="4"/>
      <c r="AN302" s="4"/>
      <c r="AO302" s="4"/>
      <c r="AP302" s="4"/>
      <c r="AQ302" s="4"/>
      <c r="AR302" s="4"/>
      <c r="AS302" s="76" t="str">
        <f>"COMMENT ON COLUMN "&amp;エンティティ一覧!$O$2&amp;"."&amp;D$8&amp;"."&amp;D302&amp;" IS '"&amp;C302&amp;"';"</f>
        <v>COMMENT ON COLUMN milscm_2023_009.sny_202310_annony_non_annony2.shikkan284_start_date IS 'C609_疾患開始日';</v>
      </c>
    </row>
    <row r="303" spans="1:45" s="25" customFormat="1">
      <c r="A303" s="4" t="s">
        <v>5152</v>
      </c>
      <c r="B303" s="21">
        <f t="shared" si="33"/>
        <v>291</v>
      </c>
      <c r="C303" s="13" t="str">
        <f t="shared" si="34"/>
        <v>C61_疾患開始日</v>
      </c>
      <c r="D303" s="13" t="s">
        <v>5053</v>
      </c>
      <c r="E303" s="8"/>
      <c r="F303" s="7" t="s">
        <v>4348</v>
      </c>
      <c r="G303" s="7" t="s">
        <v>25</v>
      </c>
      <c r="H303" s="58"/>
      <c r="I303" s="23"/>
      <c r="J303" s="24"/>
      <c r="M303" s="4"/>
      <c r="N303" s="76"/>
      <c r="O303" s="76"/>
      <c r="P303" s="76" t="str">
        <f t="shared" si="28"/>
        <v>,shikkan285_start_date</v>
      </c>
      <c r="Q303" s="76" t="str">
        <f t="shared" si="29"/>
        <v>DATE</v>
      </c>
      <c r="R303" s="76" t="str">
        <f t="shared" si="30"/>
        <v/>
      </c>
      <c r="S303" s="76" t="str">
        <f t="shared" si="31"/>
        <v/>
      </c>
      <c r="T303" s="76" t="str">
        <f t="shared" si="32"/>
        <v>-- C61_疾患開始日</v>
      </c>
      <c r="U303" s="4" t="str">
        <f t="shared" si="35"/>
        <v>, CASE WHEN shikkan_disp_name = 'C61' THEN min_shikkan_start_date ::DATE ELSE NULL END AS shikkan285_start_date</v>
      </c>
      <c r="V303" s="25" t="str">
        <f t="shared" si="36"/>
        <v>, max(shikkan285_start_date)</v>
      </c>
      <c r="AA303" s="4"/>
      <c r="AB303" s="4"/>
      <c r="AC303" s="4"/>
      <c r="AD303" s="4"/>
      <c r="AE303" s="4"/>
      <c r="AF303" s="4"/>
      <c r="AG303" s="4"/>
      <c r="AH303" s="4"/>
      <c r="AI303" s="4"/>
      <c r="AJ303" s="76" t="str">
        <f>IF(E303="○",IF(COUNTA(E$13:E303)=1,"",",")&amp;D303,"")</f>
        <v/>
      </c>
      <c r="AK303" s="4"/>
      <c r="AL303" s="4"/>
      <c r="AM303" s="4"/>
      <c r="AN303" s="4"/>
      <c r="AO303" s="4"/>
      <c r="AP303" s="4"/>
      <c r="AQ303" s="4"/>
      <c r="AR303" s="4"/>
      <c r="AS303" s="76" t="str">
        <f>"COMMENT ON COLUMN "&amp;エンティティ一覧!$O$2&amp;"."&amp;D$8&amp;"."&amp;D303&amp;" IS '"&amp;C303&amp;"';"</f>
        <v>COMMENT ON COLUMN milscm_2023_009.sny_202310_annony_non_annony2.shikkan285_start_date IS 'C61_疾患開始日';</v>
      </c>
    </row>
    <row r="304" spans="1:45" s="25" customFormat="1">
      <c r="A304" s="4" t="s">
        <v>5432</v>
      </c>
      <c r="B304" s="21">
        <f t="shared" si="33"/>
        <v>292</v>
      </c>
      <c r="C304" s="13" t="str">
        <f t="shared" si="34"/>
        <v>C620_疾患開始日</v>
      </c>
      <c r="D304" s="13" t="s">
        <v>5054</v>
      </c>
      <c r="E304" s="8"/>
      <c r="F304" s="7" t="s">
        <v>4348</v>
      </c>
      <c r="G304" s="7" t="s">
        <v>25</v>
      </c>
      <c r="H304" s="58"/>
      <c r="I304" s="23"/>
      <c r="J304" s="24"/>
      <c r="M304" s="4"/>
      <c r="N304" s="76"/>
      <c r="O304" s="76"/>
      <c r="P304" s="76" t="str">
        <f t="shared" si="28"/>
        <v>,shikkan286_start_date</v>
      </c>
      <c r="Q304" s="76" t="str">
        <f t="shared" si="29"/>
        <v>DATE</v>
      </c>
      <c r="R304" s="76" t="str">
        <f t="shared" si="30"/>
        <v/>
      </c>
      <c r="S304" s="76" t="str">
        <f t="shared" si="31"/>
        <v/>
      </c>
      <c r="T304" s="76" t="str">
        <f t="shared" si="32"/>
        <v>-- C620_疾患開始日</v>
      </c>
      <c r="U304" s="4" t="str">
        <f t="shared" si="35"/>
        <v>, CASE WHEN shikkan_disp_name = 'C620' THEN min_shikkan_start_date ::DATE ELSE NULL END AS shikkan286_start_date</v>
      </c>
      <c r="V304" s="25" t="str">
        <f t="shared" si="36"/>
        <v>, max(shikkan286_start_date)</v>
      </c>
      <c r="AA304" s="4"/>
      <c r="AB304" s="4"/>
      <c r="AC304" s="4"/>
      <c r="AD304" s="4"/>
      <c r="AE304" s="4"/>
      <c r="AF304" s="4"/>
      <c r="AG304" s="4"/>
      <c r="AH304" s="4"/>
      <c r="AI304" s="4"/>
      <c r="AJ304" s="76" t="str">
        <f>IF(E304="○",IF(COUNTA(E$13:E304)=1,"",",")&amp;D304,"")</f>
        <v/>
      </c>
      <c r="AK304" s="4"/>
      <c r="AL304" s="4"/>
      <c r="AM304" s="4"/>
      <c r="AN304" s="4"/>
      <c r="AO304" s="4"/>
      <c r="AP304" s="4"/>
      <c r="AQ304" s="4"/>
      <c r="AR304" s="4"/>
      <c r="AS304" s="76" t="str">
        <f>"COMMENT ON COLUMN "&amp;エンティティ一覧!$O$2&amp;"."&amp;D$8&amp;"."&amp;D304&amp;" IS '"&amp;C304&amp;"';"</f>
        <v>COMMENT ON COLUMN milscm_2023_009.sny_202310_annony_non_annony2.shikkan286_start_date IS 'C620_疾患開始日';</v>
      </c>
    </row>
    <row r="305" spans="1:45" s="25" customFormat="1">
      <c r="A305" s="4" t="s">
        <v>5433</v>
      </c>
      <c r="B305" s="21">
        <f t="shared" si="33"/>
        <v>293</v>
      </c>
      <c r="C305" s="13" t="str">
        <f t="shared" si="34"/>
        <v>C621_疾患開始日</v>
      </c>
      <c r="D305" s="13" t="s">
        <v>5055</v>
      </c>
      <c r="E305" s="8"/>
      <c r="F305" s="7" t="s">
        <v>4348</v>
      </c>
      <c r="G305" s="7" t="s">
        <v>25</v>
      </c>
      <c r="H305" s="58"/>
      <c r="I305" s="23"/>
      <c r="J305" s="24"/>
      <c r="M305" s="4"/>
      <c r="N305" s="76"/>
      <c r="O305" s="76"/>
      <c r="P305" s="76" t="str">
        <f t="shared" si="28"/>
        <v>,shikkan287_start_date</v>
      </c>
      <c r="Q305" s="76" t="str">
        <f t="shared" si="29"/>
        <v>DATE</v>
      </c>
      <c r="R305" s="76" t="str">
        <f t="shared" si="30"/>
        <v/>
      </c>
      <c r="S305" s="76" t="str">
        <f t="shared" si="31"/>
        <v/>
      </c>
      <c r="T305" s="76" t="str">
        <f t="shared" si="32"/>
        <v>-- C621_疾患開始日</v>
      </c>
      <c r="U305" s="4" t="str">
        <f t="shared" si="35"/>
        <v>, CASE WHEN shikkan_disp_name = 'C621' THEN min_shikkan_start_date ::DATE ELSE NULL END AS shikkan287_start_date</v>
      </c>
      <c r="V305" s="25" t="str">
        <f t="shared" si="36"/>
        <v>, max(shikkan287_start_date)</v>
      </c>
      <c r="AA305" s="4"/>
      <c r="AB305" s="4"/>
      <c r="AC305" s="4"/>
      <c r="AD305" s="4"/>
      <c r="AE305" s="4"/>
      <c r="AF305" s="4"/>
      <c r="AG305" s="4"/>
      <c r="AH305" s="4"/>
      <c r="AI305" s="4"/>
      <c r="AJ305" s="76" t="str">
        <f>IF(E305="○",IF(COUNTA(E$13:E305)=1,"",",")&amp;D305,"")</f>
        <v/>
      </c>
      <c r="AK305" s="4"/>
      <c r="AL305" s="4"/>
      <c r="AM305" s="4"/>
      <c r="AN305" s="4"/>
      <c r="AO305" s="4"/>
      <c r="AP305" s="4"/>
      <c r="AQ305" s="4"/>
      <c r="AR305" s="4"/>
      <c r="AS305" s="76" t="str">
        <f>"COMMENT ON COLUMN "&amp;エンティティ一覧!$O$2&amp;"."&amp;D$8&amp;"."&amp;D305&amp;" IS '"&amp;C305&amp;"';"</f>
        <v>COMMENT ON COLUMN milscm_2023_009.sny_202310_annony_non_annony2.shikkan287_start_date IS 'C621_疾患開始日';</v>
      </c>
    </row>
    <row r="306" spans="1:45" s="25" customFormat="1">
      <c r="A306" s="4" t="s">
        <v>5434</v>
      </c>
      <c r="B306" s="21">
        <f t="shared" si="33"/>
        <v>294</v>
      </c>
      <c r="C306" s="13" t="str">
        <f t="shared" si="34"/>
        <v>C629_疾患開始日</v>
      </c>
      <c r="D306" s="13" t="s">
        <v>5056</v>
      </c>
      <c r="E306" s="8"/>
      <c r="F306" s="7" t="s">
        <v>4348</v>
      </c>
      <c r="G306" s="7" t="s">
        <v>25</v>
      </c>
      <c r="H306" s="58"/>
      <c r="I306" s="23"/>
      <c r="J306" s="24"/>
      <c r="M306" s="4"/>
      <c r="N306" s="76"/>
      <c r="O306" s="76"/>
      <c r="P306" s="76" t="str">
        <f t="shared" si="28"/>
        <v>,shikkan288_start_date</v>
      </c>
      <c r="Q306" s="76" t="str">
        <f t="shared" si="29"/>
        <v>DATE</v>
      </c>
      <c r="R306" s="76" t="str">
        <f t="shared" si="30"/>
        <v/>
      </c>
      <c r="S306" s="76" t="str">
        <f t="shared" si="31"/>
        <v/>
      </c>
      <c r="T306" s="76" t="str">
        <f t="shared" si="32"/>
        <v>-- C629_疾患開始日</v>
      </c>
      <c r="U306" s="4" t="str">
        <f t="shared" si="35"/>
        <v>, CASE WHEN shikkan_disp_name = 'C629' THEN min_shikkan_start_date ::DATE ELSE NULL END AS shikkan288_start_date</v>
      </c>
      <c r="V306" s="25" t="str">
        <f t="shared" si="36"/>
        <v>, max(shikkan288_start_date)</v>
      </c>
      <c r="AA306" s="4"/>
      <c r="AB306" s="4"/>
      <c r="AC306" s="4"/>
      <c r="AD306" s="4"/>
      <c r="AE306" s="4"/>
      <c r="AF306" s="4"/>
      <c r="AG306" s="4"/>
      <c r="AH306" s="4"/>
      <c r="AI306" s="4"/>
      <c r="AJ306" s="76" t="str">
        <f>IF(E306="○",IF(COUNTA(E$13:E306)=1,"",",")&amp;D306,"")</f>
        <v/>
      </c>
      <c r="AK306" s="4"/>
      <c r="AL306" s="4"/>
      <c r="AM306" s="4"/>
      <c r="AN306" s="4"/>
      <c r="AO306" s="4"/>
      <c r="AP306" s="4"/>
      <c r="AQ306" s="4"/>
      <c r="AR306" s="4"/>
      <c r="AS306" s="76" t="str">
        <f>"COMMENT ON COLUMN "&amp;エンティティ一覧!$O$2&amp;"."&amp;D$8&amp;"."&amp;D306&amp;" IS '"&amp;C306&amp;"';"</f>
        <v>COMMENT ON COLUMN milscm_2023_009.sny_202310_annony_non_annony2.shikkan288_start_date IS 'C629_疾患開始日';</v>
      </c>
    </row>
    <row r="307" spans="1:45" s="25" customFormat="1">
      <c r="A307" s="4" t="s">
        <v>5435</v>
      </c>
      <c r="B307" s="21">
        <f t="shared" si="33"/>
        <v>295</v>
      </c>
      <c r="C307" s="13" t="str">
        <f t="shared" si="34"/>
        <v>C630_疾患開始日</v>
      </c>
      <c r="D307" s="13" t="s">
        <v>5057</v>
      </c>
      <c r="E307" s="8"/>
      <c r="F307" s="7" t="s">
        <v>4348</v>
      </c>
      <c r="G307" s="7" t="s">
        <v>25</v>
      </c>
      <c r="H307" s="58"/>
      <c r="I307" s="23"/>
      <c r="J307" s="24"/>
      <c r="M307" s="4"/>
      <c r="N307" s="76"/>
      <c r="O307" s="76"/>
      <c r="P307" s="76" t="str">
        <f t="shared" si="28"/>
        <v>,shikkan289_start_date</v>
      </c>
      <c r="Q307" s="76" t="str">
        <f t="shared" si="29"/>
        <v>DATE</v>
      </c>
      <c r="R307" s="76" t="str">
        <f t="shared" si="30"/>
        <v/>
      </c>
      <c r="S307" s="76" t="str">
        <f t="shared" si="31"/>
        <v/>
      </c>
      <c r="T307" s="76" t="str">
        <f t="shared" si="32"/>
        <v>-- C630_疾患開始日</v>
      </c>
      <c r="U307" s="4" t="str">
        <f t="shared" si="35"/>
        <v>, CASE WHEN shikkan_disp_name = 'C630' THEN min_shikkan_start_date ::DATE ELSE NULL END AS shikkan289_start_date</v>
      </c>
      <c r="V307" s="25" t="str">
        <f t="shared" si="36"/>
        <v>, max(shikkan289_start_date)</v>
      </c>
      <c r="AA307" s="4"/>
      <c r="AB307" s="4"/>
      <c r="AC307" s="4"/>
      <c r="AD307" s="4"/>
      <c r="AE307" s="4"/>
      <c r="AF307" s="4"/>
      <c r="AG307" s="4"/>
      <c r="AH307" s="4"/>
      <c r="AI307" s="4"/>
      <c r="AJ307" s="76" t="str">
        <f>IF(E307="○",IF(COUNTA(E$13:E307)=1,"",",")&amp;D307,"")</f>
        <v/>
      </c>
      <c r="AK307" s="4"/>
      <c r="AL307" s="4"/>
      <c r="AM307" s="4"/>
      <c r="AN307" s="4"/>
      <c r="AO307" s="4"/>
      <c r="AP307" s="4"/>
      <c r="AQ307" s="4"/>
      <c r="AR307" s="4"/>
      <c r="AS307" s="76" t="str">
        <f>"COMMENT ON COLUMN "&amp;エンティティ一覧!$O$2&amp;"."&amp;D$8&amp;"."&amp;D307&amp;" IS '"&amp;C307&amp;"';"</f>
        <v>COMMENT ON COLUMN milscm_2023_009.sny_202310_annony_non_annony2.shikkan289_start_date IS 'C630_疾患開始日';</v>
      </c>
    </row>
    <row r="308" spans="1:45" s="25" customFormat="1">
      <c r="A308" s="4" t="s">
        <v>5436</v>
      </c>
      <c r="B308" s="21">
        <f t="shared" si="33"/>
        <v>296</v>
      </c>
      <c r="C308" s="13" t="str">
        <f t="shared" si="34"/>
        <v>C631_疾患開始日</v>
      </c>
      <c r="D308" s="13" t="s">
        <v>5950</v>
      </c>
      <c r="E308" s="8"/>
      <c r="F308" s="7" t="s">
        <v>4348</v>
      </c>
      <c r="G308" s="7" t="s">
        <v>25</v>
      </c>
      <c r="H308" s="58"/>
      <c r="I308" s="23"/>
      <c r="J308" s="24"/>
      <c r="M308" s="4"/>
      <c r="N308" s="76"/>
      <c r="O308" s="76"/>
      <c r="P308" s="76" t="str">
        <f t="shared" si="28"/>
        <v>,shikkan290_start_date</v>
      </c>
      <c r="Q308" s="76" t="str">
        <f t="shared" si="29"/>
        <v>DATE</v>
      </c>
      <c r="R308" s="76" t="str">
        <f t="shared" si="30"/>
        <v/>
      </c>
      <c r="S308" s="76" t="str">
        <f t="shared" si="31"/>
        <v/>
      </c>
      <c r="T308" s="76" t="str">
        <f t="shared" si="32"/>
        <v>-- C631_疾患開始日</v>
      </c>
      <c r="U308" s="4" t="str">
        <f t="shared" si="35"/>
        <v>, CASE WHEN shikkan_disp_name = 'C631' THEN min_shikkan_start_date ::DATE ELSE NULL END AS shikkan290_start_date</v>
      </c>
      <c r="V308" s="25" t="str">
        <f t="shared" si="36"/>
        <v>, max(shikkan290_start_date)</v>
      </c>
      <c r="AA308" s="4"/>
      <c r="AB308" s="4"/>
      <c r="AC308" s="4"/>
      <c r="AD308" s="4"/>
      <c r="AE308" s="4"/>
      <c r="AF308" s="4"/>
      <c r="AG308" s="4"/>
      <c r="AH308" s="4"/>
      <c r="AI308" s="4"/>
      <c r="AJ308" s="76" t="str">
        <f>IF(E308="○",IF(COUNTA(E$13:E308)=1,"",",")&amp;D308,"")</f>
        <v/>
      </c>
      <c r="AK308" s="4"/>
      <c r="AL308" s="4"/>
      <c r="AM308" s="4"/>
      <c r="AN308" s="4"/>
      <c r="AO308" s="4"/>
      <c r="AP308" s="4"/>
      <c r="AQ308" s="4"/>
      <c r="AR308" s="4"/>
      <c r="AS308" s="76" t="str">
        <f>"COMMENT ON COLUMN "&amp;エンティティ一覧!$O$2&amp;"."&amp;D$8&amp;"."&amp;D308&amp;" IS '"&amp;C308&amp;"';"</f>
        <v>COMMENT ON COLUMN milscm_2023_009.sny_202310_annony_non_annony2.shikkan290_start_date IS 'C631_疾患開始日';</v>
      </c>
    </row>
    <row r="309" spans="1:45" s="25" customFormat="1">
      <c r="A309" s="4" t="s">
        <v>5437</v>
      </c>
      <c r="B309" s="21">
        <f t="shared" si="33"/>
        <v>297</v>
      </c>
      <c r="C309" s="13" t="str">
        <f t="shared" si="34"/>
        <v>C632_疾患開始日</v>
      </c>
      <c r="D309" s="13" t="s">
        <v>5951</v>
      </c>
      <c r="E309" s="8"/>
      <c r="F309" s="7" t="s">
        <v>4348</v>
      </c>
      <c r="G309" s="7" t="s">
        <v>25</v>
      </c>
      <c r="H309" s="58"/>
      <c r="I309" s="23"/>
      <c r="J309" s="24"/>
      <c r="M309" s="4"/>
      <c r="N309" s="76"/>
      <c r="O309" s="76"/>
      <c r="P309" s="76" t="str">
        <f t="shared" si="28"/>
        <v>,shikkan291_start_date</v>
      </c>
      <c r="Q309" s="76" t="str">
        <f t="shared" si="29"/>
        <v>DATE</v>
      </c>
      <c r="R309" s="76" t="str">
        <f t="shared" si="30"/>
        <v/>
      </c>
      <c r="S309" s="76" t="str">
        <f t="shared" si="31"/>
        <v/>
      </c>
      <c r="T309" s="76" t="str">
        <f t="shared" si="32"/>
        <v>-- C632_疾患開始日</v>
      </c>
      <c r="U309" s="4" t="str">
        <f t="shared" si="35"/>
        <v>, CASE WHEN shikkan_disp_name = 'C632' THEN min_shikkan_start_date ::DATE ELSE NULL END AS shikkan291_start_date</v>
      </c>
      <c r="V309" s="25" t="str">
        <f t="shared" si="36"/>
        <v>, max(shikkan291_start_date)</v>
      </c>
      <c r="AA309" s="4"/>
      <c r="AB309" s="4"/>
      <c r="AC309" s="4"/>
      <c r="AD309" s="4"/>
      <c r="AE309" s="4"/>
      <c r="AF309" s="4"/>
      <c r="AG309" s="4"/>
      <c r="AH309" s="4"/>
      <c r="AI309" s="4"/>
      <c r="AJ309" s="76" t="str">
        <f>IF(E309="○",IF(COUNTA(E$13:E309)=1,"",",")&amp;D309,"")</f>
        <v/>
      </c>
      <c r="AK309" s="4"/>
      <c r="AL309" s="4"/>
      <c r="AM309" s="4"/>
      <c r="AN309" s="4"/>
      <c r="AO309" s="4"/>
      <c r="AP309" s="4"/>
      <c r="AQ309" s="4"/>
      <c r="AR309" s="4"/>
      <c r="AS309" s="76" t="str">
        <f>"COMMENT ON COLUMN "&amp;エンティティ一覧!$O$2&amp;"."&amp;D$8&amp;"."&amp;D309&amp;" IS '"&amp;C309&amp;"';"</f>
        <v>COMMENT ON COLUMN milscm_2023_009.sny_202310_annony_non_annony2.shikkan291_start_date IS 'C632_疾患開始日';</v>
      </c>
    </row>
    <row r="310" spans="1:45" s="25" customFormat="1">
      <c r="A310" s="4" t="s">
        <v>5438</v>
      </c>
      <c r="B310" s="21">
        <f t="shared" si="33"/>
        <v>298</v>
      </c>
      <c r="C310" s="13" t="str">
        <f t="shared" si="34"/>
        <v>C637_疾患開始日</v>
      </c>
      <c r="D310" s="13" t="s">
        <v>5952</v>
      </c>
      <c r="E310" s="8"/>
      <c r="F310" s="7" t="s">
        <v>4348</v>
      </c>
      <c r="G310" s="7" t="s">
        <v>25</v>
      </c>
      <c r="H310" s="58"/>
      <c r="I310" s="23"/>
      <c r="J310" s="24"/>
      <c r="M310" s="4"/>
      <c r="N310" s="76"/>
      <c r="O310" s="76"/>
      <c r="P310" s="76" t="str">
        <f t="shared" si="28"/>
        <v>,shikkan292_start_date</v>
      </c>
      <c r="Q310" s="76" t="str">
        <f t="shared" si="29"/>
        <v>DATE</v>
      </c>
      <c r="R310" s="76" t="str">
        <f t="shared" si="30"/>
        <v/>
      </c>
      <c r="S310" s="76" t="str">
        <f t="shared" si="31"/>
        <v/>
      </c>
      <c r="T310" s="76" t="str">
        <f t="shared" si="32"/>
        <v>-- C637_疾患開始日</v>
      </c>
      <c r="U310" s="4" t="str">
        <f t="shared" si="35"/>
        <v>, CASE WHEN shikkan_disp_name = 'C637' THEN min_shikkan_start_date ::DATE ELSE NULL END AS shikkan292_start_date</v>
      </c>
      <c r="V310" s="25" t="str">
        <f t="shared" si="36"/>
        <v>, max(shikkan292_start_date)</v>
      </c>
      <c r="AA310" s="4"/>
      <c r="AB310" s="4"/>
      <c r="AC310" s="4"/>
      <c r="AD310" s="4"/>
      <c r="AE310" s="4"/>
      <c r="AF310" s="4"/>
      <c r="AG310" s="4"/>
      <c r="AH310" s="4"/>
      <c r="AI310" s="4"/>
      <c r="AJ310" s="76" t="str">
        <f>IF(E310="○",IF(COUNTA(E$13:E310)=1,"",",")&amp;D310,"")</f>
        <v/>
      </c>
      <c r="AK310" s="4"/>
      <c r="AL310" s="4"/>
      <c r="AM310" s="4"/>
      <c r="AN310" s="4"/>
      <c r="AO310" s="4"/>
      <c r="AP310" s="4"/>
      <c r="AQ310" s="4"/>
      <c r="AR310" s="4"/>
      <c r="AS310" s="76" t="str">
        <f>"COMMENT ON COLUMN "&amp;エンティティ一覧!$O$2&amp;"."&amp;D$8&amp;"."&amp;D310&amp;" IS '"&amp;C310&amp;"';"</f>
        <v>COMMENT ON COLUMN milscm_2023_009.sny_202310_annony_non_annony2.shikkan292_start_date IS 'C637_疾患開始日';</v>
      </c>
    </row>
    <row r="311" spans="1:45" s="25" customFormat="1">
      <c r="A311" s="4" t="s">
        <v>5439</v>
      </c>
      <c r="B311" s="21">
        <f t="shared" si="33"/>
        <v>299</v>
      </c>
      <c r="C311" s="13" t="str">
        <f t="shared" si="34"/>
        <v>C638_疾患開始日</v>
      </c>
      <c r="D311" s="13" t="s">
        <v>5953</v>
      </c>
      <c r="E311" s="8"/>
      <c r="F311" s="7" t="s">
        <v>4348</v>
      </c>
      <c r="G311" s="7" t="s">
        <v>25</v>
      </c>
      <c r="H311" s="58"/>
      <c r="I311" s="23"/>
      <c r="J311" s="24"/>
      <c r="M311" s="4"/>
      <c r="N311" s="76"/>
      <c r="O311" s="76"/>
      <c r="P311" s="76" t="str">
        <f t="shared" si="28"/>
        <v>,shikkan293_start_date</v>
      </c>
      <c r="Q311" s="76" t="str">
        <f t="shared" si="29"/>
        <v>DATE</v>
      </c>
      <c r="R311" s="76" t="str">
        <f t="shared" si="30"/>
        <v/>
      </c>
      <c r="S311" s="76" t="str">
        <f t="shared" si="31"/>
        <v/>
      </c>
      <c r="T311" s="76" t="str">
        <f t="shared" si="32"/>
        <v>-- C638_疾患開始日</v>
      </c>
      <c r="U311" s="4" t="str">
        <f t="shared" si="35"/>
        <v>, CASE WHEN shikkan_disp_name = 'C638' THEN min_shikkan_start_date ::DATE ELSE NULL END AS shikkan293_start_date</v>
      </c>
      <c r="V311" s="25" t="str">
        <f t="shared" si="36"/>
        <v>, max(shikkan293_start_date)</v>
      </c>
      <c r="AA311" s="4"/>
      <c r="AB311" s="4"/>
      <c r="AC311" s="4"/>
      <c r="AD311" s="4"/>
      <c r="AE311" s="4"/>
      <c r="AF311" s="4"/>
      <c r="AG311" s="4"/>
      <c r="AH311" s="4"/>
      <c r="AI311" s="4"/>
      <c r="AJ311" s="76" t="str">
        <f>IF(E311="○",IF(COUNTA(E$13:E311)=1,"",",")&amp;D311,"")</f>
        <v/>
      </c>
      <c r="AK311" s="4"/>
      <c r="AL311" s="4"/>
      <c r="AM311" s="4"/>
      <c r="AN311" s="4"/>
      <c r="AO311" s="4"/>
      <c r="AP311" s="4"/>
      <c r="AQ311" s="4"/>
      <c r="AR311" s="4"/>
      <c r="AS311" s="76" t="str">
        <f>"COMMENT ON COLUMN "&amp;エンティティ一覧!$O$2&amp;"."&amp;D$8&amp;"."&amp;D311&amp;" IS '"&amp;C311&amp;"';"</f>
        <v>COMMENT ON COLUMN milscm_2023_009.sny_202310_annony_non_annony2.shikkan293_start_date IS 'C638_疾患開始日';</v>
      </c>
    </row>
    <row r="312" spans="1:45" s="25" customFormat="1">
      <c r="A312" s="4" t="s">
        <v>5440</v>
      </c>
      <c r="B312" s="21">
        <f t="shared" si="33"/>
        <v>300</v>
      </c>
      <c r="C312" s="13" t="str">
        <f t="shared" si="34"/>
        <v>C639_疾患開始日</v>
      </c>
      <c r="D312" s="13" t="s">
        <v>5954</v>
      </c>
      <c r="E312" s="8"/>
      <c r="F312" s="7" t="s">
        <v>4348</v>
      </c>
      <c r="G312" s="7" t="s">
        <v>25</v>
      </c>
      <c r="H312" s="58"/>
      <c r="I312" s="23"/>
      <c r="J312" s="24"/>
      <c r="M312" s="4"/>
      <c r="N312" s="76"/>
      <c r="O312" s="76"/>
      <c r="P312" s="76" t="str">
        <f t="shared" si="28"/>
        <v>,shikkan294_start_date</v>
      </c>
      <c r="Q312" s="76" t="str">
        <f t="shared" si="29"/>
        <v>DATE</v>
      </c>
      <c r="R312" s="76" t="str">
        <f t="shared" si="30"/>
        <v/>
      </c>
      <c r="S312" s="76" t="str">
        <f t="shared" si="31"/>
        <v/>
      </c>
      <c r="T312" s="76" t="str">
        <f t="shared" si="32"/>
        <v>-- C639_疾患開始日</v>
      </c>
      <c r="U312" s="4" t="str">
        <f t="shared" si="35"/>
        <v>, CASE WHEN shikkan_disp_name = 'C639' THEN min_shikkan_start_date ::DATE ELSE NULL END AS shikkan294_start_date</v>
      </c>
      <c r="V312" s="25" t="str">
        <f t="shared" si="36"/>
        <v>, max(shikkan294_start_date)</v>
      </c>
      <c r="AA312" s="4"/>
      <c r="AB312" s="4"/>
      <c r="AC312" s="4"/>
      <c r="AD312" s="4"/>
      <c r="AE312" s="4"/>
      <c r="AF312" s="4"/>
      <c r="AG312" s="4"/>
      <c r="AH312" s="4"/>
      <c r="AI312" s="4"/>
      <c r="AJ312" s="76" t="str">
        <f>IF(E312="○",IF(COUNTA(E$13:E312)=1,"",",")&amp;D312,"")</f>
        <v/>
      </c>
      <c r="AK312" s="4"/>
      <c r="AL312" s="4"/>
      <c r="AM312" s="4"/>
      <c r="AN312" s="4"/>
      <c r="AO312" s="4"/>
      <c r="AP312" s="4"/>
      <c r="AQ312" s="4"/>
      <c r="AR312" s="4"/>
      <c r="AS312" s="76" t="str">
        <f>"COMMENT ON COLUMN "&amp;エンティティ一覧!$O$2&amp;"."&amp;D$8&amp;"."&amp;D312&amp;" IS '"&amp;C312&amp;"';"</f>
        <v>COMMENT ON COLUMN milscm_2023_009.sny_202310_annony_non_annony2.shikkan294_start_date IS 'C639_疾患開始日';</v>
      </c>
    </row>
    <row r="313" spans="1:45" s="25" customFormat="1">
      <c r="A313" s="4" t="s">
        <v>5153</v>
      </c>
      <c r="B313" s="21">
        <f t="shared" si="33"/>
        <v>301</v>
      </c>
      <c r="C313" s="13" t="str">
        <f t="shared" si="34"/>
        <v>C64_疾患開始日</v>
      </c>
      <c r="D313" s="13" t="s">
        <v>5955</v>
      </c>
      <c r="E313" s="8"/>
      <c r="F313" s="7" t="s">
        <v>4348</v>
      </c>
      <c r="G313" s="7" t="s">
        <v>25</v>
      </c>
      <c r="H313" s="58"/>
      <c r="I313" s="23"/>
      <c r="J313" s="24"/>
      <c r="M313" s="4"/>
      <c r="N313" s="76"/>
      <c r="O313" s="76"/>
      <c r="P313" s="76" t="str">
        <f t="shared" si="28"/>
        <v>,shikkan295_start_date</v>
      </c>
      <c r="Q313" s="76" t="str">
        <f t="shared" si="29"/>
        <v>DATE</v>
      </c>
      <c r="R313" s="76" t="str">
        <f t="shared" si="30"/>
        <v/>
      </c>
      <c r="S313" s="76" t="str">
        <f t="shared" si="31"/>
        <v/>
      </c>
      <c r="T313" s="76" t="str">
        <f t="shared" si="32"/>
        <v>-- C64_疾患開始日</v>
      </c>
      <c r="U313" s="4" t="str">
        <f t="shared" si="35"/>
        <v>, CASE WHEN shikkan_disp_name = 'C64' THEN min_shikkan_start_date ::DATE ELSE NULL END AS shikkan295_start_date</v>
      </c>
      <c r="V313" s="25" t="str">
        <f t="shared" si="36"/>
        <v>, max(shikkan295_start_date)</v>
      </c>
      <c r="AA313" s="4"/>
      <c r="AB313" s="4"/>
      <c r="AC313" s="4"/>
      <c r="AD313" s="4"/>
      <c r="AE313" s="4"/>
      <c r="AF313" s="4"/>
      <c r="AG313" s="4"/>
      <c r="AH313" s="4"/>
      <c r="AI313" s="4"/>
      <c r="AJ313" s="76" t="str">
        <f>IF(E313="○",IF(COUNTA(E$13:E313)=1,"",",")&amp;D313,"")</f>
        <v/>
      </c>
      <c r="AK313" s="4"/>
      <c r="AL313" s="4"/>
      <c r="AM313" s="4"/>
      <c r="AN313" s="4"/>
      <c r="AO313" s="4"/>
      <c r="AP313" s="4"/>
      <c r="AQ313" s="4"/>
      <c r="AR313" s="4"/>
      <c r="AS313" s="76" t="str">
        <f>"COMMENT ON COLUMN "&amp;エンティティ一覧!$O$2&amp;"."&amp;D$8&amp;"."&amp;D313&amp;" IS '"&amp;C313&amp;"';"</f>
        <v>COMMENT ON COLUMN milscm_2023_009.sny_202310_annony_non_annony2.shikkan295_start_date IS 'C64_疾患開始日';</v>
      </c>
    </row>
    <row r="314" spans="1:45" s="25" customFormat="1">
      <c r="A314" s="4" t="s">
        <v>5154</v>
      </c>
      <c r="B314" s="21">
        <f t="shared" si="33"/>
        <v>302</v>
      </c>
      <c r="C314" s="13" t="str">
        <f t="shared" si="34"/>
        <v>C65_疾患開始日</v>
      </c>
      <c r="D314" s="13" t="s">
        <v>5956</v>
      </c>
      <c r="E314" s="8"/>
      <c r="F314" s="7" t="s">
        <v>4348</v>
      </c>
      <c r="G314" s="7" t="s">
        <v>25</v>
      </c>
      <c r="H314" s="58"/>
      <c r="I314" s="23"/>
      <c r="J314" s="24"/>
      <c r="M314" s="4"/>
      <c r="N314" s="76"/>
      <c r="O314" s="76"/>
      <c r="P314" s="76" t="str">
        <f t="shared" si="28"/>
        <v>,shikkan296_start_date</v>
      </c>
      <c r="Q314" s="76" t="str">
        <f t="shared" si="29"/>
        <v>DATE</v>
      </c>
      <c r="R314" s="76" t="str">
        <f t="shared" si="30"/>
        <v/>
      </c>
      <c r="S314" s="76" t="str">
        <f t="shared" si="31"/>
        <v/>
      </c>
      <c r="T314" s="76" t="str">
        <f t="shared" si="32"/>
        <v>-- C65_疾患開始日</v>
      </c>
      <c r="U314" s="4" t="str">
        <f t="shared" si="35"/>
        <v>, CASE WHEN shikkan_disp_name = 'C65' THEN min_shikkan_start_date ::DATE ELSE NULL END AS shikkan296_start_date</v>
      </c>
      <c r="V314" s="25" t="str">
        <f t="shared" si="36"/>
        <v>, max(shikkan296_start_date)</v>
      </c>
      <c r="AA314" s="4"/>
      <c r="AB314" s="4"/>
      <c r="AC314" s="4"/>
      <c r="AD314" s="4"/>
      <c r="AE314" s="4"/>
      <c r="AF314" s="4"/>
      <c r="AG314" s="4"/>
      <c r="AH314" s="4"/>
      <c r="AI314" s="4"/>
      <c r="AJ314" s="76" t="str">
        <f>IF(E314="○",IF(COUNTA(E$13:E314)=1,"",",")&amp;D314,"")</f>
        <v/>
      </c>
      <c r="AK314" s="4"/>
      <c r="AL314" s="4"/>
      <c r="AM314" s="4"/>
      <c r="AN314" s="4"/>
      <c r="AO314" s="4"/>
      <c r="AP314" s="4"/>
      <c r="AQ314" s="4"/>
      <c r="AR314" s="4"/>
      <c r="AS314" s="76" t="str">
        <f>"COMMENT ON COLUMN "&amp;エンティティ一覧!$O$2&amp;"."&amp;D$8&amp;"."&amp;D314&amp;" IS '"&amp;C314&amp;"';"</f>
        <v>COMMENT ON COLUMN milscm_2023_009.sny_202310_annony_non_annony2.shikkan296_start_date IS 'C65_疾患開始日';</v>
      </c>
    </row>
    <row r="315" spans="1:45" s="25" customFormat="1">
      <c r="A315" s="4" t="s">
        <v>5155</v>
      </c>
      <c r="B315" s="21">
        <f t="shared" si="33"/>
        <v>303</v>
      </c>
      <c r="C315" s="13" t="str">
        <f t="shared" si="34"/>
        <v>C66_疾患開始日</v>
      </c>
      <c r="D315" s="13" t="s">
        <v>5957</v>
      </c>
      <c r="E315" s="8"/>
      <c r="F315" s="7" t="s">
        <v>4348</v>
      </c>
      <c r="G315" s="7" t="s">
        <v>25</v>
      </c>
      <c r="H315" s="58"/>
      <c r="I315" s="23"/>
      <c r="J315" s="24"/>
      <c r="M315" s="4"/>
      <c r="N315" s="76"/>
      <c r="O315" s="76"/>
      <c r="P315" s="76" t="str">
        <f t="shared" si="28"/>
        <v>,shikkan297_start_date</v>
      </c>
      <c r="Q315" s="76" t="str">
        <f t="shared" si="29"/>
        <v>DATE</v>
      </c>
      <c r="R315" s="76" t="str">
        <f t="shared" si="30"/>
        <v/>
      </c>
      <c r="S315" s="76" t="str">
        <f t="shared" si="31"/>
        <v/>
      </c>
      <c r="T315" s="76" t="str">
        <f t="shared" si="32"/>
        <v>-- C66_疾患開始日</v>
      </c>
      <c r="U315" s="4" t="str">
        <f t="shared" si="35"/>
        <v>, CASE WHEN shikkan_disp_name = 'C66' THEN min_shikkan_start_date ::DATE ELSE NULL END AS shikkan297_start_date</v>
      </c>
      <c r="V315" s="25" t="str">
        <f t="shared" si="36"/>
        <v>, max(shikkan297_start_date)</v>
      </c>
      <c r="AA315" s="4"/>
      <c r="AB315" s="4"/>
      <c r="AC315" s="4"/>
      <c r="AD315" s="4"/>
      <c r="AE315" s="4"/>
      <c r="AF315" s="4"/>
      <c r="AG315" s="4"/>
      <c r="AH315" s="4"/>
      <c r="AI315" s="4"/>
      <c r="AJ315" s="76" t="str">
        <f>IF(E315="○",IF(COUNTA(E$13:E315)=1,"",",")&amp;D315,"")</f>
        <v/>
      </c>
      <c r="AK315" s="4"/>
      <c r="AL315" s="4"/>
      <c r="AM315" s="4"/>
      <c r="AN315" s="4"/>
      <c r="AO315" s="4"/>
      <c r="AP315" s="4"/>
      <c r="AQ315" s="4"/>
      <c r="AR315" s="4"/>
      <c r="AS315" s="76" t="str">
        <f>"COMMENT ON COLUMN "&amp;エンティティ一覧!$O$2&amp;"."&amp;D$8&amp;"."&amp;D315&amp;" IS '"&amp;C315&amp;"';"</f>
        <v>COMMENT ON COLUMN milscm_2023_009.sny_202310_annony_non_annony2.shikkan297_start_date IS 'C66_疾患開始日';</v>
      </c>
    </row>
    <row r="316" spans="1:45" s="25" customFormat="1">
      <c r="A316" s="4" t="s">
        <v>5441</v>
      </c>
      <c r="B316" s="21">
        <f t="shared" si="33"/>
        <v>304</v>
      </c>
      <c r="C316" s="13" t="str">
        <f t="shared" si="34"/>
        <v>C670_疾患開始日</v>
      </c>
      <c r="D316" s="13" t="s">
        <v>5958</v>
      </c>
      <c r="E316" s="8"/>
      <c r="F316" s="7" t="s">
        <v>4348</v>
      </c>
      <c r="G316" s="7" t="s">
        <v>25</v>
      </c>
      <c r="H316" s="58"/>
      <c r="I316" s="23"/>
      <c r="J316" s="24"/>
      <c r="M316" s="4"/>
      <c r="N316" s="76"/>
      <c r="O316" s="76"/>
      <c r="P316" s="76" t="str">
        <f t="shared" si="28"/>
        <v>,shikkan298_start_date</v>
      </c>
      <c r="Q316" s="76" t="str">
        <f t="shared" si="29"/>
        <v>DATE</v>
      </c>
      <c r="R316" s="76" t="str">
        <f t="shared" si="30"/>
        <v/>
      </c>
      <c r="S316" s="76" t="str">
        <f t="shared" si="31"/>
        <v/>
      </c>
      <c r="T316" s="76" t="str">
        <f t="shared" si="32"/>
        <v>-- C670_疾患開始日</v>
      </c>
      <c r="U316" s="4" t="str">
        <f t="shared" si="35"/>
        <v>, CASE WHEN shikkan_disp_name = 'C670' THEN min_shikkan_start_date ::DATE ELSE NULL END AS shikkan298_start_date</v>
      </c>
      <c r="V316" s="25" t="str">
        <f t="shared" si="36"/>
        <v>, max(shikkan298_start_date)</v>
      </c>
      <c r="AA316" s="4"/>
      <c r="AB316" s="4"/>
      <c r="AC316" s="4"/>
      <c r="AD316" s="4"/>
      <c r="AE316" s="4"/>
      <c r="AF316" s="4"/>
      <c r="AG316" s="4"/>
      <c r="AH316" s="4"/>
      <c r="AI316" s="4"/>
      <c r="AJ316" s="76" t="str">
        <f>IF(E316="○",IF(COUNTA(E$13:E316)=1,"",",")&amp;D316,"")</f>
        <v/>
      </c>
      <c r="AK316" s="4"/>
      <c r="AL316" s="4"/>
      <c r="AM316" s="4"/>
      <c r="AN316" s="4"/>
      <c r="AO316" s="4"/>
      <c r="AP316" s="4"/>
      <c r="AQ316" s="4"/>
      <c r="AR316" s="4"/>
      <c r="AS316" s="76" t="str">
        <f>"COMMENT ON COLUMN "&amp;エンティティ一覧!$O$2&amp;"."&amp;D$8&amp;"."&amp;D316&amp;" IS '"&amp;C316&amp;"';"</f>
        <v>COMMENT ON COLUMN milscm_2023_009.sny_202310_annony_non_annony2.shikkan298_start_date IS 'C670_疾患開始日';</v>
      </c>
    </row>
    <row r="317" spans="1:45" s="25" customFormat="1">
      <c r="A317" s="4" t="s">
        <v>5442</v>
      </c>
      <c r="B317" s="21">
        <f t="shared" si="33"/>
        <v>305</v>
      </c>
      <c r="C317" s="13" t="str">
        <f t="shared" si="34"/>
        <v>C671_疾患開始日</v>
      </c>
      <c r="D317" s="13" t="s">
        <v>5959</v>
      </c>
      <c r="E317" s="8"/>
      <c r="F317" s="7" t="s">
        <v>4348</v>
      </c>
      <c r="G317" s="7" t="s">
        <v>25</v>
      </c>
      <c r="H317" s="58"/>
      <c r="I317" s="23"/>
      <c r="J317" s="24"/>
      <c r="M317" s="4"/>
      <c r="N317" s="76"/>
      <c r="O317" s="76"/>
      <c r="P317" s="76" t="str">
        <f t="shared" si="28"/>
        <v>,shikkan299_start_date</v>
      </c>
      <c r="Q317" s="76" t="str">
        <f t="shared" si="29"/>
        <v>DATE</v>
      </c>
      <c r="R317" s="76" t="str">
        <f t="shared" si="30"/>
        <v/>
      </c>
      <c r="S317" s="76" t="str">
        <f t="shared" si="31"/>
        <v/>
      </c>
      <c r="T317" s="76" t="str">
        <f t="shared" si="32"/>
        <v>-- C671_疾患開始日</v>
      </c>
      <c r="U317" s="4" t="str">
        <f t="shared" si="35"/>
        <v>, CASE WHEN shikkan_disp_name = 'C671' THEN min_shikkan_start_date ::DATE ELSE NULL END AS shikkan299_start_date</v>
      </c>
      <c r="V317" s="25" t="str">
        <f t="shared" si="36"/>
        <v>, max(shikkan299_start_date)</v>
      </c>
      <c r="AA317" s="4"/>
      <c r="AB317" s="4"/>
      <c r="AC317" s="4"/>
      <c r="AD317" s="4"/>
      <c r="AE317" s="4"/>
      <c r="AF317" s="4"/>
      <c r="AG317" s="4"/>
      <c r="AH317" s="4"/>
      <c r="AI317" s="4"/>
      <c r="AJ317" s="76" t="str">
        <f>IF(E317="○",IF(COUNTA(E$13:E317)=1,"",",")&amp;D317,"")</f>
        <v/>
      </c>
      <c r="AK317" s="4"/>
      <c r="AL317" s="4"/>
      <c r="AM317" s="4"/>
      <c r="AN317" s="4"/>
      <c r="AO317" s="4"/>
      <c r="AP317" s="4"/>
      <c r="AQ317" s="4"/>
      <c r="AR317" s="4"/>
      <c r="AS317" s="76" t="str">
        <f>"COMMENT ON COLUMN "&amp;エンティティ一覧!$O$2&amp;"."&amp;D$8&amp;"."&amp;D317&amp;" IS '"&amp;C317&amp;"';"</f>
        <v>COMMENT ON COLUMN milscm_2023_009.sny_202310_annony_non_annony2.shikkan299_start_date IS 'C671_疾患開始日';</v>
      </c>
    </row>
    <row r="318" spans="1:45" s="25" customFormat="1">
      <c r="A318" s="4" t="s">
        <v>5443</v>
      </c>
      <c r="B318" s="21">
        <f t="shared" si="33"/>
        <v>306</v>
      </c>
      <c r="C318" s="13" t="str">
        <f t="shared" si="34"/>
        <v>C672_疾患開始日</v>
      </c>
      <c r="D318" s="13" t="s">
        <v>5960</v>
      </c>
      <c r="E318" s="8"/>
      <c r="F318" s="7" t="s">
        <v>4348</v>
      </c>
      <c r="G318" s="7" t="s">
        <v>25</v>
      </c>
      <c r="H318" s="58"/>
      <c r="I318" s="23"/>
      <c r="J318" s="24"/>
      <c r="M318" s="4"/>
      <c r="N318" s="76"/>
      <c r="O318" s="76"/>
      <c r="P318" s="76" t="str">
        <f t="shared" si="28"/>
        <v>,shikkan300_start_date</v>
      </c>
      <c r="Q318" s="76" t="str">
        <f t="shared" si="29"/>
        <v>DATE</v>
      </c>
      <c r="R318" s="76" t="str">
        <f t="shared" si="30"/>
        <v/>
      </c>
      <c r="S318" s="76" t="str">
        <f t="shared" si="31"/>
        <v/>
      </c>
      <c r="T318" s="76" t="str">
        <f t="shared" si="32"/>
        <v>-- C672_疾患開始日</v>
      </c>
      <c r="U318" s="4" t="str">
        <f t="shared" si="35"/>
        <v>, CASE WHEN shikkan_disp_name = 'C672' THEN min_shikkan_start_date ::DATE ELSE NULL END AS shikkan300_start_date</v>
      </c>
      <c r="V318" s="25" t="str">
        <f t="shared" si="36"/>
        <v>, max(shikkan300_start_date)</v>
      </c>
      <c r="AA318" s="4"/>
      <c r="AB318" s="4"/>
      <c r="AC318" s="4"/>
      <c r="AD318" s="4"/>
      <c r="AE318" s="4"/>
      <c r="AF318" s="4"/>
      <c r="AG318" s="4"/>
      <c r="AH318" s="4"/>
      <c r="AI318" s="4"/>
      <c r="AJ318" s="76" t="str">
        <f>IF(E318="○",IF(COUNTA(E$13:E318)=1,"",",")&amp;D318,"")</f>
        <v/>
      </c>
      <c r="AK318" s="4"/>
      <c r="AL318" s="4"/>
      <c r="AM318" s="4"/>
      <c r="AN318" s="4"/>
      <c r="AO318" s="4"/>
      <c r="AP318" s="4"/>
      <c r="AQ318" s="4"/>
      <c r="AR318" s="4"/>
      <c r="AS318" s="76" t="str">
        <f>"COMMENT ON COLUMN "&amp;エンティティ一覧!$O$2&amp;"."&amp;D$8&amp;"."&amp;D318&amp;" IS '"&amp;C318&amp;"';"</f>
        <v>COMMENT ON COLUMN milscm_2023_009.sny_202310_annony_non_annony2.shikkan300_start_date IS 'C672_疾患開始日';</v>
      </c>
    </row>
    <row r="319" spans="1:45" s="25" customFormat="1">
      <c r="A319" s="4" t="s">
        <v>5444</v>
      </c>
      <c r="B319" s="21">
        <f t="shared" si="33"/>
        <v>307</v>
      </c>
      <c r="C319" s="13" t="str">
        <f t="shared" si="34"/>
        <v>C673_疾患開始日</v>
      </c>
      <c r="D319" s="13" t="s">
        <v>5961</v>
      </c>
      <c r="E319" s="8"/>
      <c r="F319" s="7" t="s">
        <v>4348</v>
      </c>
      <c r="G319" s="7" t="s">
        <v>25</v>
      </c>
      <c r="H319" s="58"/>
      <c r="I319" s="23"/>
      <c r="J319" s="24"/>
      <c r="M319" s="4"/>
      <c r="N319" s="76"/>
      <c r="O319" s="76"/>
      <c r="P319" s="76" t="str">
        <f t="shared" si="28"/>
        <v>,shikkan301_start_date</v>
      </c>
      <c r="Q319" s="76" t="str">
        <f t="shared" si="29"/>
        <v>DATE</v>
      </c>
      <c r="R319" s="76" t="str">
        <f t="shared" si="30"/>
        <v/>
      </c>
      <c r="S319" s="76" t="str">
        <f t="shared" si="31"/>
        <v/>
      </c>
      <c r="T319" s="76" t="str">
        <f t="shared" si="32"/>
        <v>-- C673_疾患開始日</v>
      </c>
      <c r="U319" s="4" t="str">
        <f t="shared" si="35"/>
        <v>, CASE WHEN shikkan_disp_name = 'C673' THEN min_shikkan_start_date ::DATE ELSE NULL END AS shikkan301_start_date</v>
      </c>
      <c r="V319" s="25" t="str">
        <f t="shared" si="36"/>
        <v>, max(shikkan301_start_date)</v>
      </c>
      <c r="AA319" s="4"/>
      <c r="AB319" s="4"/>
      <c r="AC319" s="4"/>
      <c r="AD319" s="4"/>
      <c r="AE319" s="4"/>
      <c r="AF319" s="4"/>
      <c r="AG319" s="4"/>
      <c r="AH319" s="4"/>
      <c r="AI319" s="4"/>
      <c r="AJ319" s="76" t="str">
        <f>IF(E319="○",IF(COUNTA(E$13:E319)=1,"",",")&amp;D319,"")</f>
        <v/>
      </c>
      <c r="AK319" s="4"/>
      <c r="AL319" s="4"/>
      <c r="AM319" s="4"/>
      <c r="AN319" s="4"/>
      <c r="AO319" s="4"/>
      <c r="AP319" s="4"/>
      <c r="AQ319" s="4"/>
      <c r="AR319" s="4"/>
      <c r="AS319" s="76" t="str">
        <f>"COMMENT ON COLUMN "&amp;エンティティ一覧!$O$2&amp;"."&amp;D$8&amp;"."&amp;D319&amp;" IS '"&amp;C319&amp;"';"</f>
        <v>COMMENT ON COLUMN milscm_2023_009.sny_202310_annony_non_annony2.shikkan301_start_date IS 'C673_疾患開始日';</v>
      </c>
    </row>
    <row r="320" spans="1:45" s="25" customFormat="1">
      <c r="A320" s="4" t="s">
        <v>5445</v>
      </c>
      <c r="B320" s="21">
        <f t="shared" si="33"/>
        <v>308</v>
      </c>
      <c r="C320" s="13" t="str">
        <f t="shared" si="34"/>
        <v>C674_疾患開始日</v>
      </c>
      <c r="D320" s="13" t="s">
        <v>5962</v>
      </c>
      <c r="E320" s="8"/>
      <c r="F320" s="7" t="s">
        <v>4348</v>
      </c>
      <c r="G320" s="7" t="s">
        <v>25</v>
      </c>
      <c r="H320" s="58"/>
      <c r="I320" s="23"/>
      <c r="J320" s="24"/>
      <c r="M320" s="4"/>
      <c r="N320" s="76"/>
      <c r="O320" s="76"/>
      <c r="P320" s="76" t="str">
        <f t="shared" si="28"/>
        <v>,shikkan302_start_date</v>
      </c>
      <c r="Q320" s="76" t="str">
        <f t="shared" si="29"/>
        <v>DATE</v>
      </c>
      <c r="R320" s="76" t="str">
        <f t="shared" si="30"/>
        <v/>
      </c>
      <c r="S320" s="76" t="str">
        <f t="shared" si="31"/>
        <v/>
      </c>
      <c r="T320" s="76" t="str">
        <f t="shared" si="32"/>
        <v>-- C674_疾患開始日</v>
      </c>
      <c r="U320" s="4" t="str">
        <f t="shared" si="35"/>
        <v>, CASE WHEN shikkan_disp_name = 'C674' THEN min_shikkan_start_date ::DATE ELSE NULL END AS shikkan302_start_date</v>
      </c>
      <c r="V320" s="25" t="str">
        <f t="shared" si="36"/>
        <v>, max(shikkan302_start_date)</v>
      </c>
      <c r="AA320" s="4"/>
      <c r="AB320" s="4"/>
      <c r="AC320" s="4"/>
      <c r="AD320" s="4"/>
      <c r="AE320" s="4"/>
      <c r="AF320" s="4"/>
      <c r="AG320" s="4"/>
      <c r="AH320" s="4"/>
      <c r="AI320" s="4"/>
      <c r="AJ320" s="76" t="str">
        <f>IF(E320="○",IF(COUNTA(E$13:E320)=1,"",",")&amp;D320,"")</f>
        <v/>
      </c>
      <c r="AK320" s="4"/>
      <c r="AL320" s="4"/>
      <c r="AM320" s="4"/>
      <c r="AN320" s="4"/>
      <c r="AO320" s="4"/>
      <c r="AP320" s="4"/>
      <c r="AQ320" s="4"/>
      <c r="AR320" s="4"/>
      <c r="AS320" s="76" t="str">
        <f>"COMMENT ON COLUMN "&amp;エンティティ一覧!$O$2&amp;"."&amp;D$8&amp;"."&amp;D320&amp;" IS '"&amp;C320&amp;"';"</f>
        <v>COMMENT ON COLUMN milscm_2023_009.sny_202310_annony_non_annony2.shikkan302_start_date IS 'C674_疾患開始日';</v>
      </c>
    </row>
    <row r="321" spans="1:45" s="25" customFormat="1">
      <c r="A321" s="4" t="s">
        <v>5446</v>
      </c>
      <c r="B321" s="21">
        <f t="shared" si="33"/>
        <v>309</v>
      </c>
      <c r="C321" s="13" t="str">
        <f t="shared" si="34"/>
        <v>C675_疾患開始日</v>
      </c>
      <c r="D321" s="13" t="s">
        <v>5963</v>
      </c>
      <c r="E321" s="8"/>
      <c r="F321" s="7" t="s">
        <v>4348</v>
      </c>
      <c r="G321" s="7" t="s">
        <v>25</v>
      </c>
      <c r="H321" s="58"/>
      <c r="I321" s="23"/>
      <c r="J321" s="24"/>
      <c r="M321" s="4"/>
      <c r="N321" s="76"/>
      <c r="O321" s="76"/>
      <c r="P321" s="76" t="str">
        <f t="shared" si="28"/>
        <v>,shikkan303_start_date</v>
      </c>
      <c r="Q321" s="76" t="str">
        <f t="shared" si="29"/>
        <v>DATE</v>
      </c>
      <c r="R321" s="76" t="str">
        <f t="shared" si="30"/>
        <v/>
      </c>
      <c r="S321" s="76" t="str">
        <f t="shared" si="31"/>
        <v/>
      </c>
      <c r="T321" s="76" t="str">
        <f t="shared" si="32"/>
        <v>-- C675_疾患開始日</v>
      </c>
      <c r="U321" s="4" t="str">
        <f t="shared" si="35"/>
        <v>, CASE WHEN shikkan_disp_name = 'C675' THEN min_shikkan_start_date ::DATE ELSE NULL END AS shikkan303_start_date</v>
      </c>
      <c r="V321" s="25" t="str">
        <f t="shared" si="36"/>
        <v>, max(shikkan303_start_date)</v>
      </c>
      <c r="AA321" s="4"/>
      <c r="AB321" s="4"/>
      <c r="AC321" s="4"/>
      <c r="AD321" s="4"/>
      <c r="AE321" s="4"/>
      <c r="AF321" s="4"/>
      <c r="AG321" s="4"/>
      <c r="AH321" s="4"/>
      <c r="AI321" s="4"/>
      <c r="AJ321" s="76" t="str">
        <f>IF(E321="○",IF(COUNTA(E$13:E321)=1,"",",")&amp;D321,"")</f>
        <v/>
      </c>
      <c r="AK321" s="4"/>
      <c r="AL321" s="4"/>
      <c r="AM321" s="4"/>
      <c r="AN321" s="4"/>
      <c r="AO321" s="4"/>
      <c r="AP321" s="4"/>
      <c r="AQ321" s="4"/>
      <c r="AR321" s="4"/>
      <c r="AS321" s="76" t="str">
        <f>"COMMENT ON COLUMN "&amp;エンティティ一覧!$O$2&amp;"."&amp;D$8&amp;"."&amp;D321&amp;" IS '"&amp;C321&amp;"';"</f>
        <v>COMMENT ON COLUMN milscm_2023_009.sny_202310_annony_non_annony2.shikkan303_start_date IS 'C675_疾患開始日';</v>
      </c>
    </row>
    <row r="322" spans="1:45" s="25" customFormat="1">
      <c r="A322" s="4" t="s">
        <v>5447</v>
      </c>
      <c r="B322" s="21">
        <f t="shared" si="33"/>
        <v>310</v>
      </c>
      <c r="C322" s="13" t="str">
        <f t="shared" si="34"/>
        <v>C676_疾患開始日</v>
      </c>
      <c r="D322" s="13" t="s">
        <v>5964</v>
      </c>
      <c r="E322" s="8"/>
      <c r="F322" s="7" t="s">
        <v>4348</v>
      </c>
      <c r="G322" s="7" t="s">
        <v>99</v>
      </c>
      <c r="H322" s="58"/>
      <c r="I322" s="23"/>
      <c r="J322" s="24"/>
      <c r="M322" s="4"/>
      <c r="N322" s="76"/>
      <c r="O322" s="76"/>
      <c r="P322" s="76" t="str">
        <f t="shared" si="28"/>
        <v>,shikkan304_start_date</v>
      </c>
      <c r="Q322" s="76" t="str">
        <f t="shared" si="29"/>
        <v>DATE</v>
      </c>
      <c r="R322" s="76" t="str">
        <f t="shared" si="30"/>
        <v/>
      </c>
      <c r="S322" s="76" t="str">
        <f t="shared" si="31"/>
        <v/>
      </c>
      <c r="T322" s="76" t="str">
        <f t="shared" si="32"/>
        <v>-- C676_疾患開始日</v>
      </c>
      <c r="U322" s="4" t="str">
        <f t="shared" si="35"/>
        <v>, CASE WHEN shikkan_disp_name = 'C676' THEN min_shikkan_start_date ::DATE ELSE NULL END AS shikkan304_start_date</v>
      </c>
      <c r="V322" s="25" t="str">
        <f t="shared" si="36"/>
        <v>, max(shikkan304_start_date)</v>
      </c>
      <c r="AA322" s="4"/>
      <c r="AB322" s="4"/>
      <c r="AC322" s="4"/>
      <c r="AD322" s="4"/>
      <c r="AE322" s="4"/>
      <c r="AF322" s="4"/>
      <c r="AG322" s="4"/>
      <c r="AH322" s="4"/>
      <c r="AI322" s="4"/>
      <c r="AJ322" s="76" t="str">
        <f>IF(E322="○",IF(COUNTA(E$13:E322)=1,"",",")&amp;D322,"")</f>
        <v/>
      </c>
      <c r="AK322" s="4"/>
      <c r="AL322" s="4"/>
      <c r="AM322" s="4"/>
      <c r="AN322" s="4"/>
      <c r="AO322" s="4"/>
      <c r="AP322" s="4"/>
      <c r="AQ322" s="4"/>
      <c r="AR322" s="4"/>
      <c r="AS322" s="76" t="str">
        <f>"COMMENT ON COLUMN "&amp;エンティティ一覧!$O$2&amp;"."&amp;D$8&amp;"."&amp;D322&amp;" IS '"&amp;C322&amp;"';"</f>
        <v>COMMENT ON COLUMN milscm_2023_009.sny_202310_annony_non_annony2.shikkan304_start_date IS 'C676_疾患開始日';</v>
      </c>
    </row>
    <row r="323" spans="1:45" s="25" customFormat="1">
      <c r="A323" s="4" t="s">
        <v>5448</v>
      </c>
      <c r="B323" s="21">
        <f t="shared" si="33"/>
        <v>311</v>
      </c>
      <c r="C323" s="13" t="str">
        <f t="shared" si="34"/>
        <v>C677_疾患開始日</v>
      </c>
      <c r="D323" s="13" t="s">
        <v>5965</v>
      </c>
      <c r="E323" s="8"/>
      <c r="F323" s="7" t="s">
        <v>4348</v>
      </c>
      <c r="G323" s="7" t="s">
        <v>25</v>
      </c>
      <c r="H323" s="58"/>
      <c r="I323" s="23"/>
      <c r="J323" s="24"/>
      <c r="M323" s="4"/>
      <c r="N323" s="76"/>
      <c r="O323" s="76"/>
      <c r="P323" s="76" t="str">
        <f t="shared" si="28"/>
        <v>,shikkan305_start_date</v>
      </c>
      <c r="Q323" s="76" t="str">
        <f t="shared" si="29"/>
        <v>DATE</v>
      </c>
      <c r="R323" s="76" t="str">
        <f t="shared" si="30"/>
        <v/>
      </c>
      <c r="S323" s="76" t="str">
        <f t="shared" si="31"/>
        <v/>
      </c>
      <c r="T323" s="76" t="str">
        <f t="shared" si="32"/>
        <v>-- C677_疾患開始日</v>
      </c>
      <c r="U323" s="4" t="str">
        <f t="shared" si="35"/>
        <v>, CASE WHEN shikkan_disp_name = 'C677' THEN min_shikkan_start_date ::DATE ELSE NULL END AS shikkan305_start_date</v>
      </c>
      <c r="V323" s="25" t="str">
        <f t="shared" si="36"/>
        <v>, max(shikkan305_start_date)</v>
      </c>
      <c r="AA323" s="4"/>
      <c r="AB323" s="4"/>
      <c r="AC323" s="4"/>
      <c r="AD323" s="4"/>
      <c r="AE323" s="4"/>
      <c r="AF323" s="4"/>
      <c r="AG323" s="4"/>
      <c r="AH323" s="4"/>
      <c r="AI323" s="4"/>
      <c r="AJ323" s="76" t="str">
        <f>IF(E323="○",IF(COUNTA(E$13:E323)=1,"",",")&amp;D323,"")</f>
        <v/>
      </c>
      <c r="AK323" s="4"/>
      <c r="AL323" s="4"/>
      <c r="AM323" s="4"/>
      <c r="AN323" s="4"/>
      <c r="AO323" s="4"/>
      <c r="AP323" s="4"/>
      <c r="AQ323" s="4"/>
      <c r="AR323" s="4"/>
      <c r="AS323" s="76" t="str">
        <f>"COMMENT ON COLUMN "&amp;エンティティ一覧!$O$2&amp;"."&amp;D$8&amp;"."&amp;D323&amp;" IS '"&amp;C323&amp;"';"</f>
        <v>COMMENT ON COLUMN milscm_2023_009.sny_202310_annony_non_annony2.shikkan305_start_date IS 'C677_疾患開始日';</v>
      </c>
    </row>
    <row r="324" spans="1:45" s="25" customFormat="1">
      <c r="A324" s="4" t="s">
        <v>5449</v>
      </c>
      <c r="B324" s="21">
        <f t="shared" si="33"/>
        <v>312</v>
      </c>
      <c r="C324" s="13" t="str">
        <f t="shared" si="34"/>
        <v>C678_疾患開始日</v>
      </c>
      <c r="D324" s="13" t="s">
        <v>5966</v>
      </c>
      <c r="E324" s="8"/>
      <c r="F324" s="7" t="s">
        <v>4348</v>
      </c>
      <c r="G324" s="7" t="s">
        <v>25</v>
      </c>
      <c r="H324" s="58"/>
      <c r="I324" s="23"/>
      <c r="J324" s="24"/>
      <c r="M324" s="4"/>
      <c r="N324" s="76"/>
      <c r="O324" s="76"/>
      <c r="P324" s="76" t="str">
        <f t="shared" si="28"/>
        <v>,shikkan306_start_date</v>
      </c>
      <c r="Q324" s="76" t="str">
        <f t="shared" si="29"/>
        <v>DATE</v>
      </c>
      <c r="R324" s="76" t="str">
        <f t="shared" si="30"/>
        <v/>
      </c>
      <c r="S324" s="76" t="str">
        <f t="shared" si="31"/>
        <v/>
      </c>
      <c r="T324" s="76" t="str">
        <f t="shared" si="32"/>
        <v>-- C678_疾患開始日</v>
      </c>
      <c r="U324" s="4" t="str">
        <f t="shared" si="35"/>
        <v>, CASE WHEN shikkan_disp_name = 'C678' THEN min_shikkan_start_date ::DATE ELSE NULL END AS shikkan306_start_date</v>
      </c>
      <c r="V324" s="25" t="str">
        <f t="shared" si="36"/>
        <v>, max(shikkan306_start_date)</v>
      </c>
      <c r="AA324" s="4"/>
      <c r="AB324" s="4"/>
      <c r="AC324" s="4"/>
      <c r="AD324" s="4"/>
      <c r="AE324" s="4"/>
      <c r="AF324" s="4"/>
      <c r="AG324" s="4"/>
      <c r="AH324" s="4"/>
      <c r="AI324" s="4"/>
      <c r="AJ324" s="76" t="str">
        <f>IF(E324="○",IF(COUNTA(E$13:E324)=1,"",",")&amp;D324,"")</f>
        <v/>
      </c>
      <c r="AK324" s="4"/>
      <c r="AL324" s="4"/>
      <c r="AM324" s="4"/>
      <c r="AN324" s="4"/>
      <c r="AO324" s="4"/>
      <c r="AP324" s="4"/>
      <c r="AQ324" s="4"/>
      <c r="AR324" s="4"/>
      <c r="AS324" s="76" t="str">
        <f>"COMMENT ON COLUMN "&amp;エンティティ一覧!$O$2&amp;"."&amp;D$8&amp;"."&amp;D324&amp;" IS '"&amp;C324&amp;"';"</f>
        <v>COMMENT ON COLUMN milscm_2023_009.sny_202310_annony_non_annony2.shikkan306_start_date IS 'C678_疾患開始日';</v>
      </c>
    </row>
    <row r="325" spans="1:45" s="25" customFormat="1">
      <c r="A325" s="4" t="s">
        <v>5450</v>
      </c>
      <c r="B325" s="21">
        <f t="shared" si="33"/>
        <v>313</v>
      </c>
      <c r="C325" s="13" t="str">
        <f t="shared" si="34"/>
        <v>C679_疾患開始日</v>
      </c>
      <c r="D325" s="13" t="s">
        <v>5967</v>
      </c>
      <c r="E325" s="8"/>
      <c r="F325" s="7" t="s">
        <v>4348</v>
      </c>
      <c r="G325" s="7" t="s">
        <v>25</v>
      </c>
      <c r="H325" s="58"/>
      <c r="I325" s="23"/>
      <c r="J325" s="24"/>
      <c r="M325" s="4"/>
      <c r="N325" s="76"/>
      <c r="O325" s="76"/>
      <c r="P325" s="76" t="str">
        <f t="shared" si="28"/>
        <v>,shikkan307_start_date</v>
      </c>
      <c r="Q325" s="76" t="str">
        <f t="shared" si="29"/>
        <v>DATE</v>
      </c>
      <c r="R325" s="76" t="str">
        <f t="shared" si="30"/>
        <v/>
      </c>
      <c r="S325" s="76" t="str">
        <f t="shared" si="31"/>
        <v/>
      </c>
      <c r="T325" s="76" t="str">
        <f t="shared" si="32"/>
        <v>-- C679_疾患開始日</v>
      </c>
      <c r="U325" s="4" t="str">
        <f t="shared" si="35"/>
        <v>, CASE WHEN shikkan_disp_name = 'C679' THEN min_shikkan_start_date ::DATE ELSE NULL END AS shikkan307_start_date</v>
      </c>
      <c r="V325" s="25" t="str">
        <f t="shared" si="36"/>
        <v>, max(shikkan307_start_date)</v>
      </c>
      <c r="AA325" s="4"/>
      <c r="AB325" s="4"/>
      <c r="AC325" s="4"/>
      <c r="AD325" s="4"/>
      <c r="AE325" s="4"/>
      <c r="AF325" s="4"/>
      <c r="AG325" s="4"/>
      <c r="AH325" s="4"/>
      <c r="AI325" s="4"/>
      <c r="AJ325" s="76" t="str">
        <f>IF(E325="○",IF(COUNTA(E$13:E325)=1,"",",")&amp;D325,"")</f>
        <v/>
      </c>
      <c r="AK325" s="4"/>
      <c r="AL325" s="4"/>
      <c r="AM325" s="4"/>
      <c r="AN325" s="4"/>
      <c r="AO325" s="4"/>
      <c r="AP325" s="4"/>
      <c r="AQ325" s="4"/>
      <c r="AR325" s="4"/>
      <c r="AS325" s="76" t="str">
        <f>"COMMENT ON COLUMN "&amp;エンティティ一覧!$O$2&amp;"."&amp;D$8&amp;"."&amp;D325&amp;" IS '"&amp;C325&amp;"';"</f>
        <v>COMMENT ON COLUMN milscm_2023_009.sny_202310_annony_non_annony2.shikkan307_start_date IS 'C679_疾患開始日';</v>
      </c>
    </row>
    <row r="326" spans="1:45" s="25" customFormat="1">
      <c r="A326" s="4" t="s">
        <v>5451</v>
      </c>
      <c r="B326" s="21">
        <f t="shared" si="33"/>
        <v>314</v>
      </c>
      <c r="C326" s="13" t="str">
        <f t="shared" si="34"/>
        <v>C680_疾患開始日</v>
      </c>
      <c r="D326" s="13" t="s">
        <v>5968</v>
      </c>
      <c r="E326" s="8"/>
      <c r="F326" s="7" t="s">
        <v>4348</v>
      </c>
      <c r="G326" s="7" t="s">
        <v>25</v>
      </c>
      <c r="H326" s="58"/>
      <c r="I326" s="23"/>
      <c r="J326" s="24"/>
      <c r="M326" s="4"/>
      <c r="N326" s="76"/>
      <c r="O326" s="76"/>
      <c r="P326" s="76" t="str">
        <f t="shared" si="28"/>
        <v>,shikkan308_start_date</v>
      </c>
      <c r="Q326" s="76" t="str">
        <f t="shared" si="29"/>
        <v>DATE</v>
      </c>
      <c r="R326" s="76" t="str">
        <f t="shared" si="30"/>
        <v/>
      </c>
      <c r="S326" s="76" t="str">
        <f t="shared" si="31"/>
        <v/>
      </c>
      <c r="T326" s="76" t="str">
        <f t="shared" si="32"/>
        <v>-- C680_疾患開始日</v>
      </c>
      <c r="U326" s="4" t="str">
        <f t="shared" si="35"/>
        <v>, CASE WHEN shikkan_disp_name = 'C680' THEN min_shikkan_start_date ::DATE ELSE NULL END AS shikkan308_start_date</v>
      </c>
      <c r="V326" s="25" t="str">
        <f t="shared" si="36"/>
        <v>, max(shikkan308_start_date)</v>
      </c>
      <c r="AA326" s="4"/>
      <c r="AB326" s="4"/>
      <c r="AC326" s="4"/>
      <c r="AD326" s="4"/>
      <c r="AE326" s="4"/>
      <c r="AF326" s="4"/>
      <c r="AG326" s="4"/>
      <c r="AH326" s="4"/>
      <c r="AI326" s="4"/>
      <c r="AJ326" s="76" t="str">
        <f>IF(E326="○",IF(COUNTA(E$13:E326)=1,"",",")&amp;D326,"")</f>
        <v/>
      </c>
      <c r="AK326" s="4"/>
      <c r="AL326" s="4"/>
      <c r="AM326" s="4"/>
      <c r="AN326" s="4"/>
      <c r="AO326" s="4"/>
      <c r="AP326" s="4"/>
      <c r="AQ326" s="4"/>
      <c r="AR326" s="4"/>
      <c r="AS326" s="76" t="str">
        <f>"COMMENT ON COLUMN "&amp;エンティティ一覧!$O$2&amp;"."&amp;D$8&amp;"."&amp;D326&amp;" IS '"&amp;C326&amp;"';"</f>
        <v>COMMENT ON COLUMN milscm_2023_009.sny_202310_annony_non_annony2.shikkan308_start_date IS 'C680_疾患開始日';</v>
      </c>
    </row>
    <row r="327" spans="1:45" s="25" customFormat="1">
      <c r="A327" s="4" t="s">
        <v>5452</v>
      </c>
      <c r="B327" s="21">
        <f t="shared" si="33"/>
        <v>315</v>
      </c>
      <c r="C327" s="13" t="str">
        <f t="shared" si="34"/>
        <v>C681_疾患開始日</v>
      </c>
      <c r="D327" s="13" t="s">
        <v>5969</v>
      </c>
      <c r="E327" s="8"/>
      <c r="F327" s="7" t="s">
        <v>4348</v>
      </c>
      <c r="G327" s="7" t="s">
        <v>25</v>
      </c>
      <c r="H327" s="58"/>
      <c r="I327" s="23"/>
      <c r="J327" s="24"/>
      <c r="M327" s="4"/>
      <c r="N327" s="76"/>
      <c r="O327" s="76"/>
      <c r="P327" s="76" t="str">
        <f t="shared" si="28"/>
        <v>,shikkan309_start_date</v>
      </c>
      <c r="Q327" s="76" t="str">
        <f t="shared" si="29"/>
        <v>DATE</v>
      </c>
      <c r="R327" s="76" t="str">
        <f t="shared" si="30"/>
        <v/>
      </c>
      <c r="S327" s="76" t="str">
        <f t="shared" si="31"/>
        <v/>
      </c>
      <c r="T327" s="76" t="str">
        <f t="shared" si="32"/>
        <v>-- C681_疾患開始日</v>
      </c>
      <c r="U327" s="4" t="str">
        <f t="shared" si="35"/>
        <v>, CASE WHEN shikkan_disp_name = 'C681' THEN min_shikkan_start_date ::DATE ELSE NULL END AS shikkan309_start_date</v>
      </c>
      <c r="V327" s="25" t="str">
        <f t="shared" si="36"/>
        <v>, max(shikkan309_start_date)</v>
      </c>
      <c r="AA327" s="4"/>
      <c r="AB327" s="4"/>
      <c r="AC327" s="4"/>
      <c r="AD327" s="4"/>
      <c r="AE327" s="4"/>
      <c r="AF327" s="4"/>
      <c r="AG327" s="4"/>
      <c r="AH327" s="4"/>
      <c r="AI327" s="4"/>
      <c r="AJ327" s="76" t="str">
        <f>IF(E327="○",IF(COUNTA(E$13:E327)=1,"",",")&amp;D327,"")</f>
        <v/>
      </c>
      <c r="AK327" s="4"/>
      <c r="AL327" s="4"/>
      <c r="AM327" s="4"/>
      <c r="AN327" s="4"/>
      <c r="AO327" s="4"/>
      <c r="AP327" s="4"/>
      <c r="AQ327" s="4"/>
      <c r="AR327" s="4"/>
      <c r="AS327" s="76" t="str">
        <f>"COMMENT ON COLUMN "&amp;エンティティ一覧!$O$2&amp;"."&amp;D$8&amp;"."&amp;D327&amp;" IS '"&amp;C327&amp;"';"</f>
        <v>COMMENT ON COLUMN milscm_2023_009.sny_202310_annony_non_annony2.shikkan309_start_date IS 'C681_疾患開始日';</v>
      </c>
    </row>
    <row r="328" spans="1:45" s="25" customFormat="1">
      <c r="A328" s="4" t="s">
        <v>5453</v>
      </c>
      <c r="B328" s="21">
        <f t="shared" si="33"/>
        <v>316</v>
      </c>
      <c r="C328" s="13" t="str">
        <f t="shared" si="34"/>
        <v>C688_疾患開始日</v>
      </c>
      <c r="D328" s="13" t="s">
        <v>5970</v>
      </c>
      <c r="E328" s="8"/>
      <c r="F328" s="7" t="s">
        <v>4348</v>
      </c>
      <c r="G328" s="7" t="s">
        <v>25</v>
      </c>
      <c r="H328" s="58"/>
      <c r="I328" s="23"/>
      <c r="J328" s="24"/>
      <c r="M328" s="4"/>
      <c r="N328" s="76"/>
      <c r="O328" s="76"/>
      <c r="P328" s="76" t="str">
        <f t="shared" si="28"/>
        <v>,shikkan310_start_date</v>
      </c>
      <c r="Q328" s="76" t="str">
        <f t="shared" si="29"/>
        <v>DATE</v>
      </c>
      <c r="R328" s="76" t="str">
        <f t="shared" si="30"/>
        <v/>
      </c>
      <c r="S328" s="76" t="str">
        <f t="shared" si="31"/>
        <v/>
      </c>
      <c r="T328" s="76" t="str">
        <f t="shared" si="32"/>
        <v>-- C688_疾患開始日</v>
      </c>
      <c r="U328" s="4" t="str">
        <f t="shared" si="35"/>
        <v>, CASE WHEN shikkan_disp_name = 'C688' THEN min_shikkan_start_date ::DATE ELSE NULL END AS shikkan310_start_date</v>
      </c>
      <c r="V328" s="25" t="str">
        <f t="shared" si="36"/>
        <v>, max(shikkan310_start_date)</v>
      </c>
      <c r="AA328" s="4"/>
      <c r="AB328" s="4"/>
      <c r="AC328" s="4"/>
      <c r="AD328" s="4"/>
      <c r="AE328" s="4"/>
      <c r="AF328" s="4"/>
      <c r="AG328" s="4"/>
      <c r="AH328" s="4"/>
      <c r="AI328" s="4"/>
      <c r="AJ328" s="76" t="str">
        <f>IF(E328="○",IF(COUNTA(E$13:E328)=1,"",",")&amp;D328,"")</f>
        <v/>
      </c>
      <c r="AK328" s="4"/>
      <c r="AL328" s="4"/>
      <c r="AM328" s="4"/>
      <c r="AN328" s="4"/>
      <c r="AO328" s="4"/>
      <c r="AP328" s="4"/>
      <c r="AQ328" s="4"/>
      <c r="AR328" s="4"/>
      <c r="AS328" s="76" t="str">
        <f>"COMMENT ON COLUMN "&amp;エンティティ一覧!$O$2&amp;"."&amp;D$8&amp;"."&amp;D328&amp;" IS '"&amp;C328&amp;"';"</f>
        <v>COMMENT ON COLUMN milscm_2023_009.sny_202310_annony_non_annony2.shikkan310_start_date IS 'C688_疾患開始日';</v>
      </c>
    </row>
    <row r="329" spans="1:45" s="25" customFormat="1">
      <c r="A329" s="4" t="s">
        <v>5454</v>
      </c>
      <c r="B329" s="21">
        <f t="shared" si="33"/>
        <v>317</v>
      </c>
      <c r="C329" s="13" t="str">
        <f t="shared" si="34"/>
        <v>C689_疾患開始日</v>
      </c>
      <c r="D329" s="13" t="s">
        <v>5971</v>
      </c>
      <c r="E329" s="8"/>
      <c r="F329" s="7" t="s">
        <v>4348</v>
      </c>
      <c r="G329" s="7" t="s">
        <v>25</v>
      </c>
      <c r="H329" s="58"/>
      <c r="I329" s="23"/>
      <c r="J329" s="24"/>
      <c r="M329" s="4"/>
      <c r="N329" s="76"/>
      <c r="O329" s="76"/>
      <c r="P329" s="76" t="str">
        <f t="shared" si="28"/>
        <v>,shikkan311_start_date</v>
      </c>
      <c r="Q329" s="76" t="str">
        <f t="shared" si="29"/>
        <v>DATE</v>
      </c>
      <c r="R329" s="76" t="str">
        <f t="shared" si="30"/>
        <v/>
      </c>
      <c r="S329" s="76" t="str">
        <f t="shared" si="31"/>
        <v/>
      </c>
      <c r="T329" s="76" t="str">
        <f t="shared" si="32"/>
        <v>-- C689_疾患開始日</v>
      </c>
      <c r="U329" s="4" t="str">
        <f t="shared" si="35"/>
        <v>, CASE WHEN shikkan_disp_name = 'C689' THEN min_shikkan_start_date ::DATE ELSE NULL END AS shikkan311_start_date</v>
      </c>
      <c r="V329" s="25" t="str">
        <f t="shared" si="36"/>
        <v>, max(shikkan311_start_date)</v>
      </c>
      <c r="AA329" s="4"/>
      <c r="AB329" s="4"/>
      <c r="AC329" s="4"/>
      <c r="AD329" s="4"/>
      <c r="AE329" s="4"/>
      <c r="AF329" s="4"/>
      <c r="AG329" s="4"/>
      <c r="AH329" s="4"/>
      <c r="AI329" s="4"/>
      <c r="AJ329" s="76" t="str">
        <f>IF(E329="○",IF(COUNTA(E$13:E329)=1,"",",")&amp;D329,"")</f>
        <v/>
      </c>
      <c r="AK329" s="4"/>
      <c r="AL329" s="4"/>
      <c r="AM329" s="4"/>
      <c r="AN329" s="4"/>
      <c r="AO329" s="4"/>
      <c r="AP329" s="4"/>
      <c r="AQ329" s="4"/>
      <c r="AR329" s="4"/>
      <c r="AS329" s="76" t="str">
        <f>"COMMENT ON COLUMN "&amp;エンティティ一覧!$O$2&amp;"."&amp;D$8&amp;"."&amp;D329&amp;" IS '"&amp;C329&amp;"';"</f>
        <v>COMMENT ON COLUMN milscm_2023_009.sny_202310_annony_non_annony2.shikkan311_start_date IS 'C689_疾患開始日';</v>
      </c>
    </row>
    <row r="330" spans="1:45" s="25" customFormat="1">
      <c r="A330" s="4" t="s">
        <v>5455</v>
      </c>
      <c r="B330" s="21">
        <f t="shared" si="33"/>
        <v>318</v>
      </c>
      <c r="C330" s="13" t="str">
        <f t="shared" si="34"/>
        <v>C690_疾患開始日</v>
      </c>
      <c r="D330" s="13" t="s">
        <v>5972</v>
      </c>
      <c r="E330" s="8"/>
      <c r="F330" s="7" t="s">
        <v>4348</v>
      </c>
      <c r="G330" s="7" t="s">
        <v>25</v>
      </c>
      <c r="H330" s="58"/>
      <c r="I330" s="23"/>
      <c r="J330" s="24"/>
      <c r="M330" s="4"/>
      <c r="N330" s="76"/>
      <c r="O330" s="76"/>
      <c r="P330" s="76" t="str">
        <f t="shared" si="28"/>
        <v>,shikkan312_start_date</v>
      </c>
      <c r="Q330" s="76" t="str">
        <f t="shared" si="29"/>
        <v>DATE</v>
      </c>
      <c r="R330" s="76" t="str">
        <f t="shared" si="30"/>
        <v/>
      </c>
      <c r="S330" s="76" t="str">
        <f t="shared" si="31"/>
        <v/>
      </c>
      <c r="T330" s="76" t="str">
        <f t="shared" si="32"/>
        <v>-- C690_疾患開始日</v>
      </c>
      <c r="U330" s="4" t="str">
        <f t="shared" si="35"/>
        <v>, CASE WHEN shikkan_disp_name = 'C690' THEN min_shikkan_start_date ::DATE ELSE NULL END AS shikkan312_start_date</v>
      </c>
      <c r="V330" s="25" t="str">
        <f t="shared" si="36"/>
        <v>, max(shikkan312_start_date)</v>
      </c>
      <c r="AA330" s="4"/>
      <c r="AB330" s="4"/>
      <c r="AC330" s="4"/>
      <c r="AD330" s="4"/>
      <c r="AE330" s="4"/>
      <c r="AF330" s="4"/>
      <c r="AG330" s="4"/>
      <c r="AH330" s="4"/>
      <c r="AI330" s="4"/>
      <c r="AJ330" s="76" t="str">
        <f>IF(E330="○",IF(COUNTA(E$13:E330)=1,"",",")&amp;D330,"")</f>
        <v/>
      </c>
      <c r="AK330" s="4"/>
      <c r="AL330" s="4"/>
      <c r="AM330" s="4"/>
      <c r="AN330" s="4"/>
      <c r="AO330" s="4"/>
      <c r="AP330" s="4"/>
      <c r="AQ330" s="4"/>
      <c r="AR330" s="4"/>
      <c r="AS330" s="76" t="str">
        <f>"COMMENT ON COLUMN "&amp;エンティティ一覧!$O$2&amp;"."&amp;D$8&amp;"."&amp;D330&amp;" IS '"&amp;C330&amp;"';"</f>
        <v>COMMENT ON COLUMN milscm_2023_009.sny_202310_annony_non_annony2.shikkan312_start_date IS 'C690_疾患開始日';</v>
      </c>
    </row>
    <row r="331" spans="1:45" s="25" customFormat="1">
      <c r="A331" s="4" t="s">
        <v>5456</v>
      </c>
      <c r="B331" s="21">
        <f t="shared" si="33"/>
        <v>319</v>
      </c>
      <c r="C331" s="13" t="str">
        <f t="shared" si="34"/>
        <v>C691_疾患開始日</v>
      </c>
      <c r="D331" s="13" t="s">
        <v>5973</v>
      </c>
      <c r="E331" s="8"/>
      <c r="F331" s="7" t="s">
        <v>4348</v>
      </c>
      <c r="G331" s="7" t="s">
        <v>25</v>
      </c>
      <c r="H331" s="58"/>
      <c r="I331" s="23"/>
      <c r="J331" s="24"/>
      <c r="M331" s="4"/>
      <c r="N331" s="76"/>
      <c r="O331" s="76"/>
      <c r="P331" s="76" t="str">
        <f t="shared" si="28"/>
        <v>,shikkan313_start_date</v>
      </c>
      <c r="Q331" s="76" t="str">
        <f t="shared" si="29"/>
        <v>DATE</v>
      </c>
      <c r="R331" s="76" t="str">
        <f t="shared" si="30"/>
        <v/>
      </c>
      <c r="S331" s="76" t="str">
        <f t="shared" si="31"/>
        <v/>
      </c>
      <c r="T331" s="76" t="str">
        <f t="shared" si="32"/>
        <v>-- C691_疾患開始日</v>
      </c>
      <c r="U331" s="4" t="str">
        <f t="shared" si="35"/>
        <v>, CASE WHEN shikkan_disp_name = 'C691' THEN min_shikkan_start_date ::DATE ELSE NULL END AS shikkan313_start_date</v>
      </c>
      <c r="V331" s="25" t="str">
        <f t="shared" si="36"/>
        <v>, max(shikkan313_start_date)</v>
      </c>
      <c r="AA331" s="4"/>
      <c r="AB331" s="4"/>
      <c r="AC331" s="4"/>
      <c r="AD331" s="4"/>
      <c r="AE331" s="4"/>
      <c r="AF331" s="4"/>
      <c r="AG331" s="4"/>
      <c r="AH331" s="4"/>
      <c r="AI331" s="4"/>
      <c r="AJ331" s="76" t="str">
        <f>IF(E331="○",IF(COUNTA(E$13:E331)=1,"",",")&amp;D331,"")</f>
        <v/>
      </c>
      <c r="AK331" s="4"/>
      <c r="AL331" s="4"/>
      <c r="AM331" s="4"/>
      <c r="AN331" s="4"/>
      <c r="AO331" s="4"/>
      <c r="AP331" s="4"/>
      <c r="AQ331" s="4"/>
      <c r="AR331" s="4"/>
      <c r="AS331" s="76" t="str">
        <f>"COMMENT ON COLUMN "&amp;エンティティ一覧!$O$2&amp;"."&amp;D$8&amp;"."&amp;D331&amp;" IS '"&amp;C331&amp;"';"</f>
        <v>COMMENT ON COLUMN milscm_2023_009.sny_202310_annony_non_annony2.shikkan313_start_date IS 'C691_疾患開始日';</v>
      </c>
    </row>
    <row r="332" spans="1:45" s="25" customFormat="1">
      <c r="A332" s="4" t="s">
        <v>5457</v>
      </c>
      <c r="B332" s="21">
        <f t="shared" si="33"/>
        <v>320</v>
      </c>
      <c r="C332" s="13" t="str">
        <f t="shared" si="34"/>
        <v>C692_疾患開始日</v>
      </c>
      <c r="D332" s="13" t="s">
        <v>5974</v>
      </c>
      <c r="E332" s="8"/>
      <c r="F332" s="7" t="s">
        <v>4348</v>
      </c>
      <c r="G332" s="7" t="s">
        <v>25</v>
      </c>
      <c r="H332" s="58"/>
      <c r="I332" s="23"/>
      <c r="J332" s="24"/>
      <c r="M332" s="4"/>
      <c r="N332" s="76"/>
      <c r="O332" s="76"/>
      <c r="P332" s="76" t="str">
        <f t="shared" si="28"/>
        <v>,shikkan314_start_date</v>
      </c>
      <c r="Q332" s="76" t="str">
        <f t="shared" si="29"/>
        <v>DATE</v>
      </c>
      <c r="R332" s="76" t="str">
        <f t="shared" si="30"/>
        <v/>
      </c>
      <c r="S332" s="76" t="str">
        <f t="shared" si="31"/>
        <v/>
      </c>
      <c r="T332" s="76" t="str">
        <f t="shared" si="32"/>
        <v>-- C692_疾患開始日</v>
      </c>
      <c r="U332" s="4" t="str">
        <f t="shared" si="35"/>
        <v>, CASE WHEN shikkan_disp_name = 'C692' THEN min_shikkan_start_date ::DATE ELSE NULL END AS shikkan314_start_date</v>
      </c>
      <c r="V332" s="25" t="str">
        <f t="shared" si="36"/>
        <v>, max(shikkan314_start_date)</v>
      </c>
      <c r="AA332" s="4"/>
      <c r="AB332" s="4"/>
      <c r="AC332" s="4"/>
      <c r="AD332" s="4"/>
      <c r="AE332" s="4"/>
      <c r="AF332" s="4"/>
      <c r="AG332" s="4"/>
      <c r="AH332" s="4"/>
      <c r="AI332" s="4"/>
      <c r="AJ332" s="76" t="str">
        <f>IF(E332="○",IF(COUNTA(E$13:E332)=1,"",",")&amp;D332,"")</f>
        <v/>
      </c>
      <c r="AK332" s="4"/>
      <c r="AL332" s="4"/>
      <c r="AM332" s="4"/>
      <c r="AN332" s="4"/>
      <c r="AO332" s="4"/>
      <c r="AP332" s="4"/>
      <c r="AQ332" s="4"/>
      <c r="AR332" s="4"/>
      <c r="AS332" s="76" t="str">
        <f>"COMMENT ON COLUMN "&amp;エンティティ一覧!$O$2&amp;"."&amp;D$8&amp;"."&amp;D332&amp;" IS '"&amp;C332&amp;"';"</f>
        <v>COMMENT ON COLUMN milscm_2023_009.sny_202310_annony_non_annony2.shikkan314_start_date IS 'C692_疾患開始日';</v>
      </c>
    </row>
    <row r="333" spans="1:45" s="25" customFormat="1">
      <c r="A333" s="4" t="s">
        <v>5458</v>
      </c>
      <c r="B333" s="21">
        <f t="shared" si="33"/>
        <v>321</v>
      </c>
      <c r="C333" s="13" t="str">
        <f t="shared" si="34"/>
        <v>C693_疾患開始日</v>
      </c>
      <c r="D333" s="13" t="s">
        <v>5975</v>
      </c>
      <c r="E333" s="8"/>
      <c r="F333" s="7" t="s">
        <v>4348</v>
      </c>
      <c r="G333" s="7" t="s">
        <v>25</v>
      </c>
      <c r="H333" s="58"/>
      <c r="I333" s="23"/>
      <c r="J333" s="24"/>
      <c r="M333" s="4"/>
      <c r="N333" s="76"/>
      <c r="O333" s="76"/>
      <c r="P333" s="76" t="str">
        <f t="shared" si="28"/>
        <v>,shikkan315_start_date</v>
      </c>
      <c r="Q333" s="76" t="str">
        <f t="shared" si="29"/>
        <v>DATE</v>
      </c>
      <c r="R333" s="76" t="str">
        <f t="shared" si="30"/>
        <v/>
      </c>
      <c r="S333" s="76" t="str">
        <f t="shared" si="31"/>
        <v/>
      </c>
      <c r="T333" s="76" t="str">
        <f t="shared" si="32"/>
        <v>-- C693_疾患開始日</v>
      </c>
      <c r="U333" s="4" t="str">
        <f t="shared" si="35"/>
        <v>, CASE WHEN shikkan_disp_name = 'C693' THEN min_shikkan_start_date ::DATE ELSE NULL END AS shikkan315_start_date</v>
      </c>
      <c r="V333" s="25" t="str">
        <f t="shared" si="36"/>
        <v>, max(shikkan315_start_date)</v>
      </c>
      <c r="AA333" s="4"/>
      <c r="AB333" s="4"/>
      <c r="AC333" s="4"/>
      <c r="AD333" s="4"/>
      <c r="AE333" s="4"/>
      <c r="AF333" s="4"/>
      <c r="AG333" s="4"/>
      <c r="AH333" s="4"/>
      <c r="AI333" s="4"/>
      <c r="AJ333" s="76" t="str">
        <f>IF(E333="○",IF(COUNTA(E$13:E333)=1,"",",")&amp;D333,"")</f>
        <v/>
      </c>
      <c r="AK333" s="4"/>
      <c r="AL333" s="4"/>
      <c r="AM333" s="4"/>
      <c r="AN333" s="4"/>
      <c r="AO333" s="4"/>
      <c r="AP333" s="4"/>
      <c r="AQ333" s="4"/>
      <c r="AR333" s="4"/>
      <c r="AS333" s="76" t="str">
        <f>"COMMENT ON COLUMN "&amp;エンティティ一覧!$O$2&amp;"."&amp;D$8&amp;"."&amp;D333&amp;" IS '"&amp;C333&amp;"';"</f>
        <v>COMMENT ON COLUMN milscm_2023_009.sny_202310_annony_non_annony2.shikkan315_start_date IS 'C693_疾患開始日';</v>
      </c>
    </row>
    <row r="334" spans="1:45" s="25" customFormat="1">
      <c r="A334" s="4" t="s">
        <v>5459</v>
      </c>
      <c r="B334" s="21">
        <f t="shared" si="33"/>
        <v>322</v>
      </c>
      <c r="C334" s="13" t="str">
        <f t="shared" si="34"/>
        <v>C694_疾患開始日</v>
      </c>
      <c r="D334" s="13" t="s">
        <v>5976</v>
      </c>
      <c r="E334" s="8"/>
      <c r="F334" s="7" t="s">
        <v>4348</v>
      </c>
      <c r="G334" s="7" t="s">
        <v>25</v>
      </c>
      <c r="H334" s="58"/>
      <c r="I334" s="23"/>
      <c r="J334" s="24"/>
      <c r="M334" s="4"/>
      <c r="N334" s="76"/>
      <c r="O334" s="76"/>
      <c r="P334" s="76" t="str">
        <f t="shared" si="28"/>
        <v>,shikkan316_start_date</v>
      </c>
      <c r="Q334" s="76" t="str">
        <f t="shared" si="29"/>
        <v>DATE</v>
      </c>
      <c r="R334" s="76" t="str">
        <f t="shared" si="30"/>
        <v/>
      </c>
      <c r="S334" s="76" t="str">
        <f t="shared" si="31"/>
        <v/>
      </c>
      <c r="T334" s="76" t="str">
        <f t="shared" si="32"/>
        <v>-- C694_疾患開始日</v>
      </c>
      <c r="U334" s="4" t="str">
        <f t="shared" si="35"/>
        <v>, CASE WHEN shikkan_disp_name = 'C694' THEN min_shikkan_start_date ::DATE ELSE NULL END AS shikkan316_start_date</v>
      </c>
      <c r="V334" s="25" t="str">
        <f t="shared" si="36"/>
        <v>, max(shikkan316_start_date)</v>
      </c>
      <c r="AA334" s="4"/>
      <c r="AB334" s="4"/>
      <c r="AC334" s="4"/>
      <c r="AD334" s="4"/>
      <c r="AE334" s="4"/>
      <c r="AF334" s="4"/>
      <c r="AG334" s="4"/>
      <c r="AH334" s="4"/>
      <c r="AI334" s="4"/>
      <c r="AJ334" s="76" t="str">
        <f>IF(E334="○",IF(COUNTA(E$13:E334)=1,"",",")&amp;D334,"")</f>
        <v/>
      </c>
      <c r="AK334" s="4"/>
      <c r="AL334" s="4"/>
      <c r="AM334" s="4"/>
      <c r="AN334" s="4"/>
      <c r="AO334" s="4"/>
      <c r="AP334" s="4"/>
      <c r="AQ334" s="4"/>
      <c r="AR334" s="4"/>
      <c r="AS334" s="76" t="str">
        <f>"COMMENT ON COLUMN "&amp;エンティティ一覧!$O$2&amp;"."&amp;D$8&amp;"."&amp;D334&amp;" IS '"&amp;C334&amp;"';"</f>
        <v>COMMENT ON COLUMN milscm_2023_009.sny_202310_annony_non_annony2.shikkan316_start_date IS 'C694_疾患開始日';</v>
      </c>
    </row>
    <row r="335" spans="1:45" s="25" customFormat="1">
      <c r="A335" s="4" t="s">
        <v>5460</v>
      </c>
      <c r="B335" s="21">
        <f t="shared" si="33"/>
        <v>323</v>
      </c>
      <c r="C335" s="13" t="str">
        <f t="shared" si="34"/>
        <v>C695_疾患開始日</v>
      </c>
      <c r="D335" s="13" t="s">
        <v>5977</v>
      </c>
      <c r="E335" s="8"/>
      <c r="F335" s="7" t="s">
        <v>4348</v>
      </c>
      <c r="G335" s="7" t="s">
        <v>25</v>
      </c>
      <c r="H335" s="58"/>
      <c r="I335" s="23"/>
      <c r="J335" s="24"/>
      <c r="M335" s="4"/>
      <c r="N335" s="76"/>
      <c r="O335" s="76"/>
      <c r="P335" s="76" t="str">
        <f t="shared" si="28"/>
        <v>,shikkan317_start_date</v>
      </c>
      <c r="Q335" s="76" t="str">
        <f t="shared" si="29"/>
        <v>DATE</v>
      </c>
      <c r="R335" s="76" t="str">
        <f t="shared" si="30"/>
        <v/>
      </c>
      <c r="S335" s="76" t="str">
        <f t="shared" si="31"/>
        <v/>
      </c>
      <c r="T335" s="76" t="str">
        <f t="shared" si="32"/>
        <v>-- C695_疾患開始日</v>
      </c>
      <c r="U335" s="4" t="str">
        <f t="shared" si="35"/>
        <v>, CASE WHEN shikkan_disp_name = 'C695' THEN min_shikkan_start_date ::DATE ELSE NULL END AS shikkan317_start_date</v>
      </c>
      <c r="V335" s="25" t="str">
        <f t="shared" si="36"/>
        <v>, max(shikkan317_start_date)</v>
      </c>
      <c r="AA335" s="4"/>
      <c r="AB335" s="4"/>
      <c r="AC335" s="4"/>
      <c r="AD335" s="4"/>
      <c r="AE335" s="4"/>
      <c r="AF335" s="4"/>
      <c r="AG335" s="4"/>
      <c r="AH335" s="4"/>
      <c r="AI335" s="4"/>
      <c r="AJ335" s="76" t="str">
        <f>IF(E335="○",IF(COUNTA(E$13:E335)=1,"",",")&amp;D335,"")</f>
        <v/>
      </c>
      <c r="AK335" s="4"/>
      <c r="AL335" s="4"/>
      <c r="AM335" s="4"/>
      <c r="AN335" s="4"/>
      <c r="AO335" s="4"/>
      <c r="AP335" s="4"/>
      <c r="AQ335" s="4"/>
      <c r="AR335" s="4"/>
      <c r="AS335" s="76" t="str">
        <f>"COMMENT ON COLUMN "&amp;エンティティ一覧!$O$2&amp;"."&amp;D$8&amp;"."&amp;D335&amp;" IS '"&amp;C335&amp;"';"</f>
        <v>COMMENT ON COLUMN milscm_2023_009.sny_202310_annony_non_annony2.shikkan317_start_date IS 'C695_疾患開始日';</v>
      </c>
    </row>
    <row r="336" spans="1:45" s="25" customFormat="1">
      <c r="A336" s="4" t="s">
        <v>5461</v>
      </c>
      <c r="B336" s="21">
        <f t="shared" si="33"/>
        <v>324</v>
      </c>
      <c r="C336" s="13" t="str">
        <f t="shared" si="34"/>
        <v>C696_疾患開始日</v>
      </c>
      <c r="D336" s="13" t="s">
        <v>5978</v>
      </c>
      <c r="E336" s="8"/>
      <c r="F336" s="7" t="s">
        <v>4348</v>
      </c>
      <c r="G336" s="7" t="s">
        <v>25</v>
      </c>
      <c r="H336" s="58"/>
      <c r="I336" s="23"/>
      <c r="J336" s="24"/>
      <c r="M336" s="4"/>
      <c r="N336" s="76"/>
      <c r="O336" s="76"/>
      <c r="P336" s="76" t="str">
        <f t="shared" si="28"/>
        <v>,shikkan318_start_date</v>
      </c>
      <c r="Q336" s="76" t="str">
        <f t="shared" si="29"/>
        <v>DATE</v>
      </c>
      <c r="R336" s="76" t="str">
        <f t="shared" si="30"/>
        <v/>
      </c>
      <c r="S336" s="76" t="str">
        <f t="shared" si="31"/>
        <v/>
      </c>
      <c r="T336" s="76" t="str">
        <f t="shared" si="32"/>
        <v>-- C696_疾患開始日</v>
      </c>
      <c r="U336" s="4" t="str">
        <f t="shared" si="35"/>
        <v>, CASE WHEN shikkan_disp_name = 'C696' THEN min_shikkan_start_date ::DATE ELSE NULL END AS shikkan318_start_date</v>
      </c>
      <c r="V336" s="25" t="str">
        <f t="shared" si="36"/>
        <v>, max(shikkan318_start_date)</v>
      </c>
      <c r="AA336" s="4"/>
      <c r="AB336" s="4"/>
      <c r="AC336" s="4"/>
      <c r="AD336" s="4"/>
      <c r="AE336" s="4"/>
      <c r="AF336" s="4"/>
      <c r="AG336" s="4"/>
      <c r="AH336" s="4"/>
      <c r="AI336" s="4"/>
      <c r="AJ336" s="76" t="str">
        <f>IF(E336="○",IF(COUNTA(E$13:E336)=1,"",",")&amp;D336,"")</f>
        <v/>
      </c>
      <c r="AK336" s="4"/>
      <c r="AL336" s="4"/>
      <c r="AM336" s="4"/>
      <c r="AN336" s="4"/>
      <c r="AO336" s="4"/>
      <c r="AP336" s="4"/>
      <c r="AQ336" s="4"/>
      <c r="AR336" s="4"/>
      <c r="AS336" s="76" t="str">
        <f>"COMMENT ON COLUMN "&amp;エンティティ一覧!$O$2&amp;"."&amp;D$8&amp;"."&amp;D336&amp;" IS '"&amp;C336&amp;"';"</f>
        <v>COMMENT ON COLUMN milscm_2023_009.sny_202310_annony_non_annony2.shikkan318_start_date IS 'C696_疾患開始日';</v>
      </c>
    </row>
    <row r="337" spans="1:45" s="25" customFormat="1">
      <c r="A337" s="4" t="s">
        <v>5462</v>
      </c>
      <c r="B337" s="21">
        <f t="shared" si="33"/>
        <v>325</v>
      </c>
      <c r="C337" s="13" t="str">
        <f t="shared" si="34"/>
        <v>C698_疾患開始日</v>
      </c>
      <c r="D337" s="13" t="s">
        <v>5979</v>
      </c>
      <c r="E337" s="8"/>
      <c r="F337" s="7" t="s">
        <v>4348</v>
      </c>
      <c r="G337" s="7" t="s">
        <v>25</v>
      </c>
      <c r="H337" s="58"/>
      <c r="I337" s="23"/>
      <c r="J337" s="24"/>
      <c r="M337" s="4"/>
      <c r="N337" s="76"/>
      <c r="O337" s="76"/>
      <c r="P337" s="76" t="str">
        <f t="shared" si="28"/>
        <v>,shikkan319_start_date</v>
      </c>
      <c r="Q337" s="76" t="str">
        <f t="shared" si="29"/>
        <v>DATE</v>
      </c>
      <c r="R337" s="76" t="str">
        <f t="shared" si="30"/>
        <v/>
      </c>
      <c r="S337" s="76" t="str">
        <f t="shared" si="31"/>
        <v/>
      </c>
      <c r="T337" s="76" t="str">
        <f t="shared" si="32"/>
        <v>-- C698_疾患開始日</v>
      </c>
      <c r="U337" s="4" t="str">
        <f t="shared" si="35"/>
        <v>, CASE WHEN shikkan_disp_name = 'C698' THEN min_shikkan_start_date ::DATE ELSE NULL END AS shikkan319_start_date</v>
      </c>
      <c r="V337" s="25" t="str">
        <f t="shared" si="36"/>
        <v>, max(shikkan319_start_date)</v>
      </c>
      <c r="AA337" s="4"/>
      <c r="AB337" s="4"/>
      <c r="AC337" s="4"/>
      <c r="AD337" s="4"/>
      <c r="AE337" s="4"/>
      <c r="AF337" s="4"/>
      <c r="AG337" s="4"/>
      <c r="AH337" s="4"/>
      <c r="AI337" s="4"/>
      <c r="AJ337" s="76" t="str">
        <f>IF(E337="○",IF(COUNTA(E$13:E337)=1,"",",")&amp;D337,"")</f>
        <v/>
      </c>
      <c r="AK337" s="4"/>
      <c r="AL337" s="4"/>
      <c r="AM337" s="4"/>
      <c r="AN337" s="4"/>
      <c r="AO337" s="4"/>
      <c r="AP337" s="4"/>
      <c r="AQ337" s="4"/>
      <c r="AR337" s="4"/>
      <c r="AS337" s="76" t="str">
        <f>"COMMENT ON COLUMN "&amp;エンティティ一覧!$O$2&amp;"."&amp;D$8&amp;"."&amp;D337&amp;" IS '"&amp;C337&amp;"';"</f>
        <v>COMMENT ON COLUMN milscm_2023_009.sny_202310_annony_non_annony2.shikkan319_start_date IS 'C698_疾患開始日';</v>
      </c>
    </row>
    <row r="338" spans="1:45" s="25" customFormat="1">
      <c r="A338" s="4" t="s">
        <v>5463</v>
      </c>
      <c r="B338" s="21">
        <f t="shared" si="33"/>
        <v>326</v>
      </c>
      <c r="C338" s="13" t="str">
        <f t="shared" si="34"/>
        <v>C699_疾患開始日</v>
      </c>
      <c r="D338" s="13" t="s">
        <v>5980</v>
      </c>
      <c r="E338" s="8"/>
      <c r="F338" s="7" t="s">
        <v>4348</v>
      </c>
      <c r="G338" s="7" t="s">
        <v>99</v>
      </c>
      <c r="H338" s="58"/>
      <c r="I338" s="23"/>
      <c r="J338" s="24"/>
      <c r="M338" s="4"/>
      <c r="N338" s="76"/>
      <c r="O338" s="76"/>
      <c r="P338" s="76" t="str">
        <f t="shared" ref="P338:P401" si="37">IF(B338&lt;&gt;1,","&amp;D338,D338)</f>
        <v>,shikkan320_start_date</v>
      </c>
      <c r="Q338" s="76" t="str">
        <f t="shared" ref="Q338:Q401" si="38">UPPER(G338)</f>
        <v>DATE</v>
      </c>
      <c r="R338" s="76" t="str">
        <f t="shared" ref="R338:R401" si="39">IF(H338&lt;&gt;"","default "&amp;IF(G338="text","'"&amp;H338&amp;"'",H338),"")</f>
        <v/>
      </c>
      <c r="S338" s="76" t="str">
        <f t="shared" ref="S338:S401" si="40">IF(I338="○","NOT NULL","")</f>
        <v/>
      </c>
      <c r="T338" s="76" t="str">
        <f t="shared" ref="T338:T401" si="41">"-- "&amp;C338</f>
        <v>-- C699_疾患開始日</v>
      </c>
      <c r="U338" s="4" t="str">
        <f t="shared" si="35"/>
        <v>, CASE WHEN shikkan_disp_name = 'C699' THEN min_shikkan_start_date ::DATE ELSE NULL END AS shikkan320_start_date</v>
      </c>
      <c r="V338" s="25" t="str">
        <f t="shared" si="36"/>
        <v>, max(shikkan320_start_date)</v>
      </c>
      <c r="AA338" s="4"/>
      <c r="AB338" s="4"/>
      <c r="AC338" s="4"/>
      <c r="AD338" s="4"/>
      <c r="AE338" s="4"/>
      <c r="AF338" s="4"/>
      <c r="AG338" s="4"/>
      <c r="AH338" s="4"/>
      <c r="AI338" s="4"/>
      <c r="AJ338" s="76" t="str">
        <f>IF(E338="○",IF(COUNTA(E$13:E338)=1,"",",")&amp;D338,"")</f>
        <v/>
      </c>
      <c r="AK338" s="4"/>
      <c r="AL338" s="4"/>
      <c r="AM338" s="4"/>
      <c r="AN338" s="4"/>
      <c r="AO338" s="4"/>
      <c r="AP338" s="4"/>
      <c r="AQ338" s="4"/>
      <c r="AR338" s="4"/>
      <c r="AS338" s="76" t="str">
        <f>"COMMENT ON COLUMN "&amp;エンティティ一覧!$O$2&amp;"."&amp;D$8&amp;"."&amp;D338&amp;" IS '"&amp;C338&amp;"';"</f>
        <v>COMMENT ON COLUMN milscm_2023_009.sny_202310_annony_non_annony2.shikkan320_start_date IS 'C699_疾患開始日';</v>
      </c>
    </row>
    <row r="339" spans="1:45" s="25" customFormat="1">
      <c r="A339" s="4" t="s">
        <v>5464</v>
      </c>
      <c r="B339" s="21">
        <f t="shared" si="33"/>
        <v>327</v>
      </c>
      <c r="C339" s="13" t="str">
        <f t="shared" si="34"/>
        <v>C700_疾患開始日</v>
      </c>
      <c r="D339" s="13" t="s">
        <v>5981</v>
      </c>
      <c r="E339" s="8"/>
      <c r="F339" s="7" t="s">
        <v>4348</v>
      </c>
      <c r="G339" s="7" t="s">
        <v>25</v>
      </c>
      <c r="H339" s="58"/>
      <c r="I339" s="23"/>
      <c r="J339" s="24"/>
      <c r="M339" s="4"/>
      <c r="N339" s="76"/>
      <c r="O339" s="76"/>
      <c r="P339" s="76" t="str">
        <f t="shared" si="37"/>
        <v>,shikkan321_start_date</v>
      </c>
      <c r="Q339" s="76" t="str">
        <f t="shared" si="38"/>
        <v>DATE</v>
      </c>
      <c r="R339" s="76" t="str">
        <f t="shared" si="39"/>
        <v/>
      </c>
      <c r="S339" s="76" t="str">
        <f t="shared" si="40"/>
        <v/>
      </c>
      <c r="T339" s="76" t="str">
        <f t="shared" si="41"/>
        <v>-- C700_疾患開始日</v>
      </c>
      <c r="U339" s="4" t="str">
        <f t="shared" si="35"/>
        <v>, CASE WHEN shikkan_disp_name = 'C700' THEN min_shikkan_start_date ::DATE ELSE NULL END AS shikkan321_start_date</v>
      </c>
      <c r="V339" s="25" t="str">
        <f t="shared" si="36"/>
        <v>, max(shikkan321_start_date)</v>
      </c>
      <c r="AA339" s="4"/>
      <c r="AB339" s="4"/>
      <c r="AC339" s="4"/>
      <c r="AD339" s="4"/>
      <c r="AE339" s="4"/>
      <c r="AF339" s="4"/>
      <c r="AG339" s="4"/>
      <c r="AH339" s="4"/>
      <c r="AI339" s="4"/>
      <c r="AJ339" s="76" t="str">
        <f>IF(E339="○",IF(COUNTA(E$13:E339)=1,"",",")&amp;D339,"")</f>
        <v/>
      </c>
      <c r="AK339" s="4"/>
      <c r="AL339" s="4"/>
      <c r="AM339" s="4"/>
      <c r="AN339" s="4"/>
      <c r="AO339" s="4"/>
      <c r="AP339" s="4"/>
      <c r="AQ339" s="4"/>
      <c r="AR339" s="4"/>
      <c r="AS339" s="76" t="str">
        <f>"COMMENT ON COLUMN "&amp;エンティティ一覧!$O$2&amp;"."&amp;D$8&amp;"."&amp;D339&amp;" IS '"&amp;C339&amp;"';"</f>
        <v>COMMENT ON COLUMN milscm_2023_009.sny_202310_annony_non_annony2.shikkan321_start_date IS 'C700_疾患開始日';</v>
      </c>
    </row>
    <row r="340" spans="1:45" s="25" customFormat="1">
      <c r="A340" s="4" t="s">
        <v>5465</v>
      </c>
      <c r="B340" s="21">
        <f t="shared" ref="B340:B404" si="42">ROW()-12</f>
        <v>328</v>
      </c>
      <c r="C340" s="13" t="str">
        <f t="shared" ref="C340:C403" si="43">A340&amp;"_疾患開始日"</f>
        <v>C701_疾患開始日</v>
      </c>
      <c r="D340" s="13" t="s">
        <v>5982</v>
      </c>
      <c r="E340" s="8"/>
      <c r="F340" s="7" t="s">
        <v>4348</v>
      </c>
      <c r="G340" s="7" t="s">
        <v>25</v>
      </c>
      <c r="H340" s="58"/>
      <c r="I340" s="23"/>
      <c r="J340" s="24"/>
      <c r="M340" s="4"/>
      <c r="N340" s="76"/>
      <c r="O340" s="76"/>
      <c r="P340" s="76" t="str">
        <f t="shared" si="37"/>
        <v>,shikkan322_start_date</v>
      </c>
      <c r="Q340" s="76" t="str">
        <f t="shared" si="38"/>
        <v>DATE</v>
      </c>
      <c r="R340" s="76" t="str">
        <f t="shared" si="39"/>
        <v/>
      </c>
      <c r="S340" s="76" t="str">
        <f t="shared" si="40"/>
        <v/>
      </c>
      <c r="T340" s="76" t="str">
        <f t="shared" si="41"/>
        <v>-- C701_疾患開始日</v>
      </c>
      <c r="U340" s="4" t="str">
        <f t="shared" si="35"/>
        <v>, CASE WHEN shikkan_disp_name = 'C701' THEN min_shikkan_start_date ::DATE ELSE NULL END AS shikkan322_start_date</v>
      </c>
      <c r="V340" s="25" t="str">
        <f t="shared" si="36"/>
        <v>, max(shikkan322_start_date)</v>
      </c>
      <c r="AA340" s="4"/>
      <c r="AB340" s="4"/>
      <c r="AC340" s="4"/>
      <c r="AD340" s="4"/>
      <c r="AE340" s="4"/>
      <c r="AF340" s="4"/>
      <c r="AG340" s="4"/>
      <c r="AH340" s="4"/>
      <c r="AI340" s="4"/>
      <c r="AJ340" s="76" t="str">
        <f>IF(E340="○",IF(COUNTA(E$13:E340)=1,"",",")&amp;D340,"")</f>
        <v/>
      </c>
      <c r="AK340" s="4"/>
      <c r="AL340" s="4"/>
      <c r="AM340" s="4"/>
      <c r="AN340" s="4"/>
      <c r="AO340" s="4"/>
      <c r="AP340" s="4"/>
      <c r="AQ340" s="4"/>
      <c r="AR340" s="4"/>
      <c r="AS340" s="76" t="str">
        <f>"COMMENT ON COLUMN "&amp;エンティティ一覧!$O$2&amp;"."&amp;D$8&amp;"."&amp;D340&amp;" IS '"&amp;C340&amp;"';"</f>
        <v>COMMENT ON COLUMN milscm_2023_009.sny_202310_annony_non_annony2.shikkan322_start_date IS 'C701_疾患開始日';</v>
      </c>
    </row>
    <row r="341" spans="1:45" s="25" customFormat="1">
      <c r="A341" s="4" t="s">
        <v>5466</v>
      </c>
      <c r="B341" s="21">
        <f t="shared" si="42"/>
        <v>329</v>
      </c>
      <c r="C341" s="13" t="str">
        <f t="shared" si="43"/>
        <v>C709_疾患開始日</v>
      </c>
      <c r="D341" s="13" t="s">
        <v>5983</v>
      </c>
      <c r="E341" s="8"/>
      <c r="F341" s="7" t="s">
        <v>4348</v>
      </c>
      <c r="G341" s="7" t="s">
        <v>25</v>
      </c>
      <c r="H341" s="58"/>
      <c r="I341" s="23"/>
      <c r="J341" s="24"/>
      <c r="M341" s="4"/>
      <c r="N341" s="76"/>
      <c r="O341" s="76"/>
      <c r="P341" s="76" t="str">
        <f t="shared" si="37"/>
        <v>,shikkan323_start_date</v>
      </c>
      <c r="Q341" s="76" t="str">
        <f t="shared" si="38"/>
        <v>DATE</v>
      </c>
      <c r="R341" s="76" t="str">
        <f t="shared" si="39"/>
        <v/>
      </c>
      <c r="S341" s="76" t="str">
        <f t="shared" si="40"/>
        <v/>
      </c>
      <c r="T341" s="76" t="str">
        <f t="shared" si="41"/>
        <v>-- C709_疾患開始日</v>
      </c>
      <c r="U341" s="4" t="str">
        <f t="shared" si="35"/>
        <v>, CASE WHEN shikkan_disp_name = 'C709' THEN min_shikkan_start_date ::DATE ELSE NULL END AS shikkan323_start_date</v>
      </c>
      <c r="V341" s="25" t="str">
        <f t="shared" si="36"/>
        <v>, max(shikkan323_start_date)</v>
      </c>
      <c r="AA341" s="4"/>
      <c r="AB341" s="4"/>
      <c r="AC341" s="4"/>
      <c r="AD341" s="4"/>
      <c r="AE341" s="4"/>
      <c r="AF341" s="4"/>
      <c r="AG341" s="4"/>
      <c r="AH341" s="4"/>
      <c r="AI341" s="4"/>
      <c r="AJ341" s="76" t="str">
        <f>IF(E341="○",IF(COUNTA(E$13:E341)=1,"",",")&amp;D341,"")</f>
        <v/>
      </c>
      <c r="AK341" s="4"/>
      <c r="AL341" s="4"/>
      <c r="AM341" s="4"/>
      <c r="AN341" s="4"/>
      <c r="AO341" s="4"/>
      <c r="AP341" s="4"/>
      <c r="AQ341" s="4"/>
      <c r="AR341" s="4"/>
      <c r="AS341" s="76" t="str">
        <f>"COMMENT ON COLUMN "&amp;エンティティ一覧!$O$2&amp;"."&amp;D$8&amp;"."&amp;D341&amp;" IS '"&amp;C341&amp;"';"</f>
        <v>COMMENT ON COLUMN milscm_2023_009.sny_202310_annony_non_annony2.shikkan323_start_date IS 'C709_疾患開始日';</v>
      </c>
    </row>
    <row r="342" spans="1:45" s="25" customFormat="1">
      <c r="A342" s="4" t="s">
        <v>5467</v>
      </c>
      <c r="B342" s="21">
        <f t="shared" si="42"/>
        <v>330</v>
      </c>
      <c r="C342" s="13" t="str">
        <f t="shared" si="43"/>
        <v>C710_疾患開始日</v>
      </c>
      <c r="D342" s="13" t="s">
        <v>5984</v>
      </c>
      <c r="E342" s="8"/>
      <c r="F342" s="7" t="s">
        <v>4348</v>
      </c>
      <c r="G342" s="7" t="s">
        <v>25</v>
      </c>
      <c r="H342" s="58"/>
      <c r="I342" s="23"/>
      <c r="J342" s="24"/>
      <c r="M342" s="4"/>
      <c r="N342" s="76"/>
      <c r="O342" s="76"/>
      <c r="P342" s="76" t="str">
        <f t="shared" si="37"/>
        <v>,shikkan324_start_date</v>
      </c>
      <c r="Q342" s="76" t="str">
        <f t="shared" si="38"/>
        <v>DATE</v>
      </c>
      <c r="R342" s="76" t="str">
        <f t="shared" si="39"/>
        <v/>
      </c>
      <c r="S342" s="76" t="str">
        <f t="shared" si="40"/>
        <v/>
      </c>
      <c r="T342" s="76" t="str">
        <f t="shared" si="41"/>
        <v>-- C710_疾患開始日</v>
      </c>
      <c r="U342" s="4" t="str">
        <f t="shared" si="35"/>
        <v>, CASE WHEN shikkan_disp_name = 'C710' THEN min_shikkan_start_date ::DATE ELSE NULL END AS shikkan324_start_date</v>
      </c>
      <c r="V342" s="25" t="str">
        <f t="shared" si="36"/>
        <v>, max(shikkan324_start_date)</v>
      </c>
      <c r="AA342" s="4"/>
      <c r="AB342" s="4"/>
      <c r="AC342" s="4"/>
      <c r="AD342" s="4"/>
      <c r="AE342" s="4"/>
      <c r="AF342" s="4"/>
      <c r="AG342" s="4"/>
      <c r="AH342" s="4"/>
      <c r="AI342" s="4"/>
      <c r="AJ342" s="76" t="str">
        <f>IF(E342="○",IF(COUNTA(E$13:E342)=1,"",",")&amp;D342,"")</f>
        <v/>
      </c>
      <c r="AK342" s="4"/>
      <c r="AL342" s="4"/>
      <c r="AM342" s="4"/>
      <c r="AN342" s="4"/>
      <c r="AO342" s="4"/>
      <c r="AP342" s="4"/>
      <c r="AQ342" s="4"/>
      <c r="AR342" s="4"/>
      <c r="AS342" s="76" t="str">
        <f>"COMMENT ON COLUMN "&amp;エンティティ一覧!$O$2&amp;"."&amp;D$8&amp;"."&amp;D342&amp;" IS '"&amp;C342&amp;"';"</f>
        <v>COMMENT ON COLUMN milscm_2023_009.sny_202310_annony_non_annony2.shikkan324_start_date IS 'C710_疾患開始日';</v>
      </c>
    </row>
    <row r="343" spans="1:45" s="25" customFormat="1">
      <c r="A343" s="4" t="s">
        <v>5468</v>
      </c>
      <c r="B343" s="21">
        <f t="shared" si="42"/>
        <v>331</v>
      </c>
      <c r="C343" s="13" t="str">
        <f t="shared" si="43"/>
        <v>C711_疾患開始日</v>
      </c>
      <c r="D343" s="13" t="s">
        <v>5985</v>
      </c>
      <c r="E343" s="8"/>
      <c r="F343" s="7" t="s">
        <v>4348</v>
      </c>
      <c r="G343" s="7" t="s">
        <v>25</v>
      </c>
      <c r="H343" s="58"/>
      <c r="I343" s="23"/>
      <c r="J343" s="24"/>
      <c r="M343" s="4"/>
      <c r="N343" s="76"/>
      <c r="O343" s="76"/>
      <c r="P343" s="76" t="str">
        <f t="shared" si="37"/>
        <v>,shikkan325_start_date</v>
      </c>
      <c r="Q343" s="76" t="str">
        <f t="shared" si="38"/>
        <v>DATE</v>
      </c>
      <c r="R343" s="76" t="str">
        <f t="shared" si="39"/>
        <v/>
      </c>
      <c r="S343" s="76" t="str">
        <f t="shared" si="40"/>
        <v/>
      </c>
      <c r="T343" s="76" t="str">
        <f t="shared" si="41"/>
        <v>-- C711_疾患開始日</v>
      </c>
      <c r="U343" s="4" t="str">
        <f t="shared" si="35"/>
        <v>, CASE WHEN shikkan_disp_name = 'C711' THEN min_shikkan_start_date ::DATE ELSE NULL END AS shikkan325_start_date</v>
      </c>
      <c r="V343" s="25" t="str">
        <f t="shared" si="36"/>
        <v>, max(shikkan325_start_date)</v>
      </c>
      <c r="AA343" s="4"/>
      <c r="AB343" s="4"/>
      <c r="AC343" s="4"/>
      <c r="AD343" s="4"/>
      <c r="AE343" s="4"/>
      <c r="AF343" s="4"/>
      <c r="AG343" s="4"/>
      <c r="AH343" s="4"/>
      <c r="AI343" s="4"/>
      <c r="AJ343" s="76" t="str">
        <f>IF(E343="○",IF(COUNTA(E$13:E343)=1,"",",")&amp;D343,"")</f>
        <v/>
      </c>
      <c r="AK343" s="4"/>
      <c r="AL343" s="4"/>
      <c r="AM343" s="4"/>
      <c r="AN343" s="4"/>
      <c r="AO343" s="4"/>
      <c r="AP343" s="4"/>
      <c r="AQ343" s="4"/>
      <c r="AR343" s="4"/>
      <c r="AS343" s="76" t="str">
        <f>"COMMENT ON COLUMN "&amp;エンティティ一覧!$O$2&amp;"."&amp;D$8&amp;"."&amp;D343&amp;" IS '"&amp;C343&amp;"';"</f>
        <v>COMMENT ON COLUMN milscm_2023_009.sny_202310_annony_non_annony2.shikkan325_start_date IS 'C711_疾患開始日';</v>
      </c>
    </row>
    <row r="344" spans="1:45" s="25" customFormat="1">
      <c r="A344" s="4" t="s">
        <v>5469</v>
      </c>
      <c r="B344" s="21">
        <f t="shared" si="42"/>
        <v>332</v>
      </c>
      <c r="C344" s="13" t="str">
        <f t="shared" si="43"/>
        <v>C712_疾患開始日</v>
      </c>
      <c r="D344" s="13" t="s">
        <v>5986</v>
      </c>
      <c r="E344" s="8"/>
      <c r="F344" s="7" t="s">
        <v>4348</v>
      </c>
      <c r="G344" s="7" t="s">
        <v>25</v>
      </c>
      <c r="H344" s="58"/>
      <c r="I344" s="23"/>
      <c r="J344" s="24"/>
      <c r="M344" s="4"/>
      <c r="N344" s="76"/>
      <c r="O344" s="76"/>
      <c r="P344" s="76" t="str">
        <f t="shared" si="37"/>
        <v>,shikkan326_start_date</v>
      </c>
      <c r="Q344" s="76" t="str">
        <f t="shared" si="38"/>
        <v>DATE</v>
      </c>
      <c r="R344" s="76" t="str">
        <f t="shared" si="39"/>
        <v/>
      </c>
      <c r="S344" s="76" t="str">
        <f t="shared" si="40"/>
        <v/>
      </c>
      <c r="T344" s="76" t="str">
        <f t="shared" si="41"/>
        <v>-- C712_疾患開始日</v>
      </c>
      <c r="U344" s="4" t="str">
        <f t="shared" si="35"/>
        <v>, CASE WHEN shikkan_disp_name = 'C712' THEN min_shikkan_start_date ::DATE ELSE NULL END AS shikkan326_start_date</v>
      </c>
      <c r="V344" s="25" t="str">
        <f t="shared" si="36"/>
        <v>, max(shikkan326_start_date)</v>
      </c>
      <c r="AA344" s="4"/>
      <c r="AB344" s="4"/>
      <c r="AC344" s="4"/>
      <c r="AD344" s="4"/>
      <c r="AE344" s="4"/>
      <c r="AF344" s="4"/>
      <c r="AG344" s="4"/>
      <c r="AH344" s="4"/>
      <c r="AI344" s="4"/>
      <c r="AJ344" s="76" t="str">
        <f>IF(E344="○",IF(COUNTA(E$13:E344)=1,"",",")&amp;D344,"")</f>
        <v/>
      </c>
      <c r="AK344" s="4"/>
      <c r="AL344" s="4"/>
      <c r="AM344" s="4"/>
      <c r="AN344" s="4"/>
      <c r="AO344" s="4"/>
      <c r="AP344" s="4"/>
      <c r="AQ344" s="4"/>
      <c r="AR344" s="4"/>
      <c r="AS344" s="76" t="str">
        <f>"COMMENT ON COLUMN "&amp;エンティティ一覧!$O$2&amp;"."&amp;D$8&amp;"."&amp;D344&amp;" IS '"&amp;C344&amp;"';"</f>
        <v>COMMENT ON COLUMN milscm_2023_009.sny_202310_annony_non_annony2.shikkan326_start_date IS 'C712_疾患開始日';</v>
      </c>
    </row>
    <row r="345" spans="1:45" s="25" customFormat="1">
      <c r="A345" s="4" t="s">
        <v>5470</v>
      </c>
      <c r="B345" s="21">
        <f t="shared" si="42"/>
        <v>333</v>
      </c>
      <c r="C345" s="13" t="str">
        <f t="shared" si="43"/>
        <v>C713_疾患開始日</v>
      </c>
      <c r="D345" s="13" t="s">
        <v>5987</v>
      </c>
      <c r="E345" s="8"/>
      <c r="F345" s="7" t="s">
        <v>4348</v>
      </c>
      <c r="G345" s="7" t="s">
        <v>25</v>
      </c>
      <c r="H345" s="58"/>
      <c r="I345" s="23"/>
      <c r="J345" s="24"/>
      <c r="M345" s="4"/>
      <c r="N345" s="76"/>
      <c r="O345" s="76"/>
      <c r="P345" s="76" t="str">
        <f t="shared" si="37"/>
        <v>,shikkan327_start_date</v>
      </c>
      <c r="Q345" s="76" t="str">
        <f t="shared" si="38"/>
        <v>DATE</v>
      </c>
      <c r="R345" s="76" t="str">
        <f t="shared" si="39"/>
        <v/>
      </c>
      <c r="S345" s="76" t="str">
        <f t="shared" si="40"/>
        <v/>
      </c>
      <c r="T345" s="76" t="str">
        <f t="shared" si="41"/>
        <v>-- C713_疾患開始日</v>
      </c>
      <c r="U345" s="4" t="str">
        <f t="shared" si="35"/>
        <v>, CASE WHEN shikkan_disp_name = 'C713' THEN min_shikkan_start_date ::DATE ELSE NULL END AS shikkan327_start_date</v>
      </c>
      <c r="V345" s="25" t="str">
        <f t="shared" si="36"/>
        <v>, max(shikkan327_start_date)</v>
      </c>
      <c r="AA345" s="4"/>
      <c r="AB345" s="4"/>
      <c r="AC345" s="4"/>
      <c r="AD345" s="4"/>
      <c r="AE345" s="4"/>
      <c r="AF345" s="4"/>
      <c r="AG345" s="4"/>
      <c r="AH345" s="4"/>
      <c r="AI345" s="4"/>
      <c r="AJ345" s="76" t="str">
        <f>IF(E345="○",IF(COUNTA(E$13:E345)=1,"",",")&amp;D345,"")</f>
        <v/>
      </c>
      <c r="AK345" s="4"/>
      <c r="AL345" s="4"/>
      <c r="AM345" s="4"/>
      <c r="AN345" s="4"/>
      <c r="AO345" s="4"/>
      <c r="AP345" s="4"/>
      <c r="AQ345" s="4"/>
      <c r="AR345" s="4"/>
      <c r="AS345" s="76" t="str">
        <f>"COMMENT ON COLUMN "&amp;エンティティ一覧!$O$2&amp;"."&amp;D$8&amp;"."&amp;D345&amp;" IS '"&amp;C345&amp;"';"</f>
        <v>COMMENT ON COLUMN milscm_2023_009.sny_202310_annony_non_annony2.shikkan327_start_date IS 'C713_疾患開始日';</v>
      </c>
    </row>
    <row r="346" spans="1:45" s="25" customFormat="1">
      <c r="A346" s="4" t="s">
        <v>5471</v>
      </c>
      <c r="B346" s="21">
        <f t="shared" si="42"/>
        <v>334</v>
      </c>
      <c r="C346" s="13" t="str">
        <f t="shared" si="43"/>
        <v>C714_疾患開始日</v>
      </c>
      <c r="D346" s="13" t="s">
        <v>5988</v>
      </c>
      <c r="E346" s="8"/>
      <c r="F346" s="7" t="s">
        <v>4348</v>
      </c>
      <c r="G346" s="7" t="s">
        <v>25</v>
      </c>
      <c r="H346" s="58"/>
      <c r="I346" s="23"/>
      <c r="J346" s="24"/>
      <c r="M346" s="4"/>
      <c r="N346" s="76"/>
      <c r="O346" s="76"/>
      <c r="P346" s="76" t="str">
        <f t="shared" si="37"/>
        <v>,shikkan328_start_date</v>
      </c>
      <c r="Q346" s="76" t="str">
        <f t="shared" si="38"/>
        <v>DATE</v>
      </c>
      <c r="R346" s="76" t="str">
        <f t="shared" si="39"/>
        <v/>
      </c>
      <c r="S346" s="76" t="str">
        <f t="shared" si="40"/>
        <v/>
      </c>
      <c r="T346" s="76" t="str">
        <f t="shared" si="41"/>
        <v>-- C714_疾患開始日</v>
      </c>
      <c r="U346" s="4" t="str">
        <f t="shared" si="35"/>
        <v>, CASE WHEN shikkan_disp_name = 'C714' THEN min_shikkan_start_date ::DATE ELSE NULL END AS shikkan328_start_date</v>
      </c>
      <c r="V346" s="25" t="str">
        <f t="shared" si="36"/>
        <v>, max(shikkan328_start_date)</v>
      </c>
      <c r="AA346" s="4"/>
      <c r="AB346" s="4"/>
      <c r="AC346" s="4"/>
      <c r="AD346" s="4"/>
      <c r="AE346" s="4"/>
      <c r="AF346" s="4"/>
      <c r="AG346" s="4"/>
      <c r="AH346" s="4"/>
      <c r="AI346" s="4"/>
      <c r="AJ346" s="76" t="str">
        <f>IF(E346="○",IF(COUNTA(E$13:E346)=1,"",",")&amp;D346,"")</f>
        <v/>
      </c>
      <c r="AK346" s="4"/>
      <c r="AL346" s="4"/>
      <c r="AM346" s="4"/>
      <c r="AN346" s="4"/>
      <c r="AO346" s="4"/>
      <c r="AP346" s="4"/>
      <c r="AQ346" s="4"/>
      <c r="AR346" s="4"/>
      <c r="AS346" s="76" t="str">
        <f>"COMMENT ON COLUMN "&amp;エンティティ一覧!$O$2&amp;"."&amp;D$8&amp;"."&amp;D346&amp;" IS '"&amp;C346&amp;"';"</f>
        <v>COMMENT ON COLUMN milscm_2023_009.sny_202310_annony_non_annony2.shikkan328_start_date IS 'C714_疾患開始日';</v>
      </c>
    </row>
    <row r="347" spans="1:45" s="25" customFormat="1">
      <c r="A347" s="4" t="s">
        <v>5472</v>
      </c>
      <c r="B347" s="21">
        <f t="shared" si="42"/>
        <v>335</v>
      </c>
      <c r="C347" s="13" t="str">
        <f t="shared" si="43"/>
        <v>C715_疾患開始日</v>
      </c>
      <c r="D347" s="13" t="s">
        <v>5989</v>
      </c>
      <c r="E347" s="8"/>
      <c r="F347" s="7" t="s">
        <v>4348</v>
      </c>
      <c r="G347" s="7" t="s">
        <v>25</v>
      </c>
      <c r="H347" s="58"/>
      <c r="I347" s="23"/>
      <c r="J347" s="24"/>
      <c r="M347" s="4"/>
      <c r="N347" s="76"/>
      <c r="O347" s="76"/>
      <c r="P347" s="76" t="str">
        <f t="shared" si="37"/>
        <v>,shikkan329_start_date</v>
      </c>
      <c r="Q347" s="76" t="str">
        <f t="shared" si="38"/>
        <v>DATE</v>
      </c>
      <c r="R347" s="76" t="str">
        <f t="shared" si="39"/>
        <v/>
      </c>
      <c r="S347" s="76" t="str">
        <f t="shared" si="40"/>
        <v/>
      </c>
      <c r="T347" s="76" t="str">
        <f t="shared" si="41"/>
        <v>-- C715_疾患開始日</v>
      </c>
      <c r="U347" s="4" t="str">
        <f t="shared" si="35"/>
        <v>, CASE WHEN shikkan_disp_name = 'C715' THEN min_shikkan_start_date ::DATE ELSE NULL END AS shikkan329_start_date</v>
      </c>
      <c r="V347" s="25" t="str">
        <f t="shared" si="36"/>
        <v>, max(shikkan329_start_date)</v>
      </c>
      <c r="AA347" s="4"/>
      <c r="AB347" s="4"/>
      <c r="AC347" s="4"/>
      <c r="AD347" s="4"/>
      <c r="AE347" s="4"/>
      <c r="AF347" s="4"/>
      <c r="AG347" s="4"/>
      <c r="AH347" s="4"/>
      <c r="AI347" s="4"/>
      <c r="AJ347" s="76" t="str">
        <f>IF(E347="○",IF(COUNTA(E$13:E347)=1,"",",")&amp;D347,"")</f>
        <v/>
      </c>
      <c r="AK347" s="4"/>
      <c r="AL347" s="4"/>
      <c r="AM347" s="4"/>
      <c r="AN347" s="4"/>
      <c r="AO347" s="4"/>
      <c r="AP347" s="4"/>
      <c r="AQ347" s="4"/>
      <c r="AR347" s="4"/>
      <c r="AS347" s="76" t="str">
        <f>"COMMENT ON COLUMN "&amp;エンティティ一覧!$O$2&amp;"."&amp;D$8&amp;"."&amp;D347&amp;" IS '"&amp;C347&amp;"';"</f>
        <v>COMMENT ON COLUMN milscm_2023_009.sny_202310_annony_non_annony2.shikkan329_start_date IS 'C715_疾患開始日';</v>
      </c>
    </row>
    <row r="348" spans="1:45" s="25" customFormat="1">
      <c r="A348" s="4" t="s">
        <v>5473</v>
      </c>
      <c r="B348" s="21">
        <f t="shared" si="42"/>
        <v>336</v>
      </c>
      <c r="C348" s="13" t="str">
        <f t="shared" si="43"/>
        <v>C716_疾患開始日</v>
      </c>
      <c r="D348" s="13" t="s">
        <v>5990</v>
      </c>
      <c r="E348" s="8"/>
      <c r="F348" s="7" t="s">
        <v>4348</v>
      </c>
      <c r="G348" s="7" t="s">
        <v>25</v>
      </c>
      <c r="H348" s="58"/>
      <c r="I348" s="23"/>
      <c r="J348" s="24"/>
      <c r="M348" s="4"/>
      <c r="N348" s="76"/>
      <c r="O348" s="76"/>
      <c r="P348" s="76" t="str">
        <f t="shared" si="37"/>
        <v>,shikkan330_start_date</v>
      </c>
      <c r="Q348" s="76" t="str">
        <f t="shared" si="38"/>
        <v>DATE</v>
      </c>
      <c r="R348" s="76" t="str">
        <f t="shared" si="39"/>
        <v/>
      </c>
      <c r="S348" s="76" t="str">
        <f t="shared" si="40"/>
        <v/>
      </c>
      <c r="T348" s="76" t="str">
        <f t="shared" si="41"/>
        <v>-- C716_疾患開始日</v>
      </c>
      <c r="U348" s="4" t="str">
        <f t="shared" si="35"/>
        <v>, CASE WHEN shikkan_disp_name = 'C716' THEN min_shikkan_start_date ::DATE ELSE NULL END AS shikkan330_start_date</v>
      </c>
      <c r="V348" s="25" t="str">
        <f t="shared" si="36"/>
        <v>, max(shikkan330_start_date)</v>
      </c>
      <c r="AA348" s="4"/>
      <c r="AB348" s="4"/>
      <c r="AC348" s="4"/>
      <c r="AD348" s="4"/>
      <c r="AE348" s="4"/>
      <c r="AF348" s="4"/>
      <c r="AG348" s="4"/>
      <c r="AH348" s="4"/>
      <c r="AI348" s="4"/>
      <c r="AJ348" s="76" t="str">
        <f>IF(E348="○",IF(COUNTA(E$13:E348)=1,"",",")&amp;D348,"")</f>
        <v/>
      </c>
      <c r="AK348" s="4"/>
      <c r="AL348" s="4"/>
      <c r="AM348" s="4"/>
      <c r="AN348" s="4"/>
      <c r="AO348" s="4"/>
      <c r="AP348" s="4"/>
      <c r="AQ348" s="4"/>
      <c r="AR348" s="4"/>
      <c r="AS348" s="76" t="str">
        <f>"COMMENT ON COLUMN "&amp;エンティティ一覧!$O$2&amp;"."&amp;D$8&amp;"."&amp;D348&amp;" IS '"&amp;C348&amp;"';"</f>
        <v>COMMENT ON COLUMN milscm_2023_009.sny_202310_annony_non_annony2.shikkan330_start_date IS 'C716_疾患開始日';</v>
      </c>
    </row>
    <row r="349" spans="1:45" s="25" customFormat="1">
      <c r="A349" s="4" t="s">
        <v>5474</v>
      </c>
      <c r="B349" s="21">
        <f t="shared" si="42"/>
        <v>337</v>
      </c>
      <c r="C349" s="13" t="str">
        <f t="shared" si="43"/>
        <v>C717_疾患開始日</v>
      </c>
      <c r="D349" s="13" t="s">
        <v>5991</v>
      </c>
      <c r="E349" s="8"/>
      <c r="F349" s="7" t="s">
        <v>4348</v>
      </c>
      <c r="G349" s="7" t="s">
        <v>25</v>
      </c>
      <c r="H349" s="58"/>
      <c r="I349" s="23"/>
      <c r="J349" s="24"/>
      <c r="M349" s="4"/>
      <c r="N349" s="76"/>
      <c r="O349" s="76"/>
      <c r="P349" s="76" t="str">
        <f t="shared" si="37"/>
        <v>,shikkan331_start_date</v>
      </c>
      <c r="Q349" s="76" t="str">
        <f t="shared" si="38"/>
        <v>DATE</v>
      </c>
      <c r="R349" s="76" t="str">
        <f t="shared" si="39"/>
        <v/>
      </c>
      <c r="S349" s="76" t="str">
        <f t="shared" si="40"/>
        <v/>
      </c>
      <c r="T349" s="76" t="str">
        <f t="shared" si="41"/>
        <v>-- C717_疾患開始日</v>
      </c>
      <c r="U349" s="4" t="str">
        <f t="shared" si="35"/>
        <v>, CASE WHEN shikkan_disp_name = 'C717' THEN min_shikkan_start_date ::DATE ELSE NULL END AS shikkan331_start_date</v>
      </c>
      <c r="V349" s="25" t="str">
        <f t="shared" si="36"/>
        <v>, max(shikkan331_start_date)</v>
      </c>
      <c r="AA349" s="4"/>
      <c r="AB349" s="4"/>
      <c r="AC349" s="4"/>
      <c r="AD349" s="4"/>
      <c r="AE349" s="4"/>
      <c r="AF349" s="4"/>
      <c r="AG349" s="4"/>
      <c r="AH349" s="4"/>
      <c r="AI349" s="4"/>
      <c r="AJ349" s="76" t="str">
        <f>IF(E349="○",IF(COUNTA(E$13:E349)=1,"",",")&amp;D349,"")</f>
        <v/>
      </c>
      <c r="AK349" s="4"/>
      <c r="AL349" s="4"/>
      <c r="AM349" s="4"/>
      <c r="AN349" s="4"/>
      <c r="AO349" s="4"/>
      <c r="AP349" s="4"/>
      <c r="AQ349" s="4"/>
      <c r="AR349" s="4"/>
      <c r="AS349" s="76" t="str">
        <f>"COMMENT ON COLUMN "&amp;エンティティ一覧!$O$2&amp;"."&amp;D$8&amp;"."&amp;D349&amp;" IS '"&amp;C349&amp;"';"</f>
        <v>COMMENT ON COLUMN milscm_2023_009.sny_202310_annony_non_annony2.shikkan331_start_date IS 'C717_疾患開始日';</v>
      </c>
    </row>
    <row r="350" spans="1:45" s="25" customFormat="1">
      <c r="A350" s="4" t="s">
        <v>5475</v>
      </c>
      <c r="B350" s="21">
        <f t="shared" si="42"/>
        <v>338</v>
      </c>
      <c r="C350" s="13" t="str">
        <f t="shared" si="43"/>
        <v>C718_疾患開始日</v>
      </c>
      <c r="D350" s="13" t="s">
        <v>5992</v>
      </c>
      <c r="E350" s="8"/>
      <c r="F350" s="7" t="s">
        <v>4348</v>
      </c>
      <c r="G350" s="7" t="s">
        <v>25</v>
      </c>
      <c r="H350" s="58"/>
      <c r="I350" s="23"/>
      <c r="J350" s="24"/>
      <c r="M350" s="4"/>
      <c r="N350" s="76"/>
      <c r="O350" s="76"/>
      <c r="P350" s="76" t="str">
        <f t="shared" si="37"/>
        <v>,shikkan332_start_date</v>
      </c>
      <c r="Q350" s="76" t="str">
        <f t="shared" si="38"/>
        <v>DATE</v>
      </c>
      <c r="R350" s="76" t="str">
        <f t="shared" si="39"/>
        <v/>
      </c>
      <c r="S350" s="76" t="str">
        <f t="shared" si="40"/>
        <v/>
      </c>
      <c r="T350" s="76" t="str">
        <f t="shared" si="41"/>
        <v>-- C718_疾患開始日</v>
      </c>
      <c r="U350" s="4" t="str">
        <f t="shared" si="35"/>
        <v>, CASE WHEN shikkan_disp_name = 'C718' THEN min_shikkan_start_date ::DATE ELSE NULL END AS shikkan332_start_date</v>
      </c>
      <c r="V350" s="25" t="str">
        <f t="shared" si="36"/>
        <v>, max(shikkan332_start_date)</v>
      </c>
      <c r="AA350" s="4"/>
      <c r="AB350" s="4"/>
      <c r="AC350" s="4"/>
      <c r="AD350" s="4"/>
      <c r="AE350" s="4"/>
      <c r="AF350" s="4"/>
      <c r="AG350" s="4"/>
      <c r="AH350" s="4"/>
      <c r="AI350" s="4"/>
      <c r="AJ350" s="76" t="str">
        <f>IF(E350="○",IF(COUNTA(E$13:E350)=1,"",",")&amp;D350,"")</f>
        <v/>
      </c>
      <c r="AK350" s="4"/>
      <c r="AL350" s="4"/>
      <c r="AM350" s="4"/>
      <c r="AN350" s="4"/>
      <c r="AO350" s="4"/>
      <c r="AP350" s="4"/>
      <c r="AQ350" s="4"/>
      <c r="AR350" s="4"/>
      <c r="AS350" s="76" t="str">
        <f>"COMMENT ON COLUMN "&amp;エンティティ一覧!$O$2&amp;"."&amp;D$8&amp;"."&amp;D350&amp;" IS '"&amp;C350&amp;"';"</f>
        <v>COMMENT ON COLUMN milscm_2023_009.sny_202310_annony_non_annony2.shikkan332_start_date IS 'C718_疾患開始日';</v>
      </c>
    </row>
    <row r="351" spans="1:45" s="25" customFormat="1">
      <c r="A351" s="4" t="s">
        <v>5476</v>
      </c>
      <c r="B351" s="21">
        <f t="shared" si="42"/>
        <v>339</v>
      </c>
      <c r="C351" s="13" t="str">
        <f t="shared" si="43"/>
        <v>C719_疾患開始日</v>
      </c>
      <c r="D351" s="13" t="s">
        <v>5993</v>
      </c>
      <c r="E351" s="8"/>
      <c r="F351" s="7" t="s">
        <v>4348</v>
      </c>
      <c r="G351" s="7" t="s">
        <v>25</v>
      </c>
      <c r="H351" s="58"/>
      <c r="I351" s="23"/>
      <c r="J351" s="24"/>
      <c r="M351" s="4"/>
      <c r="N351" s="76"/>
      <c r="O351" s="76"/>
      <c r="P351" s="76" t="str">
        <f t="shared" si="37"/>
        <v>,shikkan333_start_date</v>
      </c>
      <c r="Q351" s="76" t="str">
        <f t="shared" si="38"/>
        <v>DATE</v>
      </c>
      <c r="R351" s="76" t="str">
        <f t="shared" si="39"/>
        <v/>
      </c>
      <c r="S351" s="76" t="str">
        <f t="shared" si="40"/>
        <v/>
      </c>
      <c r="T351" s="76" t="str">
        <f t="shared" si="41"/>
        <v>-- C719_疾患開始日</v>
      </c>
      <c r="U351" s="4" t="str">
        <f t="shared" si="35"/>
        <v>, CASE WHEN shikkan_disp_name = 'C719' THEN min_shikkan_start_date ::DATE ELSE NULL END AS shikkan333_start_date</v>
      </c>
      <c r="V351" s="25" t="str">
        <f t="shared" si="36"/>
        <v>, max(shikkan333_start_date)</v>
      </c>
      <c r="AA351" s="4"/>
      <c r="AB351" s="4"/>
      <c r="AC351" s="4"/>
      <c r="AD351" s="4"/>
      <c r="AE351" s="4"/>
      <c r="AF351" s="4"/>
      <c r="AG351" s="4"/>
      <c r="AH351" s="4"/>
      <c r="AI351" s="4"/>
      <c r="AJ351" s="76" t="str">
        <f>IF(E351="○",IF(COUNTA(E$13:E351)=1,"",",")&amp;D351,"")</f>
        <v/>
      </c>
      <c r="AK351" s="4"/>
      <c r="AL351" s="4"/>
      <c r="AM351" s="4"/>
      <c r="AN351" s="4"/>
      <c r="AO351" s="4"/>
      <c r="AP351" s="4"/>
      <c r="AQ351" s="4"/>
      <c r="AR351" s="4"/>
      <c r="AS351" s="76" t="str">
        <f>"COMMENT ON COLUMN "&amp;エンティティ一覧!$O$2&amp;"."&amp;D$8&amp;"."&amp;D351&amp;" IS '"&amp;C351&amp;"';"</f>
        <v>COMMENT ON COLUMN milscm_2023_009.sny_202310_annony_non_annony2.shikkan333_start_date IS 'C719_疾患開始日';</v>
      </c>
    </row>
    <row r="352" spans="1:45" s="25" customFormat="1">
      <c r="A352" s="4" t="s">
        <v>5477</v>
      </c>
      <c r="B352" s="21">
        <f t="shared" si="42"/>
        <v>340</v>
      </c>
      <c r="C352" s="13" t="str">
        <f t="shared" si="43"/>
        <v>C720_疾患開始日</v>
      </c>
      <c r="D352" s="13" t="s">
        <v>5994</v>
      </c>
      <c r="E352" s="8"/>
      <c r="F352" s="7" t="s">
        <v>4348</v>
      </c>
      <c r="G352" s="7" t="s">
        <v>25</v>
      </c>
      <c r="H352" s="58"/>
      <c r="I352" s="23"/>
      <c r="J352" s="24"/>
      <c r="M352" s="4"/>
      <c r="N352" s="76"/>
      <c r="O352" s="76"/>
      <c r="P352" s="76" t="str">
        <f t="shared" si="37"/>
        <v>,shikkan334_start_date</v>
      </c>
      <c r="Q352" s="76" t="str">
        <f t="shared" si="38"/>
        <v>DATE</v>
      </c>
      <c r="R352" s="76" t="str">
        <f t="shared" si="39"/>
        <v/>
      </c>
      <c r="S352" s="76" t="str">
        <f t="shared" si="40"/>
        <v/>
      </c>
      <c r="T352" s="76" t="str">
        <f t="shared" si="41"/>
        <v>-- C720_疾患開始日</v>
      </c>
      <c r="U352" s="4" t="str">
        <f t="shared" si="35"/>
        <v>, CASE WHEN shikkan_disp_name = 'C720' THEN min_shikkan_start_date ::DATE ELSE NULL END AS shikkan334_start_date</v>
      </c>
      <c r="V352" s="25" t="str">
        <f t="shared" si="36"/>
        <v>, max(shikkan334_start_date)</v>
      </c>
      <c r="AA352" s="4"/>
      <c r="AB352" s="4"/>
      <c r="AC352" s="4"/>
      <c r="AD352" s="4"/>
      <c r="AE352" s="4"/>
      <c r="AF352" s="4"/>
      <c r="AG352" s="4"/>
      <c r="AH352" s="4"/>
      <c r="AI352" s="4"/>
      <c r="AJ352" s="76" t="str">
        <f>IF(E352="○",IF(COUNTA(E$13:E352)=1,"",",")&amp;D352,"")</f>
        <v/>
      </c>
      <c r="AK352" s="4"/>
      <c r="AL352" s="4"/>
      <c r="AM352" s="4"/>
      <c r="AN352" s="4"/>
      <c r="AO352" s="4"/>
      <c r="AP352" s="4"/>
      <c r="AQ352" s="4"/>
      <c r="AR352" s="4"/>
      <c r="AS352" s="76" t="str">
        <f>"COMMENT ON COLUMN "&amp;エンティティ一覧!$O$2&amp;"."&amp;D$8&amp;"."&amp;D352&amp;" IS '"&amp;C352&amp;"';"</f>
        <v>COMMENT ON COLUMN milscm_2023_009.sny_202310_annony_non_annony2.shikkan334_start_date IS 'C720_疾患開始日';</v>
      </c>
    </row>
    <row r="353" spans="1:45" s="25" customFormat="1">
      <c r="A353" s="4" t="s">
        <v>5478</v>
      </c>
      <c r="B353" s="21">
        <f t="shared" si="42"/>
        <v>341</v>
      </c>
      <c r="C353" s="13" t="str">
        <f t="shared" si="43"/>
        <v>C721_疾患開始日</v>
      </c>
      <c r="D353" s="13" t="s">
        <v>5995</v>
      </c>
      <c r="E353" s="8"/>
      <c r="F353" s="7" t="s">
        <v>4348</v>
      </c>
      <c r="G353" s="7" t="s">
        <v>25</v>
      </c>
      <c r="H353" s="58"/>
      <c r="I353" s="23"/>
      <c r="J353" s="24"/>
      <c r="M353" s="4"/>
      <c r="N353" s="76"/>
      <c r="O353" s="76"/>
      <c r="P353" s="76" t="str">
        <f t="shared" si="37"/>
        <v>,shikkan335_start_date</v>
      </c>
      <c r="Q353" s="76" t="str">
        <f t="shared" si="38"/>
        <v>DATE</v>
      </c>
      <c r="R353" s="76" t="str">
        <f t="shared" si="39"/>
        <v/>
      </c>
      <c r="S353" s="76" t="str">
        <f t="shared" si="40"/>
        <v/>
      </c>
      <c r="T353" s="76" t="str">
        <f t="shared" si="41"/>
        <v>-- C721_疾患開始日</v>
      </c>
      <c r="U353" s="4" t="str">
        <f t="shared" si="35"/>
        <v>, CASE WHEN shikkan_disp_name = 'C721' THEN min_shikkan_start_date ::DATE ELSE NULL END AS shikkan335_start_date</v>
      </c>
      <c r="V353" s="25" t="str">
        <f t="shared" si="36"/>
        <v>, max(shikkan335_start_date)</v>
      </c>
      <c r="AA353" s="4"/>
      <c r="AB353" s="4"/>
      <c r="AC353" s="4"/>
      <c r="AD353" s="4"/>
      <c r="AE353" s="4"/>
      <c r="AF353" s="4"/>
      <c r="AG353" s="4"/>
      <c r="AH353" s="4"/>
      <c r="AI353" s="4"/>
      <c r="AJ353" s="76" t="str">
        <f>IF(E353="○",IF(COUNTA(E$13:E353)=1,"",",")&amp;D353,"")</f>
        <v/>
      </c>
      <c r="AK353" s="4"/>
      <c r="AL353" s="4"/>
      <c r="AM353" s="4"/>
      <c r="AN353" s="4"/>
      <c r="AO353" s="4"/>
      <c r="AP353" s="4"/>
      <c r="AQ353" s="4"/>
      <c r="AR353" s="4"/>
      <c r="AS353" s="76" t="str">
        <f>"COMMENT ON COLUMN "&amp;エンティティ一覧!$O$2&amp;"."&amp;D$8&amp;"."&amp;D353&amp;" IS '"&amp;C353&amp;"';"</f>
        <v>COMMENT ON COLUMN milscm_2023_009.sny_202310_annony_non_annony2.shikkan335_start_date IS 'C721_疾患開始日';</v>
      </c>
    </row>
    <row r="354" spans="1:45" s="25" customFormat="1">
      <c r="A354" s="4" t="s">
        <v>5479</v>
      </c>
      <c r="B354" s="21">
        <f t="shared" si="42"/>
        <v>342</v>
      </c>
      <c r="C354" s="13" t="str">
        <f t="shared" si="43"/>
        <v>C722_疾患開始日</v>
      </c>
      <c r="D354" s="13" t="s">
        <v>5996</v>
      </c>
      <c r="E354" s="8"/>
      <c r="F354" s="7" t="s">
        <v>4348</v>
      </c>
      <c r="G354" s="7" t="s">
        <v>99</v>
      </c>
      <c r="H354" s="58"/>
      <c r="I354" s="23"/>
      <c r="J354" s="24"/>
      <c r="M354" s="4"/>
      <c r="N354" s="76"/>
      <c r="O354" s="76"/>
      <c r="P354" s="76" t="str">
        <f t="shared" si="37"/>
        <v>,shikkan336_start_date</v>
      </c>
      <c r="Q354" s="76" t="str">
        <f t="shared" si="38"/>
        <v>DATE</v>
      </c>
      <c r="R354" s="76" t="str">
        <f t="shared" si="39"/>
        <v/>
      </c>
      <c r="S354" s="76" t="str">
        <f t="shared" si="40"/>
        <v/>
      </c>
      <c r="T354" s="76" t="str">
        <f t="shared" si="41"/>
        <v>-- C722_疾患開始日</v>
      </c>
      <c r="U354" s="4" t="str">
        <f t="shared" si="35"/>
        <v>, CASE WHEN shikkan_disp_name = 'C722' THEN min_shikkan_start_date ::DATE ELSE NULL END AS shikkan336_start_date</v>
      </c>
      <c r="V354" s="25" t="str">
        <f t="shared" si="36"/>
        <v>, max(shikkan336_start_date)</v>
      </c>
      <c r="AA354" s="4"/>
      <c r="AB354" s="4"/>
      <c r="AC354" s="4"/>
      <c r="AD354" s="4"/>
      <c r="AE354" s="4"/>
      <c r="AF354" s="4"/>
      <c r="AG354" s="4"/>
      <c r="AH354" s="4"/>
      <c r="AI354" s="4"/>
      <c r="AJ354" s="76" t="str">
        <f>IF(E354="○",IF(COUNTA(E$13:E354)=1,"",",")&amp;D354,"")</f>
        <v/>
      </c>
      <c r="AK354" s="4"/>
      <c r="AL354" s="4"/>
      <c r="AM354" s="4"/>
      <c r="AN354" s="4"/>
      <c r="AO354" s="4"/>
      <c r="AP354" s="4"/>
      <c r="AQ354" s="4"/>
      <c r="AR354" s="4"/>
      <c r="AS354" s="76" t="str">
        <f>"COMMENT ON COLUMN "&amp;エンティティ一覧!$O$2&amp;"."&amp;D$8&amp;"."&amp;D354&amp;" IS '"&amp;C354&amp;"';"</f>
        <v>COMMENT ON COLUMN milscm_2023_009.sny_202310_annony_non_annony2.shikkan336_start_date IS 'C722_疾患開始日';</v>
      </c>
    </row>
    <row r="355" spans="1:45" s="25" customFormat="1">
      <c r="A355" s="4" t="s">
        <v>5480</v>
      </c>
      <c r="B355" s="21">
        <f t="shared" si="42"/>
        <v>343</v>
      </c>
      <c r="C355" s="13" t="str">
        <f t="shared" si="43"/>
        <v>C723_疾患開始日</v>
      </c>
      <c r="D355" s="13" t="s">
        <v>5997</v>
      </c>
      <c r="E355" s="8"/>
      <c r="F355" s="7" t="s">
        <v>4348</v>
      </c>
      <c r="G355" s="7" t="s">
        <v>25</v>
      </c>
      <c r="H355" s="58"/>
      <c r="I355" s="23"/>
      <c r="J355" s="24"/>
      <c r="M355" s="4"/>
      <c r="N355" s="76"/>
      <c r="O355" s="76"/>
      <c r="P355" s="76" t="str">
        <f t="shared" si="37"/>
        <v>,shikkan337_start_date</v>
      </c>
      <c r="Q355" s="76" t="str">
        <f t="shared" si="38"/>
        <v>DATE</v>
      </c>
      <c r="R355" s="76" t="str">
        <f t="shared" si="39"/>
        <v/>
      </c>
      <c r="S355" s="76" t="str">
        <f t="shared" si="40"/>
        <v/>
      </c>
      <c r="T355" s="76" t="str">
        <f t="shared" si="41"/>
        <v>-- C723_疾患開始日</v>
      </c>
      <c r="U355" s="4" t="str">
        <f t="shared" si="35"/>
        <v>, CASE WHEN shikkan_disp_name = 'C723' THEN min_shikkan_start_date ::DATE ELSE NULL END AS shikkan337_start_date</v>
      </c>
      <c r="V355" s="25" t="str">
        <f t="shared" si="36"/>
        <v>, max(shikkan337_start_date)</v>
      </c>
      <c r="AA355" s="4"/>
      <c r="AB355" s="4"/>
      <c r="AC355" s="4"/>
      <c r="AD355" s="4"/>
      <c r="AE355" s="4"/>
      <c r="AF355" s="4"/>
      <c r="AG355" s="4"/>
      <c r="AH355" s="4"/>
      <c r="AI355" s="4"/>
      <c r="AJ355" s="76" t="str">
        <f>IF(E355="○",IF(COUNTA(E$13:E355)=1,"",",")&amp;D355,"")</f>
        <v/>
      </c>
      <c r="AK355" s="4"/>
      <c r="AL355" s="4"/>
      <c r="AM355" s="4"/>
      <c r="AN355" s="4"/>
      <c r="AO355" s="4"/>
      <c r="AP355" s="4"/>
      <c r="AQ355" s="4"/>
      <c r="AR355" s="4"/>
      <c r="AS355" s="76" t="str">
        <f>"COMMENT ON COLUMN "&amp;エンティティ一覧!$O$2&amp;"."&amp;D$8&amp;"."&amp;D355&amp;" IS '"&amp;C355&amp;"';"</f>
        <v>COMMENT ON COLUMN milscm_2023_009.sny_202310_annony_non_annony2.shikkan337_start_date IS 'C723_疾患開始日';</v>
      </c>
    </row>
    <row r="356" spans="1:45" s="25" customFormat="1">
      <c r="A356" s="4" t="s">
        <v>5481</v>
      </c>
      <c r="B356" s="21">
        <f t="shared" si="42"/>
        <v>344</v>
      </c>
      <c r="C356" s="13" t="str">
        <f t="shared" si="43"/>
        <v>C724_疾患開始日</v>
      </c>
      <c r="D356" s="13" t="s">
        <v>5998</v>
      </c>
      <c r="E356" s="8"/>
      <c r="F356" s="7" t="s">
        <v>4348</v>
      </c>
      <c r="G356" s="7" t="s">
        <v>25</v>
      </c>
      <c r="H356" s="58"/>
      <c r="I356" s="23"/>
      <c r="J356" s="24"/>
      <c r="M356" s="4"/>
      <c r="N356" s="76"/>
      <c r="O356" s="76"/>
      <c r="P356" s="76" t="str">
        <f t="shared" si="37"/>
        <v>,shikkan338_start_date</v>
      </c>
      <c r="Q356" s="76" t="str">
        <f t="shared" si="38"/>
        <v>DATE</v>
      </c>
      <c r="R356" s="76" t="str">
        <f t="shared" si="39"/>
        <v/>
      </c>
      <c r="S356" s="76" t="str">
        <f t="shared" si="40"/>
        <v/>
      </c>
      <c r="T356" s="76" t="str">
        <f t="shared" si="41"/>
        <v>-- C724_疾患開始日</v>
      </c>
      <c r="U356" s="4" t="str">
        <f t="shared" si="35"/>
        <v>, CASE WHEN shikkan_disp_name = 'C724' THEN min_shikkan_start_date ::DATE ELSE NULL END AS shikkan338_start_date</v>
      </c>
      <c r="V356" s="25" t="str">
        <f t="shared" si="36"/>
        <v>, max(shikkan338_start_date)</v>
      </c>
      <c r="AA356" s="4"/>
      <c r="AB356" s="4"/>
      <c r="AC356" s="4"/>
      <c r="AD356" s="4"/>
      <c r="AE356" s="4"/>
      <c r="AF356" s="4"/>
      <c r="AG356" s="4"/>
      <c r="AH356" s="4"/>
      <c r="AI356" s="4"/>
      <c r="AJ356" s="76" t="str">
        <f>IF(E356="○",IF(COUNTA(E$13:E356)=1,"",",")&amp;D356,"")</f>
        <v/>
      </c>
      <c r="AK356" s="4"/>
      <c r="AL356" s="4"/>
      <c r="AM356" s="4"/>
      <c r="AN356" s="4"/>
      <c r="AO356" s="4"/>
      <c r="AP356" s="4"/>
      <c r="AQ356" s="4"/>
      <c r="AR356" s="4"/>
      <c r="AS356" s="76" t="str">
        <f>"COMMENT ON COLUMN "&amp;エンティティ一覧!$O$2&amp;"."&amp;D$8&amp;"."&amp;D356&amp;" IS '"&amp;C356&amp;"';"</f>
        <v>COMMENT ON COLUMN milscm_2023_009.sny_202310_annony_non_annony2.shikkan338_start_date IS 'C724_疾患開始日';</v>
      </c>
    </row>
    <row r="357" spans="1:45" s="25" customFormat="1">
      <c r="A357" s="4" t="s">
        <v>5482</v>
      </c>
      <c r="B357" s="21">
        <f t="shared" si="42"/>
        <v>345</v>
      </c>
      <c r="C357" s="13" t="str">
        <f t="shared" si="43"/>
        <v>C725_疾患開始日</v>
      </c>
      <c r="D357" s="13" t="s">
        <v>5999</v>
      </c>
      <c r="E357" s="8"/>
      <c r="F357" s="7" t="s">
        <v>4348</v>
      </c>
      <c r="G357" s="7" t="s">
        <v>25</v>
      </c>
      <c r="H357" s="58"/>
      <c r="I357" s="23"/>
      <c r="J357" s="24"/>
      <c r="M357" s="4"/>
      <c r="N357" s="76"/>
      <c r="O357" s="76"/>
      <c r="P357" s="76" t="str">
        <f t="shared" si="37"/>
        <v>,shikkan339_start_date</v>
      </c>
      <c r="Q357" s="76" t="str">
        <f t="shared" si="38"/>
        <v>DATE</v>
      </c>
      <c r="R357" s="76" t="str">
        <f t="shared" si="39"/>
        <v/>
      </c>
      <c r="S357" s="76" t="str">
        <f t="shared" si="40"/>
        <v/>
      </c>
      <c r="T357" s="76" t="str">
        <f t="shared" si="41"/>
        <v>-- C725_疾患開始日</v>
      </c>
      <c r="U357" s="4" t="str">
        <f t="shared" si="35"/>
        <v>, CASE WHEN shikkan_disp_name = 'C725' THEN min_shikkan_start_date ::DATE ELSE NULL END AS shikkan339_start_date</v>
      </c>
      <c r="V357" s="25" t="str">
        <f t="shared" si="36"/>
        <v>, max(shikkan339_start_date)</v>
      </c>
      <c r="AA357" s="4"/>
      <c r="AB357" s="4"/>
      <c r="AC357" s="4"/>
      <c r="AD357" s="4"/>
      <c r="AE357" s="4"/>
      <c r="AF357" s="4"/>
      <c r="AG357" s="4"/>
      <c r="AH357" s="4"/>
      <c r="AI357" s="4"/>
      <c r="AJ357" s="76" t="str">
        <f>IF(E357="○",IF(COUNTA(E$13:E357)=1,"",",")&amp;D357,"")</f>
        <v/>
      </c>
      <c r="AK357" s="4"/>
      <c r="AL357" s="4"/>
      <c r="AM357" s="4"/>
      <c r="AN357" s="4"/>
      <c r="AO357" s="4"/>
      <c r="AP357" s="4"/>
      <c r="AQ357" s="4"/>
      <c r="AR357" s="4"/>
      <c r="AS357" s="76" t="str">
        <f>"COMMENT ON COLUMN "&amp;エンティティ一覧!$O$2&amp;"."&amp;D$8&amp;"."&amp;D357&amp;" IS '"&amp;C357&amp;"';"</f>
        <v>COMMENT ON COLUMN milscm_2023_009.sny_202310_annony_non_annony2.shikkan339_start_date IS 'C725_疾患開始日';</v>
      </c>
    </row>
    <row r="358" spans="1:45" s="25" customFormat="1">
      <c r="A358" s="4" t="s">
        <v>5483</v>
      </c>
      <c r="B358" s="21">
        <f t="shared" si="42"/>
        <v>346</v>
      </c>
      <c r="C358" s="13" t="str">
        <f t="shared" si="43"/>
        <v>C728_疾患開始日</v>
      </c>
      <c r="D358" s="13" t="s">
        <v>6000</v>
      </c>
      <c r="E358" s="8"/>
      <c r="F358" s="7" t="s">
        <v>4348</v>
      </c>
      <c r="G358" s="7" t="s">
        <v>25</v>
      </c>
      <c r="H358" s="58"/>
      <c r="I358" s="23"/>
      <c r="J358" s="24"/>
      <c r="M358" s="4"/>
      <c r="N358" s="76"/>
      <c r="O358" s="76"/>
      <c r="P358" s="76" t="str">
        <f t="shared" si="37"/>
        <v>,shikkan340_start_date</v>
      </c>
      <c r="Q358" s="76" t="str">
        <f t="shared" si="38"/>
        <v>DATE</v>
      </c>
      <c r="R358" s="76" t="str">
        <f t="shared" si="39"/>
        <v/>
      </c>
      <c r="S358" s="76" t="str">
        <f t="shared" si="40"/>
        <v/>
      </c>
      <c r="T358" s="76" t="str">
        <f t="shared" si="41"/>
        <v>-- C728_疾患開始日</v>
      </c>
      <c r="U358" s="4" t="str">
        <f t="shared" si="35"/>
        <v>, CASE WHEN shikkan_disp_name = 'C728' THEN min_shikkan_start_date ::DATE ELSE NULL END AS shikkan340_start_date</v>
      </c>
      <c r="V358" s="25" t="str">
        <f t="shared" si="36"/>
        <v>, max(shikkan340_start_date)</v>
      </c>
      <c r="AA358" s="4"/>
      <c r="AB358" s="4"/>
      <c r="AC358" s="4"/>
      <c r="AD358" s="4"/>
      <c r="AE358" s="4"/>
      <c r="AF358" s="4"/>
      <c r="AG358" s="4"/>
      <c r="AH358" s="4"/>
      <c r="AI358" s="4"/>
      <c r="AJ358" s="76" t="str">
        <f>IF(E358="○",IF(COUNTA(E$13:E358)=1,"",",")&amp;D358,"")</f>
        <v/>
      </c>
      <c r="AK358" s="4"/>
      <c r="AL358" s="4"/>
      <c r="AM358" s="4"/>
      <c r="AN358" s="4"/>
      <c r="AO358" s="4"/>
      <c r="AP358" s="4"/>
      <c r="AQ358" s="4"/>
      <c r="AR358" s="4"/>
      <c r="AS358" s="76" t="str">
        <f>"COMMENT ON COLUMN "&amp;エンティティ一覧!$O$2&amp;"."&amp;D$8&amp;"."&amp;D358&amp;" IS '"&amp;C358&amp;"';"</f>
        <v>COMMENT ON COLUMN milscm_2023_009.sny_202310_annony_non_annony2.shikkan340_start_date IS 'C728_疾患開始日';</v>
      </c>
    </row>
    <row r="359" spans="1:45" s="25" customFormat="1">
      <c r="A359" s="4" t="s">
        <v>5484</v>
      </c>
      <c r="B359" s="21">
        <f t="shared" si="42"/>
        <v>347</v>
      </c>
      <c r="C359" s="13" t="str">
        <f t="shared" si="43"/>
        <v>C729_疾患開始日</v>
      </c>
      <c r="D359" s="13" t="s">
        <v>6001</v>
      </c>
      <c r="E359" s="8"/>
      <c r="F359" s="7" t="s">
        <v>4348</v>
      </c>
      <c r="G359" s="7" t="s">
        <v>25</v>
      </c>
      <c r="H359" s="58"/>
      <c r="I359" s="23"/>
      <c r="J359" s="24"/>
      <c r="M359" s="4"/>
      <c r="N359" s="76"/>
      <c r="O359" s="76"/>
      <c r="P359" s="76" t="str">
        <f t="shared" si="37"/>
        <v>,shikkan341_start_date</v>
      </c>
      <c r="Q359" s="76" t="str">
        <f t="shared" si="38"/>
        <v>DATE</v>
      </c>
      <c r="R359" s="76" t="str">
        <f t="shared" si="39"/>
        <v/>
      </c>
      <c r="S359" s="76" t="str">
        <f t="shared" si="40"/>
        <v/>
      </c>
      <c r="T359" s="76" t="str">
        <f t="shared" si="41"/>
        <v>-- C729_疾患開始日</v>
      </c>
      <c r="U359" s="4" t="str">
        <f t="shared" si="35"/>
        <v>, CASE WHEN shikkan_disp_name = 'C729' THEN min_shikkan_start_date ::DATE ELSE NULL END AS shikkan341_start_date</v>
      </c>
      <c r="V359" s="25" t="str">
        <f t="shared" si="36"/>
        <v>, max(shikkan341_start_date)</v>
      </c>
      <c r="AA359" s="4"/>
      <c r="AB359" s="4"/>
      <c r="AC359" s="4"/>
      <c r="AD359" s="4"/>
      <c r="AE359" s="4"/>
      <c r="AF359" s="4"/>
      <c r="AG359" s="4"/>
      <c r="AH359" s="4"/>
      <c r="AI359" s="4"/>
      <c r="AJ359" s="76" t="str">
        <f>IF(E359="○",IF(COUNTA(E$13:E359)=1,"",",")&amp;D359,"")</f>
        <v/>
      </c>
      <c r="AK359" s="4"/>
      <c r="AL359" s="4"/>
      <c r="AM359" s="4"/>
      <c r="AN359" s="4"/>
      <c r="AO359" s="4"/>
      <c r="AP359" s="4"/>
      <c r="AQ359" s="4"/>
      <c r="AR359" s="4"/>
      <c r="AS359" s="76" t="str">
        <f>"COMMENT ON COLUMN "&amp;エンティティ一覧!$O$2&amp;"."&amp;D$8&amp;"."&amp;D359&amp;" IS '"&amp;C359&amp;"';"</f>
        <v>COMMENT ON COLUMN milscm_2023_009.sny_202310_annony_non_annony2.shikkan341_start_date IS 'C729_疾患開始日';</v>
      </c>
    </row>
    <row r="360" spans="1:45" s="25" customFormat="1">
      <c r="A360" s="4" t="s">
        <v>5156</v>
      </c>
      <c r="B360" s="21">
        <f t="shared" si="42"/>
        <v>348</v>
      </c>
      <c r="C360" s="13" t="str">
        <f t="shared" si="43"/>
        <v>C73_疾患開始日</v>
      </c>
      <c r="D360" s="13" t="s">
        <v>6002</v>
      </c>
      <c r="E360" s="8"/>
      <c r="F360" s="7" t="s">
        <v>4348</v>
      </c>
      <c r="G360" s="7" t="s">
        <v>25</v>
      </c>
      <c r="H360" s="58"/>
      <c r="I360" s="23"/>
      <c r="J360" s="24"/>
      <c r="M360" s="4"/>
      <c r="N360" s="76"/>
      <c r="O360" s="76"/>
      <c r="P360" s="76" t="str">
        <f t="shared" si="37"/>
        <v>,shikkan342_start_date</v>
      </c>
      <c r="Q360" s="76" t="str">
        <f t="shared" si="38"/>
        <v>DATE</v>
      </c>
      <c r="R360" s="76" t="str">
        <f t="shared" si="39"/>
        <v/>
      </c>
      <c r="S360" s="76" t="str">
        <f t="shared" si="40"/>
        <v/>
      </c>
      <c r="T360" s="76" t="str">
        <f t="shared" si="41"/>
        <v>-- C73_疾患開始日</v>
      </c>
      <c r="U360" s="4" t="str">
        <f t="shared" si="35"/>
        <v>, CASE WHEN shikkan_disp_name = 'C73' THEN min_shikkan_start_date ::DATE ELSE NULL END AS shikkan342_start_date</v>
      </c>
      <c r="V360" s="25" t="str">
        <f t="shared" si="36"/>
        <v>, max(shikkan342_start_date)</v>
      </c>
      <c r="AA360" s="4"/>
      <c r="AB360" s="4"/>
      <c r="AC360" s="4"/>
      <c r="AD360" s="4"/>
      <c r="AE360" s="4"/>
      <c r="AF360" s="4"/>
      <c r="AG360" s="4"/>
      <c r="AH360" s="4"/>
      <c r="AI360" s="4"/>
      <c r="AJ360" s="76" t="str">
        <f>IF(E360="○",IF(COUNTA(E$13:E360)=1,"",",")&amp;D360,"")</f>
        <v/>
      </c>
      <c r="AK360" s="4"/>
      <c r="AL360" s="4"/>
      <c r="AM360" s="4"/>
      <c r="AN360" s="4"/>
      <c r="AO360" s="4"/>
      <c r="AP360" s="4"/>
      <c r="AQ360" s="4"/>
      <c r="AR360" s="4"/>
      <c r="AS360" s="76" t="str">
        <f>"COMMENT ON COLUMN "&amp;エンティティ一覧!$O$2&amp;"."&amp;D$8&amp;"."&amp;D360&amp;" IS '"&amp;C360&amp;"';"</f>
        <v>COMMENT ON COLUMN milscm_2023_009.sny_202310_annony_non_annony2.shikkan342_start_date IS 'C73_疾患開始日';</v>
      </c>
    </row>
    <row r="361" spans="1:45" s="25" customFormat="1">
      <c r="A361" s="4" t="s">
        <v>5485</v>
      </c>
      <c r="B361" s="21">
        <f t="shared" si="42"/>
        <v>349</v>
      </c>
      <c r="C361" s="13" t="str">
        <f t="shared" si="43"/>
        <v>C740_疾患開始日</v>
      </c>
      <c r="D361" s="13" t="s">
        <v>6003</v>
      </c>
      <c r="E361" s="8"/>
      <c r="F361" s="7" t="s">
        <v>4348</v>
      </c>
      <c r="G361" s="7" t="s">
        <v>25</v>
      </c>
      <c r="H361" s="58"/>
      <c r="I361" s="23"/>
      <c r="J361" s="24"/>
      <c r="M361" s="4"/>
      <c r="N361" s="76"/>
      <c r="O361" s="76"/>
      <c r="P361" s="76" t="str">
        <f t="shared" si="37"/>
        <v>,shikkan343_start_date</v>
      </c>
      <c r="Q361" s="76" t="str">
        <f t="shared" si="38"/>
        <v>DATE</v>
      </c>
      <c r="R361" s="76" t="str">
        <f t="shared" si="39"/>
        <v/>
      </c>
      <c r="S361" s="76" t="str">
        <f t="shared" si="40"/>
        <v/>
      </c>
      <c r="T361" s="76" t="str">
        <f t="shared" si="41"/>
        <v>-- C740_疾患開始日</v>
      </c>
      <c r="U361" s="4" t="str">
        <f t="shared" si="35"/>
        <v>, CASE WHEN shikkan_disp_name = 'C740' THEN min_shikkan_start_date ::DATE ELSE NULL END AS shikkan343_start_date</v>
      </c>
      <c r="V361" s="25" t="str">
        <f t="shared" si="36"/>
        <v>, max(shikkan343_start_date)</v>
      </c>
      <c r="AA361" s="4"/>
      <c r="AB361" s="4"/>
      <c r="AC361" s="4"/>
      <c r="AD361" s="4"/>
      <c r="AE361" s="4"/>
      <c r="AF361" s="4"/>
      <c r="AG361" s="4"/>
      <c r="AH361" s="4"/>
      <c r="AI361" s="4"/>
      <c r="AJ361" s="76" t="str">
        <f>IF(E361="○",IF(COUNTA(E$13:E361)=1,"",",")&amp;D361,"")</f>
        <v/>
      </c>
      <c r="AK361" s="4"/>
      <c r="AL361" s="4"/>
      <c r="AM361" s="4"/>
      <c r="AN361" s="4"/>
      <c r="AO361" s="4"/>
      <c r="AP361" s="4"/>
      <c r="AQ361" s="4"/>
      <c r="AR361" s="4"/>
      <c r="AS361" s="76" t="str">
        <f>"COMMENT ON COLUMN "&amp;エンティティ一覧!$O$2&amp;"."&amp;D$8&amp;"."&amp;D361&amp;" IS '"&amp;C361&amp;"';"</f>
        <v>COMMENT ON COLUMN milscm_2023_009.sny_202310_annony_non_annony2.shikkan343_start_date IS 'C740_疾患開始日';</v>
      </c>
    </row>
    <row r="362" spans="1:45" s="25" customFormat="1">
      <c r="A362" s="4" t="s">
        <v>5486</v>
      </c>
      <c r="B362" s="21">
        <f t="shared" si="42"/>
        <v>350</v>
      </c>
      <c r="C362" s="13" t="str">
        <f t="shared" si="43"/>
        <v>C741_疾患開始日</v>
      </c>
      <c r="D362" s="13" t="s">
        <v>6004</v>
      </c>
      <c r="E362" s="8"/>
      <c r="F362" s="7" t="s">
        <v>4348</v>
      </c>
      <c r="G362" s="7" t="s">
        <v>25</v>
      </c>
      <c r="H362" s="58"/>
      <c r="I362" s="23"/>
      <c r="J362" s="24"/>
      <c r="M362" s="4"/>
      <c r="N362" s="76"/>
      <c r="O362" s="76"/>
      <c r="P362" s="76" t="str">
        <f t="shared" si="37"/>
        <v>,shikkan344_start_date</v>
      </c>
      <c r="Q362" s="76" t="str">
        <f t="shared" si="38"/>
        <v>DATE</v>
      </c>
      <c r="R362" s="76" t="str">
        <f t="shared" si="39"/>
        <v/>
      </c>
      <c r="S362" s="76" t="str">
        <f t="shared" si="40"/>
        <v/>
      </c>
      <c r="T362" s="76" t="str">
        <f t="shared" si="41"/>
        <v>-- C741_疾患開始日</v>
      </c>
      <c r="U362" s="4" t="str">
        <f t="shared" si="35"/>
        <v>, CASE WHEN shikkan_disp_name = 'C741' THEN min_shikkan_start_date ::DATE ELSE NULL END AS shikkan344_start_date</v>
      </c>
      <c r="V362" s="25" t="str">
        <f t="shared" si="36"/>
        <v>, max(shikkan344_start_date)</v>
      </c>
      <c r="AA362" s="4"/>
      <c r="AB362" s="4"/>
      <c r="AC362" s="4"/>
      <c r="AD362" s="4"/>
      <c r="AE362" s="4"/>
      <c r="AF362" s="4"/>
      <c r="AG362" s="4"/>
      <c r="AH362" s="4"/>
      <c r="AI362" s="4"/>
      <c r="AJ362" s="76" t="str">
        <f>IF(E362="○",IF(COUNTA(E$13:E362)=1,"",",")&amp;D362,"")</f>
        <v/>
      </c>
      <c r="AK362" s="4"/>
      <c r="AL362" s="4"/>
      <c r="AM362" s="4"/>
      <c r="AN362" s="4"/>
      <c r="AO362" s="4"/>
      <c r="AP362" s="4"/>
      <c r="AQ362" s="4"/>
      <c r="AR362" s="4"/>
      <c r="AS362" s="76" t="str">
        <f>"COMMENT ON COLUMN "&amp;エンティティ一覧!$O$2&amp;"."&amp;D$8&amp;"."&amp;D362&amp;" IS '"&amp;C362&amp;"';"</f>
        <v>COMMENT ON COLUMN milscm_2023_009.sny_202310_annony_non_annony2.shikkan344_start_date IS 'C741_疾患開始日';</v>
      </c>
    </row>
    <row r="363" spans="1:45" s="25" customFormat="1">
      <c r="A363" s="4" t="s">
        <v>5487</v>
      </c>
      <c r="B363" s="21">
        <f t="shared" si="42"/>
        <v>351</v>
      </c>
      <c r="C363" s="13" t="str">
        <f t="shared" si="43"/>
        <v>C749_疾患開始日</v>
      </c>
      <c r="D363" s="13" t="s">
        <v>6005</v>
      </c>
      <c r="E363" s="8"/>
      <c r="F363" s="7" t="s">
        <v>4348</v>
      </c>
      <c r="G363" s="7" t="s">
        <v>25</v>
      </c>
      <c r="H363" s="58"/>
      <c r="I363" s="23"/>
      <c r="J363" s="24"/>
      <c r="M363" s="4"/>
      <c r="N363" s="76"/>
      <c r="O363" s="76"/>
      <c r="P363" s="76" t="str">
        <f t="shared" si="37"/>
        <v>,shikkan345_start_date</v>
      </c>
      <c r="Q363" s="76" t="str">
        <f t="shared" si="38"/>
        <v>DATE</v>
      </c>
      <c r="R363" s="76" t="str">
        <f t="shared" si="39"/>
        <v/>
      </c>
      <c r="S363" s="76" t="str">
        <f t="shared" si="40"/>
        <v/>
      </c>
      <c r="T363" s="76" t="str">
        <f t="shared" si="41"/>
        <v>-- C749_疾患開始日</v>
      </c>
      <c r="U363" s="4" t="str">
        <f t="shared" si="35"/>
        <v>, CASE WHEN shikkan_disp_name = 'C749' THEN min_shikkan_start_date ::DATE ELSE NULL END AS shikkan345_start_date</v>
      </c>
      <c r="V363" s="25" t="str">
        <f t="shared" si="36"/>
        <v>, max(shikkan345_start_date)</v>
      </c>
      <c r="AA363" s="4"/>
      <c r="AB363" s="4"/>
      <c r="AC363" s="4"/>
      <c r="AD363" s="4"/>
      <c r="AE363" s="4"/>
      <c r="AF363" s="4"/>
      <c r="AG363" s="4"/>
      <c r="AH363" s="4"/>
      <c r="AI363" s="4"/>
      <c r="AJ363" s="76" t="str">
        <f>IF(E363="○",IF(COUNTA(E$13:E363)=1,"",",")&amp;D363,"")</f>
        <v/>
      </c>
      <c r="AK363" s="4"/>
      <c r="AL363" s="4"/>
      <c r="AM363" s="4"/>
      <c r="AN363" s="4"/>
      <c r="AO363" s="4"/>
      <c r="AP363" s="4"/>
      <c r="AQ363" s="4"/>
      <c r="AR363" s="4"/>
      <c r="AS363" s="76" t="str">
        <f>"COMMENT ON COLUMN "&amp;エンティティ一覧!$O$2&amp;"."&amp;D$8&amp;"."&amp;D363&amp;" IS '"&amp;C363&amp;"';"</f>
        <v>COMMENT ON COLUMN milscm_2023_009.sny_202310_annony_non_annony2.shikkan345_start_date IS 'C749_疾患開始日';</v>
      </c>
    </row>
    <row r="364" spans="1:45" s="25" customFormat="1">
      <c r="A364" s="4" t="s">
        <v>5488</v>
      </c>
      <c r="B364" s="21">
        <f t="shared" si="42"/>
        <v>352</v>
      </c>
      <c r="C364" s="13" t="str">
        <f t="shared" si="43"/>
        <v>C750_疾患開始日</v>
      </c>
      <c r="D364" s="13" t="s">
        <v>6006</v>
      </c>
      <c r="E364" s="8"/>
      <c r="F364" s="7" t="s">
        <v>4348</v>
      </c>
      <c r="G364" s="7" t="s">
        <v>25</v>
      </c>
      <c r="H364" s="58"/>
      <c r="I364" s="23"/>
      <c r="J364" s="24"/>
      <c r="M364" s="4"/>
      <c r="N364" s="76"/>
      <c r="O364" s="76"/>
      <c r="P364" s="76" t="str">
        <f t="shared" si="37"/>
        <v>,shikkan346_start_date</v>
      </c>
      <c r="Q364" s="76" t="str">
        <f t="shared" si="38"/>
        <v>DATE</v>
      </c>
      <c r="R364" s="76" t="str">
        <f t="shared" si="39"/>
        <v/>
      </c>
      <c r="S364" s="76" t="str">
        <f t="shared" si="40"/>
        <v/>
      </c>
      <c r="T364" s="76" t="str">
        <f t="shared" si="41"/>
        <v>-- C750_疾患開始日</v>
      </c>
      <c r="U364" s="4" t="str">
        <f t="shared" si="35"/>
        <v>, CASE WHEN shikkan_disp_name = 'C750' THEN min_shikkan_start_date ::DATE ELSE NULL END AS shikkan346_start_date</v>
      </c>
      <c r="V364" s="25" t="str">
        <f t="shared" si="36"/>
        <v>, max(shikkan346_start_date)</v>
      </c>
      <c r="AA364" s="4"/>
      <c r="AB364" s="4"/>
      <c r="AC364" s="4"/>
      <c r="AD364" s="4"/>
      <c r="AE364" s="4"/>
      <c r="AF364" s="4"/>
      <c r="AG364" s="4"/>
      <c r="AH364" s="4"/>
      <c r="AI364" s="4"/>
      <c r="AJ364" s="76" t="str">
        <f>IF(E364="○",IF(COUNTA(E$13:E364)=1,"",",")&amp;D364,"")</f>
        <v/>
      </c>
      <c r="AK364" s="4"/>
      <c r="AL364" s="4"/>
      <c r="AM364" s="4"/>
      <c r="AN364" s="4"/>
      <c r="AO364" s="4"/>
      <c r="AP364" s="4"/>
      <c r="AQ364" s="4"/>
      <c r="AR364" s="4"/>
      <c r="AS364" s="76" t="str">
        <f>"COMMENT ON COLUMN "&amp;エンティティ一覧!$O$2&amp;"."&amp;D$8&amp;"."&amp;D364&amp;" IS '"&amp;C364&amp;"';"</f>
        <v>COMMENT ON COLUMN milscm_2023_009.sny_202310_annony_non_annony2.shikkan346_start_date IS 'C750_疾患開始日';</v>
      </c>
    </row>
    <row r="365" spans="1:45" s="25" customFormat="1">
      <c r="A365" s="4" t="s">
        <v>5489</v>
      </c>
      <c r="B365" s="21">
        <f t="shared" si="42"/>
        <v>353</v>
      </c>
      <c r="C365" s="13" t="str">
        <f t="shared" si="43"/>
        <v>C751_疾患開始日</v>
      </c>
      <c r="D365" s="13" t="s">
        <v>6007</v>
      </c>
      <c r="E365" s="8"/>
      <c r="F365" s="7" t="s">
        <v>4348</v>
      </c>
      <c r="G365" s="7" t="s">
        <v>25</v>
      </c>
      <c r="H365" s="58"/>
      <c r="I365" s="23"/>
      <c r="J365" s="24"/>
      <c r="M365" s="4"/>
      <c r="N365" s="76"/>
      <c r="O365" s="76"/>
      <c r="P365" s="76" t="str">
        <f t="shared" si="37"/>
        <v>,shikkan347_start_date</v>
      </c>
      <c r="Q365" s="76" t="str">
        <f t="shared" si="38"/>
        <v>DATE</v>
      </c>
      <c r="R365" s="76" t="str">
        <f t="shared" si="39"/>
        <v/>
      </c>
      <c r="S365" s="76" t="str">
        <f t="shared" si="40"/>
        <v/>
      </c>
      <c r="T365" s="76" t="str">
        <f t="shared" si="41"/>
        <v>-- C751_疾患開始日</v>
      </c>
      <c r="U365" s="4" t="str">
        <f t="shared" si="35"/>
        <v>, CASE WHEN shikkan_disp_name = 'C751' THEN min_shikkan_start_date ::DATE ELSE NULL END AS shikkan347_start_date</v>
      </c>
      <c r="V365" s="25" t="str">
        <f t="shared" si="36"/>
        <v>, max(shikkan347_start_date)</v>
      </c>
      <c r="AA365" s="4"/>
      <c r="AB365" s="4"/>
      <c r="AC365" s="4"/>
      <c r="AD365" s="4"/>
      <c r="AE365" s="4"/>
      <c r="AF365" s="4"/>
      <c r="AG365" s="4"/>
      <c r="AH365" s="4"/>
      <c r="AI365" s="4"/>
      <c r="AJ365" s="76" t="str">
        <f>IF(E365="○",IF(COUNTA(E$13:E365)=1,"",",")&amp;D365,"")</f>
        <v/>
      </c>
      <c r="AK365" s="4"/>
      <c r="AL365" s="4"/>
      <c r="AM365" s="4"/>
      <c r="AN365" s="4"/>
      <c r="AO365" s="4"/>
      <c r="AP365" s="4"/>
      <c r="AQ365" s="4"/>
      <c r="AR365" s="4"/>
      <c r="AS365" s="76" t="str">
        <f>"COMMENT ON COLUMN "&amp;エンティティ一覧!$O$2&amp;"."&amp;D$8&amp;"."&amp;D365&amp;" IS '"&amp;C365&amp;"';"</f>
        <v>COMMENT ON COLUMN milscm_2023_009.sny_202310_annony_non_annony2.shikkan347_start_date IS 'C751_疾患開始日';</v>
      </c>
    </row>
    <row r="366" spans="1:45" s="25" customFormat="1">
      <c r="A366" s="4" t="s">
        <v>5490</v>
      </c>
      <c r="B366" s="21">
        <f t="shared" si="42"/>
        <v>354</v>
      </c>
      <c r="C366" s="13" t="str">
        <f t="shared" si="43"/>
        <v>C752_疾患開始日</v>
      </c>
      <c r="D366" s="13" t="s">
        <v>6008</v>
      </c>
      <c r="E366" s="8"/>
      <c r="F366" s="7" t="s">
        <v>4348</v>
      </c>
      <c r="G366" s="7" t="s">
        <v>25</v>
      </c>
      <c r="H366" s="58"/>
      <c r="I366" s="23"/>
      <c r="J366" s="24"/>
      <c r="M366" s="4"/>
      <c r="N366" s="76"/>
      <c r="O366" s="76"/>
      <c r="P366" s="76" t="str">
        <f t="shared" si="37"/>
        <v>,shikkan348_start_date</v>
      </c>
      <c r="Q366" s="76" t="str">
        <f t="shared" si="38"/>
        <v>DATE</v>
      </c>
      <c r="R366" s="76" t="str">
        <f t="shared" si="39"/>
        <v/>
      </c>
      <c r="S366" s="76" t="str">
        <f t="shared" si="40"/>
        <v/>
      </c>
      <c r="T366" s="76" t="str">
        <f t="shared" si="41"/>
        <v>-- C752_疾患開始日</v>
      </c>
      <c r="U366" s="4" t="str">
        <f t="shared" si="35"/>
        <v>, CASE WHEN shikkan_disp_name = 'C752' THEN min_shikkan_start_date ::DATE ELSE NULL END AS shikkan348_start_date</v>
      </c>
      <c r="V366" s="25" t="str">
        <f t="shared" si="36"/>
        <v>, max(shikkan348_start_date)</v>
      </c>
      <c r="AA366" s="4"/>
      <c r="AB366" s="4"/>
      <c r="AC366" s="4"/>
      <c r="AD366" s="4"/>
      <c r="AE366" s="4"/>
      <c r="AF366" s="4"/>
      <c r="AG366" s="4"/>
      <c r="AH366" s="4"/>
      <c r="AI366" s="4"/>
      <c r="AJ366" s="76" t="str">
        <f>IF(E366="○",IF(COUNTA(E$13:E366)=1,"",",")&amp;D366,"")</f>
        <v/>
      </c>
      <c r="AK366" s="4"/>
      <c r="AL366" s="4"/>
      <c r="AM366" s="4"/>
      <c r="AN366" s="4"/>
      <c r="AO366" s="4"/>
      <c r="AP366" s="4"/>
      <c r="AQ366" s="4"/>
      <c r="AR366" s="4"/>
      <c r="AS366" s="76" t="str">
        <f>"COMMENT ON COLUMN "&amp;エンティティ一覧!$O$2&amp;"."&amp;D$8&amp;"."&amp;D366&amp;" IS '"&amp;C366&amp;"';"</f>
        <v>COMMENT ON COLUMN milscm_2023_009.sny_202310_annony_non_annony2.shikkan348_start_date IS 'C752_疾患開始日';</v>
      </c>
    </row>
    <row r="367" spans="1:45" s="25" customFormat="1">
      <c r="A367" s="4" t="s">
        <v>5491</v>
      </c>
      <c r="B367" s="21">
        <f t="shared" si="42"/>
        <v>355</v>
      </c>
      <c r="C367" s="13" t="str">
        <f t="shared" si="43"/>
        <v>C753_疾患開始日</v>
      </c>
      <c r="D367" s="13" t="s">
        <v>6009</v>
      </c>
      <c r="E367" s="8"/>
      <c r="F367" s="7" t="s">
        <v>4348</v>
      </c>
      <c r="G367" s="7" t="s">
        <v>25</v>
      </c>
      <c r="H367" s="58"/>
      <c r="I367" s="23"/>
      <c r="J367" s="24"/>
      <c r="M367" s="4"/>
      <c r="N367" s="76"/>
      <c r="O367" s="76"/>
      <c r="P367" s="76" t="str">
        <f t="shared" si="37"/>
        <v>,shikkan349_start_date</v>
      </c>
      <c r="Q367" s="76" t="str">
        <f t="shared" si="38"/>
        <v>DATE</v>
      </c>
      <c r="R367" s="76" t="str">
        <f t="shared" si="39"/>
        <v/>
      </c>
      <c r="S367" s="76" t="str">
        <f t="shared" si="40"/>
        <v/>
      </c>
      <c r="T367" s="76" t="str">
        <f t="shared" si="41"/>
        <v>-- C753_疾患開始日</v>
      </c>
      <c r="U367" s="4" t="str">
        <f t="shared" si="35"/>
        <v>, CASE WHEN shikkan_disp_name = 'C753' THEN min_shikkan_start_date ::DATE ELSE NULL END AS shikkan349_start_date</v>
      </c>
      <c r="V367" s="25" t="str">
        <f t="shared" si="36"/>
        <v>, max(shikkan349_start_date)</v>
      </c>
      <c r="AA367" s="4"/>
      <c r="AB367" s="4"/>
      <c r="AC367" s="4"/>
      <c r="AD367" s="4"/>
      <c r="AE367" s="4"/>
      <c r="AF367" s="4"/>
      <c r="AG367" s="4"/>
      <c r="AH367" s="4"/>
      <c r="AI367" s="4"/>
      <c r="AJ367" s="76" t="str">
        <f>IF(E367="○",IF(COUNTA(E$13:E367)=1,"",",")&amp;D367,"")</f>
        <v/>
      </c>
      <c r="AK367" s="4"/>
      <c r="AL367" s="4"/>
      <c r="AM367" s="4"/>
      <c r="AN367" s="4"/>
      <c r="AO367" s="4"/>
      <c r="AP367" s="4"/>
      <c r="AQ367" s="4"/>
      <c r="AR367" s="4"/>
      <c r="AS367" s="76" t="str">
        <f>"COMMENT ON COLUMN "&amp;エンティティ一覧!$O$2&amp;"."&amp;D$8&amp;"."&amp;D367&amp;" IS '"&amp;C367&amp;"';"</f>
        <v>COMMENT ON COLUMN milscm_2023_009.sny_202310_annony_non_annony2.shikkan349_start_date IS 'C753_疾患開始日';</v>
      </c>
    </row>
    <row r="368" spans="1:45" s="25" customFormat="1">
      <c r="A368" s="4" t="s">
        <v>5492</v>
      </c>
      <c r="B368" s="21">
        <f t="shared" si="42"/>
        <v>356</v>
      </c>
      <c r="C368" s="13" t="str">
        <f t="shared" si="43"/>
        <v>C754_疾患開始日</v>
      </c>
      <c r="D368" s="13" t="s">
        <v>6010</v>
      </c>
      <c r="E368" s="8"/>
      <c r="F368" s="7" t="s">
        <v>4348</v>
      </c>
      <c r="G368" s="7" t="s">
        <v>25</v>
      </c>
      <c r="H368" s="58"/>
      <c r="I368" s="23"/>
      <c r="J368" s="24"/>
      <c r="M368" s="4"/>
      <c r="N368" s="76"/>
      <c r="O368" s="76"/>
      <c r="P368" s="76" t="str">
        <f t="shared" si="37"/>
        <v>,shikkan350_start_date</v>
      </c>
      <c r="Q368" s="76" t="str">
        <f t="shared" si="38"/>
        <v>DATE</v>
      </c>
      <c r="R368" s="76" t="str">
        <f t="shared" si="39"/>
        <v/>
      </c>
      <c r="S368" s="76" t="str">
        <f t="shared" si="40"/>
        <v/>
      </c>
      <c r="T368" s="76" t="str">
        <f t="shared" si="41"/>
        <v>-- C754_疾患開始日</v>
      </c>
      <c r="U368" s="4" t="str">
        <f t="shared" si="35"/>
        <v>, CASE WHEN shikkan_disp_name = 'C754' THEN min_shikkan_start_date ::DATE ELSE NULL END AS shikkan350_start_date</v>
      </c>
      <c r="V368" s="25" t="str">
        <f t="shared" si="36"/>
        <v>, max(shikkan350_start_date)</v>
      </c>
      <c r="AA368" s="4"/>
      <c r="AB368" s="4"/>
      <c r="AC368" s="4"/>
      <c r="AD368" s="4"/>
      <c r="AE368" s="4"/>
      <c r="AF368" s="4"/>
      <c r="AG368" s="4"/>
      <c r="AH368" s="4"/>
      <c r="AI368" s="4"/>
      <c r="AJ368" s="76" t="str">
        <f>IF(E368="○",IF(COUNTA(E$13:E368)=1,"",",")&amp;D368,"")</f>
        <v/>
      </c>
      <c r="AK368" s="4"/>
      <c r="AL368" s="4"/>
      <c r="AM368" s="4"/>
      <c r="AN368" s="4"/>
      <c r="AO368" s="4"/>
      <c r="AP368" s="4"/>
      <c r="AQ368" s="4"/>
      <c r="AR368" s="4"/>
      <c r="AS368" s="76" t="str">
        <f>"COMMENT ON COLUMN "&amp;エンティティ一覧!$O$2&amp;"."&amp;D$8&amp;"."&amp;D368&amp;" IS '"&amp;C368&amp;"';"</f>
        <v>COMMENT ON COLUMN milscm_2023_009.sny_202310_annony_non_annony2.shikkan350_start_date IS 'C754_疾患開始日';</v>
      </c>
    </row>
    <row r="369" spans="1:45" s="25" customFormat="1">
      <c r="A369" s="4" t="s">
        <v>5493</v>
      </c>
      <c r="B369" s="21">
        <f t="shared" si="42"/>
        <v>357</v>
      </c>
      <c r="C369" s="13" t="str">
        <f t="shared" si="43"/>
        <v>C755_疾患開始日</v>
      </c>
      <c r="D369" s="13" t="s">
        <v>6011</v>
      </c>
      <c r="E369" s="8"/>
      <c r="F369" s="7" t="s">
        <v>4348</v>
      </c>
      <c r="G369" s="7" t="s">
        <v>25</v>
      </c>
      <c r="H369" s="58"/>
      <c r="I369" s="23"/>
      <c r="J369" s="24"/>
      <c r="M369" s="4"/>
      <c r="N369" s="76"/>
      <c r="O369" s="76"/>
      <c r="P369" s="76" t="str">
        <f t="shared" si="37"/>
        <v>,shikkan351_start_date</v>
      </c>
      <c r="Q369" s="76" t="str">
        <f t="shared" si="38"/>
        <v>DATE</v>
      </c>
      <c r="R369" s="76" t="str">
        <f t="shared" si="39"/>
        <v/>
      </c>
      <c r="S369" s="76" t="str">
        <f t="shared" si="40"/>
        <v/>
      </c>
      <c r="T369" s="76" t="str">
        <f t="shared" si="41"/>
        <v>-- C755_疾患開始日</v>
      </c>
      <c r="U369" s="4" t="str">
        <f t="shared" si="35"/>
        <v>, CASE WHEN shikkan_disp_name = 'C755' THEN min_shikkan_start_date ::DATE ELSE NULL END AS shikkan351_start_date</v>
      </c>
      <c r="V369" s="25" t="str">
        <f t="shared" si="36"/>
        <v>, max(shikkan351_start_date)</v>
      </c>
      <c r="AA369" s="4"/>
      <c r="AB369" s="4"/>
      <c r="AC369" s="4"/>
      <c r="AD369" s="4"/>
      <c r="AE369" s="4"/>
      <c r="AF369" s="4"/>
      <c r="AG369" s="4"/>
      <c r="AH369" s="4"/>
      <c r="AI369" s="4"/>
      <c r="AJ369" s="76" t="str">
        <f>IF(E369="○",IF(COUNTA(E$13:E369)=1,"",",")&amp;D369,"")</f>
        <v/>
      </c>
      <c r="AK369" s="4"/>
      <c r="AL369" s="4"/>
      <c r="AM369" s="4"/>
      <c r="AN369" s="4"/>
      <c r="AO369" s="4"/>
      <c r="AP369" s="4"/>
      <c r="AQ369" s="4"/>
      <c r="AR369" s="4"/>
      <c r="AS369" s="76" t="str">
        <f>"COMMENT ON COLUMN "&amp;エンティティ一覧!$O$2&amp;"."&amp;D$8&amp;"."&amp;D369&amp;" IS '"&amp;C369&amp;"';"</f>
        <v>COMMENT ON COLUMN milscm_2023_009.sny_202310_annony_non_annony2.shikkan351_start_date IS 'C755_疾患開始日';</v>
      </c>
    </row>
    <row r="370" spans="1:45" s="25" customFormat="1">
      <c r="A370" s="4" t="s">
        <v>5494</v>
      </c>
      <c r="B370" s="21">
        <f t="shared" si="42"/>
        <v>358</v>
      </c>
      <c r="C370" s="13" t="str">
        <f t="shared" si="43"/>
        <v>C758_疾患開始日</v>
      </c>
      <c r="D370" s="13" t="s">
        <v>6012</v>
      </c>
      <c r="E370" s="8"/>
      <c r="F370" s="7" t="s">
        <v>4348</v>
      </c>
      <c r="G370" s="7" t="s">
        <v>99</v>
      </c>
      <c r="H370" s="58"/>
      <c r="I370" s="23"/>
      <c r="J370" s="24"/>
      <c r="M370" s="4"/>
      <c r="N370" s="76"/>
      <c r="O370" s="76"/>
      <c r="P370" s="76" t="str">
        <f t="shared" si="37"/>
        <v>,shikkan352_start_date</v>
      </c>
      <c r="Q370" s="76" t="str">
        <f t="shared" si="38"/>
        <v>DATE</v>
      </c>
      <c r="R370" s="76" t="str">
        <f t="shared" si="39"/>
        <v/>
      </c>
      <c r="S370" s="76" t="str">
        <f t="shared" si="40"/>
        <v/>
      </c>
      <c r="T370" s="76" t="str">
        <f t="shared" si="41"/>
        <v>-- C758_疾患開始日</v>
      </c>
      <c r="U370" s="4" t="str">
        <f t="shared" si="35"/>
        <v>, CASE WHEN shikkan_disp_name = 'C758' THEN min_shikkan_start_date ::DATE ELSE NULL END AS shikkan352_start_date</v>
      </c>
      <c r="V370" s="25" t="str">
        <f t="shared" si="36"/>
        <v>, max(shikkan352_start_date)</v>
      </c>
      <c r="AA370" s="4"/>
      <c r="AB370" s="4"/>
      <c r="AC370" s="4"/>
      <c r="AD370" s="4"/>
      <c r="AE370" s="4"/>
      <c r="AF370" s="4"/>
      <c r="AG370" s="4"/>
      <c r="AH370" s="4"/>
      <c r="AI370" s="4"/>
      <c r="AJ370" s="76" t="str">
        <f>IF(E370="○",IF(COUNTA(E$13:E370)=1,"",",")&amp;D370,"")</f>
        <v/>
      </c>
      <c r="AK370" s="4"/>
      <c r="AL370" s="4"/>
      <c r="AM370" s="4"/>
      <c r="AN370" s="4"/>
      <c r="AO370" s="4"/>
      <c r="AP370" s="4"/>
      <c r="AQ370" s="4"/>
      <c r="AR370" s="4"/>
      <c r="AS370" s="76" t="str">
        <f>"COMMENT ON COLUMN "&amp;エンティティ一覧!$O$2&amp;"."&amp;D$8&amp;"."&amp;D370&amp;" IS '"&amp;C370&amp;"';"</f>
        <v>COMMENT ON COLUMN milscm_2023_009.sny_202310_annony_non_annony2.shikkan352_start_date IS 'C758_疾患開始日';</v>
      </c>
    </row>
    <row r="371" spans="1:45" s="25" customFormat="1">
      <c r="A371" s="4" t="s">
        <v>5495</v>
      </c>
      <c r="B371" s="21">
        <f t="shared" si="42"/>
        <v>359</v>
      </c>
      <c r="C371" s="13" t="str">
        <f t="shared" si="43"/>
        <v>C759_疾患開始日</v>
      </c>
      <c r="D371" s="13" t="s">
        <v>6013</v>
      </c>
      <c r="E371" s="8"/>
      <c r="F371" s="7" t="s">
        <v>4348</v>
      </c>
      <c r="G371" s="7" t="s">
        <v>25</v>
      </c>
      <c r="H371" s="58"/>
      <c r="I371" s="23"/>
      <c r="J371" s="24"/>
      <c r="M371" s="4"/>
      <c r="N371" s="76"/>
      <c r="O371" s="76"/>
      <c r="P371" s="76" t="str">
        <f t="shared" si="37"/>
        <v>,shikkan353_start_date</v>
      </c>
      <c r="Q371" s="76" t="str">
        <f t="shared" si="38"/>
        <v>DATE</v>
      </c>
      <c r="R371" s="76" t="str">
        <f t="shared" si="39"/>
        <v/>
      </c>
      <c r="S371" s="76" t="str">
        <f t="shared" si="40"/>
        <v/>
      </c>
      <c r="T371" s="76" t="str">
        <f t="shared" si="41"/>
        <v>-- C759_疾患開始日</v>
      </c>
      <c r="U371" s="4" t="str">
        <f t="shared" si="35"/>
        <v>, CASE WHEN shikkan_disp_name = 'C759' THEN min_shikkan_start_date ::DATE ELSE NULL END AS shikkan353_start_date</v>
      </c>
      <c r="V371" s="25" t="str">
        <f t="shared" si="36"/>
        <v>, max(shikkan353_start_date)</v>
      </c>
      <c r="AA371" s="4"/>
      <c r="AB371" s="4"/>
      <c r="AC371" s="4"/>
      <c r="AD371" s="4"/>
      <c r="AE371" s="4"/>
      <c r="AF371" s="4"/>
      <c r="AG371" s="4"/>
      <c r="AH371" s="4"/>
      <c r="AI371" s="4"/>
      <c r="AJ371" s="76" t="str">
        <f>IF(E371="○",IF(COUNTA(E$13:E371)=1,"",",")&amp;D371,"")</f>
        <v/>
      </c>
      <c r="AK371" s="4"/>
      <c r="AL371" s="4"/>
      <c r="AM371" s="4"/>
      <c r="AN371" s="4"/>
      <c r="AO371" s="4"/>
      <c r="AP371" s="4"/>
      <c r="AQ371" s="4"/>
      <c r="AR371" s="4"/>
      <c r="AS371" s="76" t="str">
        <f>"COMMENT ON COLUMN "&amp;エンティティ一覧!$O$2&amp;"."&amp;D$8&amp;"."&amp;D371&amp;" IS '"&amp;C371&amp;"';"</f>
        <v>COMMENT ON COLUMN milscm_2023_009.sny_202310_annony_non_annony2.shikkan353_start_date IS 'C759_疾患開始日';</v>
      </c>
    </row>
    <row r="372" spans="1:45" s="25" customFormat="1">
      <c r="A372" s="4" t="s">
        <v>5496</v>
      </c>
      <c r="B372" s="21">
        <f t="shared" si="42"/>
        <v>360</v>
      </c>
      <c r="C372" s="13" t="str">
        <f t="shared" si="43"/>
        <v>C760_疾患開始日</v>
      </c>
      <c r="D372" s="13" t="s">
        <v>6014</v>
      </c>
      <c r="E372" s="8"/>
      <c r="F372" s="7" t="s">
        <v>4348</v>
      </c>
      <c r="G372" s="7" t="s">
        <v>25</v>
      </c>
      <c r="H372" s="58"/>
      <c r="I372" s="23"/>
      <c r="J372" s="24"/>
      <c r="M372" s="4"/>
      <c r="N372" s="76"/>
      <c r="O372" s="76"/>
      <c r="P372" s="76" t="str">
        <f t="shared" si="37"/>
        <v>,shikkan354_start_date</v>
      </c>
      <c r="Q372" s="76" t="str">
        <f t="shared" si="38"/>
        <v>DATE</v>
      </c>
      <c r="R372" s="76" t="str">
        <f t="shared" si="39"/>
        <v/>
      </c>
      <c r="S372" s="76" t="str">
        <f t="shared" si="40"/>
        <v/>
      </c>
      <c r="T372" s="76" t="str">
        <f t="shared" si="41"/>
        <v>-- C760_疾患開始日</v>
      </c>
      <c r="U372" s="4" t="str">
        <f t="shared" si="35"/>
        <v>, CASE WHEN shikkan_disp_name = 'C760' THEN min_shikkan_start_date ::DATE ELSE NULL END AS shikkan354_start_date</v>
      </c>
      <c r="V372" s="25" t="str">
        <f t="shared" si="36"/>
        <v>, max(shikkan354_start_date)</v>
      </c>
      <c r="AA372" s="4"/>
      <c r="AB372" s="4"/>
      <c r="AC372" s="4"/>
      <c r="AD372" s="4"/>
      <c r="AE372" s="4"/>
      <c r="AF372" s="4"/>
      <c r="AG372" s="4"/>
      <c r="AH372" s="4"/>
      <c r="AI372" s="4"/>
      <c r="AJ372" s="76" t="str">
        <f>IF(E372="○",IF(COUNTA(E$13:E372)=1,"",",")&amp;D372,"")</f>
        <v/>
      </c>
      <c r="AK372" s="4"/>
      <c r="AL372" s="4"/>
      <c r="AM372" s="4"/>
      <c r="AN372" s="4"/>
      <c r="AO372" s="4"/>
      <c r="AP372" s="4"/>
      <c r="AQ372" s="4"/>
      <c r="AR372" s="4"/>
      <c r="AS372" s="76" t="str">
        <f>"COMMENT ON COLUMN "&amp;エンティティ一覧!$O$2&amp;"."&amp;D$8&amp;"."&amp;D372&amp;" IS '"&amp;C372&amp;"';"</f>
        <v>COMMENT ON COLUMN milscm_2023_009.sny_202310_annony_non_annony2.shikkan354_start_date IS 'C760_疾患開始日';</v>
      </c>
    </row>
    <row r="373" spans="1:45" s="25" customFormat="1">
      <c r="A373" s="4" t="s">
        <v>5497</v>
      </c>
      <c r="B373" s="21">
        <f t="shared" si="42"/>
        <v>361</v>
      </c>
      <c r="C373" s="13" t="str">
        <f t="shared" si="43"/>
        <v>C761_疾患開始日</v>
      </c>
      <c r="D373" s="13" t="s">
        <v>6015</v>
      </c>
      <c r="E373" s="8"/>
      <c r="F373" s="7" t="s">
        <v>4348</v>
      </c>
      <c r="G373" s="7" t="s">
        <v>25</v>
      </c>
      <c r="H373" s="58"/>
      <c r="I373" s="23"/>
      <c r="J373" s="24"/>
      <c r="M373" s="4"/>
      <c r="N373" s="76"/>
      <c r="O373" s="76"/>
      <c r="P373" s="76" t="str">
        <f t="shared" si="37"/>
        <v>,shikkan355_start_date</v>
      </c>
      <c r="Q373" s="76" t="str">
        <f t="shared" si="38"/>
        <v>DATE</v>
      </c>
      <c r="R373" s="76" t="str">
        <f t="shared" si="39"/>
        <v/>
      </c>
      <c r="S373" s="76" t="str">
        <f t="shared" si="40"/>
        <v/>
      </c>
      <c r="T373" s="76" t="str">
        <f t="shared" si="41"/>
        <v>-- C761_疾患開始日</v>
      </c>
      <c r="U373" s="4" t="str">
        <f t="shared" si="35"/>
        <v>, CASE WHEN shikkan_disp_name = 'C761' THEN min_shikkan_start_date ::DATE ELSE NULL END AS shikkan355_start_date</v>
      </c>
      <c r="V373" s="25" t="str">
        <f t="shared" si="36"/>
        <v>, max(shikkan355_start_date)</v>
      </c>
      <c r="AA373" s="4"/>
      <c r="AB373" s="4"/>
      <c r="AC373" s="4"/>
      <c r="AD373" s="4"/>
      <c r="AE373" s="4"/>
      <c r="AF373" s="4"/>
      <c r="AG373" s="4"/>
      <c r="AH373" s="4"/>
      <c r="AI373" s="4"/>
      <c r="AJ373" s="76" t="str">
        <f>IF(E373="○",IF(COUNTA(E$13:E373)=1,"",",")&amp;D373,"")</f>
        <v/>
      </c>
      <c r="AK373" s="4"/>
      <c r="AL373" s="4"/>
      <c r="AM373" s="4"/>
      <c r="AN373" s="4"/>
      <c r="AO373" s="4"/>
      <c r="AP373" s="4"/>
      <c r="AQ373" s="4"/>
      <c r="AR373" s="4"/>
      <c r="AS373" s="76" t="str">
        <f>"COMMENT ON COLUMN "&amp;エンティティ一覧!$O$2&amp;"."&amp;D$8&amp;"."&amp;D373&amp;" IS '"&amp;C373&amp;"';"</f>
        <v>COMMENT ON COLUMN milscm_2023_009.sny_202310_annony_non_annony2.shikkan355_start_date IS 'C761_疾患開始日';</v>
      </c>
    </row>
    <row r="374" spans="1:45" s="25" customFormat="1">
      <c r="A374" s="4" t="s">
        <v>5498</v>
      </c>
      <c r="B374" s="21">
        <f t="shared" si="42"/>
        <v>362</v>
      </c>
      <c r="C374" s="13" t="str">
        <f t="shared" si="43"/>
        <v>C762_疾患開始日</v>
      </c>
      <c r="D374" s="13" t="s">
        <v>6016</v>
      </c>
      <c r="E374" s="8"/>
      <c r="F374" s="7" t="s">
        <v>4348</v>
      </c>
      <c r="G374" s="7" t="s">
        <v>25</v>
      </c>
      <c r="H374" s="58"/>
      <c r="I374" s="23"/>
      <c r="J374" s="24"/>
      <c r="M374" s="4"/>
      <c r="N374" s="76"/>
      <c r="O374" s="76"/>
      <c r="P374" s="76" t="str">
        <f t="shared" si="37"/>
        <v>,shikkan356_start_date</v>
      </c>
      <c r="Q374" s="76" t="str">
        <f t="shared" si="38"/>
        <v>DATE</v>
      </c>
      <c r="R374" s="76" t="str">
        <f t="shared" si="39"/>
        <v/>
      </c>
      <c r="S374" s="76" t="str">
        <f t="shared" si="40"/>
        <v/>
      </c>
      <c r="T374" s="76" t="str">
        <f t="shared" si="41"/>
        <v>-- C762_疾患開始日</v>
      </c>
      <c r="U374" s="4" t="str">
        <f t="shared" si="35"/>
        <v>, CASE WHEN shikkan_disp_name = 'C762' THEN min_shikkan_start_date ::DATE ELSE NULL END AS shikkan356_start_date</v>
      </c>
      <c r="V374" s="25" t="str">
        <f t="shared" si="36"/>
        <v>, max(shikkan356_start_date)</v>
      </c>
      <c r="AA374" s="4"/>
      <c r="AB374" s="4"/>
      <c r="AC374" s="4"/>
      <c r="AD374" s="4"/>
      <c r="AE374" s="4"/>
      <c r="AF374" s="4"/>
      <c r="AG374" s="4"/>
      <c r="AH374" s="4"/>
      <c r="AI374" s="4"/>
      <c r="AJ374" s="76" t="str">
        <f>IF(E374="○",IF(COUNTA(E$13:E374)=1,"",",")&amp;D374,"")</f>
        <v/>
      </c>
      <c r="AK374" s="4"/>
      <c r="AL374" s="4"/>
      <c r="AM374" s="4"/>
      <c r="AN374" s="4"/>
      <c r="AO374" s="4"/>
      <c r="AP374" s="4"/>
      <c r="AQ374" s="4"/>
      <c r="AR374" s="4"/>
      <c r="AS374" s="76" t="str">
        <f>"COMMENT ON COLUMN "&amp;エンティティ一覧!$O$2&amp;"."&amp;D$8&amp;"."&amp;D374&amp;" IS '"&amp;C374&amp;"';"</f>
        <v>COMMENT ON COLUMN milscm_2023_009.sny_202310_annony_non_annony2.shikkan356_start_date IS 'C762_疾患開始日';</v>
      </c>
    </row>
    <row r="375" spans="1:45" s="25" customFormat="1">
      <c r="A375" s="4" t="s">
        <v>5499</v>
      </c>
      <c r="B375" s="21">
        <f t="shared" si="42"/>
        <v>363</v>
      </c>
      <c r="C375" s="13" t="str">
        <f t="shared" si="43"/>
        <v>C763_疾患開始日</v>
      </c>
      <c r="D375" s="13" t="s">
        <v>6017</v>
      </c>
      <c r="E375" s="8"/>
      <c r="F375" s="7" t="s">
        <v>4348</v>
      </c>
      <c r="G375" s="7" t="s">
        <v>25</v>
      </c>
      <c r="H375" s="58"/>
      <c r="I375" s="23"/>
      <c r="J375" s="24"/>
      <c r="M375" s="4"/>
      <c r="N375" s="76"/>
      <c r="O375" s="76"/>
      <c r="P375" s="76" t="str">
        <f t="shared" si="37"/>
        <v>,shikkan357_start_date</v>
      </c>
      <c r="Q375" s="76" t="str">
        <f t="shared" si="38"/>
        <v>DATE</v>
      </c>
      <c r="R375" s="76" t="str">
        <f t="shared" si="39"/>
        <v/>
      </c>
      <c r="S375" s="76" t="str">
        <f t="shared" si="40"/>
        <v/>
      </c>
      <c r="T375" s="76" t="str">
        <f t="shared" si="41"/>
        <v>-- C763_疾患開始日</v>
      </c>
      <c r="U375" s="4" t="str">
        <f t="shared" si="35"/>
        <v>, CASE WHEN shikkan_disp_name = 'C763' THEN min_shikkan_start_date ::DATE ELSE NULL END AS shikkan357_start_date</v>
      </c>
      <c r="V375" s="25" t="str">
        <f t="shared" si="36"/>
        <v>, max(shikkan357_start_date)</v>
      </c>
      <c r="AA375" s="4"/>
      <c r="AB375" s="4"/>
      <c r="AC375" s="4"/>
      <c r="AD375" s="4"/>
      <c r="AE375" s="4"/>
      <c r="AF375" s="4"/>
      <c r="AG375" s="4"/>
      <c r="AH375" s="4"/>
      <c r="AI375" s="4"/>
      <c r="AJ375" s="76" t="str">
        <f>IF(E375="○",IF(COUNTA(E$13:E375)=1,"",",")&amp;D375,"")</f>
        <v/>
      </c>
      <c r="AK375" s="4"/>
      <c r="AL375" s="4"/>
      <c r="AM375" s="4"/>
      <c r="AN375" s="4"/>
      <c r="AO375" s="4"/>
      <c r="AP375" s="4"/>
      <c r="AQ375" s="4"/>
      <c r="AR375" s="4"/>
      <c r="AS375" s="76" t="str">
        <f>"COMMENT ON COLUMN "&amp;エンティティ一覧!$O$2&amp;"."&amp;D$8&amp;"."&amp;D375&amp;" IS '"&amp;C375&amp;"';"</f>
        <v>COMMENT ON COLUMN milscm_2023_009.sny_202310_annony_non_annony2.shikkan357_start_date IS 'C763_疾患開始日';</v>
      </c>
    </row>
    <row r="376" spans="1:45" s="25" customFormat="1">
      <c r="A376" s="4" t="s">
        <v>5500</v>
      </c>
      <c r="B376" s="21">
        <f t="shared" si="42"/>
        <v>364</v>
      </c>
      <c r="C376" s="13" t="str">
        <f t="shared" si="43"/>
        <v>C764_疾患開始日</v>
      </c>
      <c r="D376" s="13" t="s">
        <v>6018</v>
      </c>
      <c r="E376" s="8"/>
      <c r="F376" s="7" t="s">
        <v>4348</v>
      </c>
      <c r="G376" s="7" t="s">
        <v>25</v>
      </c>
      <c r="H376" s="58"/>
      <c r="I376" s="23"/>
      <c r="J376" s="24"/>
      <c r="M376" s="4"/>
      <c r="N376" s="76"/>
      <c r="O376" s="76"/>
      <c r="P376" s="76" t="str">
        <f t="shared" si="37"/>
        <v>,shikkan358_start_date</v>
      </c>
      <c r="Q376" s="76" t="str">
        <f t="shared" si="38"/>
        <v>DATE</v>
      </c>
      <c r="R376" s="76" t="str">
        <f t="shared" si="39"/>
        <v/>
      </c>
      <c r="S376" s="76" t="str">
        <f t="shared" si="40"/>
        <v/>
      </c>
      <c r="T376" s="76" t="str">
        <f t="shared" si="41"/>
        <v>-- C764_疾患開始日</v>
      </c>
      <c r="U376" s="4" t="str">
        <f t="shared" si="35"/>
        <v>, CASE WHEN shikkan_disp_name = 'C764' THEN min_shikkan_start_date ::DATE ELSE NULL END AS shikkan358_start_date</v>
      </c>
      <c r="V376" s="25" t="str">
        <f t="shared" si="36"/>
        <v>, max(shikkan358_start_date)</v>
      </c>
      <c r="AA376" s="4"/>
      <c r="AB376" s="4"/>
      <c r="AC376" s="4"/>
      <c r="AD376" s="4"/>
      <c r="AE376" s="4"/>
      <c r="AF376" s="4"/>
      <c r="AG376" s="4"/>
      <c r="AH376" s="4"/>
      <c r="AI376" s="4"/>
      <c r="AJ376" s="76" t="str">
        <f>IF(E376="○",IF(COUNTA(E$13:E376)=1,"",",")&amp;D376,"")</f>
        <v/>
      </c>
      <c r="AK376" s="4"/>
      <c r="AL376" s="4"/>
      <c r="AM376" s="4"/>
      <c r="AN376" s="4"/>
      <c r="AO376" s="4"/>
      <c r="AP376" s="4"/>
      <c r="AQ376" s="4"/>
      <c r="AR376" s="4"/>
      <c r="AS376" s="76" t="str">
        <f>"COMMENT ON COLUMN "&amp;エンティティ一覧!$O$2&amp;"."&amp;D$8&amp;"."&amp;D376&amp;" IS '"&amp;C376&amp;"';"</f>
        <v>COMMENT ON COLUMN milscm_2023_009.sny_202310_annony_non_annony2.shikkan358_start_date IS 'C764_疾患開始日';</v>
      </c>
    </row>
    <row r="377" spans="1:45" s="25" customFormat="1">
      <c r="A377" s="4" t="s">
        <v>5501</v>
      </c>
      <c r="B377" s="21">
        <f t="shared" si="42"/>
        <v>365</v>
      </c>
      <c r="C377" s="13" t="str">
        <f t="shared" si="43"/>
        <v>C765_疾患開始日</v>
      </c>
      <c r="D377" s="13" t="s">
        <v>6019</v>
      </c>
      <c r="E377" s="8"/>
      <c r="F377" s="7" t="s">
        <v>4348</v>
      </c>
      <c r="G377" s="7" t="s">
        <v>25</v>
      </c>
      <c r="H377" s="58"/>
      <c r="I377" s="23"/>
      <c r="J377" s="24"/>
      <c r="M377" s="4"/>
      <c r="N377" s="76"/>
      <c r="O377" s="76"/>
      <c r="P377" s="76" t="str">
        <f t="shared" si="37"/>
        <v>,shikkan359_start_date</v>
      </c>
      <c r="Q377" s="76" t="str">
        <f t="shared" si="38"/>
        <v>DATE</v>
      </c>
      <c r="R377" s="76" t="str">
        <f t="shared" si="39"/>
        <v/>
      </c>
      <c r="S377" s="76" t="str">
        <f t="shared" si="40"/>
        <v/>
      </c>
      <c r="T377" s="76" t="str">
        <f t="shared" si="41"/>
        <v>-- C765_疾患開始日</v>
      </c>
      <c r="U377" s="4" t="str">
        <f t="shared" si="35"/>
        <v>, CASE WHEN shikkan_disp_name = 'C765' THEN min_shikkan_start_date ::DATE ELSE NULL END AS shikkan359_start_date</v>
      </c>
      <c r="V377" s="25" t="str">
        <f t="shared" si="36"/>
        <v>, max(shikkan359_start_date)</v>
      </c>
      <c r="AA377" s="4"/>
      <c r="AB377" s="4"/>
      <c r="AC377" s="4"/>
      <c r="AD377" s="4"/>
      <c r="AE377" s="4"/>
      <c r="AF377" s="4"/>
      <c r="AG377" s="4"/>
      <c r="AH377" s="4"/>
      <c r="AI377" s="4"/>
      <c r="AJ377" s="76" t="str">
        <f>IF(E377="○",IF(COUNTA(E$13:E377)=1,"",",")&amp;D377,"")</f>
        <v/>
      </c>
      <c r="AK377" s="4"/>
      <c r="AL377" s="4"/>
      <c r="AM377" s="4"/>
      <c r="AN377" s="4"/>
      <c r="AO377" s="4"/>
      <c r="AP377" s="4"/>
      <c r="AQ377" s="4"/>
      <c r="AR377" s="4"/>
      <c r="AS377" s="76" t="str">
        <f>"COMMENT ON COLUMN "&amp;エンティティ一覧!$O$2&amp;"."&amp;D$8&amp;"."&amp;D377&amp;" IS '"&amp;C377&amp;"';"</f>
        <v>COMMENT ON COLUMN milscm_2023_009.sny_202310_annony_non_annony2.shikkan359_start_date IS 'C765_疾患開始日';</v>
      </c>
    </row>
    <row r="378" spans="1:45" s="25" customFormat="1">
      <c r="A378" s="4" t="s">
        <v>5502</v>
      </c>
      <c r="B378" s="21">
        <f t="shared" si="42"/>
        <v>366</v>
      </c>
      <c r="C378" s="13" t="str">
        <f t="shared" si="43"/>
        <v>C767_疾患開始日</v>
      </c>
      <c r="D378" s="13" t="s">
        <v>6020</v>
      </c>
      <c r="E378" s="8"/>
      <c r="F378" s="7" t="s">
        <v>4348</v>
      </c>
      <c r="G378" s="7" t="s">
        <v>25</v>
      </c>
      <c r="H378" s="58"/>
      <c r="I378" s="23"/>
      <c r="J378" s="24"/>
      <c r="M378" s="4"/>
      <c r="N378" s="76"/>
      <c r="O378" s="76"/>
      <c r="P378" s="76" t="str">
        <f t="shared" si="37"/>
        <v>,shikkan360_start_date</v>
      </c>
      <c r="Q378" s="76" t="str">
        <f t="shared" si="38"/>
        <v>DATE</v>
      </c>
      <c r="R378" s="76" t="str">
        <f t="shared" si="39"/>
        <v/>
      </c>
      <c r="S378" s="76" t="str">
        <f t="shared" si="40"/>
        <v/>
      </c>
      <c r="T378" s="76" t="str">
        <f t="shared" si="41"/>
        <v>-- C767_疾患開始日</v>
      </c>
      <c r="U378" s="4" t="str">
        <f t="shared" si="35"/>
        <v>, CASE WHEN shikkan_disp_name = 'C767' THEN min_shikkan_start_date ::DATE ELSE NULL END AS shikkan360_start_date</v>
      </c>
      <c r="V378" s="25" t="str">
        <f t="shared" si="36"/>
        <v>, max(shikkan360_start_date)</v>
      </c>
      <c r="AA378" s="4"/>
      <c r="AB378" s="4"/>
      <c r="AC378" s="4"/>
      <c r="AD378" s="4"/>
      <c r="AE378" s="4"/>
      <c r="AF378" s="4"/>
      <c r="AG378" s="4"/>
      <c r="AH378" s="4"/>
      <c r="AI378" s="4"/>
      <c r="AJ378" s="76" t="str">
        <f>IF(E378="○",IF(COUNTA(E$13:E378)=1,"",",")&amp;D378,"")</f>
        <v/>
      </c>
      <c r="AK378" s="4"/>
      <c r="AL378" s="4"/>
      <c r="AM378" s="4"/>
      <c r="AN378" s="4"/>
      <c r="AO378" s="4"/>
      <c r="AP378" s="4"/>
      <c r="AQ378" s="4"/>
      <c r="AR378" s="4"/>
      <c r="AS378" s="76" t="str">
        <f>"COMMENT ON COLUMN "&amp;エンティティ一覧!$O$2&amp;"."&amp;D$8&amp;"."&amp;D378&amp;" IS '"&amp;C378&amp;"';"</f>
        <v>COMMENT ON COLUMN milscm_2023_009.sny_202310_annony_non_annony2.shikkan360_start_date IS 'C767_疾患開始日';</v>
      </c>
    </row>
    <row r="379" spans="1:45" s="25" customFormat="1">
      <c r="A379" s="4" t="s">
        <v>5503</v>
      </c>
      <c r="B379" s="21">
        <f t="shared" si="42"/>
        <v>367</v>
      </c>
      <c r="C379" s="13" t="str">
        <f t="shared" si="43"/>
        <v>C768_疾患開始日</v>
      </c>
      <c r="D379" s="13" t="s">
        <v>6021</v>
      </c>
      <c r="E379" s="8"/>
      <c r="F379" s="7" t="s">
        <v>4348</v>
      </c>
      <c r="G379" s="7" t="s">
        <v>25</v>
      </c>
      <c r="H379" s="58"/>
      <c r="I379" s="23"/>
      <c r="J379" s="24"/>
      <c r="M379" s="4"/>
      <c r="N379" s="76"/>
      <c r="O379" s="76"/>
      <c r="P379" s="76" t="str">
        <f t="shared" si="37"/>
        <v>,shikkan361_start_date</v>
      </c>
      <c r="Q379" s="76" t="str">
        <f t="shared" si="38"/>
        <v>DATE</v>
      </c>
      <c r="R379" s="76" t="str">
        <f t="shared" si="39"/>
        <v/>
      </c>
      <c r="S379" s="76" t="str">
        <f t="shared" si="40"/>
        <v/>
      </c>
      <c r="T379" s="76" t="str">
        <f t="shared" si="41"/>
        <v>-- C768_疾患開始日</v>
      </c>
      <c r="U379" s="4" t="str">
        <f t="shared" si="35"/>
        <v>, CASE WHEN shikkan_disp_name = 'C768' THEN min_shikkan_start_date ::DATE ELSE NULL END AS shikkan361_start_date</v>
      </c>
      <c r="V379" s="25" t="str">
        <f t="shared" si="36"/>
        <v>, max(shikkan361_start_date)</v>
      </c>
      <c r="AA379" s="4"/>
      <c r="AB379" s="4"/>
      <c r="AC379" s="4"/>
      <c r="AD379" s="4"/>
      <c r="AE379" s="4"/>
      <c r="AF379" s="4"/>
      <c r="AG379" s="4"/>
      <c r="AH379" s="4"/>
      <c r="AI379" s="4"/>
      <c r="AJ379" s="76" t="str">
        <f>IF(E379="○",IF(COUNTA(E$13:E379)=1,"",",")&amp;D379,"")</f>
        <v/>
      </c>
      <c r="AK379" s="4"/>
      <c r="AL379" s="4"/>
      <c r="AM379" s="4"/>
      <c r="AN379" s="4"/>
      <c r="AO379" s="4"/>
      <c r="AP379" s="4"/>
      <c r="AQ379" s="4"/>
      <c r="AR379" s="4"/>
      <c r="AS379" s="76" t="str">
        <f>"COMMENT ON COLUMN "&amp;エンティティ一覧!$O$2&amp;"."&amp;D$8&amp;"."&amp;D379&amp;" IS '"&amp;C379&amp;"';"</f>
        <v>COMMENT ON COLUMN milscm_2023_009.sny_202310_annony_non_annony2.shikkan361_start_date IS 'C768_疾患開始日';</v>
      </c>
    </row>
    <row r="380" spans="1:45" s="25" customFormat="1">
      <c r="A380" s="4" t="s">
        <v>5504</v>
      </c>
      <c r="B380" s="21">
        <f t="shared" si="42"/>
        <v>368</v>
      </c>
      <c r="C380" s="13" t="str">
        <f t="shared" si="43"/>
        <v>C770_疾患開始日</v>
      </c>
      <c r="D380" s="13" t="s">
        <v>6022</v>
      </c>
      <c r="E380" s="8"/>
      <c r="F380" s="7" t="s">
        <v>4348</v>
      </c>
      <c r="G380" s="7" t="s">
        <v>25</v>
      </c>
      <c r="H380" s="58"/>
      <c r="I380" s="23"/>
      <c r="J380" s="24"/>
      <c r="M380" s="4"/>
      <c r="N380" s="76"/>
      <c r="O380" s="76"/>
      <c r="P380" s="76" t="str">
        <f t="shared" si="37"/>
        <v>,shikkan362_start_date</v>
      </c>
      <c r="Q380" s="76" t="str">
        <f t="shared" si="38"/>
        <v>DATE</v>
      </c>
      <c r="R380" s="76" t="str">
        <f t="shared" si="39"/>
        <v/>
      </c>
      <c r="S380" s="76" t="str">
        <f t="shared" si="40"/>
        <v/>
      </c>
      <c r="T380" s="76" t="str">
        <f t="shared" si="41"/>
        <v>-- C770_疾患開始日</v>
      </c>
      <c r="U380" s="4" t="str">
        <f t="shared" si="35"/>
        <v>, CASE WHEN shikkan_disp_name = 'C770' THEN min_shikkan_start_date ::DATE ELSE NULL END AS shikkan362_start_date</v>
      </c>
      <c r="V380" s="25" t="str">
        <f t="shared" si="36"/>
        <v>, max(shikkan362_start_date)</v>
      </c>
      <c r="AA380" s="4"/>
      <c r="AB380" s="4"/>
      <c r="AC380" s="4"/>
      <c r="AD380" s="4"/>
      <c r="AE380" s="4"/>
      <c r="AF380" s="4"/>
      <c r="AG380" s="4"/>
      <c r="AH380" s="4"/>
      <c r="AI380" s="4"/>
      <c r="AJ380" s="76" t="str">
        <f>IF(E380="○",IF(COUNTA(E$13:E380)=1,"",",")&amp;D380,"")</f>
        <v/>
      </c>
      <c r="AK380" s="4"/>
      <c r="AL380" s="4"/>
      <c r="AM380" s="4"/>
      <c r="AN380" s="4"/>
      <c r="AO380" s="4"/>
      <c r="AP380" s="4"/>
      <c r="AQ380" s="4"/>
      <c r="AR380" s="4"/>
      <c r="AS380" s="76" t="str">
        <f>"COMMENT ON COLUMN "&amp;エンティティ一覧!$O$2&amp;"."&amp;D$8&amp;"."&amp;D380&amp;" IS '"&amp;C380&amp;"';"</f>
        <v>COMMENT ON COLUMN milscm_2023_009.sny_202310_annony_non_annony2.shikkan362_start_date IS 'C770_疾患開始日';</v>
      </c>
    </row>
    <row r="381" spans="1:45" s="25" customFormat="1">
      <c r="A381" s="4" t="s">
        <v>5505</v>
      </c>
      <c r="B381" s="21">
        <f t="shared" si="42"/>
        <v>369</v>
      </c>
      <c r="C381" s="13" t="str">
        <f t="shared" si="43"/>
        <v>C771_疾患開始日</v>
      </c>
      <c r="D381" s="13" t="s">
        <v>6023</v>
      </c>
      <c r="E381" s="8"/>
      <c r="F381" s="7" t="s">
        <v>4348</v>
      </c>
      <c r="G381" s="7" t="s">
        <v>25</v>
      </c>
      <c r="H381" s="58"/>
      <c r="I381" s="23"/>
      <c r="J381" s="24"/>
      <c r="M381" s="4"/>
      <c r="N381" s="76"/>
      <c r="O381" s="76"/>
      <c r="P381" s="76" t="str">
        <f t="shared" si="37"/>
        <v>,shikkan363_start_date</v>
      </c>
      <c r="Q381" s="76" t="str">
        <f t="shared" si="38"/>
        <v>DATE</v>
      </c>
      <c r="R381" s="76" t="str">
        <f t="shared" si="39"/>
        <v/>
      </c>
      <c r="S381" s="76" t="str">
        <f t="shared" si="40"/>
        <v/>
      </c>
      <c r="T381" s="76" t="str">
        <f t="shared" si="41"/>
        <v>-- C771_疾患開始日</v>
      </c>
      <c r="U381" s="4" t="str">
        <f t="shared" si="35"/>
        <v>, CASE WHEN shikkan_disp_name = 'C771' THEN min_shikkan_start_date ::DATE ELSE NULL END AS shikkan363_start_date</v>
      </c>
      <c r="V381" s="25" t="str">
        <f t="shared" si="36"/>
        <v>, max(shikkan363_start_date)</v>
      </c>
      <c r="AA381" s="4"/>
      <c r="AB381" s="4"/>
      <c r="AC381" s="4"/>
      <c r="AD381" s="4"/>
      <c r="AE381" s="4"/>
      <c r="AF381" s="4"/>
      <c r="AG381" s="4"/>
      <c r="AH381" s="4"/>
      <c r="AI381" s="4"/>
      <c r="AJ381" s="76" t="str">
        <f>IF(E381="○",IF(COUNTA(E$13:E381)=1,"",",")&amp;D381,"")</f>
        <v/>
      </c>
      <c r="AK381" s="4"/>
      <c r="AL381" s="4"/>
      <c r="AM381" s="4"/>
      <c r="AN381" s="4"/>
      <c r="AO381" s="4"/>
      <c r="AP381" s="4"/>
      <c r="AQ381" s="4"/>
      <c r="AR381" s="4"/>
      <c r="AS381" s="76" t="str">
        <f>"COMMENT ON COLUMN "&amp;エンティティ一覧!$O$2&amp;"."&amp;D$8&amp;"."&amp;D381&amp;" IS '"&amp;C381&amp;"';"</f>
        <v>COMMENT ON COLUMN milscm_2023_009.sny_202310_annony_non_annony2.shikkan363_start_date IS 'C771_疾患開始日';</v>
      </c>
    </row>
    <row r="382" spans="1:45" s="25" customFormat="1">
      <c r="A382" s="4" t="s">
        <v>5506</v>
      </c>
      <c r="B382" s="21">
        <f t="shared" si="42"/>
        <v>370</v>
      </c>
      <c r="C382" s="13" t="str">
        <f t="shared" si="43"/>
        <v>C772_疾患開始日</v>
      </c>
      <c r="D382" s="13" t="s">
        <v>6024</v>
      </c>
      <c r="E382" s="8"/>
      <c r="F382" s="7" t="s">
        <v>4348</v>
      </c>
      <c r="G382" s="7" t="s">
        <v>25</v>
      </c>
      <c r="H382" s="58"/>
      <c r="I382" s="23"/>
      <c r="J382" s="24"/>
      <c r="M382" s="4"/>
      <c r="N382" s="76"/>
      <c r="O382" s="76"/>
      <c r="P382" s="76" t="str">
        <f t="shared" si="37"/>
        <v>,shikkan364_start_date</v>
      </c>
      <c r="Q382" s="76" t="str">
        <f t="shared" si="38"/>
        <v>DATE</v>
      </c>
      <c r="R382" s="76" t="str">
        <f t="shared" si="39"/>
        <v/>
      </c>
      <c r="S382" s="76" t="str">
        <f t="shared" si="40"/>
        <v/>
      </c>
      <c r="T382" s="76" t="str">
        <f t="shared" si="41"/>
        <v>-- C772_疾患開始日</v>
      </c>
      <c r="U382" s="4" t="str">
        <f t="shared" si="35"/>
        <v>, CASE WHEN shikkan_disp_name = 'C772' THEN min_shikkan_start_date ::DATE ELSE NULL END AS shikkan364_start_date</v>
      </c>
      <c r="V382" s="25" t="str">
        <f t="shared" si="36"/>
        <v>, max(shikkan364_start_date)</v>
      </c>
      <c r="AA382" s="4"/>
      <c r="AB382" s="4"/>
      <c r="AC382" s="4"/>
      <c r="AD382" s="4"/>
      <c r="AE382" s="4"/>
      <c r="AF382" s="4"/>
      <c r="AG382" s="4"/>
      <c r="AH382" s="4"/>
      <c r="AI382" s="4"/>
      <c r="AJ382" s="76" t="str">
        <f>IF(E382="○",IF(COUNTA(E$13:E382)=1,"",",")&amp;D382,"")</f>
        <v/>
      </c>
      <c r="AK382" s="4"/>
      <c r="AL382" s="4"/>
      <c r="AM382" s="4"/>
      <c r="AN382" s="4"/>
      <c r="AO382" s="4"/>
      <c r="AP382" s="4"/>
      <c r="AQ382" s="4"/>
      <c r="AR382" s="4"/>
      <c r="AS382" s="76" t="str">
        <f>"COMMENT ON COLUMN "&amp;エンティティ一覧!$O$2&amp;"."&amp;D$8&amp;"."&amp;D382&amp;" IS '"&amp;C382&amp;"';"</f>
        <v>COMMENT ON COLUMN milscm_2023_009.sny_202310_annony_non_annony2.shikkan364_start_date IS 'C772_疾患開始日';</v>
      </c>
    </row>
    <row r="383" spans="1:45" s="25" customFormat="1">
      <c r="A383" s="4" t="s">
        <v>5507</v>
      </c>
      <c r="B383" s="21">
        <f t="shared" si="42"/>
        <v>371</v>
      </c>
      <c r="C383" s="13" t="str">
        <f t="shared" si="43"/>
        <v>C773_疾患開始日</v>
      </c>
      <c r="D383" s="13" t="s">
        <v>6025</v>
      </c>
      <c r="E383" s="8"/>
      <c r="F383" s="7" t="s">
        <v>4348</v>
      </c>
      <c r="G383" s="7" t="s">
        <v>25</v>
      </c>
      <c r="H383" s="58"/>
      <c r="I383" s="23"/>
      <c r="J383" s="24"/>
      <c r="M383" s="4"/>
      <c r="N383" s="76"/>
      <c r="O383" s="76"/>
      <c r="P383" s="76" t="str">
        <f t="shared" si="37"/>
        <v>,shikkan365_start_date</v>
      </c>
      <c r="Q383" s="76" t="str">
        <f t="shared" si="38"/>
        <v>DATE</v>
      </c>
      <c r="R383" s="76" t="str">
        <f t="shared" si="39"/>
        <v/>
      </c>
      <c r="S383" s="76" t="str">
        <f t="shared" si="40"/>
        <v/>
      </c>
      <c r="T383" s="76" t="str">
        <f t="shared" si="41"/>
        <v>-- C773_疾患開始日</v>
      </c>
      <c r="U383" s="4" t="str">
        <f t="shared" si="35"/>
        <v>, CASE WHEN shikkan_disp_name = 'C773' THEN min_shikkan_start_date ::DATE ELSE NULL END AS shikkan365_start_date</v>
      </c>
      <c r="V383" s="25" t="str">
        <f t="shared" si="36"/>
        <v>, max(shikkan365_start_date)</v>
      </c>
      <c r="AA383" s="4"/>
      <c r="AB383" s="4"/>
      <c r="AC383" s="4"/>
      <c r="AD383" s="4"/>
      <c r="AE383" s="4"/>
      <c r="AF383" s="4"/>
      <c r="AG383" s="4"/>
      <c r="AH383" s="4"/>
      <c r="AI383" s="4"/>
      <c r="AJ383" s="76" t="str">
        <f>IF(E383="○",IF(COUNTA(E$13:E383)=1,"",",")&amp;D383,"")</f>
        <v/>
      </c>
      <c r="AK383" s="4"/>
      <c r="AL383" s="4"/>
      <c r="AM383" s="4"/>
      <c r="AN383" s="4"/>
      <c r="AO383" s="4"/>
      <c r="AP383" s="4"/>
      <c r="AQ383" s="4"/>
      <c r="AR383" s="4"/>
      <c r="AS383" s="76" t="str">
        <f>"COMMENT ON COLUMN "&amp;エンティティ一覧!$O$2&amp;"."&amp;D$8&amp;"."&amp;D383&amp;" IS '"&amp;C383&amp;"';"</f>
        <v>COMMENT ON COLUMN milscm_2023_009.sny_202310_annony_non_annony2.shikkan365_start_date IS 'C773_疾患開始日';</v>
      </c>
    </row>
    <row r="384" spans="1:45" s="25" customFormat="1">
      <c r="A384" s="4" t="s">
        <v>5508</v>
      </c>
      <c r="B384" s="21">
        <f t="shared" si="42"/>
        <v>372</v>
      </c>
      <c r="C384" s="13" t="str">
        <f t="shared" si="43"/>
        <v>C774_疾患開始日</v>
      </c>
      <c r="D384" s="13" t="s">
        <v>6026</v>
      </c>
      <c r="E384" s="8"/>
      <c r="F384" s="7" t="s">
        <v>4348</v>
      </c>
      <c r="G384" s="7" t="s">
        <v>25</v>
      </c>
      <c r="H384" s="58"/>
      <c r="I384" s="23"/>
      <c r="J384" s="24"/>
      <c r="M384" s="4"/>
      <c r="N384" s="76"/>
      <c r="O384" s="76"/>
      <c r="P384" s="76" t="str">
        <f t="shared" si="37"/>
        <v>,shikkan366_start_date</v>
      </c>
      <c r="Q384" s="76" t="str">
        <f t="shared" si="38"/>
        <v>DATE</v>
      </c>
      <c r="R384" s="76" t="str">
        <f t="shared" si="39"/>
        <v/>
      </c>
      <c r="S384" s="76" t="str">
        <f t="shared" si="40"/>
        <v/>
      </c>
      <c r="T384" s="76" t="str">
        <f t="shared" si="41"/>
        <v>-- C774_疾患開始日</v>
      </c>
      <c r="U384" s="4" t="str">
        <f t="shared" si="35"/>
        <v>, CASE WHEN shikkan_disp_name = 'C774' THEN min_shikkan_start_date ::DATE ELSE NULL END AS shikkan366_start_date</v>
      </c>
      <c r="V384" s="25" t="str">
        <f t="shared" si="36"/>
        <v>, max(shikkan366_start_date)</v>
      </c>
      <c r="AA384" s="4"/>
      <c r="AB384" s="4"/>
      <c r="AC384" s="4"/>
      <c r="AD384" s="4"/>
      <c r="AE384" s="4"/>
      <c r="AF384" s="4"/>
      <c r="AG384" s="4"/>
      <c r="AH384" s="4"/>
      <c r="AI384" s="4"/>
      <c r="AJ384" s="76" t="str">
        <f>IF(E384="○",IF(COUNTA(E$13:E384)=1,"",",")&amp;D384,"")</f>
        <v/>
      </c>
      <c r="AK384" s="4"/>
      <c r="AL384" s="4"/>
      <c r="AM384" s="4"/>
      <c r="AN384" s="4"/>
      <c r="AO384" s="4"/>
      <c r="AP384" s="4"/>
      <c r="AQ384" s="4"/>
      <c r="AR384" s="4"/>
      <c r="AS384" s="76" t="str">
        <f>"COMMENT ON COLUMN "&amp;エンティティ一覧!$O$2&amp;"."&amp;D$8&amp;"."&amp;D384&amp;" IS '"&amp;C384&amp;"';"</f>
        <v>COMMENT ON COLUMN milscm_2023_009.sny_202310_annony_non_annony2.shikkan366_start_date IS 'C774_疾患開始日';</v>
      </c>
    </row>
    <row r="385" spans="1:45" s="25" customFormat="1">
      <c r="A385" s="4" t="s">
        <v>5509</v>
      </c>
      <c r="B385" s="21">
        <f t="shared" si="42"/>
        <v>373</v>
      </c>
      <c r="C385" s="13" t="str">
        <f t="shared" si="43"/>
        <v>C775_疾患開始日</v>
      </c>
      <c r="D385" s="13" t="s">
        <v>6027</v>
      </c>
      <c r="E385" s="8"/>
      <c r="F385" s="7" t="s">
        <v>4348</v>
      </c>
      <c r="G385" s="7" t="s">
        <v>25</v>
      </c>
      <c r="H385" s="58"/>
      <c r="I385" s="23"/>
      <c r="J385" s="24"/>
      <c r="M385" s="4"/>
      <c r="N385" s="76"/>
      <c r="O385" s="76"/>
      <c r="P385" s="76" t="str">
        <f t="shared" si="37"/>
        <v>,shikkan367_start_date</v>
      </c>
      <c r="Q385" s="76" t="str">
        <f t="shared" si="38"/>
        <v>DATE</v>
      </c>
      <c r="R385" s="76" t="str">
        <f t="shared" si="39"/>
        <v/>
      </c>
      <c r="S385" s="76" t="str">
        <f t="shared" si="40"/>
        <v/>
      </c>
      <c r="T385" s="76" t="str">
        <f t="shared" si="41"/>
        <v>-- C775_疾患開始日</v>
      </c>
      <c r="U385" s="4" t="str">
        <f t="shared" si="35"/>
        <v>, CASE WHEN shikkan_disp_name = 'C775' THEN min_shikkan_start_date ::DATE ELSE NULL END AS shikkan367_start_date</v>
      </c>
      <c r="V385" s="25" t="str">
        <f t="shared" si="36"/>
        <v>, max(shikkan367_start_date)</v>
      </c>
      <c r="AA385" s="4"/>
      <c r="AB385" s="4"/>
      <c r="AC385" s="4"/>
      <c r="AD385" s="4"/>
      <c r="AE385" s="4"/>
      <c r="AF385" s="4"/>
      <c r="AG385" s="4"/>
      <c r="AH385" s="4"/>
      <c r="AI385" s="4"/>
      <c r="AJ385" s="76" t="str">
        <f>IF(E385="○",IF(COUNTA(E$13:E385)=1,"",",")&amp;D385,"")</f>
        <v/>
      </c>
      <c r="AK385" s="4"/>
      <c r="AL385" s="4"/>
      <c r="AM385" s="4"/>
      <c r="AN385" s="4"/>
      <c r="AO385" s="4"/>
      <c r="AP385" s="4"/>
      <c r="AQ385" s="4"/>
      <c r="AR385" s="4"/>
      <c r="AS385" s="76" t="str">
        <f>"COMMENT ON COLUMN "&amp;エンティティ一覧!$O$2&amp;"."&amp;D$8&amp;"."&amp;D385&amp;" IS '"&amp;C385&amp;"';"</f>
        <v>COMMENT ON COLUMN milscm_2023_009.sny_202310_annony_non_annony2.shikkan367_start_date IS 'C775_疾患開始日';</v>
      </c>
    </row>
    <row r="386" spans="1:45" s="25" customFormat="1">
      <c r="A386" s="4" t="s">
        <v>5510</v>
      </c>
      <c r="B386" s="21">
        <f t="shared" si="42"/>
        <v>374</v>
      </c>
      <c r="C386" s="13" t="str">
        <f t="shared" si="43"/>
        <v>C778_疾患開始日</v>
      </c>
      <c r="D386" s="13" t="s">
        <v>6028</v>
      </c>
      <c r="E386" s="8"/>
      <c r="F386" s="7" t="s">
        <v>4348</v>
      </c>
      <c r="G386" s="7" t="s">
        <v>99</v>
      </c>
      <c r="H386" s="58"/>
      <c r="I386" s="23"/>
      <c r="J386" s="24"/>
      <c r="M386" s="4"/>
      <c r="N386" s="76"/>
      <c r="O386" s="76"/>
      <c r="P386" s="76" t="str">
        <f t="shared" si="37"/>
        <v>,shikkan368_start_date</v>
      </c>
      <c r="Q386" s="76" t="str">
        <f t="shared" si="38"/>
        <v>DATE</v>
      </c>
      <c r="R386" s="76" t="str">
        <f t="shared" si="39"/>
        <v/>
      </c>
      <c r="S386" s="76" t="str">
        <f t="shared" si="40"/>
        <v/>
      </c>
      <c r="T386" s="76" t="str">
        <f t="shared" si="41"/>
        <v>-- C778_疾患開始日</v>
      </c>
      <c r="U386" s="4" t="str">
        <f t="shared" si="35"/>
        <v>, CASE WHEN shikkan_disp_name = 'C778' THEN min_shikkan_start_date ::DATE ELSE NULL END AS shikkan368_start_date</v>
      </c>
      <c r="V386" s="25" t="str">
        <f t="shared" si="36"/>
        <v>, max(shikkan368_start_date)</v>
      </c>
      <c r="AA386" s="4"/>
      <c r="AB386" s="4"/>
      <c r="AC386" s="4"/>
      <c r="AD386" s="4"/>
      <c r="AE386" s="4"/>
      <c r="AF386" s="4"/>
      <c r="AG386" s="4"/>
      <c r="AH386" s="4"/>
      <c r="AI386" s="4"/>
      <c r="AJ386" s="76" t="str">
        <f>IF(E386="○",IF(COUNTA(E$13:E386)=1,"",",")&amp;D386,"")</f>
        <v/>
      </c>
      <c r="AK386" s="4"/>
      <c r="AL386" s="4"/>
      <c r="AM386" s="4"/>
      <c r="AN386" s="4"/>
      <c r="AO386" s="4"/>
      <c r="AP386" s="4"/>
      <c r="AQ386" s="4"/>
      <c r="AR386" s="4"/>
      <c r="AS386" s="76" t="str">
        <f>"COMMENT ON COLUMN "&amp;エンティティ一覧!$O$2&amp;"."&amp;D$8&amp;"."&amp;D386&amp;" IS '"&amp;C386&amp;"';"</f>
        <v>COMMENT ON COLUMN milscm_2023_009.sny_202310_annony_non_annony2.shikkan368_start_date IS 'C778_疾患開始日';</v>
      </c>
    </row>
    <row r="387" spans="1:45" s="25" customFormat="1">
      <c r="A387" s="4" t="s">
        <v>5511</v>
      </c>
      <c r="B387" s="21">
        <f t="shared" si="42"/>
        <v>375</v>
      </c>
      <c r="C387" s="13" t="str">
        <f t="shared" si="43"/>
        <v>C779_疾患開始日</v>
      </c>
      <c r="D387" s="13" t="s">
        <v>6029</v>
      </c>
      <c r="E387" s="8"/>
      <c r="F387" s="7" t="s">
        <v>4348</v>
      </c>
      <c r="G387" s="7" t="s">
        <v>25</v>
      </c>
      <c r="H387" s="58"/>
      <c r="I387" s="23"/>
      <c r="J387" s="24"/>
      <c r="M387" s="4"/>
      <c r="N387" s="76"/>
      <c r="O387" s="76"/>
      <c r="P387" s="76" t="str">
        <f t="shared" si="37"/>
        <v>,shikkan369_start_date</v>
      </c>
      <c r="Q387" s="76" t="str">
        <f t="shared" si="38"/>
        <v>DATE</v>
      </c>
      <c r="R387" s="76" t="str">
        <f t="shared" si="39"/>
        <v/>
      </c>
      <c r="S387" s="76" t="str">
        <f t="shared" si="40"/>
        <v/>
      </c>
      <c r="T387" s="76" t="str">
        <f t="shared" si="41"/>
        <v>-- C779_疾患開始日</v>
      </c>
      <c r="U387" s="4" t="str">
        <f t="shared" si="35"/>
        <v>, CASE WHEN shikkan_disp_name = 'C779' THEN min_shikkan_start_date ::DATE ELSE NULL END AS shikkan369_start_date</v>
      </c>
      <c r="V387" s="25" t="str">
        <f t="shared" si="36"/>
        <v>, max(shikkan369_start_date)</v>
      </c>
      <c r="AA387" s="4"/>
      <c r="AB387" s="4"/>
      <c r="AC387" s="4"/>
      <c r="AD387" s="4"/>
      <c r="AE387" s="4"/>
      <c r="AF387" s="4"/>
      <c r="AG387" s="4"/>
      <c r="AH387" s="4"/>
      <c r="AI387" s="4"/>
      <c r="AJ387" s="76" t="str">
        <f>IF(E387="○",IF(COUNTA(E$13:E387)=1,"",",")&amp;D387,"")</f>
        <v/>
      </c>
      <c r="AK387" s="4"/>
      <c r="AL387" s="4"/>
      <c r="AM387" s="4"/>
      <c r="AN387" s="4"/>
      <c r="AO387" s="4"/>
      <c r="AP387" s="4"/>
      <c r="AQ387" s="4"/>
      <c r="AR387" s="4"/>
      <c r="AS387" s="76" t="str">
        <f>"COMMENT ON COLUMN "&amp;エンティティ一覧!$O$2&amp;"."&amp;D$8&amp;"."&amp;D387&amp;" IS '"&amp;C387&amp;"';"</f>
        <v>COMMENT ON COLUMN milscm_2023_009.sny_202310_annony_non_annony2.shikkan369_start_date IS 'C779_疾患開始日';</v>
      </c>
    </row>
    <row r="388" spans="1:45" s="25" customFormat="1">
      <c r="A388" s="4" t="s">
        <v>5512</v>
      </c>
      <c r="B388" s="21">
        <f t="shared" si="42"/>
        <v>376</v>
      </c>
      <c r="C388" s="13" t="str">
        <f t="shared" si="43"/>
        <v>C780_疾患開始日</v>
      </c>
      <c r="D388" s="13" t="s">
        <v>6030</v>
      </c>
      <c r="E388" s="8"/>
      <c r="F388" s="7" t="s">
        <v>4348</v>
      </c>
      <c r="G388" s="7" t="s">
        <v>25</v>
      </c>
      <c r="H388" s="58"/>
      <c r="I388" s="23"/>
      <c r="J388" s="24"/>
      <c r="M388" s="4"/>
      <c r="N388" s="76"/>
      <c r="O388" s="76"/>
      <c r="P388" s="76" t="str">
        <f t="shared" si="37"/>
        <v>,shikkan370_start_date</v>
      </c>
      <c r="Q388" s="76" t="str">
        <f t="shared" si="38"/>
        <v>DATE</v>
      </c>
      <c r="R388" s="76" t="str">
        <f t="shared" si="39"/>
        <v/>
      </c>
      <c r="S388" s="76" t="str">
        <f t="shared" si="40"/>
        <v/>
      </c>
      <c r="T388" s="76" t="str">
        <f t="shared" si="41"/>
        <v>-- C780_疾患開始日</v>
      </c>
      <c r="U388" s="4" t="str">
        <f t="shared" si="35"/>
        <v>, CASE WHEN shikkan_disp_name = 'C780' THEN min_shikkan_start_date ::DATE ELSE NULL END AS shikkan370_start_date</v>
      </c>
      <c r="V388" s="25" t="str">
        <f t="shared" si="36"/>
        <v>, max(shikkan370_start_date)</v>
      </c>
      <c r="AA388" s="4"/>
      <c r="AB388" s="4"/>
      <c r="AC388" s="4"/>
      <c r="AD388" s="4"/>
      <c r="AE388" s="4"/>
      <c r="AF388" s="4"/>
      <c r="AG388" s="4"/>
      <c r="AH388" s="4"/>
      <c r="AI388" s="4"/>
      <c r="AJ388" s="76" t="str">
        <f>IF(E388="○",IF(COUNTA(E$13:E388)=1,"",",")&amp;D388,"")</f>
        <v/>
      </c>
      <c r="AK388" s="4"/>
      <c r="AL388" s="4"/>
      <c r="AM388" s="4"/>
      <c r="AN388" s="4"/>
      <c r="AO388" s="4"/>
      <c r="AP388" s="4"/>
      <c r="AQ388" s="4"/>
      <c r="AR388" s="4"/>
      <c r="AS388" s="76" t="str">
        <f>"COMMENT ON COLUMN "&amp;エンティティ一覧!$O$2&amp;"."&amp;D$8&amp;"."&amp;D388&amp;" IS '"&amp;C388&amp;"';"</f>
        <v>COMMENT ON COLUMN milscm_2023_009.sny_202310_annony_non_annony2.shikkan370_start_date IS 'C780_疾患開始日';</v>
      </c>
    </row>
    <row r="389" spans="1:45" s="25" customFormat="1">
      <c r="A389" s="4" t="s">
        <v>5513</v>
      </c>
      <c r="B389" s="21">
        <f t="shared" si="42"/>
        <v>377</v>
      </c>
      <c r="C389" s="13" t="str">
        <f t="shared" si="43"/>
        <v>C781_疾患開始日</v>
      </c>
      <c r="D389" s="13" t="s">
        <v>6031</v>
      </c>
      <c r="E389" s="8"/>
      <c r="F389" s="7" t="s">
        <v>4348</v>
      </c>
      <c r="G389" s="7" t="s">
        <v>25</v>
      </c>
      <c r="H389" s="58"/>
      <c r="I389" s="23"/>
      <c r="J389" s="24"/>
      <c r="M389" s="4"/>
      <c r="N389" s="76"/>
      <c r="O389" s="76"/>
      <c r="P389" s="76" t="str">
        <f t="shared" si="37"/>
        <v>,shikkan371_start_date</v>
      </c>
      <c r="Q389" s="76" t="str">
        <f t="shared" si="38"/>
        <v>DATE</v>
      </c>
      <c r="R389" s="76" t="str">
        <f t="shared" si="39"/>
        <v/>
      </c>
      <c r="S389" s="76" t="str">
        <f t="shared" si="40"/>
        <v/>
      </c>
      <c r="T389" s="76" t="str">
        <f t="shared" si="41"/>
        <v>-- C781_疾患開始日</v>
      </c>
      <c r="U389" s="4" t="str">
        <f t="shared" si="35"/>
        <v>, CASE WHEN shikkan_disp_name = 'C781' THEN min_shikkan_start_date ::DATE ELSE NULL END AS shikkan371_start_date</v>
      </c>
      <c r="V389" s="25" t="str">
        <f t="shared" si="36"/>
        <v>, max(shikkan371_start_date)</v>
      </c>
      <c r="AA389" s="4"/>
      <c r="AB389" s="4"/>
      <c r="AC389" s="4"/>
      <c r="AD389" s="4"/>
      <c r="AE389" s="4"/>
      <c r="AF389" s="4"/>
      <c r="AG389" s="4"/>
      <c r="AH389" s="4"/>
      <c r="AI389" s="4"/>
      <c r="AJ389" s="76" t="str">
        <f>IF(E389="○",IF(COUNTA(E$13:E389)=1,"",",")&amp;D389,"")</f>
        <v/>
      </c>
      <c r="AK389" s="4"/>
      <c r="AL389" s="4"/>
      <c r="AM389" s="4"/>
      <c r="AN389" s="4"/>
      <c r="AO389" s="4"/>
      <c r="AP389" s="4"/>
      <c r="AQ389" s="4"/>
      <c r="AR389" s="4"/>
      <c r="AS389" s="76" t="str">
        <f>"COMMENT ON COLUMN "&amp;エンティティ一覧!$O$2&amp;"."&amp;D$8&amp;"."&amp;D389&amp;" IS '"&amp;C389&amp;"';"</f>
        <v>COMMENT ON COLUMN milscm_2023_009.sny_202310_annony_non_annony2.shikkan371_start_date IS 'C781_疾患開始日';</v>
      </c>
    </row>
    <row r="390" spans="1:45" s="25" customFormat="1">
      <c r="A390" s="4" t="s">
        <v>5514</v>
      </c>
      <c r="B390" s="21">
        <f t="shared" si="42"/>
        <v>378</v>
      </c>
      <c r="C390" s="13" t="str">
        <f t="shared" si="43"/>
        <v>C782_疾患開始日</v>
      </c>
      <c r="D390" s="13" t="s">
        <v>6032</v>
      </c>
      <c r="E390" s="8"/>
      <c r="F390" s="7" t="s">
        <v>4348</v>
      </c>
      <c r="G390" s="7" t="s">
        <v>25</v>
      </c>
      <c r="H390" s="58"/>
      <c r="I390" s="23"/>
      <c r="J390" s="24"/>
      <c r="M390" s="4"/>
      <c r="N390" s="76"/>
      <c r="O390" s="76"/>
      <c r="P390" s="76" t="str">
        <f t="shared" si="37"/>
        <v>,shikkan372_start_date</v>
      </c>
      <c r="Q390" s="76" t="str">
        <f t="shared" si="38"/>
        <v>DATE</v>
      </c>
      <c r="R390" s="76" t="str">
        <f t="shared" si="39"/>
        <v/>
      </c>
      <c r="S390" s="76" t="str">
        <f t="shared" si="40"/>
        <v/>
      </c>
      <c r="T390" s="76" t="str">
        <f t="shared" si="41"/>
        <v>-- C782_疾患開始日</v>
      </c>
      <c r="U390" s="4" t="str">
        <f t="shared" si="35"/>
        <v>, CASE WHEN shikkan_disp_name = 'C782' THEN min_shikkan_start_date ::DATE ELSE NULL END AS shikkan372_start_date</v>
      </c>
      <c r="V390" s="25" t="str">
        <f t="shared" si="36"/>
        <v>, max(shikkan372_start_date)</v>
      </c>
      <c r="AA390" s="4"/>
      <c r="AB390" s="4"/>
      <c r="AC390" s="4"/>
      <c r="AD390" s="4"/>
      <c r="AE390" s="4"/>
      <c r="AF390" s="4"/>
      <c r="AG390" s="4"/>
      <c r="AH390" s="4"/>
      <c r="AI390" s="4"/>
      <c r="AJ390" s="76" t="str">
        <f>IF(E390="○",IF(COUNTA(E$13:E390)=1,"",",")&amp;D390,"")</f>
        <v/>
      </c>
      <c r="AK390" s="4"/>
      <c r="AL390" s="4"/>
      <c r="AM390" s="4"/>
      <c r="AN390" s="4"/>
      <c r="AO390" s="4"/>
      <c r="AP390" s="4"/>
      <c r="AQ390" s="4"/>
      <c r="AR390" s="4"/>
      <c r="AS390" s="76" t="str">
        <f>"COMMENT ON COLUMN "&amp;エンティティ一覧!$O$2&amp;"."&amp;D$8&amp;"."&amp;D390&amp;" IS '"&amp;C390&amp;"';"</f>
        <v>COMMENT ON COLUMN milscm_2023_009.sny_202310_annony_non_annony2.shikkan372_start_date IS 'C782_疾患開始日';</v>
      </c>
    </row>
    <row r="391" spans="1:45" s="25" customFormat="1">
      <c r="A391" s="4" t="s">
        <v>5515</v>
      </c>
      <c r="B391" s="21">
        <f t="shared" si="42"/>
        <v>379</v>
      </c>
      <c r="C391" s="13" t="str">
        <f t="shared" si="43"/>
        <v>C783_疾患開始日</v>
      </c>
      <c r="D391" s="13" t="s">
        <v>6033</v>
      </c>
      <c r="E391" s="8"/>
      <c r="F391" s="7" t="s">
        <v>4348</v>
      </c>
      <c r="G391" s="7" t="s">
        <v>25</v>
      </c>
      <c r="H391" s="58"/>
      <c r="I391" s="23"/>
      <c r="J391" s="24"/>
      <c r="M391" s="4"/>
      <c r="N391" s="76"/>
      <c r="O391" s="76"/>
      <c r="P391" s="76" t="str">
        <f t="shared" si="37"/>
        <v>,shikkan373_start_date</v>
      </c>
      <c r="Q391" s="76" t="str">
        <f t="shared" si="38"/>
        <v>DATE</v>
      </c>
      <c r="R391" s="76" t="str">
        <f t="shared" si="39"/>
        <v/>
      </c>
      <c r="S391" s="76" t="str">
        <f t="shared" si="40"/>
        <v/>
      </c>
      <c r="T391" s="76" t="str">
        <f t="shared" si="41"/>
        <v>-- C783_疾患開始日</v>
      </c>
      <c r="U391" s="4" t="str">
        <f t="shared" si="35"/>
        <v>, CASE WHEN shikkan_disp_name = 'C783' THEN min_shikkan_start_date ::DATE ELSE NULL END AS shikkan373_start_date</v>
      </c>
      <c r="V391" s="25" t="str">
        <f t="shared" si="36"/>
        <v>, max(shikkan373_start_date)</v>
      </c>
      <c r="AA391" s="4"/>
      <c r="AB391" s="4"/>
      <c r="AC391" s="4"/>
      <c r="AD391" s="4"/>
      <c r="AE391" s="4"/>
      <c r="AF391" s="4"/>
      <c r="AG391" s="4"/>
      <c r="AH391" s="4"/>
      <c r="AI391" s="4"/>
      <c r="AJ391" s="76" t="str">
        <f>IF(E391="○",IF(COUNTA(E$13:E391)=1,"",",")&amp;D391,"")</f>
        <v/>
      </c>
      <c r="AK391" s="4"/>
      <c r="AL391" s="4"/>
      <c r="AM391" s="4"/>
      <c r="AN391" s="4"/>
      <c r="AO391" s="4"/>
      <c r="AP391" s="4"/>
      <c r="AQ391" s="4"/>
      <c r="AR391" s="4"/>
      <c r="AS391" s="76" t="str">
        <f>"COMMENT ON COLUMN "&amp;エンティティ一覧!$O$2&amp;"."&amp;D$8&amp;"."&amp;D391&amp;" IS '"&amp;C391&amp;"';"</f>
        <v>COMMENT ON COLUMN milscm_2023_009.sny_202310_annony_non_annony2.shikkan373_start_date IS 'C783_疾患開始日';</v>
      </c>
    </row>
    <row r="392" spans="1:45" s="25" customFormat="1">
      <c r="A392" s="4" t="s">
        <v>5516</v>
      </c>
      <c r="B392" s="21">
        <f t="shared" si="42"/>
        <v>380</v>
      </c>
      <c r="C392" s="13" t="str">
        <f t="shared" si="43"/>
        <v>C784_疾患開始日</v>
      </c>
      <c r="D392" s="13" t="s">
        <v>6034</v>
      </c>
      <c r="E392" s="8"/>
      <c r="F392" s="7" t="s">
        <v>4348</v>
      </c>
      <c r="G392" s="7" t="s">
        <v>25</v>
      </c>
      <c r="H392" s="58"/>
      <c r="I392" s="23"/>
      <c r="J392" s="24"/>
      <c r="M392" s="4"/>
      <c r="N392" s="76"/>
      <c r="O392" s="76"/>
      <c r="P392" s="76" t="str">
        <f t="shared" si="37"/>
        <v>,shikkan374_start_date</v>
      </c>
      <c r="Q392" s="76" t="str">
        <f t="shared" si="38"/>
        <v>DATE</v>
      </c>
      <c r="R392" s="76" t="str">
        <f t="shared" si="39"/>
        <v/>
      </c>
      <c r="S392" s="76" t="str">
        <f t="shared" si="40"/>
        <v/>
      </c>
      <c r="T392" s="76" t="str">
        <f t="shared" si="41"/>
        <v>-- C784_疾患開始日</v>
      </c>
      <c r="U392" s="4" t="str">
        <f t="shared" si="35"/>
        <v>, CASE WHEN shikkan_disp_name = 'C784' THEN min_shikkan_start_date ::DATE ELSE NULL END AS shikkan374_start_date</v>
      </c>
      <c r="V392" s="25" t="str">
        <f t="shared" si="36"/>
        <v>, max(shikkan374_start_date)</v>
      </c>
      <c r="AA392" s="4"/>
      <c r="AB392" s="4"/>
      <c r="AC392" s="4"/>
      <c r="AD392" s="4"/>
      <c r="AE392" s="4"/>
      <c r="AF392" s="4"/>
      <c r="AG392" s="4"/>
      <c r="AH392" s="4"/>
      <c r="AI392" s="4"/>
      <c r="AJ392" s="76" t="str">
        <f>IF(E392="○",IF(COUNTA(E$13:E392)=1,"",",")&amp;D392,"")</f>
        <v/>
      </c>
      <c r="AK392" s="4"/>
      <c r="AL392" s="4"/>
      <c r="AM392" s="4"/>
      <c r="AN392" s="4"/>
      <c r="AO392" s="4"/>
      <c r="AP392" s="4"/>
      <c r="AQ392" s="4"/>
      <c r="AR392" s="4"/>
      <c r="AS392" s="76" t="str">
        <f>"COMMENT ON COLUMN "&amp;エンティティ一覧!$O$2&amp;"."&amp;D$8&amp;"."&amp;D392&amp;" IS '"&amp;C392&amp;"';"</f>
        <v>COMMENT ON COLUMN milscm_2023_009.sny_202310_annony_non_annony2.shikkan374_start_date IS 'C784_疾患開始日';</v>
      </c>
    </row>
    <row r="393" spans="1:45" s="25" customFormat="1">
      <c r="A393" s="4" t="s">
        <v>5517</v>
      </c>
      <c r="B393" s="21">
        <f t="shared" si="42"/>
        <v>381</v>
      </c>
      <c r="C393" s="13" t="str">
        <f t="shared" si="43"/>
        <v>C785_疾患開始日</v>
      </c>
      <c r="D393" s="13" t="s">
        <v>6035</v>
      </c>
      <c r="E393" s="8"/>
      <c r="F393" s="7" t="s">
        <v>4348</v>
      </c>
      <c r="G393" s="7" t="s">
        <v>25</v>
      </c>
      <c r="H393" s="58"/>
      <c r="I393" s="23"/>
      <c r="J393" s="24"/>
      <c r="M393" s="4"/>
      <c r="N393" s="76"/>
      <c r="O393" s="76"/>
      <c r="P393" s="76" t="str">
        <f t="shared" si="37"/>
        <v>,shikkan375_start_date</v>
      </c>
      <c r="Q393" s="76" t="str">
        <f t="shared" si="38"/>
        <v>DATE</v>
      </c>
      <c r="R393" s="76" t="str">
        <f t="shared" si="39"/>
        <v/>
      </c>
      <c r="S393" s="76" t="str">
        <f t="shared" si="40"/>
        <v/>
      </c>
      <c r="T393" s="76" t="str">
        <f t="shared" si="41"/>
        <v>-- C785_疾患開始日</v>
      </c>
      <c r="U393" s="4" t="str">
        <f t="shared" si="35"/>
        <v>, CASE WHEN shikkan_disp_name = 'C785' THEN min_shikkan_start_date ::DATE ELSE NULL END AS shikkan375_start_date</v>
      </c>
      <c r="V393" s="25" t="str">
        <f t="shared" si="36"/>
        <v>, max(shikkan375_start_date)</v>
      </c>
      <c r="AA393" s="4"/>
      <c r="AB393" s="4"/>
      <c r="AC393" s="4"/>
      <c r="AD393" s="4"/>
      <c r="AE393" s="4"/>
      <c r="AF393" s="4"/>
      <c r="AG393" s="4"/>
      <c r="AH393" s="4"/>
      <c r="AI393" s="4"/>
      <c r="AJ393" s="76" t="str">
        <f>IF(E393="○",IF(COUNTA(E$13:E393)=1,"",",")&amp;D393,"")</f>
        <v/>
      </c>
      <c r="AK393" s="4"/>
      <c r="AL393" s="4"/>
      <c r="AM393" s="4"/>
      <c r="AN393" s="4"/>
      <c r="AO393" s="4"/>
      <c r="AP393" s="4"/>
      <c r="AQ393" s="4"/>
      <c r="AR393" s="4"/>
      <c r="AS393" s="76" t="str">
        <f>"COMMENT ON COLUMN "&amp;エンティティ一覧!$O$2&amp;"."&amp;D$8&amp;"."&amp;D393&amp;" IS '"&amp;C393&amp;"';"</f>
        <v>COMMENT ON COLUMN milscm_2023_009.sny_202310_annony_non_annony2.shikkan375_start_date IS 'C785_疾患開始日';</v>
      </c>
    </row>
    <row r="394" spans="1:45" s="25" customFormat="1">
      <c r="A394" s="4" t="s">
        <v>5518</v>
      </c>
      <c r="B394" s="21">
        <f t="shared" si="42"/>
        <v>382</v>
      </c>
      <c r="C394" s="13" t="str">
        <f t="shared" si="43"/>
        <v>C786_疾患開始日</v>
      </c>
      <c r="D394" s="13" t="s">
        <v>6036</v>
      </c>
      <c r="E394" s="8"/>
      <c r="F394" s="7" t="s">
        <v>4348</v>
      </c>
      <c r="G394" s="7" t="s">
        <v>25</v>
      </c>
      <c r="H394" s="58"/>
      <c r="I394" s="23"/>
      <c r="J394" s="24"/>
      <c r="M394" s="4"/>
      <c r="N394" s="76"/>
      <c r="O394" s="76"/>
      <c r="P394" s="76" t="str">
        <f t="shared" si="37"/>
        <v>,shikkan376_start_date</v>
      </c>
      <c r="Q394" s="76" t="str">
        <f t="shared" si="38"/>
        <v>DATE</v>
      </c>
      <c r="R394" s="76" t="str">
        <f t="shared" si="39"/>
        <v/>
      </c>
      <c r="S394" s="76" t="str">
        <f t="shared" si="40"/>
        <v/>
      </c>
      <c r="T394" s="76" t="str">
        <f t="shared" si="41"/>
        <v>-- C786_疾患開始日</v>
      </c>
      <c r="U394" s="4" t="str">
        <f t="shared" si="35"/>
        <v>, CASE WHEN shikkan_disp_name = 'C786' THEN min_shikkan_start_date ::DATE ELSE NULL END AS shikkan376_start_date</v>
      </c>
      <c r="V394" s="25" t="str">
        <f t="shared" si="36"/>
        <v>, max(shikkan376_start_date)</v>
      </c>
      <c r="AA394" s="4"/>
      <c r="AB394" s="4"/>
      <c r="AC394" s="4"/>
      <c r="AD394" s="4"/>
      <c r="AE394" s="4"/>
      <c r="AF394" s="4"/>
      <c r="AG394" s="4"/>
      <c r="AH394" s="4"/>
      <c r="AI394" s="4"/>
      <c r="AJ394" s="76" t="str">
        <f>IF(E394="○",IF(COUNTA(E$13:E394)=1,"",",")&amp;D394,"")</f>
        <v/>
      </c>
      <c r="AK394" s="4"/>
      <c r="AL394" s="4"/>
      <c r="AM394" s="4"/>
      <c r="AN394" s="4"/>
      <c r="AO394" s="4"/>
      <c r="AP394" s="4"/>
      <c r="AQ394" s="4"/>
      <c r="AR394" s="4"/>
      <c r="AS394" s="76" t="str">
        <f>"COMMENT ON COLUMN "&amp;エンティティ一覧!$O$2&amp;"."&amp;D$8&amp;"."&amp;D394&amp;" IS '"&amp;C394&amp;"';"</f>
        <v>COMMENT ON COLUMN milscm_2023_009.sny_202310_annony_non_annony2.shikkan376_start_date IS 'C786_疾患開始日';</v>
      </c>
    </row>
    <row r="395" spans="1:45" s="25" customFormat="1">
      <c r="A395" s="4" t="s">
        <v>5519</v>
      </c>
      <c r="B395" s="21">
        <f t="shared" si="42"/>
        <v>383</v>
      </c>
      <c r="C395" s="13" t="str">
        <f t="shared" si="43"/>
        <v>C787_疾患開始日</v>
      </c>
      <c r="D395" s="13" t="s">
        <v>6037</v>
      </c>
      <c r="E395" s="8"/>
      <c r="F395" s="7" t="s">
        <v>4348</v>
      </c>
      <c r="G395" s="7" t="s">
        <v>25</v>
      </c>
      <c r="H395" s="58"/>
      <c r="I395" s="23"/>
      <c r="J395" s="24"/>
      <c r="M395" s="4"/>
      <c r="N395" s="76"/>
      <c r="O395" s="76"/>
      <c r="P395" s="76" t="str">
        <f t="shared" si="37"/>
        <v>,shikkan377_start_date</v>
      </c>
      <c r="Q395" s="76" t="str">
        <f t="shared" si="38"/>
        <v>DATE</v>
      </c>
      <c r="R395" s="76" t="str">
        <f t="shared" si="39"/>
        <v/>
      </c>
      <c r="S395" s="76" t="str">
        <f t="shared" si="40"/>
        <v/>
      </c>
      <c r="T395" s="76" t="str">
        <f t="shared" si="41"/>
        <v>-- C787_疾患開始日</v>
      </c>
      <c r="U395" s="4" t="str">
        <f t="shared" si="35"/>
        <v>, CASE WHEN shikkan_disp_name = 'C787' THEN min_shikkan_start_date ::DATE ELSE NULL END AS shikkan377_start_date</v>
      </c>
      <c r="V395" s="25" t="str">
        <f t="shared" si="36"/>
        <v>, max(shikkan377_start_date)</v>
      </c>
      <c r="AA395" s="4"/>
      <c r="AB395" s="4"/>
      <c r="AC395" s="4"/>
      <c r="AD395" s="4"/>
      <c r="AE395" s="4"/>
      <c r="AF395" s="4"/>
      <c r="AG395" s="4"/>
      <c r="AH395" s="4"/>
      <c r="AI395" s="4"/>
      <c r="AJ395" s="76" t="str">
        <f>IF(E395="○",IF(COUNTA(E$13:E395)=1,"",",")&amp;D395,"")</f>
        <v/>
      </c>
      <c r="AK395" s="4"/>
      <c r="AL395" s="4"/>
      <c r="AM395" s="4"/>
      <c r="AN395" s="4"/>
      <c r="AO395" s="4"/>
      <c r="AP395" s="4"/>
      <c r="AQ395" s="4"/>
      <c r="AR395" s="4"/>
      <c r="AS395" s="76" t="str">
        <f>"COMMENT ON COLUMN "&amp;エンティティ一覧!$O$2&amp;"."&amp;D$8&amp;"."&amp;D395&amp;" IS '"&amp;C395&amp;"';"</f>
        <v>COMMENT ON COLUMN milscm_2023_009.sny_202310_annony_non_annony2.shikkan377_start_date IS 'C787_疾患開始日';</v>
      </c>
    </row>
    <row r="396" spans="1:45" s="25" customFormat="1">
      <c r="A396" s="4" t="s">
        <v>5520</v>
      </c>
      <c r="B396" s="21">
        <f t="shared" si="42"/>
        <v>384</v>
      </c>
      <c r="C396" s="13" t="str">
        <f t="shared" si="43"/>
        <v>C788_疾患開始日</v>
      </c>
      <c r="D396" s="13" t="s">
        <v>6038</v>
      </c>
      <c r="E396" s="8"/>
      <c r="F396" s="7" t="s">
        <v>4348</v>
      </c>
      <c r="G396" s="7" t="s">
        <v>25</v>
      </c>
      <c r="H396" s="58"/>
      <c r="I396" s="23"/>
      <c r="J396" s="24"/>
      <c r="M396" s="4"/>
      <c r="N396" s="76"/>
      <c r="O396" s="76"/>
      <c r="P396" s="76" t="str">
        <f t="shared" si="37"/>
        <v>,shikkan378_start_date</v>
      </c>
      <c r="Q396" s="76" t="str">
        <f t="shared" si="38"/>
        <v>DATE</v>
      </c>
      <c r="R396" s="76" t="str">
        <f t="shared" si="39"/>
        <v/>
      </c>
      <c r="S396" s="76" t="str">
        <f t="shared" si="40"/>
        <v/>
      </c>
      <c r="T396" s="76" t="str">
        <f t="shared" si="41"/>
        <v>-- C788_疾患開始日</v>
      </c>
      <c r="U396" s="4" t="str">
        <f t="shared" si="35"/>
        <v>, CASE WHEN shikkan_disp_name = 'C788' THEN min_shikkan_start_date ::DATE ELSE NULL END AS shikkan378_start_date</v>
      </c>
      <c r="V396" s="25" t="str">
        <f t="shared" si="36"/>
        <v>, max(shikkan378_start_date)</v>
      </c>
      <c r="AA396" s="4"/>
      <c r="AB396" s="4"/>
      <c r="AC396" s="4"/>
      <c r="AD396" s="4"/>
      <c r="AE396" s="4"/>
      <c r="AF396" s="4"/>
      <c r="AG396" s="4"/>
      <c r="AH396" s="4"/>
      <c r="AI396" s="4"/>
      <c r="AJ396" s="76" t="str">
        <f>IF(E396="○",IF(COUNTA(E$13:E396)=1,"",",")&amp;D396,"")</f>
        <v/>
      </c>
      <c r="AK396" s="4"/>
      <c r="AL396" s="4"/>
      <c r="AM396" s="4"/>
      <c r="AN396" s="4"/>
      <c r="AO396" s="4"/>
      <c r="AP396" s="4"/>
      <c r="AQ396" s="4"/>
      <c r="AR396" s="4"/>
      <c r="AS396" s="76" t="str">
        <f>"COMMENT ON COLUMN "&amp;エンティティ一覧!$O$2&amp;"."&amp;D$8&amp;"."&amp;D396&amp;" IS '"&amp;C396&amp;"';"</f>
        <v>COMMENT ON COLUMN milscm_2023_009.sny_202310_annony_non_annony2.shikkan378_start_date IS 'C788_疾患開始日';</v>
      </c>
    </row>
    <row r="397" spans="1:45" s="25" customFormat="1">
      <c r="A397" s="4" t="s">
        <v>5521</v>
      </c>
      <c r="B397" s="21">
        <f t="shared" si="42"/>
        <v>385</v>
      </c>
      <c r="C397" s="13" t="str">
        <f t="shared" si="43"/>
        <v>C790_疾患開始日</v>
      </c>
      <c r="D397" s="13" t="s">
        <v>6039</v>
      </c>
      <c r="E397" s="8"/>
      <c r="F397" s="7" t="s">
        <v>4348</v>
      </c>
      <c r="G397" s="7" t="s">
        <v>25</v>
      </c>
      <c r="H397" s="58"/>
      <c r="I397" s="23"/>
      <c r="J397" s="24"/>
      <c r="M397" s="4"/>
      <c r="N397" s="76"/>
      <c r="O397" s="76"/>
      <c r="P397" s="76" t="str">
        <f t="shared" si="37"/>
        <v>,shikkan379_start_date</v>
      </c>
      <c r="Q397" s="76" t="str">
        <f t="shared" si="38"/>
        <v>DATE</v>
      </c>
      <c r="R397" s="76" t="str">
        <f t="shared" si="39"/>
        <v/>
      </c>
      <c r="S397" s="76" t="str">
        <f t="shared" si="40"/>
        <v/>
      </c>
      <c r="T397" s="76" t="str">
        <f t="shared" si="41"/>
        <v>-- C790_疾患開始日</v>
      </c>
      <c r="U397" s="4" t="str">
        <f t="shared" si="35"/>
        <v>, CASE WHEN shikkan_disp_name = 'C790' THEN min_shikkan_start_date ::DATE ELSE NULL END AS shikkan379_start_date</v>
      </c>
      <c r="V397" s="25" t="str">
        <f t="shared" si="36"/>
        <v>, max(shikkan379_start_date)</v>
      </c>
      <c r="AA397" s="4"/>
      <c r="AB397" s="4"/>
      <c r="AC397" s="4"/>
      <c r="AD397" s="4"/>
      <c r="AE397" s="4"/>
      <c r="AF397" s="4"/>
      <c r="AG397" s="4"/>
      <c r="AH397" s="4"/>
      <c r="AI397" s="4"/>
      <c r="AJ397" s="76" t="str">
        <f>IF(E397="○",IF(COUNTA(E$13:E397)=1,"",",")&amp;D397,"")</f>
        <v/>
      </c>
      <c r="AK397" s="4"/>
      <c r="AL397" s="4"/>
      <c r="AM397" s="4"/>
      <c r="AN397" s="4"/>
      <c r="AO397" s="4"/>
      <c r="AP397" s="4"/>
      <c r="AQ397" s="4"/>
      <c r="AR397" s="4"/>
      <c r="AS397" s="76" t="str">
        <f>"COMMENT ON COLUMN "&amp;エンティティ一覧!$O$2&amp;"."&amp;D$8&amp;"."&amp;D397&amp;" IS '"&amp;C397&amp;"';"</f>
        <v>COMMENT ON COLUMN milscm_2023_009.sny_202310_annony_non_annony2.shikkan379_start_date IS 'C790_疾患開始日';</v>
      </c>
    </row>
    <row r="398" spans="1:45" s="25" customFormat="1">
      <c r="A398" s="4" t="s">
        <v>5522</v>
      </c>
      <c r="B398" s="21">
        <f t="shared" si="42"/>
        <v>386</v>
      </c>
      <c r="C398" s="13" t="str">
        <f t="shared" si="43"/>
        <v>C791_疾患開始日</v>
      </c>
      <c r="D398" s="13" t="s">
        <v>6040</v>
      </c>
      <c r="E398" s="8"/>
      <c r="F398" s="7" t="s">
        <v>4348</v>
      </c>
      <c r="G398" s="7" t="s">
        <v>25</v>
      </c>
      <c r="H398" s="58"/>
      <c r="I398" s="23"/>
      <c r="J398" s="24"/>
      <c r="M398" s="4"/>
      <c r="N398" s="76"/>
      <c r="O398" s="76"/>
      <c r="P398" s="76" t="str">
        <f t="shared" si="37"/>
        <v>,shikkan380_start_date</v>
      </c>
      <c r="Q398" s="76" t="str">
        <f t="shared" si="38"/>
        <v>DATE</v>
      </c>
      <c r="R398" s="76" t="str">
        <f t="shared" si="39"/>
        <v/>
      </c>
      <c r="S398" s="76" t="str">
        <f t="shared" si="40"/>
        <v/>
      </c>
      <c r="T398" s="76" t="str">
        <f t="shared" si="41"/>
        <v>-- C791_疾患開始日</v>
      </c>
      <c r="U398" s="4" t="str">
        <f t="shared" si="35"/>
        <v>, CASE WHEN shikkan_disp_name = 'C791' THEN min_shikkan_start_date ::DATE ELSE NULL END AS shikkan380_start_date</v>
      </c>
      <c r="V398" s="25" t="str">
        <f t="shared" si="36"/>
        <v>, max(shikkan380_start_date)</v>
      </c>
      <c r="AA398" s="4"/>
      <c r="AB398" s="4"/>
      <c r="AC398" s="4"/>
      <c r="AD398" s="4"/>
      <c r="AE398" s="4"/>
      <c r="AF398" s="4"/>
      <c r="AG398" s="4"/>
      <c r="AH398" s="4"/>
      <c r="AI398" s="4"/>
      <c r="AJ398" s="76" t="str">
        <f>IF(E398="○",IF(COUNTA(E$13:E398)=1,"",",")&amp;D398,"")</f>
        <v/>
      </c>
      <c r="AK398" s="4"/>
      <c r="AL398" s="4"/>
      <c r="AM398" s="4"/>
      <c r="AN398" s="4"/>
      <c r="AO398" s="4"/>
      <c r="AP398" s="4"/>
      <c r="AQ398" s="4"/>
      <c r="AR398" s="4"/>
      <c r="AS398" s="76" t="str">
        <f>"COMMENT ON COLUMN "&amp;エンティティ一覧!$O$2&amp;"."&amp;D$8&amp;"."&amp;D398&amp;" IS '"&amp;C398&amp;"';"</f>
        <v>COMMENT ON COLUMN milscm_2023_009.sny_202310_annony_non_annony2.shikkan380_start_date IS 'C791_疾患開始日';</v>
      </c>
    </row>
    <row r="399" spans="1:45" s="25" customFormat="1">
      <c r="A399" s="4" t="s">
        <v>5523</v>
      </c>
      <c r="B399" s="21">
        <f t="shared" si="42"/>
        <v>387</v>
      </c>
      <c r="C399" s="13" t="str">
        <f t="shared" si="43"/>
        <v>C792_疾患開始日</v>
      </c>
      <c r="D399" s="13" t="s">
        <v>6041</v>
      </c>
      <c r="E399" s="8"/>
      <c r="F399" s="7" t="s">
        <v>4348</v>
      </c>
      <c r="G399" s="7" t="s">
        <v>25</v>
      </c>
      <c r="H399" s="58"/>
      <c r="I399" s="23"/>
      <c r="J399" s="24"/>
      <c r="M399" s="4"/>
      <c r="N399" s="76"/>
      <c r="O399" s="76"/>
      <c r="P399" s="76" t="str">
        <f t="shared" si="37"/>
        <v>,shikkan381_start_date</v>
      </c>
      <c r="Q399" s="76" t="str">
        <f t="shared" si="38"/>
        <v>DATE</v>
      </c>
      <c r="R399" s="76" t="str">
        <f t="shared" si="39"/>
        <v/>
      </c>
      <c r="S399" s="76" t="str">
        <f t="shared" si="40"/>
        <v/>
      </c>
      <c r="T399" s="76" t="str">
        <f t="shared" si="41"/>
        <v>-- C792_疾患開始日</v>
      </c>
      <c r="U399" s="4" t="str">
        <f t="shared" si="35"/>
        <v>, CASE WHEN shikkan_disp_name = 'C792' THEN min_shikkan_start_date ::DATE ELSE NULL END AS shikkan381_start_date</v>
      </c>
      <c r="V399" s="25" t="str">
        <f t="shared" si="36"/>
        <v>, max(shikkan381_start_date)</v>
      </c>
      <c r="AA399" s="4"/>
      <c r="AB399" s="4"/>
      <c r="AC399" s="4"/>
      <c r="AD399" s="4"/>
      <c r="AE399" s="4"/>
      <c r="AF399" s="4"/>
      <c r="AG399" s="4"/>
      <c r="AH399" s="4"/>
      <c r="AI399" s="4"/>
      <c r="AJ399" s="76" t="str">
        <f>IF(E399="○",IF(COUNTA(E$13:E399)=1,"",",")&amp;D399,"")</f>
        <v/>
      </c>
      <c r="AK399" s="4"/>
      <c r="AL399" s="4"/>
      <c r="AM399" s="4"/>
      <c r="AN399" s="4"/>
      <c r="AO399" s="4"/>
      <c r="AP399" s="4"/>
      <c r="AQ399" s="4"/>
      <c r="AR399" s="4"/>
      <c r="AS399" s="76" t="str">
        <f>"COMMENT ON COLUMN "&amp;エンティティ一覧!$O$2&amp;"."&amp;D$8&amp;"."&amp;D399&amp;" IS '"&amp;C399&amp;"';"</f>
        <v>COMMENT ON COLUMN milscm_2023_009.sny_202310_annony_non_annony2.shikkan381_start_date IS 'C792_疾患開始日';</v>
      </c>
    </row>
    <row r="400" spans="1:45" s="25" customFormat="1">
      <c r="A400" s="4" t="s">
        <v>5524</v>
      </c>
      <c r="B400" s="21">
        <f t="shared" si="42"/>
        <v>388</v>
      </c>
      <c r="C400" s="13" t="str">
        <f t="shared" si="43"/>
        <v>C793_疾患開始日</v>
      </c>
      <c r="D400" s="13" t="s">
        <v>6042</v>
      </c>
      <c r="E400" s="8"/>
      <c r="F400" s="7" t="s">
        <v>4348</v>
      </c>
      <c r="G400" s="7" t="s">
        <v>25</v>
      </c>
      <c r="H400" s="58"/>
      <c r="I400" s="23"/>
      <c r="J400" s="24"/>
      <c r="M400" s="4"/>
      <c r="N400" s="76"/>
      <c r="O400" s="76"/>
      <c r="P400" s="76" t="str">
        <f t="shared" si="37"/>
        <v>,shikkan382_start_date</v>
      </c>
      <c r="Q400" s="76" t="str">
        <f t="shared" si="38"/>
        <v>DATE</v>
      </c>
      <c r="R400" s="76" t="str">
        <f t="shared" si="39"/>
        <v/>
      </c>
      <c r="S400" s="76" t="str">
        <f t="shared" si="40"/>
        <v/>
      </c>
      <c r="T400" s="76" t="str">
        <f t="shared" si="41"/>
        <v>-- C793_疾患開始日</v>
      </c>
      <c r="U400" s="4" t="str">
        <f t="shared" si="35"/>
        <v>, CASE WHEN shikkan_disp_name = 'C793' THEN min_shikkan_start_date ::DATE ELSE NULL END AS shikkan382_start_date</v>
      </c>
      <c r="V400" s="25" t="str">
        <f t="shared" si="36"/>
        <v>, max(shikkan382_start_date)</v>
      </c>
      <c r="AA400" s="4"/>
      <c r="AB400" s="4"/>
      <c r="AC400" s="4"/>
      <c r="AD400" s="4"/>
      <c r="AE400" s="4"/>
      <c r="AF400" s="4"/>
      <c r="AG400" s="4"/>
      <c r="AH400" s="4"/>
      <c r="AI400" s="4"/>
      <c r="AJ400" s="76" t="str">
        <f>IF(E400="○",IF(COUNTA(E$13:E400)=1,"",",")&amp;D400,"")</f>
        <v/>
      </c>
      <c r="AK400" s="4"/>
      <c r="AL400" s="4"/>
      <c r="AM400" s="4"/>
      <c r="AN400" s="4"/>
      <c r="AO400" s="4"/>
      <c r="AP400" s="4"/>
      <c r="AQ400" s="4"/>
      <c r="AR400" s="4"/>
      <c r="AS400" s="76" t="str">
        <f>"COMMENT ON COLUMN "&amp;エンティティ一覧!$O$2&amp;"."&amp;D$8&amp;"."&amp;D400&amp;" IS '"&amp;C400&amp;"';"</f>
        <v>COMMENT ON COLUMN milscm_2023_009.sny_202310_annony_non_annony2.shikkan382_start_date IS 'C793_疾患開始日';</v>
      </c>
    </row>
    <row r="401" spans="1:45" s="25" customFormat="1">
      <c r="A401" s="4" t="s">
        <v>5525</v>
      </c>
      <c r="B401" s="21">
        <f t="shared" si="42"/>
        <v>389</v>
      </c>
      <c r="C401" s="13" t="str">
        <f t="shared" si="43"/>
        <v>C794_疾患開始日</v>
      </c>
      <c r="D401" s="13" t="s">
        <v>6043</v>
      </c>
      <c r="E401" s="8"/>
      <c r="F401" s="7" t="s">
        <v>4348</v>
      </c>
      <c r="G401" s="7" t="s">
        <v>25</v>
      </c>
      <c r="H401" s="58"/>
      <c r="I401" s="23"/>
      <c r="J401" s="24"/>
      <c r="M401" s="4"/>
      <c r="N401" s="76"/>
      <c r="O401" s="76"/>
      <c r="P401" s="76" t="str">
        <f t="shared" si="37"/>
        <v>,shikkan383_start_date</v>
      </c>
      <c r="Q401" s="76" t="str">
        <f t="shared" si="38"/>
        <v>DATE</v>
      </c>
      <c r="R401" s="76" t="str">
        <f t="shared" si="39"/>
        <v/>
      </c>
      <c r="S401" s="76" t="str">
        <f t="shared" si="40"/>
        <v/>
      </c>
      <c r="T401" s="76" t="str">
        <f t="shared" si="41"/>
        <v>-- C794_疾患開始日</v>
      </c>
      <c r="U401" s="4" t="str">
        <f t="shared" si="35"/>
        <v>, CASE WHEN shikkan_disp_name = 'C794' THEN min_shikkan_start_date ::DATE ELSE NULL END AS shikkan383_start_date</v>
      </c>
      <c r="V401" s="25" t="str">
        <f t="shared" si="36"/>
        <v>, max(shikkan383_start_date)</v>
      </c>
      <c r="AA401" s="4"/>
      <c r="AB401" s="4"/>
      <c r="AC401" s="4"/>
      <c r="AD401" s="4"/>
      <c r="AE401" s="4"/>
      <c r="AF401" s="4"/>
      <c r="AG401" s="4"/>
      <c r="AH401" s="4"/>
      <c r="AI401" s="4"/>
      <c r="AJ401" s="76" t="str">
        <f>IF(E401="○",IF(COUNTA(E$13:E401)=1,"",",")&amp;D401,"")</f>
        <v/>
      </c>
      <c r="AK401" s="4"/>
      <c r="AL401" s="4"/>
      <c r="AM401" s="4"/>
      <c r="AN401" s="4"/>
      <c r="AO401" s="4"/>
      <c r="AP401" s="4"/>
      <c r="AQ401" s="4"/>
      <c r="AR401" s="4"/>
      <c r="AS401" s="76" t="str">
        <f>"COMMENT ON COLUMN "&amp;エンティティ一覧!$O$2&amp;"."&amp;D$8&amp;"."&amp;D401&amp;" IS '"&amp;C401&amp;"';"</f>
        <v>COMMENT ON COLUMN milscm_2023_009.sny_202310_annony_non_annony2.shikkan383_start_date IS 'C794_疾患開始日';</v>
      </c>
    </row>
    <row r="402" spans="1:45" s="25" customFormat="1">
      <c r="A402" s="4" t="s">
        <v>5526</v>
      </c>
      <c r="B402" s="21">
        <f t="shared" si="42"/>
        <v>390</v>
      </c>
      <c r="C402" s="13" t="str">
        <f t="shared" si="43"/>
        <v>C795_疾患開始日</v>
      </c>
      <c r="D402" s="13" t="s">
        <v>6044</v>
      </c>
      <c r="E402" s="8"/>
      <c r="F402" s="7" t="s">
        <v>4348</v>
      </c>
      <c r="G402" s="7" t="s">
        <v>99</v>
      </c>
      <c r="H402" s="58"/>
      <c r="I402" s="23"/>
      <c r="J402" s="24"/>
      <c r="M402" s="4"/>
      <c r="N402" s="76"/>
      <c r="O402" s="76"/>
      <c r="P402" s="76" t="str">
        <f t="shared" ref="P402:P465" si="44">IF(B402&lt;&gt;1,","&amp;D402,D402)</f>
        <v>,shikkan384_start_date</v>
      </c>
      <c r="Q402" s="76" t="str">
        <f t="shared" ref="Q402:Q465" si="45">UPPER(G402)</f>
        <v>DATE</v>
      </c>
      <c r="R402" s="76" t="str">
        <f t="shared" ref="R402:R465" si="46">IF(H402&lt;&gt;"","default "&amp;IF(G402="text","'"&amp;H402&amp;"'",H402),"")</f>
        <v/>
      </c>
      <c r="S402" s="76" t="str">
        <f t="shared" ref="S402:S465" si="47">IF(I402="○","NOT NULL","")</f>
        <v/>
      </c>
      <c r="T402" s="76" t="str">
        <f t="shared" ref="T402:T465" si="48">"-- "&amp;C402</f>
        <v>-- C795_疾患開始日</v>
      </c>
      <c r="U402" s="4" t="str">
        <f t="shared" si="35"/>
        <v>, CASE WHEN shikkan_disp_name = 'C795' THEN min_shikkan_start_date ::DATE ELSE NULL END AS shikkan384_start_date</v>
      </c>
      <c r="V402" s="25" t="str">
        <f t="shared" si="36"/>
        <v>, max(shikkan384_start_date)</v>
      </c>
      <c r="AA402" s="4"/>
      <c r="AB402" s="4"/>
      <c r="AC402" s="4"/>
      <c r="AD402" s="4"/>
      <c r="AE402" s="4"/>
      <c r="AF402" s="4"/>
      <c r="AG402" s="4"/>
      <c r="AH402" s="4"/>
      <c r="AI402" s="4"/>
      <c r="AJ402" s="76" t="str">
        <f>IF(E402="○",IF(COUNTA(E$13:E402)=1,"",",")&amp;D402,"")</f>
        <v/>
      </c>
      <c r="AK402" s="4"/>
      <c r="AL402" s="4"/>
      <c r="AM402" s="4"/>
      <c r="AN402" s="4"/>
      <c r="AO402" s="4"/>
      <c r="AP402" s="4"/>
      <c r="AQ402" s="4"/>
      <c r="AR402" s="4"/>
      <c r="AS402" s="76" t="str">
        <f>"COMMENT ON COLUMN "&amp;エンティティ一覧!$O$2&amp;"."&amp;D$8&amp;"."&amp;D402&amp;" IS '"&amp;C402&amp;"';"</f>
        <v>COMMENT ON COLUMN milscm_2023_009.sny_202310_annony_non_annony2.shikkan384_start_date IS 'C795_疾患開始日';</v>
      </c>
    </row>
    <row r="403" spans="1:45" s="25" customFormat="1">
      <c r="A403" s="4" t="s">
        <v>5527</v>
      </c>
      <c r="B403" s="21">
        <f t="shared" si="42"/>
        <v>391</v>
      </c>
      <c r="C403" s="13" t="str">
        <f t="shared" si="43"/>
        <v>C796_疾患開始日</v>
      </c>
      <c r="D403" s="13" t="s">
        <v>6045</v>
      </c>
      <c r="E403" s="8"/>
      <c r="F403" s="7" t="s">
        <v>4348</v>
      </c>
      <c r="G403" s="7" t="s">
        <v>25</v>
      </c>
      <c r="H403" s="58"/>
      <c r="I403" s="23"/>
      <c r="J403" s="24"/>
      <c r="M403" s="4"/>
      <c r="N403" s="76"/>
      <c r="O403" s="76"/>
      <c r="P403" s="76" t="str">
        <f t="shared" si="44"/>
        <v>,shikkan385_start_date</v>
      </c>
      <c r="Q403" s="76" t="str">
        <f t="shared" si="45"/>
        <v>DATE</v>
      </c>
      <c r="R403" s="76" t="str">
        <f t="shared" si="46"/>
        <v/>
      </c>
      <c r="S403" s="76" t="str">
        <f t="shared" si="47"/>
        <v/>
      </c>
      <c r="T403" s="76" t="str">
        <f t="shared" si="48"/>
        <v>-- C796_疾患開始日</v>
      </c>
      <c r="U403" s="4" t="str">
        <f t="shared" si="35"/>
        <v>, CASE WHEN shikkan_disp_name = 'C796' THEN min_shikkan_start_date ::DATE ELSE NULL END AS shikkan385_start_date</v>
      </c>
      <c r="V403" s="25" t="str">
        <f t="shared" si="36"/>
        <v>, max(shikkan385_start_date)</v>
      </c>
      <c r="AA403" s="4"/>
      <c r="AB403" s="4"/>
      <c r="AC403" s="4"/>
      <c r="AD403" s="4"/>
      <c r="AE403" s="4"/>
      <c r="AF403" s="4"/>
      <c r="AG403" s="4"/>
      <c r="AH403" s="4"/>
      <c r="AI403" s="4"/>
      <c r="AJ403" s="76" t="str">
        <f>IF(E403="○",IF(COUNTA(E$13:E403)=1,"",",")&amp;D403,"")</f>
        <v/>
      </c>
      <c r="AK403" s="4"/>
      <c r="AL403" s="4"/>
      <c r="AM403" s="4"/>
      <c r="AN403" s="4"/>
      <c r="AO403" s="4"/>
      <c r="AP403" s="4"/>
      <c r="AQ403" s="4"/>
      <c r="AR403" s="4"/>
      <c r="AS403" s="76" t="str">
        <f>"COMMENT ON COLUMN "&amp;エンティティ一覧!$O$2&amp;"."&amp;D$8&amp;"."&amp;D403&amp;" IS '"&amp;C403&amp;"';"</f>
        <v>COMMENT ON COLUMN milscm_2023_009.sny_202310_annony_non_annony2.shikkan385_start_date IS 'C796_疾患開始日';</v>
      </c>
    </row>
    <row r="404" spans="1:45" s="25" customFormat="1">
      <c r="A404" s="4" t="s">
        <v>5528</v>
      </c>
      <c r="B404" s="21">
        <f t="shared" si="42"/>
        <v>392</v>
      </c>
      <c r="C404" s="13" t="str">
        <f t="shared" ref="C404:C467" si="49">A404&amp;"_疾患開始日"</f>
        <v>C797_疾患開始日</v>
      </c>
      <c r="D404" s="13" t="s">
        <v>6046</v>
      </c>
      <c r="E404" s="8"/>
      <c r="F404" s="7" t="s">
        <v>4348</v>
      </c>
      <c r="G404" s="7" t="s">
        <v>25</v>
      </c>
      <c r="H404" s="58"/>
      <c r="I404" s="23"/>
      <c r="J404" s="24"/>
      <c r="M404" s="4"/>
      <c r="N404" s="76"/>
      <c r="O404" s="76"/>
      <c r="P404" s="76" t="str">
        <f t="shared" si="44"/>
        <v>,shikkan386_start_date</v>
      </c>
      <c r="Q404" s="76" t="str">
        <f t="shared" si="45"/>
        <v>DATE</v>
      </c>
      <c r="R404" s="76" t="str">
        <f t="shared" si="46"/>
        <v/>
      </c>
      <c r="S404" s="76" t="str">
        <f t="shared" si="47"/>
        <v/>
      </c>
      <c r="T404" s="76" t="str">
        <f t="shared" si="48"/>
        <v>-- C797_疾患開始日</v>
      </c>
      <c r="U404" s="4" t="str">
        <f t="shared" si="35"/>
        <v>, CASE WHEN shikkan_disp_name = 'C797' THEN min_shikkan_start_date ::DATE ELSE NULL END AS shikkan386_start_date</v>
      </c>
      <c r="V404" s="25" t="str">
        <f t="shared" si="36"/>
        <v>, max(shikkan386_start_date)</v>
      </c>
      <c r="AA404" s="4"/>
      <c r="AB404" s="4"/>
      <c r="AC404" s="4"/>
      <c r="AD404" s="4"/>
      <c r="AE404" s="4"/>
      <c r="AF404" s="4"/>
      <c r="AG404" s="4"/>
      <c r="AH404" s="4"/>
      <c r="AI404" s="4"/>
      <c r="AJ404" s="76" t="str">
        <f>IF(E404="○",IF(COUNTA(E$13:E404)=1,"",",")&amp;D404,"")</f>
        <v/>
      </c>
      <c r="AK404" s="4"/>
      <c r="AL404" s="4"/>
      <c r="AM404" s="4"/>
      <c r="AN404" s="4"/>
      <c r="AO404" s="4"/>
      <c r="AP404" s="4"/>
      <c r="AQ404" s="4"/>
      <c r="AR404" s="4"/>
      <c r="AS404" s="76" t="str">
        <f>"COMMENT ON COLUMN "&amp;エンティティ一覧!$O$2&amp;"."&amp;D$8&amp;"."&amp;D404&amp;" IS '"&amp;C404&amp;"';"</f>
        <v>COMMENT ON COLUMN milscm_2023_009.sny_202310_annony_non_annony2.shikkan386_start_date IS 'C797_疾患開始日';</v>
      </c>
    </row>
    <row r="405" spans="1:45" s="25" customFormat="1">
      <c r="A405" s="4" t="s">
        <v>5529</v>
      </c>
      <c r="B405" s="21">
        <f t="shared" ref="B405:B468" si="50">ROW()-12</f>
        <v>393</v>
      </c>
      <c r="C405" s="13" t="str">
        <f t="shared" si="49"/>
        <v>C798_疾患開始日</v>
      </c>
      <c r="D405" s="13" t="s">
        <v>6047</v>
      </c>
      <c r="E405" s="8"/>
      <c r="F405" s="7" t="s">
        <v>4348</v>
      </c>
      <c r="G405" s="7" t="s">
        <v>25</v>
      </c>
      <c r="H405" s="58"/>
      <c r="I405" s="23"/>
      <c r="J405" s="24"/>
      <c r="M405" s="4"/>
      <c r="N405" s="76"/>
      <c r="O405" s="76"/>
      <c r="P405" s="76" t="str">
        <f t="shared" si="44"/>
        <v>,shikkan387_start_date</v>
      </c>
      <c r="Q405" s="76" t="str">
        <f t="shared" si="45"/>
        <v>DATE</v>
      </c>
      <c r="R405" s="76" t="str">
        <f t="shared" si="46"/>
        <v/>
      </c>
      <c r="S405" s="76" t="str">
        <f t="shared" si="47"/>
        <v/>
      </c>
      <c r="T405" s="76" t="str">
        <f t="shared" si="48"/>
        <v>-- C798_疾患開始日</v>
      </c>
      <c r="U405" s="4" t="str">
        <f t="shared" si="35"/>
        <v>, CASE WHEN shikkan_disp_name = 'C798' THEN min_shikkan_start_date ::DATE ELSE NULL END AS shikkan387_start_date</v>
      </c>
      <c r="V405" s="25" t="str">
        <f t="shared" si="36"/>
        <v>, max(shikkan387_start_date)</v>
      </c>
      <c r="AA405" s="4"/>
      <c r="AB405" s="4"/>
      <c r="AC405" s="4"/>
      <c r="AD405" s="4"/>
      <c r="AE405" s="4"/>
      <c r="AF405" s="4"/>
      <c r="AG405" s="4"/>
      <c r="AH405" s="4"/>
      <c r="AI405" s="4"/>
      <c r="AJ405" s="76" t="str">
        <f>IF(E405="○",IF(COUNTA(E$13:E405)=1,"",",")&amp;D405,"")</f>
        <v/>
      </c>
      <c r="AK405" s="4"/>
      <c r="AL405" s="4"/>
      <c r="AM405" s="4"/>
      <c r="AN405" s="4"/>
      <c r="AO405" s="4"/>
      <c r="AP405" s="4"/>
      <c r="AQ405" s="4"/>
      <c r="AR405" s="4"/>
      <c r="AS405" s="76" t="str">
        <f>"COMMENT ON COLUMN "&amp;エンティティ一覧!$O$2&amp;"."&amp;D$8&amp;"."&amp;D405&amp;" IS '"&amp;C405&amp;"';"</f>
        <v>COMMENT ON COLUMN milscm_2023_009.sny_202310_annony_non_annony2.shikkan387_start_date IS 'C798_疾患開始日';</v>
      </c>
    </row>
    <row r="406" spans="1:45" s="25" customFormat="1">
      <c r="A406" s="4" t="s">
        <v>5530</v>
      </c>
      <c r="B406" s="21">
        <f t="shared" si="50"/>
        <v>394</v>
      </c>
      <c r="C406" s="13" t="str">
        <f t="shared" si="49"/>
        <v>C799_疾患開始日</v>
      </c>
      <c r="D406" s="13" t="s">
        <v>6048</v>
      </c>
      <c r="E406" s="8"/>
      <c r="F406" s="7" t="s">
        <v>4348</v>
      </c>
      <c r="G406" s="7" t="s">
        <v>25</v>
      </c>
      <c r="H406" s="58"/>
      <c r="I406" s="23"/>
      <c r="J406" s="24"/>
      <c r="M406" s="4"/>
      <c r="N406" s="76"/>
      <c r="O406" s="76"/>
      <c r="P406" s="76" t="str">
        <f t="shared" si="44"/>
        <v>,shikkan388_start_date</v>
      </c>
      <c r="Q406" s="76" t="str">
        <f t="shared" si="45"/>
        <v>DATE</v>
      </c>
      <c r="R406" s="76" t="str">
        <f t="shared" si="46"/>
        <v/>
      </c>
      <c r="S406" s="76" t="str">
        <f t="shared" si="47"/>
        <v/>
      </c>
      <c r="T406" s="76" t="str">
        <f t="shared" si="48"/>
        <v>-- C799_疾患開始日</v>
      </c>
      <c r="U406" s="4" t="str">
        <f t="shared" si="35"/>
        <v>, CASE WHEN shikkan_disp_name = 'C799' THEN min_shikkan_start_date ::DATE ELSE NULL END AS shikkan388_start_date</v>
      </c>
      <c r="V406" s="25" t="str">
        <f t="shared" si="36"/>
        <v>, max(shikkan388_start_date)</v>
      </c>
      <c r="AA406" s="4"/>
      <c r="AB406" s="4"/>
      <c r="AC406" s="4"/>
      <c r="AD406" s="4"/>
      <c r="AE406" s="4"/>
      <c r="AF406" s="4"/>
      <c r="AG406" s="4"/>
      <c r="AH406" s="4"/>
      <c r="AI406" s="4"/>
      <c r="AJ406" s="76" t="str">
        <f>IF(E406="○",IF(COUNTA(E$13:E406)=1,"",",")&amp;D406,"")</f>
        <v/>
      </c>
      <c r="AK406" s="4"/>
      <c r="AL406" s="4"/>
      <c r="AM406" s="4"/>
      <c r="AN406" s="4"/>
      <c r="AO406" s="4"/>
      <c r="AP406" s="4"/>
      <c r="AQ406" s="4"/>
      <c r="AR406" s="4"/>
      <c r="AS406" s="76" t="str">
        <f>"COMMENT ON COLUMN "&amp;エンティティ一覧!$O$2&amp;"."&amp;D$8&amp;"."&amp;D406&amp;" IS '"&amp;C406&amp;"';"</f>
        <v>COMMENT ON COLUMN milscm_2023_009.sny_202310_annony_non_annony2.shikkan388_start_date IS 'C799_疾患開始日';</v>
      </c>
    </row>
    <row r="407" spans="1:45" s="25" customFormat="1">
      <c r="A407" s="4" t="s">
        <v>5531</v>
      </c>
      <c r="B407" s="21">
        <f t="shared" si="50"/>
        <v>395</v>
      </c>
      <c r="C407" s="13" t="str">
        <f t="shared" si="49"/>
        <v>C800_疾患開始日</v>
      </c>
      <c r="D407" s="13" t="s">
        <v>6049</v>
      </c>
      <c r="E407" s="8"/>
      <c r="F407" s="7" t="s">
        <v>4348</v>
      </c>
      <c r="G407" s="7" t="s">
        <v>25</v>
      </c>
      <c r="H407" s="58"/>
      <c r="I407" s="23"/>
      <c r="J407" s="24"/>
      <c r="M407" s="4"/>
      <c r="N407" s="76"/>
      <c r="O407" s="76"/>
      <c r="P407" s="76" t="str">
        <f t="shared" si="44"/>
        <v>,shikkan389_start_date</v>
      </c>
      <c r="Q407" s="76" t="str">
        <f t="shared" si="45"/>
        <v>DATE</v>
      </c>
      <c r="R407" s="76" t="str">
        <f t="shared" si="46"/>
        <v/>
      </c>
      <c r="S407" s="76" t="str">
        <f t="shared" si="47"/>
        <v/>
      </c>
      <c r="T407" s="76" t="str">
        <f t="shared" si="48"/>
        <v>-- C800_疾患開始日</v>
      </c>
      <c r="U407" s="4" t="str">
        <f t="shared" si="35"/>
        <v>, CASE WHEN shikkan_disp_name = 'C800' THEN min_shikkan_start_date ::DATE ELSE NULL END AS shikkan389_start_date</v>
      </c>
      <c r="V407" s="25" t="str">
        <f t="shared" si="36"/>
        <v>, max(shikkan389_start_date)</v>
      </c>
      <c r="AA407" s="4"/>
      <c r="AB407" s="4"/>
      <c r="AC407" s="4"/>
      <c r="AD407" s="4"/>
      <c r="AE407" s="4"/>
      <c r="AF407" s="4"/>
      <c r="AG407" s="4"/>
      <c r="AH407" s="4"/>
      <c r="AI407" s="4"/>
      <c r="AJ407" s="76" t="str">
        <f>IF(E407="○",IF(COUNTA(E$13:E407)=1,"",",")&amp;D407,"")</f>
        <v/>
      </c>
      <c r="AK407" s="4"/>
      <c r="AL407" s="4"/>
      <c r="AM407" s="4"/>
      <c r="AN407" s="4"/>
      <c r="AO407" s="4"/>
      <c r="AP407" s="4"/>
      <c r="AQ407" s="4"/>
      <c r="AR407" s="4"/>
      <c r="AS407" s="76" t="str">
        <f>"COMMENT ON COLUMN "&amp;エンティティ一覧!$O$2&amp;"."&amp;D$8&amp;"."&amp;D407&amp;" IS '"&amp;C407&amp;"';"</f>
        <v>COMMENT ON COLUMN milscm_2023_009.sny_202310_annony_non_annony2.shikkan389_start_date IS 'C800_疾患開始日';</v>
      </c>
    </row>
    <row r="408" spans="1:45" s="25" customFormat="1">
      <c r="A408" s="4" t="s">
        <v>5532</v>
      </c>
      <c r="B408" s="21">
        <f t="shared" si="50"/>
        <v>396</v>
      </c>
      <c r="C408" s="13" t="str">
        <f t="shared" si="49"/>
        <v>C809_疾患開始日</v>
      </c>
      <c r="D408" s="13" t="s">
        <v>6050</v>
      </c>
      <c r="E408" s="8"/>
      <c r="F408" s="7" t="s">
        <v>4348</v>
      </c>
      <c r="G408" s="7" t="s">
        <v>25</v>
      </c>
      <c r="H408" s="58"/>
      <c r="I408" s="23"/>
      <c r="J408" s="24"/>
      <c r="M408" s="4"/>
      <c r="N408" s="76"/>
      <c r="O408" s="76"/>
      <c r="P408" s="76" t="str">
        <f t="shared" si="44"/>
        <v>,shikkan390_start_date</v>
      </c>
      <c r="Q408" s="76" t="str">
        <f t="shared" si="45"/>
        <v>DATE</v>
      </c>
      <c r="R408" s="76" t="str">
        <f t="shared" si="46"/>
        <v/>
      </c>
      <c r="S408" s="76" t="str">
        <f t="shared" si="47"/>
        <v/>
      </c>
      <c r="T408" s="76" t="str">
        <f t="shared" si="48"/>
        <v>-- C809_疾患開始日</v>
      </c>
      <c r="U408" s="4" t="str">
        <f t="shared" si="35"/>
        <v>, CASE WHEN shikkan_disp_name = 'C809' THEN min_shikkan_start_date ::DATE ELSE NULL END AS shikkan390_start_date</v>
      </c>
      <c r="V408" s="25" t="str">
        <f t="shared" si="36"/>
        <v>, max(shikkan390_start_date)</v>
      </c>
      <c r="AA408" s="4"/>
      <c r="AB408" s="4"/>
      <c r="AC408" s="4"/>
      <c r="AD408" s="4"/>
      <c r="AE408" s="4"/>
      <c r="AF408" s="4"/>
      <c r="AG408" s="4"/>
      <c r="AH408" s="4"/>
      <c r="AI408" s="4"/>
      <c r="AJ408" s="76" t="str">
        <f>IF(E408="○",IF(COUNTA(E$13:E408)=1,"",",")&amp;D408,"")</f>
        <v/>
      </c>
      <c r="AK408" s="4"/>
      <c r="AL408" s="4"/>
      <c r="AM408" s="4"/>
      <c r="AN408" s="4"/>
      <c r="AO408" s="4"/>
      <c r="AP408" s="4"/>
      <c r="AQ408" s="4"/>
      <c r="AR408" s="4"/>
      <c r="AS408" s="76" t="str">
        <f>"COMMENT ON COLUMN "&amp;エンティティ一覧!$O$2&amp;"."&amp;D$8&amp;"."&amp;D408&amp;" IS '"&amp;C408&amp;"';"</f>
        <v>COMMENT ON COLUMN milscm_2023_009.sny_202310_annony_non_annony2.shikkan390_start_date IS 'C809_疾患開始日';</v>
      </c>
    </row>
    <row r="409" spans="1:45" s="25" customFormat="1">
      <c r="A409" s="4" t="s">
        <v>5533</v>
      </c>
      <c r="B409" s="21">
        <f t="shared" si="50"/>
        <v>397</v>
      </c>
      <c r="C409" s="13" t="str">
        <f t="shared" si="49"/>
        <v>C810_疾患開始日</v>
      </c>
      <c r="D409" s="13" t="s">
        <v>6051</v>
      </c>
      <c r="E409" s="8"/>
      <c r="F409" s="7" t="s">
        <v>4348</v>
      </c>
      <c r="G409" s="7" t="s">
        <v>25</v>
      </c>
      <c r="H409" s="58"/>
      <c r="I409" s="23"/>
      <c r="J409" s="24"/>
      <c r="M409" s="4"/>
      <c r="N409" s="76"/>
      <c r="O409" s="76"/>
      <c r="P409" s="76" t="str">
        <f t="shared" si="44"/>
        <v>,shikkan391_start_date</v>
      </c>
      <c r="Q409" s="76" t="str">
        <f t="shared" si="45"/>
        <v>DATE</v>
      </c>
      <c r="R409" s="76" t="str">
        <f t="shared" si="46"/>
        <v/>
      </c>
      <c r="S409" s="76" t="str">
        <f t="shared" si="47"/>
        <v/>
      </c>
      <c r="T409" s="76" t="str">
        <f t="shared" si="48"/>
        <v>-- C810_疾患開始日</v>
      </c>
      <c r="U409" s="4" t="str">
        <f t="shared" si="35"/>
        <v>, CASE WHEN shikkan_disp_name = 'C810' THEN min_shikkan_start_date ::DATE ELSE NULL END AS shikkan391_start_date</v>
      </c>
      <c r="V409" s="25" t="str">
        <f t="shared" si="36"/>
        <v>, max(shikkan391_start_date)</v>
      </c>
      <c r="AA409" s="4"/>
      <c r="AB409" s="4"/>
      <c r="AC409" s="4"/>
      <c r="AD409" s="4"/>
      <c r="AE409" s="4"/>
      <c r="AF409" s="4"/>
      <c r="AG409" s="4"/>
      <c r="AH409" s="4"/>
      <c r="AI409" s="4"/>
      <c r="AJ409" s="76" t="str">
        <f>IF(E409="○",IF(COUNTA(E$13:E409)=1,"",",")&amp;D409,"")</f>
        <v/>
      </c>
      <c r="AK409" s="4"/>
      <c r="AL409" s="4"/>
      <c r="AM409" s="4"/>
      <c r="AN409" s="4"/>
      <c r="AO409" s="4"/>
      <c r="AP409" s="4"/>
      <c r="AQ409" s="4"/>
      <c r="AR409" s="4"/>
      <c r="AS409" s="76" t="str">
        <f>"COMMENT ON COLUMN "&amp;エンティティ一覧!$O$2&amp;"."&amp;D$8&amp;"."&amp;D409&amp;" IS '"&amp;C409&amp;"';"</f>
        <v>COMMENT ON COLUMN milscm_2023_009.sny_202310_annony_non_annony2.shikkan391_start_date IS 'C810_疾患開始日';</v>
      </c>
    </row>
    <row r="410" spans="1:45" s="25" customFormat="1">
      <c r="A410" s="4" t="s">
        <v>5534</v>
      </c>
      <c r="B410" s="21">
        <f t="shared" si="50"/>
        <v>398</v>
      </c>
      <c r="C410" s="13" t="str">
        <f t="shared" si="49"/>
        <v>C811_疾患開始日</v>
      </c>
      <c r="D410" s="13" t="s">
        <v>6052</v>
      </c>
      <c r="E410" s="8"/>
      <c r="F410" s="7" t="s">
        <v>4348</v>
      </c>
      <c r="G410" s="7" t="s">
        <v>25</v>
      </c>
      <c r="H410" s="58"/>
      <c r="I410" s="23"/>
      <c r="J410" s="24"/>
      <c r="M410" s="4"/>
      <c r="N410" s="76"/>
      <c r="O410" s="76"/>
      <c r="P410" s="76" t="str">
        <f t="shared" si="44"/>
        <v>,shikkan392_start_date</v>
      </c>
      <c r="Q410" s="76" t="str">
        <f t="shared" si="45"/>
        <v>DATE</v>
      </c>
      <c r="R410" s="76" t="str">
        <f t="shared" si="46"/>
        <v/>
      </c>
      <c r="S410" s="76" t="str">
        <f t="shared" si="47"/>
        <v/>
      </c>
      <c r="T410" s="76" t="str">
        <f t="shared" si="48"/>
        <v>-- C811_疾患開始日</v>
      </c>
      <c r="U410" s="4" t="str">
        <f t="shared" si="35"/>
        <v>, CASE WHEN shikkan_disp_name = 'C811' THEN min_shikkan_start_date ::DATE ELSE NULL END AS shikkan392_start_date</v>
      </c>
      <c r="V410" s="25" t="str">
        <f t="shared" si="36"/>
        <v>, max(shikkan392_start_date)</v>
      </c>
      <c r="AA410" s="4"/>
      <c r="AB410" s="4"/>
      <c r="AC410" s="4"/>
      <c r="AD410" s="4"/>
      <c r="AE410" s="4"/>
      <c r="AF410" s="4"/>
      <c r="AG410" s="4"/>
      <c r="AH410" s="4"/>
      <c r="AI410" s="4"/>
      <c r="AJ410" s="76" t="str">
        <f>IF(E410="○",IF(COUNTA(E$13:E410)=1,"",",")&amp;D410,"")</f>
        <v/>
      </c>
      <c r="AK410" s="4"/>
      <c r="AL410" s="4"/>
      <c r="AM410" s="4"/>
      <c r="AN410" s="4"/>
      <c r="AO410" s="4"/>
      <c r="AP410" s="4"/>
      <c r="AQ410" s="4"/>
      <c r="AR410" s="4"/>
      <c r="AS410" s="76" t="str">
        <f>"COMMENT ON COLUMN "&amp;エンティティ一覧!$O$2&amp;"."&amp;D$8&amp;"."&amp;D410&amp;" IS '"&amp;C410&amp;"';"</f>
        <v>COMMENT ON COLUMN milscm_2023_009.sny_202310_annony_non_annony2.shikkan392_start_date IS 'C811_疾患開始日';</v>
      </c>
    </row>
    <row r="411" spans="1:45" s="25" customFormat="1">
      <c r="A411" s="4" t="s">
        <v>5535</v>
      </c>
      <c r="B411" s="21">
        <f t="shared" si="50"/>
        <v>399</v>
      </c>
      <c r="C411" s="13" t="str">
        <f t="shared" si="49"/>
        <v>C812_疾患開始日</v>
      </c>
      <c r="D411" s="13" t="s">
        <v>6053</v>
      </c>
      <c r="E411" s="8"/>
      <c r="F411" s="7" t="s">
        <v>4348</v>
      </c>
      <c r="G411" s="7" t="s">
        <v>25</v>
      </c>
      <c r="H411" s="58"/>
      <c r="I411" s="23"/>
      <c r="J411" s="24"/>
      <c r="M411" s="4"/>
      <c r="N411" s="76"/>
      <c r="O411" s="76"/>
      <c r="P411" s="76" t="str">
        <f t="shared" si="44"/>
        <v>,shikkan393_start_date</v>
      </c>
      <c r="Q411" s="76" t="str">
        <f t="shared" si="45"/>
        <v>DATE</v>
      </c>
      <c r="R411" s="76" t="str">
        <f t="shared" si="46"/>
        <v/>
      </c>
      <c r="S411" s="76" t="str">
        <f t="shared" si="47"/>
        <v/>
      </c>
      <c r="T411" s="76" t="str">
        <f t="shared" si="48"/>
        <v>-- C812_疾患開始日</v>
      </c>
      <c r="U411" s="4" t="str">
        <f t="shared" si="35"/>
        <v>, CASE WHEN shikkan_disp_name = 'C812' THEN min_shikkan_start_date ::DATE ELSE NULL END AS shikkan393_start_date</v>
      </c>
      <c r="V411" s="25" t="str">
        <f t="shared" si="36"/>
        <v>, max(shikkan393_start_date)</v>
      </c>
      <c r="AA411" s="4"/>
      <c r="AB411" s="4"/>
      <c r="AC411" s="4"/>
      <c r="AD411" s="4"/>
      <c r="AE411" s="4"/>
      <c r="AF411" s="4"/>
      <c r="AG411" s="4"/>
      <c r="AH411" s="4"/>
      <c r="AI411" s="4"/>
      <c r="AJ411" s="76" t="str">
        <f>IF(E411="○",IF(COUNTA(E$13:E411)=1,"",",")&amp;D411,"")</f>
        <v/>
      </c>
      <c r="AK411" s="4"/>
      <c r="AL411" s="4"/>
      <c r="AM411" s="4"/>
      <c r="AN411" s="4"/>
      <c r="AO411" s="4"/>
      <c r="AP411" s="4"/>
      <c r="AQ411" s="4"/>
      <c r="AR411" s="4"/>
      <c r="AS411" s="76" t="str">
        <f>"COMMENT ON COLUMN "&amp;エンティティ一覧!$O$2&amp;"."&amp;D$8&amp;"."&amp;D411&amp;" IS '"&amp;C411&amp;"';"</f>
        <v>COMMENT ON COLUMN milscm_2023_009.sny_202310_annony_non_annony2.shikkan393_start_date IS 'C812_疾患開始日';</v>
      </c>
    </row>
    <row r="412" spans="1:45" s="25" customFormat="1">
      <c r="A412" s="4" t="s">
        <v>5536</v>
      </c>
      <c r="B412" s="21">
        <f t="shared" si="50"/>
        <v>400</v>
      </c>
      <c r="C412" s="13" t="str">
        <f t="shared" si="49"/>
        <v>C813_疾患開始日</v>
      </c>
      <c r="D412" s="13" t="s">
        <v>6054</v>
      </c>
      <c r="E412" s="8"/>
      <c r="F412" s="7" t="s">
        <v>4348</v>
      </c>
      <c r="G412" s="7" t="s">
        <v>25</v>
      </c>
      <c r="H412" s="58"/>
      <c r="I412" s="23"/>
      <c r="J412" s="24"/>
      <c r="M412" s="4"/>
      <c r="N412" s="76"/>
      <c r="O412" s="76"/>
      <c r="P412" s="76" t="str">
        <f t="shared" si="44"/>
        <v>,shikkan394_start_date</v>
      </c>
      <c r="Q412" s="76" t="str">
        <f t="shared" si="45"/>
        <v>DATE</v>
      </c>
      <c r="R412" s="76" t="str">
        <f t="shared" si="46"/>
        <v/>
      </c>
      <c r="S412" s="76" t="str">
        <f t="shared" si="47"/>
        <v/>
      </c>
      <c r="T412" s="76" t="str">
        <f t="shared" si="48"/>
        <v>-- C813_疾患開始日</v>
      </c>
      <c r="U412" s="4" t="str">
        <f t="shared" si="35"/>
        <v>, CASE WHEN shikkan_disp_name = 'C813' THEN min_shikkan_start_date ::DATE ELSE NULL END AS shikkan394_start_date</v>
      </c>
      <c r="V412" s="25" t="str">
        <f t="shared" si="36"/>
        <v>, max(shikkan394_start_date)</v>
      </c>
      <c r="AA412" s="4"/>
      <c r="AB412" s="4"/>
      <c r="AC412" s="4"/>
      <c r="AD412" s="4"/>
      <c r="AE412" s="4"/>
      <c r="AF412" s="4"/>
      <c r="AG412" s="4"/>
      <c r="AH412" s="4"/>
      <c r="AI412" s="4"/>
      <c r="AJ412" s="76" t="str">
        <f>IF(E412="○",IF(COUNTA(E$13:E412)=1,"",",")&amp;D412,"")</f>
        <v/>
      </c>
      <c r="AK412" s="4"/>
      <c r="AL412" s="4"/>
      <c r="AM412" s="4"/>
      <c r="AN412" s="4"/>
      <c r="AO412" s="4"/>
      <c r="AP412" s="4"/>
      <c r="AQ412" s="4"/>
      <c r="AR412" s="4"/>
      <c r="AS412" s="76" t="str">
        <f>"COMMENT ON COLUMN "&amp;エンティティ一覧!$O$2&amp;"."&amp;D$8&amp;"."&amp;D412&amp;" IS '"&amp;C412&amp;"';"</f>
        <v>COMMENT ON COLUMN milscm_2023_009.sny_202310_annony_non_annony2.shikkan394_start_date IS 'C813_疾患開始日';</v>
      </c>
    </row>
    <row r="413" spans="1:45" s="25" customFormat="1">
      <c r="A413" s="4" t="s">
        <v>5537</v>
      </c>
      <c r="B413" s="21">
        <f t="shared" si="50"/>
        <v>401</v>
      </c>
      <c r="C413" s="13" t="str">
        <f t="shared" si="49"/>
        <v>C814_疾患開始日</v>
      </c>
      <c r="D413" s="13" t="s">
        <v>6055</v>
      </c>
      <c r="E413" s="8"/>
      <c r="F413" s="7" t="s">
        <v>4348</v>
      </c>
      <c r="G413" s="7" t="s">
        <v>25</v>
      </c>
      <c r="H413" s="58"/>
      <c r="I413" s="23"/>
      <c r="J413" s="24"/>
      <c r="M413" s="4"/>
      <c r="N413" s="76"/>
      <c r="O413" s="76"/>
      <c r="P413" s="76" t="str">
        <f t="shared" si="44"/>
        <v>,shikkan395_start_date</v>
      </c>
      <c r="Q413" s="76" t="str">
        <f t="shared" si="45"/>
        <v>DATE</v>
      </c>
      <c r="R413" s="76" t="str">
        <f t="shared" si="46"/>
        <v/>
      </c>
      <c r="S413" s="76" t="str">
        <f t="shared" si="47"/>
        <v/>
      </c>
      <c r="T413" s="76" t="str">
        <f t="shared" si="48"/>
        <v>-- C814_疾患開始日</v>
      </c>
      <c r="U413" s="4" t="str">
        <f t="shared" si="35"/>
        <v>, CASE WHEN shikkan_disp_name = 'C814' THEN min_shikkan_start_date ::DATE ELSE NULL END AS shikkan395_start_date</v>
      </c>
      <c r="V413" s="25" t="str">
        <f t="shared" si="36"/>
        <v>, max(shikkan395_start_date)</v>
      </c>
      <c r="AA413" s="4"/>
      <c r="AB413" s="4"/>
      <c r="AC413" s="4"/>
      <c r="AD413" s="4"/>
      <c r="AE413" s="4"/>
      <c r="AF413" s="4"/>
      <c r="AG413" s="4"/>
      <c r="AH413" s="4"/>
      <c r="AI413" s="4"/>
      <c r="AJ413" s="76" t="str">
        <f>IF(E413="○",IF(COUNTA(E$13:E413)=1,"",",")&amp;D413,"")</f>
        <v/>
      </c>
      <c r="AK413" s="4"/>
      <c r="AL413" s="4"/>
      <c r="AM413" s="4"/>
      <c r="AN413" s="4"/>
      <c r="AO413" s="4"/>
      <c r="AP413" s="4"/>
      <c r="AQ413" s="4"/>
      <c r="AR413" s="4"/>
      <c r="AS413" s="76" t="str">
        <f>"COMMENT ON COLUMN "&amp;エンティティ一覧!$O$2&amp;"."&amp;D$8&amp;"."&amp;D413&amp;" IS '"&amp;C413&amp;"';"</f>
        <v>COMMENT ON COLUMN milscm_2023_009.sny_202310_annony_non_annony2.shikkan395_start_date IS 'C814_疾患開始日';</v>
      </c>
    </row>
    <row r="414" spans="1:45" s="25" customFormat="1">
      <c r="A414" s="4" t="s">
        <v>5538</v>
      </c>
      <c r="B414" s="21">
        <f t="shared" si="50"/>
        <v>402</v>
      </c>
      <c r="C414" s="13" t="str">
        <f t="shared" si="49"/>
        <v>C817_疾患開始日</v>
      </c>
      <c r="D414" s="13" t="s">
        <v>6056</v>
      </c>
      <c r="E414" s="8"/>
      <c r="F414" s="7" t="s">
        <v>4348</v>
      </c>
      <c r="G414" s="7" t="s">
        <v>25</v>
      </c>
      <c r="H414" s="58"/>
      <c r="I414" s="23"/>
      <c r="J414" s="24"/>
      <c r="M414" s="4"/>
      <c r="N414" s="76"/>
      <c r="O414" s="76"/>
      <c r="P414" s="76" t="str">
        <f t="shared" si="44"/>
        <v>,shikkan396_start_date</v>
      </c>
      <c r="Q414" s="76" t="str">
        <f t="shared" si="45"/>
        <v>DATE</v>
      </c>
      <c r="R414" s="76" t="str">
        <f t="shared" si="46"/>
        <v/>
      </c>
      <c r="S414" s="76" t="str">
        <f t="shared" si="47"/>
        <v/>
      </c>
      <c r="T414" s="76" t="str">
        <f t="shared" si="48"/>
        <v>-- C817_疾患開始日</v>
      </c>
      <c r="U414" s="4" t="str">
        <f t="shared" si="35"/>
        <v>, CASE WHEN shikkan_disp_name = 'C817' THEN min_shikkan_start_date ::DATE ELSE NULL END AS shikkan396_start_date</v>
      </c>
      <c r="V414" s="25" t="str">
        <f t="shared" si="36"/>
        <v>, max(shikkan396_start_date)</v>
      </c>
      <c r="AA414" s="4"/>
      <c r="AB414" s="4"/>
      <c r="AC414" s="4"/>
      <c r="AD414" s="4"/>
      <c r="AE414" s="4"/>
      <c r="AF414" s="4"/>
      <c r="AG414" s="4"/>
      <c r="AH414" s="4"/>
      <c r="AI414" s="4"/>
      <c r="AJ414" s="76" t="str">
        <f>IF(E414="○",IF(COUNTA(E$13:E414)=1,"",",")&amp;D414,"")</f>
        <v/>
      </c>
      <c r="AK414" s="4"/>
      <c r="AL414" s="4"/>
      <c r="AM414" s="4"/>
      <c r="AN414" s="4"/>
      <c r="AO414" s="4"/>
      <c r="AP414" s="4"/>
      <c r="AQ414" s="4"/>
      <c r="AR414" s="4"/>
      <c r="AS414" s="76" t="str">
        <f>"COMMENT ON COLUMN "&amp;エンティティ一覧!$O$2&amp;"."&amp;D$8&amp;"."&amp;D414&amp;" IS '"&amp;C414&amp;"';"</f>
        <v>COMMENT ON COLUMN milscm_2023_009.sny_202310_annony_non_annony2.shikkan396_start_date IS 'C817_疾患開始日';</v>
      </c>
    </row>
    <row r="415" spans="1:45" s="25" customFormat="1">
      <c r="A415" s="4" t="s">
        <v>5539</v>
      </c>
      <c r="B415" s="21">
        <f t="shared" si="50"/>
        <v>403</v>
      </c>
      <c r="C415" s="13" t="str">
        <f t="shared" si="49"/>
        <v>C819_疾患開始日</v>
      </c>
      <c r="D415" s="13" t="s">
        <v>6057</v>
      </c>
      <c r="E415" s="8"/>
      <c r="F415" s="7" t="s">
        <v>4348</v>
      </c>
      <c r="G415" s="7" t="s">
        <v>25</v>
      </c>
      <c r="H415" s="58"/>
      <c r="I415" s="23"/>
      <c r="J415" s="24"/>
      <c r="M415" s="4"/>
      <c r="N415" s="76"/>
      <c r="O415" s="76"/>
      <c r="P415" s="76" t="str">
        <f t="shared" si="44"/>
        <v>,shikkan397_start_date</v>
      </c>
      <c r="Q415" s="76" t="str">
        <f t="shared" si="45"/>
        <v>DATE</v>
      </c>
      <c r="R415" s="76" t="str">
        <f t="shared" si="46"/>
        <v/>
      </c>
      <c r="S415" s="76" t="str">
        <f t="shared" si="47"/>
        <v/>
      </c>
      <c r="T415" s="76" t="str">
        <f t="shared" si="48"/>
        <v>-- C819_疾患開始日</v>
      </c>
      <c r="U415" s="4" t="str">
        <f t="shared" si="35"/>
        <v>, CASE WHEN shikkan_disp_name = 'C819' THEN min_shikkan_start_date ::DATE ELSE NULL END AS shikkan397_start_date</v>
      </c>
      <c r="V415" s="25" t="str">
        <f t="shared" si="36"/>
        <v>, max(shikkan397_start_date)</v>
      </c>
      <c r="AA415" s="4"/>
      <c r="AB415" s="4"/>
      <c r="AC415" s="4"/>
      <c r="AD415" s="4"/>
      <c r="AE415" s="4"/>
      <c r="AF415" s="4"/>
      <c r="AG415" s="4"/>
      <c r="AH415" s="4"/>
      <c r="AI415" s="4"/>
      <c r="AJ415" s="76" t="str">
        <f>IF(E415="○",IF(COUNTA(E$13:E415)=1,"",",")&amp;D415,"")</f>
        <v/>
      </c>
      <c r="AK415" s="4"/>
      <c r="AL415" s="4"/>
      <c r="AM415" s="4"/>
      <c r="AN415" s="4"/>
      <c r="AO415" s="4"/>
      <c r="AP415" s="4"/>
      <c r="AQ415" s="4"/>
      <c r="AR415" s="4"/>
      <c r="AS415" s="76" t="str">
        <f>"COMMENT ON COLUMN "&amp;エンティティ一覧!$O$2&amp;"."&amp;D$8&amp;"."&amp;D415&amp;" IS '"&amp;C415&amp;"';"</f>
        <v>COMMENT ON COLUMN milscm_2023_009.sny_202310_annony_non_annony2.shikkan397_start_date IS 'C819_疾患開始日';</v>
      </c>
    </row>
    <row r="416" spans="1:45" s="25" customFormat="1">
      <c r="A416" s="4" t="s">
        <v>5540</v>
      </c>
      <c r="B416" s="21">
        <f t="shared" si="50"/>
        <v>404</v>
      </c>
      <c r="C416" s="13" t="str">
        <f t="shared" si="49"/>
        <v>C820_疾患開始日</v>
      </c>
      <c r="D416" s="13" t="s">
        <v>6058</v>
      </c>
      <c r="E416" s="8"/>
      <c r="F416" s="7" t="s">
        <v>4348</v>
      </c>
      <c r="G416" s="7" t="s">
        <v>25</v>
      </c>
      <c r="H416" s="58"/>
      <c r="I416" s="23"/>
      <c r="J416" s="24"/>
      <c r="M416" s="4"/>
      <c r="N416" s="76"/>
      <c r="O416" s="76"/>
      <c r="P416" s="76" t="str">
        <f t="shared" si="44"/>
        <v>,shikkan398_start_date</v>
      </c>
      <c r="Q416" s="76" t="str">
        <f t="shared" si="45"/>
        <v>DATE</v>
      </c>
      <c r="R416" s="76" t="str">
        <f t="shared" si="46"/>
        <v/>
      </c>
      <c r="S416" s="76" t="str">
        <f t="shared" si="47"/>
        <v/>
      </c>
      <c r="T416" s="76" t="str">
        <f t="shared" si="48"/>
        <v>-- C820_疾患開始日</v>
      </c>
      <c r="U416" s="4" t="str">
        <f t="shared" si="35"/>
        <v>, CASE WHEN shikkan_disp_name = 'C820' THEN min_shikkan_start_date ::DATE ELSE NULL END AS shikkan398_start_date</v>
      </c>
      <c r="V416" s="25" t="str">
        <f t="shared" si="36"/>
        <v>, max(shikkan398_start_date)</v>
      </c>
      <c r="AA416" s="4"/>
      <c r="AB416" s="4"/>
      <c r="AC416" s="4"/>
      <c r="AD416" s="4"/>
      <c r="AE416" s="4"/>
      <c r="AF416" s="4"/>
      <c r="AG416" s="4"/>
      <c r="AH416" s="4"/>
      <c r="AI416" s="4"/>
      <c r="AJ416" s="76" t="str">
        <f>IF(E416="○",IF(COUNTA(E$13:E416)=1,"",",")&amp;D416,"")</f>
        <v/>
      </c>
      <c r="AK416" s="4"/>
      <c r="AL416" s="4"/>
      <c r="AM416" s="4"/>
      <c r="AN416" s="4"/>
      <c r="AO416" s="4"/>
      <c r="AP416" s="4"/>
      <c r="AQ416" s="4"/>
      <c r="AR416" s="4"/>
      <c r="AS416" s="76" t="str">
        <f>"COMMENT ON COLUMN "&amp;エンティティ一覧!$O$2&amp;"."&amp;D$8&amp;"."&amp;D416&amp;" IS '"&amp;C416&amp;"';"</f>
        <v>COMMENT ON COLUMN milscm_2023_009.sny_202310_annony_non_annony2.shikkan398_start_date IS 'C820_疾患開始日';</v>
      </c>
    </row>
    <row r="417" spans="1:45" s="25" customFormat="1">
      <c r="A417" s="4" t="s">
        <v>5541</v>
      </c>
      <c r="B417" s="21">
        <f t="shared" si="50"/>
        <v>405</v>
      </c>
      <c r="C417" s="13" t="str">
        <f t="shared" si="49"/>
        <v>C821_疾患開始日</v>
      </c>
      <c r="D417" s="13" t="s">
        <v>6059</v>
      </c>
      <c r="E417" s="8"/>
      <c r="F417" s="7" t="s">
        <v>4348</v>
      </c>
      <c r="G417" s="7" t="s">
        <v>25</v>
      </c>
      <c r="H417" s="58"/>
      <c r="I417" s="23"/>
      <c r="J417" s="24"/>
      <c r="M417" s="4"/>
      <c r="N417" s="76"/>
      <c r="O417" s="76"/>
      <c r="P417" s="76" t="str">
        <f t="shared" si="44"/>
        <v>,shikkan399_start_date</v>
      </c>
      <c r="Q417" s="76" t="str">
        <f t="shared" si="45"/>
        <v>DATE</v>
      </c>
      <c r="R417" s="76" t="str">
        <f t="shared" si="46"/>
        <v/>
      </c>
      <c r="S417" s="76" t="str">
        <f t="shared" si="47"/>
        <v/>
      </c>
      <c r="T417" s="76" t="str">
        <f t="shared" si="48"/>
        <v>-- C821_疾患開始日</v>
      </c>
      <c r="U417" s="4" t="str">
        <f t="shared" si="35"/>
        <v>, CASE WHEN shikkan_disp_name = 'C821' THEN min_shikkan_start_date ::DATE ELSE NULL END AS shikkan399_start_date</v>
      </c>
      <c r="V417" s="25" t="str">
        <f t="shared" si="36"/>
        <v>, max(shikkan399_start_date)</v>
      </c>
      <c r="AA417" s="4"/>
      <c r="AB417" s="4"/>
      <c r="AC417" s="4"/>
      <c r="AD417" s="4"/>
      <c r="AE417" s="4"/>
      <c r="AF417" s="4"/>
      <c r="AG417" s="4"/>
      <c r="AH417" s="4"/>
      <c r="AI417" s="4"/>
      <c r="AJ417" s="76" t="str">
        <f>IF(E417="○",IF(COUNTA(E$13:E417)=1,"",",")&amp;D417,"")</f>
        <v/>
      </c>
      <c r="AK417" s="4"/>
      <c r="AL417" s="4"/>
      <c r="AM417" s="4"/>
      <c r="AN417" s="4"/>
      <c r="AO417" s="4"/>
      <c r="AP417" s="4"/>
      <c r="AQ417" s="4"/>
      <c r="AR417" s="4"/>
      <c r="AS417" s="76" t="str">
        <f>"COMMENT ON COLUMN "&amp;エンティティ一覧!$O$2&amp;"."&amp;D$8&amp;"."&amp;D417&amp;" IS '"&amp;C417&amp;"';"</f>
        <v>COMMENT ON COLUMN milscm_2023_009.sny_202310_annony_non_annony2.shikkan399_start_date IS 'C821_疾患開始日';</v>
      </c>
    </row>
    <row r="418" spans="1:45" s="25" customFormat="1">
      <c r="A418" s="4" t="s">
        <v>5542</v>
      </c>
      <c r="B418" s="21">
        <f t="shared" si="50"/>
        <v>406</v>
      </c>
      <c r="C418" s="13" t="str">
        <f t="shared" si="49"/>
        <v>C822_疾患開始日</v>
      </c>
      <c r="D418" s="13" t="s">
        <v>6060</v>
      </c>
      <c r="E418" s="8"/>
      <c r="F418" s="7" t="s">
        <v>4348</v>
      </c>
      <c r="G418" s="7" t="s">
        <v>99</v>
      </c>
      <c r="H418" s="58"/>
      <c r="I418" s="23"/>
      <c r="J418" s="24"/>
      <c r="M418" s="4"/>
      <c r="N418" s="76"/>
      <c r="O418" s="76"/>
      <c r="P418" s="76" t="str">
        <f t="shared" si="44"/>
        <v>,shikkan400_start_date</v>
      </c>
      <c r="Q418" s="76" t="str">
        <f t="shared" si="45"/>
        <v>DATE</v>
      </c>
      <c r="R418" s="76" t="str">
        <f t="shared" si="46"/>
        <v/>
      </c>
      <c r="S418" s="76" t="str">
        <f t="shared" si="47"/>
        <v/>
      </c>
      <c r="T418" s="76" t="str">
        <f t="shared" si="48"/>
        <v>-- C822_疾患開始日</v>
      </c>
      <c r="U418" s="4" t="str">
        <f t="shared" si="35"/>
        <v>, CASE WHEN shikkan_disp_name = 'C822' THEN min_shikkan_start_date ::DATE ELSE NULL END AS shikkan400_start_date</v>
      </c>
      <c r="V418" s="25" t="str">
        <f t="shared" si="36"/>
        <v>, max(shikkan400_start_date)</v>
      </c>
      <c r="AA418" s="4"/>
      <c r="AB418" s="4"/>
      <c r="AC418" s="4"/>
      <c r="AD418" s="4"/>
      <c r="AE418" s="4"/>
      <c r="AF418" s="4"/>
      <c r="AG418" s="4"/>
      <c r="AH418" s="4"/>
      <c r="AI418" s="4"/>
      <c r="AJ418" s="76" t="str">
        <f>IF(E418="○",IF(COUNTA(E$13:E418)=1,"",",")&amp;D418,"")</f>
        <v/>
      </c>
      <c r="AK418" s="4"/>
      <c r="AL418" s="4"/>
      <c r="AM418" s="4"/>
      <c r="AN418" s="4"/>
      <c r="AO418" s="4"/>
      <c r="AP418" s="4"/>
      <c r="AQ418" s="4"/>
      <c r="AR418" s="4"/>
      <c r="AS418" s="76" t="str">
        <f>"COMMENT ON COLUMN "&amp;エンティティ一覧!$O$2&amp;"."&amp;D$8&amp;"."&amp;D418&amp;" IS '"&amp;C418&amp;"';"</f>
        <v>COMMENT ON COLUMN milscm_2023_009.sny_202310_annony_non_annony2.shikkan400_start_date IS 'C822_疾患開始日';</v>
      </c>
    </row>
    <row r="419" spans="1:45" s="25" customFormat="1">
      <c r="A419" s="4" t="s">
        <v>5543</v>
      </c>
      <c r="B419" s="21">
        <f t="shared" si="50"/>
        <v>407</v>
      </c>
      <c r="C419" s="13" t="str">
        <f t="shared" si="49"/>
        <v>C823_疾患開始日</v>
      </c>
      <c r="D419" s="13" t="s">
        <v>6061</v>
      </c>
      <c r="E419" s="8"/>
      <c r="F419" s="7" t="s">
        <v>4348</v>
      </c>
      <c r="G419" s="7" t="s">
        <v>25</v>
      </c>
      <c r="H419" s="58"/>
      <c r="I419" s="23"/>
      <c r="J419" s="24"/>
      <c r="M419" s="4"/>
      <c r="N419" s="76"/>
      <c r="O419" s="76"/>
      <c r="P419" s="76" t="str">
        <f t="shared" si="44"/>
        <v>,shikkan401_start_date</v>
      </c>
      <c r="Q419" s="76" t="str">
        <f t="shared" si="45"/>
        <v>DATE</v>
      </c>
      <c r="R419" s="76" t="str">
        <f t="shared" si="46"/>
        <v/>
      </c>
      <c r="S419" s="76" t="str">
        <f t="shared" si="47"/>
        <v/>
      </c>
      <c r="T419" s="76" t="str">
        <f t="shared" si="48"/>
        <v>-- C823_疾患開始日</v>
      </c>
      <c r="U419" s="4" t="str">
        <f t="shared" si="35"/>
        <v>, CASE WHEN shikkan_disp_name = 'C823' THEN min_shikkan_start_date ::DATE ELSE NULL END AS shikkan401_start_date</v>
      </c>
      <c r="V419" s="25" t="str">
        <f t="shared" si="36"/>
        <v>, max(shikkan401_start_date)</v>
      </c>
      <c r="AA419" s="4"/>
      <c r="AB419" s="4"/>
      <c r="AC419" s="4"/>
      <c r="AD419" s="4"/>
      <c r="AE419" s="4"/>
      <c r="AF419" s="4"/>
      <c r="AG419" s="4"/>
      <c r="AH419" s="4"/>
      <c r="AI419" s="4"/>
      <c r="AJ419" s="76" t="str">
        <f>IF(E419="○",IF(COUNTA(E$13:E419)=1,"",",")&amp;D419,"")</f>
        <v/>
      </c>
      <c r="AK419" s="4"/>
      <c r="AL419" s="4"/>
      <c r="AM419" s="4"/>
      <c r="AN419" s="4"/>
      <c r="AO419" s="4"/>
      <c r="AP419" s="4"/>
      <c r="AQ419" s="4"/>
      <c r="AR419" s="4"/>
      <c r="AS419" s="76" t="str">
        <f>"COMMENT ON COLUMN "&amp;エンティティ一覧!$O$2&amp;"."&amp;D$8&amp;"."&amp;D419&amp;" IS '"&amp;C419&amp;"';"</f>
        <v>COMMENT ON COLUMN milscm_2023_009.sny_202310_annony_non_annony2.shikkan401_start_date IS 'C823_疾患開始日';</v>
      </c>
    </row>
    <row r="420" spans="1:45" s="25" customFormat="1">
      <c r="A420" s="4" t="s">
        <v>5544</v>
      </c>
      <c r="B420" s="21">
        <f t="shared" si="50"/>
        <v>408</v>
      </c>
      <c r="C420" s="13" t="str">
        <f t="shared" si="49"/>
        <v>C824_疾患開始日</v>
      </c>
      <c r="D420" s="13" t="s">
        <v>6062</v>
      </c>
      <c r="E420" s="8"/>
      <c r="F420" s="7" t="s">
        <v>4348</v>
      </c>
      <c r="G420" s="7" t="s">
        <v>25</v>
      </c>
      <c r="H420" s="58"/>
      <c r="I420" s="23"/>
      <c r="J420" s="24"/>
      <c r="M420" s="4"/>
      <c r="N420" s="76"/>
      <c r="O420" s="76"/>
      <c r="P420" s="76" t="str">
        <f t="shared" si="44"/>
        <v>,shikkan402_start_date</v>
      </c>
      <c r="Q420" s="76" t="str">
        <f t="shared" si="45"/>
        <v>DATE</v>
      </c>
      <c r="R420" s="76" t="str">
        <f t="shared" si="46"/>
        <v/>
      </c>
      <c r="S420" s="76" t="str">
        <f t="shared" si="47"/>
        <v/>
      </c>
      <c r="T420" s="76" t="str">
        <f t="shared" si="48"/>
        <v>-- C824_疾患開始日</v>
      </c>
      <c r="U420" s="4" t="str">
        <f t="shared" si="35"/>
        <v>, CASE WHEN shikkan_disp_name = 'C824' THEN min_shikkan_start_date ::DATE ELSE NULL END AS shikkan402_start_date</v>
      </c>
      <c r="V420" s="25" t="str">
        <f t="shared" si="36"/>
        <v>, max(shikkan402_start_date)</v>
      </c>
      <c r="AA420" s="4"/>
      <c r="AB420" s="4"/>
      <c r="AC420" s="4"/>
      <c r="AD420" s="4"/>
      <c r="AE420" s="4"/>
      <c r="AF420" s="4"/>
      <c r="AG420" s="4"/>
      <c r="AH420" s="4"/>
      <c r="AI420" s="4"/>
      <c r="AJ420" s="76" t="str">
        <f>IF(E420="○",IF(COUNTA(E$13:E420)=1,"",",")&amp;D420,"")</f>
        <v/>
      </c>
      <c r="AK420" s="4"/>
      <c r="AL420" s="4"/>
      <c r="AM420" s="4"/>
      <c r="AN420" s="4"/>
      <c r="AO420" s="4"/>
      <c r="AP420" s="4"/>
      <c r="AQ420" s="4"/>
      <c r="AR420" s="4"/>
      <c r="AS420" s="76" t="str">
        <f>"COMMENT ON COLUMN "&amp;エンティティ一覧!$O$2&amp;"."&amp;D$8&amp;"."&amp;D420&amp;" IS '"&amp;C420&amp;"';"</f>
        <v>COMMENT ON COLUMN milscm_2023_009.sny_202310_annony_non_annony2.shikkan402_start_date IS 'C824_疾患開始日';</v>
      </c>
    </row>
    <row r="421" spans="1:45" s="25" customFormat="1">
      <c r="A421" s="4" t="s">
        <v>5545</v>
      </c>
      <c r="B421" s="21">
        <f t="shared" si="50"/>
        <v>409</v>
      </c>
      <c r="C421" s="13" t="str">
        <f t="shared" si="49"/>
        <v>C825_疾患開始日</v>
      </c>
      <c r="D421" s="13" t="s">
        <v>6063</v>
      </c>
      <c r="E421" s="8"/>
      <c r="F421" s="7" t="s">
        <v>4348</v>
      </c>
      <c r="G421" s="7" t="s">
        <v>25</v>
      </c>
      <c r="H421" s="58"/>
      <c r="I421" s="23"/>
      <c r="J421" s="24"/>
      <c r="M421" s="4"/>
      <c r="N421" s="76"/>
      <c r="O421" s="76"/>
      <c r="P421" s="76" t="str">
        <f t="shared" si="44"/>
        <v>,shikkan403_start_date</v>
      </c>
      <c r="Q421" s="76" t="str">
        <f t="shared" si="45"/>
        <v>DATE</v>
      </c>
      <c r="R421" s="76" t="str">
        <f t="shared" si="46"/>
        <v/>
      </c>
      <c r="S421" s="76" t="str">
        <f t="shared" si="47"/>
        <v/>
      </c>
      <c r="T421" s="76" t="str">
        <f t="shared" si="48"/>
        <v>-- C825_疾患開始日</v>
      </c>
      <c r="U421" s="4" t="str">
        <f t="shared" si="35"/>
        <v>, CASE WHEN shikkan_disp_name = 'C825' THEN min_shikkan_start_date ::DATE ELSE NULL END AS shikkan403_start_date</v>
      </c>
      <c r="V421" s="25" t="str">
        <f t="shared" si="36"/>
        <v>, max(shikkan403_start_date)</v>
      </c>
      <c r="AA421" s="4"/>
      <c r="AB421" s="4"/>
      <c r="AC421" s="4"/>
      <c r="AD421" s="4"/>
      <c r="AE421" s="4"/>
      <c r="AF421" s="4"/>
      <c r="AG421" s="4"/>
      <c r="AH421" s="4"/>
      <c r="AI421" s="4"/>
      <c r="AJ421" s="76" t="str">
        <f>IF(E421="○",IF(COUNTA(E$13:E421)=1,"",",")&amp;D421,"")</f>
        <v/>
      </c>
      <c r="AK421" s="4"/>
      <c r="AL421" s="4"/>
      <c r="AM421" s="4"/>
      <c r="AN421" s="4"/>
      <c r="AO421" s="4"/>
      <c r="AP421" s="4"/>
      <c r="AQ421" s="4"/>
      <c r="AR421" s="4"/>
      <c r="AS421" s="76" t="str">
        <f>"COMMENT ON COLUMN "&amp;エンティティ一覧!$O$2&amp;"."&amp;D$8&amp;"."&amp;D421&amp;" IS '"&amp;C421&amp;"';"</f>
        <v>COMMENT ON COLUMN milscm_2023_009.sny_202310_annony_non_annony2.shikkan403_start_date IS 'C825_疾患開始日';</v>
      </c>
    </row>
    <row r="422" spans="1:45" s="25" customFormat="1">
      <c r="A422" s="4" t="s">
        <v>5546</v>
      </c>
      <c r="B422" s="21">
        <f t="shared" si="50"/>
        <v>410</v>
      </c>
      <c r="C422" s="13" t="str">
        <f t="shared" si="49"/>
        <v>C826_疾患開始日</v>
      </c>
      <c r="D422" s="13" t="s">
        <v>6064</v>
      </c>
      <c r="E422" s="8"/>
      <c r="F422" s="7" t="s">
        <v>4348</v>
      </c>
      <c r="G422" s="7" t="s">
        <v>25</v>
      </c>
      <c r="H422" s="58"/>
      <c r="I422" s="23"/>
      <c r="J422" s="24"/>
      <c r="M422" s="4"/>
      <c r="N422" s="76"/>
      <c r="O422" s="76"/>
      <c r="P422" s="76" t="str">
        <f t="shared" si="44"/>
        <v>,shikkan404_start_date</v>
      </c>
      <c r="Q422" s="76" t="str">
        <f t="shared" si="45"/>
        <v>DATE</v>
      </c>
      <c r="R422" s="76" t="str">
        <f t="shared" si="46"/>
        <v/>
      </c>
      <c r="S422" s="76" t="str">
        <f t="shared" si="47"/>
        <v/>
      </c>
      <c r="T422" s="76" t="str">
        <f t="shared" si="48"/>
        <v>-- C826_疾患開始日</v>
      </c>
      <c r="U422" s="4" t="str">
        <f t="shared" si="35"/>
        <v>, CASE WHEN shikkan_disp_name = 'C826' THEN min_shikkan_start_date ::DATE ELSE NULL END AS shikkan404_start_date</v>
      </c>
      <c r="V422" s="25" t="str">
        <f t="shared" si="36"/>
        <v>, max(shikkan404_start_date)</v>
      </c>
      <c r="AA422" s="4"/>
      <c r="AB422" s="4"/>
      <c r="AC422" s="4"/>
      <c r="AD422" s="4"/>
      <c r="AE422" s="4"/>
      <c r="AF422" s="4"/>
      <c r="AG422" s="4"/>
      <c r="AH422" s="4"/>
      <c r="AI422" s="4"/>
      <c r="AJ422" s="76" t="str">
        <f>IF(E422="○",IF(COUNTA(E$13:E422)=1,"",",")&amp;D422,"")</f>
        <v/>
      </c>
      <c r="AK422" s="4"/>
      <c r="AL422" s="4"/>
      <c r="AM422" s="4"/>
      <c r="AN422" s="4"/>
      <c r="AO422" s="4"/>
      <c r="AP422" s="4"/>
      <c r="AQ422" s="4"/>
      <c r="AR422" s="4"/>
      <c r="AS422" s="76" t="str">
        <f>"COMMENT ON COLUMN "&amp;エンティティ一覧!$O$2&amp;"."&amp;D$8&amp;"."&amp;D422&amp;" IS '"&amp;C422&amp;"';"</f>
        <v>COMMENT ON COLUMN milscm_2023_009.sny_202310_annony_non_annony2.shikkan404_start_date IS 'C826_疾患開始日';</v>
      </c>
    </row>
    <row r="423" spans="1:45" s="25" customFormat="1">
      <c r="A423" s="4" t="s">
        <v>5547</v>
      </c>
      <c r="B423" s="21">
        <f t="shared" si="50"/>
        <v>411</v>
      </c>
      <c r="C423" s="13" t="str">
        <f t="shared" si="49"/>
        <v>C827_疾患開始日</v>
      </c>
      <c r="D423" s="13" t="s">
        <v>6065</v>
      </c>
      <c r="E423" s="8"/>
      <c r="F423" s="7" t="s">
        <v>4348</v>
      </c>
      <c r="G423" s="7" t="s">
        <v>25</v>
      </c>
      <c r="H423" s="58"/>
      <c r="I423" s="23"/>
      <c r="J423" s="24"/>
      <c r="M423" s="4"/>
      <c r="N423" s="76"/>
      <c r="O423" s="76"/>
      <c r="P423" s="76" t="str">
        <f t="shared" si="44"/>
        <v>,shikkan405_start_date</v>
      </c>
      <c r="Q423" s="76" t="str">
        <f t="shared" si="45"/>
        <v>DATE</v>
      </c>
      <c r="R423" s="76" t="str">
        <f t="shared" si="46"/>
        <v/>
      </c>
      <c r="S423" s="76" t="str">
        <f t="shared" si="47"/>
        <v/>
      </c>
      <c r="T423" s="76" t="str">
        <f t="shared" si="48"/>
        <v>-- C827_疾患開始日</v>
      </c>
      <c r="U423" s="4" t="str">
        <f t="shared" si="35"/>
        <v>, CASE WHEN shikkan_disp_name = 'C827' THEN min_shikkan_start_date ::DATE ELSE NULL END AS shikkan405_start_date</v>
      </c>
      <c r="V423" s="25" t="str">
        <f t="shared" si="36"/>
        <v>, max(shikkan405_start_date)</v>
      </c>
      <c r="AA423" s="4"/>
      <c r="AB423" s="4"/>
      <c r="AC423" s="4"/>
      <c r="AD423" s="4"/>
      <c r="AE423" s="4"/>
      <c r="AF423" s="4"/>
      <c r="AG423" s="4"/>
      <c r="AH423" s="4"/>
      <c r="AI423" s="4"/>
      <c r="AJ423" s="76" t="str">
        <f>IF(E423="○",IF(COUNTA(E$13:E423)=1,"",",")&amp;D423,"")</f>
        <v/>
      </c>
      <c r="AK423" s="4"/>
      <c r="AL423" s="4"/>
      <c r="AM423" s="4"/>
      <c r="AN423" s="4"/>
      <c r="AO423" s="4"/>
      <c r="AP423" s="4"/>
      <c r="AQ423" s="4"/>
      <c r="AR423" s="4"/>
      <c r="AS423" s="76" t="str">
        <f>"COMMENT ON COLUMN "&amp;エンティティ一覧!$O$2&amp;"."&amp;D$8&amp;"."&amp;D423&amp;" IS '"&amp;C423&amp;"';"</f>
        <v>COMMENT ON COLUMN milscm_2023_009.sny_202310_annony_non_annony2.shikkan405_start_date IS 'C827_疾患開始日';</v>
      </c>
    </row>
    <row r="424" spans="1:45" s="25" customFormat="1">
      <c r="A424" s="4" t="s">
        <v>5548</v>
      </c>
      <c r="B424" s="21">
        <f t="shared" si="50"/>
        <v>412</v>
      </c>
      <c r="C424" s="13" t="str">
        <f t="shared" si="49"/>
        <v>C829_疾患開始日</v>
      </c>
      <c r="D424" s="13" t="s">
        <v>6066</v>
      </c>
      <c r="E424" s="8"/>
      <c r="F424" s="7" t="s">
        <v>4348</v>
      </c>
      <c r="G424" s="7" t="s">
        <v>25</v>
      </c>
      <c r="H424" s="58"/>
      <c r="I424" s="23"/>
      <c r="J424" s="24"/>
      <c r="M424" s="4"/>
      <c r="N424" s="76"/>
      <c r="O424" s="76"/>
      <c r="P424" s="76" t="str">
        <f t="shared" si="44"/>
        <v>,shikkan406_start_date</v>
      </c>
      <c r="Q424" s="76" t="str">
        <f t="shared" si="45"/>
        <v>DATE</v>
      </c>
      <c r="R424" s="76" t="str">
        <f t="shared" si="46"/>
        <v/>
      </c>
      <c r="S424" s="76" t="str">
        <f t="shared" si="47"/>
        <v/>
      </c>
      <c r="T424" s="76" t="str">
        <f t="shared" si="48"/>
        <v>-- C829_疾患開始日</v>
      </c>
      <c r="U424" s="4" t="str">
        <f t="shared" si="35"/>
        <v>, CASE WHEN shikkan_disp_name = 'C829' THEN min_shikkan_start_date ::DATE ELSE NULL END AS shikkan406_start_date</v>
      </c>
      <c r="V424" s="25" t="str">
        <f t="shared" si="36"/>
        <v>, max(shikkan406_start_date)</v>
      </c>
      <c r="AA424" s="4"/>
      <c r="AB424" s="4"/>
      <c r="AC424" s="4"/>
      <c r="AD424" s="4"/>
      <c r="AE424" s="4"/>
      <c r="AF424" s="4"/>
      <c r="AG424" s="4"/>
      <c r="AH424" s="4"/>
      <c r="AI424" s="4"/>
      <c r="AJ424" s="76" t="str">
        <f>IF(E424="○",IF(COUNTA(E$13:E424)=1,"",",")&amp;D424,"")</f>
        <v/>
      </c>
      <c r="AK424" s="4"/>
      <c r="AL424" s="4"/>
      <c r="AM424" s="4"/>
      <c r="AN424" s="4"/>
      <c r="AO424" s="4"/>
      <c r="AP424" s="4"/>
      <c r="AQ424" s="4"/>
      <c r="AR424" s="4"/>
      <c r="AS424" s="76" t="str">
        <f>"COMMENT ON COLUMN "&amp;エンティティ一覧!$O$2&amp;"."&amp;D$8&amp;"."&amp;D424&amp;" IS '"&amp;C424&amp;"';"</f>
        <v>COMMENT ON COLUMN milscm_2023_009.sny_202310_annony_non_annony2.shikkan406_start_date IS 'C829_疾患開始日';</v>
      </c>
    </row>
    <row r="425" spans="1:45" s="25" customFormat="1">
      <c r="A425" s="4" t="s">
        <v>5549</v>
      </c>
      <c r="B425" s="21">
        <f t="shared" si="50"/>
        <v>413</v>
      </c>
      <c r="C425" s="13" t="str">
        <f t="shared" si="49"/>
        <v>C830_疾患開始日</v>
      </c>
      <c r="D425" s="13" t="s">
        <v>6067</v>
      </c>
      <c r="E425" s="8"/>
      <c r="F425" s="7" t="s">
        <v>4348</v>
      </c>
      <c r="G425" s="7" t="s">
        <v>25</v>
      </c>
      <c r="H425" s="58"/>
      <c r="I425" s="23"/>
      <c r="J425" s="24"/>
      <c r="M425" s="4"/>
      <c r="N425" s="76"/>
      <c r="O425" s="76"/>
      <c r="P425" s="76" t="str">
        <f t="shared" si="44"/>
        <v>,shikkan407_start_date</v>
      </c>
      <c r="Q425" s="76" t="str">
        <f t="shared" si="45"/>
        <v>DATE</v>
      </c>
      <c r="R425" s="76" t="str">
        <f t="shared" si="46"/>
        <v/>
      </c>
      <c r="S425" s="76" t="str">
        <f t="shared" si="47"/>
        <v/>
      </c>
      <c r="T425" s="76" t="str">
        <f t="shared" si="48"/>
        <v>-- C830_疾患開始日</v>
      </c>
      <c r="U425" s="4" t="str">
        <f t="shared" si="35"/>
        <v>, CASE WHEN shikkan_disp_name = 'C830' THEN min_shikkan_start_date ::DATE ELSE NULL END AS shikkan407_start_date</v>
      </c>
      <c r="V425" s="25" t="str">
        <f t="shared" si="36"/>
        <v>, max(shikkan407_start_date)</v>
      </c>
      <c r="AA425" s="4"/>
      <c r="AB425" s="4"/>
      <c r="AC425" s="4"/>
      <c r="AD425" s="4"/>
      <c r="AE425" s="4"/>
      <c r="AF425" s="4"/>
      <c r="AG425" s="4"/>
      <c r="AH425" s="4"/>
      <c r="AI425" s="4"/>
      <c r="AJ425" s="76" t="str">
        <f>IF(E425="○",IF(COUNTA(E$13:E425)=1,"",",")&amp;D425,"")</f>
        <v/>
      </c>
      <c r="AK425" s="4"/>
      <c r="AL425" s="4"/>
      <c r="AM425" s="4"/>
      <c r="AN425" s="4"/>
      <c r="AO425" s="4"/>
      <c r="AP425" s="4"/>
      <c r="AQ425" s="4"/>
      <c r="AR425" s="4"/>
      <c r="AS425" s="76" t="str">
        <f>"COMMENT ON COLUMN "&amp;エンティティ一覧!$O$2&amp;"."&amp;D$8&amp;"."&amp;D425&amp;" IS '"&amp;C425&amp;"';"</f>
        <v>COMMENT ON COLUMN milscm_2023_009.sny_202310_annony_non_annony2.shikkan407_start_date IS 'C830_疾患開始日';</v>
      </c>
    </row>
    <row r="426" spans="1:45" s="25" customFormat="1">
      <c r="A426" s="4" t="s">
        <v>5550</v>
      </c>
      <c r="B426" s="21">
        <f t="shared" si="50"/>
        <v>414</v>
      </c>
      <c r="C426" s="13" t="str">
        <f t="shared" si="49"/>
        <v>C831_疾患開始日</v>
      </c>
      <c r="D426" s="13" t="s">
        <v>6068</v>
      </c>
      <c r="E426" s="8"/>
      <c r="F426" s="7" t="s">
        <v>4348</v>
      </c>
      <c r="G426" s="7" t="s">
        <v>25</v>
      </c>
      <c r="H426" s="58"/>
      <c r="I426" s="23"/>
      <c r="J426" s="24"/>
      <c r="M426" s="4"/>
      <c r="N426" s="76"/>
      <c r="O426" s="76"/>
      <c r="P426" s="76" t="str">
        <f t="shared" si="44"/>
        <v>,shikkan408_start_date</v>
      </c>
      <c r="Q426" s="76" t="str">
        <f t="shared" si="45"/>
        <v>DATE</v>
      </c>
      <c r="R426" s="76" t="str">
        <f t="shared" si="46"/>
        <v/>
      </c>
      <c r="S426" s="76" t="str">
        <f t="shared" si="47"/>
        <v/>
      </c>
      <c r="T426" s="76" t="str">
        <f t="shared" si="48"/>
        <v>-- C831_疾患開始日</v>
      </c>
      <c r="U426" s="4" t="str">
        <f t="shared" si="35"/>
        <v>, CASE WHEN shikkan_disp_name = 'C831' THEN min_shikkan_start_date ::DATE ELSE NULL END AS shikkan408_start_date</v>
      </c>
      <c r="V426" s="25" t="str">
        <f t="shared" si="36"/>
        <v>, max(shikkan408_start_date)</v>
      </c>
      <c r="AA426" s="4"/>
      <c r="AB426" s="4"/>
      <c r="AC426" s="4"/>
      <c r="AD426" s="4"/>
      <c r="AE426" s="4"/>
      <c r="AF426" s="4"/>
      <c r="AG426" s="4"/>
      <c r="AH426" s="4"/>
      <c r="AI426" s="4"/>
      <c r="AJ426" s="76" t="str">
        <f>IF(E426="○",IF(COUNTA(E$13:E426)=1,"",",")&amp;D426,"")</f>
        <v/>
      </c>
      <c r="AK426" s="4"/>
      <c r="AL426" s="4"/>
      <c r="AM426" s="4"/>
      <c r="AN426" s="4"/>
      <c r="AO426" s="4"/>
      <c r="AP426" s="4"/>
      <c r="AQ426" s="4"/>
      <c r="AR426" s="4"/>
      <c r="AS426" s="76" t="str">
        <f>"COMMENT ON COLUMN "&amp;エンティティ一覧!$O$2&amp;"."&amp;D$8&amp;"."&amp;D426&amp;" IS '"&amp;C426&amp;"';"</f>
        <v>COMMENT ON COLUMN milscm_2023_009.sny_202310_annony_non_annony2.shikkan408_start_date IS 'C831_疾患開始日';</v>
      </c>
    </row>
    <row r="427" spans="1:45" s="25" customFormat="1">
      <c r="A427" s="4" t="s">
        <v>5551</v>
      </c>
      <c r="B427" s="21">
        <f t="shared" si="50"/>
        <v>415</v>
      </c>
      <c r="C427" s="13" t="str">
        <f t="shared" si="49"/>
        <v>C833_疾患開始日</v>
      </c>
      <c r="D427" s="13" t="s">
        <v>6069</v>
      </c>
      <c r="E427" s="8"/>
      <c r="F427" s="7" t="s">
        <v>4348</v>
      </c>
      <c r="G427" s="7" t="s">
        <v>25</v>
      </c>
      <c r="H427" s="58"/>
      <c r="I427" s="23"/>
      <c r="J427" s="24"/>
      <c r="M427" s="4"/>
      <c r="N427" s="76"/>
      <c r="O427" s="76"/>
      <c r="P427" s="76" t="str">
        <f t="shared" si="44"/>
        <v>,shikkan409_start_date</v>
      </c>
      <c r="Q427" s="76" t="str">
        <f t="shared" si="45"/>
        <v>DATE</v>
      </c>
      <c r="R427" s="76" t="str">
        <f t="shared" si="46"/>
        <v/>
      </c>
      <c r="S427" s="76" t="str">
        <f t="shared" si="47"/>
        <v/>
      </c>
      <c r="T427" s="76" t="str">
        <f t="shared" si="48"/>
        <v>-- C833_疾患開始日</v>
      </c>
      <c r="U427" s="4" t="str">
        <f t="shared" si="35"/>
        <v>, CASE WHEN shikkan_disp_name = 'C833' THEN min_shikkan_start_date ::DATE ELSE NULL END AS shikkan409_start_date</v>
      </c>
      <c r="V427" s="25" t="str">
        <f t="shared" si="36"/>
        <v>, max(shikkan409_start_date)</v>
      </c>
      <c r="AA427" s="4"/>
      <c r="AB427" s="4"/>
      <c r="AC427" s="4"/>
      <c r="AD427" s="4"/>
      <c r="AE427" s="4"/>
      <c r="AF427" s="4"/>
      <c r="AG427" s="4"/>
      <c r="AH427" s="4"/>
      <c r="AI427" s="4"/>
      <c r="AJ427" s="76" t="str">
        <f>IF(E427="○",IF(COUNTA(E$13:E427)=1,"",",")&amp;D427,"")</f>
        <v/>
      </c>
      <c r="AK427" s="4"/>
      <c r="AL427" s="4"/>
      <c r="AM427" s="4"/>
      <c r="AN427" s="4"/>
      <c r="AO427" s="4"/>
      <c r="AP427" s="4"/>
      <c r="AQ427" s="4"/>
      <c r="AR427" s="4"/>
      <c r="AS427" s="76" t="str">
        <f>"COMMENT ON COLUMN "&amp;エンティティ一覧!$O$2&amp;"."&amp;D$8&amp;"."&amp;D427&amp;" IS '"&amp;C427&amp;"';"</f>
        <v>COMMENT ON COLUMN milscm_2023_009.sny_202310_annony_non_annony2.shikkan409_start_date IS 'C833_疾患開始日';</v>
      </c>
    </row>
    <row r="428" spans="1:45" s="25" customFormat="1">
      <c r="A428" s="4" t="s">
        <v>5552</v>
      </c>
      <c r="B428" s="21">
        <f t="shared" si="50"/>
        <v>416</v>
      </c>
      <c r="C428" s="13" t="str">
        <f t="shared" si="49"/>
        <v>C835_疾患開始日</v>
      </c>
      <c r="D428" s="13" t="s">
        <v>6070</v>
      </c>
      <c r="E428" s="8"/>
      <c r="F428" s="7" t="s">
        <v>4348</v>
      </c>
      <c r="G428" s="7" t="s">
        <v>25</v>
      </c>
      <c r="H428" s="58"/>
      <c r="I428" s="23"/>
      <c r="J428" s="24"/>
      <c r="M428" s="4"/>
      <c r="N428" s="76"/>
      <c r="O428" s="76"/>
      <c r="P428" s="76" t="str">
        <f t="shared" si="44"/>
        <v>,shikkan410_start_date</v>
      </c>
      <c r="Q428" s="76" t="str">
        <f t="shared" si="45"/>
        <v>DATE</v>
      </c>
      <c r="R428" s="76" t="str">
        <f t="shared" si="46"/>
        <v/>
      </c>
      <c r="S428" s="76" t="str">
        <f t="shared" si="47"/>
        <v/>
      </c>
      <c r="T428" s="76" t="str">
        <f t="shared" si="48"/>
        <v>-- C835_疾患開始日</v>
      </c>
      <c r="U428" s="4" t="str">
        <f t="shared" si="35"/>
        <v>, CASE WHEN shikkan_disp_name = 'C835' THEN min_shikkan_start_date ::DATE ELSE NULL END AS shikkan410_start_date</v>
      </c>
      <c r="V428" s="25" t="str">
        <f t="shared" si="36"/>
        <v>, max(shikkan410_start_date)</v>
      </c>
      <c r="AA428" s="4"/>
      <c r="AB428" s="4"/>
      <c r="AC428" s="4"/>
      <c r="AD428" s="4"/>
      <c r="AE428" s="4"/>
      <c r="AF428" s="4"/>
      <c r="AG428" s="4"/>
      <c r="AH428" s="4"/>
      <c r="AI428" s="4"/>
      <c r="AJ428" s="76" t="str">
        <f>IF(E428="○",IF(COUNTA(E$13:E428)=1,"",",")&amp;D428,"")</f>
        <v/>
      </c>
      <c r="AK428" s="4"/>
      <c r="AL428" s="4"/>
      <c r="AM428" s="4"/>
      <c r="AN428" s="4"/>
      <c r="AO428" s="4"/>
      <c r="AP428" s="4"/>
      <c r="AQ428" s="4"/>
      <c r="AR428" s="4"/>
      <c r="AS428" s="76" t="str">
        <f>"COMMENT ON COLUMN "&amp;エンティティ一覧!$O$2&amp;"."&amp;D$8&amp;"."&amp;D428&amp;" IS '"&amp;C428&amp;"';"</f>
        <v>COMMENT ON COLUMN milscm_2023_009.sny_202310_annony_non_annony2.shikkan410_start_date IS 'C835_疾患開始日';</v>
      </c>
    </row>
    <row r="429" spans="1:45" s="25" customFormat="1">
      <c r="A429" s="4" t="s">
        <v>5553</v>
      </c>
      <c r="B429" s="21">
        <f t="shared" si="50"/>
        <v>417</v>
      </c>
      <c r="C429" s="13" t="str">
        <f t="shared" si="49"/>
        <v>C837_疾患開始日</v>
      </c>
      <c r="D429" s="13" t="s">
        <v>6071</v>
      </c>
      <c r="E429" s="8"/>
      <c r="F429" s="7" t="s">
        <v>4348</v>
      </c>
      <c r="G429" s="7" t="s">
        <v>25</v>
      </c>
      <c r="H429" s="58"/>
      <c r="I429" s="23"/>
      <c r="J429" s="24"/>
      <c r="M429" s="4"/>
      <c r="N429" s="76"/>
      <c r="O429" s="76"/>
      <c r="P429" s="76" t="str">
        <f t="shared" si="44"/>
        <v>,shikkan411_start_date</v>
      </c>
      <c r="Q429" s="76" t="str">
        <f t="shared" si="45"/>
        <v>DATE</v>
      </c>
      <c r="R429" s="76" t="str">
        <f t="shared" si="46"/>
        <v/>
      </c>
      <c r="S429" s="76" t="str">
        <f t="shared" si="47"/>
        <v/>
      </c>
      <c r="T429" s="76" t="str">
        <f t="shared" si="48"/>
        <v>-- C837_疾患開始日</v>
      </c>
      <c r="U429" s="4" t="str">
        <f t="shared" si="35"/>
        <v>, CASE WHEN shikkan_disp_name = 'C837' THEN min_shikkan_start_date ::DATE ELSE NULL END AS shikkan411_start_date</v>
      </c>
      <c r="V429" s="25" t="str">
        <f t="shared" si="36"/>
        <v>, max(shikkan411_start_date)</v>
      </c>
      <c r="AA429" s="4"/>
      <c r="AB429" s="4"/>
      <c r="AC429" s="4"/>
      <c r="AD429" s="4"/>
      <c r="AE429" s="4"/>
      <c r="AF429" s="4"/>
      <c r="AG429" s="4"/>
      <c r="AH429" s="4"/>
      <c r="AI429" s="4"/>
      <c r="AJ429" s="76" t="str">
        <f>IF(E429="○",IF(COUNTA(E$13:E429)=1,"",",")&amp;D429,"")</f>
        <v/>
      </c>
      <c r="AK429" s="4"/>
      <c r="AL429" s="4"/>
      <c r="AM429" s="4"/>
      <c r="AN429" s="4"/>
      <c r="AO429" s="4"/>
      <c r="AP429" s="4"/>
      <c r="AQ429" s="4"/>
      <c r="AR429" s="4"/>
      <c r="AS429" s="76" t="str">
        <f>"COMMENT ON COLUMN "&amp;エンティティ一覧!$O$2&amp;"."&amp;D$8&amp;"."&amp;D429&amp;" IS '"&amp;C429&amp;"';"</f>
        <v>COMMENT ON COLUMN milscm_2023_009.sny_202310_annony_non_annony2.shikkan411_start_date IS 'C837_疾患開始日';</v>
      </c>
    </row>
    <row r="430" spans="1:45" s="25" customFormat="1">
      <c r="A430" s="4" t="s">
        <v>5554</v>
      </c>
      <c r="B430" s="21">
        <f t="shared" si="50"/>
        <v>418</v>
      </c>
      <c r="C430" s="13" t="str">
        <f t="shared" si="49"/>
        <v>C838_疾患開始日</v>
      </c>
      <c r="D430" s="13" t="s">
        <v>6072</v>
      </c>
      <c r="E430" s="8"/>
      <c r="F430" s="7" t="s">
        <v>4348</v>
      </c>
      <c r="G430" s="7" t="s">
        <v>25</v>
      </c>
      <c r="H430" s="58"/>
      <c r="I430" s="23"/>
      <c r="J430" s="24"/>
      <c r="M430" s="4"/>
      <c r="N430" s="76"/>
      <c r="O430" s="76"/>
      <c r="P430" s="76" t="str">
        <f t="shared" si="44"/>
        <v>,shikkan412_start_date</v>
      </c>
      <c r="Q430" s="76" t="str">
        <f t="shared" si="45"/>
        <v>DATE</v>
      </c>
      <c r="R430" s="76" t="str">
        <f t="shared" si="46"/>
        <v/>
      </c>
      <c r="S430" s="76" t="str">
        <f t="shared" si="47"/>
        <v/>
      </c>
      <c r="T430" s="76" t="str">
        <f t="shared" si="48"/>
        <v>-- C838_疾患開始日</v>
      </c>
      <c r="U430" s="4" t="str">
        <f t="shared" si="35"/>
        <v>, CASE WHEN shikkan_disp_name = 'C838' THEN min_shikkan_start_date ::DATE ELSE NULL END AS shikkan412_start_date</v>
      </c>
      <c r="V430" s="25" t="str">
        <f t="shared" si="36"/>
        <v>, max(shikkan412_start_date)</v>
      </c>
      <c r="AA430" s="4"/>
      <c r="AB430" s="4"/>
      <c r="AC430" s="4"/>
      <c r="AD430" s="4"/>
      <c r="AE430" s="4"/>
      <c r="AF430" s="4"/>
      <c r="AG430" s="4"/>
      <c r="AH430" s="4"/>
      <c r="AI430" s="4"/>
      <c r="AJ430" s="76" t="str">
        <f>IF(E430="○",IF(COUNTA(E$13:E430)=1,"",",")&amp;D430,"")</f>
        <v/>
      </c>
      <c r="AK430" s="4"/>
      <c r="AL430" s="4"/>
      <c r="AM430" s="4"/>
      <c r="AN430" s="4"/>
      <c r="AO430" s="4"/>
      <c r="AP430" s="4"/>
      <c r="AQ430" s="4"/>
      <c r="AR430" s="4"/>
      <c r="AS430" s="76" t="str">
        <f>"COMMENT ON COLUMN "&amp;エンティティ一覧!$O$2&amp;"."&amp;D$8&amp;"."&amp;D430&amp;" IS '"&amp;C430&amp;"';"</f>
        <v>COMMENT ON COLUMN milscm_2023_009.sny_202310_annony_non_annony2.shikkan412_start_date IS 'C838_疾患開始日';</v>
      </c>
    </row>
    <row r="431" spans="1:45" s="25" customFormat="1">
      <c r="A431" s="4" t="s">
        <v>5555</v>
      </c>
      <c r="B431" s="21">
        <f t="shared" si="50"/>
        <v>419</v>
      </c>
      <c r="C431" s="13" t="str">
        <f t="shared" si="49"/>
        <v>C839_疾患開始日</v>
      </c>
      <c r="D431" s="13" t="s">
        <v>6073</v>
      </c>
      <c r="E431" s="8"/>
      <c r="F431" s="7" t="s">
        <v>4348</v>
      </c>
      <c r="G431" s="7" t="s">
        <v>25</v>
      </c>
      <c r="H431" s="58"/>
      <c r="I431" s="23"/>
      <c r="J431" s="24"/>
      <c r="M431" s="4"/>
      <c r="N431" s="76"/>
      <c r="O431" s="76"/>
      <c r="P431" s="76" t="str">
        <f t="shared" si="44"/>
        <v>,shikkan413_start_date</v>
      </c>
      <c r="Q431" s="76" t="str">
        <f t="shared" si="45"/>
        <v>DATE</v>
      </c>
      <c r="R431" s="76" t="str">
        <f t="shared" si="46"/>
        <v/>
      </c>
      <c r="S431" s="76" t="str">
        <f t="shared" si="47"/>
        <v/>
      </c>
      <c r="T431" s="76" t="str">
        <f t="shared" si="48"/>
        <v>-- C839_疾患開始日</v>
      </c>
      <c r="U431" s="4" t="str">
        <f t="shared" si="35"/>
        <v>, CASE WHEN shikkan_disp_name = 'C839' THEN min_shikkan_start_date ::DATE ELSE NULL END AS shikkan413_start_date</v>
      </c>
      <c r="V431" s="25" t="str">
        <f t="shared" si="36"/>
        <v>, max(shikkan413_start_date)</v>
      </c>
      <c r="AA431" s="4"/>
      <c r="AB431" s="4"/>
      <c r="AC431" s="4"/>
      <c r="AD431" s="4"/>
      <c r="AE431" s="4"/>
      <c r="AF431" s="4"/>
      <c r="AG431" s="4"/>
      <c r="AH431" s="4"/>
      <c r="AI431" s="4"/>
      <c r="AJ431" s="76" t="str">
        <f>IF(E431="○",IF(COUNTA(E$13:E431)=1,"",",")&amp;D431,"")</f>
        <v/>
      </c>
      <c r="AK431" s="4"/>
      <c r="AL431" s="4"/>
      <c r="AM431" s="4"/>
      <c r="AN431" s="4"/>
      <c r="AO431" s="4"/>
      <c r="AP431" s="4"/>
      <c r="AQ431" s="4"/>
      <c r="AR431" s="4"/>
      <c r="AS431" s="76" t="str">
        <f>"COMMENT ON COLUMN "&amp;エンティティ一覧!$O$2&amp;"."&amp;D$8&amp;"."&amp;D431&amp;" IS '"&amp;C431&amp;"';"</f>
        <v>COMMENT ON COLUMN milscm_2023_009.sny_202310_annony_non_annony2.shikkan413_start_date IS 'C839_疾患開始日';</v>
      </c>
    </row>
    <row r="432" spans="1:45" s="25" customFormat="1">
      <c r="A432" s="4" t="s">
        <v>5556</v>
      </c>
      <c r="B432" s="21">
        <f t="shared" si="50"/>
        <v>420</v>
      </c>
      <c r="C432" s="13" t="str">
        <f t="shared" si="49"/>
        <v>C840_疾患開始日</v>
      </c>
      <c r="D432" s="13" t="s">
        <v>6074</v>
      </c>
      <c r="E432" s="8"/>
      <c r="F432" s="7" t="s">
        <v>4348</v>
      </c>
      <c r="G432" s="7" t="s">
        <v>25</v>
      </c>
      <c r="H432" s="58"/>
      <c r="I432" s="23"/>
      <c r="J432" s="24"/>
      <c r="M432" s="4"/>
      <c r="N432" s="76"/>
      <c r="O432" s="76"/>
      <c r="P432" s="76" t="str">
        <f t="shared" si="44"/>
        <v>,shikkan414_start_date</v>
      </c>
      <c r="Q432" s="76" t="str">
        <f t="shared" si="45"/>
        <v>DATE</v>
      </c>
      <c r="R432" s="76" t="str">
        <f t="shared" si="46"/>
        <v/>
      </c>
      <c r="S432" s="76" t="str">
        <f t="shared" si="47"/>
        <v/>
      </c>
      <c r="T432" s="76" t="str">
        <f t="shared" si="48"/>
        <v>-- C840_疾患開始日</v>
      </c>
      <c r="U432" s="4" t="str">
        <f t="shared" si="35"/>
        <v>, CASE WHEN shikkan_disp_name = 'C840' THEN min_shikkan_start_date ::DATE ELSE NULL END AS shikkan414_start_date</v>
      </c>
      <c r="V432" s="25" t="str">
        <f t="shared" si="36"/>
        <v>, max(shikkan414_start_date)</v>
      </c>
      <c r="AA432" s="4"/>
      <c r="AB432" s="4"/>
      <c r="AC432" s="4"/>
      <c r="AD432" s="4"/>
      <c r="AE432" s="4"/>
      <c r="AF432" s="4"/>
      <c r="AG432" s="4"/>
      <c r="AH432" s="4"/>
      <c r="AI432" s="4"/>
      <c r="AJ432" s="76" t="str">
        <f>IF(E432="○",IF(COUNTA(E$13:E432)=1,"",",")&amp;D432,"")</f>
        <v/>
      </c>
      <c r="AK432" s="4"/>
      <c r="AL432" s="4"/>
      <c r="AM432" s="4"/>
      <c r="AN432" s="4"/>
      <c r="AO432" s="4"/>
      <c r="AP432" s="4"/>
      <c r="AQ432" s="4"/>
      <c r="AR432" s="4"/>
      <c r="AS432" s="76" t="str">
        <f>"COMMENT ON COLUMN "&amp;エンティティ一覧!$O$2&amp;"."&amp;D$8&amp;"."&amp;D432&amp;" IS '"&amp;C432&amp;"';"</f>
        <v>COMMENT ON COLUMN milscm_2023_009.sny_202310_annony_non_annony2.shikkan414_start_date IS 'C840_疾患開始日';</v>
      </c>
    </row>
    <row r="433" spans="1:45" s="25" customFormat="1">
      <c r="A433" s="4" t="s">
        <v>5557</v>
      </c>
      <c r="B433" s="21">
        <f t="shared" si="50"/>
        <v>421</v>
      </c>
      <c r="C433" s="13" t="str">
        <f t="shared" si="49"/>
        <v>C841_疾患開始日</v>
      </c>
      <c r="D433" s="13" t="s">
        <v>6075</v>
      </c>
      <c r="E433" s="8"/>
      <c r="F433" s="7" t="s">
        <v>4348</v>
      </c>
      <c r="G433" s="7" t="s">
        <v>25</v>
      </c>
      <c r="H433" s="58"/>
      <c r="I433" s="23"/>
      <c r="J433" s="24"/>
      <c r="M433" s="4"/>
      <c r="N433" s="76"/>
      <c r="O433" s="76"/>
      <c r="P433" s="76" t="str">
        <f t="shared" si="44"/>
        <v>,shikkan415_start_date</v>
      </c>
      <c r="Q433" s="76" t="str">
        <f t="shared" si="45"/>
        <v>DATE</v>
      </c>
      <c r="R433" s="76" t="str">
        <f t="shared" si="46"/>
        <v/>
      </c>
      <c r="S433" s="76" t="str">
        <f t="shared" si="47"/>
        <v/>
      </c>
      <c r="T433" s="76" t="str">
        <f t="shared" si="48"/>
        <v>-- C841_疾患開始日</v>
      </c>
      <c r="U433" s="4" t="str">
        <f t="shared" si="35"/>
        <v>, CASE WHEN shikkan_disp_name = 'C841' THEN min_shikkan_start_date ::DATE ELSE NULL END AS shikkan415_start_date</v>
      </c>
      <c r="V433" s="25" t="str">
        <f t="shared" si="36"/>
        <v>, max(shikkan415_start_date)</v>
      </c>
      <c r="AA433" s="4"/>
      <c r="AB433" s="4"/>
      <c r="AC433" s="4"/>
      <c r="AD433" s="4"/>
      <c r="AE433" s="4"/>
      <c r="AF433" s="4"/>
      <c r="AG433" s="4"/>
      <c r="AH433" s="4"/>
      <c r="AI433" s="4"/>
      <c r="AJ433" s="76" t="str">
        <f>IF(E433="○",IF(COUNTA(E$13:E433)=1,"",",")&amp;D433,"")</f>
        <v/>
      </c>
      <c r="AK433" s="4"/>
      <c r="AL433" s="4"/>
      <c r="AM433" s="4"/>
      <c r="AN433" s="4"/>
      <c r="AO433" s="4"/>
      <c r="AP433" s="4"/>
      <c r="AQ433" s="4"/>
      <c r="AR433" s="4"/>
      <c r="AS433" s="76" t="str">
        <f>"COMMENT ON COLUMN "&amp;エンティティ一覧!$O$2&amp;"."&amp;D$8&amp;"."&amp;D433&amp;" IS '"&amp;C433&amp;"';"</f>
        <v>COMMENT ON COLUMN milscm_2023_009.sny_202310_annony_non_annony2.shikkan415_start_date IS 'C841_疾患開始日';</v>
      </c>
    </row>
    <row r="434" spans="1:45" s="25" customFormat="1">
      <c r="A434" s="4" t="s">
        <v>5558</v>
      </c>
      <c r="B434" s="21">
        <f t="shared" si="50"/>
        <v>422</v>
      </c>
      <c r="C434" s="13" t="str">
        <f t="shared" si="49"/>
        <v>C844_疾患開始日</v>
      </c>
      <c r="D434" s="13" t="s">
        <v>6076</v>
      </c>
      <c r="E434" s="8"/>
      <c r="F434" s="7" t="s">
        <v>4348</v>
      </c>
      <c r="G434" s="7" t="s">
        <v>99</v>
      </c>
      <c r="H434" s="58"/>
      <c r="I434" s="23"/>
      <c r="J434" s="24"/>
      <c r="M434" s="4"/>
      <c r="N434" s="76"/>
      <c r="O434" s="76"/>
      <c r="P434" s="76" t="str">
        <f t="shared" si="44"/>
        <v>,shikkan416_start_date</v>
      </c>
      <c r="Q434" s="76" t="str">
        <f t="shared" si="45"/>
        <v>DATE</v>
      </c>
      <c r="R434" s="76" t="str">
        <f t="shared" si="46"/>
        <v/>
      </c>
      <c r="S434" s="76" t="str">
        <f t="shared" si="47"/>
        <v/>
      </c>
      <c r="T434" s="76" t="str">
        <f t="shared" si="48"/>
        <v>-- C844_疾患開始日</v>
      </c>
      <c r="U434" s="4" t="str">
        <f t="shared" si="35"/>
        <v>, CASE WHEN shikkan_disp_name = 'C844' THEN min_shikkan_start_date ::DATE ELSE NULL END AS shikkan416_start_date</v>
      </c>
      <c r="V434" s="25" t="str">
        <f t="shared" si="36"/>
        <v>, max(shikkan416_start_date)</v>
      </c>
      <c r="AA434" s="4"/>
      <c r="AB434" s="4"/>
      <c r="AC434" s="4"/>
      <c r="AD434" s="4"/>
      <c r="AE434" s="4"/>
      <c r="AF434" s="4"/>
      <c r="AG434" s="4"/>
      <c r="AH434" s="4"/>
      <c r="AI434" s="4"/>
      <c r="AJ434" s="76" t="str">
        <f>IF(E434="○",IF(COUNTA(E$13:E434)=1,"",",")&amp;D434,"")</f>
        <v/>
      </c>
      <c r="AK434" s="4"/>
      <c r="AL434" s="4"/>
      <c r="AM434" s="4"/>
      <c r="AN434" s="4"/>
      <c r="AO434" s="4"/>
      <c r="AP434" s="4"/>
      <c r="AQ434" s="4"/>
      <c r="AR434" s="4"/>
      <c r="AS434" s="76" t="str">
        <f>"COMMENT ON COLUMN "&amp;エンティティ一覧!$O$2&amp;"."&amp;D$8&amp;"."&amp;D434&amp;" IS '"&amp;C434&amp;"';"</f>
        <v>COMMENT ON COLUMN milscm_2023_009.sny_202310_annony_non_annony2.shikkan416_start_date IS 'C844_疾患開始日';</v>
      </c>
    </row>
    <row r="435" spans="1:45" s="25" customFormat="1">
      <c r="A435" s="4" t="s">
        <v>5559</v>
      </c>
      <c r="B435" s="21">
        <f t="shared" si="50"/>
        <v>423</v>
      </c>
      <c r="C435" s="13" t="str">
        <f t="shared" si="49"/>
        <v>C845_疾患開始日</v>
      </c>
      <c r="D435" s="13" t="s">
        <v>6077</v>
      </c>
      <c r="E435" s="8"/>
      <c r="F435" s="7" t="s">
        <v>4348</v>
      </c>
      <c r="G435" s="7" t="s">
        <v>25</v>
      </c>
      <c r="H435" s="58"/>
      <c r="I435" s="23"/>
      <c r="J435" s="24"/>
      <c r="M435" s="4"/>
      <c r="N435" s="76"/>
      <c r="O435" s="76"/>
      <c r="P435" s="76" t="str">
        <f t="shared" si="44"/>
        <v>,shikkan417_start_date</v>
      </c>
      <c r="Q435" s="76" t="str">
        <f t="shared" si="45"/>
        <v>DATE</v>
      </c>
      <c r="R435" s="76" t="str">
        <f t="shared" si="46"/>
        <v/>
      </c>
      <c r="S435" s="76" t="str">
        <f t="shared" si="47"/>
        <v/>
      </c>
      <c r="T435" s="76" t="str">
        <f t="shared" si="48"/>
        <v>-- C845_疾患開始日</v>
      </c>
      <c r="U435" s="4" t="str">
        <f t="shared" si="35"/>
        <v>, CASE WHEN shikkan_disp_name = 'C845' THEN min_shikkan_start_date ::DATE ELSE NULL END AS shikkan417_start_date</v>
      </c>
      <c r="V435" s="25" t="str">
        <f t="shared" si="36"/>
        <v>, max(shikkan417_start_date)</v>
      </c>
      <c r="AA435" s="4"/>
      <c r="AB435" s="4"/>
      <c r="AC435" s="4"/>
      <c r="AD435" s="4"/>
      <c r="AE435" s="4"/>
      <c r="AF435" s="4"/>
      <c r="AG435" s="4"/>
      <c r="AH435" s="4"/>
      <c r="AI435" s="4"/>
      <c r="AJ435" s="76" t="str">
        <f>IF(E435="○",IF(COUNTA(E$13:E435)=1,"",",")&amp;D435,"")</f>
        <v/>
      </c>
      <c r="AK435" s="4"/>
      <c r="AL435" s="4"/>
      <c r="AM435" s="4"/>
      <c r="AN435" s="4"/>
      <c r="AO435" s="4"/>
      <c r="AP435" s="4"/>
      <c r="AQ435" s="4"/>
      <c r="AR435" s="4"/>
      <c r="AS435" s="76" t="str">
        <f>"COMMENT ON COLUMN "&amp;エンティティ一覧!$O$2&amp;"."&amp;D$8&amp;"."&amp;D435&amp;" IS '"&amp;C435&amp;"';"</f>
        <v>COMMENT ON COLUMN milscm_2023_009.sny_202310_annony_non_annony2.shikkan417_start_date IS 'C845_疾患開始日';</v>
      </c>
    </row>
    <row r="436" spans="1:45" s="25" customFormat="1">
      <c r="A436" s="4" t="s">
        <v>5560</v>
      </c>
      <c r="B436" s="21">
        <f t="shared" si="50"/>
        <v>424</v>
      </c>
      <c r="C436" s="13" t="str">
        <f t="shared" si="49"/>
        <v>C846_疾患開始日</v>
      </c>
      <c r="D436" s="13" t="s">
        <v>6078</v>
      </c>
      <c r="E436" s="8"/>
      <c r="F436" s="7" t="s">
        <v>4348</v>
      </c>
      <c r="G436" s="7" t="s">
        <v>25</v>
      </c>
      <c r="H436" s="58"/>
      <c r="I436" s="23"/>
      <c r="J436" s="24"/>
      <c r="M436" s="4"/>
      <c r="N436" s="76"/>
      <c r="O436" s="76"/>
      <c r="P436" s="76" t="str">
        <f t="shared" si="44"/>
        <v>,shikkan418_start_date</v>
      </c>
      <c r="Q436" s="76" t="str">
        <f t="shared" si="45"/>
        <v>DATE</v>
      </c>
      <c r="R436" s="76" t="str">
        <f t="shared" si="46"/>
        <v/>
      </c>
      <c r="S436" s="76" t="str">
        <f t="shared" si="47"/>
        <v/>
      </c>
      <c r="T436" s="76" t="str">
        <f t="shared" si="48"/>
        <v>-- C846_疾患開始日</v>
      </c>
      <c r="U436" s="4" t="str">
        <f t="shared" si="35"/>
        <v>, CASE WHEN shikkan_disp_name = 'C846' THEN min_shikkan_start_date ::DATE ELSE NULL END AS shikkan418_start_date</v>
      </c>
      <c r="V436" s="25" t="str">
        <f t="shared" si="36"/>
        <v>, max(shikkan418_start_date)</v>
      </c>
      <c r="AA436" s="4"/>
      <c r="AB436" s="4"/>
      <c r="AC436" s="4"/>
      <c r="AD436" s="4"/>
      <c r="AE436" s="4"/>
      <c r="AF436" s="4"/>
      <c r="AG436" s="4"/>
      <c r="AH436" s="4"/>
      <c r="AI436" s="4"/>
      <c r="AJ436" s="76" t="str">
        <f>IF(E436="○",IF(COUNTA(E$13:E436)=1,"",",")&amp;D436,"")</f>
        <v/>
      </c>
      <c r="AK436" s="4"/>
      <c r="AL436" s="4"/>
      <c r="AM436" s="4"/>
      <c r="AN436" s="4"/>
      <c r="AO436" s="4"/>
      <c r="AP436" s="4"/>
      <c r="AQ436" s="4"/>
      <c r="AR436" s="4"/>
      <c r="AS436" s="76" t="str">
        <f>"COMMENT ON COLUMN "&amp;エンティティ一覧!$O$2&amp;"."&amp;D$8&amp;"."&amp;D436&amp;" IS '"&amp;C436&amp;"';"</f>
        <v>COMMENT ON COLUMN milscm_2023_009.sny_202310_annony_non_annony2.shikkan418_start_date IS 'C846_疾患開始日';</v>
      </c>
    </row>
    <row r="437" spans="1:45" s="25" customFormat="1">
      <c r="A437" s="4" t="s">
        <v>5561</v>
      </c>
      <c r="B437" s="21">
        <f t="shared" si="50"/>
        <v>425</v>
      </c>
      <c r="C437" s="13" t="str">
        <f t="shared" si="49"/>
        <v>C847_疾患開始日</v>
      </c>
      <c r="D437" s="13" t="s">
        <v>6079</v>
      </c>
      <c r="E437" s="8"/>
      <c r="F437" s="7" t="s">
        <v>4348</v>
      </c>
      <c r="G437" s="7" t="s">
        <v>25</v>
      </c>
      <c r="H437" s="58"/>
      <c r="I437" s="23"/>
      <c r="J437" s="24"/>
      <c r="M437" s="4"/>
      <c r="N437" s="76"/>
      <c r="O437" s="76"/>
      <c r="P437" s="76" t="str">
        <f t="shared" si="44"/>
        <v>,shikkan419_start_date</v>
      </c>
      <c r="Q437" s="76" t="str">
        <f t="shared" si="45"/>
        <v>DATE</v>
      </c>
      <c r="R437" s="76" t="str">
        <f t="shared" si="46"/>
        <v/>
      </c>
      <c r="S437" s="76" t="str">
        <f t="shared" si="47"/>
        <v/>
      </c>
      <c r="T437" s="76" t="str">
        <f t="shared" si="48"/>
        <v>-- C847_疾患開始日</v>
      </c>
      <c r="U437" s="4" t="str">
        <f t="shared" si="35"/>
        <v>, CASE WHEN shikkan_disp_name = 'C847' THEN min_shikkan_start_date ::DATE ELSE NULL END AS shikkan419_start_date</v>
      </c>
      <c r="V437" s="25" t="str">
        <f t="shared" si="36"/>
        <v>, max(shikkan419_start_date)</v>
      </c>
      <c r="AA437" s="4"/>
      <c r="AB437" s="4"/>
      <c r="AC437" s="4"/>
      <c r="AD437" s="4"/>
      <c r="AE437" s="4"/>
      <c r="AF437" s="4"/>
      <c r="AG437" s="4"/>
      <c r="AH437" s="4"/>
      <c r="AI437" s="4"/>
      <c r="AJ437" s="76" t="str">
        <f>IF(E437="○",IF(COUNTA(E$13:E437)=1,"",",")&amp;D437,"")</f>
        <v/>
      </c>
      <c r="AK437" s="4"/>
      <c r="AL437" s="4"/>
      <c r="AM437" s="4"/>
      <c r="AN437" s="4"/>
      <c r="AO437" s="4"/>
      <c r="AP437" s="4"/>
      <c r="AQ437" s="4"/>
      <c r="AR437" s="4"/>
      <c r="AS437" s="76" t="str">
        <f>"COMMENT ON COLUMN "&amp;エンティティ一覧!$O$2&amp;"."&amp;D$8&amp;"."&amp;D437&amp;" IS '"&amp;C437&amp;"';"</f>
        <v>COMMENT ON COLUMN milscm_2023_009.sny_202310_annony_non_annony2.shikkan419_start_date IS 'C847_疾患開始日';</v>
      </c>
    </row>
    <row r="438" spans="1:45" s="25" customFormat="1">
      <c r="A438" s="4" t="s">
        <v>5562</v>
      </c>
      <c r="B438" s="21">
        <f t="shared" si="50"/>
        <v>426</v>
      </c>
      <c r="C438" s="13" t="str">
        <f t="shared" si="49"/>
        <v>C848_疾患開始日</v>
      </c>
      <c r="D438" s="13" t="s">
        <v>6080</v>
      </c>
      <c r="E438" s="8"/>
      <c r="F438" s="7" t="s">
        <v>4348</v>
      </c>
      <c r="G438" s="7" t="s">
        <v>25</v>
      </c>
      <c r="H438" s="58"/>
      <c r="I438" s="23"/>
      <c r="J438" s="24"/>
      <c r="M438" s="4"/>
      <c r="N438" s="76"/>
      <c r="O438" s="76"/>
      <c r="P438" s="76" t="str">
        <f t="shared" si="44"/>
        <v>,shikkan420_start_date</v>
      </c>
      <c r="Q438" s="76" t="str">
        <f t="shared" si="45"/>
        <v>DATE</v>
      </c>
      <c r="R438" s="76" t="str">
        <f t="shared" si="46"/>
        <v/>
      </c>
      <c r="S438" s="76" t="str">
        <f t="shared" si="47"/>
        <v/>
      </c>
      <c r="T438" s="76" t="str">
        <f t="shared" si="48"/>
        <v>-- C848_疾患開始日</v>
      </c>
      <c r="U438" s="4" t="str">
        <f t="shared" si="35"/>
        <v>, CASE WHEN shikkan_disp_name = 'C848' THEN min_shikkan_start_date ::DATE ELSE NULL END AS shikkan420_start_date</v>
      </c>
      <c r="V438" s="25" t="str">
        <f t="shared" si="36"/>
        <v>, max(shikkan420_start_date)</v>
      </c>
      <c r="AA438" s="4"/>
      <c r="AB438" s="4"/>
      <c r="AC438" s="4"/>
      <c r="AD438" s="4"/>
      <c r="AE438" s="4"/>
      <c r="AF438" s="4"/>
      <c r="AG438" s="4"/>
      <c r="AH438" s="4"/>
      <c r="AI438" s="4"/>
      <c r="AJ438" s="76" t="str">
        <f>IF(E438="○",IF(COUNTA(E$13:E438)=1,"",",")&amp;D438,"")</f>
        <v/>
      </c>
      <c r="AK438" s="4"/>
      <c r="AL438" s="4"/>
      <c r="AM438" s="4"/>
      <c r="AN438" s="4"/>
      <c r="AO438" s="4"/>
      <c r="AP438" s="4"/>
      <c r="AQ438" s="4"/>
      <c r="AR438" s="4"/>
      <c r="AS438" s="76" t="str">
        <f>"COMMENT ON COLUMN "&amp;エンティティ一覧!$O$2&amp;"."&amp;D$8&amp;"."&amp;D438&amp;" IS '"&amp;C438&amp;"';"</f>
        <v>COMMENT ON COLUMN milscm_2023_009.sny_202310_annony_non_annony2.shikkan420_start_date IS 'C848_疾患開始日';</v>
      </c>
    </row>
    <row r="439" spans="1:45" s="25" customFormat="1">
      <c r="A439" s="4" t="s">
        <v>5563</v>
      </c>
      <c r="B439" s="21">
        <f t="shared" si="50"/>
        <v>427</v>
      </c>
      <c r="C439" s="13" t="str">
        <f t="shared" si="49"/>
        <v>C849_疾患開始日</v>
      </c>
      <c r="D439" s="13" t="s">
        <v>6081</v>
      </c>
      <c r="E439" s="8"/>
      <c r="F439" s="7" t="s">
        <v>4348</v>
      </c>
      <c r="G439" s="7" t="s">
        <v>25</v>
      </c>
      <c r="H439" s="58"/>
      <c r="I439" s="23"/>
      <c r="J439" s="24"/>
      <c r="M439" s="4"/>
      <c r="N439" s="76"/>
      <c r="O439" s="76"/>
      <c r="P439" s="76" t="str">
        <f t="shared" si="44"/>
        <v>,shikkan421_start_date</v>
      </c>
      <c r="Q439" s="76" t="str">
        <f t="shared" si="45"/>
        <v>DATE</v>
      </c>
      <c r="R439" s="76" t="str">
        <f t="shared" si="46"/>
        <v/>
      </c>
      <c r="S439" s="76" t="str">
        <f t="shared" si="47"/>
        <v/>
      </c>
      <c r="T439" s="76" t="str">
        <f t="shared" si="48"/>
        <v>-- C849_疾患開始日</v>
      </c>
      <c r="U439" s="4" t="str">
        <f t="shared" si="35"/>
        <v>, CASE WHEN shikkan_disp_name = 'C849' THEN min_shikkan_start_date ::DATE ELSE NULL END AS shikkan421_start_date</v>
      </c>
      <c r="V439" s="25" t="str">
        <f t="shared" si="36"/>
        <v>, max(shikkan421_start_date)</v>
      </c>
      <c r="AA439" s="4"/>
      <c r="AB439" s="4"/>
      <c r="AC439" s="4"/>
      <c r="AD439" s="4"/>
      <c r="AE439" s="4"/>
      <c r="AF439" s="4"/>
      <c r="AG439" s="4"/>
      <c r="AH439" s="4"/>
      <c r="AI439" s="4"/>
      <c r="AJ439" s="76" t="str">
        <f>IF(E439="○",IF(COUNTA(E$13:E439)=1,"",",")&amp;D439,"")</f>
        <v/>
      </c>
      <c r="AK439" s="4"/>
      <c r="AL439" s="4"/>
      <c r="AM439" s="4"/>
      <c r="AN439" s="4"/>
      <c r="AO439" s="4"/>
      <c r="AP439" s="4"/>
      <c r="AQ439" s="4"/>
      <c r="AR439" s="4"/>
      <c r="AS439" s="76" t="str">
        <f>"COMMENT ON COLUMN "&amp;エンティティ一覧!$O$2&amp;"."&amp;D$8&amp;"."&amp;D439&amp;" IS '"&amp;C439&amp;"';"</f>
        <v>COMMENT ON COLUMN milscm_2023_009.sny_202310_annony_non_annony2.shikkan421_start_date IS 'C849_疾患開始日';</v>
      </c>
    </row>
    <row r="440" spans="1:45" s="25" customFormat="1">
      <c r="A440" s="4" t="s">
        <v>5564</v>
      </c>
      <c r="B440" s="21">
        <f t="shared" si="50"/>
        <v>428</v>
      </c>
      <c r="C440" s="13" t="str">
        <f t="shared" si="49"/>
        <v>C851_疾患開始日</v>
      </c>
      <c r="D440" s="13" t="s">
        <v>6082</v>
      </c>
      <c r="E440" s="8"/>
      <c r="F440" s="7" t="s">
        <v>4348</v>
      </c>
      <c r="G440" s="7" t="s">
        <v>25</v>
      </c>
      <c r="H440" s="58"/>
      <c r="I440" s="23"/>
      <c r="J440" s="24"/>
      <c r="M440" s="4"/>
      <c r="N440" s="76"/>
      <c r="O440" s="76"/>
      <c r="P440" s="76" t="str">
        <f t="shared" si="44"/>
        <v>,shikkan422_start_date</v>
      </c>
      <c r="Q440" s="76" t="str">
        <f t="shared" si="45"/>
        <v>DATE</v>
      </c>
      <c r="R440" s="76" t="str">
        <f t="shared" si="46"/>
        <v/>
      </c>
      <c r="S440" s="76" t="str">
        <f t="shared" si="47"/>
        <v/>
      </c>
      <c r="T440" s="76" t="str">
        <f t="shared" si="48"/>
        <v>-- C851_疾患開始日</v>
      </c>
      <c r="U440" s="4" t="str">
        <f t="shared" si="35"/>
        <v>, CASE WHEN shikkan_disp_name = 'C851' THEN min_shikkan_start_date ::DATE ELSE NULL END AS shikkan422_start_date</v>
      </c>
      <c r="V440" s="25" t="str">
        <f t="shared" si="36"/>
        <v>, max(shikkan422_start_date)</v>
      </c>
      <c r="AA440" s="4"/>
      <c r="AB440" s="4"/>
      <c r="AC440" s="4"/>
      <c r="AD440" s="4"/>
      <c r="AE440" s="4"/>
      <c r="AF440" s="4"/>
      <c r="AG440" s="4"/>
      <c r="AH440" s="4"/>
      <c r="AI440" s="4"/>
      <c r="AJ440" s="76" t="str">
        <f>IF(E440="○",IF(COUNTA(E$13:E440)=1,"",",")&amp;D440,"")</f>
        <v/>
      </c>
      <c r="AK440" s="4"/>
      <c r="AL440" s="4"/>
      <c r="AM440" s="4"/>
      <c r="AN440" s="4"/>
      <c r="AO440" s="4"/>
      <c r="AP440" s="4"/>
      <c r="AQ440" s="4"/>
      <c r="AR440" s="4"/>
      <c r="AS440" s="76" t="str">
        <f>"COMMENT ON COLUMN "&amp;エンティティ一覧!$O$2&amp;"."&amp;D$8&amp;"."&amp;D440&amp;" IS '"&amp;C440&amp;"';"</f>
        <v>COMMENT ON COLUMN milscm_2023_009.sny_202310_annony_non_annony2.shikkan422_start_date IS 'C851_疾患開始日';</v>
      </c>
    </row>
    <row r="441" spans="1:45" s="25" customFormat="1">
      <c r="A441" s="4" t="s">
        <v>5565</v>
      </c>
      <c r="B441" s="21">
        <f t="shared" si="50"/>
        <v>429</v>
      </c>
      <c r="C441" s="13" t="str">
        <f t="shared" si="49"/>
        <v>C852_疾患開始日</v>
      </c>
      <c r="D441" s="13" t="s">
        <v>6083</v>
      </c>
      <c r="E441" s="8"/>
      <c r="F441" s="7" t="s">
        <v>4348</v>
      </c>
      <c r="G441" s="7" t="s">
        <v>25</v>
      </c>
      <c r="H441" s="58"/>
      <c r="I441" s="23"/>
      <c r="J441" s="24"/>
      <c r="M441" s="4"/>
      <c r="N441" s="76"/>
      <c r="O441" s="76"/>
      <c r="P441" s="76" t="str">
        <f t="shared" si="44"/>
        <v>,shikkan423_start_date</v>
      </c>
      <c r="Q441" s="76" t="str">
        <f t="shared" si="45"/>
        <v>DATE</v>
      </c>
      <c r="R441" s="76" t="str">
        <f t="shared" si="46"/>
        <v/>
      </c>
      <c r="S441" s="76" t="str">
        <f t="shared" si="47"/>
        <v/>
      </c>
      <c r="T441" s="76" t="str">
        <f t="shared" si="48"/>
        <v>-- C852_疾患開始日</v>
      </c>
      <c r="U441" s="4" t="str">
        <f t="shared" si="35"/>
        <v>, CASE WHEN shikkan_disp_name = 'C852' THEN min_shikkan_start_date ::DATE ELSE NULL END AS shikkan423_start_date</v>
      </c>
      <c r="V441" s="25" t="str">
        <f t="shared" si="36"/>
        <v>, max(shikkan423_start_date)</v>
      </c>
      <c r="AA441" s="4"/>
      <c r="AB441" s="4"/>
      <c r="AC441" s="4"/>
      <c r="AD441" s="4"/>
      <c r="AE441" s="4"/>
      <c r="AF441" s="4"/>
      <c r="AG441" s="4"/>
      <c r="AH441" s="4"/>
      <c r="AI441" s="4"/>
      <c r="AJ441" s="76" t="str">
        <f>IF(E441="○",IF(COUNTA(E$13:E441)=1,"",",")&amp;D441,"")</f>
        <v/>
      </c>
      <c r="AK441" s="4"/>
      <c r="AL441" s="4"/>
      <c r="AM441" s="4"/>
      <c r="AN441" s="4"/>
      <c r="AO441" s="4"/>
      <c r="AP441" s="4"/>
      <c r="AQ441" s="4"/>
      <c r="AR441" s="4"/>
      <c r="AS441" s="76" t="str">
        <f>"COMMENT ON COLUMN "&amp;エンティティ一覧!$O$2&amp;"."&amp;D$8&amp;"."&amp;D441&amp;" IS '"&amp;C441&amp;"';"</f>
        <v>COMMENT ON COLUMN milscm_2023_009.sny_202310_annony_non_annony2.shikkan423_start_date IS 'C852_疾患開始日';</v>
      </c>
    </row>
    <row r="442" spans="1:45" s="25" customFormat="1">
      <c r="A442" s="4" t="s">
        <v>5566</v>
      </c>
      <c r="B442" s="21">
        <f t="shared" si="50"/>
        <v>430</v>
      </c>
      <c r="C442" s="13" t="str">
        <f t="shared" si="49"/>
        <v>C857_疾患開始日</v>
      </c>
      <c r="D442" s="13" t="s">
        <v>6084</v>
      </c>
      <c r="E442" s="8"/>
      <c r="F442" s="7" t="s">
        <v>4348</v>
      </c>
      <c r="G442" s="7" t="s">
        <v>25</v>
      </c>
      <c r="H442" s="58"/>
      <c r="I442" s="23"/>
      <c r="J442" s="24"/>
      <c r="M442" s="4"/>
      <c r="N442" s="76"/>
      <c r="O442" s="76"/>
      <c r="P442" s="76" t="str">
        <f t="shared" si="44"/>
        <v>,shikkan424_start_date</v>
      </c>
      <c r="Q442" s="76" t="str">
        <f t="shared" si="45"/>
        <v>DATE</v>
      </c>
      <c r="R442" s="76" t="str">
        <f t="shared" si="46"/>
        <v/>
      </c>
      <c r="S442" s="76" t="str">
        <f t="shared" si="47"/>
        <v/>
      </c>
      <c r="T442" s="76" t="str">
        <f t="shared" si="48"/>
        <v>-- C857_疾患開始日</v>
      </c>
      <c r="U442" s="4" t="str">
        <f t="shared" si="35"/>
        <v>, CASE WHEN shikkan_disp_name = 'C857' THEN min_shikkan_start_date ::DATE ELSE NULL END AS shikkan424_start_date</v>
      </c>
      <c r="V442" s="25" t="str">
        <f t="shared" si="36"/>
        <v>, max(shikkan424_start_date)</v>
      </c>
      <c r="AA442" s="4"/>
      <c r="AB442" s="4"/>
      <c r="AC442" s="4"/>
      <c r="AD442" s="4"/>
      <c r="AE442" s="4"/>
      <c r="AF442" s="4"/>
      <c r="AG442" s="4"/>
      <c r="AH442" s="4"/>
      <c r="AI442" s="4"/>
      <c r="AJ442" s="76" t="str">
        <f>IF(E442="○",IF(COUNTA(E$13:E442)=1,"",",")&amp;D442,"")</f>
        <v/>
      </c>
      <c r="AK442" s="4"/>
      <c r="AL442" s="4"/>
      <c r="AM442" s="4"/>
      <c r="AN442" s="4"/>
      <c r="AO442" s="4"/>
      <c r="AP442" s="4"/>
      <c r="AQ442" s="4"/>
      <c r="AR442" s="4"/>
      <c r="AS442" s="76" t="str">
        <f>"COMMENT ON COLUMN "&amp;エンティティ一覧!$O$2&amp;"."&amp;D$8&amp;"."&amp;D442&amp;" IS '"&amp;C442&amp;"';"</f>
        <v>COMMENT ON COLUMN milscm_2023_009.sny_202310_annony_non_annony2.shikkan424_start_date IS 'C857_疾患開始日';</v>
      </c>
    </row>
    <row r="443" spans="1:45" s="25" customFormat="1">
      <c r="A443" s="4" t="s">
        <v>5567</v>
      </c>
      <c r="B443" s="21">
        <f t="shared" si="50"/>
        <v>431</v>
      </c>
      <c r="C443" s="13" t="str">
        <f t="shared" si="49"/>
        <v>C859_疾患開始日</v>
      </c>
      <c r="D443" s="13" t="s">
        <v>6085</v>
      </c>
      <c r="E443" s="8"/>
      <c r="F443" s="7" t="s">
        <v>4348</v>
      </c>
      <c r="G443" s="7" t="s">
        <v>25</v>
      </c>
      <c r="H443" s="58"/>
      <c r="I443" s="23"/>
      <c r="J443" s="24"/>
      <c r="M443" s="4"/>
      <c r="N443" s="76"/>
      <c r="O443" s="76"/>
      <c r="P443" s="76" t="str">
        <f t="shared" si="44"/>
        <v>,shikkan425_start_date</v>
      </c>
      <c r="Q443" s="76" t="str">
        <f t="shared" si="45"/>
        <v>DATE</v>
      </c>
      <c r="R443" s="76" t="str">
        <f t="shared" si="46"/>
        <v/>
      </c>
      <c r="S443" s="76" t="str">
        <f t="shared" si="47"/>
        <v/>
      </c>
      <c r="T443" s="76" t="str">
        <f t="shared" si="48"/>
        <v>-- C859_疾患開始日</v>
      </c>
      <c r="U443" s="4" t="str">
        <f t="shared" si="35"/>
        <v>, CASE WHEN shikkan_disp_name = 'C859' THEN min_shikkan_start_date ::DATE ELSE NULL END AS shikkan425_start_date</v>
      </c>
      <c r="V443" s="25" t="str">
        <f t="shared" si="36"/>
        <v>, max(shikkan425_start_date)</v>
      </c>
      <c r="AA443" s="4"/>
      <c r="AB443" s="4"/>
      <c r="AC443" s="4"/>
      <c r="AD443" s="4"/>
      <c r="AE443" s="4"/>
      <c r="AF443" s="4"/>
      <c r="AG443" s="4"/>
      <c r="AH443" s="4"/>
      <c r="AI443" s="4"/>
      <c r="AJ443" s="76" t="str">
        <f>IF(E443="○",IF(COUNTA(E$13:E443)=1,"",",")&amp;D443,"")</f>
        <v/>
      </c>
      <c r="AK443" s="4"/>
      <c r="AL443" s="4"/>
      <c r="AM443" s="4"/>
      <c r="AN443" s="4"/>
      <c r="AO443" s="4"/>
      <c r="AP443" s="4"/>
      <c r="AQ443" s="4"/>
      <c r="AR443" s="4"/>
      <c r="AS443" s="76" t="str">
        <f>"COMMENT ON COLUMN "&amp;エンティティ一覧!$O$2&amp;"."&amp;D$8&amp;"."&amp;D443&amp;" IS '"&amp;C443&amp;"';"</f>
        <v>COMMENT ON COLUMN milscm_2023_009.sny_202310_annony_non_annony2.shikkan425_start_date IS 'C859_疾患開始日';</v>
      </c>
    </row>
    <row r="444" spans="1:45" s="25" customFormat="1">
      <c r="A444" s="4" t="s">
        <v>5568</v>
      </c>
      <c r="B444" s="21">
        <f t="shared" si="50"/>
        <v>432</v>
      </c>
      <c r="C444" s="13" t="str">
        <f t="shared" si="49"/>
        <v>C880_疾患開始日</v>
      </c>
      <c r="D444" s="13" t="s">
        <v>6086</v>
      </c>
      <c r="E444" s="8"/>
      <c r="F444" s="7" t="s">
        <v>4348</v>
      </c>
      <c r="G444" s="7" t="s">
        <v>25</v>
      </c>
      <c r="H444" s="58"/>
      <c r="I444" s="23"/>
      <c r="J444" s="24"/>
      <c r="M444" s="4"/>
      <c r="N444" s="76"/>
      <c r="O444" s="76"/>
      <c r="P444" s="76" t="str">
        <f t="shared" si="44"/>
        <v>,shikkan426_start_date</v>
      </c>
      <c r="Q444" s="76" t="str">
        <f t="shared" si="45"/>
        <v>DATE</v>
      </c>
      <c r="R444" s="76" t="str">
        <f t="shared" si="46"/>
        <v/>
      </c>
      <c r="S444" s="76" t="str">
        <f t="shared" si="47"/>
        <v/>
      </c>
      <c r="T444" s="76" t="str">
        <f t="shared" si="48"/>
        <v>-- C880_疾患開始日</v>
      </c>
      <c r="U444" s="4" t="str">
        <f t="shared" si="35"/>
        <v>, CASE WHEN shikkan_disp_name = 'C880' THEN min_shikkan_start_date ::DATE ELSE NULL END AS shikkan426_start_date</v>
      </c>
      <c r="V444" s="25" t="str">
        <f t="shared" si="36"/>
        <v>, max(shikkan426_start_date)</v>
      </c>
      <c r="AA444" s="4"/>
      <c r="AB444" s="4"/>
      <c r="AC444" s="4"/>
      <c r="AD444" s="4"/>
      <c r="AE444" s="4"/>
      <c r="AF444" s="4"/>
      <c r="AG444" s="4"/>
      <c r="AH444" s="4"/>
      <c r="AI444" s="4"/>
      <c r="AJ444" s="76" t="str">
        <f>IF(E444="○",IF(COUNTA(E$13:E444)=1,"",",")&amp;D444,"")</f>
        <v/>
      </c>
      <c r="AK444" s="4"/>
      <c r="AL444" s="4"/>
      <c r="AM444" s="4"/>
      <c r="AN444" s="4"/>
      <c r="AO444" s="4"/>
      <c r="AP444" s="4"/>
      <c r="AQ444" s="4"/>
      <c r="AR444" s="4"/>
      <c r="AS444" s="76" t="str">
        <f>"COMMENT ON COLUMN "&amp;エンティティ一覧!$O$2&amp;"."&amp;D$8&amp;"."&amp;D444&amp;" IS '"&amp;C444&amp;"';"</f>
        <v>COMMENT ON COLUMN milscm_2023_009.sny_202310_annony_non_annony2.shikkan426_start_date IS 'C880_疾患開始日';</v>
      </c>
    </row>
    <row r="445" spans="1:45" s="25" customFormat="1">
      <c r="A445" s="4" t="s">
        <v>5569</v>
      </c>
      <c r="B445" s="21">
        <f t="shared" si="50"/>
        <v>433</v>
      </c>
      <c r="C445" s="13" t="str">
        <f t="shared" si="49"/>
        <v>C882_疾患開始日</v>
      </c>
      <c r="D445" s="13" t="s">
        <v>6087</v>
      </c>
      <c r="E445" s="8"/>
      <c r="F445" s="7" t="s">
        <v>4348</v>
      </c>
      <c r="G445" s="7" t="s">
        <v>25</v>
      </c>
      <c r="H445" s="58"/>
      <c r="I445" s="23"/>
      <c r="J445" s="24"/>
      <c r="M445" s="4"/>
      <c r="N445" s="76"/>
      <c r="O445" s="76"/>
      <c r="P445" s="76" t="str">
        <f t="shared" si="44"/>
        <v>,shikkan427_start_date</v>
      </c>
      <c r="Q445" s="76" t="str">
        <f t="shared" si="45"/>
        <v>DATE</v>
      </c>
      <c r="R445" s="76" t="str">
        <f t="shared" si="46"/>
        <v/>
      </c>
      <c r="S445" s="76" t="str">
        <f t="shared" si="47"/>
        <v/>
      </c>
      <c r="T445" s="76" t="str">
        <f t="shared" si="48"/>
        <v>-- C882_疾患開始日</v>
      </c>
      <c r="U445" s="4" t="str">
        <f t="shared" si="35"/>
        <v>, CASE WHEN shikkan_disp_name = 'C882' THEN min_shikkan_start_date ::DATE ELSE NULL END AS shikkan427_start_date</v>
      </c>
      <c r="V445" s="25" t="str">
        <f t="shared" si="36"/>
        <v>, max(shikkan427_start_date)</v>
      </c>
      <c r="AA445" s="4"/>
      <c r="AB445" s="4"/>
      <c r="AC445" s="4"/>
      <c r="AD445" s="4"/>
      <c r="AE445" s="4"/>
      <c r="AF445" s="4"/>
      <c r="AG445" s="4"/>
      <c r="AH445" s="4"/>
      <c r="AI445" s="4"/>
      <c r="AJ445" s="76" t="str">
        <f>IF(E445="○",IF(COUNTA(E$13:E445)=1,"",",")&amp;D445,"")</f>
        <v/>
      </c>
      <c r="AK445" s="4"/>
      <c r="AL445" s="4"/>
      <c r="AM445" s="4"/>
      <c r="AN445" s="4"/>
      <c r="AO445" s="4"/>
      <c r="AP445" s="4"/>
      <c r="AQ445" s="4"/>
      <c r="AR445" s="4"/>
      <c r="AS445" s="76" t="str">
        <f>"COMMENT ON COLUMN "&amp;エンティティ一覧!$O$2&amp;"."&amp;D$8&amp;"."&amp;D445&amp;" IS '"&amp;C445&amp;"';"</f>
        <v>COMMENT ON COLUMN milscm_2023_009.sny_202310_annony_non_annony2.shikkan427_start_date IS 'C882_疾患開始日';</v>
      </c>
    </row>
    <row r="446" spans="1:45" s="25" customFormat="1">
      <c r="A446" s="4" t="s">
        <v>5570</v>
      </c>
      <c r="B446" s="21">
        <f t="shared" si="50"/>
        <v>434</v>
      </c>
      <c r="C446" s="13" t="str">
        <f t="shared" si="49"/>
        <v>C883_疾患開始日</v>
      </c>
      <c r="D446" s="13" t="s">
        <v>6088</v>
      </c>
      <c r="E446" s="8"/>
      <c r="F446" s="7" t="s">
        <v>4348</v>
      </c>
      <c r="G446" s="7" t="s">
        <v>25</v>
      </c>
      <c r="H446" s="58"/>
      <c r="I446" s="23"/>
      <c r="J446" s="24"/>
      <c r="M446" s="4"/>
      <c r="N446" s="76"/>
      <c r="O446" s="76"/>
      <c r="P446" s="76" t="str">
        <f t="shared" si="44"/>
        <v>,shikkan428_start_date</v>
      </c>
      <c r="Q446" s="76" t="str">
        <f t="shared" si="45"/>
        <v>DATE</v>
      </c>
      <c r="R446" s="76" t="str">
        <f t="shared" si="46"/>
        <v/>
      </c>
      <c r="S446" s="76" t="str">
        <f t="shared" si="47"/>
        <v/>
      </c>
      <c r="T446" s="76" t="str">
        <f t="shared" si="48"/>
        <v>-- C883_疾患開始日</v>
      </c>
      <c r="U446" s="4" t="str">
        <f t="shared" si="35"/>
        <v>, CASE WHEN shikkan_disp_name = 'C883' THEN min_shikkan_start_date ::DATE ELSE NULL END AS shikkan428_start_date</v>
      </c>
      <c r="V446" s="25" t="str">
        <f t="shared" si="36"/>
        <v>, max(shikkan428_start_date)</v>
      </c>
      <c r="AA446" s="4"/>
      <c r="AB446" s="4"/>
      <c r="AC446" s="4"/>
      <c r="AD446" s="4"/>
      <c r="AE446" s="4"/>
      <c r="AF446" s="4"/>
      <c r="AG446" s="4"/>
      <c r="AH446" s="4"/>
      <c r="AI446" s="4"/>
      <c r="AJ446" s="76" t="str">
        <f>IF(E446="○",IF(COUNTA(E$13:E446)=1,"",",")&amp;D446,"")</f>
        <v/>
      </c>
      <c r="AK446" s="4"/>
      <c r="AL446" s="4"/>
      <c r="AM446" s="4"/>
      <c r="AN446" s="4"/>
      <c r="AO446" s="4"/>
      <c r="AP446" s="4"/>
      <c r="AQ446" s="4"/>
      <c r="AR446" s="4"/>
      <c r="AS446" s="76" t="str">
        <f>"COMMENT ON COLUMN "&amp;エンティティ一覧!$O$2&amp;"."&amp;D$8&amp;"."&amp;D446&amp;" IS '"&amp;C446&amp;"';"</f>
        <v>COMMENT ON COLUMN milscm_2023_009.sny_202310_annony_non_annony2.shikkan428_start_date IS 'C883_疾患開始日';</v>
      </c>
    </row>
    <row r="447" spans="1:45" s="25" customFormat="1">
      <c r="A447" s="4" t="s">
        <v>5571</v>
      </c>
      <c r="B447" s="21">
        <f t="shared" si="50"/>
        <v>435</v>
      </c>
      <c r="C447" s="13" t="str">
        <f t="shared" si="49"/>
        <v>C884_疾患開始日</v>
      </c>
      <c r="D447" s="13" t="s">
        <v>6089</v>
      </c>
      <c r="E447" s="8"/>
      <c r="F447" s="7" t="s">
        <v>4348</v>
      </c>
      <c r="G447" s="7" t="s">
        <v>25</v>
      </c>
      <c r="H447" s="58"/>
      <c r="I447" s="23"/>
      <c r="J447" s="24"/>
      <c r="M447" s="4"/>
      <c r="N447" s="76"/>
      <c r="O447" s="76"/>
      <c r="P447" s="76" t="str">
        <f t="shared" si="44"/>
        <v>,shikkan429_start_date</v>
      </c>
      <c r="Q447" s="76" t="str">
        <f t="shared" si="45"/>
        <v>DATE</v>
      </c>
      <c r="R447" s="76" t="str">
        <f t="shared" si="46"/>
        <v/>
      </c>
      <c r="S447" s="76" t="str">
        <f t="shared" si="47"/>
        <v/>
      </c>
      <c r="T447" s="76" t="str">
        <f t="shared" si="48"/>
        <v>-- C884_疾患開始日</v>
      </c>
      <c r="U447" s="4" t="str">
        <f t="shared" si="35"/>
        <v>, CASE WHEN shikkan_disp_name = 'C884' THEN min_shikkan_start_date ::DATE ELSE NULL END AS shikkan429_start_date</v>
      </c>
      <c r="V447" s="25" t="str">
        <f t="shared" si="36"/>
        <v>, max(shikkan429_start_date)</v>
      </c>
      <c r="AA447" s="4"/>
      <c r="AB447" s="4"/>
      <c r="AC447" s="4"/>
      <c r="AD447" s="4"/>
      <c r="AE447" s="4"/>
      <c r="AF447" s="4"/>
      <c r="AG447" s="4"/>
      <c r="AH447" s="4"/>
      <c r="AI447" s="4"/>
      <c r="AJ447" s="76" t="str">
        <f>IF(E447="○",IF(COUNTA(E$13:E447)=1,"",",")&amp;D447,"")</f>
        <v/>
      </c>
      <c r="AK447" s="4"/>
      <c r="AL447" s="4"/>
      <c r="AM447" s="4"/>
      <c r="AN447" s="4"/>
      <c r="AO447" s="4"/>
      <c r="AP447" s="4"/>
      <c r="AQ447" s="4"/>
      <c r="AR447" s="4"/>
      <c r="AS447" s="76" t="str">
        <f>"COMMENT ON COLUMN "&amp;エンティティ一覧!$O$2&amp;"."&amp;D$8&amp;"."&amp;D447&amp;" IS '"&amp;C447&amp;"';"</f>
        <v>COMMENT ON COLUMN milscm_2023_009.sny_202310_annony_non_annony2.shikkan429_start_date IS 'C884_疾患開始日';</v>
      </c>
    </row>
    <row r="448" spans="1:45" s="25" customFormat="1">
      <c r="A448" s="4" t="s">
        <v>5572</v>
      </c>
      <c r="B448" s="21">
        <f t="shared" si="50"/>
        <v>436</v>
      </c>
      <c r="C448" s="13" t="str">
        <f t="shared" si="49"/>
        <v>C887_疾患開始日</v>
      </c>
      <c r="D448" s="13" t="s">
        <v>6090</v>
      </c>
      <c r="E448" s="8"/>
      <c r="F448" s="7" t="s">
        <v>4348</v>
      </c>
      <c r="G448" s="7" t="s">
        <v>25</v>
      </c>
      <c r="H448" s="58"/>
      <c r="I448" s="23"/>
      <c r="J448" s="24"/>
      <c r="M448" s="4"/>
      <c r="N448" s="76"/>
      <c r="O448" s="76"/>
      <c r="P448" s="76" t="str">
        <f t="shared" si="44"/>
        <v>,shikkan430_start_date</v>
      </c>
      <c r="Q448" s="76" t="str">
        <f t="shared" si="45"/>
        <v>DATE</v>
      </c>
      <c r="R448" s="76" t="str">
        <f t="shared" si="46"/>
        <v/>
      </c>
      <c r="S448" s="76" t="str">
        <f t="shared" si="47"/>
        <v/>
      </c>
      <c r="T448" s="76" t="str">
        <f t="shared" si="48"/>
        <v>-- C887_疾患開始日</v>
      </c>
      <c r="U448" s="4" t="str">
        <f t="shared" si="35"/>
        <v>, CASE WHEN shikkan_disp_name = 'C887' THEN min_shikkan_start_date ::DATE ELSE NULL END AS shikkan430_start_date</v>
      </c>
      <c r="V448" s="25" t="str">
        <f t="shared" si="36"/>
        <v>, max(shikkan430_start_date)</v>
      </c>
      <c r="AA448" s="4"/>
      <c r="AB448" s="4"/>
      <c r="AC448" s="4"/>
      <c r="AD448" s="4"/>
      <c r="AE448" s="4"/>
      <c r="AF448" s="4"/>
      <c r="AG448" s="4"/>
      <c r="AH448" s="4"/>
      <c r="AI448" s="4"/>
      <c r="AJ448" s="76" t="str">
        <f>IF(E448="○",IF(COUNTA(E$13:E448)=1,"",",")&amp;D448,"")</f>
        <v/>
      </c>
      <c r="AK448" s="4"/>
      <c r="AL448" s="4"/>
      <c r="AM448" s="4"/>
      <c r="AN448" s="4"/>
      <c r="AO448" s="4"/>
      <c r="AP448" s="4"/>
      <c r="AQ448" s="4"/>
      <c r="AR448" s="4"/>
      <c r="AS448" s="76" t="str">
        <f>"COMMENT ON COLUMN "&amp;エンティティ一覧!$O$2&amp;"."&amp;D$8&amp;"."&amp;D448&amp;" IS '"&amp;C448&amp;"';"</f>
        <v>COMMENT ON COLUMN milscm_2023_009.sny_202310_annony_non_annony2.shikkan430_start_date IS 'C887_疾患開始日';</v>
      </c>
    </row>
    <row r="449" spans="1:45" s="25" customFormat="1">
      <c r="A449" s="4" t="s">
        <v>5573</v>
      </c>
      <c r="B449" s="21">
        <f t="shared" si="50"/>
        <v>437</v>
      </c>
      <c r="C449" s="13" t="str">
        <f t="shared" si="49"/>
        <v>C889_疾患開始日</v>
      </c>
      <c r="D449" s="13" t="s">
        <v>6091</v>
      </c>
      <c r="E449" s="8"/>
      <c r="F449" s="7" t="s">
        <v>4348</v>
      </c>
      <c r="G449" s="7" t="s">
        <v>25</v>
      </c>
      <c r="H449" s="58"/>
      <c r="I449" s="23"/>
      <c r="J449" s="24"/>
      <c r="M449" s="4"/>
      <c r="N449" s="76"/>
      <c r="O449" s="76"/>
      <c r="P449" s="76" t="str">
        <f t="shared" si="44"/>
        <v>,shikkan431_start_date</v>
      </c>
      <c r="Q449" s="76" t="str">
        <f t="shared" si="45"/>
        <v>DATE</v>
      </c>
      <c r="R449" s="76" t="str">
        <f t="shared" si="46"/>
        <v/>
      </c>
      <c r="S449" s="76" t="str">
        <f t="shared" si="47"/>
        <v/>
      </c>
      <c r="T449" s="76" t="str">
        <f t="shared" si="48"/>
        <v>-- C889_疾患開始日</v>
      </c>
      <c r="U449" s="4" t="str">
        <f t="shared" si="35"/>
        <v>, CASE WHEN shikkan_disp_name = 'C889' THEN min_shikkan_start_date ::DATE ELSE NULL END AS shikkan431_start_date</v>
      </c>
      <c r="V449" s="25" t="str">
        <f t="shared" si="36"/>
        <v>, max(shikkan431_start_date)</v>
      </c>
      <c r="AA449" s="4"/>
      <c r="AB449" s="4"/>
      <c r="AC449" s="4"/>
      <c r="AD449" s="4"/>
      <c r="AE449" s="4"/>
      <c r="AF449" s="4"/>
      <c r="AG449" s="4"/>
      <c r="AH449" s="4"/>
      <c r="AI449" s="4"/>
      <c r="AJ449" s="76" t="str">
        <f>IF(E449="○",IF(COUNTA(E$13:E449)=1,"",",")&amp;D449,"")</f>
        <v/>
      </c>
      <c r="AK449" s="4"/>
      <c r="AL449" s="4"/>
      <c r="AM449" s="4"/>
      <c r="AN449" s="4"/>
      <c r="AO449" s="4"/>
      <c r="AP449" s="4"/>
      <c r="AQ449" s="4"/>
      <c r="AR449" s="4"/>
      <c r="AS449" s="76" t="str">
        <f>"COMMENT ON COLUMN "&amp;エンティティ一覧!$O$2&amp;"."&amp;D$8&amp;"."&amp;D449&amp;" IS '"&amp;C449&amp;"';"</f>
        <v>COMMENT ON COLUMN milscm_2023_009.sny_202310_annony_non_annony2.shikkan431_start_date IS 'C889_疾患開始日';</v>
      </c>
    </row>
    <row r="450" spans="1:45" s="25" customFormat="1">
      <c r="A450" s="4" t="s">
        <v>5574</v>
      </c>
      <c r="B450" s="21">
        <f t="shared" si="50"/>
        <v>438</v>
      </c>
      <c r="C450" s="13" t="str">
        <f t="shared" si="49"/>
        <v>C900_疾患開始日</v>
      </c>
      <c r="D450" s="13" t="s">
        <v>6092</v>
      </c>
      <c r="E450" s="8"/>
      <c r="F450" s="7" t="s">
        <v>4348</v>
      </c>
      <c r="G450" s="7" t="s">
        <v>99</v>
      </c>
      <c r="H450" s="58"/>
      <c r="I450" s="23"/>
      <c r="J450" s="24"/>
      <c r="M450" s="4"/>
      <c r="N450" s="76"/>
      <c r="O450" s="76"/>
      <c r="P450" s="76" t="str">
        <f t="shared" si="44"/>
        <v>,shikkan432_start_date</v>
      </c>
      <c r="Q450" s="76" t="str">
        <f t="shared" si="45"/>
        <v>DATE</v>
      </c>
      <c r="R450" s="76" t="str">
        <f t="shared" si="46"/>
        <v/>
      </c>
      <c r="S450" s="76" t="str">
        <f t="shared" si="47"/>
        <v/>
      </c>
      <c r="T450" s="76" t="str">
        <f t="shared" si="48"/>
        <v>-- C900_疾患開始日</v>
      </c>
      <c r="U450" s="4" t="str">
        <f t="shared" si="35"/>
        <v>, CASE WHEN shikkan_disp_name = 'C900' THEN min_shikkan_start_date ::DATE ELSE NULL END AS shikkan432_start_date</v>
      </c>
      <c r="V450" s="25" t="str">
        <f t="shared" si="36"/>
        <v>, max(shikkan432_start_date)</v>
      </c>
      <c r="AA450" s="4"/>
      <c r="AB450" s="4"/>
      <c r="AC450" s="4"/>
      <c r="AD450" s="4"/>
      <c r="AE450" s="4"/>
      <c r="AF450" s="4"/>
      <c r="AG450" s="4"/>
      <c r="AH450" s="4"/>
      <c r="AI450" s="4"/>
      <c r="AJ450" s="76" t="str">
        <f>IF(E450="○",IF(COUNTA(E$13:E450)=1,"",",")&amp;D450,"")</f>
        <v/>
      </c>
      <c r="AK450" s="4"/>
      <c r="AL450" s="4"/>
      <c r="AM450" s="4"/>
      <c r="AN450" s="4"/>
      <c r="AO450" s="4"/>
      <c r="AP450" s="4"/>
      <c r="AQ450" s="4"/>
      <c r="AR450" s="4"/>
      <c r="AS450" s="76" t="str">
        <f>"COMMENT ON COLUMN "&amp;エンティティ一覧!$O$2&amp;"."&amp;D$8&amp;"."&amp;D450&amp;" IS '"&amp;C450&amp;"';"</f>
        <v>COMMENT ON COLUMN milscm_2023_009.sny_202310_annony_non_annony2.shikkan432_start_date IS 'C900_疾患開始日';</v>
      </c>
    </row>
    <row r="451" spans="1:45" s="25" customFormat="1">
      <c r="A451" s="4" t="s">
        <v>5575</v>
      </c>
      <c r="B451" s="21">
        <f t="shared" si="50"/>
        <v>439</v>
      </c>
      <c r="C451" s="13" t="str">
        <f t="shared" si="49"/>
        <v>C901_疾患開始日</v>
      </c>
      <c r="D451" s="13" t="s">
        <v>6093</v>
      </c>
      <c r="E451" s="8"/>
      <c r="F451" s="7" t="s">
        <v>4348</v>
      </c>
      <c r="G451" s="7" t="s">
        <v>25</v>
      </c>
      <c r="H451" s="58"/>
      <c r="I451" s="23"/>
      <c r="J451" s="24"/>
      <c r="M451" s="4"/>
      <c r="N451" s="76"/>
      <c r="O451" s="76"/>
      <c r="P451" s="76" t="str">
        <f t="shared" si="44"/>
        <v>,shikkan433_start_date</v>
      </c>
      <c r="Q451" s="76" t="str">
        <f t="shared" si="45"/>
        <v>DATE</v>
      </c>
      <c r="R451" s="76" t="str">
        <f t="shared" si="46"/>
        <v/>
      </c>
      <c r="S451" s="76" t="str">
        <f t="shared" si="47"/>
        <v/>
      </c>
      <c r="T451" s="76" t="str">
        <f t="shared" si="48"/>
        <v>-- C901_疾患開始日</v>
      </c>
      <c r="U451" s="4" t="str">
        <f t="shared" si="35"/>
        <v>, CASE WHEN shikkan_disp_name = 'C901' THEN min_shikkan_start_date ::DATE ELSE NULL END AS shikkan433_start_date</v>
      </c>
      <c r="V451" s="25" t="str">
        <f t="shared" si="36"/>
        <v>, max(shikkan433_start_date)</v>
      </c>
      <c r="AA451" s="4"/>
      <c r="AB451" s="4"/>
      <c r="AC451" s="4"/>
      <c r="AD451" s="4"/>
      <c r="AE451" s="4"/>
      <c r="AF451" s="4"/>
      <c r="AG451" s="4"/>
      <c r="AH451" s="4"/>
      <c r="AI451" s="4"/>
      <c r="AJ451" s="76" t="str">
        <f>IF(E451="○",IF(COUNTA(E$13:E451)=1,"",",")&amp;D451,"")</f>
        <v/>
      </c>
      <c r="AK451" s="4"/>
      <c r="AL451" s="4"/>
      <c r="AM451" s="4"/>
      <c r="AN451" s="4"/>
      <c r="AO451" s="4"/>
      <c r="AP451" s="4"/>
      <c r="AQ451" s="4"/>
      <c r="AR451" s="4"/>
      <c r="AS451" s="76" t="str">
        <f>"COMMENT ON COLUMN "&amp;エンティティ一覧!$O$2&amp;"."&amp;D$8&amp;"."&amp;D451&amp;" IS '"&amp;C451&amp;"';"</f>
        <v>COMMENT ON COLUMN milscm_2023_009.sny_202310_annony_non_annony2.shikkan433_start_date IS 'C901_疾患開始日';</v>
      </c>
    </row>
    <row r="452" spans="1:45" s="25" customFormat="1">
      <c r="A452" s="4" t="s">
        <v>5576</v>
      </c>
      <c r="B452" s="21">
        <f t="shared" si="50"/>
        <v>440</v>
      </c>
      <c r="C452" s="13" t="str">
        <f t="shared" si="49"/>
        <v>C902_疾患開始日</v>
      </c>
      <c r="D452" s="13" t="s">
        <v>6094</v>
      </c>
      <c r="E452" s="8"/>
      <c r="F452" s="7" t="s">
        <v>4348</v>
      </c>
      <c r="G452" s="7" t="s">
        <v>25</v>
      </c>
      <c r="H452" s="58"/>
      <c r="I452" s="23"/>
      <c r="J452" s="24"/>
      <c r="M452" s="4"/>
      <c r="N452" s="76"/>
      <c r="O452" s="76"/>
      <c r="P452" s="76" t="str">
        <f t="shared" si="44"/>
        <v>,shikkan434_start_date</v>
      </c>
      <c r="Q452" s="76" t="str">
        <f t="shared" si="45"/>
        <v>DATE</v>
      </c>
      <c r="R452" s="76" t="str">
        <f t="shared" si="46"/>
        <v/>
      </c>
      <c r="S452" s="76" t="str">
        <f t="shared" si="47"/>
        <v/>
      </c>
      <c r="T452" s="76" t="str">
        <f t="shared" si="48"/>
        <v>-- C902_疾患開始日</v>
      </c>
      <c r="U452" s="4" t="str">
        <f t="shared" si="35"/>
        <v>, CASE WHEN shikkan_disp_name = 'C902' THEN min_shikkan_start_date ::DATE ELSE NULL END AS shikkan434_start_date</v>
      </c>
      <c r="V452" s="25" t="str">
        <f t="shared" si="36"/>
        <v>, max(shikkan434_start_date)</v>
      </c>
      <c r="AA452" s="4"/>
      <c r="AB452" s="4"/>
      <c r="AC452" s="4"/>
      <c r="AD452" s="4"/>
      <c r="AE452" s="4"/>
      <c r="AF452" s="4"/>
      <c r="AG452" s="4"/>
      <c r="AH452" s="4"/>
      <c r="AI452" s="4"/>
      <c r="AJ452" s="76" t="str">
        <f>IF(E452="○",IF(COUNTA(E$13:E452)=1,"",",")&amp;D452,"")</f>
        <v/>
      </c>
      <c r="AK452" s="4"/>
      <c r="AL452" s="4"/>
      <c r="AM452" s="4"/>
      <c r="AN452" s="4"/>
      <c r="AO452" s="4"/>
      <c r="AP452" s="4"/>
      <c r="AQ452" s="4"/>
      <c r="AR452" s="4"/>
      <c r="AS452" s="76" t="str">
        <f>"COMMENT ON COLUMN "&amp;エンティティ一覧!$O$2&amp;"."&amp;D$8&amp;"."&amp;D452&amp;" IS '"&amp;C452&amp;"';"</f>
        <v>COMMENT ON COLUMN milscm_2023_009.sny_202310_annony_non_annony2.shikkan434_start_date IS 'C902_疾患開始日';</v>
      </c>
    </row>
    <row r="453" spans="1:45" s="25" customFormat="1">
      <c r="A453" s="4" t="s">
        <v>5577</v>
      </c>
      <c r="B453" s="21">
        <f t="shared" si="50"/>
        <v>441</v>
      </c>
      <c r="C453" s="13" t="str">
        <f t="shared" si="49"/>
        <v>C903_疾患開始日</v>
      </c>
      <c r="D453" s="13" t="s">
        <v>6095</v>
      </c>
      <c r="E453" s="8"/>
      <c r="F453" s="7" t="s">
        <v>4348</v>
      </c>
      <c r="G453" s="7" t="s">
        <v>25</v>
      </c>
      <c r="H453" s="58"/>
      <c r="I453" s="23"/>
      <c r="J453" s="24"/>
      <c r="M453" s="4"/>
      <c r="N453" s="76"/>
      <c r="O453" s="76"/>
      <c r="P453" s="76" t="str">
        <f t="shared" si="44"/>
        <v>,shikkan435_start_date</v>
      </c>
      <c r="Q453" s="76" t="str">
        <f t="shared" si="45"/>
        <v>DATE</v>
      </c>
      <c r="R453" s="76" t="str">
        <f t="shared" si="46"/>
        <v/>
      </c>
      <c r="S453" s="76" t="str">
        <f t="shared" si="47"/>
        <v/>
      </c>
      <c r="T453" s="76" t="str">
        <f t="shared" si="48"/>
        <v>-- C903_疾患開始日</v>
      </c>
      <c r="U453" s="4" t="str">
        <f t="shared" si="35"/>
        <v>, CASE WHEN shikkan_disp_name = 'C903' THEN min_shikkan_start_date ::DATE ELSE NULL END AS shikkan435_start_date</v>
      </c>
      <c r="V453" s="25" t="str">
        <f t="shared" si="36"/>
        <v>, max(shikkan435_start_date)</v>
      </c>
      <c r="AA453" s="4"/>
      <c r="AB453" s="4"/>
      <c r="AC453" s="4"/>
      <c r="AD453" s="4"/>
      <c r="AE453" s="4"/>
      <c r="AF453" s="4"/>
      <c r="AG453" s="4"/>
      <c r="AH453" s="4"/>
      <c r="AI453" s="4"/>
      <c r="AJ453" s="76" t="str">
        <f>IF(E453="○",IF(COUNTA(E$13:E453)=1,"",",")&amp;D453,"")</f>
        <v/>
      </c>
      <c r="AK453" s="4"/>
      <c r="AL453" s="4"/>
      <c r="AM453" s="4"/>
      <c r="AN453" s="4"/>
      <c r="AO453" s="4"/>
      <c r="AP453" s="4"/>
      <c r="AQ453" s="4"/>
      <c r="AR453" s="4"/>
      <c r="AS453" s="76" t="str">
        <f>"COMMENT ON COLUMN "&amp;エンティティ一覧!$O$2&amp;"."&amp;D$8&amp;"."&amp;D453&amp;" IS '"&amp;C453&amp;"';"</f>
        <v>COMMENT ON COLUMN milscm_2023_009.sny_202310_annony_non_annony2.shikkan435_start_date IS 'C903_疾患開始日';</v>
      </c>
    </row>
    <row r="454" spans="1:45" s="25" customFormat="1">
      <c r="A454" s="4" t="s">
        <v>5578</v>
      </c>
      <c r="B454" s="21">
        <f t="shared" si="50"/>
        <v>442</v>
      </c>
      <c r="C454" s="13" t="str">
        <f t="shared" si="49"/>
        <v>C910_疾患開始日</v>
      </c>
      <c r="D454" s="13" t="s">
        <v>6096</v>
      </c>
      <c r="E454" s="8"/>
      <c r="F454" s="7" t="s">
        <v>4348</v>
      </c>
      <c r="G454" s="7" t="s">
        <v>25</v>
      </c>
      <c r="H454" s="58"/>
      <c r="I454" s="23"/>
      <c r="J454" s="24"/>
      <c r="M454" s="4"/>
      <c r="N454" s="76"/>
      <c r="O454" s="76"/>
      <c r="P454" s="76" t="str">
        <f t="shared" si="44"/>
        <v>,shikkan436_start_date</v>
      </c>
      <c r="Q454" s="76" t="str">
        <f t="shared" si="45"/>
        <v>DATE</v>
      </c>
      <c r="R454" s="76" t="str">
        <f t="shared" si="46"/>
        <v/>
      </c>
      <c r="S454" s="76" t="str">
        <f t="shared" si="47"/>
        <v/>
      </c>
      <c r="T454" s="76" t="str">
        <f t="shared" si="48"/>
        <v>-- C910_疾患開始日</v>
      </c>
      <c r="U454" s="4" t="str">
        <f t="shared" si="35"/>
        <v>, CASE WHEN shikkan_disp_name = 'C910' THEN min_shikkan_start_date ::DATE ELSE NULL END AS shikkan436_start_date</v>
      </c>
      <c r="V454" s="25" t="str">
        <f t="shared" si="36"/>
        <v>, max(shikkan436_start_date)</v>
      </c>
      <c r="AA454" s="4"/>
      <c r="AB454" s="4"/>
      <c r="AC454" s="4"/>
      <c r="AD454" s="4"/>
      <c r="AE454" s="4"/>
      <c r="AF454" s="4"/>
      <c r="AG454" s="4"/>
      <c r="AH454" s="4"/>
      <c r="AI454" s="4"/>
      <c r="AJ454" s="76" t="str">
        <f>IF(E454="○",IF(COUNTA(E$13:E454)=1,"",",")&amp;D454,"")</f>
        <v/>
      </c>
      <c r="AK454" s="4"/>
      <c r="AL454" s="4"/>
      <c r="AM454" s="4"/>
      <c r="AN454" s="4"/>
      <c r="AO454" s="4"/>
      <c r="AP454" s="4"/>
      <c r="AQ454" s="4"/>
      <c r="AR454" s="4"/>
      <c r="AS454" s="76" t="str">
        <f>"COMMENT ON COLUMN "&amp;エンティティ一覧!$O$2&amp;"."&amp;D$8&amp;"."&amp;D454&amp;" IS '"&amp;C454&amp;"';"</f>
        <v>COMMENT ON COLUMN milscm_2023_009.sny_202310_annony_non_annony2.shikkan436_start_date IS 'C910_疾患開始日';</v>
      </c>
    </row>
    <row r="455" spans="1:45" s="25" customFormat="1">
      <c r="A455" s="4" t="s">
        <v>5579</v>
      </c>
      <c r="B455" s="21">
        <f t="shared" si="50"/>
        <v>443</v>
      </c>
      <c r="C455" s="13" t="str">
        <f t="shared" si="49"/>
        <v>C911_疾患開始日</v>
      </c>
      <c r="D455" s="13" t="s">
        <v>6097</v>
      </c>
      <c r="E455" s="8"/>
      <c r="F455" s="7" t="s">
        <v>4348</v>
      </c>
      <c r="G455" s="7" t="s">
        <v>25</v>
      </c>
      <c r="H455" s="58"/>
      <c r="I455" s="23"/>
      <c r="J455" s="24"/>
      <c r="M455" s="4"/>
      <c r="N455" s="76"/>
      <c r="O455" s="76"/>
      <c r="P455" s="76" t="str">
        <f t="shared" si="44"/>
        <v>,shikkan437_start_date</v>
      </c>
      <c r="Q455" s="76" t="str">
        <f t="shared" si="45"/>
        <v>DATE</v>
      </c>
      <c r="R455" s="76" t="str">
        <f t="shared" si="46"/>
        <v/>
      </c>
      <c r="S455" s="76" t="str">
        <f t="shared" si="47"/>
        <v/>
      </c>
      <c r="T455" s="76" t="str">
        <f t="shared" si="48"/>
        <v>-- C911_疾患開始日</v>
      </c>
      <c r="U455" s="4" t="str">
        <f t="shared" si="35"/>
        <v>, CASE WHEN shikkan_disp_name = 'C911' THEN min_shikkan_start_date ::DATE ELSE NULL END AS shikkan437_start_date</v>
      </c>
      <c r="V455" s="25" t="str">
        <f t="shared" si="36"/>
        <v>, max(shikkan437_start_date)</v>
      </c>
      <c r="AA455" s="4"/>
      <c r="AB455" s="4"/>
      <c r="AC455" s="4"/>
      <c r="AD455" s="4"/>
      <c r="AE455" s="4"/>
      <c r="AF455" s="4"/>
      <c r="AG455" s="4"/>
      <c r="AH455" s="4"/>
      <c r="AI455" s="4"/>
      <c r="AJ455" s="76" t="str">
        <f>IF(E455="○",IF(COUNTA(E$13:E455)=1,"",",")&amp;D455,"")</f>
        <v/>
      </c>
      <c r="AK455" s="4"/>
      <c r="AL455" s="4"/>
      <c r="AM455" s="4"/>
      <c r="AN455" s="4"/>
      <c r="AO455" s="4"/>
      <c r="AP455" s="4"/>
      <c r="AQ455" s="4"/>
      <c r="AR455" s="4"/>
      <c r="AS455" s="76" t="str">
        <f>"COMMENT ON COLUMN "&amp;エンティティ一覧!$O$2&amp;"."&amp;D$8&amp;"."&amp;D455&amp;" IS '"&amp;C455&amp;"';"</f>
        <v>COMMENT ON COLUMN milscm_2023_009.sny_202310_annony_non_annony2.shikkan437_start_date IS 'C911_疾患開始日';</v>
      </c>
    </row>
    <row r="456" spans="1:45" s="25" customFormat="1">
      <c r="A456" s="4" t="s">
        <v>5580</v>
      </c>
      <c r="B456" s="21">
        <f t="shared" si="50"/>
        <v>444</v>
      </c>
      <c r="C456" s="13" t="str">
        <f t="shared" si="49"/>
        <v>C913_疾患開始日</v>
      </c>
      <c r="D456" s="13" t="s">
        <v>6098</v>
      </c>
      <c r="E456" s="8"/>
      <c r="F456" s="7" t="s">
        <v>4348</v>
      </c>
      <c r="G456" s="7" t="s">
        <v>25</v>
      </c>
      <c r="H456" s="58"/>
      <c r="I456" s="23"/>
      <c r="J456" s="24"/>
      <c r="M456" s="4"/>
      <c r="N456" s="76"/>
      <c r="O456" s="76"/>
      <c r="P456" s="76" t="str">
        <f t="shared" si="44"/>
        <v>,shikkan438_start_date</v>
      </c>
      <c r="Q456" s="76" t="str">
        <f t="shared" si="45"/>
        <v>DATE</v>
      </c>
      <c r="R456" s="76" t="str">
        <f t="shared" si="46"/>
        <v/>
      </c>
      <c r="S456" s="76" t="str">
        <f t="shared" si="47"/>
        <v/>
      </c>
      <c r="T456" s="76" t="str">
        <f t="shared" si="48"/>
        <v>-- C913_疾患開始日</v>
      </c>
      <c r="U456" s="4" t="str">
        <f t="shared" si="35"/>
        <v>, CASE WHEN shikkan_disp_name = 'C913' THEN min_shikkan_start_date ::DATE ELSE NULL END AS shikkan438_start_date</v>
      </c>
      <c r="V456" s="25" t="str">
        <f t="shared" si="36"/>
        <v>, max(shikkan438_start_date)</v>
      </c>
      <c r="AA456" s="4"/>
      <c r="AB456" s="4"/>
      <c r="AC456" s="4"/>
      <c r="AD456" s="4"/>
      <c r="AE456" s="4"/>
      <c r="AF456" s="4"/>
      <c r="AG456" s="4"/>
      <c r="AH456" s="4"/>
      <c r="AI456" s="4"/>
      <c r="AJ456" s="76" t="str">
        <f>IF(E456="○",IF(COUNTA(E$13:E456)=1,"",",")&amp;D456,"")</f>
        <v/>
      </c>
      <c r="AK456" s="4"/>
      <c r="AL456" s="4"/>
      <c r="AM456" s="4"/>
      <c r="AN456" s="4"/>
      <c r="AO456" s="4"/>
      <c r="AP456" s="4"/>
      <c r="AQ456" s="4"/>
      <c r="AR456" s="4"/>
      <c r="AS456" s="76" t="str">
        <f>"COMMENT ON COLUMN "&amp;エンティティ一覧!$O$2&amp;"."&amp;D$8&amp;"."&amp;D456&amp;" IS '"&amp;C456&amp;"';"</f>
        <v>COMMENT ON COLUMN milscm_2023_009.sny_202310_annony_non_annony2.shikkan438_start_date IS 'C913_疾患開始日';</v>
      </c>
    </row>
    <row r="457" spans="1:45" s="25" customFormat="1">
      <c r="A457" s="4" t="s">
        <v>5581</v>
      </c>
      <c r="B457" s="21">
        <f t="shared" si="50"/>
        <v>445</v>
      </c>
      <c r="C457" s="13" t="str">
        <f t="shared" si="49"/>
        <v>C914_疾患開始日</v>
      </c>
      <c r="D457" s="13" t="s">
        <v>6099</v>
      </c>
      <c r="E457" s="8"/>
      <c r="F457" s="7" t="s">
        <v>4348</v>
      </c>
      <c r="G457" s="7" t="s">
        <v>25</v>
      </c>
      <c r="H457" s="58"/>
      <c r="I457" s="23"/>
      <c r="J457" s="24"/>
      <c r="M457" s="4"/>
      <c r="N457" s="76"/>
      <c r="O457" s="76"/>
      <c r="P457" s="76" t="str">
        <f t="shared" si="44"/>
        <v>,shikkan439_start_date</v>
      </c>
      <c r="Q457" s="76" t="str">
        <f t="shared" si="45"/>
        <v>DATE</v>
      </c>
      <c r="R457" s="76" t="str">
        <f t="shared" si="46"/>
        <v/>
      </c>
      <c r="S457" s="76" t="str">
        <f t="shared" si="47"/>
        <v/>
      </c>
      <c r="T457" s="76" t="str">
        <f t="shared" si="48"/>
        <v>-- C914_疾患開始日</v>
      </c>
      <c r="U457" s="4" t="str">
        <f t="shared" si="35"/>
        <v>, CASE WHEN shikkan_disp_name = 'C914' THEN min_shikkan_start_date ::DATE ELSE NULL END AS shikkan439_start_date</v>
      </c>
      <c r="V457" s="25" t="str">
        <f t="shared" si="36"/>
        <v>, max(shikkan439_start_date)</v>
      </c>
      <c r="AA457" s="4"/>
      <c r="AB457" s="4"/>
      <c r="AC457" s="4"/>
      <c r="AD457" s="4"/>
      <c r="AE457" s="4"/>
      <c r="AF457" s="4"/>
      <c r="AG457" s="4"/>
      <c r="AH457" s="4"/>
      <c r="AI457" s="4"/>
      <c r="AJ457" s="76" t="str">
        <f>IF(E457="○",IF(COUNTA(E$13:E457)=1,"",",")&amp;D457,"")</f>
        <v/>
      </c>
      <c r="AK457" s="4"/>
      <c r="AL457" s="4"/>
      <c r="AM457" s="4"/>
      <c r="AN457" s="4"/>
      <c r="AO457" s="4"/>
      <c r="AP457" s="4"/>
      <c r="AQ457" s="4"/>
      <c r="AR457" s="4"/>
      <c r="AS457" s="76" t="str">
        <f>"COMMENT ON COLUMN "&amp;エンティティ一覧!$O$2&amp;"."&amp;D$8&amp;"."&amp;D457&amp;" IS '"&amp;C457&amp;"';"</f>
        <v>COMMENT ON COLUMN milscm_2023_009.sny_202310_annony_non_annony2.shikkan439_start_date IS 'C914_疾患開始日';</v>
      </c>
    </row>
    <row r="458" spans="1:45" s="25" customFormat="1">
      <c r="A458" s="4" t="s">
        <v>5582</v>
      </c>
      <c r="B458" s="21">
        <f t="shared" si="50"/>
        <v>446</v>
      </c>
      <c r="C458" s="13" t="str">
        <f t="shared" si="49"/>
        <v>C915_疾患開始日</v>
      </c>
      <c r="D458" s="13" t="s">
        <v>6100</v>
      </c>
      <c r="E458" s="8"/>
      <c r="F458" s="7" t="s">
        <v>4348</v>
      </c>
      <c r="G458" s="7" t="s">
        <v>25</v>
      </c>
      <c r="H458" s="58"/>
      <c r="I458" s="23"/>
      <c r="J458" s="24"/>
      <c r="M458" s="4"/>
      <c r="N458" s="76"/>
      <c r="O458" s="76"/>
      <c r="P458" s="76" t="str">
        <f t="shared" si="44"/>
        <v>,shikkan440_start_date</v>
      </c>
      <c r="Q458" s="76" t="str">
        <f t="shared" si="45"/>
        <v>DATE</v>
      </c>
      <c r="R458" s="76" t="str">
        <f t="shared" si="46"/>
        <v/>
      </c>
      <c r="S458" s="76" t="str">
        <f t="shared" si="47"/>
        <v/>
      </c>
      <c r="T458" s="76" t="str">
        <f t="shared" si="48"/>
        <v>-- C915_疾患開始日</v>
      </c>
      <c r="U458" s="4" t="str">
        <f t="shared" si="35"/>
        <v>, CASE WHEN shikkan_disp_name = 'C915' THEN min_shikkan_start_date ::DATE ELSE NULL END AS shikkan440_start_date</v>
      </c>
      <c r="V458" s="25" t="str">
        <f t="shared" si="36"/>
        <v>, max(shikkan440_start_date)</v>
      </c>
      <c r="AA458" s="4"/>
      <c r="AB458" s="4"/>
      <c r="AC458" s="4"/>
      <c r="AD458" s="4"/>
      <c r="AE458" s="4"/>
      <c r="AF458" s="4"/>
      <c r="AG458" s="4"/>
      <c r="AH458" s="4"/>
      <c r="AI458" s="4"/>
      <c r="AJ458" s="76" t="str">
        <f>IF(E458="○",IF(COUNTA(E$13:E458)=1,"",",")&amp;D458,"")</f>
        <v/>
      </c>
      <c r="AK458" s="4"/>
      <c r="AL458" s="4"/>
      <c r="AM458" s="4"/>
      <c r="AN458" s="4"/>
      <c r="AO458" s="4"/>
      <c r="AP458" s="4"/>
      <c r="AQ458" s="4"/>
      <c r="AR458" s="4"/>
      <c r="AS458" s="76" t="str">
        <f>"COMMENT ON COLUMN "&amp;エンティティ一覧!$O$2&amp;"."&amp;D$8&amp;"."&amp;D458&amp;" IS '"&amp;C458&amp;"';"</f>
        <v>COMMENT ON COLUMN milscm_2023_009.sny_202310_annony_non_annony2.shikkan440_start_date IS 'C915_疾患開始日';</v>
      </c>
    </row>
    <row r="459" spans="1:45" s="25" customFormat="1">
      <c r="A459" s="4" t="s">
        <v>5583</v>
      </c>
      <c r="B459" s="21">
        <f t="shared" si="50"/>
        <v>447</v>
      </c>
      <c r="C459" s="13" t="str">
        <f t="shared" si="49"/>
        <v>C916_疾患開始日</v>
      </c>
      <c r="D459" s="13" t="s">
        <v>6101</v>
      </c>
      <c r="E459" s="8"/>
      <c r="F459" s="7" t="s">
        <v>4348</v>
      </c>
      <c r="G459" s="7" t="s">
        <v>25</v>
      </c>
      <c r="H459" s="58"/>
      <c r="I459" s="23"/>
      <c r="J459" s="24"/>
      <c r="M459" s="4"/>
      <c r="N459" s="76"/>
      <c r="O459" s="76"/>
      <c r="P459" s="76" t="str">
        <f t="shared" si="44"/>
        <v>,shikkan441_start_date</v>
      </c>
      <c r="Q459" s="76" t="str">
        <f t="shared" si="45"/>
        <v>DATE</v>
      </c>
      <c r="R459" s="76" t="str">
        <f t="shared" si="46"/>
        <v/>
      </c>
      <c r="S459" s="76" t="str">
        <f t="shared" si="47"/>
        <v/>
      </c>
      <c r="T459" s="76" t="str">
        <f t="shared" si="48"/>
        <v>-- C916_疾患開始日</v>
      </c>
      <c r="U459" s="4" t="str">
        <f t="shared" si="35"/>
        <v>, CASE WHEN shikkan_disp_name = 'C916' THEN min_shikkan_start_date ::DATE ELSE NULL END AS shikkan441_start_date</v>
      </c>
      <c r="V459" s="25" t="str">
        <f t="shared" si="36"/>
        <v>, max(shikkan441_start_date)</v>
      </c>
      <c r="AA459" s="4"/>
      <c r="AB459" s="4"/>
      <c r="AC459" s="4"/>
      <c r="AD459" s="4"/>
      <c r="AE459" s="4"/>
      <c r="AF459" s="4"/>
      <c r="AG459" s="4"/>
      <c r="AH459" s="4"/>
      <c r="AI459" s="4"/>
      <c r="AJ459" s="76" t="str">
        <f>IF(E459="○",IF(COUNTA(E$13:E459)=1,"",",")&amp;D459,"")</f>
        <v/>
      </c>
      <c r="AK459" s="4"/>
      <c r="AL459" s="4"/>
      <c r="AM459" s="4"/>
      <c r="AN459" s="4"/>
      <c r="AO459" s="4"/>
      <c r="AP459" s="4"/>
      <c r="AQ459" s="4"/>
      <c r="AR459" s="4"/>
      <c r="AS459" s="76" t="str">
        <f>"COMMENT ON COLUMN "&amp;エンティティ一覧!$O$2&amp;"."&amp;D$8&amp;"."&amp;D459&amp;" IS '"&amp;C459&amp;"';"</f>
        <v>COMMENT ON COLUMN milscm_2023_009.sny_202310_annony_non_annony2.shikkan441_start_date IS 'C916_疾患開始日';</v>
      </c>
    </row>
    <row r="460" spans="1:45" s="25" customFormat="1">
      <c r="A460" s="4" t="s">
        <v>5584</v>
      </c>
      <c r="B460" s="21">
        <f t="shared" si="50"/>
        <v>448</v>
      </c>
      <c r="C460" s="13" t="str">
        <f t="shared" si="49"/>
        <v>C917_疾患開始日</v>
      </c>
      <c r="D460" s="13" t="s">
        <v>6102</v>
      </c>
      <c r="E460" s="8"/>
      <c r="F460" s="7" t="s">
        <v>4348</v>
      </c>
      <c r="G460" s="7" t="s">
        <v>25</v>
      </c>
      <c r="H460" s="58"/>
      <c r="I460" s="23"/>
      <c r="J460" s="24"/>
      <c r="M460" s="4"/>
      <c r="N460" s="76"/>
      <c r="O460" s="76"/>
      <c r="P460" s="76" t="str">
        <f t="shared" si="44"/>
        <v>,shikkan442_start_date</v>
      </c>
      <c r="Q460" s="76" t="str">
        <f t="shared" si="45"/>
        <v>DATE</v>
      </c>
      <c r="R460" s="76" t="str">
        <f t="shared" si="46"/>
        <v/>
      </c>
      <c r="S460" s="76" t="str">
        <f t="shared" si="47"/>
        <v/>
      </c>
      <c r="T460" s="76" t="str">
        <f t="shared" si="48"/>
        <v>-- C917_疾患開始日</v>
      </c>
      <c r="U460" s="4" t="str">
        <f t="shared" si="35"/>
        <v>, CASE WHEN shikkan_disp_name = 'C917' THEN min_shikkan_start_date ::DATE ELSE NULL END AS shikkan442_start_date</v>
      </c>
      <c r="V460" s="25" t="str">
        <f t="shared" si="36"/>
        <v>, max(shikkan442_start_date)</v>
      </c>
      <c r="AA460" s="4"/>
      <c r="AB460" s="4"/>
      <c r="AC460" s="4"/>
      <c r="AD460" s="4"/>
      <c r="AE460" s="4"/>
      <c r="AF460" s="4"/>
      <c r="AG460" s="4"/>
      <c r="AH460" s="4"/>
      <c r="AI460" s="4"/>
      <c r="AJ460" s="76" t="str">
        <f>IF(E460="○",IF(COUNTA(E$13:E460)=1,"",",")&amp;D460,"")</f>
        <v/>
      </c>
      <c r="AK460" s="4"/>
      <c r="AL460" s="4"/>
      <c r="AM460" s="4"/>
      <c r="AN460" s="4"/>
      <c r="AO460" s="4"/>
      <c r="AP460" s="4"/>
      <c r="AQ460" s="4"/>
      <c r="AR460" s="4"/>
      <c r="AS460" s="76" t="str">
        <f>"COMMENT ON COLUMN "&amp;エンティティ一覧!$O$2&amp;"."&amp;D$8&amp;"."&amp;D460&amp;" IS '"&amp;C460&amp;"';"</f>
        <v>COMMENT ON COLUMN milscm_2023_009.sny_202310_annony_non_annony2.shikkan442_start_date IS 'C917_疾患開始日';</v>
      </c>
    </row>
    <row r="461" spans="1:45" s="25" customFormat="1">
      <c r="A461" s="4" t="s">
        <v>5585</v>
      </c>
      <c r="B461" s="21">
        <f t="shared" si="50"/>
        <v>449</v>
      </c>
      <c r="C461" s="13" t="str">
        <f t="shared" si="49"/>
        <v>C918_疾患開始日</v>
      </c>
      <c r="D461" s="13" t="s">
        <v>6103</v>
      </c>
      <c r="E461" s="8"/>
      <c r="F461" s="7" t="s">
        <v>4348</v>
      </c>
      <c r="G461" s="7" t="s">
        <v>25</v>
      </c>
      <c r="H461" s="58"/>
      <c r="I461" s="23"/>
      <c r="J461" s="24"/>
      <c r="M461" s="4"/>
      <c r="N461" s="76"/>
      <c r="O461" s="76"/>
      <c r="P461" s="76" t="str">
        <f t="shared" si="44"/>
        <v>,shikkan443_start_date</v>
      </c>
      <c r="Q461" s="76" t="str">
        <f t="shared" si="45"/>
        <v>DATE</v>
      </c>
      <c r="R461" s="76" t="str">
        <f t="shared" si="46"/>
        <v/>
      </c>
      <c r="S461" s="76" t="str">
        <f t="shared" si="47"/>
        <v/>
      </c>
      <c r="T461" s="76" t="str">
        <f t="shared" si="48"/>
        <v>-- C918_疾患開始日</v>
      </c>
      <c r="U461" s="4" t="str">
        <f t="shared" si="35"/>
        <v>, CASE WHEN shikkan_disp_name = 'C918' THEN min_shikkan_start_date ::DATE ELSE NULL END AS shikkan443_start_date</v>
      </c>
      <c r="V461" s="25" t="str">
        <f t="shared" si="36"/>
        <v>, max(shikkan443_start_date)</v>
      </c>
      <c r="AA461" s="4"/>
      <c r="AB461" s="4"/>
      <c r="AC461" s="4"/>
      <c r="AD461" s="4"/>
      <c r="AE461" s="4"/>
      <c r="AF461" s="4"/>
      <c r="AG461" s="4"/>
      <c r="AH461" s="4"/>
      <c r="AI461" s="4"/>
      <c r="AJ461" s="76" t="str">
        <f>IF(E461="○",IF(COUNTA(E$13:E461)=1,"",",")&amp;D461,"")</f>
        <v/>
      </c>
      <c r="AK461" s="4"/>
      <c r="AL461" s="4"/>
      <c r="AM461" s="4"/>
      <c r="AN461" s="4"/>
      <c r="AO461" s="4"/>
      <c r="AP461" s="4"/>
      <c r="AQ461" s="4"/>
      <c r="AR461" s="4"/>
      <c r="AS461" s="76" t="str">
        <f>"COMMENT ON COLUMN "&amp;エンティティ一覧!$O$2&amp;"."&amp;D$8&amp;"."&amp;D461&amp;" IS '"&amp;C461&amp;"';"</f>
        <v>COMMENT ON COLUMN milscm_2023_009.sny_202310_annony_non_annony2.shikkan443_start_date IS 'C918_疾患開始日';</v>
      </c>
    </row>
    <row r="462" spans="1:45" s="25" customFormat="1">
      <c r="A462" s="4" t="s">
        <v>5586</v>
      </c>
      <c r="B462" s="21">
        <f t="shared" si="50"/>
        <v>450</v>
      </c>
      <c r="C462" s="13" t="str">
        <f t="shared" si="49"/>
        <v>C919_疾患開始日</v>
      </c>
      <c r="D462" s="13" t="s">
        <v>6104</v>
      </c>
      <c r="E462" s="8"/>
      <c r="F462" s="7" t="s">
        <v>4348</v>
      </c>
      <c r="G462" s="7" t="s">
        <v>25</v>
      </c>
      <c r="H462" s="58"/>
      <c r="I462" s="23"/>
      <c r="J462" s="24"/>
      <c r="M462" s="4"/>
      <c r="N462" s="76"/>
      <c r="O462" s="76"/>
      <c r="P462" s="76" t="str">
        <f t="shared" si="44"/>
        <v>,shikkan444_start_date</v>
      </c>
      <c r="Q462" s="76" t="str">
        <f t="shared" si="45"/>
        <v>DATE</v>
      </c>
      <c r="R462" s="76" t="str">
        <f t="shared" si="46"/>
        <v/>
      </c>
      <c r="S462" s="76" t="str">
        <f t="shared" si="47"/>
        <v/>
      </c>
      <c r="T462" s="76" t="str">
        <f t="shared" si="48"/>
        <v>-- C919_疾患開始日</v>
      </c>
      <c r="U462" s="4" t="str">
        <f t="shared" si="35"/>
        <v>, CASE WHEN shikkan_disp_name = 'C919' THEN min_shikkan_start_date ::DATE ELSE NULL END AS shikkan444_start_date</v>
      </c>
      <c r="V462" s="25" t="str">
        <f t="shared" si="36"/>
        <v>, max(shikkan444_start_date)</v>
      </c>
      <c r="AA462" s="4"/>
      <c r="AB462" s="4"/>
      <c r="AC462" s="4"/>
      <c r="AD462" s="4"/>
      <c r="AE462" s="4"/>
      <c r="AF462" s="4"/>
      <c r="AG462" s="4"/>
      <c r="AH462" s="4"/>
      <c r="AI462" s="4"/>
      <c r="AJ462" s="76" t="str">
        <f>IF(E462="○",IF(COUNTA(E$13:E462)=1,"",",")&amp;D462,"")</f>
        <v/>
      </c>
      <c r="AK462" s="4"/>
      <c r="AL462" s="4"/>
      <c r="AM462" s="4"/>
      <c r="AN462" s="4"/>
      <c r="AO462" s="4"/>
      <c r="AP462" s="4"/>
      <c r="AQ462" s="4"/>
      <c r="AR462" s="4"/>
      <c r="AS462" s="76" t="str">
        <f>"COMMENT ON COLUMN "&amp;エンティティ一覧!$O$2&amp;"."&amp;D$8&amp;"."&amp;D462&amp;" IS '"&amp;C462&amp;"';"</f>
        <v>COMMENT ON COLUMN milscm_2023_009.sny_202310_annony_non_annony2.shikkan444_start_date IS 'C919_疾患開始日';</v>
      </c>
    </row>
    <row r="463" spans="1:45" s="25" customFormat="1">
      <c r="A463" s="4" t="s">
        <v>5587</v>
      </c>
      <c r="B463" s="21">
        <f t="shared" si="50"/>
        <v>451</v>
      </c>
      <c r="C463" s="13" t="str">
        <f t="shared" si="49"/>
        <v>C920_疾患開始日</v>
      </c>
      <c r="D463" s="13" t="s">
        <v>6105</v>
      </c>
      <c r="E463" s="8"/>
      <c r="F463" s="7" t="s">
        <v>4348</v>
      </c>
      <c r="G463" s="7" t="s">
        <v>25</v>
      </c>
      <c r="H463" s="58"/>
      <c r="I463" s="23"/>
      <c r="J463" s="24"/>
      <c r="M463" s="4"/>
      <c r="N463" s="76"/>
      <c r="O463" s="76"/>
      <c r="P463" s="76" t="str">
        <f t="shared" si="44"/>
        <v>,shikkan445_start_date</v>
      </c>
      <c r="Q463" s="76" t="str">
        <f t="shared" si="45"/>
        <v>DATE</v>
      </c>
      <c r="R463" s="76" t="str">
        <f t="shared" si="46"/>
        <v/>
      </c>
      <c r="S463" s="76" t="str">
        <f t="shared" si="47"/>
        <v/>
      </c>
      <c r="T463" s="76" t="str">
        <f t="shared" si="48"/>
        <v>-- C920_疾患開始日</v>
      </c>
      <c r="U463" s="4" t="str">
        <f t="shared" si="35"/>
        <v>, CASE WHEN shikkan_disp_name = 'C920' THEN min_shikkan_start_date ::DATE ELSE NULL END AS shikkan445_start_date</v>
      </c>
      <c r="V463" s="25" t="str">
        <f t="shared" si="36"/>
        <v>, max(shikkan445_start_date)</v>
      </c>
      <c r="AA463" s="4"/>
      <c r="AB463" s="4"/>
      <c r="AC463" s="4"/>
      <c r="AD463" s="4"/>
      <c r="AE463" s="4"/>
      <c r="AF463" s="4"/>
      <c r="AG463" s="4"/>
      <c r="AH463" s="4"/>
      <c r="AI463" s="4"/>
      <c r="AJ463" s="76" t="str">
        <f>IF(E463="○",IF(COUNTA(E$13:E463)=1,"",",")&amp;D463,"")</f>
        <v/>
      </c>
      <c r="AK463" s="4"/>
      <c r="AL463" s="4"/>
      <c r="AM463" s="4"/>
      <c r="AN463" s="4"/>
      <c r="AO463" s="4"/>
      <c r="AP463" s="4"/>
      <c r="AQ463" s="4"/>
      <c r="AR463" s="4"/>
      <c r="AS463" s="76" t="str">
        <f>"COMMENT ON COLUMN "&amp;エンティティ一覧!$O$2&amp;"."&amp;D$8&amp;"."&amp;D463&amp;" IS '"&amp;C463&amp;"';"</f>
        <v>COMMENT ON COLUMN milscm_2023_009.sny_202310_annony_non_annony2.shikkan445_start_date IS 'C920_疾患開始日';</v>
      </c>
    </row>
    <row r="464" spans="1:45" s="25" customFormat="1">
      <c r="A464" s="4" t="s">
        <v>5588</v>
      </c>
      <c r="B464" s="21">
        <f t="shared" si="50"/>
        <v>452</v>
      </c>
      <c r="C464" s="13" t="str">
        <f t="shared" si="49"/>
        <v>C921_疾患開始日</v>
      </c>
      <c r="D464" s="13" t="s">
        <v>6106</v>
      </c>
      <c r="E464" s="8"/>
      <c r="F464" s="7" t="s">
        <v>4348</v>
      </c>
      <c r="G464" s="7" t="s">
        <v>25</v>
      </c>
      <c r="H464" s="58"/>
      <c r="I464" s="23"/>
      <c r="J464" s="24"/>
      <c r="M464" s="4"/>
      <c r="N464" s="76"/>
      <c r="O464" s="76"/>
      <c r="P464" s="76" t="str">
        <f t="shared" si="44"/>
        <v>,shikkan446_start_date</v>
      </c>
      <c r="Q464" s="76" t="str">
        <f t="shared" si="45"/>
        <v>DATE</v>
      </c>
      <c r="R464" s="76" t="str">
        <f t="shared" si="46"/>
        <v/>
      </c>
      <c r="S464" s="76" t="str">
        <f t="shared" si="47"/>
        <v/>
      </c>
      <c r="T464" s="76" t="str">
        <f t="shared" si="48"/>
        <v>-- C921_疾患開始日</v>
      </c>
      <c r="U464" s="4" t="str">
        <f t="shared" si="35"/>
        <v>, CASE WHEN shikkan_disp_name = 'C921' THEN min_shikkan_start_date ::DATE ELSE NULL END AS shikkan446_start_date</v>
      </c>
      <c r="V464" s="25" t="str">
        <f t="shared" si="36"/>
        <v>, max(shikkan446_start_date)</v>
      </c>
      <c r="AA464" s="4"/>
      <c r="AB464" s="4"/>
      <c r="AC464" s="4"/>
      <c r="AD464" s="4"/>
      <c r="AE464" s="4"/>
      <c r="AF464" s="4"/>
      <c r="AG464" s="4"/>
      <c r="AH464" s="4"/>
      <c r="AI464" s="4"/>
      <c r="AJ464" s="76" t="str">
        <f>IF(E464="○",IF(COUNTA(E$13:E464)=1,"",",")&amp;D464,"")</f>
        <v/>
      </c>
      <c r="AK464" s="4"/>
      <c r="AL464" s="4"/>
      <c r="AM464" s="4"/>
      <c r="AN464" s="4"/>
      <c r="AO464" s="4"/>
      <c r="AP464" s="4"/>
      <c r="AQ464" s="4"/>
      <c r="AR464" s="4"/>
      <c r="AS464" s="76" t="str">
        <f>"COMMENT ON COLUMN "&amp;エンティティ一覧!$O$2&amp;"."&amp;D$8&amp;"."&amp;D464&amp;" IS '"&amp;C464&amp;"';"</f>
        <v>COMMENT ON COLUMN milscm_2023_009.sny_202310_annony_non_annony2.shikkan446_start_date IS 'C921_疾患開始日';</v>
      </c>
    </row>
    <row r="465" spans="1:45" s="25" customFormat="1">
      <c r="A465" s="4" t="s">
        <v>5589</v>
      </c>
      <c r="B465" s="21">
        <f t="shared" si="50"/>
        <v>453</v>
      </c>
      <c r="C465" s="13" t="str">
        <f t="shared" si="49"/>
        <v>C922_疾患開始日</v>
      </c>
      <c r="D465" s="13" t="s">
        <v>6107</v>
      </c>
      <c r="E465" s="8"/>
      <c r="F465" s="7" t="s">
        <v>4348</v>
      </c>
      <c r="G465" s="7" t="s">
        <v>25</v>
      </c>
      <c r="H465" s="58"/>
      <c r="I465" s="23"/>
      <c r="J465" s="24"/>
      <c r="M465" s="4"/>
      <c r="N465" s="76"/>
      <c r="O465" s="76"/>
      <c r="P465" s="76" t="str">
        <f t="shared" si="44"/>
        <v>,shikkan447_start_date</v>
      </c>
      <c r="Q465" s="76" t="str">
        <f t="shared" si="45"/>
        <v>DATE</v>
      </c>
      <c r="R465" s="76" t="str">
        <f t="shared" si="46"/>
        <v/>
      </c>
      <c r="S465" s="76" t="str">
        <f t="shared" si="47"/>
        <v/>
      </c>
      <c r="T465" s="76" t="str">
        <f t="shared" si="48"/>
        <v>-- C922_疾患開始日</v>
      </c>
      <c r="U465" s="4" t="str">
        <f t="shared" si="35"/>
        <v>, CASE WHEN shikkan_disp_name = 'C922' THEN min_shikkan_start_date ::DATE ELSE NULL END AS shikkan447_start_date</v>
      </c>
      <c r="V465" s="25" t="str">
        <f t="shared" si="36"/>
        <v>, max(shikkan447_start_date)</v>
      </c>
      <c r="AA465" s="4"/>
      <c r="AB465" s="4"/>
      <c r="AC465" s="4"/>
      <c r="AD465" s="4"/>
      <c r="AE465" s="4"/>
      <c r="AF465" s="4"/>
      <c r="AG465" s="4"/>
      <c r="AH465" s="4"/>
      <c r="AI465" s="4"/>
      <c r="AJ465" s="76" t="str">
        <f>IF(E465="○",IF(COUNTA(E$13:E465)=1,"",",")&amp;D465,"")</f>
        <v/>
      </c>
      <c r="AK465" s="4"/>
      <c r="AL465" s="4"/>
      <c r="AM465" s="4"/>
      <c r="AN465" s="4"/>
      <c r="AO465" s="4"/>
      <c r="AP465" s="4"/>
      <c r="AQ465" s="4"/>
      <c r="AR465" s="4"/>
      <c r="AS465" s="76" t="str">
        <f>"COMMENT ON COLUMN "&amp;エンティティ一覧!$O$2&amp;"."&amp;D$8&amp;"."&amp;D465&amp;" IS '"&amp;C465&amp;"';"</f>
        <v>COMMENT ON COLUMN milscm_2023_009.sny_202310_annony_non_annony2.shikkan447_start_date IS 'C922_疾患開始日';</v>
      </c>
    </row>
    <row r="466" spans="1:45" s="25" customFormat="1">
      <c r="A466" s="4" t="s">
        <v>5590</v>
      </c>
      <c r="B466" s="21">
        <f t="shared" si="50"/>
        <v>454</v>
      </c>
      <c r="C466" s="13" t="str">
        <f t="shared" si="49"/>
        <v>C923_疾患開始日</v>
      </c>
      <c r="D466" s="13" t="s">
        <v>6108</v>
      </c>
      <c r="E466" s="8"/>
      <c r="F466" s="7" t="s">
        <v>4348</v>
      </c>
      <c r="G466" s="7" t="s">
        <v>99</v>
      </c>
      <c r="H466" s="58"/>
      <c r="I466" s="23"/>
      <c r="J466" s="24"/>
      <c r="M466" s="4"/>
      <c r="N466" s="76"/>
      <c r="O466" s="76"/>
      <c r="P466" s="76" t="str">
        <f t="shared" ref="P466:P529" si="51">IF(B466&lt;&gt;1,","&amp;D466,D466)</f>
        <v>,shikkan448_start_date</v>
      </c>
      <c r="Q466" s="76" t="str">
        <f t="shared" ref="Q466:Q529" si="52">UPPER(G466)</f>
        <v>DATE</v>
      </c>
      <c r="R466" s="76" t="str">
        <f t="shared" ref="R466:R529" si="53">IF(H466&lt;&gt;"","default "&amp;IF(G466="text","'"&amp;H466&amp;"'",H466),"")</f>
        <v/>
      </c>
      <c r="S466" s="76" t="str">
        <f t="shared" ref="S466:S529" si="54">IF(I466="○","NOT NULL","")</f>
        <v/>
      </c>
      <c r="T466" s="76" t="str">
        <f t="shared" ref="T466:T529" si="55">"-- "&amp;C466</f>
        <v>-- C923_疾患開始日</v>
      </c>
      <c r="U466" s="4" t="str">
        <f t="shared" si="35"/>
        <v>, CASE WHEN shikkan_disp_name = 'C923' THEN min_shikkan_start_date ::DATE ELSE NULL END AS shikkan448_start_date</v>
      </c>
      <c r="V466" s="25" t="str">
        <f t="shared" si="36"/>
        <v>, max(shikkan448_start_date)</v>
      </c>
      <c r="AA466" s="4"/>
      <c r="AB466" s="4"/>
      <c r="AC466" s="4"/>
      <c r="AD466" s="4"/>
      <c r="AE466" s="4"/>
      <c r="AF466" s="4"/>
      <c r="AG466" s="4"/>
      <c r="AH466" s="4"/>
      <c r="AI466" s="4"/>
      <c r="AJ466" s="76" t="str">
        <f>IF(E466="○",IF(COUNTA(E$13:E466)=1,"",",")&amp;D466,"")</f>
        <v/>
      </c>
      <c r="AK466" s="4"/>
      <c r="AL466" s="4"/>
      <c r="AM466" s="4"/>
      <c r="AN466" s="4"/>
      <c r="AO466" s="4"/>
      <c r="AP466" s="4"/>
      <c r="AQ466" s="4"/>
      <c r="AR466" s="4"/>
      <c r="AS466" s="76" t="str">
        <f>"COMMENT ON COLUMN "&amp;エンティティ一覧!$O$2&amp;"."&amp;D$8&amp;"."&amp;D466&amp;" IS '"&amp;C466&amp;"';"</f>
        <v>COMMENT ON COLUMN milscm_2023_009.sny_202310_annony_non_annony2.shikkan448_start_date IS 'C923_疾患開始日';</v>
      </c>
    </row>
    <row r="467" spans="1:45" s="25" customFormat="1">
      <c r="A467" s="4" t="s">
        <v>5591</v>
      </c>
      <c r="B467" s="21">
        <f t="shared" si="50"/>
        <v>455</v>
      </c>
      <c r="C467" s="13" t="str">
        <f t="shared" si="49"/>
        <v>C924_疾患開始日</v>
      </c>
      <c r="D467" s="13" t="s">
        <v>6109</v>
      </c>
      <c r="E467" s="8"/>
      <c r="F467" s="7" t="s">
        <v>4348</v>
      </c>
      <c r="G467" s="7" t="s">
        <v>25</v>
      </c>
      <c r="H467" s="58"/>
      <c r="I467" s="23"/>
      <c r="J467" s="24"/>
      <c r="M467" s="4"/>
      <c r="N467" s="76"/>
      <c r="O467" s="76"/>
      <c r="P467" s="76" t="str">
        <f t="shared" si="51"/>
        <v>,shikkan449_start_date</v>
      </c>
      <c r="Q467" s="76" t="str">
        <f t="shared" si="52"/>
        <v>DATE</v>
      </c>
      <c r="R467" s="76" t="str">
        <f t="shared" si="53"/>
        <v/>
      </c>
      <c r="S467" s="76" t="str">
        <f t="shared" si="54"/>
        <v/>
      </c>
      <c r="T467" s="76" t="str">
        <f t="shared" si="55"/>
        <v>-- C924_疾患開始日</v>
      </c>
      <c r="U467" s="4" t="str">
        <f t="shared" si="35"/>
        <v>, CASE WHEN shikkan_disp_name = 'C924' THEN min_shikkan_start_date ::DATE ELSE NULL END AS shikkan449_start_date</v>
      </c>
      <c r="V467" s="25" t="str">
        <f t="shared" si="36"/>
        <v>, max(shikkan449_start_date)</v>
      </c>
      <c r="AA467" s="4"/>
      <c r="AB467" s="4"/>
      <c r="AC467" s="4"/>
      <c r="AD467" s="4"/>
      <c r="AE467" s="4"/>
      <c r="AF467" s="4"/>
      <c r="AG467" s="4"/>
      <c r="AH467" s="4"/>
      <c r="AI467" s="4"/>
      <c r="AJ467" s="76" t="str">
        <f>IF(E467="○",IF(COUNTA(E$13:E467)=1,"",",")&amp;D467,"")</f>
        <v/>
      </c>
      <c r="AK467" s="4"/>
      <c r="AL467" s="4"/>
      <c r="AM467" s="4"/>
      <c r="AN467" s="4"/>
      <c r="AO467" s="4"/>
      <c r="AP467" s="4"/>
      <c r="AQ467" s="4"/>
      <c r="AR467" s="4"/>
      <c r="AS467" s="76" t="str">
        <f>"COMMENT ON COLUMN "&amp;エンティティ一覧!$O$2&amp;"."&amp;D$8&amp;"."&amp;D467&amp;" IS '"&amp;C467&amp;"';"</f>
        <v>COMMENT ON COLUMN milscm_2023_009.sny_202310_annony_non_annony2.shikkan449_start_date IS 'C924_疾患開始日';</v>
      </c>
    </row>
    <row r="468" spans="1:45" s="25" customFormat="1">
      <c r="A468" s="4" t="s">
        <v>5592</v>
      </c>
      <c r="B468" s="21">
        <f t="shared" si="50"/>
        <v>456</v>
      </c>
      <c r="C468" s="13" t="str">
        <f t="shared" ref="C468:C531" si="56">A468&amp;"_疾患開始日"</f>
        <v>C925_疾患開始日</v>
      </c>
      <c r="D468" s="13" t="s">
        <v>6110</v>
      </c>
      <c r="E468" s="8"/>
      <c r="F468" s="7" t="s">
        <v>4348</v>
      </c>
      <c r="G468" s="7" t="s">
        <v>25</v>
      </c>
      <c r="H468" s="58"/>
      <c r="I468" s="23"/>
      <c r="J468" s="24"/>
      <c r="M468" s="4"/>
      <c r="N468" s="76"/>
      <c r="O468" s="76"/>
      <c r="P468" s="76" t="str">
        <f t="shared" si="51"/>
        <v>,shikkan450_start_date</v>
      </c>
      <c r="Q468" s="76" t="str">
        <f t="shared" si="52"/>
        <v>DATE</v>
      </c>
      <c r="R468" s="76" t="str">
        <f t="shared" si="53"/>
        <v/>
      </c>
      <c r="S468" s="76" t="str">
        <f t="shared" si="54"/>
        <v/>
      </c>
      <c r="T468" s="76" t="str">
        <f t="shared" si="55"/>
        <v>-- C925_疾患開始日</v>
      </c>
      <c r="U468" s="4" t="str">
        <f t="shared" si="35"/>
        <v>, CASE WHEN shikkan_disp_name = 'C925' THEN min_shikkan_start_date ::DATE ELSE NULL END AS shikkan450_start_date</v>
      </c>
      <c r="V468" s="25" t="str">
        <f t="shared" si="36"/>
        <v>, max(shikkan450_start_date)</v>
      </c>
      <c r="AA468" s="4"/>
      <c r="AB468" s="4"/>
      <c r="AC468" s="4"/>
      <c r="AD468" s="4"/>
      <c r="AE468" s="4"/>
      <c r="AF468" s="4"/>
      <c r="AG468" s="4"/>
      <c r="AH468" s="4"/>
      <c r="AI468" s="4"/>
      <c r="AJ468" s="76" t="str">
        <f>IF(E468="○",IF(COUNTA(E$13:E468)=1,"",",")&amp;D468,"")</f>
        <v/>
      </c>
      <c r="AK468" s="4"/>
      <c r="AL468" s="4"/>
      <c r="AM468" s="4"/>
      <c r="AN468" s="4"/>
      <c r="AO468" s="4"/>
      <c r="AP468" s="4"/>
      <c r="AQ468" s="4"/>
      <c r="AR468" s="4"/>
      <c r="AS468" s="76" t="str">
        <f>"COMMENT ON COLUMN "&amp;エンティティ一覧!$O$2&amp;"."&amp;D$8&amp;"."&amp;D468&amp;" IS '"&amp;C468&amp;"';"</f>
        <v>COMMENT ON COLUMN milscm_2023_009.sny_202310_annony_non_annony2.shikkan450_start_date IS 'C925_疾患開始日';</v>
      </c>
    </row>
    <row r="469" spans="1:45" s="25" customFormat="1">
      <c r="A469" s="4" t="s">
        <v>5593</v>
      </c>
      <c r="B469" s="21">
        <f t="shared" ref="B469:B532" si="57">ROW()-12</f>
        <v>457</v>
      </c>
      <c r="C469" s="13" t="str">
        <f t="shared" si="56"/>
        <v>C926_疾患開始日</v>
      </c>
      <c r="D469" s="13" t="s">
        <v>6111</v>
      </c>
      <c r="E469" s="8"/>
      <c r="F469" s="7" t="s">
        <v>4348</v>
      </c>
      <c r="G469" s="7" t="s">
        <v>25</v>
      </c>
      <c r="H469" s="58"/>
      <c r="I469" s="23"/>
      <c r="J469" s="24"/>
      <c r="M469" s="4"/>
      <c r="N469" s="76"/>
      <c r="O469" s="76"/>
      <c r="P469" s="76" t="str">
        <f t="shared" si="51"/>
        <v>,shikkan451_start_date</v>
      </c>
      <c r="Q469" s="76" t="str">
        <f t="shared" si="52"/>
        <v>DATE</v>
      </c>
      <c r="R469" s="76" t="str">
        <f t="shared" si="53"/>
        <v/>
      </c>
      <c r="S469" s="76" t="str">
        <f t="shared" si="54"/>
        <v/>
      </c>
      <c r="T469" s="76" t="str">
        <f t="shared" si="55"/>
        <v>-- C926_疾患開始日</v>
      </c>
      <c r="U469" s="4" t="str">
        <f t="shared" si="35"/>
        <v>, CASE WHEN shikkan_disp_name = 'C926' THEN min_shikkan_start_date ::DATE ELSE NULL END AS shikkan451_start_date</v>
      </c>
      <c r="V469" s="25" t="str">
        <f t="shared" si="36"/>
        <v>, max(shikkan451_start_date)</v>
      </c>
      <c r="AA469" s="4"/>
      <c r="AB469" s="4"/>
      <c r="AC469" s="4"/>
      <c r="AD469" s="4"/>
      <c r="AE469" s="4"/>
      <c r="AF469" s="4"/>
      <c r="AG469" s="4"/>
      <c r="AH469" s="4"/>
      <c r="AI469" s="4"/>
      <c r="AJ469" s="76" t="str">
        <f>IF(E469="○",IF(COUNTA(E$13:E469)=1,"",",")&amp;D469,"")</f>
        <v/>
      </c>
      <c r="AK469" s="4"/>
      <c r="AL469" s="4"/>
      <c r="AM469" s="4"/>
      <c r="AN469" s="4"/>
      <c r="AO469" s="4"/>
      <c r="AP469" s="4"/>
      <c r="AQ469" s="4"/>
      <c r="AR469" s="4"/>
      <c r="AS469" s="76" t="str">
        <f>"COMMENT ON COLUMN "&amp;エンティティ一覧!$O$2&amp;"."&amp;D$8&amp;"."&amp;D469&amp;" IS '"&amp;C469&amp;"';"</f>
        <v>COMMENT ON COLUMN milscm_2023_009.sny_202310_annony_non_annony2.shikkan451_start_date IS 'C926_疾患開始日';</v>
      </c>
    </row>
    <row r="470" spans="1:45" s="25" customFormat="1">
      <c r="A470" s="4" t="s">
        <v>5594</v>
      </c>
      <c r="B470" s="21">
        <f t="shared" si="57"/>
        <v>458</v>
      </c>
      <c r="C470" s="13" t="str">
        <f t="shared" si="56"/>
        <v>C927_疾患開始日</v>
      </c>
      <c r="D470" s="13" t="s">
        <v>6112</v>
      </c>
      <c r="E470" s="8"/>
      <c r="F470" s="7" t="s">
        <v>4348</v>
      </c>
      <c r="G470" s="7" t="s">
        <v>25</v>
      </c>
      <c r="H470" s="58"/>
      <c r="I470" s="23"/>
      <c r="J470" s="24"/>
      <c r="M470" s="4"/>
      <c r="N470" s="76"/>
      <c r="O470" s="76"/>
      <c r="P470" s="76" t="str">
        <f t="shared" si="51"/>
        <v>,shikkan452_start_date</v>
      </c>
      <c r="Q470" s="76" t="str">
        <f t="shared" si="52"/>
        <v>DATE</v>
      </c>
      <c r="R470" s="76" t="str">
        <f t="shared" si="53"/>
        <v/>
      </c>
      <c r="S470" s="76" t="str">
        <f t="shared" si="54"/>
        <v/>
      </c>
      <c r="T470" s="76" t="str">
        <f t="shared" si="55"/>
        <v>-- C927_疾患開始日</v>
      </c>
      <c r="U470" s="4" t="str">
        <f t="shared" si="35"/>
        <v>, CASE WHEN shikkan_disp_name = 'C927' THEN min_shikkan_start_date ::DATE ELSE NULL END AS shikkan452_start_date</v>
      </c>
      <c r="V470" s="25" t="str">
        <f t="shared" si="36"/>
        <v>, max(shikkan452_start_date)</v>
      </c>
      <c r="AA470" s="4"/>
      <c r="AB470" s="4"/>
      <c r="AC470" s="4"/>
      <c r="AD470" s="4"/>
      <c r="AE470" s="4"/>
      <c r="AF470" s="4"/>
      <c r="AG470" s="4"/>
      <c r="AH470" s="4"/>
      <c r="AI470" s="4"/>
      <c r="AJ470" s="76" t="str">
        <f>IF(E470="○",IF(COUNTA(E$13:E470)=1,"",",")&amp;D470,"")</f>
        <v/>
      </c>
      <c r="AK470" s="4"/>
      <c r="AL470" s="4"/>
      <c r="AM470" s="4"/>
      <c r="AN470" s="4"/>
      <c r="AO470" s="4"/>
      <c r="AP470" s="4"/>
      <c r="AQ470" s="4"/>
      <c r="AR470" s="4"/>
      <c r="AS470" s="76" t="str">
        <f>"COMMENT ON COLUMN "&amp;エンティティ一覧!$O$2&amp;"."&amp;D$8&amp;"."&amp;D470&amp;" IS '"&amp;C470&amp;"';"</f>
        <v>COMMENT ON COLUMN milscm_2023_009.sny_202310_annony_non_annony2.shikkan452_start_date IS 'C927_疾患開始日';</v>
      </c>
    </row>
    <row r="471" spans="1:45" s="25" customFormat="1">
      <c r="A471" s="4" t="s">
        <v>5595</v>
      </c>
      <c r="B471" s="21">
        <f t="shared" si="57"/>
        <v>459</v>
      </c>
      <c r="C471" s="13" t="str">
        <f t="shared" si="56"/>
        <v>C928_疾患開始日</v>
      </c>
      <c r="D471" s="13" t="s">
        <v>6113</v>
      </c>
      <c r="E471" s="8"/>
      <c r="F471" s="7" t="s">
        <v>4348</v>
      </c>
      <c r="G471" s="7" t="s">
        <v>25</v>
      </c>
      <c r="H471" s="58"/>
      <c r="I471" s="23"/>
      <c r="J471" s="24"/>
      <c r="M471" s="4"/>
      <c r="N471" s="76"/>
      <c r="O471" s="76"/>
      <c r="P471" s="76" t="str">
        <f t="shared" si="51"/>
        <v>,shikkan453_start_date</v>
      </c>
      <c r="Q471" s="76" t="str">
        <f t="shared" si="52"/>
        <v>DATE</v>
      </c>
      <c r="R471" s="76" t="str">
        <f t="shared" si="53"/>
        <v/>
      </c>
      <c r="S471" s="76" t="str">
        <f t="shared" si="54"/>
        <v/>
      </c>
      <c r="T471" s="76" t="str">
        <f t="shared" si="55"/>
        <v>-- C928_疾患開始日</v>
      </c>
      <c r="U471" s="4" t="str">
        <f t="shared" si="35"/>
        <v>, CASE WHEN shikkan_disp_name = 'C928' THEN min_shikkan_start_date ::DATE ELSE NULL END AS shikkan453_start_date</v>
      </c>
      <c r="V471" s="25" t="str">
        <f t="shared" si="36"/>
        <v>, max(shikkan453_start_date)</v>
      </c>
      <c r="AA471" s="4"/>
      <c r="AB471" s="4"/>
      <c r="AC471" s="4"/>
      <c r="AD471" s="4"/>
      <c r="AE471" s="4"/>
      <c r="AF471" s="4"/>
      <c r="AG471" s="4"/>
      <c r="AH471" s="4"/>
      <c r="AI471" s="4"/>
      <c r="AJ471" s="76" t="str">
        <f>IF(E471="○",IF(COUNTA(E$13:E471)=1,"",",")&amp;D471,"")</f>
        <v/>
      </c>
      <c r="AK471" s="4"/>
      <c r="AL471" s="4"/>
      <c r="AM471" s="4"/>
      <c r="AN471" s="4"/>
      <c r="AO471" s="4"/>
      <c r="AP471" s="4"/>
      <c r="AQ471" s="4"/>
      <c r="AR471" s="4"/>
      <c r="AS471" s="76" t="str">
        <f>"COMMENT ON COLUMN "&amp;エンティティ一覧!$O$2&amp;"."&amp;D$8&amp;"."&amp;D471&amp;" IS '"&amp;C471&amp;"';"</f>
        <v>COMMENT ON COLUMN milscm_2023_009.sny_202310_annony_non_annony2.shikkan453_start_date IS 'C928_疾患開始日';</v>
      </c>
    </row>
    <row r="472" spans="1:45" s="25" customFormat="1">
      <c r="A472" s="4" t="s">
        <v>5596</v>
      </c>
      <c r="B472" s="21">
        <f t="shared" si="57"/>
        <v>460</v>
      </c>
      <c r="C472" s="13" t="str">
        <f t="shared" si="56"/>
        <v>C929_疾患開始日</v>
      </c>
      <c r="D472" s="13" t="s">
        <v>6114</v>
      </c>
      <c r="E472" s="8"/>
      <c r="F472" s="7" t="s">
        <v>4348</v>
      </c>
      <c r="G472" s="7" t="s">
        <v>25</v>
      </c>
      <c r="H472" s="58"/>
      <c r="I472" s="23"/>
      <c r="J472" s="24"/>
      <c r="M472" s="4"/>
      <c r="N472" s="76"/>
      <c r="O472" s="76"/>
      <c r="P472" s="76" t="str">
        <f t="shared" si="51"/>
        <v>,shikkan454_start_date</v>
      </c>
      <c r="Q472" s="76" t="str">
        <f t="shared" si="52"/>
        <v>DATE</v>
      </c>
      <c r="R472" s="76" t="str">
        <f t="shared" si="53"/>
        <v/>
      </c>
      <c r="S472" s="76" t="str">
        <f t="shared" si="54"/>
        <v/>
      </c>
      <c r="T472" s="76" t="str">
        <f t="shared" si="55"/>
        <v>-- C929_疾患開始日</v>
      </c>
      <c r="U472" s="4" t="str">
        <f t="shared" si="35"/>
        <v>, CASE WHEN shikkan_disp_name = 'C929' THEN min_shikkan_start_date ::DATE ELSE NULL END AS shikkan454_start_date</v>
      </c>
      <c r="V472" s="25" t="str">
        <f t="shared" si="36"/>
        <v>, max(shikkan454_start_date)</v>
      </c>
      <c r="AA472" s="4"/>
      <c r="AB472" s="4"/>
      <c r="AC472" s="4"/>
      <c r="AD472" s="4"/>
      <c r="AE472" s="4"/>
      <c r="AF472" s="4"/>
      <c r="AG472" s="4"/>
      <c r="AH472" s="4"/>
      <c r="AI472" s="4"/>
      <c r="AJ472" s="76" t="str">
        <f>IF(E472="○",IF(COUNTA(E$13:E472)=1,"",",")&amp;D472,"")</f>
        <v/>
      </c>
      <c r="AK472" s="4"/>
      <c r="AL472" s="4"/>
      <c r="AM472" s="4"/>
      <c r="AN472" s="4"/>
      <c r="AO472" s="4"/>
      <c r="AP472" s="4"/>
      <c r="AQ472" s="4"/>
      <c r="AR472" s="4"/>
      <c r="AS472" s="76" t="str">
        <f>"COMMENT ON COLUMN "&amp;エンティティ一覧!$O$2&amp;"."&amp;D$8&amp;"."&amp;D472&amp;" IS '"&amp;C472&amp;"';"</f>
        <v>COMMENT ON COLUMN milscm_2023_009.sny_202310_annony_non_annony2.shikkan454_start_date IS 'C929_疾患開始日';</v>
      </c>
    </row>
    <row r="473" spans="1:45" s="25" customFormat="1">
      <c r="A473" s="4" t="s">
        <v>5597</v>
      </c>
      <c r="B473" s="21">
        <f t="shared" si="57"/>
        <v>461</v>
      </c>
      <c r="C473" s="13" t="str">
        <f t="shared" si="56"/>
        <v>C930_疾患開始日</v>
      </c>
      <c r="D473" s="13" t="s">
        <v>6115</v>
      </c>
      <c r="E473" s="8"/>
      <c r="F473" s="7" t="s">
        <v>4348</v>
      </c>
      <c r="G473" s="7" t="s">
        <v>25</v>
      </c>
      <c r="H473" s="58"/>
      <c r="I473" s="23"/>
      <c r="J473" s="24"/>
      <c r="M473" s="4"/>
      <c r="N473" s="76"/>
      <c r="O473" s="76"/>
      <c r="P473" s="76" t="str">
        <f t="shared" si="51"/>
        <v>,shikkan455_start_date</v>
      </c>
      <c r="Q473" s="76" t="str">
        <f t="shared" si="52"/>
        <v>DATE</v>
      </c>
      <c r="R473" s="76" t="str">
        <f t="shared" si="53"/>
        <v/>
      </c>
      <c r="S473" s="76" t="str">
        <f t="shared" si="54"/>
        <v/>
      </c>
      <c r="T473" s="76" t="str">
        <f t="shared" si="55"/>
        <v>-- C930_疾患開始日</v>
      </c>
      <c r="U473" s="4" t="str">
        <f t="shared" si="35"/>
        <v>, CASE WHEN shikkan_disp_name = 'C930' THEN min_shikkan_start_date ::DATE ELSE NULL END AS shikkan455_start_date</v>
      </c>
      <c r="V473" s="25" t="str">
        <f t="shared" si="36"/>
        <v>, max(shikkan455_start_date)</v>
      </c>
      <c r="AA473" s="4"/>
      <c r="AB473" s="4"/>
      <c r="AC473" s="4"/>
      <c r="AD473" s="4"/>
      <c r="AE473" s="4"/>
      <c r="AF473" s="4"/>
      <c r="AG473" s="4"/>
      <c r="AH473" s="4"/>
      <c r="AI473" s="4"/>
      <c r="AJ473" s="76" t="str">
        <f>IF(E473="○",IF(COUNTA(E$13:E473)=1,"",",")&amp;D473,"")</f>
        <v/>
      </c>
      <c r="AK473" s="4"/>
      <c r="AL473" s="4"/>
      <c r="AM473" s="4"/>
      <c r="AN473" s="4"/>
      <c r="AO473" s="4"/>
      <c r="AP473" s="4"/>
      <c r="AQ473" s="4"/>
      <c r="AR473" s="4"/>
      <c r="AS473" s="76" t="str">
        <f>"COMMENT ON COLUMN "&amp;エンティティ一覧!$O$2&amp;"."&amp;D$8&amp;"."&amp;D473&amp;" IS '"&amp;C473&amp;"';"</f>
        <v>COMMENT ON COLUMN milscm_2023_009.sny_202310_annony_non_annony2.shikkan455_start_date IS 'C930_疾患開始日';</v>
      </c>
    </row>
    <row r="474" spans="1:45" s="25" customFormat="1">
      <c r="A474" s="4" t="s">
        <v>5598</v>
      </c>
      <c r="B474" s="21">
        <f t="shared" si="57"/>
        <v>462</v>
      </c>
      <c r="C474" s="13" t="str">
        <f t="shared" si="56"/>
        <v>C931_疾患開始日</v>
      </c>
      <c r="D474" s="13" t="s">
        <v>6116</v>
      </c>
      <c r="E474" s="8"/>
      <c r="F474" s="7" t="s">
        <v>4348</v>
      </c>
      <c r="G474" s="7" t="s">
        <v>25</v>
      </c>
      <c r="H474" s="58"/>
      <c r="I474" s="23"/>
      <c r="J474" s="24"/>
      <c r="M474" s="4"/>
      <c r="N474" s="76"/>
      <c r="O474" s="76"/>
      <c r="P474" s="76" t="str">
        <f t="shared" si="51"/>
        <v>,shikkan456_start_date</v>
      </c>
      <c r="Q474" s="76" t="str">
        <f t="shared" si="52"/>
        <v>DATE</v>
      </c>
      <c r="R474" s="76" t="str">
        <f t="shared" si="53"/>
        <v/>
      </c>
      <c r="S474" s="76" t="str">
        <f t="shared" si="54"/>
        <v/>
      </c>
      <c r="T474" s="76" t="str">
        <f t="shared" si="55"/>
        <v>-- C931_疾患開始日</v>
      </c>
      <c r="U474" s="4" t="str">
        <f t="shared" si="35"/>
        <v>, CASE WHEN shikkan_disp_name = 'C931' THEN min_shikkan_start_date ::DATE ELSE NULL END AS shikkan456_start_date</v>
      </c>
      <c r="V474" s="25" t="str">
        <f t="shared" si="36"/>
        <v>, max(shikkan456_start_date)</v>
      </c>
      <c r="AA474" s="4"/>
      <c r="AB474" s="4"/>
      <c r="AC474" s="4"/>
      <c r="AD474" s="4"/>
      <c r="AE474" s="4"/>
      <c r="AF474" s="4"/>
      <c r="AG474" s="4"/>
      <c r="AH474" s="4"/>
      <c r="AI474" s="4"/>
      <c r="AJ474" s="76" t="str">
        <f>IF(E474="○",IF(COUNTA(E$13:E474)=1,"",",")&amp;D474,"")</f>
        <v/>
      </c>
      <c r="AK474" s="4"/>
      <c r="AL474" s="4"/>
      <c r="AM474" s="4"/>
      <c r="AN474" s="4"/>
      <c r="AO474" s="4"/>
      <c r="AP474" s="4"/>
      <c r="AQ474" s="4"/>
      <c r="AR474" s="4"/>
      <c r="AS474" s="76" t="str">
        <f>"COMMENT ON COLUMN "&amp;エンティティ一覧!$O$2&amp;"."&amp;D$8&amp;"."&amp;D474&amp;" IS '"&amp;C474&amp;"';"</f>
        <v>COMMENT ON COLUMN milscm_2023_009.sny_202310_annony_non_annony2.shikkan456_start_date IS 'C931_疾患開始日';</v>
      </c>
    </row>
    <row r="475" spans="1:45" s="25" customFormat="1">
      <c r="A475" s="4" t="s">
        <v>5599</v>
      </c>
      <c r="B475" s="21">
        <f t="shared" si="57"/>
        <v>463</v>
      </c>
      <c r="C475" s="13" t="str">
        <f t="shared" si="56"/>
        <v>C933_疾患開始日</v>
      </c>
      <c r="D475" s="13" t="s">
        <v>6117</v>
      </c>
      <c r="E475" s="8"/>
      <c r="F475" s="7" t="s">
        <v>4348</v>
      </c>
      <c r="G475" s="7" t="s">
        <v>25</v>
      </c>
      <c r="H475" s="58"/>
      <c r="I475" s="23"/>
      <c r="J475" s="24"/>
      <c r="M475" s="4"/>
      <c r="N475" s="76"/>
      <c r="O475" s="76"/>
      <c r="P475" s="76" t="str">
        <f t="shared" si="51"/>
        <v>,shikkan457_start_date</v>
      </c>
      <c r="Q475" s="76" t="str">
        <f t="shared" si="52"/>
        <v>DATE</v>
      </c>
      <c r="R475" s="76" t="str">
        <f t="shared" si="53"/>
        <v/>
      </c>
      <c r="S475" s="76" t="str">
        <f t="shared" si="54"/>
        <v/>
      </c>
      <c r="T475" s="76" t="str">
        <f t="shared" si="55"/>
        <v>-- C933_疾患開始日</v>
      </c>
      <c r="U475" s="4" t="str">
        <f t="shared" si="35"/>
        <v>, CASE WHEN shikkan_disp_name = 'C933' THEN min_shikkan_start_date ::DATE ELSE NULL END AS shikkan457_start_date</v>
      </c>
      <c r="V475" s="25" t="str">
        <f t="shared" si="36"/>
        <v>, max(shikkan457_start_date)</v>
      </c>
      <c r="AA475" s="4"/>
      <c r="AB475" s="4"/>
      <c r="AC475" s="4"/>
      <c r="AD475" s="4"/>
      <c r="AE475" s="4"/>
      <c r="AF475" s="4"/>
      <c r="AG475" s="4"/>
      <c r="AH475" s="4"/>
      <c r="AI475" s="4"/>
      <c r="AJ475" s="76" t="str">
        <f>IF(E475="○",IF(COUNTA(E$13:E475)=1,"",",")&amp;D475,"")</f>
        <v/>
      </c>
      <c r="AK475" s="4"/>
      <c r="AL475" s="4"/>
      <c r="AM475" s="4"/>
      <c r="AN475" s="4"/>
      <c r="AO475" s="4"/>
      <c r="AP475" s="4"/>
      <c r="AQ475" s="4"/>
      <c r="AR475" s="4"/>
      <c r="AS475" s="76" t="str">
        <f>"COMMENT ON COLUMN "&amp;エンティティ一覧!$O$2&amp;"."&amp;D$8&amp;"."&amp;D475&amp;" IS '"&amp;C475&amp;"';"</f>
        <v>COMMENT ON COLUMN milscm_2023_009.sny_202310_annony_non_annony2.shikkan457_start_date IS 'C933_疾患開始日';</v>
      </c>
    </row>
    <row r="476" spans="1:45" s="25" customFormat="1">
      <c r="A476" s="4" t="s">
        <v>5600</v>
      </c>
      <c r="B476" s="21">
        <f t="shared" si="57"/>
        <v>464</v>
      </c>
      <c r="C476" s="13" t="str">
        <f t="shared" si="56"/>
        <v>C937_疾患開始日</v>
      </c>
      <c r="D476" s="13" t="s">
        <v>6118</v>
      </c>
      <c r="E476" s="8"/>
      <c r="F476" s="7" t="s">
        <v>4348</v>
      </c>
      <c r="G476" s="7" t="s">
        <v>25</v>
      </c>
      <c r="H476" s="58"/>
      <c r="I476" s="23"/>
      <c r="J476" s="24"/>
      <c r="M476" s="4"/>
      <c r="N476" s="76"/>
      <c r="O476" s="76"/>
      <c r="P476" s="76" t="str">
        <f t="shared" si="51"/>
        <v>,shikkan458_start_date</v>
      </c>
      <c r="Q476" s="76" t="str">
        <f t="shared" si="52"/>
        <v>DATE</v>
      </c>
      <c r="R476" s="76" t="str">
        <f t="shared" si="53"/>
        <v/>
      </c>
      <c r="S476" s="76" t="str">
        <f t="shared" si="54"/>
        <v/>
      </c>
      <c r="T476" s="76" t="str">
        <f t="shared" si="55"/>
        <v>-- C937_疾患開始日</v>
      </c>
      <c r="U476" s="4" t="str">
        <f t="shared" si="35"/>
        <v>, CASE WHEN shikkan_disp_name = 'C937' THEN min_shikkan_start_date ::DATE ELSE NULL END AS shikkan458_start_date</v>
      </c>
      <c r="V476" s="25" t="str">
        <f t="shared" si="36"/>
        <v>, max(shikkan458_start_date)</v>
      </c>
      <c r="AA476" s="4"/>
      <c r="AB476" s="4"/>
      <c r="AC476" s="4"/>
      <c r="AD476" s="4"/>
      <c r="AE476" s="4"/>
      <c r="AF476" s="4"/>
      <c r="AG476" s="4"/>
      <c r="AH476" s="4"/>
      <c r="AI476" s="4"/>
      <c r="AJ476" s="76" t="str">
        <f>IF(E476="○",IF(COUNTA(E$13:E476)=1,"",",")&amp;D476,"")</f>
        <v/>
      </c>
      <c r="AK476" s="4"/>
      <c r="AL476" s="4"/>
      <c r="AM476" s="4"/>
      <c r="AN476" s="4"/>
      <c r="AO476" s="4"/>
      <c r="AP476" s="4"/>
      <c r="AQ476" s="4"/>
      <c r="AR476" s="4"/>
      <c r="AS476" s="76" t="str">
        <f>"COMMENT ON COLUMN "&amp;エンティティ一覧!$O$2&amp;"."&amp;D$8&amp;"."&amp;D476&amp;" IS '"&amp;C476&amp;"';"</f>
        <v>COMMENT ON COLUMN milscm_2023_009.sny_202310_annony_non_annony2.shikkan458_start_date IS 'C937_疾患開始日';</v>
      </c>
    </row>
    <row r="477" spans="1:45" s="25" customFormat="1">
      <c r="A477" s="4" t="s">
        <v>5601</v>
      </c>
      <c r="B477" s="21">
        <f t="shared" si="57"/>
        <v>465</v>
      </c>
      <c r="C477" s="13" t="str">
        <f t="shared" si="56"/>
        <v>C939_疾患開始日</v>
      </c>
      <c r="D477" s="13" t="s">
        <v>6119</v>
      </c>
      <c r="E477" s="8"/>
      <c r="F477" s="7" t="s">
        <v>4348</v>
      </c>
      <c r="G477" s="7" t="s">
        <v>25</v>
      </c>
      <c r="H477" s="58"/>
      <c r="I477" s="23"/>
      <c r="J477" s="24"/>
      <c r="M477" s="4"/>
      <c r="N477" s="76"/>
      <c r="O477" s="76"/>
      <c r="P477" s="76" t="str">
        <f t="shared" si="51"/>
        <v>,shikkan459_start_date</v>
      </c>
      <c r="Q477" s="76" t="str">
        <f t="shared" si="52"/>
        <v>DATE</v>
      </c>
      <c r="R477" s="76" t="str">
        <f t="shared" si="53"/>
        <v/>
      </c>
      <c r="S477" s="76" t="str">
        <f t="shared" si="54"/>
        <v/>
      </c>
      <c r="T477" s="76" t="str">
        <f t="shared" si="55"/>
        <v>-- C939_疾患開始日</v>
      </c>
      <c r="U477" s="4" t="str">
        <f t="shared" si="35"/>
        <v>, CASE WHEN shikkan_disp_name = 'C939' THEN min_shikkan_start_date ::DATE ELSE NULL END AS shikkan459_start_date</v>
      </c>
      <c r="V477" s="25" t="str">
        <f t="shared" si="36"/>
        <v>, max(shikkan459_start_date)</v>
      </c>
      <c r="AA477" s="4"/>
      <c r="AB477" s="4"/>
      <c r="AC477" s="4"/>
      <c r="AD477" s="4"/>
      <c r="AE477" s="4"/>
      <c r="AF477" s="4"/>
      <c r="AG477" s="4"/>
      <c r="AH477" s="4"/>
      <c r="AI477" s="4"/>
      <c r="AJ477" s="76" t="str">
        <f>IF(E477="○",IF(COUNTA(E$13:E477)=1,"",",")&amp;D477,"")</f>
        <v/>
      </c>
      <c r="AK477" s="4"/>
      <c r="AL477" s="4"/>
      <c r="AM477" s="4"/>
      <c r="AN477" s="4"/>
      <c r="AO477" s="4"/>
      <c r="AP477" s="4"/>
      <c r="AQ477" s="4"/>
      <c r="AR477" s="4"/>
      <c r="AS477" s="76" t="str">
        <f>"COMMENT ON COLUMN "&amp;エンティティ一覧!$O$2&amp;"."&amp;D$8&amp;"."&amp;D477&amp;" IS '"&amp;C477&amp;"';"</f>
        <v>COMMENT ON COLUMN milscm_2023_009.sny_202310_annony_non_annony2.shikkan459_start_date IS 'C939_疾患開始日';</v>
      </c>
    </row>
    <row r="478" spans="1:45" s="25" customFormat="1">
      <c r="A478" s="4" t="s">
        <v>5602</v>
      </c>
      <c r="B478" s="21">
        <f t="shared" si="57"/>
        <v>466</v>
      </c>
      <c r="C478" s="13" t="str">
        <f t="shared" si="56"/>
        <v>C940_疾患開始日</v>
      </c>
      <c r="D478" s="13" t="s">
        <v>6120</v>
      </c>
      <c r="E478" s="8"/>
      <c r="F478" s="7" t="s">
        <v>4348</v>
      </c>
      <c r="G478" s="7" t="s">
        <v>25</v>
      </c>
      <c r="H478" s="58"/>
      <c r="I478" s="23"/>
      <c r="J478" s="24"/>
      <c r="M478" s="4"/>
      <c r="N478" s="76"/>
      <c r="O478" s="76"/>
      <c r="P478" s="76" t="str">
        <f t="shared" si="51"/>
        <v>,shikkan460_start_date</v>
      </c>
      <c r="Q478" s="76" t="str">
        <f t="shared" si="52"/>
        <v>DATE</v>
      </c>
      <c r="R478" s="76" t="str">
        <f t="shared" si="53"/>
        <v/>
      </c>
      <c r="S478" s="76" t="str">
        <f t="shared" si="54"/>
        <v/>
      </c>
      <c r="T478" s="76" t="str">
        <f t="shared" si="55"/>
        <v>-- C940_疾患開始日</v>
      </c>
      <c r="U478" s="4" t="str">
        <f t="shared" si="35"/>
        <v>, CASE WHEN shikkan_disp_name = 'C940' THEN min_shikkan_start_date ::DATE ELSE NULL END AS shikkan460_start_date</v>
      </c>
      <c r="V478" s="25" t="str">
        <f t="shared" si="36"/>
        <v>, max(shikkan460_start_date)</v>
      </c>
      <c r="AA478" s="4"/>
      <c r="AB478" s="4"/>
      <c r="AC478" s="4"/>
      <c r="AD478" s="4"/>
      <c r="AE478" s="4"/>
      <c r="AF478" s="4"/>
      <c r="AG478" s="4"/>
      <c r="AH478" s="4"/>
      <c r="AI478" s="4"/>
      <c r="AJ478" s="76" t="str">
        <f>IF(E478="○",IF(COUNTA(E$13:E478)=1,"",",")&amp;D478,"")</f>
        <v/>
      </c>
      <c r="AK478" s="4"/>
      <c r="AL478" s="4"/>
      <c r="AM478" s="4"/>
      <c r="AN478" s="4"/>
      <c r="AO478" s="4"/>
      <c r="AP478" s="4"/>
      <c r="AQ478" s="4"/>
      <c r="AR478" s="4"/>
      <c r="AS478" s="76" t="str">
        <f>"COMMENT ON COLUMN "&amp;エンティティ一覧!$O$2&amp;"."&amp;D$8&amp;"."&amp;D478&amp;" IS '"&amp;C478&amp;"';"</f>
        <v>COMMENT ON COLUMN milscm_2023_009.sny_202310_annony_non_annony2.shikkan460_start_date IS 'C940_疾患開始日';</v>
      </c>
    </row>
    <row r="479" spans="1:45" s="25" customFormat="1">
      <c r="A479" s="4" t="s">
        <v>5603</v>
      </c>
      <c r="B479" s="21">
        <f t="shared" si="57"/>
        <v>467</v>
      </c>
      <c r="C479" s="13" t="str">
        <f t="shared" si="56"/>
        <v>C942_疾患開始日</v>
      </c>
      <c r="D479" s="13" t="s">
        <v>6121</v>
      </c>
      <c r="E479" s="8"/>
      <c r="F479" s="7" t="s">
        <v>4348</v>
      </c>
      <c r="G479" s="7" t="s">
        <v>25</v>
      </c>
      <c r="H479" s="58"/>
      <c r="I479" s="23"/>
      <c r="J479" s="24"/>
      <c r="M479" s="4"/>
      <c r="N479" s="76"/>
      <c r="O479" s="76"/>
      <c r="P479" s="76" t="str">
        <f t="shared" si="51"/>
        <v>,shikkan461_start_date</v>
      </c>
      <c r="Q479" s="76" t="str">
        <f t="shared" si="52"/>
        <v>DATE</v>
      </c>
      <c r="R479" s="76" t="str">
        <f t="shared" si="53"/>
        <v/>
      </c>
      <c r="S479" s="76" t="str">
        <f t="shared" si="54"/>
        <v/>
      </c>
      <c r="T479" s="76" t="str">
        <f t="shared" si="55"/>
        <v>-- C942_疾患開始日</v>
      </c>
      <c r="U479" s="4" t="str">
        <f t="shared" si="35"/>
        <v>, CASE WHEN shikkan_disp_name = 'C942' THEN min_shikkan_start_date ::DATE ELSE NULL END AS shikkan461_start_date</v>
      </c>
      <c r="V479" s="25" t="str">
        <f t="shared" si="36"/>
        <v>, max(shikkan461_start_date)</v>
      </c>
      <c r="AA479" s="4"/>
      <c r="AB479" s="4"/>
      <c r="AC479" s="4"/>
      <c r="AD479" s="4"/>
      <c r="AE479" s="4"/>
      <c r="AF479" s="4"/>
      <c r="AG479" s="4"/>
      <c r="AH479" s="4"/>
      <c r="AI479" s="4"/>
      <c r="AJ479" s="76" t="str">
        <f>IF(E479="○",IF(COUNTA(E$13:E479)=1,"",",")&amp;D479,"")</f>
        <v/>
      </c>
      <c r="AK479" s="4"/>
      <c r="AL479" s="4"/>
      <c r="AM479" s="4"/>
      <c r="AN479" s="4"/>
      <c r="AO479" s="4"/>
      <c r="AP479" s="4"/>
      <c r="AQ479" s="4"/>
      <c r="AR479" s="4"/>
      <c r="AS479" s="76" t="str">
        <f>"COMMENT ON COLUMN "&amp;エンティティ一覧!$O$2&amp;"."&amp;D$8&amp;"."&amp;D479&amp;" IS '"&amp;C479&amp;"';"</f>
        <v>COMMENT ON COLUMN milscm_2023_009.sny_202310_annony_non_annony2.shikkan461_start_date IS 'C942_疾患開始日';</v>
      </c>
    </row>
    <row r="480" spans="1:45" s="25" customFormat="1">
      <c r="A480" s="4" t="s">
        <v>5604</v>
      </c>
      <c r="B480" s="21">
        <f t="shared" si="57"/>
        <v>468</v>
      </c>
      <c r="C480" s="13" t="str">
        <f t="shared" si="56"/>
        <v>C943_疾患開始日</v>
      </c>
      <c r="D480" s="13" t="s">
        <v>6122</v>
      </c>
      <c r="E480" s="8"/>
      <c r="F480" s="7" t="s">
        <v>4348</v>
      </c>
      <c r="G480" s="7" t="s">
        <v>25</v>
      </c>
      <c r="H480" s="58"/>
      <c r="I480" s="23"/>
      <c r="J480" s="24"/>
      <c r="M480" s="4"/>
      <c r="N480" s="76"/>
      <c r="O480" s="76"/>
      <c r="P480" s="76" t="str">
        <f t="shared" si="51"/>
        <v>,shikkan462_start_date</v>
      </c>
      <c r="Q480" s="76" t="str">
        <f t="shared" si="52"/>
        <v>DATE</v>
      </c>
      <c r="R480" s="76" t="str">
        <f t="shared" si="53"/>
        <v/>
      </c>
      <c r="S480" s="76" t="str">
        <f t="shared" si="54"/>
        <v/>
      </c>
      <c r="T480" s="76" t="str">
        <f t="shared" si="55"/>
        <v>-- C943_疾患開始日</v>
      </c>
      <c r="U480" s="4" t="str">
        <f t="shared" si="35"/>
        <v>, CASE WHEN shikkan_disp_name = 'C943' THEN min_shikkan_start_date ::DATE ELSE NULL END AS shikkan462_start_date</v>
      </c>
      <c r="V480" s="25" t="str">
        <f t="shared" si="36"/>
        <v>, max(shikkan462_start_date)</v>
      </c>
      <c r="AA480" s="4"/>
      <c r="AB480" s="4"/>
      <c r="AC480" s="4"/>
      <c r="AD480" s="4"/>
      <c r="AE480" s="4"/>
      <c r="AF480" s="4"/>
      <c r="AG480" s="4"/>
      <c r="AH480" s="4"/>
      <c r="AI480" s="4"/>
      <c r="AJ480" s="76" t="str">
        <f>IF(E480="○",IF(COUNTA(E$13:E480)=1,"",",")&amp;D480,"")</f>
        <v/>
      </c>
      <c r="AK480" s="4"/>
      <c r="AL480" s="4"/>
      <c r="AM480" s="4"/>
      <c r="AN480" s="4"/>
      <c r="AO480" s="4"/>
      <c r="AP480" s="4"/>
      <c r="AQ480" s="4"/>
      <c r="AR480" s="4"/>
      <c r="AS480" s="76" t="str">
        <f>"COMMENT ON COLUMN "&amp;エンティティ一覧!$O$2&amp;"."&amp;D$8&amp;"."&amp;D480&amp;" IS '"&amp;C480&amp;"';"</f>
        <v>COMMENT ON COLUMN milscm_2023_009.sny_202310_annony_non_annony2.shikkan462_start_date IS 'C943_疾患開始日';</v>
      </c>
    </row>
    <row r="481" spans="1:45" s="25" customFormat="1">
      <c r="A481" s="4" t="s">
        <v>5605</v>
      </c>
      <c r="B481" s="21">
        <f t="shared" si="57"/>
        <v>469</v>
      </c>
      <c r="C481" s="13" t="str">
        <f t="shared" si="56"/>
        <v>C944_疾患開始日</v>
      </c>
      <c r="D481" s="13" t="s">
        <v>6123</v>
      </c>
      <c r="E481" s="8"/>
      <c r="F481" s="7" t="s">
        <v>4348</v>
      </c>
      <c r="G481" s="7" t="s">
        <v>25</v>
      </c>
      <c r="H481" s="58"/>
      <c r="I481" s="23"/>
      <c r="J481" s="24"/>
      <c r="M481" s="4"/>
      <c r="N481" s="76"/>
      <c r="O481" s="76"/>
      <c r="P481" s="76" t="str">
        <f t="shared" si="51"/>
        <v>,shikkan463_start_date</v>
      </c>
      <c r="Q481" s="76" t="str">
        <f t="shared" si="52"/>
        <v>DATE</v>
      </c>
      <c r="R481" s="76" t="str">
        <f t="shared" si="53"/>
        <v/>
      </c>
      <c r="S481" s="76" t="str">
        <f t="shared" si="54"/>
        <v/>
      </c>
      <c r="T481" s="76" t="str">
        <f t="shared" si="55"/>
        <v>-- C944_疾患開始日</v>
      </c>
      <c r="U481" s="4" t="str">
        <f t="shared" si="35"/>
        <v>, CASE WHEN shikkan_disp_name = 'C944' THEN min_shikkan_start_date ::DATE ELSE NULL END AS shikkan463_start_date</v>
      </c>
      <c r="V481" s="25" t="str">
        <f t="shared" si="36"/>
        <v>, max(shikkan463_start_date)</v>
      </c>
      <c r="AA481" s="4"/>
      <c r="AB481" s="4"/>
      <c r="AC481" s="4"/>
      <c r="AD481" s="4"/>
      <c r="AE481" s="4"/>
      <c r="AF481" s="4"/>
      <c r="AG481" s="4"/>
      <c r="AH481" s="4"/>
      <c r="AI481" s="4"/>
      <c r="AJ481" s="76" t="str">
        <f>IF(E481="○",IF(COUNTA(E$13:E481)=1,"",",")&amp;D481,"")</f>
        <v/>
      </c>
      <c r="AK481" s="4"/>
      <c r="AL481" s="4"/>
      <c r="AM481" s="4"/>
      <c r="AN481" s="4"/>
      <c r="AO481" s="4"/>
      <c r="AP481" s="4"/>
      <c r="AQ481" s="4"/>
      <c r="AR481" s="4"/>
      <c r="AS481" s="76" t="str">
        <f>"COMMENT ON COLUMN "&amp;エンティティ一覧!$O$2&amp;"."&amp;D$8&amp;"."&amp;D481&amp;" IS '"&amp;C481&amp;"';"</f>
        <v>COMMENT ON COLUMN milscm_2023_009.sny_202310_annony_non_annony2.shikkan463_start_date IS 'C944_疾患開始日';</v>
      </c>
    </row>
    <row r="482" spans="1:45" s="25" customFormat="1">
      <c r="A482" s="4" t="s">
        <v>5606</v>
      </c>
      <c r="B482" s="21">
        <f t="shared" si="57"/>
        <v>470</v>
      </c>
      <c r="C482" s="13" t="str">
        <f t="shared" si="56"/>
        <v>C946_疾患開始日</v>
      </c>
      <c r="D482" s="13" t="s">
        <v>6124</v>
      </c>
      <c r="E482" s="8"/>
      <c r="F482" s="7" t="s">
        <v>4348</v>
      </c>
      <c r="G482" s="7" t="s">
        <v>99</v>
      </c>
      <c r="H482" s="58"/>
      <c r="I482" s="23"/>
      <c r="J482" s="24"/>
      <c r="M482" s="4"/>
      <c r="N482" s="76"/>
      <c r="O482" s="76"/>
      <c r="P482" s="76" t="str">
        <f t="shared" si="51"/>
        <v>,shikkan464_start_date</v>
      </c>
      <c r="Q482" s="76" t="str">
        <f t="shared" si="52"/>
        <v>DATE</v>
      </c>
      <c r="R482" s="76" t="str">
        <f t="shared" si="53"/>
        <v/>
      </c>
      <c r="S482" s="76" t="str">
        <f t="shared" si="54"/>
        <v/>
      </c>
      <c r="T482" s="76" t="str">
        <f t="shared" si="55"/>
        <v>-- C946_疾患開始日</v>
      </c>
      <c r="U482" s="4" t="str">
        <f t="shared" si="35"/>
        <v>, CASE WHEN shikkan_disp_name = 'C946' THEN min_shikkan_start_date ::DATE ELSE NULL END AS shikkan464_start_date</v>
      </c>
      <c r="V482" s="25" t="str">
        <f t="shared" si="36"/>
        <v>, max(shikkan464_start_date)</v>
      </c>
      <c r="AA482" s="4"/>
      <c r="AB482" s="4"/>
      <c r="AC482" s="4"/>
      <c r="AD482" s="4"/>
      <c r="AE482" s="4"/>
      <c r="AF482" s="4"/>
      <c r="AG482" s="4"/>
      <c r="AH482" s="4"/>
      <c r="AI482" s="4"/>
      <c r="AJ482" s="76" t="str">
        <f>IF(E482="○",IF(COUNTA(E$13:E482)=1,"",",")&amp;D482,"")</f>
        <v/>
      </c>
      <c r="AK482" s="4"/>
      <c r="AL482" s="4"/>
      <c r="AM482" s="4"/>
      <c r="AN482" s="4"/>
      <c r="AO482" s="4"/>
      <c r="AP482" s="4"/>
      <c r="AQ482" s="4"/>
      <c r="AR482" s="4"/>
      <c r="AS482" s="76" t="str">
        <f>"COMMENT ON COLUMN "&amp;エンティティ一覧!$O$2&amp;"."&amp;D$8&amp;"."&amp;D482&amp;" IS '"&amp;C482&amp;"';"</f>
        <v>COMMENT ON COLUMN milscm_2023_009.sny_202310_annony_non_annony2.shikkan464_start_date IS 'C946_疾患開始日';</v>
      </c>
    </row>
    <row r="483" spans="1:45" s="25" customFormat="1">
      <c r="A483" s="4" t="s">
        <v>5607</v>
      </c>
      <c r="B483" s="21">
        <f t="shared" si="57"/>
        <v>471</v>
      </c>
      <c r="C483" s="13" t="str">
        <f t="shared" si="56"/>
        <v>C947_疾患開始日</v>
      </c>
      <c r="D483" s="13" t="s">
        <v>6125</v>
      </c>
      <c r="E483" s="8"/>
      <c r="F483" s="7" t="s">
        <v>4348</v>
      </c>
      <c r="G483" s="7" t="s">
        <v>25</v>
      </c>
      <c r="H483" s="58"/>
      <c r="I483" s="23"/>
      <c r="J483" s="24"/>
      <c r="M483" s="4"/>
      <c r="N483" s="76"/>
      <c r="O483" s="76"/>
      <c r="P483" s="76" t="str">
        <f t="shared" si="51"/>
        <v>,shikkan465_start_date</v>
      </c>
      <c r="Q483" s="76" t="str">
        <f t="shared" si="52"/>
        <v>DATE</v>
      </c>
      <c r="R483" s="76" t="str">
        <f t="shared" si="53"/>
        <v/>
      </c>
      <c r="S483" s="76" t="str">
        <f t="shared" si="54"/>
        <v/>
      </c>
      <c r="T483" s="76" t="str">
        <f t="shared" si="55"/>
        <v>-- C947_疾患開始日</v>
      </c>
      <c r="U483" s="4" t="str">
        <f t="shared" si="35"/>
        <v>, CASE WHEN shikkan_disp_name = 'C947' THEN min_shikkan_start_date ::DATE ELSE NULL END AS shikkan465_start_date</v>
      </c>
      <c r="V483" s="25" t="str">
        <f t="shared" si="36"/>
        <v>, max(shikkan465_start_date)</v>
      </c>
      <c r="AA483" s="4"/>
      <c r="AB483" s="4"/>
      <c r="AC483" s="4"/>
      <c r="AD483" s="4"/>
      <c r="AE483" s="4"/>
      <c r="AF483" s="4"/>
      <c r="AG483" s="4"/>
      <c r="AH483" s="4"/>
      <c r="AI483" s="4"/>
      <c r="AJ483" s="76" t="str">
        <f>IF(E483="○",IF(COUNTA(E$13:E483)=1,"",",")&amp;D483,"")</f>
        <v/>
      </c>
      <c r="AK483" s="4"/>
      <c r="AL483" s="4"/>
      <c r="AM483" s="4"/>
      <c r="AN483" s="4"/>
      <c r="AO483" s="4"/>
      <c r="AP483" s="4"/>
      <c r="AQ483" s="4"/>
      <c r="AR483" s="4"/>
      <c r="AS483" s="76" t="str">
        <f>"COMMENT ON COLUMN "&amp;エンティティ一覧!$O$2&amp;"."&amp;D$8&amp;"."&amp;D483&amp;" IS '"&amp;C483&amp;"';"</f>
        <v>COMMENT ON COLUMN milscm_2023_009.sny_202310_annony_non_annony2.shikkan465_start_date IS 'C947_疾患開始日';</v>
      </c>
    </row>
    <row r="484" spans="1:45" s="25" customFormat="1">
      <c r="A484" s="4" t="s">
        <v>5608</v>
      </c>
      <c r="B484" s="21">
        <f t="shared" si="57"/>
        <v>472</v>
      </c>
      <c r="C484" s="13" t="str">
        <f t="shared" si="56"/>
        <v>C950_疾患開始日</v>
      </c>
      <c r="D484" s="13" t="s">
        <v>6126</v>
      </c>
      <c r="E484" s="8"/>
      <c r="F484" s="7" t="s">
        <v>4348</v>
      </c>
      <c r="G484" s="7" t="s">
        <v>25</v>
      </c>
      <c r="H484" s="58"/>
      <c r="I484" s="23"/>
      <c r="J484" s="24"/>
      <c r="M484" s="4"/>
      <c r="N484" s="76"/>
      <c r="O484" s="76"/>
      <c r="P484" s="76" t="str">
        <f t="shared" si="51"/>
        <v>,shikkan466_start_date</v>
      </c>
      <c r="Q484" s="76" t="str">
        <f t="shared" si="52"/>
        <v>DATE</v>
      </c>
      <c r="R484" s="76" t="str">
        <f t="shared" si="53"/>
        <v/>
      </c>
      <c r="S484" s="76" t="str">
        <f t="shared" si="54"/>
        <v/>
      </c>
      <c r="T484" s="76" t="str">
        <f t="shared" si="55"/>
        <v>-- C950_疾患開始日</v>
      </c>
      <c r="U484" s="4" t="str">
        <f t="shared" si="35"/>
        <v>, CASE WHEN shikkan_disp_name = 'C950' THEN min_shikkan_start_date ::DATE ELSE NULL END AS shikkan466_start_date</v>
      </c>
      <c r="V484" s="25" t="str">
        <f t="shared" si="36"/>
        <v>, max(shikkan466_start_date)</v>
      </c>
      <c r="AA484" s="4"/>
      <c r="AB484" s="4"/>
      <c r="AC484" s="4"/>
      <c r="AD484" s="4"/>
      <c r="AE484" s="4"/>
      <c r="AF484" s="4"/>
      <c r="AG484" s="4"/>
      <c r="AH484" s="4"/>
      <c r="AI484" s="4"/>
      <c r="AJ484" s="76" t="str">
        <f>IF(E484="○",IF(COUNTA(E$13:E484)=1,"",",")&amp;D484,"")</f>
        <v/>
      </c>
      <c r="AK484" s="4"/>
      <c r="AL484" s="4"/>
      <c r="AM484" s="4"/>
      <c r="AN484" s="4"/>
      <c r="AO484" s="4"/>
      <c r="AP484" s="4"/>
      <c r="AQ484" s="4"/>
      <c r="AR484" s="4"/>
      <c r="AS484" s="76" t="str">
        <f>"COMMENT ON COLUMN "&amp;エンティティ一覧!$O$2&amp;"."&amp;D$8&amp;"."&amp;D484&amp;" IS '"&amp;C484&amp;"';"</f>
        <v>COMMENT ON COLUMN milscm_2023_009.sny_202310_annony_non_annony2.shikkan466_start_date IS 'C950_疾患開始日';</v>
      </c>
    </row>
    <row r="485" spans="1:45" s="25" customFormat="1">
      <c r="A485" s="4" t="s">
        <v>5609</v>
      </c>
      <c r="B485" s="21">
        <f t="shared" si="57"/>
        <v>473</v>
      </c>
      <c r="C485" s="13" t="str">
        <f t="shared" si="56"/>
        <v>C951_疾患開始日</v>
      </c>
      <c r="D485" s="13" t="s">
        <v>6127</v>
      </c>
      <c r="E485" s="8"/>
      <c r="F485" s="7" t="s">
        <v>4348</v>
      </c>
      <c r="G485" s="7" t="s">
        <v>25</v>
      </c>
      <c r="H485" s="58"/>
      <c r="I485" s="23"/>
      <c r="J485" s="24"/>
      <c r="M485" s="4"/>
      <c r="N485" s="76"/>
      <c r="O485" s="76"/>
      <c r="P485" s="76" t="str">
        <f t="shared" si="51"/>
        <v>,shikkan467_start_date</v>
      </c>
      <c r="Q485" s="76" t="str">
        <f t="shared" si="52"/>
        <v>DATE</v>
      </c>
      <c r="R485" s="76" t="str">
        <f t="shared" si="53"/>
        <v/>
      </c>
      <c r="S485" s="76" t="str">
        <f t="shared" si="54"/>
        <v/>
      </c>
      <c r="T485" s="76" t="str">
        <f t="shared" si="55"/>
        <v>-- C951_疾患開始日</v>
      </c>
      <c r="U485" s="4" t="str">
        <f t="shared" si="35"/>
        <v>, CASE WHEN shikkan_disp_name = 'C951' THEN min_shikkan_start_date ::DATE ELSE NULL END AS shikkan467_start_date</v>
      </c>
      <c r="V485" s="25" t="str">
        <f t="shared" si="36"/>
        <v>, max(shikkan467_start_date)</v>
      </c>
      <c r="AA485" s="4"/>
      <c r="AB485" s="4"/>
      <c r="AC485" s="4"/>
      <c r="AD485" s="4"/>
      <c r="AE485" s="4"/>
      <c r="AF485" s="4"/>
      <c r="AG485" s="4"/>
      <c r="AH485" s="4"/>
      <c r="AI485" s="4"/>
      <c r="AJ485" s="76" t="str">
        <f>IF(E485="○",IF(COUNTA(E$13:E485)=1,"",",")&amp;D485,"")</f>
        <v/>
      </c>
      <c r="AK485" s="4"/>
      <c r="AL485" s="4"/>
      <c r="AM485" s="4"/>
      <c r="AN485" s="4"/>
      <c r="AO485" s="4"/>
      <c r="AP485" s="4"/>
      <c r="AQ485" s="4"/>
      <c r="AR485" s="4"/>
      <c r="AS485" s="76" t="str">
        <f>"COMMENT ON COLUMN "&amp;エンティティ一覧!$O$2&amp;"."&amp;D$8&amp;"."&amp;D485&amp;" IS '"&amp;C485&amp;"';"</f>
        <v>COMMENT ON COLUMN milscm_2023_009.sny_202310_annony_non_annony2.shikkan467_start_date IS 'C951_疾患開始日';</v>
      </c>
    </row>
    <row r="486" spans="1:45" s="25" customFormat="1">
      <c r="A486" s="4" t="s">
        <v>5610</v>
      </c>
      <c r="B486" s="21">
        <f t="shared" si="57"/>
        <v>474</v>
      </c>
      <c r="C486" s="13" t="str">
        <f t="shared" si="56"/>
        <v>C957_疾患開始日</v>
      </c>
      <c r="D486" s="13" t="s">
        <v>6128</v>
      </c>
      <c r="E486" s="8"/>
      <c r="F486" s="7" t="s">
        <v>4348</v>
      </c>
      <c r="G486" s="7" t="s">
        <v>25</v>
      </c>
      <c r="H486" s="58"/>
      <c r="I486" s="23"/>
      <c r="J486" s="24"/>
      <c r="M486" s="4"/>
      <c r="N486" s="76"/>
      <c r="O486" s="76"/>
      <c r="P486" s="76" t="str">
        <f t="shared" si="51"/>
        <v>,shikkan468_start_date</v>
      </c>
      <c r="Q486" s="76" t="str">
        <f t="shared" si="52"/>
        <v>DATE</v>
      </c>
      <c r="R486" s="76" t="str">
        <f t="shared" si="53"/>
        <v/>
      </c>
      <c r="S486" s="76" t="str">
        <f t="shared" si="54"/>
        <v/>
      </c>
      <c r="T486" s="76" t="str">
        <f t="shared" si="55"/>
        <v>-- C957_疾患開始日</v>
      </c>
      <c r="U486" s="4" t="str">
        <f t="shared" si="35"/>
        <v>, CASE WHEN shikkan_disp_name = 'C957' THEN min_shikkan_start_date ::DATE ELSE NULL END AS shikkan468_start_date</v>
      </c>
      <c r="V486" s="25" t="str">
        <f t="shared" si="36"/>
        <v>, max(shikkan468_start_date)</v>
      </c>
      <c r="AA486" s="4"/>
      <c r="AB486" s="4"/>
      <c r="AC486" s="4"/>
      <c r="AD486" s="4"/>
      <c r="AE486" s="4"/>
      <c r="AF486" s="4"/>
      <c r="AG486" s="4"/>
      <c r="AH486" s="4"/>
      <c r="AI486" s="4"/>
      <c r="AJ486" s="76" t="str">
        <f>IF(E486="○",IF(COUNTA(E$13:E486)=1,"",",")&amp;D486,"")</f>
        <v/>
      </c>
      <c r="AK486" s="4"/>
      <c r="AL486" s="4"/>
      <c r="AM486" s="4"/>
      <c r="AN486" s="4"/>
      <c r="AO486" s="4"/>
      <c r="AP486" s="4"/>
      <c r="AQ486" s="4"/>
      <c r="AR486" s="4"/>
      <c r="AS486" s="76" t="str">
        <f>"COMMENT ON COLUMN "&amp;エンティティ一覧!$O$2&amp;"."&amp;D$8&amp;"."&amp;D486&amp;" IS '"&amp;C486&amp;"';"</f>
        <v>COMMENT ON COLUMN milscm_2023_009.sny_202310_annony_non_annony2.shikkan468_start_date IS 'C957_疾患開始日';</v>
      </c>
    </row>
    <row r="487" spans="1:45" s="25" customFormat="1">
      <c r="A487" s="4" t="s">
        <v>5611</v>
      </c>
      <c r="B487" s="21">
        <f t="shared" si="57"/>
        <v>475</v>
      </c>
      <c r="C487" s="13" t="str">
        <f t="shared" si="56"/>
        <v>C959_疾患開始日</v>
      </c>
      <c r="D487" s="13" t="s">
        <v>6129</v>
      </c>
      <c r="E487" s="8"/>
      <c r="F487" s="7" t="s">
        <v>4348</v>
      </c>
      <c r="G487" s="7" t="s">
        <v>25</v>
      </c>
      <c r="H487" s="58"/>
      <c r="I487" s="23"/>
      <c r="J487" s="24"/>
      <c r="M487" s="4"/>
      <c r="N487" s="76"/>
      <c r="O487" s="76"/>
      <c r="P487" s="76" t="str">
        <f t="shared" si="51"/>
        <v>,shikkan469_start_date</v>
      </c>
      <c r="Q487" s="76" t="str">
        <f t="shared" si="52"/>
        <v>DATE</v>
      </c>
      <c r="R487" s="76" t="str">
        <f t="shared" si="53"/>
        <v/>
      </c>
      <c r="S487" s="76" t="str">
        <f t="shared" si="54"/>
        <v/>
      </c>
      <c r="T487" s="76" t="str">
        <f t="shared" si="55"/>
        <v>-- C959_疾患開始日</v>
      </c>
      <c r="U487" s="4" t="str">
        <f t="shared" si="35"/>
        <v>, CASE WHEN shikkan_disp_name = 'C959' THEN min_shikkan_start_date ::DATE ELSE NULL END AS shikkan469_start_date</v>
      </c>
      <c r="V487" s="25" t="str">
        <f t="shared" si="36"/>
        <v>, max(shikkan469_start_date)</v>
      </c>
      <c r="AA487" s="4"/>
      <c r="AB487" s="4"/>
      <c r="AC487" s="4"/>
      <c r="AD487" s="4"/>
      <c r="AE487" s="4"/>
      <c r="AF487" s="4"/>
      <c r="AG487" s="4"/>
      <c r="AH487" s="4"/>
      <c r="AI487" s="4"/>
      <c r="AJ487" s="76" t="str">
        <f>IF(E487="○",IF(COUNTA(E$13:E487)=1,"",",")&amp;D487,"")</f>
        <v/>
      </c>
      <c r="AK487" s="4"/>
      <c r="AL487" s="4"/>
      <c r="AM487" s="4"/>
      <c r="AN487" s="4"/>
      <c r="AO487" s="4"/>
      <c r="AP487" s="4"/>
      <c r="AQ487" s="4"/>
      <c r="AR487" s="4"/>
      <c r="AS487" s="76" t="str">
        <f>"COMMENT ON COLUMN "&amp;エンティティ一覧!$O$2&amp;"."&amp;D$8&amp;"."&amp;D487&amp;" IS '"&amp;C487&amp;"';"</f>
        <v>COMMENT ON COLUMN milscm_2023_009.sny_202310_annony_non_annony2.shikkan469_start_date IS 'C959_疾患開始日';</v>
      </c>
    </row>
    <row r="488" spans="1:45" s="25" customFormat="1">
      <c r="A488" s="4" t="s">
        <v>5612</v>
      </c>
      <c r="B488" s="21">
        <f t="shared" si="57"/>
        <v>476</v>
      </c>
      <c r="C488" s="13" t="str">
        <f t="shared" si="56"/>
        <v>C960_疾患開始日</v>
      </c>
      <c r="D488" s="13" t="s">
        <v>6130</v>
      </c>
      <c r="E488" s="8"/>
      <c r="F488" s="7" t="s">
        <v>4348</v>
      </c>
      <c r="G488" s="7" t="s">
        <v>25</v>
      </c>
      <c r="H488" s="58"/>
      <c r="I488" s="23"/>
      <c r="J488" s="24"/>
      <c r="M488" s="4"/>
      <c r="N488" s="76"/>
      <c r="O488" s="76"/>
      <c r="P488" s="76" t="str">
        <f t="shared" si="51"/>
        <v>,shikkan470_start_date</v>
      </c>
      <c r="Q488" s="76" t="str">
        <f t="shared" si="52"/>
        <v>DATE</v>
      </c>
      <c r="R488" s="76" t="str">
        <f t="shared" si="53"/>
        <v/>
      </c>
      <c r="S488" s="76" t="str">
        <f t="shared" si="54"/>
        <v/>
      </c>
      <c r="T488" s="76" t="str">
        <f t="shared" si="55"/>
        <v>-- C960_疾患開始日</v>
      </c>
      <c r="U488" s="4" t="str">
        <f t="shared" si="35"/>
        <v>, CASE WHEN shikkan_disp_name = 'C960' THEN min_shikkan_start_date ::DATE ELSE NULL END AS shikkan470_start_date</v>
      </c>
      <c r="V488" s="25" t="str">
        <f t="shared" si="36"/>
        <v>, max(shikkan470_start_date)</v>
      </c>
      <c r="AA488" s="4"/>
      <c r="AB488" s="4"/>
      <c r="AC488" s="4"/>
      <c r="AD488" s="4"/>
      <c r="AE488" s="4"/>
      <c r="AF488" s="4"/>
      <c r="AG488" s="4"/>
      <c r="AH488" s="4"/>
      <c r="AI488" s="4"/>
      <c r="AJ488" s="76" t="str">
        <f>IF(E488="○",IF(COUNTA(E$13:E488)=1,"",",")&amp;D488,"")</f>
        <v/>
      </c>
      <c r="AK488" s="4"/>
      <c r="AL488" s="4"/>
      <c r="AM488" s="4"/>
      <c r="AN488" s="4"/>
      <c r="AO488" s="4"/>
      <c r="AP488" s="4"/>
      <c r="AQ488" s="4"/>
      <c r="AR488" s="4"/>
      <c r="AS488" s="76" t="str">
        <f>"COMMENT ON COLUMN "&amp;エンティティ一覧!$O$2&amp;"."&amp;D$8&amp;"."&amp;D488&amp;" IS '"&amp;C488&amp;"';"</f>
        <v>COMMENT ON COLUMN milscm_2023_009.sny_202310_annony_non_annony2.shikkan470_start_date IS 'C960_疾患開始日';</v>
      </c>
    </row>
    <row r="489" spans="1:45" s="25" customFormat="1">
      <c r="A489" s="4" t="s">
        <v>5613</v>
      </c>
      <c r="B489" s="21">
        <f t="shared" si="57"/>
        <v>477</v>
      </c>
      <c r="C489" s="13" t="str">
        <f t="shared" si="56"/>
        <v>C962_疾患開始日</v>
      </c>
      <c r="D489" s="13" t="s">
        <v>6131</v>
      </c>
      <c r="E489" s="8"/>
      <c r="F489" s="7" t="s">
        <v>4348</v>
      </c>
      <c r="G489" s="7" t="s">
        <v>25</v>
      </c>
      <c r="H489" s="58"/>
      <c r="I489" s="23"/>
      <c r="J489" s="24"/>
      <c r="M489" s="4"/>
      <c r="N489" s="76"/>
      <c r="O489" s="76"/>
      <c r="P489" s="76" t="str">
        <f t="shared" si="51"/>
        <v>,shikkan471_start_date</v>
      </c>
      <c r="Q489" s="76" t="str">
        <f t="shared" si="52"/>
        <v>DATE</v>
      </c>
      <c r="R489" s="76" t="str">
        <f t="shared" si="53"/>
        <v/>
      </c>
      <c r="S489" s="76" t="str">
        <f t="shared" si="54"/>
        <v/>
      </c>
      <c r="T489" s="76" t="str">
        <f t="shared" si="55"/>
        <v>-- C962_疾患開始日</v>
      </c>
      <c r="U489" s="4" t="str">
        <f t="shared" si="35"/>
        <v>, CASE WHEN shikkan_disp_name = 'C962' THEN min_shikkan_start_date ::DATE ELSE NULL END AS shikkan471_start_date</v>
      </c>
      <c r="V489" s="25" t="str">
        <f t="shared" si="36"/>
        <v>, max(shikkan471_start_date)</v>
      </c>
      <c r="AA489" s="4"/>
      <c r="AB489" s="4"/>
      <c r="AC489" s="4"/>
      <c r="AD489" s="4"/>
      <c r="AE489" s="4"/>
      <c r="AF489" s="4"/>
      <c r="AG489" s="4"/>
      <c r="AH489" s="4"/>
      <c r="AI489" s="4"/>
      <c r="AJ489" s="76" t="str">
        <f>IF(E489="○",IF(COUNTA(E$13:E489)=1,"",",")&amp;D489,"")</f>
        <v/>
      </c>
      <c r="AK489" s="4"/>
      <c r="AL489" s="4"/>
      <c r="AM489" s="4"/>
      <c r="AN489" s="4"/>
      <c r="AO489" s="4"/>
      <c r="AP489" s="4"/>
      <c r="AQ489" s="4"/>
      <c r="AR489" s="4"/>
      <c r="AS489" s="76" t="str">
        <f>"COMMENT ON COLUMN "&amp;エンティティ一覧!$O$2&amp;"."&amp;D$8&amp;"."&amp;D489&amp;" IS '"&amp;C489&amp;"';"</f>
        <v>COMMENT ON COLUMN milscm_2023_009.sny_202310_annony_non_annony2.shikkan471_start_date IS 'C962_疾患開始日';</v>
      </c>
    </row>
    <row r="490" spans="1:45" s="25" customFormat="1">
      <c r="A490" s="4" t="s">
        <v>5614</v>
      </c>
      <c r="B490" s="21">
        <f t="shared" si="57"/>
        <v>478</v>
      </c>
      <c r="C490" s="13" t="str">
        <f t="shared" si="56"/>
        <v>C964_疾患開始日</v>
      </c>
      <c r="D490" s="13" t="s">
        <v>6132</v>
      </c>
      <c r="E490" s="8"/>
      <c r="F490" s="7" t="s">
        <v>4348</v>
      </c>
      <c r="G490" s="7" t="s">
        <v>25</v>
      </c>
      <c r="H490" s="58"/>
      <c r="I490" s="23"/>
      <c r="J490" s="24"/>
      <c r="M490" s="4"/>
      <c r="N490" s="76"/>
      <c r="O490" s="76"/>
      <c r="P490" s="76" t="str">
        <f t="shared" si="51"/>
        <v>,shikkan472_start_date</v>
      </c>
      <c r="Q490" s="76" t="str">
        <f t="shared" si="52"/>
        <v>DATE</v>
      </c>
      <c r="R490" s="76" t="str">
        <f t="shared" si="53"/>
        <v/>
      </c>
      <c r="S490" s="76" t="str">
        <f t="shared" si="54"/>
        <v/>
      </c>
      <c r="T490" s="76" t="str">
        <f t="shared" si="55"/>
        <v>-- C964_疾患開始日</v>
      </c>
      <c r="U490" s="4" t="str">
        <f t="shared" si="35"/>
        <v>, CASE WHEN shikkan_disp_name = 'C964' THEN min_shikkan_start_date ::DATE ELSE NULL END AS shikkan472_start_date</v>
      </c>
      <c r="V490" s="25" t="str">
        <f t="shared" si="36"/>
        <v>, max(shikkan472_start_date)</v>
      </c>
      <c r="AA490" s="4"/>
      <c r="AB490" s="4"/>
      <c r="AC490" s="4"/>
      <c r="AD490" s="4"/>
      <c r="AE490" s="4"/>
      <c r="AF490" s="4"/>
      <c r="AG490" s="4"/>
      <c r="AH490" s="4"/>
      <c r="AI490" s="4"/>
      <c r="AJ490" s="76" t="str">
        <f>IF(E490="○",IF(COUNTA(E$13:E490)=1,"",",")&amp;D490,"")</f>
        <v/>
      </c>
      <c r="AK490" s="4"/>
      <c r="AL490" s="4"/>
      <c r="AM490" s="4"/>
      <c r="AN490" s="4"/>
      <c r="AO490" s="4"/>
      <c r="AP490" s="4"/>
      <c r="AQ490" s="4"/>
      <c r="AR490" s="4"/>
      <c r="AS490" s="76" t="str">
        <f>"COMMENT ON COLUMN "&amp;エンティティ一覧!$O$2&amp;"."&amp;D$8&amp;"."&amp;D490&amp;" IS '"&amp;C490&amp;"';"</f>
        <v>COMMENT ON COLUMN milscm_2023_009.sny_202310_annony_non_annony2.shikkan472_start_date IS 'C964_疾患開始日';</v>
      </c>
    </row>
    <row r="491" spans="1:45" s="25" customFormat="1">
      <c r="A491" s="4" t="s">
        <v>5615</v>
      </c>
      <c r="B491" s="21">
        <f t="shared" si="57"/>
        <v>479</v>
      </c>
      <c r="C491" s="13" t="str">
        <f t="shared" si="56"/>
        <v>C965_疾患開始日</v>
      </c>
      <c r="D491" s="13" t="s">
        <v>6133</v>
      </c>
      <c r="E491" s="8"/>
      <c r="F491" s="7" t="s">
        <v>4348</v>
      </c>
      <c r="G491" s="7" t="s">
        <v>25</v>
      </c>
      <c r="H491" s="58"/>
      <c r="I491" s="23"/>
      <c r="J491" s="24"/>
      <c r="M491" s="4"/>
      <c r="N491" s="76"/>
      <c r="O491" s="76"/>
      <c r="P491" s="76" t="str">
        <f t="shared" si="51"/>
        <v>,shikkan473_start_date</v>
      </c>
      <c r="Q491" s="76" t="str">
        <f t="shared" si="52"/>
        <v>DATE</v>
      </c>
      <c r="R491" s="76" t="str">
        <f t="shared" si="53"/>
        <v/>
      </c>
      <c r="S491" s="76" t="str">
        <f t="shared" si="54"/>
        <v/>
      </c>
      <c r="T491" s="76" t="str">
        <f t="shared" si="55"/>
        <v>-- C965_疾患開始日</v>
      </c>
      <c r="U491" s="4" t="str">
        <f t="shared" si="35"/>
        <v>, CASE WHEN shikkan_disp_name = 'C965' THEN min_shikkan_start_date ::DATE ELSE NULL END AS shikkan473_start_date</v>
      </c>
      <c r="V491" s="25" t="str">
        <f t="shared" si="36"/>
        <v>, max(shikkan473_start_date)</v>
      </c>
      <c r="AA491" s="4"/>
      <c r="AB491" s="4"/>
      <c r="AC491" s="4"/>
      <c r="AD491" s="4"/>
      <c r="AE491" s="4"/>
      <c r="AF491" s="4"/>
      <c r="AG491" s="4"/>
      <c r="AH491" s="4"/>
      <c r="AI491" s="4"/>
      <c r="AJ491" s="76" t="str">
        <f>IF(E491="○",IF(COUNTA(E$13:E491)=1,"",",")&amp;D491,"")</f>
        <v/>
      </c>
      <c r="AK491" s="4"/>
      <c r="AL491" s="4"/>
      <c r="AM491" s="4"/>
      <c r="AN491" s="4"/>
      <c r="AO491" s="4"/>
      <c r="AP491" s="4"/>
      <c r="AQ491" s="4"/>
      <c r="AR491" s="4"/>
      <c r="AS491" s="76" t="str">
        <f>"COMMENT ON COLUMN "&amp;エンティティ一覧!$O$2&amp;"."&amp;D$8&amp;"."&amp;D491&amp;" IS '"&amp;C491&amp;"';"</f>
        <v>COMMENT ON COLUMN milscm_2023_009.sny_202310_annony_non_annony2.shikkan473_start_date IS 'C965_疾患開始日';</v>
      </c>
    </row>
    <row r="492" spans="1:45" s="25" customFormat="1">
      <c r="A492" s="4" t="s">
        <v>5616</v>
      </c>
      <c r="B492" s="21">
        <f t="shared" si="57"/>
        <v>480</v>
      </c>
      <c r="C492" s="13" t="str">
        <f t="shared" si="56"/>
        <v>C966_疾患開始日</v>
      </c>
      <c r="D492" s="13" t="s">
        <v>6134</v>
      </c>
      <c r="E492" s="8"/>
      <c r="F492" s="7" t="s">
        <v>4348</v>
      </c>
      <c r="G492" s="7" t="s">
        <v>25</v>
      </c>
      <c r="H492" s="58"/>
      <c r="I492" s="23"/>
      <c r="J492" s="24"/>
      <c r="M492" s="4"/>
      <c r="N492" s="76"/>
      <c r="O492" s="76"/>
      <c r="P492" s="76" t="str">
        <f t="shared" si="51"/>
        <v>,shikkan474_start_date</v>
      </c>
      <c r="Q492" s="76" t="str">
        <f t="shared" si="52"/>
        <v>DATE</v>
      </c>
      <c r="R492" s="76" t="str">
        <f t="shared" si="53"/>
        <v/>
      </c>
      <c r="S492" s="76" t="str">
        <f t="shared" si="54"/>
        <v/>
      </c>
      <c r="T492" s="76" t="str">
        <f t="shared" si="55"/>
        <v>-- C966_疾患開始日</v>
      </c>
      <c r="U492" s="4" t="str">
        <f t="shared" si="35"/>
        <v>, CASE WHEN shikkan_disp_name = 'C966' THEN min_shikkan_start_date ::DATE ELSE NULL END AS shikkan474_start_date</v>
      </c>
      <c r="V492" s="25" t="str">
        <f t="shared" si="36"/>
        <v>, max(shikkan474_start_date)</v>
      </c>
      <c r="AA492" s="4"/>
      <c r="AB492" s="4"/>
      <c r="AC492" s="4"/>
      <c r="AD492" s="4"/>
      <c r="AE492" s="4"/>
      <c r="AF492" s="4"/>
      <c r="AG492" s="4"/>
      <c r="AH492" s="4"/>
      <c r="AI492" s="4"/>
      <c r="AJ492" s="76" t="str">
        <f>IF(E492="○",IF(COUNTA(E$13:E492)=1,"",",")&amp;D492,"")</f>
        <v/>
      </c>
      <c r="AK492" s="4"/>
      <c r="AL492" s="4"/>
      <c r="AM492" s="4"/>
      <c r="AN492" s="4"/>
      <c r="AO492" s="4"/>
      <c r="AP492" s="4"/>
      <c r="AQ492" s="4"/>
      <c r="AR492" s="4"/>
      <c r="AS492" s="76" t="str">
        <f>"COMMENT ON COLUMN "&amp;エンティティ一覧!$O$2&amp;"."&amp;D$8&amp;"."&amp;D492&amp;" IS '"&amp;C492&amp;"';"</f>
        <v>COMMENT ON COLUMN milscm_2023_009.sny_202310_annony_non_annony2.shikkan474_start_date IS 'C966_疾患開始日';</v>
      </c>
    </row>
    <row r="493" spans="1:45" s="25" customFormat="1">
      <c r="A493" s="4" t="s">
        <v>5617</v>
      </c>
      <c r="B493" s="21">
        <f t="shared" si="57"/>
        <v>481</v>
      </c>
      <c r="C493" s="13" t="str">
        <f t="shared" si="56"/>
        <v>C967_疾患開始日</v>
      </c>
      <c r="D493" s="13" t="s">
        <v>6135</v>
      </c>
      <c r="E493" s="8"/>
      <c r="F493" s="7" t="s">
        <v>4348</v>
      </c>
      <c r="G493" s="7" t="s">
        <v>25</v>
      </c>
      <c r="H493" s="58"/>
      <c r="I493" s="23"/>
      <c r="J493" s="24"/>
      <c r="M493" s="4"/>
      <c r="N493" s="76"/>
      <c r="O493" s="76"/>
      <c r="P493" s="76" t="str">
        <f t="shared" si="51"/>
        <v>,shikkan475_start_date</v>
      </c>
      <c r="Q493" s="76" t="str">
        <f t="shared" si="52"/>
        <v>DATE</v>
      </c>
      <c r="R493" s="76" t="str">
        <f t="shared" si="53"/>
        <v/>
      </c>
      <c r="S493" s="76" t="str">
        <f t="shared" si="54"/>
        <v/>
      </c>
      <c r="T493" s="76" t="str">
        <f t="shared" si="55"/>
        <v>-- C967_疾患開始日</v>
      </c>
      <c r="U493" s="4" t="str">
        <f t="shared" si="35"/>
        <v>, CASE WHEN shikkan_disp_name = 'C967' THEN min_shikkan_start_date ::DATE ELSE NULL END AS shikkan475_start_date</v>
      </c>
      <c r="V493" s="25" t="str">
        <f t="shared" si="36"/>
        <v>, max(shikkan475_start_date)</v>
      </c>
      <c r="AA493" s="4"/>
      <c r="AB493" s="4"/>
      <c r="AC493" s="4"/>
      <c r="AD493" s="4"/>
      <c r="AE493" s="4"/>
      <c r="AF493" s="4"/>
      <c r="AG493" s="4"/>
      <c r="AH493" s="4"/>
      <c r="AI493" s="4"/>
      <c r="AJ493" s="76" t="str">
        <f>IF(E493="○",IF(COUNTA(E$13:E493)=1,"",",")&amp;D493,"")</f>
        <v/>
      </c>
      <c r="AK493" s="4"/>
      <c r="AL493" s="4"/>
      <c r="AM493" s="4"/>
      <c r="AN493" s="4"/>
      <c r="AO493" s="4"/>
      <c r="AP493" s="4"/>
      <c r="AQ493" s="4"/>
      <c r="AR493" s="4"/>
      <c r="AS493" s="76" t="str">
        <f>"COMMENT ON COLUMN "&amp;エンティティ一覧!$O$2&amp;"."&amp;D$8&amp;"."&amp;D493&amp;" IS '"&amp;C493&amp;"';"</f>
        <v>COMMENT ON COLUMN milscm_2023_009.sny_202310_annony_non_annony2.shikkan475_start_date IS 'C967_疾患開始日';</v>
      </c>
    </row>
    <row r="494" spans="1:45" s="25" customFormat="1">
      <c r="A494" s="4" t="s">
        <v>5618</v>
      </c>
      <c r="B494" s="21">
        <f t="shared" si="57"/>
        <v>482</v>
      </c>
      <c r="C494" s="13" t="str">
        <f t="shared" si="56"/>
        <v>C968_疾患開始日</v>
      </c>
      <c r="D494" s="13" t="s">
        <v>6136</v>
      </c>
      <c r="E494" s="8"/>
      <c r="F494" s="7" t="s">
        <v>4348</v>
      </c>
      <c r="G494" s="7" t="s">
        <v>25</v>
      </c>
      <c r="H494" s="58"/>
      <c r="I494" s="23"/>
      <c r="J494" s="24"/>
      <c r="M494" s="4"/>
      <c r="N494" s="76"/>
      <c r="O494" s="76"/>
      <c r="P494" s="76" t="str">
        <f t="shared" si="51"/>
        <v>,shikkan476_start_date</v>
      </c>
      <c r="Q494" s="76" t="str">
        <f t="shared" si="52"/>
        <v>DATE</v>
      </c>
      <c r="R494" s="76" t="str">
        <f t="shared" si="53"/>
        <v/>
      </c>
      <c r="S494" s="76" t="str">
        <f t="shared" si="54"/>
        <v/>
      </c>
      <c r="T494" s="76" t="str">
        <f t="shared" si="55"/>
        <v>-- C968_疾患開始日</v>
      </c>
      <c r="U494" s="4" t="str">
        <f t="shared" si="35"/>
        <v>, CASE WHEN shikkan_disp_name = 'C968' THEN min_shikkan_start_date ::DATE ELSE NULL END AS shikkan476_start_date</v>
      </c>
      <c r="V494" s="25" t="str">
        <f t="shared" si="36"/>
        <v>, max(shikkan476_start_date)</v>
      </c>
      <c r="AA494" s="4"/>
      <c r="AB494" s="4"/>
      <c r="AC494" s="4"/>
      <c r="AD494" s="4"/>
      <c r="AE494" s="4"/>
      <c r="AF494" s="4"/>
      <c r="AG494" s="4"/>
      <c r="AH494" s="4"/>
      <c r="AI494" s="4"/>
      <c r="AJ494" s="76" t="str">
        <f>IF(E494="○",IF(COUNTA(E$13:E494)=1,"",",")&amp;D494,"")</f>
        <v/>
      </c>
      <c r="AK494" s="4"/>
      <c r="AL494" s="4"/>
      <c r="AM494" s="4"/>
      <c r="AN494" s="4"/>
      <c r="AO494" s="4"/>
      <c r="AP494" s="4"/>
      <c r="AQ494" s="4"/>
      <c r="AR494" s="4"/>
      <c r="AS494" s="76" t="str">
        <f>"COMMENT ON COLUMN "&amp;エンティティ一覧!$O$2&amp;"."&amp;D$8&amp;"."&amp;D494&amp;" IS '"&amp;C494&amp;"';"</f>
        <v>COMMENT ON COLUMN milscm_2023_009.sny_202310_annony_non_annony2.shikkan476_start_date IS 'C968_疾患開始日';</v>
      </c>
    </row>
    <row r="495" spans="1:45" s="25" customFormat="1">
      <c r="A495" s="4" t="s">
        <v>5619</v>
      </c>
      <c r="B495" s="21">
        <f t="shared" si="57"/>
        <v>483</v>
      </c>
      <c r="C495" s="13" t="str">
        <f t="shared" si="56"/>
        <v>C969_疾患開始日</v>
      </c>
      <c r="D495" s="13" t="s">
        <v>6137</v>
      </c>
      <c r="E495" s="8"/>
      <c r="F495" s="7" t="s">
        <v>4348</v>
      </c>
      <c r="G495" s="7" t="s">
        <v>25</v>
      </c>
      <c r="H495" s="58"/>
      <c r="I495" s="23"/>
      <c r="J495" s="24"/>
      <c r="M495" s="4"/>
      <c r="N495" s="76"/>
      <c r="O495" s="76"/>
      <c r="P495" s="76" t="str">
        <f t="shared" si="51"/>
        <v>,shikkan477_start_date</v>
      </c>
      <c r="Q495" s="76" t="str">
        <f t="shared" si="52"/>
        <v>DATE</v>
      </c>
      <c r="R495" s="76" t="str">
        <f t="shared" si="53"/>
        <v/>
      </c>
      <c r="S495" s="76" t="str">
        <f t="shared" si="54"/>
        <v/>
      </c>
      <c r="T495" s="76" t="str">
        <f t="shared" si="55"/>
        <v>-- C969_疾患開始日</v>
      </c>
      <c r="U495" s="4" t="str">
        <f t="shared" si="35"/>
        <v>, CASE WHEN shikkan_disp_name = 'C969' THEN min_shikkan_start_date ::DATE ELSE NULL END AS shikkan477_start_date</v>
      </c>
      <c r="V495" s="25" t="str">
        <f t="shared" si="36"/>
        <v>, max(shikkan477_start_date)</v>
      </c>
      <c r="AA495" s="4"/>
      <c r="AB495" s="4"/>
      <c r="AC495" s="4"/>
      <c r="AD495" s="4"/>
      <c r="AE495" s="4"/>
      <c r="AF495" s="4"/>
      <c r="AG495" s="4"/>
      <c r="AH495" s="4"/>
      <c r="AI495" s="4"/>
      <c r="AJ495" s="76" t="str">
        <f>IF(E495="○",IF(COUNTA(E$13:E495)=1,"",",")&amp;D495,"")</f>
        <v/>
      </c>
      <c r="AK495" s="4"/>
      <c r="AL495" s="4"/>
      <c r="AM495" s="4"/>
      <c r="AN495" s="4"/>
      <c r="AO495" s="4"/>
      <c r="AP495" s="4"/>
      <c r="AQ495" s="4"/>
      <c r="AR495" s="4"/>
      <c r="AS495" s="76" t="str">
        <f>"COMMENT ON COLUMN "&amp;エンティティ一覧!$O$2&amp;"."&amp;D$8&amp;"."&amp;D495&amp;" IS '"&amp;C495&amp;"';"</f>
        <v>COMMENT ON COLUMN milscm_2023_009.sny_202310_annony_non_annony2.shikkan477_start_date IS 'C969_疾患開始日';</v>
      </c>
    </row>
    <row r="496" spans="1:45" s="25" customFormat="1">
      <c r="A496" s="4" t="s">
        <v>5157</v>
      </c>
      <c r="B496" s="21">
        <f t="shared" si="57"/>
        <v>484</v>
      </c>
      <c r="C496" s="13" t="str">
        <f t="shared" si="56"/>
        <v>C97_疾患開始日</v>
      </c>
      <c r="D496" s="13" t="s">
        <v>6138</v>
      </c>
      <c r="E496" s="8"/>
      <c r="F496" s="7" t="s">
        <v>4348</v>
      </c>
      <c r="G496" s="7" t="s">
        <v>25</v>
      </c>
      <c r="H496" s="58"/>
      <c r="I496" s="23"/>
      <c r="J496" s="24"/>
      <c r="M496" s="4"/>
      <c r="N496" s="76"/>
      <c r="O496" s="76"/>
      <c r="P496" s="76" t="str">
        <f t="shared" si="51"/>
        <v>,shikkan478_start_date</v>
      </c>
      <c r="Q496" s="76" t="str">
        <f t="shared" si="52"/>
        <v>DATE</v>
      </c>
      <c r="R496" s="76" t="str">
        <f t="shared" si="53"/>
        <v/>
      </c>
      <c r="S496" s="76" t="str">
        <f t="shared" si="54"/>
        <v/>
      </c>
      <c r="T496" s="76" t="str">
        <f t="shared" si="55"/>
        <v>-- C97_疾患開始日</v>
      </c>
      <c r="U496" s="4" t="str">
        <f t="shared" si="35"/>
        <v>, CASE WHEN shikkan_disp_name = 'C97' THEN min_shikkan_start_date ::DATE ELSE NULL END AS shikkan478_start_date</v>
      </c>
      <c r="V496" s="25" t="str">
        <f t="shared" si="36"/>
        <v>, max(shikkan478_start_date)</v>
      </c>
      <c r="AA496" s="4"/>
      <c r="AB496" s="4"/>
      <c r="AC496" s="4"/>
      <c r="AD496" s="4"/>
      <c r="AE496" s="4"/>
      <c r="AF496" s="4"/>
      <c r="AG496" s="4"/>
      <c r="AH496" s="4"/>
      <c r="AI496" s="4"/>
      <c r="AJ496" s="76" t="str">
        <f>IF(E496="○",IF(COUNTA(E$13:E496)=1,"",",")&amp;D496,"")</f>
        <v/>
      </c>
      <c r="AK496" s="4"/>
      <c r="AL496" s="4"/>
      <c r="AM496" s="4"/>
      <c r="AN496" s="4"/>
      <c r="AO496" s="4"/>
      <c r="AP496" s="4"/>
      <c r="AQ496" s="4"/>
      <c r="AR496" s="4"/>
      <c r="AS496" s="76" t="str">
        <f>"COMMENT ON COLUMN "&amp;エンティティ一覧!$O$2&amp;"."&amp;D$8&amp;"."&amp;D496&amp;" IS '"&amp;C496&amp;"';"</f>
        <v>COMMENT ON COLUMN milscm_2023_009.sny_202310_annony_non_annony2.shikkan478_start_date IS 'C97_疾患開始日';</v>
      </c>
    </row>
    <row r="497" spans="1:45" s="25" customFormat="1">
      <c r="A497" s="4" t="s">
        <v>5088</v>
      </c>
      <c r="B497" s="21">
        <f t="shared" si="57"/>
        <v>485</v>
      </c>
      <c r="C497" s="13" t="str">
        <f t="shared" si="56"/>
        <v>E100_疾患開始日</v>
      </c>
      <c r="D497" s="13" t="s">
        <v>6139</v>
      </c>
      <c r="E497" s="8"/>
      <c r="F497" s="7" t="s">
        <v>4348</v>
      </c>
      <c r="G497" s="7" t="s">
        <v>25</v>
      </c>
      <c r="H497" s="58"/>
      <c r="I497" s="23"/>
      <c r="J497" s="24"/>
      <c r="M497" s="4"/>
      <c r="N497" s="76"/>
      <c r="O497" s="76"/>
      <c r="P497" s="76" t="str">
        <f t="shared" si="51"/>
        <v>,shikkan479_start_date</v>
      </c>
      <c r="Q497" s="76" t="str">
        <f t="shared" si="52"/>
        <v>DATE</v>
      </c>
      <c r="R497" s="76" t="str">
        <f t="shared" si="53"/>
        <v/>
      </c>
      <c r="S497" s="76" t="str">
        <f t="shared" si="54"/>
        <v/>
      </c>
      <c r="T497" s="76" t="str">
        <f t="shared" si="55"/>
        <v>-- E100_疾患開始日</v>
      </c>
      <c r="U497" s="4" t="str">
        <f t="shared" si="35"/>
        <v>, CASE WHEN shikkan_disp_name = 'E100' THEN min_shikkan_start_date ::DATE ELSE NULL END AS shikkan479_start_date</v>
      </c>
      <c r="V497" s="25" t="str">
        <f t="shared" si="36"/>
        <v>, max(shikkan479_start_date)</v>
      </c>
      <c r="AA497" s="4"/>
      <c r="AB497" s="4"/>
      <c r="AC497" s="4"/>
      <c r="AD497" s="4"/>
      <c r="AE497" s="4"/>
      <c r="AF497" s="4"/>
      <c r="AG497" s="4"/>
      <c r="AH497" s="4"/>
      <c r="AI497" s="4"/>
      <c r="AJ497" s="76" t="str">
        <f>IF(E497="○",IF(COUNTA(E$13:E497)=1,"",",")&amp;D497,"")</f>
        <v/>
      </c>
      <c r="AK497" s="4"/>
      <c r="AL497" s="4"/>
      <c r="AM497" s="4"/>
      <c r="AN497" s="4"/>
      <c r="AO497" s="4"/>
      <c r="AP497" s="4"/>
      <c r="AQ497" s="4"/>
      <c r="AR497" s="4"/>
      <c r="AS497" s="76" t="str">
        <f>"COMMENT ON COLUMN "&amp;エンティティ一覧!$O$2&amp;"."&amp;D$8&amp;"."&amp;D497&amp;" IS '"&amp;C497&amp;"';"</f>
        <v>COMMENT ON COLUMN milscm_2023_009.sny_202310_annony_non_annony2.shikkan479_start_date IS 'E100_疾患開始日';</v>
      </c>
    </row>
    <row r="498" spans="1:45" s="25" customFormat="1">
      <c r="A498" s="4" t="s">
        <v>5089</v>
      </c>
      <c r="B498" s="21">
        <f t="shared" si="57"/>
        <v>486</v>
      </c>
      <c r="C498" s="13" t="str">
        <f t="shared" si="56"/>
        <v>E101_疾患開始日</v>
      </c>
      <c r="D498" s="13" t="s">
        <v>6140</v>
      </c>
      <c r="E498" s="8"/>
      <c r="F498" s="7" t="s">
        <v>4348</v>
      </c>
      <c r="G498" s="7" t="s">
        <v>99</v>
      </c>
      <c r="H498" s="58"/>
      <c r="I498" s="23"/>
      <c r="J498" s="24"/>
      <c r="M498" s="4"/>
      <c r="N498" s="76"/>
      <c r="O498" s="76"/>
      <c r="P498" s="76" t="str">
        <f t="shared" si="51"/>
        <v>,shikkan480_start_date</v>
      </c>
      <c r="Q498" s="76" t="str">
        <f t="shared" si="52"/>
        <v>DATE</v>
      </c>
      <c r="R498" s="76" t="str">
        <f t="shared" si="53"/>
        <v/>
      </c>
      <c r="S498" s="76" t="str">
        <f t="shared" si="54"/>
        <v/>
      </c>
      <c r="T498" s="76" t="str">
        <f t="shared" si="55"/>
        <v>-- E101_疾患開始日</v>
      </c>
      <c r="U498" s="4" t="str">
        <f t="shared" si="35"/>
        <v>, CASE WHEN shikkan_disp_name = 'E101' THEN min_shikkan_start_date ::DATE ELSE NULL END AS shikkan480_start_date</v>
      </c>
      <c r="V498" s="25" t="str">
        <f t="shared" si="36"/>
        <v>, max(shikkan480_start_date)</v>
      </c>
      <c r="AA498" s="4"/>
      <c r="AB498" s="4"/>
      <c r="AC498" s="4"/>
      <c r="AD498" s="4"/>
      <c r="AE498" s="4"/>
      <c r="AF498" s="4"/>
      <c r="AG498" s="4"/>
      <c r="AH498" s="4"/>
      <c r="AI498" s="4"/>
      <c r="AJ498" s="76" t="str">
        <f>IF(E498="○",IF(COUNTA(E$13:E498)=1,"",",")&amp;D498,"")</f>
        <v/>
      </c>
      <c r="AK498" s="4"/>
      <c r="AL498" s="4"/>
      <c r="AM498" s="4"/>
      <c r="AN498" s="4"/>
      <c r="AO498" s="4"/>
      <c r="AP498" s="4"/>
      <c r="AQ498" s="4"/>
      <c r="AR498" s="4"/>
      <c r="AS498" s="76" t="str">
        <f>"COMMENT ON COLUMN "&amp;エンティティ一覧!$O$2&amp;"."&amp;D$8&amp;"."&amp;D498&amp;" IS '"&amp;C498&amp;"';"</f>
        <v>COMMENT ON COLUMN milscm_2023_009.sny_202310_annony_non_annony2.shikkan480_start_date IS 'E101_疾患開始日';</v>
      </c>
    </row>
    <row r="499" spans="1:45" s="25" customFormat="1">
      <c r="A499" s="4" t="s">
        <v>5113</v>
      </c>
      <c r="B499" s="21">
        <f t="shared" si="57"/>
        <v>487</v>
      </c>
      <c r="C499" s="13" t="str">
        <f t="shared" si="56"/>
        <v>E102_疾患開始日</v>
      </c>
      <c r="D499" s="13" t="s">
        <v>6141</v>
      </c>
      <c r="E499" s="8"/>
      <c r="F499" s="7" t="s">
        <v>4348</v>
      </c>
      <c r="G499" s="7" t="s">
        <v>25</v>
      </c>
      <c r="H499" s="58"/>
      <c r="I499" s="23"/>
      <c r="J499" s="24"/>
      <c r="M499" s="4"/>
      <c r="N499" s="76"/>
      <c r="O499" s="76"/>
      <c r="P499" s="76" t="str">
        <f t="shared" si="51"/>
        <v>,shikkan481_start_date</v>
      </c>
      <c r="Q499" s="76" t="str">
        <f t="shared" si="52"/>
        <v>DATE</v>
      </c>
      <c r="R499" s="76" t="str">
        <f t="shared" si="53"/>
        <v/>
      </c>
      <c r="S499" s="76" t="str">
        <f t="shared" si="54"/>
        <v/>
      </c>
      <c r="T499" s="76" t="str">
        <f t="shared" si="55"/>
        <v>-- E102_疾患開始日</v>
      </c>
      <c r="U499" s="4" t="str">
        <f t="shared" si="35"/>
        <v>, CASE WHEN shikkan_disp_name = 'E102' THEN min_shikkan_start_date ::DATE ELSE NULL END AS shikkan481_start_date</v>
      </c>
      <c r="V499" s="25" t="str">
        <f t="shared" si="36"/>
        <v>, max(shikkan481_start_date)</v>
      </c>
      <c r="AA499" s="4"/>
      <c r="AB499" s="4"/>
      <c r="AC499" s="4"/>
      <c r="AD499" s="4"/>
      <c r="AE499" s="4"/>
      <c r="AF499" s="4"/>
      <c r="AG499" s="4"/>
      <c r="AH499" s="4"/>
      <c r="AI499" s="4"/>
      <c r="AJ499" s="76" t="str">
        <f>IF(E499="○",IF(COUNTA(E$13:E499)=1,"",",")&amp;D499,"")</f>
        <v/>
      </c>
      <c r="AK499" s="4"/>
      <c r="AL499" s="4"/>
      <c r="AM499" s="4"/>
      <c r="AN499" s="4"/>
      <c r="AO499" s="4"/>
      <c r="AP499" s="4"/>
      <c r="AQ499" s="4"/>
      <c r="AR499" s="4"/>
      <c r="AS499" s="76" t="str">
        <f>"COMMENT ON COLUMN "&amp;エンティティ一覧!$O$2&amp;"."&amp;D$8&amp;"."&amp;D499&amp;" IS '"&amp;C499&amp;"';"</f>
        <v>COMMENT ON COLUMN milscm_2023_009.sny_202310_annony_non_annony2.shikkan481_start_date IS 'E102_疾患開始日';</v>
      </c>
    </row>
    <row r="500" spans="1:45" s="25" customFormat="1">
      <c r="A500" s="4" t="s">
        <v>5114</v>
      </c>
      <c r="B500" s="21">
        <f t="shared" si="57"/>
        <v>488</v>
      </c>
      <c r="C500" s="13" t="str">
        <f t="shared" si="56"/>
        <v>E103_疾患開始日</v>
      </c>
      <c r="D500" s="13" t="s">
        <v>6142</v>
      </c>
      <c r="E500" s="8"/>
      <c r="F500" s="7" t="s">
        <v>4348</v>
      </c>
      <c r="G500" s="7" t="s">
        <v>25</v>
      </c>
      <c r="H500" s="58"/>
      <c r="I500" s="23"/>
      <c r="J500" s="24"/>
      <c r="M500" s="4"/>
      <c r="N500" s="76"/>
      <c r="O500" s="76"/>
      <c r="P500" s="76" t="str">
        <f t="shared" si="51"/>
        <v>,shikkan482_start_date</v>
      </c>
      <c r="Q500" s="76" t="str">
        <f t="shared" si="52"/>
        <v>DATE</v>
      </c>
      <c r="R500" s="76" t="str">
        <f t="shared" si="53"/>
        <v/>
      </c>
      <c r="S500" s="76" t="str">
        <f t="shared" si="54"/>
        <v/>
      </c>
      <c r="T500" s="76" t="str">
        <f t="shared" si="55"/>
        <v>-- E103_疾患開始日</v>
      </c>
      <c r="U500" s="4" t="str">
        <f t="shared" si="35"/>
        <v>, CASE WHEN shikkan_disp_name = 'E103' THEN min_shikkan_start_date ::DATE ELSE NULL END AS shikkan482_start_date</v>
      </c>
      <c r="V500" s="25" t="str">
        <f t="shared" si="36"/>
        <v>, max(shikkan482_start_date)</v>
      </c>
      <c r="AA500" s="4"/>
      <c r="AB500" s="4"/>
      <c r="AC500" s="4"/>
      <c r="AD500" s="4"/>
      <c r="AE500" s="4"/>
      <c r="AF500" s="4"/>
      <c r="AG500" s="4"/>
      <c r="AH500" s="4"/>
      <c r="AI500" s="4"/>
      <c r="AJ500" s="76" t="str">
        <f>IF(E500="○",IF(COUNTA(E$13:E500)=1,"",",")&amp;D500,"")</f>
        <v/>
      </c>
      <c r="AK500" s="4"/>
      <c r="AL500" s="4"/>
      <c r="AM500" s="4"/>
      <c r="AN500" s="4"/>
      <c r="AO500" s="4"/>
      <c r="AP500" s="4"/>
      <c r="AQ500" s="4"/>
      <c r="AR500" s="4"/>
      <c r="AS500" s="76" t="str">
        <f>"COMMENT ON COLUMN "&amp;エンティティ一覧!$O$2&amp;"."&amp;D$8&amp;"."&amp;D500&amp;" IS '"&amp;C500&amp;"';"</f>
        <v>COMMENT ON COLUMN milscm_2023_009.sny_202310_annony_non_annony2.shikkan482_start_date IS 'E103_疾患開始日';</v>
      </c>
    </row>
    <row r="501" spans="1:45" s="25" customFormat="1">
      <c r="A501" s="4" t="s">
        <v>5115</v>
      </c>
      <c r="B501" s="21">
        <f t="shared" si="57"/>
        <v>489</v>
      </c>
      <c r="C501" s="13" t="str">
        <f t="shared" si="56"/>
        <v>E104_疾患開始日</v>
      </c>
      <c r="D501" s="13" t="s">
        <v>6143</v>
      </c>
      <c r="E501" s="8"/>
      <c r="F501" s="7" t="s">
        <v>4348</v>
      </c>
      <c r="G501" s="7" t="s">
        <v>25</v>
      </c>
      <c r="H501" s="58"/>
      <c r="I501" s="23"/>
      <c r="J501" s="24"/>
      <c r="M501" s="4"/>
      <c r="N501" s="76"/>
      <c r="O501" s="76"/>
      <c r="P501" s="76" t="str">
        <f t="shared" si="51"/>
        <v>,shikkan483_start_date</v>
      </c>
      <c r="Q501" s="76" t="str">
        <f t="shared" si="52"/>
        <v>DATE</v>
      </c>
      <c r="R501" s="76" t="str">
        <f t="shared" si="53"/>
        <v/>
      </c>
      <c r="S501" s="76" t="str">
        <f t="shared" si="54"/>
        <v/>
      </c>
      <c r="T501" s="76" t="str">
        <f t="shared" si="55"/>
        <v>-- E104_疾患開始日</v>
      </c>
      <c r="U501" s="4" t="str">
        <f t="shared" si="35"/>
        <v>, CASE WHEN shikkan_disp_name = 'E104' THEN min_shikkan_start_date ::DATE ELSE NULL END AS shikkan483_start_date</v>
      </c>
      <c r="V501" s="25" t="str">
        <f t="shared" si="36"/>
        <v>, max(shikkan483_start_date)</v>
      </c>
      <c r="AA501" s="4"/>
      <c r="AB501" s="4"/>
      <c r="AC501" s="4"/>
      <c r="AD501" s="4"/>
      <c r="AE501" s="4"/>
      <c r="AF501" s="4"/>
      <c r="AG501" s="4"/>
      <c r="AH501" s="4"/>
      <c r="AI501" s="4"/>
      <c r="AJ501" s="76" t="str">
        <f>IF(E501="○",IF(COUNTA(E$13:E501)=1,"",",")&amp;D501,"")</f>
        <v/>
      </c>
      <c r="AK501" s="4"/>
      <c r="AL501" s="4"/>
      <c r="AM501" s="4"/>
      <c r="AN501" s="4"/>
      <c r="AO501" s="4"/>
      <c r="AP501" s="4"/>
      <c r="AQ501" s="4"/>
      <c r="AR501" s="4"/>
      <c r="AS501" s="76" t="str">
        <f>"COMMENT ON COLUMN "&amp;エンティティ一覧!$O$2&amp;"."&amp;D$8&amp;"."&amp;D501&amp;" IS '"&amp;C501&amp;"';"</f>
        <v>COMMENT ON COLUMN milscm_2023_009.sny_202310_annony_non_annony2.shikkan483_start_date IS 'E104_疾患開始日';</v>
      </c>
    </row>
    <row r="502" spans="1:45" s="25" customFormat="1">
      <c r="A502" s="4" t="s">
        <v>5116</v>
      </c>
      <c r="B502" s="21">
        <f t="shared" si="57"/>
        <v>490</v>
      </c>
      <c r="C502" s="13" t="str">
        <f t="shared" si="56"/>
        <v>E105_疾患開始日</v>
      </c>
      <c r="D502" s="13" t="s">
        <v>6144</v>
      </c>
      <c r="E502" s="8"/>
      <c r="F502" s="7" t="s">
        <v>4348</v>
      </c>
      <c r="G502" s="7" t="s">
        <v>25</v>
      </c>
      <c r="H502" s="58"/>
      <c r="I502" s="23"/>
      <c r="J502" s="24"/>
      <c r="M502" s="4"/>
      <c r="N502" s="76"/>
      <c r="O502" s="76"/>
      <c r="P502" s="76" t="str">
        <f t="shared" si="51"/>
        <v>,shikkan484_start_date</v>
      </c>
      <c r="Q502" s="76" t="str">
        <f t="shared" si="52"/>
        <v>DATE</v>
      </c>
      <c r="R502" s="76" t="str">
        <f t="shared" si="53"/>
        <v/>
      </c>
      <c r="S502" s="76" t="str">
        <f t="shared" si="54"/>
        <v/>
      </c>
      <c r="T502" s="76" t="str">
        <f t="shared" si="55"/>
        <v>-- E105_疾患開始日</v>
      </c>
      <c r="U502" s="4" t="str">
        <f t="shared" si="35"/>
        <v>, CASE WHEN shikkan_disp_name = 'E105' THEN min_shikkan_start_date ::DATE ELSE NULL END AS shikkan484_start_date</v>
      </c>
      <c r="V502" s="25" t="str">
        <f t="shared" si="36"/>
        <v>, max(shikkan484_start_date)</v>
      </c>
      <c r="AA502" s="4"/>
      <c r="AB502" s="4"/>
      <c r="AC502" s="4"/>
      <c r="AD502" s="4"/>
      <c r="AE502" s="4"/>
      <c r="AF502" s="4"/>
      <c r="AG502" s="4"/>
      <c r="AH502" s="4"/>
      <c r="AI502" s="4"/>
      <c r="AJ502" s="76" t="str">
        <f>IF(E502="○",IF(COUNTA(E$13:E502)=1,"",",")&amp;D502,"")</f>
        <v/>
      </c>
      <c r="AK502" s="4"/>
      <c r="AL502" s="4"/>
      <c r="AM502" s="4"/>
      <c r="AN502" s="4"/>
      <c r="AO502" s="4"/>
      <c r="AP502" s="4"/>
      <c r="AQ502" s="4"/>
      <c r="AR502" s="4"/>
      <c r="AS502" s="76" t="str">
        <f>"COMMENT ON COLUMN "&amp;エンティティ一覧!$O$2&amp;"."&amp;D$8&amp;"."&amp;D502&amp;" IS '"&amp;C502&amp;"';"</f>
        <v>COMMENT ON COLUMN milscm_2023_009.sny_202310_annony_non_annony2.shikkan484_start_date IS 'E105_疾患開始日';</v>
      </c>
    </row>
    <row r="503" spans="1:45" s="25" customFormat="1">
      <c r="A503" s="4" t="s">
        <v>5090</v>
      </c>
      <c r="B503" s="21">
        <f t="shared" si="57"/>
        <v>491</v>
      </c>
      <c r="C503" s="13" t="str">
        <f t="shared" si="56"/>
        <v>E106_疾患開始日</v>
      </c>
      <c r="D503" s="13" t="s">
        <v>6145</v>
      </c>
      <c r="E503" s="8"/>
      <c r="F503" s="7" t="s">
        <v>4348</v>
      </c>
      <c r="G503" s="7" t="s">
        <v>25</v>
      </c>
      <c r="H503" s="58"/>
      <c r="I503" s="23"/>
      <c r="J503" s="24"/>
      <c r="M503" s="4"/>
      <c r="N503" s="76"/>
      <c r="O503" s="76"/>
      <c r="P503" s="76" t="str">
        <f t="shared" si="51"/>
        <v>,shikkan485_start_date</v>
      </c>
      <c r="Q503" s="76" t="str">
        <f t="shared" si="52"/>
        <v>DATE</v>
      </c>
      <c r="R503" s="76" t="str">
        <f t="shared" si="53"/>
        <v/>
      </c>
      <c r="S503" s="76" t="str">
        <f t="shared" si="54"/>
        <v/>
      </c>
      <c r="T503" s="76" t="str">
        <f t="shared" si="55"/>
        <v>-- E106_疾患開始日</v>
      </c>
      <c r="U503" s="4" t="str">
        <f t="shared" si="35"/>
        <v>, CASE WHEN shikkan_disp_name = 'E106' THEN min_shikkan_start_date ::DATE ELSE NULL END AS shikkan485_start_date</v>
      </c>
      <c r="V503" s="25" t="str">
        <f t="shared" si="36"/>
        <v>, max(shikkan485_start_date)</v>
      </c>
      <c r="AA503" s="4"/>
      <c r="AB503" s="4"/>
      <c r="AC503" s="4"/>
      <c r="AD503" s="4"/>
      <c r="AE503" s="4"/>
      <c r="AF503" s="4"/>
      <c r="AG503" s="4"/>
      <c r="AH503" s="4"/>
      <c r="AI503" s="4"/>
      <c r="AJ503" s="76" t="str">
        <f>IF(E503="○",IF(COUNTA(E$13:E503)=1,"",",")&amp;D503,"")</f>
        <v/>
      </c>
      <c r="AK503" s="4"/>
      <c r="AL503" s="4"/>
      <c r="AM503" s="4"/>
      <c r="AN503" s="4"/>
      <c r="AO503" s="4"/>
      <c r="AP503" s="4"/>
      <c r="AQ503" s="4"/>
      <c r="AR503" s="4"/>
      <c r="AS503" s="76" t="str">
        <f>"COMMENT ON COLUMN "&amp;エンティティ一覧!$O$2&amp;"."&amp;D$8&amp;"."&amp;D503&amp;" IS '"&amp;C503&amp;"';"</f>
        <v>COMMENT ON COLUMN milscm_2023_009.sny_202310_annony_non_annony2.shikkan485_start_date IS 'E106_疾患開始日';</v>
      </c>
    </row>
    <row r="504" spans="1:45" s="25" customFormat="1">
      <c r="A504" s="4" t="s">
        <v>5091</v>
      </c>
      <c r="B504" s="21">
        <f t="shared" si="57"/>
        <v>492</v>
      </c>
      <c r="C504" s="13" t="str">
        <f t="shared" si="56"/>
        <v>E108_疾患開始日</v>
      </c>
      <c r="D504" s="13" t="s">
        <v>6146</v>
      </c>
      <c r="E504" s="8"/>
      <c r="F504" s="7" t="s">
        <v>4348</v>
      </c>
      <c r="G504" s="7" t="s">
        <v>25</v>
      </c>
      <c r="H504" s="58"/>
      <c r="I504" s="23"/>
      <c r="J504" s="24"/>
      <c r="M504" s="4"/>
      <c r="N504" s="76"/>
      <c r="O504" s="76"/>
      <c r="P504" s="76" t="str">
        <f t="shared" si="51"/>
        <v>,shikkan486_start_date</v>
      </c>
      <c r="Q504" s="76" t="str">
        <f t="shared" si="52"/>
        <v>DATE</v>
      </c>
      <c r="R504" s="76" t="str">
        <f t="shared" si="53"/>
        <v/>
      </c>
      <c r="S504" s="76" t="str">
        <f t="shared" si="54"/>
        <v/>
      </c>
      <c r="T504" s="76" t="str">
        <f t="shared" si="55"/>
        <v>-- E108_疾患開始日</v>
      </c>
      <c r="U504" s="4" t="str">
        <f t="shared" si="35"/>
        <v>, CASE WHEN shikkan_disp_name = 'E108' THEN min_shikkan_start_date ::DATE ELSE NULL END AS shikkan486_start_date</v>
      </c>
      <c r="V504" s="25" t="str">
        <f t="shared" si="36"/>
        <v>, max(shikkan486_start_date)</v>
      </c>
      <c r="AA504" s="4"/>
      <c r="AB504" s="4"/>
      <c r="AC504" s="4"/>
      <c r="AD504" s="4"/>
      <c r="AE504" s="4"/>
      <c r="AF504" s="4"/>
      <c r="AG504" s="4"/>
      <c r="AH504" s="4"/>
      <c r="AI504" s="4"/>
      <c r="AJ504" s="76" t="str">
        <f>IF(E504="○",IF(COUNTA(E$13:E504)=1,"",",")&amp;D504,"")</f>
        <v/>
      </c>
      <c r="AK504" s="4"/>
      <c r="AL504" s="4"/>
      <c r="AM504" s="4"/>
      <c r="AN504" s="4"/>
      <c r="AO504" s="4"/>
      <c r="AP504" s="4"/>
      <c r="AQ504" s="4"/>
      <c r="AR504" s="4"/>
      <c r="AS504" s="76" t="str">
        <f>"COMMENT ON COLUMN "&amp;エンティティ一覧!$O$2&amp;"."&amp;D$8&amp;"."&amp;D504&amp;" IS '"&amp;C504&amp;"';"</f>
        <v>COMMENT ON COLUMN milscm_2023_009.sny_202310_annony_non_annony2.shikkan486_start_date IS 'E108_疾患開始日';</v>
      </c>
    </row>
    <row r="505" spans="1:45" s="25" customFormat="1">
      <c r="A505" s="4" t="s">
        <v>5092</v>
      </c>
      <c r="B505" s="21">
        <f t="shared" si="57"/>
        <v>493</v>
      </c>
      <c r="C505" s="13" t="str">
        <f t="shared" si="56"/>
        <v>E109_疾患開始日</v>
      </c>
      <c r="D505" s="13" t="s">
        <v>6147</v>
      </c>
      <c r="E505" s="8"/>
      <c r="F505" s="7" t="s">
        <v>4348</v>
      </c>
      <c r="G505" s="7" t="s">
        <v>25</v>
      </c>
      <c r="H505" s="58"/>
      <c r="I505" s="23"/>
      <c r="J505" s="24"/>
      <c r="M505" s="4"/>
      <c r="N505" s="76"/>
      <c r="O505" s="76"/>
      <c r="P505" s="76" t="str">
        <f t="shared" si="51"/>
        <v>,shikkan487_start_date</v>
      </c>
      <c r="Q505" s="76" t="str">
        <f t="shared" si="52"/>
        <v>DATE</v>
      </c>
      <c r="R505" s="76" t="str">
        <f t="shared" si="53"/>
        <v/>
      </c>
      <c r="S505" s="76" t="str">
        <f t="shared" si="54"/>
        <v/>
      </c>
      <c r="T505" s="76" t="str">
        <f t="shared" si="55"/>
        <v>-- E109_疾患開始日</v>
      </c>
      <c r="U505" s="4" t="str">
        <f t="shared" si="35"/>
        <v>, CASE WHEN shikkan_disp_name = 'E109' THEN min_shikkan_start_date ::DATE ELSE NULL END AS shikkan487_start_date</v>
      </c>
      <c r="V505" s="25" t="str">
        <f t="shared" si="36"/>
        <v>, max(shikkan487_start_date)</v>
      </c>
      <c r="AA505" s="4"/>
      <c r="AB505" s="4"/>
      <c r="AC505" s="4"/>
      <c r="AD505" s="4"/>
      <c r="AE505" s="4"/>
      <c r="AF505" s="4"/>
      <c r="AG505" s="4"/>
      <c r="AH505" s="4"/>
      <c r="AI505" s="4"/>
      <c r="AJ505" s="76" t="str">
        <f>IF(E505="○",IF(COUNTA(E$13:E505)=1,"",",")&amp;D505,"")</f>
        <v/>
      </c>
      <c r="AK505" s="4"/>
      <c r="AL505" s="4"/>
      <c r="AM505" s="4"/>
      <c r="AN505" s="4"/>
      <c r="AO505" s="4"/>
      <c r="AP505" s="4"/>
      <c r="AQ505" s="4"/>
      <c r="AR505" s="4"/>
      <c r="AS505" s="76" t="str">
        <f>"COMMENT ON COLUMN "&amp;エンティティ一覧!$O$2&amp;"."&amp;D$8&amp;"."&amp;D505&amp;" IS '"&amp;C505&amp;"';"</f>
        <v>COMMENT ON COLUMN milscm_2023_009.sny_202310_annony_non_annony2.shikkan487_start_date IS 'E109_疾患開始日';</v>
      </c>
    </row>
    <row r="506" spans="1:45" s="25" customFormat="1">
      <c r="A506" s="4" t="s">
        <v>5093</v>
      </c>
      <c r="B506" s="21">
        <f t="shared" si="57"/>
        <v>494</v>
      </c>
      <c r="C506" s="13" t="str">
        <f t="shared" si="56"/>
        <v>E110_疾患開始日</v>
      </c>
      <c r="D506" s="13" t="s">
        <v>6148</v>
      </c>
      <c r="E506" s="8"/>
      <c r="F506" s="7" t="s">
        <v>4348</v>
      </c>
      <c r="G506" s="7" t="s">
        <v>25</v>
      </c>
      <c r="H506" s="58"/>
      <c r="I506" s="23"/>
      <c r="J506" s="24"/>
      <c r="M506" s="4"/>
      <c r="N506" s="76"/>
      <c r="O506" s="76"/>
      <c r="P506" s="76" t="str">
        <f t="shared" si="51"/>
        <v>,shikkan488_start_date</v>
      </c>
      <c r="Q506" s="76" t="str">
        <f t="shared" si="52"/>
        <v>DATE</v>
      </c>
      <c r="R506" s="76" t="str">
        <f t="shared" si="53"/>
        <v/>
      </c>
      <c r="S506" s="76" t="str">
        <f t="shared" si="54"/>
        <v/>
      </c>
      <c r="T506" s="76" t="str">
        <f t="shared" si="55"/>
        <v>-- E110_疾患開始日</v>
      </c>
      <c r="U506" s="4" t="str">
        <f t="shared" si="35"/>
        <v>, CASE WHEN shikkan_disp_name = 'E110' THEN min_shikkan_start_date ::DATE ELSE NULL END AS shikkan488_start_date</v>
      </c>
      <c r="V506" s="25" t="str">
        <f t="shared" si="36"/>
        <v>, max(shikkan488_start_date)</v>
      </c>
      <c r="AA506" s="4"/>
      <c r="AB506" s="4"/>
      <c r="AC506" s="4"/>
      <c r="AD506" s="4"/>
      <c r="AE506" s="4"/>
      <c r="AF506" s="4"/>
      <c r="AG506" s="4"/>
      <c r="AH506" s="4"/>
      <c r="AI506" s="4"/>
      <c r="AJ506" s="76" t="str">
        <f>IF(E506="○",IF(COUNTA(E$13:E506)=1,"",",")&amp;D506,"")</f>
        <v/>
      </c>
      <c r="AK506" s="4"/>
      <c r="AL506" s="4"/>
      <c r="AM506" s="4"/>
      <c r="AN506" s="4"/>
      <c r="AO506" s="4"/>
      <c r="AP506" s="4"/>
      <c r="AQ506" s="4"/>
      <c r="AR506" s="4"/>
      <c r="AS506" s="76" t="str">
        <f>"COMMENT ON COLUMN "&amp;エンティティ一覧!$O$2&amp;"."&amp;D$8&amp;"."&amp;D506&amp;" IS '"&amp;C506&amp;"';"</f>
        <v>COMMENT ON COLUMN milscm_2023_009.sny_202310_annony_non_annony2.shikkan488_start_date IS 'E110_疾患開始日';</v>
      </c>
    </row>
    <row r="507" spans="1:45" s="25" customFormat="1">
      <c r="A507" s="4" t="s">
        <v>5094</v>
      </c>
      <c r="B507" s="21">
        <f t="shared" si="57"/>
        <v>495</v>
      </c>
      <c r="C507" s="13" t="str">
        <f t="shared" si="56"/>
        <v>E111_疾患開始日</v>
      </c>
      <c r="D507" s="13" t="s">
        <v>6149</v>
      </c>
      <c r="E507" s="8"/>
      <c r="F507" s="7" t="s">
        <v>4348</v>
      </c>
      <c r="G507" s="7" t="s">
        <v>25</v>
      </c>
      <c r="H507" s="58"/>
      <c r="I507" s="23"/>
      <c r="J507" s="24"/>
      <c r="M507" s="4"/>
      <c r="N507" s="76"/>
      <c r="O507" s="76"/>
      <c r="P507" s="76" t="str">
        <f t="shared" si="51"/>
        <v>,shikkan489_start_date</v>
      </c>
      <c r="Q507" s="76" t="str">
        <f t="shared" si="52"/>
        <v>DATE</v>
      </c>
      <c r="R507" s="76" t="str">
        <f t="shared" si="53"/>
        <v/>
      </c>
      <c r="S507" s="76" t="str">
        <f t="shared" si="54"/>
        <v/>
      </c>
      <c r="T507" s="76" t="str">
        <f t="shared" si="55"/>
        <v>-- E111_疾患開始日</v>
      </c>
      <c r="U507" s="4" t="str">
        <f t="shared" si="35"/>
        <v>, CASE WHEN shikkan_disp_name = 'E111' THEN min_shikkan_start_date ::DATE ELSE NULL END AS shikkan489_start_date</v>
      </c>
      <c r="V507" s="25" t="str">
        <f t="shared" si="36"/>
        <v>, max(shikkan489_start_date)</v>
      </c>
      <c r="AA507" s="4"/>
      <c r="AB507" s="4"/>
      <c r="AC507" s="4"/>
      <c r="AD507" s="4"/>
      <c r="AE507" s="4"/>
      <c r="AF507" s="4"/>
      <c r="AG507" s="4"/>
      <c r="AH507" s="4"/>
      <c r="AI507" s="4"/>
      <c r="AJ507" s="76" t="str">
        <f>IF(E507="○",IF(COUNTA(E$13:E507)=1,"",",")&amp;D507,"")</f>
        <v/>
      </c>
      <c r="AK507" s="4"/>
      <c r="AL507" s="4"/>
      <c r="AM507" s="4"/>
      <c r="AN507" s="4"/>
      <c r="AO507" s="4"/>
      <c r="AP507" s="4"/>
      <c r="AQ507" s="4"/>
      <c r="AR507" s="4"/>
      <c r="AS507" s="76" t="str">
        <f>"COMMENT ON COLUMN "&amp;エンティティ一覧!$O$2&amp;"."&amp;D$8&amp;"."&amp;D507&amp;" IS '"&amp;C507&amp;"';"</f>
        <v>COMMENT ON COLUMN milscm_2023_009.sny_202310_annony_non_annony2.shikkan489_start_date IS 'E111_疾患開始日';</v>
      </c>
    </row>
    <row r="508" spans="1:45" s="25" customFormat="1">
      <c r="A508" s="4" t="s">
        <v>5117</v>
      </c>
      <c r="B508" s="21">
        <f t="shared" si="57"/>
        <v>496</v>
      </c>
      <c r="C508" s="13" t="str">
        <f t="shared" si="56"/>
        <v>E112_疾患開始日</v>
      </c>
      <c r="D508" s="13" t="s">
        <v>6150</v>
      </c>
      <c r="E508" s="8"/>
      <c r="F508" s="7" t="s">
        <v>4348</v>
      </c>
      <c r="G508" s="7" t="s">
        <v>25</v>
      </c>
      <c r="H508" s="58"/>
      <c r="I508" s="23"/>
      <c r="J508" s="24"/>
      <c r="M508" s="4"/>
      <c r="N508" s="76"/>
      <c r="O508" s="76"/>
      <c r="P508" s="76" t="str">
        <f t="shared" si="51"/>
        <v>,shikkan490_start_date</v>
      </c>
      <c r="Q508" s="76" t="str">
        <f t="shared" si="52"/>
        <v>DATE</v>
      </c>
      <c r="R508" s="76" t="str">
        <f t="shared" si="53"/>
        <v/>
      </c>
      <c r="S508" s="76" t="str">
        <f t="shared" si="54"/>
        <v/>
      </c>
      <c r="T508" s="76" t="str">
        <f t="shared" si="55"/>
        <v>-- E112_疾患開始日</v>
      </c>
      <c r="U508" s="4" t="str">
        <f t="shared" si="35"/>
        <v>, CASE WHEN shikkan_disp_name = 'E112' THEN min_shikkan_start_date ::DATE ELSE NULL END AS shikkan490_start_date</v>
      </c>
      <c r="V508" s="25" t="str">
        <f t="shared" si="36"/>
        <v>, max(shikkan490_start_date)</v>
      </c>
      <c r="AA508" s="4"/>
      <c r="AB508" s="4"/>
      <c r="AC508" s="4"/>
      <c r="AD508" s="4"/>
      <c r="AE508" s="4"/>
      <c r="AF508" s="4"/>
      <c r="AG508" s="4"/>
      <c r="AH508" s="4"/>
      <c r="AI508" s="4"/>
      <c r="AJ508" s="76" t="str">
        <f>IF(E508="○",IF(COUNTA(E$13:E508)=1,"",",")&amp;D508,"")</f>
        <v/>
      </c>
      <c r="AK508" s="4"/>
      <c r="AL508" s="4"/>
      <c r="AM508" s="4"/>
      <c r="AN508" s="4"/>
      <c r="AO508" s="4"/>
      <c r="AP508" s="4"/>
      <c r="AQ508" s="4"/>
      <c r="AR508" s="4"/>
      <c r="AS508" s="76" t="str">
        <f>"COMMENT ON COLUMN "&amp;エンティティ一覧!$O$2&amp;"."&amp;D$8&amp;"."&amp;D508&amp;" IS '"&amp;C508&amp;"';"</f>
        <v>COMMENT ON COLUMN milscm_2023_009.sny_202310_annony_non_annony2.shikkan490_start_date IS 'E112_疾患開始日';</v>
      </c>
    </row>
    <row r="509" spans="1:45" s="25" customFormat="1">
      <c r="A509" s="4" t="s">
        <v>5118</v>
      </c>
      <c r="B509" s="21">
        <f t="shared" si="57"/>
        <v>497</v>
      </c>
      <c r="C509" s="13" t="str">
        <f t="shared" si="56"/>
        <v>E113_疾患開始日</v>
      </c>
      <c r="D509" s="13" t="s">
        <v>6151</v>
      </c>
      <c r="E509" s="8"/>
      <c r="F509" s="7" t="s">
        <v>4348</v>
      </c>
      <c r="G509" s="7" t="s">
        <v>25</v>
      </c>
      <c r="H509" s="58"/>
      <c r="I509" s="23"/>
      <c r="J509" s="24"/>
      <c r="M509" s="4"/>
      <c r="N509" s="76"/>
      <c r="O509" s="76"/>
      <c r="P509" s="76" t="str">
        <f t="shared" si="51"/>
        <v>,shikkan491_start_date</v>
      </c>
      <c r="Q509" s="76" t="str">
        <f t="shared" si="52"/>
        <v>DATE</v>
      </c>
      <c r="R509" s="76" t="str">
        <f t="shared" si="53"/>
        <v/>
      </c>
      <c r="S509" s="76" t="str">
        <f t="shared" si="54"/>
        <v/>
      </c>
      <c r="T509" s="76" t="str">
        <f t="shared" si="55"/>
        <v>-- E113_疾患開始日</v>
      </c>
      <c r="U509" s="4" t="str">
        <f t="shared" si="35"/>
        <v>, CASE WHEN shikkan_disp_name = 'E113' THEN min_shikkan_start_date ::DATE ELSE NULL END AS shikkan491_start_date</v>
      </c>
      <c r="V509" s="25" t="str">
        <f t="shared" si="36"/>
        <v>, max(shikkan491_start_date)</v>
      </c>
      <c r="AA509" s="4"/>
      <c r="AB509" s="4"/>
      <c r="AC509" s="4"/>
      <c r="AD509" s="4"/>
      <c r="AE509" s="4"/>
      <c r="AF509" s="4"/>
      <c r="AG509" s="4"/>
      <c r="AH509" s="4"/>
      <c r="AI509" s="4"/>
      <c r="AJ509" s="76" t="str">
        <f>IF(E509="○",IF(COUNTA(E$13:E509)=1,"",",")&amp;D509,"")</f>
        <v/>
      </c>
      <c r="AK509" s="4"/>
      <c r="AL509" s="4"/>
      <c r="AM509" s="4"/>
      <c r="AN509" s="4"/>
      <c r="AO509" s="4"/>
      <c r="AP509" s="4"/>
      <c r="AQ509" s="4"/>
      <c r="AR509" s="4"/>
      <c r="AS509" s="76" t="str">
        <f>"COMMENT ON COLUMN "&amp;エンティティ一覧!$O$2&amp;"."&amp;D$8&amp;"."&amp;D509&amp;" IS '"&amp;C509&amp;"';"</f>
        <v>COMMENT ON COLUMN milscm_2023_009.sny_202310_annony_non_annony2.shikkan491_start_date IS 'E113_疾患開始日';</v>
      </c>
    </row>
    <row r="510" spans="1:45" s="25" customFormat="1">
      <c r="A510" s="4" t="s">
        <v>5119</v>
      </c>
      <c r="B510" s="21">
        <f t="shared" si="57"/>
        <v>498</v>
      </c>
      <c r="C510" s="13" t="str">
        <f t="shared" si="56"/>
        <v>E114_疾患開始日</v>
      </c>
      <c r="D510" s="13" t="s">
        <v>6152</v>
      </c>
      <c r="E510" s="8"/>
      <c r="F510" s="7" t="s">
        <v>4348</v>
      </c>
      <c r="G510" s="7" t="s">
        <v>25</v>
      </c>
      <c r="H510" s="58"/>
      <c r="I510" s="23"/>
      <c r="J510" s="24"/>
      <c r="M510" s="4"/>
      <c r="N510" s="76"/>
      <c r="O510" s="76"/>
      <c r="P510" s="76" t="str">
        <f t="shared" si="51"/>
        <v>,shikkan492_start_date</v>
      </c>
      <c r="Q510" s="76" t="str">
        <f t="shared" si="52"/>
        <v>DATE</v>
      </c>
      <c r="R510" s="76" t="str">
        <f t="shared" si="53"/>
        <v/>
      </c>
      <c r="S510" s="76" t="str">
        <f t="shared" si="54"/>
        <v/>
      </c>
      <c r="T510" s="76" t="str">
        <f t="shared" si="55"/>
        <v>-- E114_疾患開始日</v>
      </c>
      <c r="U510" s="4" t="str">
        <f t="shared" si="35"/>
        <v>, CASE WHEN shikkan_disp_name = 'E114' THEN min_shikkan_start_date ::DATE ELSE NULL END AS shikkan492_start_date</v>
      </c>
      <c r="V510" s="25" t="str">
        <f t="shared" si="36"/>
        <v>, max(shikkan492_start_date)</v>
      </c>
      <c r="AA510" s="4"/>
      <c r="AB510" s="4"/>
      <c r="AC510" s="4"/>
      <c r="AD510" s="4"/>
      <c r="AE510" s="4"/>
      <c r="AF510" s="4"/>
      <c r="AG510" s="4"/>
      <c r="AH510" s="4"/>
      <c r="AI510" s="4"/>
      <c r="AJ510" s="76" t="str">
        <f>IF(E510="○",IF(COUNTA(E$13:E510)=1,"",",")&amp;D510,"")</f>
        <v/>
      </c>
      <c r="AK510" s="4"/>
      <c r="AL510" s="4"/>
      <c r="AM510" s="4"/>
      <c r="AN510" s="4"/>
      <c r="AO510" s="4"/>
      <c r="AP510" s="4"/>
      <c r="AQ510" s="4"/>
      <c r="AR510" s="4"/>
      <c r="AS510" s="76" t="str">
        <f>"COMMENT ON COLUMN "&amp;エンティティ一覧!$O$2&amp;"."&amp;D$8&amp;"."&amp;D510&amp;" IS '"&amp;C510&amp;"';"</f>
        <v>COMMENT ON COLUMN milscm_2023_009.sny_202310_annony_non_annony2.shikkan492_start_date IS 'E114_疾患開始日';</v>
      </c>
    </row>
    <row r="511" spans="1:45" s="25" customFormat="1">
      <c r="A511" s="4" t="s">
        <v>5120</v>
      </c>
      <c r="B511" s="21">
        <f t="shared" si="57"/>
        <v>499</v>
      </c>
      <c r="C511" s="13" t="str">
        <f t="shared" si="56"/>
        <v>E115_疾患開始日</v>
      </c>
      <c r="D511" s="13" t="s">
        <v>6153</v>
      </c>
      <c r="E511" s="8"/>
      <c r="F511" s="7" t="s">
        <v>4348</v>
      </c>
      <c r="G511" s="7" t="s">
        <v>25</v>
      </c>
      <c r="H511" s="58"/>
      <c r="I511" s="23"/>
      <c r="J511" s="24"/>
      <c r="M511" s="4"/>
      <c r="N511" s="76"/>
      <c r="O511" s="76"/>
      <c r="P511" s="76" t="str">
        <f t="shared" si="51"/>
        <v>,shikkan493_start_date</v>
      </c>
      <c r="Q511" s="76" t="str">
        <f t="shared" si="52"/>
        <v>DATE</v>
      </c>
      <c r="R511" s="76" t="str">
        <f t="shared" si="53"/>
        <v/>
      </c>
      <c r="S511" s="76" t="str">
        <f t="shared" si="54"/>
        <v/>
      </c>
      <c r="T511" s="76" t="str">
        <f t="shared" si="55"/>
        <v>-- E115_疾患開始日</v>
      </c>
      <c r="U511" s="4" t="str">
        <f t="shared" si="35"/>
        <v>, CASE WHEN shikkan_disp_name = 'E115' THEN min_shikkan_start_date ::DATE ELSE NULL END AS shikkan493_start_date</v>
      </c>
      <c r="V511" s="25" t="str">
        <f t="shared" si="36"/>
        <v>, max(shikkan493_start_date)</v>
      </c>
      <c r="AA511" s="4"/>
      <c r="AB511" s="4"/>
      <c r="AC511" s="4"/>
      <c r="AD511" s="4"/>
      <c r="AE511" s="4"/>
      <c r="AF511" s="4"/>
      <c r="AG511" s="4"/>
      <c r="AH511" s="4"/>
      <c r="AI511" s="4"/>
      <c r="AJ511" s="76" t="str">
        <f>IF(E511="○",IF(COUNTA(E$13:E511)=1,"",",")&amp;D511,"")</f>
        <v/>
      </c>
      <c r="AK511" s="4"/>
      <c r="AL511" s="4"/>
      <c r="AM511" s="4"/>
      <c r="AN511" s="4"/>
      <c r="AO511" s="4"/>
      <c r="AP511" s="4"/>
      <c r="AQ511" s="4"/>
      <c r="AR511" s="4"/>
      <c r="AS511" s="76" t="str">
        <f>"COMMENT ON COLUMN "&amp;エンティティ一覧!$O$2&amp;"."&amp;D$8&amp;"."&amp;D511&amp;" IS '"&amp;C511&amp;"';"</f>
        <v>COMMENT ON COLUMN milscm_2023_009.sny_202310_annony_non_annony2.shikkan493_start_date IS 'E115_疾患開始日';</v>
      </c>
    </row>
    <row r="512" spans="1:45" s="25" customFormat="1">
      <c r="A512" s="4" t="s">
        <v>5095</v>
      </c>
      <c r="B512" s="21">
        <f t="shared" si="57"/>
        <v>500</v>
      </c>
      <c r="C512" s="13" t="str">
        <f t="shared" si="56"/>
        <v>E116_疾患開始日</v>
      </c>
      <c r="D512" s="13" t="s">
        <v>6154</v>
      </c>
      <c r="E512" s="8"/>
      <c r="F512" s="7" t="s">
        <v>4348</v>
      </c>
      <c r="G512" s="7" t="s">
        <v>25</v>
      </c>
      <c r="H512" s="58"/>
      <c r="I512" s="23"/>
      <c r="J512" s="24"/>
      <c r="M512" s="4"/>
      <c r="N512" s="76"/>
      <c r="O512" s="76"/>
      <c r="P512" s="76" t="str">
        <f t="shared" si="51"/>
        <v>,shikkan494_start_date</v>
      </c>
      <c r="Q512" s="76" t="str">
        <f t="shared" si="52"/>
        <v>DATE</v>
      </c>
      <c r="R512" s="76" t="str">
        <f t="shared" si="53"/>
        <v/>
      </c>
      <c r="S512" s="76" t="str">
        <f t="shared" si="54"/>
        <v/>
      </c>
      <c r="T512" s="76" t="str">
        <f t="shared" si="55"/>
        <v>-- E116_疾患開始日</v>
      </c>
      <c r="U512" s="4" t="str">
        <f t="shared" si="35"/>
        <v>, CASE WHEN shikkan_disp_name = 'E116' THEN min_shikkan_start_date ::DATE ELSE NULL END AS shikkan494_start_date</v>
      </c>
      <c r="V512" s="25" t="str">
        <f t="shared" si="36"/>
        <v>, max(shikkan494_start_date)</v>
      </c>
      <c r="AA512" s="4"/>
      <c r="AB512" s="4"/>
      <c r="AC512" s="4"/>
      <c r="AD512" s="4"/>
      <c r="AE512" s="4"/>
      <c r="AF512" s="4"/>
      <c r="AG512" s="4"/>
      <c r="AH512" s="4"/>
      <c r="AI512" s="4"/>
      <c r="AJ512" s="76" t="str">
        <f>IF(E512="○",IF(COUNTA(E$13:E512)=1,"",",")&amp;D512,"")</f>
        <v/>
      </c>
      <c r="AK512" s="4"/>
      <c r="AL512" s="4"/>
      <c r="AM512" s="4"/>
      <c r="AN512" s="4"/>
      <c r="AO512" s="4"/>
      <c r="AP512" s="4"/>
      <c r="AQ512" s="4"/>
      <c r="AR512" s="4"/>
      <c r="AS512" s="76" t="str">
        <f>"COMMENT ON COLUMN "&amp;エンティティ一覧!$O$2&amp;"."&amp;D$8&amp;"."&amp;D512&amp;" IS '"&amp;C512&amp;"';"</f>
        <v>COMMENT ON COLUMN milscm_2023_009.sny_202310_annony_non_annony2.shikkan494_start_date IS 'E116_疾患開始日';</v>
      </c>
    </row>
    <row r="513" spans="1:45" s="25" customFormat="1">
      <c r="A513" s="4" t="s">
        <v>5121</v>
      </c>
      <c r="B513" s="21">
        <f t="shared" si="57"/>
        <v>501</v>
      </c>
      <c r="C513" s="13" t="str">
        <f t="shared" si="56"/>
        <v>E117_疾患開始日</v>
      </c>
      <c r="D513" s="13" t="s">
        <v>6155</v>
      </c>
      <c r="E513" s="8"/>
      <c r="F513" s="7" t="s">
        <v>4348</v>
      </c>
      <c r="G513" s="7" t="s">
        <v>25</v>
      </c>
      <c r="H513" s="58"/>
      <c r="I513" s="23"/>
      <c r="J513" s="24"/>
      <c r="M513" s="4"/>
      <c r="N513" s="76"/>
      <c r="O513" s="76"/>
      <c r="P513" s="76" t="str">
        <f t="shared" si="51"/>
        <v>,shikkan495_start_date</v>
      </c>
      <c r="Q513" s="76" t="str">
        <f t="shared" si="52"/>
        <v>DATE</v>
      </c>
      <c r="R513" s="76" t="str">
        <f t="shared" si="53"/>
        <v/>
      </c>
      <c r="S513" s="76" t="str">
        <f t="shared" si="54"/>
        <v/>
      </c>
      <c r="T513" s="76" t="str">
        <f t="shared" si="55"/>
        <v>-- E117_疾患開始日</v>
      </c>
      <c r="U513" s="4" t="str">
        <f t="shared" si="35"/>
        <v>, CASE WHEN shikkan_disp_name = 'E117' THEN min_shikkan_start_date ::DATE ELSE NULL END AS shikkan495_start_date</v>
      </c>
      <c r="V513" s="25" t="str">
        <f t="shared" si="36"/>
        <v>, max(shikkan495_start_date)</v>
      </c>
      <c r="AA513" s="4"/>
      <c r="AB513" s="4"/>
      <c r="AC513" s="4"/>
      <c r="AD513" s="4"/>
      <c r="AE513" s="4"/>
      <c r="AF513" s="4"/>
      <c r="AG513" s="4"/>
      <c r="AH513" s="4"/>
      <c r="AI513" s="4"/>
      <c r="AJ513" s="76" t="str">
        <f>IF(E513="○",IF(COUNTA(E$13:E513)=1,"",",")&amp;D513,"")</f>
        <v/>
      </c>
      <c r="AK513" s="4"/>
      <c r="AL513" s="4"/>
      <c r="AM513" s="4"/>
      <c r="AN513" s="4"/>
      <c r="AO513" s="4"/>
      <c r="AP513" s="4"/>
      <c r="AQ513" s="4"/>
      <c r="AR513" s="4"/>
      <c r="AS513" s="76" t="str">
        <f>"COMMENT ON COLUMN "&amp;エンティティ一覧!$O$2&amp;"."&amp;D$8&amp;"."&amp;D513&amp;" IS '"&amp;C513&amp;"';"</f>
        <v>COMMENT ON COLUMN milscm_2023_009.sny_202310_annony_non_annony2.shikkan495_start_date IS 'E117_疾患開始日';</v>
      </c>
    </row>
    <row r="514" spans="1:45" s="25" customFormat="1">
      <c r="A514" s="4" t="s">
        <v>5096</v>
      </c>
      <c r="B514" s="21">
        <f t="shared" si="57"/>
        <v>502</v>
      </c>
      <c r="C514" s="13" t="str">
        <f t="shared" si="56"/>
        <v>E118_疾患開始日</v>
      </c>
      <c r="D514" s="13" t="s">
        <v>6156</v>
      </c>
      <c r="E514" s="8"/>
      <c r="F514" s="7" t="s">
        <v>4348</v>
      </c>
      <c r="G514" s="7" t="s">
        <v>99</v>
      </c>
      <c r="H514" s="58"/>
      <c r="I514" s="23"/>
      <c r="J514" s="24"/>
      <c r="M514" s="4"/>
      <c r="N514" s="76"/>
      <c r="O514" s="76"/>
      <c r="P514" s="76" t="str">
        <f t="shared" si="51"/>
        <v>,shikkan496_start_date</v>
      </c>
      <c r="Q514" s="76" t="str">
        <f t="shared" si="52"/>
        <v>DATE</v>
      </c>
      <c r="R514" s="76" t="str">
        <f t="shared" si="53"/>
        <v/>
      </c>
      <c r="S514" s="76" t="str">
        <f t="shared" si="54"/>
        <v/>
      </c>
      <c r="T514" s="76" t="str">
        <f t="shared" si="55"/>
        <v>-- E118_疾患開始日</v>
      </c>
      <c r="U514" s="4" t="str">
        <f t="shared" si="35"/>
        <v>, CASE WHEN shikkan_disp_name = 'E118' THEN min_shikkan_start_date ::DATE ELSE NULL END AS shikkan496_start_date</v>
      </c>
      <c r="V514" s="25" t="str">
        <f t="shared" si="36"/>
        <v>, max(shikkan496_start_date)</v>
      </c>
      <c r="AA514" s="4"/>
      <c r="AB514" s="4"/>
      <c r="AC514" s="4"/>
      <c r="AD514" s="4"/>
      <c r="AE514" s="4"/>
      <c r="AF514" s="4"/>
      <c r="AG514" s="4"/>
      <c r="AH514" s="4"/>
      <c r="AI514" s="4"/>
      <c r="AJ514" s="76" t="str">
        <f>IF(E514="○",IF(COUNTA(E$13:E514)=1,"",",")&amp;D514,"")</f>
        <v/>
      </c>
      <c r="AK514" s="4"/>
      <c r="AL514" s="4"/>
      <c r="AM514" s="4"/>
      <c r="AN514" s="4"/>
      <c r="AO514" s="4"/>
      <c r="AP514" s="4"/>
      <c r="AQ514" s="4"/>
      <c r="AR514" s="4"/>
      <c r="AS514" s="76" t="str">
        <f>"COMMENT ON COLUMN "&amp;エンティティ一覧!$O$2&amp;"."&amp;D$8&amp;"."&amp;D514&amp;" IS '"&amp;C514&amp;"';"</f>
        <v>COMMENT ON COLUMN milscm_2023_009.sny_202310_annony_non_annony2.shikkan496_start_date IS 'E118_疾患開始日';</v>
      </c>
    </row>
    <row r="515" spans="1:45" s="25" customFormat="1">
      <c r="A515" s="4" t="s">
        <v>5097</v>
      </c>
      <c r="B515" s="21">
        <f t="shared" si="57"/>
        <v>503</v>
      </c>
      <c r="C515" s="13" t="str">
        <f t="shared" si="56"/>
        <v>E119_疾患開始日</v>
      </c>
      <c r="D515" s="13" t="s">
        <v>6157</v>
      </c>
      <c r="E515" s="8"/>
      <c r="F515" s="7" t="s">
        <v>4348</v>
      </c>
      <c r="G515" s="7" t="s">
        <v>25</v>
      </c>
      <c r="H515" s="58"/>
      <c r="I515" s="23"/>
      <c r="J515" s="24"/>
      <c r="M515" s="4"/>
      <c r="N515" s="76"/>
      <c r="O515" s="76"/>
      <c r="P515" s="76" t="str">
        <f t="shared" si="51"/>
        <v>,shikkan497_start_date</v>
      </c>
      <c r="Q515" s="76" t="str">
        <f t="shared" si="52"/>
        <v>DATE</v>
      </c>
      <c r="R515" s="76" t="str">
        <f t="shared" si="53"/>
        <v/>
      </c>
      <c r="S515" s="76" t="str">
        <f t="shared" si="54"/>
        <v/>
      </c>
      <c r="T515" s="76" t="str">
        <f t="shared" si="55"/>
        <v>-- E119_疾患開始日</v>
      </c>
      <c r="U515" s="4" t="str">
        <f t="shared" si="35"/>
        <v>, CASE WHEN shikkan_disp_name = 'E119' THEN min_shikkan_start_date ::DATE ELSE NULL END AS shikkan497_start_date</v>
      </c>
      <c r="V515" s="25" t="str">
        <f t="shared" si="36"/>
        <v>, max(shikkan497_start_date)</v>
      </c>
      <c r="AA515" s="4"/>
      <c r="AB515" s="4"/>
      <c r="AC515" s="4"/>
      <c r="AD515" s="4"/>
      <c r="AE515" s="4"/>
      <c r="AF515" s="4"/>
      <c r="AG515" s="4"/>
      <c r="AH515" s="4"/>
      <c r="AI515" s="4"/>
      <c r="AJ515" s="76" t="str">
        <f>IF(E515="○",IF(COUNTA(E$13:E515)=1,"",",")&amp;D515,"")</f>
        <v/>
      </c>
      <c r="AK515" s="4"/>
      <c r="AL515" s="4"/>
      <c r="AM515" s="4"/>
      <c r="AN515" s="4"/>
      <c r="AO515" s="4"/>
      <c r="AP515" s="4"/>
      <c r="AQ515" s="4"/>
      <c r="AR515" s="4"/>
      <c r="AS515" s="76" t="str">
        <f>"COMMENT ON COLUMN "&amp;エンティティ一覧!$O$2&amp;"."&amp;D$8&amp;"."&amp;D515&amp;" IS '"&amp;C515&amp;"';"</f>
        <v>COMMENT ON COLUMN milscm_2023_009.sny_202310_annony_non_annony2.shikkan497_start_date IS 'E119_疾患開始日';</v>
      </c>
    </row>
    <row r="516" spans="1:45" s="25" customFormat="1">
      <c r="A516" s="4" t="s">
        <v>5098</v>
      </c>
      <c r="B516" s="21">
        <f t="shared" si="57"/>
        <v>504</v>
      </c>
      <c r="C516" s="13" t="str">
        <f t="shared" si="56"/>
        <v>E120_疾患開始日</v>
      </c>
      <c r="D516" s="13" t="s">
        <v>6158</v>
      </c>
      <c r="E516" s="8"/>
      <c r="F516" s="7" t="s">
        <v>4348</v>
      </c>
      <c r="G516" s="7" t="s">
        <v>25</v>
      </c>
      <c r="H516" s="58"/>
      <c r="I516" s="23"/>
      <c r="J516" s="24"/>
      <c r="M516" s="4"/>
      <c r="N516" s="76"/>
      <c r="O516" s="76"/>
      <c r="P516" s="76" t="str">
        <f t="shared" si="51"/>
        <v>,shikkan498_start_date</v>
      </c>
      <c r="Q516" s="76" t="str">
        <f t="shared" si="52"/>
        <v>DATE</v>
      </c>
      <c r="R516" s="76" t="str">
        <f t="shared" si="53"/>
        <v/>
      </c>
      <c r="S516" s="76" t="str">
        <f t="shared" si="54"/>
        <v/>
      </c>
      <c r="T516" s="76" t="str">
        <f t="shared" si="55"/>
        <v>-- E120_疾患開始日</v>
      </c>
      <c r="U516" s="4" t="str">
        <f t="shared" si="35"/>
        <v>, CASE WHEN shikkan_disp_name = 'E120' THEN min_shikkan_start_date ::DATE ELSE NULL END AS shikkan498_start_date</v>
      </c>
      <c r="V516" s="25" t="str">
        <f t="shared" si="36"/>
        <v>, max(shikkan498_start_date)</v>
      </c>
      <c r="AA516" s="4"/>
      <c r="AB516" s="4"/>
      <c r="AC516" s="4"/>
      <c r="AD516" s="4"/>
      <c r="AE516" s="4"/>
      <c r="AF516" s="4"/>
      <c r="AG516" s="4"/>
      <c r="AH516" s="4"/>
      <c r="AI516" s="4"/>
      <c r="AJ516" s="76" t="str">
        <f>IF(E516="○",IF(COUNTA(E$13:E516)=1,"",",")&amp;D516,"")</f>
        <v/>
      </c>
      <c r="AK516" s="4"/>
      <c r="AL516" s="4"/>
      <c r="AM516" s="4"/>
      <c r="AN516" s="4"/>
      <c r="AO516" s="4"/>
      <c r="AP516" s="4"/>
      <c r="AQ516" s="4"/>
      <c r="AR516" s="4"/>
      <c r="AS516" s="76" t="str">
        <f>"COMMENT ON COLUMN "&amp;エンティティ一覧!$O$2&amp;"."&amp;D$8&amp;"."&amp;D516&amp;" IS '"&amp;C516&amp;"';"</f>
        <v>COMMENT ON COLUMN milscm_2023_009.sny_202310_annony_non_annony2.shikkan498_start_date IS 'E120_疾患開始日';</v>
      </c>
    </row>
    <row r="517" spans="1:45" s="25" customFormat="1">
      <c r="A517" s="4" t="s">
        <v>5099</v>
      </c>
      <c r="B517" s="21">
        <f t="shared" si="57"/>
        <v>505</v>
      </c>
      <c r="C517" s="13" t="str">
        <f t="shared" si="56"/>
        <v>E121_疾患開始日</v>
      </c>
      <c r="D517" s="13" t="s">
        <v>6159</v>
      </c>
      <c r="E517" s="8"/>
      <c r="F517" s="7" t="s">
        <v>4348</v>
      </c>
      <c r="G517" s="7" t="s">
        <v>25</v>
      </c>
      <c r="H517" s="58"/>
      <c r="I517" s="23"/>
      <c r="J517" s="24"/>
      <c r="M517" s="4"/>
      <c r="N517" s="76"/>
      <c r="O517" s="76"/>
      <c r="P517" s="76" t="str">
        <f t="shared" si="51"/>
        <v>,shikkan499_start_date</v>
      </c>
      <c r="Q517" s="76" t="str">
        <f t="shared" si="52"/>
        <v>DATE</v>
      </c>
      <c r="R517" s="76" t="str">
        <f t="shared" si="53"/>
        <v/>
      </c>
      <c r="S517" s="76" t="str">
        <f t="shared" si="54"/>
        <v/>
      </c>
      <c r="T517" s="76" t="str">
        <f t="shared" si="55"/>
        <v>-- E121_疾患開始日</v>
      </c>
      <c r="U517" s="4" t="str">
        <f t="shared" si="35"/>
        <v>, CASE WHEN shikkan_disp_name = 'E121' THEN min_shikkan_start_date ::DATE ELSE NULL END AS shikkan499_start_date</v>
      </c>
      <c r="V517" s="25" t="str">
        <f t="shared" si="36"/>
        <v>, max(shikkan499_start_date)</v>
      </c>
      <c r="AA517" s="4"/>
      <c r="AB517" s="4"/>
      <c r="AC517" s="4"/>
      <c r="AD517" s="4"/>
      <c r="AE517" s="4"/>
      <c r="AF517" s="4"/>
      <c r="AG517" s="4"/>
      <c r="AH517" s="4"/>
      <c r="AI517" s="4"/>
      <c r="AJ517" s="76" t="str">
        <f>IF(E517="○",IF(COUNTA(E$13:E517)=1,"",",")&amp;D517,"")</f>
        <v/>
      </c>
      <c r="AK517" s="4"/>
      <c r="AL517" s="4"/>
      <c r="AM517" s="4"/>
      <c r="AN517" s="4"/>
      <c r="AO517" s="4"/>
      <c r="AP517" s="4"/>
      <c r="AQ517" s="4"/>
      <c r="AR517" s="4"/>
      <c r="AS517" s="76" t="str">
        <f>"COMMENT ON COLUMN "&amp;エンティティ一覧!$O$2&amp;"."&amp;D$8&amp;"."&amp;D517&amp;" IS '"&amp;C517&amp;"';"</f>
        <v>COMMENT ON COLUMN milscm_2023_009.sny_202310_annony_non_annony2.shikkan499_start_date IS 'E121_疾患開始日';</v>
      </c>
    </row>
    <row r="518" spans="1:45" s="25" customFormat="1">
      <c r="A518" s="4" t="s">
        <v>5122</v>
      </c>
      <c r="B518" s="21">
        <f t="shared" si="57"/>
        <v>506</v>
      </c>
      <c r="C518" s="13" t="str">
        <f t="shared" si="56"/>
        <v>E122_疾患開始日</v>
      </c>
      <c r="D518" s="13" t="s">
        <v>6160</v>
      </c>
      <c r="E518" s="8"/>
      <c r="F518" s="7" t="s">
        <v>4348</v>
      </c>
      <c r="G518" s="7" t="s">
        <v>25</v>
      </c>
      <c r="H518" s="58"/>
      <c r="I518" s="23"/>
      <c r="J518" s="24"/>
      <c r="M518" s="4"/>
      <c r="N518" s="76"/>
      <c r="O518" s="76"/>
      <c r="P518" s="76" t="str">
        <f t="shared" si="51"/>
        <v>,shikkan500_start_date</v>
      </c>
      <c r="Q518" s="76" t="str">
        <f t="shared" si="52"/>
        <v>DATE</v>
      </c>
      <c r="R518" s="76" t="str">
        <f t="shared" si="53"/>
        <v/>
      </c>
      <c r="S518" s="76" t="str">
        <f t="shared" si="54"/>
        <v/>
      </c>
      <c r="T518" s="76" t="str">
        <f t="shared" si="55"/>
        <v>-- E122_疾患開始日</v>
      </c>
      <c r="U518" s="4" t="str">
        <f t="shared" si="35"/>
        <v>, CASE WHEN shikkan_disp_name = 'E122' THEN min_shikkan_start_date ::DATE ELSE NULL END AS shikkan500_start_date</v>
      </c>
      <c r="V518" s="25" t="str">
        <f t="shared" si="36"/>
        <v>, max(shikkan500_start_date)</v>
      </c>
      <c r="AA518" s="4"/>
      <c r="AB518" s="4"/>
      <c r="AC518" s="4"/>
      <c r="AD518" s="4"/>
      <c r="AE518" s="4"/>
      <c r="AF518" s="4"/>
      <c r="AG518" s="4"/>
      <c r="AH518" s="4"/>
      <c r="AI518" s="4"/>
      <c r="AJ518" s="76" t="str">
        <f>IF(E518="○",IF(COUNTA(E$13:E518)=1,"",",")&amp;D518,"")</f>
        <v/>
      </c>
      <c r="AK518" s="4"/>
      <c r="AL518" s="4"/>
      <c r="AM518" s="4"/>
      <c r="AN518" s="4"/>
      <c r="AO518" s="4"/>
      <c r="AP518" s="4"/>
      <c r="AQ518" s="4"/>
      <c r="AR518" s="4"/>
      <c r="AS518" s="76" t="str">
        <f>"COMMENT ON COLUMN "&amp;エンティティ一覧!$O$2&amp;"."&amp;D$8&amp;"."&amp;D518&amp;" IS '"&amp;C518&amp;"';"</f>
        <v>COMMENT ON COLUMN milscm_2023_009.sny_202310_annony_non_annony2.shikkan500_start_date IS 'E122_疾患開始日';</v>
      </c>
    </row>
    <row r="519" spans="1:45" s="25" customFormat="1">
      <c r="A519" s="4" t="s">
        <v>5123</v>
      </c>
      <c r="B519" s="21">
        <f t="shared" si="57"/>
        <v>507</v>
      </c>
      <c r="C519" s="13" t="str">
        <f t="shared" si="56"/>
        <v>E123_疾患開始日</v>
      </c>
      <c r="D519" s="13" t="s">
        <v>6161</v>
      </c>
      <c r="E519" s="8"/>
      <c r="F519" s="7" t="s">
        <v>4348</v>
      </c>
      <c r="G519" s="7" t="s">
        <v>25</v>
      </c>
      <c r="H519" s="58"/>
      <c r="I519" s="23"/>
      <c r="J519" s="24"/>
      <c r="M519" s="4"/>
      <c r="N519" s="76"/>
      <c r="O519" s="76"/>
      <c r="P519" s="76" t="str">
        <f t="shared" si="51"/>
        <v>,shikkan501_start_date</v>
      </c>
      <c r="Q519" s="76" t="str">
        <f t="shared" si="52"/>
        <v>DATE</v>
      </c>
      <c r="R519" s="76" t="str">
        <f t="shared" si="53"/>
        <v/>
      </c>
      <c r="S519" s="76" t="str">
        <f t="shared" si="54"/>
        <v/>
      </c>
      <c r="T519" s="76" t="str">
        <f t="shared" si="55"/>
        <v>-- E123_疾患開始日</v>
      </c>
      <c r="U519" s="4" t="str">
        <f t="shared" si="35"/>
        <v>, CASE WHEN shikkan_disp_name = 'E123' THEN min_shikkan_start_date ::DATE ELSE NULL END AS shikkan501_start_date</v>
      </c>
      <c r="V519" s="25" t="str">
        <f t="shared" si="36"/>
        <v>, max(shikkan501_start_date)</v>
      </c>
      <c r="AA519" s="4"/>
      <c r="AB519" s="4"/>
      <c r="AC519" s="4"/>
      <c r="AD519" s="4"/>
      <c r="AE519" s="4"/>
      <c r="AF519" s="4"/>
      <c r="AG519" s="4"/>
      <c r="AH519" s="4"/>
      <c r="AI519" s="4"/>
      <c r="AJ519" s="76" t="str">
        <f>IF(E519="○",IF(COUNTA(E$13:E519)=1,"",",")&amp;D519,"")</f>
        <v/>
      </c>
      <c r="AK519" s="4"/>
      <c r="AL519" s="4"/>
      <c r="AM519" s="4"/>
      <c r="AN519" s="4"/>
      <c r="AO519" s="4"/>
      <c r="AP519" s="4"/>
      <c r="AQ519" s="4"/>
      <c r="AR519" s="4"/>
      <c r="AS519" s="76" t="str">
        <f>"COMMENT ON COLUMN "&amp;エンティティ一覧!$O$2&amp;"."&amp;D$8&amp;"."&amp;D519&amp;" IS '"&amp;C519&amp;"';"</f>
        <v>COMMENT ON COLUMN milscm_2023_009.sny_202310_annony_non_annony2.shikkan501_start_date IS 'E123_疾患開始日';</v>
      </c>
    </row>
    <row r="520" spans="1:45" s="25" customFormat="1">
      <c r="A520" s="4" t="s">
        <v>5124</v>
      </c>
      <c r="B520" s="21">
        <f t="shared" si="57"/>
        <v>508</v>
      </c>
      <c r="C520" s="13" t="str">
        <f t="shared" si="56"/>
        <v>E124_疾患開始日</v>
      </c>
      <c r="D520" s="13" t="s">
        <v>6162</v>
      </c>
      <c r="E520" s="8"/>
      <c r="F520" s="7" t="s">
        <v>4348</v>
      </c>
      <c r="G520" s="7" t="s">
        <v>25</v>
      </c>
      <c r="H520" s="58"/>
      <c r="I520" s="23"/>
      <c r="J520" s="24"/>
      <c r="M520" s="4"/>
      <c r="N520" s="76"/>
      <c r="O520" s="76"/>
      <c r="P520" s="76" t="str">
        <f t="shared" si="51"/>
        <v>,shikkan502_start_date</v>
      </c>
      <c r="Q520" s="76" t="str">
        <f t="shared" si="52"/>
        <v>DATE</v>
      </c>
      <c r="R520" s="76" t="str">
        <f t="shared" si="53"/>
        <v/>
      </c>
      <c r="S520" s="76" t="str">
        <f t="shared" si="54"/>
        <v/>
      </c>
      <c r="T520" s="76" t="str">
        <f t="shared" si="55"/>
        <v>-- E124_疾患開始日</v>
      </c>
      <c r="U520" s="4" t="str">
        <f t="shared" si="35"/>
        <v>, CASE WHEN shikkan_disp_name = 'E124' THEN min_shikkan_start_date ::DATE ELSE NULL END AS shikkan502_start_date</v>
      </c>
      <c r="V520" s="25" t="str">
        <f t="shared" si="36"/>
        <v>, max(shikkan502_start_date)</v>
      </c>
      <c r="AA520" s="4"/>
      <c r="AB520" s="4"/>
      <c r="AC520" s="4"/>
      <c r="AD520" s="4"/>
      <c r="AE520" s="4"/>
      <c r="AF520" s="4"/>
      <c r="AG520" s="4"/>
      <c r="AH520" s="4"/>
      <c r="AI520" s="4"/>
      <c r="AJ520" s="76" t="str">
        <f>IF(E520="○",IF(COUNTA(E$13:E520)=1,"",",")&amp;D520,"")</f>
        <v/>
      </c>
      <c r="AK520" s="4"/>
      <c r="AL520" s="4"/>
      <c r="AM520" s="4"/>
      <c r="AN520" s="4"/>
      <c r="AO520" s="4"/>
      <c r="AP520" s="4"/>
      <c r="AQ520" s="4"/>
      <c r="AR520" s="4"/>
      <c r="AS520" s="76" t="str">
        <f>"COMMENT ON COLUMN "&amp;エンティティ一覧!$O$2&amp;"."&amp;D$8&amp;"."&amp;D520&amp;" IS '"&amp;C520&amp;"';"</f>
        <v>COMMENT ON COLUMN milscm_2023_009.sny_202310_annony_non_annony2.shikkan502_start_date IS 'E124_疾患開始日';</v>
      </c>
    </row>
    <row r="521" spans="1:45" s="25" customFormat="1">
      <c r="A521" s="4" t="s">
        <v>5125</v>
      </c>
      <c r="B521" s="21">
        <f t="shared" si="57"/>
        <v>509</v>
      </c>
      <c r="C521" s="13" t="str">
        <f t="shared" si="56"/>
        <v>E125_疾患開始日</v>
      </c>
      <c r="D521" s="13" t="s">
        <v>6163</v>
      </c>
      <c r="E521" s="8"/>
      <c r="F521" s="7" t="s">
        <v>4348</v>
      </c>
      <c r="G521" s="7" t="s">
        <v>25</v>
      </c>
      <c r="H521" s="58"/>
      <c r="I521" s="23"/>
      <c r="J521" s="24"/>
      <c r="M521" s="4"/>
      <c r="N521" s="76"/>
      <c r="O521" s="76"/>
      <c r="P521" s="76" t="str">
        <f t="shared" si="51"/>
        <v>,shikkan503_start_date</v>
      </c>
      <c r="Q521" s="76" t="str">
        <f t="shared" si="52"/>
        <v>DATE</v>
      </c>
      <c r="R521" s="76" t="str">
        <f t="shared" si="53"/>
        <v/>
      </c>
      <c r="S521" s="76" t="str">
        <f t="shared" si="54"/>
        <v/>
      </c>
      <c r="T521" s="76" t="str">
        <f t="shared" si="55"/>
        <v>-- E125_疾患開始日</v>
      </c>
      <c r="U521" s="4" t="str">
        <f t="shared" si="35"/>
        <v>, CASE WHEN shikkan_disp_name = 'E125' THEN min_shikkan_start_date ::DATE ELSE NULL END AS shikkan503_start_date</v>
      </c>
      <c r="V521" s="25" t="str">
        <f t="shared" si="36"/>
        <v>, max(shikkan503_start_date)</v>
      </c>
      <c r="AA521" s="4"/>
      <c r="AB521" s="4"/>
      <c r="AC521" s="4"/>
      <c r="AD521" s="4"/>
      <c r="AE521" s="4"/>
      <c r="AF521" s="4"/>
      <c r="AG521" s="4"/>
      <c r="AH521" s="4"/>
      <c r="AI521" s="4"/>
      <c r="AJ521" s="76" t="str">
        <f>IF(E521="○",IF(COUNTA(E$13:E521)=1,"",",")&amp;D521,"")</f>
        <v/>
      </c>
      <c r="AK521" s="4"/>
      <c r="AL521" s="4"/>
      <c r="AM521" s="4"/>
      <c r="AN521" s="4"/>
      <c r="AO521" s="4"/>
      <c r="AP521" s="4"/>
      <c r="AQ521" s="4"/>
      <c r="AR521" s="4"/>
      <c r="AS521" s="76" t="str">
        <f>"COMMENT ON COLUMN "&amp;エンティティ一覧!$O$2&amp;"."&amp;D$8&amp;"."&amp;D521&amp;" IS '"&amp;C521&amp;"';"</f>
        <v>COMMENT ON COLUMN milscm_2023_009.sny_202310_annony_non_annony2.shikkan503_start_date IS 'E125_疾患開始日';</v>
      </c>
    </row>
    <row r="522" spans="1:45" s="25" customFormat="1">
      <c r="A522" s="4" t="s">
        <v>5100</v>
      </c>
      <c r="B522" s="21">
        <f t="shared" si="57"/>
        <v>510</v>
      </c>
      <c r="C522" s="13" t="str">
        <f t="shared" si="56"/>
        <v>E126_疾患開始日</v>
      </c>
      <c r="D522" s="13" t="s">
        <v>6164</v>
      </c>
      <c r="E522" s="8"/>
      <c r="F522" s="7" t="s">
        <v>4348</v>
      </c>
      <c r="G522" s="7" t="s">
        <v>25</v>
      </c>
      <c r="H522" s="58"/>
      <c r="I522" s="23"/>
      <c r="J522" s="24"/>
      <c r="M522" s="4"/>
      <c r="N522" s="76"/>
      <c r="O522" s="76"/>
      <c r="P522" s="76" t="str">
        <f t="shared" si="51"/>
        <v>,shikkan504_start_date</v>
      </c>
      <c r="Q522" s="76" t="str">
        <f t="shared" si="52"/>
        <v>DATE</v>
      </c>
      <c r="R522" s="76" t="str">
        <f t="shared" si="53"/>
        <v/>
      </c>
      <c r="S522" s="76" t="str">
        <f t="shared" si="54"/>
        <v/>
      </c>
      <c r="T522" s="76" t="str">
        <f t="shared" si="55"/>
        <v>-- E126_疾患開始日</v>
      </c>
      <c r="U522" s="4" t="str">
        <f t="shared" si="35"/>
        <v>, CASE WHEN shikkan_disp_name = 'E126' THEN min_shikkan_start_date ::DATE ELSE NULL END AS shikkan504_start_date</v>
      </c>
      <c r="V522" s="25" t="str">
        <f t="shared" si="36"/>
        <v>, max(shikkan504_start_date)</v>
      </c>
      <c r="AA522" s="4"/>
      <c r="AB522" s="4"/>
      <c r="AC522" s="4"/>
      <c r="AD522" s="4"/>
      <c r="AE522" s="4"/>
      <c r="AF522" s="4"/>
      <c r="AG522" s="4"/>
      <c r="AH522" s="4"/>
      <c r="AI522" s="4"/>
      <c r="AJ522" s="76" t="str">
        <f>IF(E522="○",IF(COUNTA(E$13:E522)=1,"",",")&amp;D522,"")</f>
        <v/>
      </c>
      <c r="AK522" s="4"/>
      <c r="AL522" s="4"/>
      <c r="AM522" s="4"/>
      <c r="AN522" s="4"/>
      <c r="AO522" s="4"/>
      <c r="AP522" s="4"/>
      <c r="AQ522" s="4"/>
      <c r="AR522" s="4"/>
      <c r="AS522" s="76" t="str">
        <f>"COMMENT ON COLUMN "&amp;エンティティ一覧!$O$2&amp;"."&amp;D$8&amp;"."&amp;D522&amp;" IS '"&amp;C522&amp;"';"</f>
        <v>COMMENT ON COLUMN milscm_2023_009.sny_202310_annony_non_annony2.shikkan504_start_date IS 'E126_疾患開始日';</v>
      </c>
    </row>
    <row r="523" spans="1:45" s="25" customFormat="1">
      <c r="A523" s="4" t="s">
        <v>5126</v>
      </c>
      <c r="B523" s="21">
        <f t="shared" si="57"/>
        <v>511</v>
      </c>
      <c r="C523" s="13" t="str">
        <f t="shared" si="56"/>
        <v>E127_疾患開始日</v>
      </c>
      <c r="D523" s="13" t="s">
        <v>6165</v>
      </c>
      <c r="E523" s="8"/>
      <c r="F523" s="7" t="s">
        <v>4348</v>
      </c>
      <c r="G523" s="7" t="s">
        <v>25</v>
      </c>
      <c r="H523" s="58"/>
      <c r="I523" s="23"/>
      <c r="J523" s="24"/>
      <c r="M523" s="4"/>
      <c r="N523" s="76"/>
      <c r="O523" s="76"/>
      <c r="P523" s="76" t="str">
        <f t="shared" si="51"/>
        <v>,shikkan505_start_date</v>
      </c>
      <c r="Q523" s="76" t="str">
        <f t="shared" si="52"/>
        <v>DATE</v>
      </c>
      <c r="R523" s="76" t="str">
        <f t="shared" si="53"/>
        <v/>
      </c>
      <c r="S523" s="76" t="str">
        <f t="shared" si="54"/>
        <v/>
      </c>
      <c r="T523" s="76" t="str">
        <f t="shared" si="55"/>
        <v>-- E127_疾患開始日</v>
      </c>
      <c r="U523" s="4" t="str">
        <f t="shared" si="35"/>
        <v>, CASE WHEN shikkan_disp_name = 'E127' THEN min_shikkan_start_date ::DATE ELSE NULL END AS shikkan505_start_date</v>
      </c>
      <c r="V523" s="25" t="str">
        <f t="shared" si="36"/>
        <v>, max(shikkan505_start_date)</v>
      </c>
      <c r="AA523" s="4"/>
      <c r="AB523" s="4"/>
      <c r="AC523" s="4"/>
      <c r="AD523" s="4"/>
      <c r="AE523" s="4"/>
      <c r="AF523" s="4"/>
      <c r="AG523" s="4"/>
      <c r="AH523" s="4"/>
      <c r="AI523" s="4"/>
      <c r="AJ523" s="76" t="str">
        <f>IF(E523="○",IF(COUNTA(E$13:E523)=1,"",",")&amp;D523,"")</f>
        <v/>
      </c>
      <c r="AK523" s="4"/>
      <c r="AL523" s="4"/>
      <c r="AM523" s="4"/>
      <c r="AN523" s="4"/>
      <c r="AO523" s="4"/>
      <c r="AP523" s="4"/>
      <c r="AQ523" s="4"/>
      <c r="AR523" s="4"/>
      <c r="AS523" s="76" t="str">
        <f>"COMMENT ON COLUMN "&amp;エンティティ一覧!$O$2&amp;"."&amp;D$8&amp;"."&amp;D523&amp;" IS '"&amp;C523&amp;"';"</f>
        <v>COMMENT ON COLUMN milscm_2023_009.sny_202310_annony_non_annony2.shikkan505_start_date IS 'E127_疾患開始日';</v>
      </c>
    </row>
    <row r="524" spans="1:45" s="25" customFormat="1">
      <c r="A524" s="4" t="s">
        <v>5101</v>
      </c>
      <c r="B524" s="21">
        <f t="shared" si="57"/>
        <v>512</v>
      </c>
      <c r="C524" s="13" t="str">
        <f t="shared" si="56"/>
        <v>E128_疾患開始日</v>
      </c>
      <c r="D524" s="13" t="s">
        <v>6166</v>
      </c>
      <c r="E524" s="8"/>
      <c r="F524" s="7" t="s">
        <v>4348</v>
      </c>
      <c r="G524" s="7" t="s">
        <v>25</v>
      </c>
      <c r="H524" s="58"/>
      <c r="I524" s="23"/>
      <c r="J524" s="24"/>
      <c r="M524" s="4"/>
      <c r="N524" s="76"/>
      <c r="O524" s="76"/>
      <c r="P524" s="76" t="str">
        <f t="shared" si="51"/>
        <v>,shikkan506_start_date</v>
      </c>
      <c r="Q524" s="76" t="str">
        <f t="shared" si="52"/>
        <v>DATE</v>
      </c>
      <c r="R524" s="76" t="str">
        <f t="shared" si="53"/>
        <v/>
      </c>
      <c r="S524" s="76" t="str">
        <f t="shared" si="54"/>
        <v/>
      </c>
      <c r="T524" s="76" t="str">
        <f t="shared" si="55"/>
        <v>-- E128_疾患開始日</v>
      </c>
      <c r="U524" s="4" t="str">
        <f t="shared" si="35"/>
        <v>, CASE WHEN shikkan_disp_name = 'E128' THEN min_shikkan_start_date ::DATE ELSE NULL END AS shikkan506_start_date</v>
      </c>
      <c r="V524" s="25" t="str">
        <f t="shared" si="36"/>
        <v>, max(shikkan506_start_date)</v>
      </c>
      <c r="AA524" s="4"/>
      <c r="AB524" s="4"/>
      <c r="AC524" s="4"/>
      <c r="AD524" s="4"/>
      <c r="AE524" s="4"/>
      <c r="AF524" s="4"/>
      <c r="AG524" s="4"/>
      <c r="AH524" s="4"/>
      <c r="AI524" s="4"/>
      <c r="AJ524" s="76" t="str">
        <f>IF(E524="○",IF(COUNTA(E$13:E524)=1,"",",")&amp;D524,"")</f>
        <v/>
      </c>
      <c r="AK524" s="4"/>
      <c r="AL524" s="4"/>
      <c r="AM524" s="4"/>
      <c r="AN524" s="4"/>
      <c r="AO524" s="4"/>
      <c r="AP524" s="4"/>
      <c r="AQ524" s="4"/>
      <c r="AR524" s="4"/>
      <c r="AS524" s="76" t="str">
        <f>"COMMENT ON COLUMN "&amp;エンティティ一覧!$O$2&amp;"."&amp;D$8&amp;"."&amp;D524&amp;" IS '"&amp;C524&amp;"';"</f>
        <v>COMMENT ON COLUMN milscm_2023_009.sny_202310_annony_non_annony2.shikkan506_start_date IS 'E128_疾患開始日';</v>
      </c>
    </row>
    <row r="525" spans="1:45" s="25" customFormat="1">
      <c r="A525" s="4" t="s">
        <v>5102</v>
      </c>
      <c r="B525" s="21">
        <f t="shared" si="57"/>
        <v>513</v>
      </c>
      <c r="C525" s="13" t="str">
        <f t="shared" si="56"/>
        <v>E129_疾患開始日</v>
      </c>
      <c r="D525" s="13" t="s">
        <v>6167</v>
      </c>
      <c r="E525" s="8"/>
      <c r="F525" s="7" t="s">
        <v>4348</v>
      </c>
      <c r="G525" s="7" t="s">
        <v>25</v>
      </c>
      <c r="H525" s="58"/>
      <c r="I525" s="23"/>
      <c r="J525" s="24"/>
      <c r="M525" s="4"/>
      <c r="N525" s="76"/>
      <c r="O525" s="76"/>
      <c r="P525" s="76" t="str">
        <f t="shared" si="51"/>
        <v>,shikkan507_start_date</v>
      </c>
      <c r="Q525" s="76" t="str">
        <f t="shared" si="52"/>
        <v>DATE</v>
      </c>
      <c r="R525" s="76" t="str">
        <f t="shared" si="53"/>
        <v/>
      </c>
      <c r="S525" s="76" t="str">
        <f t="shared" si="54"/>
        <v/>
      </c>
      <c r="T525" s="76" t="str">
        <f t="shared" si="55"/>
        <v>-- E129_疾患開始日</v>
      </c>
      <c r="U525" s="4" t="str">
        <f t="shared" si="35"/>
        <v>, CASE WHEN shikkan_disp_name = 'E129' THEN min_shikkan_start_date ::DATE ELSE NULL END AS shikkan507_start_date</v>
      </c>
      <c r="V525" s="25" t="str">
        <f t="shared" si="36"/>
        <v>, max(shikkan507_start_date)</v>
      </c>
      <c r="AA525" s="4"/>
      <c r="AB525" s="4"/>
      <c r="AC525" s="4"/>
      <c r="AD525" s="4"/>
      <c r="AE525" s="4"/>
      <c r="AF525" s="4"/>
      <c r="AG525" s="4"/>
      <c r="AH525" s="4"/>
      <c r="AI525" s="4"/>
      <c r="AJ525" s="76" t="str">
        <f>IF(E525="○",IF(COUNTA(E$13:E525)=1,"",",")&amp;D525,"")</f>
        <v/>
      </c>
      <c r="AK525" s="4"/>
      <c r="AL525" s="4"/>
      <c r="AM525" s="4"/>
      <c r="AN525" s="4"/>
      <c r="AO525" s="4"/>
      <c r="AP525" s="4"/>
      <c r="AQ525" s="4"/>
      <c r="AR525" s="4"/>
      <c r="AS525" s="76" t="str">
        <f>"COMMENT ON COLUMN "&amp;エンティティ一覧!$O$2&amp;"."&amp;D$8&amp;"."&amp;D525&amp;" IS '"&amp;C525&amp;"';"</f>
        <v>COMMENT ON COLUMN milscm_2023_009.sny_202310_annony_non_annony2.shikkan507_start_date IS 'E129_疾患開始日';</v>
      </c>
    </row>
    <row r="526" spans="1:45" s="25" customFormat="1">
      <c r="A526" s="4" t="s">
        <v>5103</v>
      </c>
      <c r="B526" s="21">
        <f t="shared" si="57"/>
        <v>514</v>
      </c>
      <c r="C526" s="13" t="str">
        <f t="shared" si="56"/>
        <v>E130_疾患開始日</v>
      </c>
      <c r="D526" s="13" t="s">
        <v>6168</v>
      </c>
      <c r="E526" s="8"/>
      <c r="F526" s="7" t="s">
        <v>4348</v>
      </c>
      <c r="G526" s="7" t="s">
        <v>25</v>
      </c>
      <c r="H526" s="58"/>
      <c r="I526" s="23"/>
      <c r="J526" s="24"/>
      <c r="M526" s="4"/>
      <c r="N526" s="76"/>
      <c r="O526" s="76"/>
      <c r="P526" s="76" t="str">
        <f t="shared" si="51"/>
        <v>,shikkan508_start_date</v>
      </c>
      <c r="Q526" s="76" t="str">
        <f t="shared" si="52"/>
        <v>DATE</v>
      </c>
      <c r="R526" s="76" t="str">
        <f t="shared" si="53"/>
        <v/>
      </c>
      <c r="S526" s="76" t="str">
        <f t="shared" si="54"/>
        <v/>
      </c>
      <c r="T526" s="76" t="str">
        <f t="shared" si="55"/>
        <v>-- E130_疾患開始日</v>
      </c>
      <c r="U526" s="4" t="str">
        <f t="shared" si="35"/>
        <v>, CASE WHEN shikkan_disp_name = 'E130' THEN min_shikkan_start_date ::DATE ELSE NULL END AS shikkan508_start_date</v>
      </c>
      <c r="V526" s="25" t="str">
        <f t="shared" si="36"/>
        <v>, max(shikkan508_start_date)</v>
      </c>
      <c r="AA526" s="4"/>
      <c r="AB526" s="4"/>
      <c r="AC526" s="4"/>
      <c r="AD526" s="4"/>
      <c r="AE526" s="4"/>
      <c r="AF526" s="4"/>
      <c r="AG526" s="4"/>
      <c r="AH526" s="4"/>
      <c r="AI526" s="4"/>
      <c r="AJ526" s="76" t="str">
        <f>IF(E526="○",IF(COUNTA(E$13:E526)=1,"",",")&amp;D526,"")</f>
        <v/>
      </c>
      <c r="AK526" s="4"/>
      <c r="AL526" s="4"/>
      <c r="AM526" s="4"/>
      <c r="AN526" s="4"/>
      <c r="AO526" s="4"/>
      <c r="AP526" s="4"/>
      <c r="AQ526" s="4"/>
      <c r="AR526" s="4"/>
      <c r="AS526" s="76" t="str">
        <f>"COMMENT ON COLUMN "&amp;エンティティ一覧!$O$2&amp;"."&amp;D$8&amp;"."&amp;D526&amp;" IS '"&amp;C526&amp;"';"</f>
        <v>COMMENT ON COLUMN milscm_2023_009.sny_202310_annony_non_annony2.shikkan508_start_date IS 'E130_疾患開始日';</v>
      </c>
    </row>
    <row r="527" spans="1:45" s="25" customFormat="1">
      <c r="A527" s="4" t="s">
        <v>5104</v>
      </c>
      <c r="B527" s="21">
        <f t="shared" si="57"/>
        <v>515</v>
      </c>
      <c r="C527" s="13" t="str">
        <f t="shared" si="56"/>
        <v>E131_疾患開始日</v>
      </c>
      <c r="D527" s="13" t="s">
        <v>6169</v>
      </c>
      <c r="E527" s="8"/>
      <c r="F527" s="7" t="s">
        <v>4348</v>
      </c>
      <c r="G527" s="7" t="s">
        <v>25</v>
      </c>
      <c r="H527" s="58"/>
      <c r="I527" s="23"/>
      <c r="J527" s="24"/>
      <c r="M527" s="4"/>
      <c r="N527" s="76"/>
      <c r="O527" s="76"/>
      <c r="P527" s="76" t="str">
        <f t="shared" si="51"/>
        <v>,shikkan509_start_date</v>
      </c>
      <c r="Q527" s="76" t="str">
        <f t="shared" si="52"/>
        <v>DATE</v>
      </c>
      <c r="R527" s="76" t="str">
        <f t="shared" si="53"/>
        <v/>
      </c>
      <c r="S527" s="76" t="str">
        <f t="shared" si="54"/>
        <v/>
      </c>
      <c r="T527" s="76" t="str">
        <f t="shared" si="55"/>
        <v>-- E131_疾患開始日</v>
      </c>
      <c r="U527" s="4" t="str">
        <f t="shared" si="35"/>
        <v>, CASE WHEN shikkan_disp_name = 'E131' THEN min_shikkan_start_date ::DATE ELSE NULL END AS shikkan509_start_date</v>
      </c>
      <c r="V527" s="25" t="str">
        <f t="shared" si="36"/>
        <v>, max(shikkan509_start_date)</v>
      </c>
      <c r="AA527" s="4"/>
      <c r="AB527" s="4"/>
      <c r="AC527" s="4"/>
      <c r="AD527" s="4"/>
      <c r="AE527" s="4"/>
      <c r="AF527" s="4"/>
      <c r="AG527" s="4"/>
      <c r="AH527" s="4"/>
      <c r="AI527" s="4"/>
      <c r="AJ527" s="76" t="str">
        <f>IF(E527="○",IF(COUNTA(E$13:E527)=1,"",",")&amp;D527,"")</f>
        <v/>
      </c>
      <c r="AK527" s="4"/>
      <c r="AL527" s="4"/>
      <c r="AM527" s="4"/>
      <c r="AN527" s="4"/>
      <c r="AO527" s="4"/>
      <c r="AP527" s="4"/>
      <c r="AQ527" s="4"/>
      <c r="AR527" s="4"/>
      <c r="AS527" s="76" t="str">
        <f>"COMMENT ON COLUMN "&amp;エンティティ一覧!$O$2&amp;"."&amp;D$8&amp;"."&amp;D527&amp;" IS '"&amp;C527&amp;"';"</f>
        <v>COMMENT ON COLUMN milscm_2023_009.sny_202310_annony_non_annony2.shikkan509_start_date IS 'E131_疾患開始日';</v>
      </c>
    </row>
    <row r="528" spans="1:45" s="25" customFormat="1">
      <c r="A528" s="4" t="s">
        <v>5127</v>
      </c>
      <c r="B528" s="21">
        <f t="shared" si="57"/>
        <v>516</v>
      </c>
      <c r="C528" s="13" t="str">
        <f t="shared" si="56"/>
        <v>E132_疾患開始日</v>
      </c>
      <c r="D528" s="13" t="s">
        <v>6170</v>
      </c>
      <c r="E528" s="8"/>
      <c r="F528" s="7" t="s">
        <v>4348</v>
      </c>
      <c r="G528" s="7" t="s">
        <v>25</v>
      </c>
      <c r="H528" s="58"/>
      <c r="I528" s="23"/>
      <c r="J528" s="24"/>
      <c r="M528" s="4"/>
      <c r="N528" s="76"/>
      <c r="O528" s="76"/>
      <c r="P528" s="76" t="str">
        <f t="shared" si="51"/>
        <v>,shikkan510_start_date</v>
      </c>
      <c r="Q528" s="76" t="str">
        <f t="shared" si="52"/>
        <v>DATE</v>
      </c>
      <c r="R528" s="76" t="str">
        <f t="shared" si="53"/>
        <v/>
      </c>
      <c r="S528" s="76" t="str">
        <f t="shared" si="54"/>
        <v/>
      </c>
      <c r="T528" s="76" t="str">
        <f t="shared" si="55"/>
        <v>-- E132_疾患開始日</v>
      </c>
      <c r="U528" s="4" t="str">
        <f t="shared" si="35"/>
        <v>, CASE WHEN shikkan_disp_name = 'E132' THEN min_shikkan_start_date ::DATE ELSE NULL END AS shikkan510_start_date</v>
      </c>
      <c r="V528" s="25" t="str">
        <f t="shared" si="36"/>
        <v>, max(shikkan510_start_date)</v>
      </c>
      <c r="AA528" s="4"/>
      <c r="AB528" s="4"/>
      <c r="AC528" s="4"/>
      <c r="AD528" s="4"/>
      <c r="AE528" s="4"/>
      <c r="AF528" s="4"/>
      <c r="AG528" s="4"/>
      <c r="AH528" s="4"/>
      <c r="AI528" s="4"/>
      <c r="AJ528" s="76" t="str">
        <f>IF(E528="○",IF(COUNTA(E$13:E528)=1,"",",")&amp;D528,"")</f>
        <v/>
      </c>
      <c r="AK528" s="4"/>
      <c r="AL528" s="4"/>
      <c r="AM528" s="4"/>
      <c r="AN528" s="4"/>
      <c r="AO528" s="4"/>
      <c r="AP528" s="4"/>
      <c r="AQ528" s="4"/>
      <c r="AR528" s="4"/>
      <c r="AS528" s="76" t="str">
        <f>"COMMENT ON COLUMN "&amp;エンティティ一覧!$O$2&amp;"."&amp;D$8&amp;"."&amp;D528&amp;" IS '"&amp;C528&amp;"';"</f>
        <v>COMMENT ON COLUMN milscm_2023_009.sny_202310_annony_non_annony2.shikkan510_start_date IS 'E132_疾患開始日';</v>
      </c>
    </row>
    <row r="529" spans="1:45" s="25" customFormat="1">
      <c r="A529" s="4" t="s">
        <v>5128</v>
      </c>
      <c r="B529" s="21">
        <f t="shared" si="57"/>
        <v>517</v>
      </c>
      <c r="C529" s="13" t="str">
        <f t="shared" si="56"/>
        <v>E133_疾患開始日</v>
      </c>
      <c r="D529" s="13" t="s">
        <v>6171</v>
      </c>
      <c r="E529" s="8"/>
      <c r="F529" s="7" t="s">
        <v>4348</v>
      </c>
      <c r="G529" s="7" t="s">
        <v>25</v>
      </c>
      <c r="H529" s="58"/>
      <c r="I529" s="23"/>
      <c r="J529" s="24"/>
      <c r="M529" s="4"/>
      <c r="N529" s="76"/>
      <c r="O529" s="76"/>
      <c r="P529" s="76" t="str">
        <f t="shared" si="51"/>
        <v>,shikkan511_start_date</v>
      </c>
      <c r="Q529" s="76" t="str">
        <f t="shared" si="52"/>
        <v>DATE</v>
      </c>
      <c r="R529" s="76" t="str">
        <f t="shared" si="53"/>
        <v/>
      </c>
      <c r="S529" s="76" t="str">
        <f t="shared" si="54"/>
        <v/>
      </c>
      <c r="T529" s="76" t="str">
        <f t="shared" si="55"/>
        <v>-- E133_疾患開始日</v>
      </c>
      <c r="U529" s="4" t="str">
        <f t="shared" si="35"/>
        <v>, CASE WHEN shikkan_disp_name = 'E133' THEN min_shikkan_start_date ::DATE ELSE NULL END AS shikkan511_start_date</v>
      </c>
      <c r="V529" s="25" t="str">
        <f t="shared" si="36"/>
        <v>, max(shikkan511_start_date)</v>
      </c>
      <c r="AA529" s="4"/>
      <c r="AB529" s="4"/>
      <c r="AC529" s="4"/>
      <c r="AD529" s="4"/>
      <c r="AE529" s="4"/>
      <c r="AF529" s="4"/>
      <c r="AG529" s="4"/>
      <c r="AH529" s="4"/>
      <c r="AI529" s="4"/>
      <c r="AJ529" s="76" t="str">
        <f>IF(E529="○",IF(COUNTA(E$13:E529)=1,"",",")&amp;D529,"")</f>
        <v/>
      </c>
      <c r="AK529" s="4"/>
      <c r="AL529" s="4"/>
      <c r="AM529" s="4"/>
      <c r="AN529" s="4"/>
      <c r="AO529" s="4"/>
      <c r="AP529" s="4"/>
      <c r="AQ529" s="4"/>
      <c r="AR529" s="4"/>
      <c r="AS529" s="76" t="str">
        <f>"COMMENT ON COLUMN "&amp;エンティティ一覧!$O$2&amp;"."&amp;D$8&amp;"."&amp;D529&amp;" IS '"&amp;C529&amp;"';"</f>
        <v>COMMENT ON COLUMN milscm_2023_009.sny_202310_annony_non_annony2.shikkan511_start_date IS 'E133_疾患開始日';</v>
      </c>
    </row>
    <row r="530" spans="1:45" s="25" customFormat="1">
      <c r="A530" s="4" t="s">
        <v>5129</v>
      </c>
      <c r="B530" s="21">
        <f t="shared" si="57"/>
        <v>518</v>
      </c>
      <c r="C530" s="13" t="str">
        <f t="shared" si="56"/>
        <v>E134_疾患開始日</v>
      </c>
      <c r="D530" s="13" t="s">
        <v>6172</v>
      </c>
      <c r="E530" s="8"/>
      <c r="F530" s="7" t="s">
        <v>4348</v>
      </c>
      <c r="G530" s="7" t="s">
        <v>99</v>
      </c>
      <c r="H530" s="58"/>
      <c r="I530" s="23"/>
      <c r="J530" s="24"/>
      <c r="M530" s="4"/>
      <c r="N530" s="76"/>
      <c r="O530" s="76"/>
      <c r="P530" s="76" t="str">
        <f t="shared" ref="P530:P593" si="58">IF(B530&lt;&gt;1,","&amp;D530,D530)</f>
        <v>,shikkan512_start_date</v>
      </c>
      <c r="Q530" s="76" t="str">
        <f t="shared" ref="Q530:Q593" si="59">UPPER(G530)</f>
        <v>DATE</v>
      </c>
      <c r="R530" s="76" t="str">
        <f t="shared" ref="R530:R593" si="60">IF(H530&lt;&gt;"","default "&amp;IF(G530="text","'"&amp;H530&amp;"'",H530),"")</f>
        <v/>
      </c>
      <c r="S530" s="76" t="str">
        <f t="shared" ref="S530:S593" si="61">IF(I530="○","NOT NULL","")</f>
        <v/>
      </c>
      <c r="T530" s="76" t="str">
        <f t="shared" ref="T530:T593" si="62">"-- "&amp;C530</f>
        <v>-- E134_疾患開始日</v>
      </c>
      <c r="U530" s="4" t="str">
        <f t="shared" si="35"/>
        <v>, CASE WHEN shikkan_disp_name = 'E134' THEN min_shikkan_start_date ::DATE ELSE NULL END AS shikkan512_start_date</v>
      </c>
      <c r="V530" s="25" t="str">
        <f t="shared" si="36"/>
        <v>, max(shikkan512_start_date)</v>
      </c>
      <c r="AA530" s="4"/>
      <c r="AB530" s="4"/>
      <c r="AC530" s="4"/>
      <c r="AD530" s="4"/>
      <c r="AE530" s="4"/>
      <c r="AF530" s="4"/>
      <c r="AG530" s="4"/>
      <c r="AH530" s="4"/>
      <c r="AI530" s="4"/>
      <c r="AJ530" s="76" t="str">
        <f>IF(E530="○",IF(COUNTA(E$13:E530)=1,"",",")&amp;D530,"")</f>
        <v/>
      </c>
      <c r="AK530" s="4"/>
      <c r="AL530" s="4"/>
      <c r="AM530" s="4"/>
      <c r="AN530" s="4"/>
      <c r="AO530" s="4"/>
      <c r="AP530" s="4"/>
      <c r="AQ530" s="4"/>
      <c r="AR530" s="4"/>
      <c r="AS530" s="76" t="str">
        <f>"COMMENT ON COLUMN "&amp;エンティティ一覧!$O$2&amp;"."&amp;D$8&amp;"."&amp;D530&amp;" IS '"&amp;C530&amp;"';"</f>
        <v>COMMENT ON COLUMN milscm_2023_009.sny_202310_annony_non_annony2.shikkan512_start_date IS 'E134_疾患開始日';</v>
      </c>
    </row>
    <row r="531" spans="1:45" s="25" customFormat="1">
      <c r="A531" s="4" t="s">
        <v>5130</v>
      </c>
      <c r="B531" s="21">
        <f t="shared" si="57"/>
        <v>519</v>
      </c>
      <c r="C531" s="13" t="str">
        <f t="shared" si="56"/>
        <v>E135_疾患開始日</v>
      </c>
      <c r="D531" s="13" t="s">
        <v>6173</v>
      </c>
      <c r="E531" s="8"/>
      <c r="F531" s="7" t="s">
        <v>4348</v>
      </c>
      <c r="G531" s="7" t="s">
        <v>25</v>
      </c>
      <c r="H531" s="58"/>
      <c r="I531" s="23"/>
      <c r="J531" s="24"/>
      <c r="M531" s="4"/>
      <c r="N531" s="76"/>
      <c r="O531" s="76"/>
      <c r="P531" s="76" t="str">
        <f t="shared" si="58"/>
        <v>,shikkan513_start_date</v>
      </c>
      <c r="Q531" s="76" t="str">
        <f t="shared" si="59"/>
        <v>DATE</v>
      </c>
      <c r="R531" s="76" t="str">
        <f t="shared" si="60"/>
        <v/>
      </c>
      <c r="S531" s="76" t="str">
        <f t="shared" si="61"/>
        <v/>
      </c>
      <c r="T531" s="76" t="str">
        <f t="shared" si="62"/>
        <v>-- E135_疾患開始日</v>
      </c>
      <c r="U531" s="4" t="str">
        <f t="shared" ref="U531:U594" si="63">", CASE WHEN shikkan_disp_name = '"&amp;A531&amp;"' THEN min_shikkan_start_date ::DATE ELSE NULL END AS "&amp;D531</f>
        <v>, CASE WHEN shikkan_disp_name = 'E135' THEN min_shikkan_start_date ::DATE ELSE NULL END AS shikkan513_start_date</v>
      </c>
      <c r="V531" s="25" t="str">
        <f t="shared" ref="V531:V594" si="64">", max("&amp;D531&amp;")"</f>
        <v>, max(shikkan513_start_date)</v>
      </c>
      <c r="AA531" s="4"/>
      <c r="AB531" s="4"/>
      <c r="AC531" s="4"/>
      <c r="AD531" s="4"/>
      <c r="AE531" s="4"/>
      <c r="AF531" s="4"/>
      <c r="AG531" s="4"/>
      <c r="AH531" s="4"/>
      <c r="AI531" s="4"/>
      <c r="AJ531" s="76" t="str">
        <f>IF(E531="○",IF(COUNTA(E$13:E531)=1,"",",")&amp;D531,"")</f>
        <v/>
      </c>
      <c r="AK531" s="4"/>
      <c r="AL531" s="4"/>
      <c r="AM531" s="4"/>
      <c r="AN531" s="4"/>
      <c r="AO531" s="4"/>
      <c r="AP531" s="4"/>
      <c r="AQ531" s="4"/>
      <c r="AR531" s="4"/>
      <c r="AS531" s="76" t="str">
        <f>"COMMENT ON COLUMN "&amp;エンティティ一覧!$O$2&amp;"."&amp;D$8&amp;"."&amp;D531&amp;" IS '"&amp;C531&amp;"';"</f>
        <v>COMMENT ON COLUMN milscm_2023_009.sny_202310_annony_non_annony2.shikkan513_start_date IS 'E135_疾患開始日';</v>
      </c>
    </row>
    <row r="532" spans="1:45" s="25" customFormat="1">
      <c r="A532" s="4" t="s">
        <v>5105</v>
      </c>
      <c r="B532" s="21">
        <f t="shared" si="57"/>
        <v>520</v>
      </c>
      <c r="C532" s="13" t="str">
        <f t="shared" ref="C532:C595" si="65">A532&amp;"_疾患開始日"</f>
        <v>E136_疾患開始日</v>
      </c>
      <c r="D532" s="13" t="s">
        <v>6174</v>
      </c>
      <c r="E532" s="8"/>
      <c r="F532" s="7" t="s">
        <v>4348</v>
      </c>
      <c r="G532" s="7" t="s">
        <v>25</v>
      </c>
      <c r="H532" s="58"/>
      <c r="I532" s="23"/>
      <c r="J532" s="24"/>
      <c r="M532" s="4"/>
      <c r="N532" s="76"/>
      <c r="O532" s="76"/>
      <c r="P532" s="76" t="str">
        <f t="shared" si="58"/>
        <v>,shikkan514_start_date</v>
      </c>
      <c r="Q532" s="76" t="str">
        <f t="shared" si="59"/>
        <v>DATE</v>
      </c>
      <c r="R532" s="76" t="str">
        <f t="shared" si="60"/>
        <v/>
      </c>
      <c r="S532" s="76" t="str">
        <f t="shared" si="61"/>
        <v/>
      </c>
      <c r="T532" s="76" t="str">
        <f t="shared" si="62"/>
        <v>-- E136_疾患開始日</v>
      </c>
      <c r="U532" s="4" t="str">
        <f t="shared" si="63"/>
        <v>, CASE WHEN shikkan_disp_name = 'E136' THEN min_shikkan_start_date ::DATE ELSE NULL END AS shikkan514_start_date</v>
      </c>
      <c r="V532" s="25" t="str">
        <f t="shared" si="64"/>
        <v>, max(shikkan514_start_date)</v>
      </c>
      <c r="AA532" s="4"/>
      <c r="AB532" s="4"/>
      <c r="AC532" s="4"/>
      <c r="AD532" s="4"/>
      <c r="AE532" s="4"/>
      <c r="AF532" s="4"/>
      <c r="AG532" s="4"/>
      <c r="AH532" s="4"/>
      <c r="AI532" s="4"/>
      <c r="AJ532" s="76" t="str">
        <f>IF(E532="○",IF(COUNTA(E$13:E532)=1,"",",")&amp;D532,"")</f>
        <v/>
      </c>
      <c r="AK532" s="4"/>
      <c r="AL532" s="4"/>
      <c r="AM532" s="4"/>
      <c r="AN532" s="4"/>
      <c r="AO532" s="4"/>
      <c r="AP532" s="4"/>
      <c r="AQ532" s="4"/>
      <c r="AR532" s="4"/>
      <c r="AS532" s="76" t="str">
        <f>"COMMENT ON COLUMN "&amp;エンティティ一覧!$O$2&amp;"."&amp;D$8&amp;"."&amp;D532&amp;" IS '"&amp;C532&amp;"';"</f>
        <v>COMMENT ON COLUMN milscm_2023_009.sny_202310_annony_non_annony2.shikkan514_start_date IS 'E136_疾患開始日';</v>
      </c>
    </row>
    <row r="533" spans="1:45" s="25" customFormat="1">
      <c r="A533" s="4" t="s">
        <v>5131</v>
      </c>
      <c r="B533" s="21">
        <f t="shared" ref="B533:B596" si="66">ROW()-12</f>
        <v>521</v>
      </c>
      <c r="C533" s="13" t="str">
        <f t="shared" si="65"/>
        <v>E137_疾患開始日</v>
      </c>
      <c r="D533" s="13" t="s">
        <v>6175</v>
      </c>
      <c r="E533" s="8"/>
      <c r="F533" s="7" t="s">
        <v>4348</v>
      </c>
      <c r="G533" s="7" t="s">
        <v>25</v>
      </c>
      <c r="H533" s="58"/>
      <c r="I533" s="23"/>
      <c r="J533" s="24"/>
      <c r="M533" s="4"/>
      <c r="N533" s="76"/>
      <c r="O533" s="76"/>
      <c r="P533" s="76" t="str">
        <f t="shared" si="58"/>
        <v>,shikkan515_start_date</v>
      </c>
      <c r="Q533" s="76" t="str">
        <f t="shared" si="59"/>
        <v>DATE</v>
      </c>
      <c r="R533" s="76" t="str">
        <f t="shared" si="60"/>
        <v/>
      </c>
      <c r="S533" s="76" t="str">
        <f t="shared" si="61"/>
        <v/>
      </c>
      <c r="T533" s="76" t="str">
        <f t="shared" si="62"/>
        <v>-- E137_疾患開始日</v>
      </c>
      <c r="U533" s="4" t="str">
        <f t="shared" si="63"/>
        <v>, CASE WHEN shikkan_disp_name = 'E137' THEN min_shikkan_start_date ::DATE ELSE NULL END AS shikkan515_start_date</v>
      </c>
      <c r="V533" s="25" t="str">
        <f t="shared" si="64"/>
        <v>, max(shikkan515_start_date)</v>
      </c>
      <c r="AA533" s="4"/>
      <c r="AB533" s="4"/>
      <c r="AC533" s="4"/>
      <c r="AD533" s="4"/>
      <c r="AE533" s="4"/>
      <c r="AF533" s="4"/>
      <c r="AG533" s="4"/>
      <c r="AH533" s="4"/>
      <c r="AI533" s="4"/>
      <c r="AJ533" s="76" t="str">
        <f>IF(E533="○",IF(COUNTA(E$13:E533)=1,"",",")&amp;D533,"")</f>
        <v/>
      </c>
      <c r="AK533" s="4"/>
      <c r="AL533" s="4"/>
      <c r="AM533" s="4"/>
      <c r="AN533" s="4"/>
      <c r="AO533" s="4"/>
      <c r="AP533" s="4"/>
      <c r="AQ533" s="4"/>
      <c r="AR533" s="4"/>
      <c r="AS533" s="76" t="str">
        <f>"COMMENT ON COLUMN "&amp;エンティティ一覧!$O$2&amp;"."&amp;D$8&amp;"."&amp;D533&amp;" IS '"&amp;C533&amp;"';"</f>
        <v>COMMENT ON COLUMN milscm_2023_009.sny_202310_annony_non_annony2.shikkan515_start_date IS 'E137_疾患開始日';</v>
      </c>
    </row>
    <row r="534" spans="1:45" s="25" customFormat="1">
      <c r="A534" s="4" t="s">
        <v>5106</v>
      </c>
      <c r="B534" s="21">
        <f t="shared" si="66"/>
        <v>522</v>
      </c>
      <c r="C534" s="13" t="str">
        <f t="shared" si="65"/>
        <v>E138_疾患開始日</v>
      </c>
      <c r="D534" s="13" t="s">
        <v>6176</v>
      </c>
      <c r="E534" s="8"/>
      <c r="F534" s="7" t="s">
        <v>4348</v>
      </c>
      <c r="G534" s="7" t="s">
        <v>25</v>
      </c>
      <c r="H534" s="58"/>
      <c r="I534" s="23"/>
      <c r="J534" s="24"/>
      <c r="M534" s="4"/>
      <c r="N534" s="76"/>
      <c r="O534" s="76"/>
      <c r="P534" s="76" t="str">
        <f t="shared" si="58"/>
        <v>,shikkan516_start_date</v>
      </c>
      <c r="Q534" s="76" t="str">
        <f t="shared" si="59"/>
        <v>DATE</v>
      </c>
      <c r="R534" s="76" t="str">
        <f t="shared" si="60"/>
        <v/>
      </c>
      <c r="S534" s="76" t="str">
        <f t="shared" si="61"/>
        <v/>
      </c>
      <c r="T534" s="76" t="str">
        <f t="shared" si="62"/>
        <v>-- E138_疾患開始日</v>
      </c>
      <c r="U534" s="4" t="str">
        <f t="shared" si="63"/>
        <v>, CASE WHEN shikkan_disp_name = 'E138' THEN min_shikkan_start_date ::DATE ELSE NULL END AS shikkan516_start_date</v>
      </c>
      <c r="V534" s="25" t="str">
        <f t="shared" si="64"/>
        <v>, max(shikkan516_start_date)</v>
      </c>
      <c r="AA534" s="4"/>
      <c r="AB534" s="4"/>
      <c r="AC534" s="4"/>
      <c r="AD534" s="4"/>
      <c r="AE534" s="4"/>
      <c r="AF534" s="4"/>
      <c r="AG534" s="4"/>
      <c r="AH534" s="4"/>
      <c r="AI534" s="4"/>
      <c r="AJ534" s="76" t="str">
        <f>IF(E534="○",IF(COUNTA(E$13:E534)=1,"",",")&amp;D534,"")</f>
        <v/>
      </c>
      <c r="AK534" s="4"/>
      <c r="AL534" s="4"/>
      <c r="AM534" s="4"/>
      <c r="AN534" s="4"/>
      <c r="AO534" s="4"/>
      <c r="AP534" s="4"/>
      <c r="AQ534" s="4"/>
      <c r="AR534" s="4"/>
      <c r="AS534" s="76" t="str">
        <f>"COMMENT ON COLUMN "&amp;エンティティ一覧!$O$2&amp;"."&amp;D$8&amp;"."&amp;D534&amp;" IS '"&amp;C534&amp;"';"</f>
        <v>COMMENT ON COLUMN milscm_2023_009.sny_202310_annony_non_annony2.shikkan516_start_date IS 'E138_疾患開始日';</v>
      </c>
    </row>
    <row r="535" spans="1:45" s="25" customFormat="1">
      <c r="A535" s="4" t="s">
        <v>5107</v>
      </c>
      <c r="B535" s="21">
        <f t="shared" si="66"/>
        <v>523</v>
      </c>
      <c r="C535" s="13" t="str">
        <f t="shared" si="65"/>
        <v>E139_疾患開始日</v>
      </c>
      <c r="D535" s="13" t="s">
        <v>6177</v>
      </c>
      <c r="E535" s="8"/>
      <c r="F535" s="7" t="s">
        <v>4348</v>
      </c>
      <c r="G535" s="7" t="s">
        <v>25</v>
      </c>
      <c r="H535" s="58"/>
      <c r="I535" s="23"/>
      <c r="J535" s="24"/>
      <c r="M535" s="4"/>
      <c r="N535" s="76"/>
      <c r="O535" s="76"/>
      <c r="P535" s="76" t="str">
        <f t="shared" si="58"/>
        <v>,shikkan517_start_date</v>
      </c>
      <c r="Q535" s="76" t="str">
        <f t="shared" si="59"/>
        <v>DATE</v>
      </c>
      <c r="R535" s="76" t="str">
        <f t="shared" si="60"/>
        <v/>
      </c>
      <c r="S535" s="76" t="str">
        <f t="shared" si="61"/>
        <v/>
      </c>
      <c r="T535" s="76" t="str">
        <f t="shared" si="62"/>
        <v>-- E139_疾患開始日</v>
      </c>
      <c r="U535" s="4" t="str">
        <f t="shared" si="63"/>
        <v>, CASE WHEN shikkan_disp_name = 'E139' THEN min_shikkan_start_date ::DATE ELSE NULL END AS shikkan517_start_date</v>
      </c>
      <c r="V535" s="25" t="str">
        <f t="shared" si="64"/>
        <v>, max(shikkan517_start_date)</v>
      </c>
      <c r="AA535" s="4"/>
      <c r="AB535" s="4"/>
      <c r="AC535" s="4"/>
      <c r="AD535" s="4"/>
      <c r="AE535" s="4"/>
      <c r="AF535" s="4"/>
      <c r="AG535" s="4"/>
      <c r="AH535" s="4"/>
      <c r="AI535" s="4"/>
      <c r="AJ535" s="76" t="str">
        <f>IF(E535="○",IF(COUNTA(E$13:E535)=1,"",",")&amp;D535,"")</f>
        <v/>
      </c>
      <c r="AK535" s="4"/>
      <c r="AL535" s="4"/>
      <c r="AM535" s="4"/>
      <c r="AN535" s="4"/>
      <c r="AO535" s="4"/>
      <c r="AP535" s="4"/>
      <c r="AQ535" s="4"/>
      <c r="AR535" s="4"/>
      <c r="AS535" s="76" t="str">
        <f>"COMMENT ON COLUMN "&amp;エンティティ一覧!$O$2&amp;"."&amp;D$8&amp;"."&amp;D535&amp;" IS '"&amp;C535&amp;"';"</f>
        <v>COMMENT ON COLUMN milscm_2023_009.sny_202310_annony_non_annony2.shikkan517_start_date IS 'E139_疾患開始日';</v>
      </c>
    </row>
    <row r="536" spans="1:45" s="25" customFormat="1">
      <c r="A536" s="4" t="s">
        <v>5108</v>
      </c>
      <c r="B536" s="21">
        <f t="shared" si="66"/>
        <v>524</v>
      </c>
      <c r="C536" s="13" t="str">
        <f t="shared" si="65"/>
        <v>E140_疾患開始日</v>
      </c>
      <c r="D536" s="13" t="s">
        <v>6178</v>
      </c>
      <c r="E536" s="8"/>
      <c r="F536" s="7" t="s">
        <v>4348</v>
      </c>
      <c r="G536" s="7" t="s">
        <v>25</v>
      </c>
      <c r="H536" s="58"/>
      <c r="I536" s="23"/>
      <c r="J536" s="24"/>
      <c r="M536" s="4"/>
      <c r="N536" s="76"/>
      <c r="O536" s="76"/>
      <c r="P536" s="76" t="str">
        <f t="shared" si="58"/>
        <v>,shikkan518_start_date</v>
      </c>
      <c r="Q536" s="76" t="str">
        <f t="shared" si="59"/>
        <v>DATE</v>
      </c>
      <c r="R536" s="76" t="str">
        <f t="shared" si="60"/>
        <v/>
      </c>
      <c r="S536" s="76" t="str">
        <f t="shared" si="61"/>
        <v/>
      </c>
      <c r="T536" s="76" t="str">
        <f t="shared" si="62"/>
        <v>-- E140_疾患開始日</v>
      </c>
      <c r="U536" s="4" t="str">
        <f t="shared" si="63"/>
        <v>, CASE WHEN shikkan_disp_name = 'E140' THEN min_shikkan_start_date ::DATE ELSE NULL END AS shikkan518_start_date</v>
      </c>
      <c r="V536" s="25" t="str">
        <f t="shared" si="64"/>
        <v>, max(shikkan518_start_date)</v>
      </c>
      <c r="AA536" s="4"/>
      <c r="AB536" s="4"/>
      <c r="AC536" s="4"/>
      <c r="AD536" s="4"/>
      <c r="AE536" s="4"/>
      <c r="AF536" s="4"/>
      <c r="AG536" s="4"/>
      <c r="AH536" s="4"/>
      <c r="AI536" s="4"/>
      <c r="AJ536" s="76" t="str">
        <f>IF(E536="○",IF(COUNTA(E$13:E536)=1,"",",")&amp;D536,"")</f>
        <v/>
      </c>
      <c r="AK536" s="4"/>
      <c r="AL536" s="4"/>
      <c r="AM536" s="4"/>
      <c r="AN536" s="4"/>
      <c r="AO536" s="4"/>
      <c r="AP536" s="4"/>
      <c r="AQ536" s="4"/>
      <c r="AR536" s="4"/>
      <c r="AS536" s="76" t="str">
        <f>"COMMENT ON COLUMN "&amp;エンティティ一覧!$O$2&amp;"."&amp;D$8&amp;"."&amp;D536&amp;" IS '"&amp;C536&amp;"';"</f>
        <v>COMMENT ON COLUMN milscm_2023_009.sny_202310_annony_non_annony2.shikkan518_start_date IS 'E140_疾患開始日';</v>
      </c>
    </row>
    <row r="537" spans="1:45" s="25" customFormat="1">
      <c r="A537" s="4" t="s">
        <v>5109</v>
      </c>
      <c r="B537" s="21">
        <f t="shared" si="66"/>
        <v>525</v>
      </c>
      <c r="C537" s="13" t="str">
        <f t="shared" si="65"/>
        <v>E141_疾患開始日</v>
      </c>
      <c r="D537" s="13" t="s">
        <v>6179</v>
      </c>
      <c r="E537" s="8"/>
      <c r="F537" s="7" t="s">
        <v>4348</v>
      </c>
      <c r="G537" s="7" t="s">
        <v>25</v>
      </c>
      <c r="H537" s="58"/>
      <c r="I537" s="23"/>
      <c r="J537" s="24"/>
      <c r="M537" s="4"/>
      <c r="N537" s="76"/>
      <c r="O537" s="76"/>
      <c r="P537" s="76" t="str">
        <f t="shared" si="58"/>
        <v>,shikkan519_start_date</v>
      </c>
      <c r="Q537" s="76" t="str">
        <f t="shared" si="59"/>
        <v>DATE</v>
      </c>
      <c r="R537" s="76" t="str">
        <f t="shared" si="60"/>
        <v/>
      </c>
      <c r="S537" s="76" t="str">
        <f t="shared" si="61"/>
        <v/>
      </c>
      <c r="T537" s="76" t="str">
        <f t="shared" si="62"/>
        <v>-- E141_疾患開始日</v>
      </c>
      <c r="U537" s="4" t="str">
        <f t="shared" si="63"/>
        <v>, CASE WHEN shikkan_disp_name = 'E141' THEN min_shikkan_start_date ::DATE ELSE NULL END AS shikkan519_start_date</v>
      </c>
      <c r="V537" s="25" t="str">
        <f t="shared" si="64"/>
        <v>, max(shikkan519_start_date)</v>
      </c>
      <c r="AA537" s="4"/>
      <c r="AB537" s="4"/>
      <c r="AC537" s="4"/>
      <c r="AD537" s="4"/>
      <c r="AE537" s="4"/>
      <c r="AF537" s="4"/>
      <c r="AG537" s="4"/>
      <c r="AH537" s="4"/>
      <c r="AI537" s="4"/>
      <c r="AJ537" s="76" t="str">
        <f>IF(E537="○",IF(COUNTA(E$13:E537)=1,"",",")&amp;D537,"")</f>
        <v/>
      </c>
      <c r="AK537" s="4"/>
      <c r="AL537" s="4"/>
      <c r="AM537" s="4"/>
      <c r="AN537" s="4"/>
      <c r="AO537" s="4"/>
      <c r="AP537" s="4"/>
      <c r="AQ537" s="4"/>
      <c r="AR537" s="4"/>
      <c r="AS537" s="76" t="str">
        <f>"COMMENT ON COLUMN "&amp;エンティティ一覧!$O$2&amp;"."&amp;D$8&amp;"."&amp;D537&amp;" IS '"&amp;C537&amp;"';"</f>
        <v>COMMENT ON COLUMN milscm_2023_009.sny_202310_annony_non_annony2.shikkan519_start_date IS 'E141_疾患開始日';</v>
      </c>
    </row>
    <row r="538" spans="1:45" s="25" customFormat="1">
      <c r="A538" s="4" t="s">
        <v>5132</v>
      </c>
      <c r="B538" s="21">
        <f t="shared" si="66"/>
        <v>526</v>
      </c>
      <c r="C538" s="13" t="str">
        <f t="shared" si="65"/>
        <v>E142_疾患開始日</v>
      </c>
      <c r="D538" s="13" t="s">
        <v>6180</v>
      </c>
      <c r="E538" s="8"/>
      <c r="F538" s="7" t="s">
        <v>4348</v>
      </c>
      <c r="G538" s="7" t="s">
        <v>25</v>
      </c>
      <c r="H538" s="58"/>
      <c r="I538" s="23"/>
      <c r="J538" s="24"/>
      <c r="M538" s="4"/>
      <c r="N538" s="76"/>
      <c r="O538" s="76"/>
      <c r="P538" s="76" t="str">
        <f t="shared" si="58"/>
        <v>,shikkan520_start_date</v>
      </c>
      <c r="Q538" s="76" t="str">
        <f t="shared" si="59"/>
        <v>DATE</v>
      </c>
      <c r="R538" s="76" t="str">
        <f t="shared" si="60"/>
        <v/>
      </c>
      <c r="S538" s="76" t="str">
        <f t="shared" si="61"/>
        <v/>
      </c>
      <c r="T538" s="76" t="str">
        <f t="shared" si="62"/>
        <v>-- E142_疾患開始日</v>
      </c>
      <c r="U538" s="4" t="str">
        <f t="shared" si="63"/>
        <v>, CASE WHEN shikkan_disp_name = 'E142' THEN min_shikkan_start_date ::DATE ELSE NULL END AS shikkan520_start_date</v>
      </c>
      <c r="V538" s="25" t="str">
        <f t="shared" si="64"/>
        <v>, max(shikkan520_start_date)</v>
      </c>
      <c r="AA538" s="4"/>
      <c r="AB538" s="4"/>
      <c r="AC538" s="4"/>
      <c r="AD538" s="4"/>
      <c r="AE538" s="4"/>
      <c r="AF538" s="4"/>
      <c r="AG538" s="4"/>
      <c r="AH538" s="4"/>
      <c r="AI538" s="4"/>
      <c r="AJ538" s="76" t="str">
        <f>IF(E538="○",IF(COUNTA(E$13:E538)=1,"",",")&amp;D538,"")</f>
        <v/>
      </c>
      <c r="AK538" s="4"/>
      <c r="AL538" s="4"/>
      <c r="AM538" s="4"/>
      <c r="AN538" s="4"/>
      <c r="AO538" s="4"/>
      <c r="AP538" s="4"/>
      <c r="AQ538" s="4"/>
      <c r="AR538" s="4"/>
      <c r="AS538" s="76" t="str">
        <f>"COMMENT ON COLUMN "&amp;エンティティ一覧!$O$2&amp;"."&amp;D$8&amp;"."&amp;D538&amp;" IS '"&amp;C538&amp;"';"</f>
        <v>COMMENT ON COLUMN milscm_2023_009.sny_202310_annony_non_annony2.shikkan520_start_date IS 'E142_疾患開始日';</v>
      </c>
    </row>
    <row r="539" spans="1:45" s="25" customFormat="1">
      <c r="A539" s="4" t="s">
        <v>5133</v>
      </c>
      <c r="B539" s="21">
        <f t="shared" si="66"/>
        <v>527</v>
      </c>
      <c r="C539" s="13" t="str">
        <f t="shared" si="65"/>
        <v>E143_疾患開始日</v>
      </c>
      <c r="D539" s="13" t="s">
        <v>6181</v>
      </c>
      <c r="E539" s="8"/>
      <c r="F539" s="7" t="s">
        <v>4348</v>
      </c>
      <c r="G539" s="7" t="s">
        <v>25</v>
      </c>
      <c r="H539" s="58"/>
      <c r="I539" s="23"/>
      <c r="J539" s="24"/>
      <c r="M539" s="4"/>
      <c r="N539" s="76"/>
      <c r="O539" s="76"/>
      <c r="P539" s="76" t="str">
        <f t="shared" si="58"/>
        <v>,shikkan521_start_date</v>
      </c>
      <c r="Q539" s="76" t="str">
        <f t="shared" si="59"/>
        <v>DATE</v>
      </c>
      <c r="R539" s="76" t="str">
        <f t="shared" si="60"/>
        <v/>
      </c>
      <c r="S539" s="76" t="str">
        <f t="shared" si="61"/>
        <v/>
      </c>
      <c r="T539" s="76" t="str">
        <f t="shared" si="62"/>
        <v>-- E143_疾患開始日</v>
      </c>
      <c r="U539" s="4" t="str">
        <f t="shared" si="63"/>
        <v>, CASE WHEN shikkan_disp_name = 'E143' THEN min_shikkan_start_date ::DATE ELSE NULL END AS shikkan521_start_date</v>
      </c>
      <c r="V539" s="25" t="str">
        <f t="shared" si="64"/>
        <v>, max(shikkan521_start_date)</v>
      </c>
      <c r="AA539" s="4"/>
      <c r="AB539" s="4"/>
      <c r="AC539" s="4"/>
      <c r="AD539" s="4"/>
      <c r="AE539" s="4"/>
      <c r="AF539" s="4"/>
      <c r="AG539" s="4"/>
      <c r="AH539" s="4"/>
      <c r="AI539" s="4"/>
      <c r="AJ539" s="76" t="str">
        <f>IF(E539="○",IF(COUNTA(E$13:E539)=1,"",",")&amp;D539,"")</f>
        <v/>
      </c>
      <c r="AK539" s="4"/>
      <c r="AL539" s="4"/>
      <c r="AM539" s="4"/>
      <c r="AN539" s="4"/>
      <c r="AO539" s="4"/>
      <c r="AP539" s="4"/>
      <c r="AQ539" s="4"/>
      <c r="AR539" s="4"/>
      <c r="AS539" s="76" t="str">
        <f>"COMMENT ON COLUMN "&amp;エンティティ一覧!$O$2&amp;"."&amp;D$8&amp;"."&amp;D539&amp;" IS '"&amp;C539&amp;"';"</f>
        <v>COMMENT ON COLUMN milscm_2023_009.sny_202310_annony_non_annony2.shikkan521_start_date IS 'E143_疾患開始日';</v>
      </c>
    </row>
    <row r="540" spans="1:45" s="25" customFormat="1">
      <c r="A540" s="4" t="s">
        <v>5134</v>
      </c>
      <c r="B540" s="21">
        <f t="shared" si="66"/>
        <v>528</v>
      </c>
      <c r="C540" s="13" t="str">
        <f t="shared" si="65"/>
        <v>E144_疾患開始日</v>
      </c>
      <c r="D540" s="13" t="s">
        <v>6182</v>
      </c>
      <c r="E540" s="8"/>
      <c r="F540" s="7" t="s">
        <v>4348</v>
      </c>
      <c r="G540" s="7" t="s">
        <v>25</v>
      </c>
      <c r="H540" s="58"/>
      <c r="I540" s="23"/>
      <c r="J540" s="24"/>
      <c r="M540" s="4"/>
      <c r="N540" s="76"/>
      <c r="O540" s="76"/>
      <c r="P540" s="76" t="str">
        <f t="shared" si="58"/>
        <v>,shikkan522_start_date</v>
      </c>
      <c r="Q540" s="76" t="str">
        <f t="shared" si="59"/>
        <v>DATE</v>
      </c>
      <c r="R540" s="76" t="str">
        <f t="shared" si="60"/>
        <v/>
      </c>
      <c r="S540" s="76" t="str">
        <f t="shared" si="61"/>
        <v/>
      </c>
      <c r="T540" s="76" t="str">
        <f t="shared" si="62"/>
        <v>-- E144_疾患開始日</v>
      </c>
      <c r="U540" s="4" t="str">
        <f t="shared" si="63"/>
        <v>, CASE WHEN shikkan_disp_name = 'E144' THEN min_shikkan_start_date ::DATE ELSE NULL END AS shikkan522_start_date</v>
      </c>
      <c r="V540" s="25" t="str">
        <f t="shared" si="64"/>
        <v>, max(shikkan522_start_date)</v>
      </c>
      <c r="AA540" s="4"/>
      <c r="AB540" s="4"/>
      <c r="AC540" s="4"/>
      <c r="AD540" s="4"/>
      <c r="AE540" s="4"/>
      <c r="AF540" s="4"/>
      <c r="AG540" s="4"/>
      <c r="AH540" s="4"/>
      <c r="AI540" s="4"/>
      <c r="AJ540" s="76" t="str">
        <f>IF(E540="○",IF(COUNTA(E$13:E540)=1,"",",")&amp;D540,"")</f>
        <v/>
      </c>
      <c r="AK540" s="4"/>
      <c r="AL540" s="4"/>
      <c r="AM540" s="4"/>
      <c r="AN540" s="4"/>
      <c r="AO540" s="4"/>
      <c r="AP540" s="4"/>
      <c r="AQ540" s="4"/>
      <c r="AR540" s="4"/>
      <c r="AS540" s="76" t="str">
        <f>"COMMENT ON COLUMN "&amp;エンティティ一覧!$O$2&amp;"."&amp;D$8&amp;"."&amp;D540&amp;" IS '"&amp;C540&amp;"';"</f>
        <v>COMMENT ON COLUMN milscm_2023_009.sny_202310_annony_non_annony2.shikkan522_start_date IS 'E144_疾患開始日';</v>
      </c>
    </row>
    <row r="541" spans="1:45" s="25" customFormat="1">
      <c r="A541" s="4" t="s">
        <v>5135</v>
      </c>
      <c r="B541" s="21">
        <f t="shared" si="66"/>
        <v>529</v>
      </c>
      <c r="C541" s="13" t="str">
        <f t="shared" si="65"/>
        <v>E145_疾患開始日</v>
      </c>
      <c r="D541" s="13" t="s">
        <v>6183</v>
      </c>
      <c r="E541" s="8"/>
      <c r="F541" s="7" t="s">
        <v>4348</v>
      </c>
      <c r="G541" s="7" t="s">
        <v>25</v>
      </c>
      <c r="H541" s="58"/>
      <c r="I541" s="23"/>
      <c r="J541" s="24"/>
      <c r="M541" s="4"/>
      <c r="N541" s="76"/>
      <c r="O541" s="76"/>
      <c r="P541" s="76" t="str">
        <f t="shared" si="58"/>
        <v>,shikkan523_start_date</v>
      </c>
      <c r="Q541" s="76" t="str">
        <f t="shared" si="59"/>
        <v>DATE</v>
      </c>
      <c r="R541" s="76" t="str">
        <f t="shared" si="60"/>
        <v/>
      </c>
      <c r="S541" s="76" t="str">
        <f t="shared" si="61"/>
        <v/>
      </c>
      <c r="T541" s="76" t="str">
        <f t="shared" si="62"/>
        <v>-- E145_疾患開始日</v>
      </c>
      <c r="U541" s="4" t="str">
        <f t="shared" si="63"/>
        <v>, CASE WHEN shikkan_disp_name = 'E145' THEN min_shikkan_start_date ::DATE ELSE NULL END AS shikkan523_start_date</v>
      </c>
      <c r="V541" s="25" t="str">
        <f t="shared" si="64"/>
        <v>, max(shikkan523_start_date)</v>
      </c>
      <c r="AA541" s="4"/>
      <c r="AB541" s="4"/>
      <c r="AC541" s="4"/>
      <c r="AD541" s="4"/>
      <c r="AE541" s="4"/>
      <c r="AF541" s="4"/>
      <c r="AG541" s="4"/>
      <c r="AH541" s="4"/>
      <c r="AI541" s="4"/>
      <c r="AJ541" s="76" t="str">
        <f>IF(E541="○",IF(COUNTA(E$13:E541)=1,"",",")&amp;D541,"")</f>
        <v/>
      </c>
      <c r="AK541" s="4"/>
      <c r="AL541" s="4"/>
      <c r="AM541" s="4"/>
      <c r="AN541" s="4"/>
      <c r="AO541" s="4"/>
      <c r="AP541" s="4"/>
      <c r="AQ541" s="4"/>
      <c r="AR541" s="4"/>
      <c r="AS541" s="76" t="str">
        <f>"COMMENT ON COLUMN "&amp;エンティティ一覧!$O$2&amp;"."&amp;D$8&amp;"."&amp;D541&amp;" IS '"&amp;C541&amp;"';"</f>
        <v>COMMENT ON COLUMN milscm_2023_009.sny_202310_annony_non_annony2.shikkan523_start_date IS 'E145_疾患開始日';</v>
      </c>
    </row>
    <row r="542" spans="1:45" s="25" customFormat="1">
      <c r="A542" s="4" t="s">
        <v>5110</v>
      </c>
      <c r="B542" s="21">
        <f t="shared" si="66"/>
        <v>530</v>
      </c>
      <c r="C542" s="13" t="str">
        <f t="shared" si="65"/>
        <v>E146_疾患開始日</v>
      </c>
      <c r="D542" s="13" t="s">
        <v>6184</v>
      </c>
      <c r="E542" s="8"/>
      <c r="F542" s="7" t="s">
        <v>4348</v>
      </c>
      <c r="G542" s="7" t="s">
        <v>25</v>
      </c>
      <c r="H542" s="58"/>
      <c r="I542" s="23"/>
      <c r="J542" s="24"/>
      <c r="M542" s="4"/>
      <c r="N542" s="76"/>
      <c r="O542" s="76"/>
      <c r="P542" s="76" t="str">
        <f t="shared" si="58"/>
        <v>,shikkan524_start_date</v>
      </c>
      <c r="Q542" s="76" t="str">
        <f t="shared" si="59"/>
        <v>DATE</v>
      </c>
      <c r="R542" s="76" t="str">
        <f t="shared" si="60"/>
        <v/>
      </c>
      <c r="S542" s="76" t="str">
        <f t="shared" si="61"/>
        <v/>
      </c>
      <c r="T542" s="76" t="str">
        <f t="shared" si="62"/>
        <v>-- E146_疾患開始日</v>
      </c>
      <c r="U542" s="4" t="str">
        <f t="shared" si="63"/>
        <v>, CASE WHEN shikkan_disp_name = 'E146' THEN min_shikkan_start_date ::DATE ELSE NULL END AS shikkan524_start_date</v>
      </c>
      <c r="V542" s="25" t="str">
        <f t="shared" si="64"/>
        <v>, max(shikkan524_start_date)</v>
      </c>
      <c r="AA542" s="4"/>
      <c r="AB542" s="4"/>
      <c r="AC542" s="4"/>
      <c r="AD542" s="4"/>
      <c r="AE542" s="4"/>
      <c r="AF542" s="4"/>
      <c r="AG542" s="4"/>
      <c r="AH542" s="4"/>
      <c r="AI542" s="4"/>
      <c r="AJ542" s="76" t="str">
        <f>IF(E542="○",IF(COUNTA(E$13:E542)=1,"",",")&amp;D542,"")</f>
        <v/>
      </c>
      <c r="AK542" s="4"/>
      <c r="AL542" s="4"/>
      <c r="AM542" s="4"/>
      <c r="AN542" s="4"/>
      <c r="AO542" s="4"/>
      <c r="AP542" s="4"/>
      <c r="AQ542" s="4"/>
      <c r="AR542" s="4"/>
      <c r="AS542" s="76" t="str">
        <f>"COMMENT ON COLUMN "&amp;エンティティ一覧!$O$2&amp;"."&amp;D$8&amp;"."&amp;D542&amp;" IS '"&amp;C542&amp;"';"</f>
        <v>COMMENT ON COLUMN milscm_2023_009.sny_202310_annony_non_annony2.shikkan524_start_date IS 'E146_疾患開始日';</v>
      </c>
    </row>
    <row r="543" spans="1:45" s="25" customFormat="1">
      <c r="A543" s="4" t="s">
        <v>5136</v>
      </c>
      <c r="B543" s="21">
        <f t="shared" si="66"/>
        <v>531</v>
      </c>
      <c r="C543" s="13" t="str">
        <f t="shared" si="65"/>
        <v>E147_疾患開始日</v>
      </c>
      <c r="D543" s="13" t="s">
        <v>6185</v>
      </c>
      <c r="E543" s="8"/>
      <c r="F543" s="7" t="s">
        <v>4348</v>
      </c>
      <c r="G543" s="7" t="s">
        <v>25</v>
      </c>
      <c r="H543" s="58"/>
      <c r="I543" s="23"/>
      <c r="J543" s="24"/>
      <c r="M543" s="4"/>
      <c r="N543" s="76"/>
      <c r="O543" s="76"/>
      <c r="P543" s="76" t="str">
        <f t="shared" si="58"/>
        <v>,shikkan525_start_date</v>
      </c>
      <c r="Q543" s="76" t="str">
        <f t="shared" si="59"/>
        <v>DATE</v>
      </c>
      <c r="R543" s="76" t="str">
        <f t="shared" si="60"/>
        <v/>
      </c>
      <c r="S543" s="76" t="str">
        <f t="shared" si="61"/>
        <v/>
      </c>
      <c r="T543" s="76" t="str">
        <f t="shared" si="62"/>
        <v>-- E147_疾患開始日</v>
      </c>
      <c r="U543" s="4" t="str">
        <f t="shared" si="63"/>
        <v>, CASE WHEN shikkan_disp_name = 'E147' THEN min_shikkan_start_date ::DATE ELSE NULL END AS shikkan525_start_date</v>
      </c>
      <c r="V543" s="25" t="str">
        <f t="shared" si="64"/>
        <v>, max(shikkan525_start_date)</v>
      </c>
      <c r="AA543" s="4"/>
      <c r="AB543" s="4"/>
      <c r="AC543" s="4"/>
      <c r="AD543" s="4"/>
      <c r="AE543" s="4"/>
      <c r="AF543" s="4"/>
      <c r="AG543" s="4"/>
      <c r="AH543" s="4"/>
      <c r="AI543" s="4"/>
      <c r="AJ543" s="76" t="str">
        <f>IF(E543="○",IF(COUNTA(E$13:E543)=1,"",",")&amp;D543,"")</f>
        <v/>
      </c>
      <c r="AK543" s="4"/>
      <c r="AL543" s="4"/>
      <c r="AM543" s="4"/>
      <c r="AN543" s="4"/>
      <c r="AO543" s="4"/>
      <c r="AP543" s="4"/>
      <c r="AQ543" s="4"/>
      <c r="AR543" s="4"/>
      <c r="AS543" s="76" t="str">
        <f>"COMMENT ON COLUMN "&amp;エンティティ一覧!$O$2&amp;"."&amp;D$8&amp;"."&amp;D543&amp;" IS '"&amp;C543&amp;"';"</f>
        <v>COMMENT ON COLUMN milscm_2023_009.sny_202310_annony_non_annony2.shikkan525_start_date IS 'E147_疾患開始日';</v>
      </c>
    </row>
    <row r="544" spans="1:45" s="25" customFormat="1">
      <c r="A544" s="4" t="s">
        <v>5111</v>
      </c>
      <c r="B544" s="21">
        <f t="shared" si="66"/>
        <v>532</v>
      </c>
      <c r="C544" s="13" t="str">
        <f t="shared" si="65"/>
        <v>E148_疾患開始日</v>
      </c>
      <c r="D544" s="13" t="s">
        <v>6186</v>
      </c>
      <c r="E544" s="8"/>
      <c r="F544" s="7" t="s">
        <v>4348</v>
      </c>
      <c r="G544" s="7" t="s">
        <v>25</v>
      </c>
      <c r="H544" s="58"/>
      <c r="I544" s="23"/>
      <c r="J544" s="24"/>
      <c r="M544" s="4"/>
      <c r="N544" s="76"/>
      <c r="O544" s="76"/>
      <c r="P544" s="76" t="str">
        <f t="shared" si="58"/>
        <v>,shikkan526_start_date</v>
      </c>
      <c r="Q544" s="76" t="str">
        <f t="shared" si="59"/>
        <v>DATE</v>
      </c>
      <c r="R544" s="76" t="str">
        <f t="shared" si="60"/>
        <v/>
      </c>
      <c r="S544" s="76" t="str">
        <f t="shared" si="61"/>
        <v/>
      </c>
      <c r="T544" s="76" t="str">
        <f t="shared" si="62"/>
        <v>-- E148_疾患開始日</v>
      </c>
      <c r="U544" s="4" t="str">
        <f t="shared" si="63"/>
        <v>, CASE WHEN shikkan_disp_name = 'E148' THEN min_shikkan_start_date ::DATE ELSE NULL END AS shikkan526_start_date</v>
      </c>
      <c r="V544" s="25" t="str">
        <f t="shared" si="64"/>
        <v>, max(shikkan526_start_date)</v>
      </c>
      <c r="AA544" s="4"/>
      <c r="AB544" s="4"/>
      <c r="AC544" s="4"/>
      <c r="AD544" s="4"/>
      <c r="AE544" s="4"/>
      <c r="AF544" s="4"/>
      <c r="AG544" s="4"/>
      <c r="AH544" s="4"/>
      <c r="AI544" s="4"/>
      <c r="AJ544" s="76" t="str">
        <f>IF(E544="○",IF(COUNTA(E$13:E544)=1,"",",")&amp;D544,"")</f>
        <v/>
      </c>
      <c r="AK544" s="4"/>
      <c r="AL544" s="4"/>
      <c r="AM544" s="4"/>
      <c r="AN544" s="4"/>
      <c r="AO544" s="4"/>
      <c r="AP544" s="4"/>
      <c r="AQ544" s="4"/>
      <c r="AR544" s="4"/>
      <c r="AS544" s="76" t="str">
        <f>"COMMENT ON COLUMN "&amp;エンティティ一覧!$O$2&amp;"."&amp;D$8&amp;"."&amp;D544&amp;" IS '"&amp;C544&amp;"';"</f>
        <v>COMMENT ON COLUMN milscm_2023_009.sny_202310_annony_non_annony2.shikkan526_start_date IS 'E148_疾患開始日';</v>
      </c>
    </row>
    <row r="545" spans="1:45" s="25" customFormat="1">
      <c r="A545" s="4" t="s">
        <v>5112</v>
      </c>
      <c r="B545" s="21">
        <f t="shared" si="66"/>
        <v>533</v>
      </c>
      <c r="C545" s="13" t="str">
        <f t="shared" si="65"/>
        <v>E149_疾患開始日</v>
      </c>
      <c r="D545" s="13" t="s">
        <v>6187</v>
      </c>
      <c r="E545" s="8"/>
      <c r="F545" s="7" t="s">
        <v>4348</v>
      </c>
      <c r="G545" s="7" t="s">
        <v>25</v>
      </c>
      <c r="H545" s="58"/>
      <c r="I545" s="23"/>
      <c r="J545" s="24"/>
      <c r="M545" s="4"/>
      <c r="N545" s="76"/>
      <c r="O545" s="76"/>
      <c r="P545" s="76" t="str">
        <f t="shared" si="58"/>
        <v>,shikkan527_start_date</v>
      </c>
      <c r="Q545" s="76" t="str">
        <f t="shared" si="59"/>
        <v>DATE</v>
      </c>
      <c r="R545" s="76" t="str">
        <f t="shared" si="60"/>
        <v/>
      </c>
      <c r="S545" s="76" t="str">
        <f t="shared" si="61"/>
        <v/>
      </c>
      <c r="T545" s="76" t="str">
        <f t="shared" si="62"/>
        <v>-- E149_疾患開始日</v>
      </c>
      <c r="U545" s="4" t="str">
        <f t="shared" si="63"/>
        <v>, CASE WHEN shikkan_disp_name = 'E149' THEN min_shikkan_start_date ::DATE ELSE NULL END AS shikkan527_start_date</v>
      </c>
      <c r="V545" s="25" t="str">
        <f t="shared" si="64"/>
        <v>, max(shikkan527_start_date)</v>
      </c>
      <c r="AA545" s="4"/>
      <c r="AB545" s="4"/>
      <c r="AC545" s="4"/>
      <c r="AD545" s="4"/>
      <c r="AE545" s="4"/>
      <c r="AF545" s="4"/>
      <c r="AG545" s="4"/>
      <c r="AH545" s="4"/>
      <c r="AI545" s="4"/>
      <c r="AJ545" s="76" t="str">
        <f>IF(E545="○",IF(COUNTA(E$13:E545)=1,"",",")&amp;D545,"")</f>
        <v/>
      </c>
      <c r="AK545" s="4"/>
      <c r="AL545" s="4"/>
      <c r="AM545" s="4"/>
      <c r="AN545" s="4"/>
      <c r="AO545" s="4"/>
      <c r="AP545" s="4"/>
      <c r="AQ545" s="4"/>
      <c r="AR545" s="4"/>
      <c r="AS545" s="76" t="str">
        <f>"COMMENT ON COLUMN "&amp;エンティティ一覧!$O$2&amp;"."&amp;D$8&amp;"."&amp;D545&amp;" IS '"&amp;C545&amp;"';"</f>
        <v>COMMENT ON COLUMN milscm_2023_009.sny_202310_annony_non_annony2.shikkan527_start_date IS 'E149_疾患開始日';</v>
      </c>
    </row>
    <row r="546" spans="1:45" s="25" customFormat="1">
      <c r="A546" s="4" t="s">
        <v>5620</v>
      </c>
      <c r="B546" s="21">
        <f t="shared" si="66"/>
        <v>534</v>
      </c>
      <c r="C546" s="13" t="str">
        <f t="shared" si="65"/>
        <v>F000_疾患開始日</v>
      </c>
      <c r="D546" s="13" t="s">
        <v>6188</v>
      </c>
      <c r="E546" s="8"/>
      <c r="F546" s="7" t="s">
        <v>4348</v>
      </c>
      <c r="G546" s="7" t="s">
        <v>99</v>
      </c>
      <c r="H546" s="58"/>
      <c r="I546" s="23"/>
      <c r="J546" s="24"/>
      <c r="M546" s="4"/>
      <c r="N546" s="76"/>
      <c r="O546" s="76"/>
      <c r="P546" s="76" t="str">
        <f t="shared" si="58"/>
        <v>,shikkan528_start_date</v>
      </c>
      <c r="Q546" s="76" t="str">
        <f t="shared" si="59"/>
        <v>DATE</v>
      </c>
      <c r="R546" s="76" t="str">
        <f t="shared" si="60"/>
        <v/>
      </c>
      <c r="S546" s="76" t="str">
        <f t="shared" si="61"/>
        <v/>
      </c>
      <c r="T546" s="76" t="str">
        <f t="shared" si="62"/>
        <v>-- F000_疾患開始日</v>
      </c>
      <c r="U546" s="4" t="str">
        <f t="shared" si="63"/>
        <v>, CASE WHEN shikkan_disp_name = 'F000' THEN min_shikkan_start_date ::DATE ELSE NULL END AS shikkan528_start_date</v>
      </c>
      <c r="V546" s="25" t="str">
        <f t="shared" si="64"/>
        <v>, max(shikkan528_start_date)</v>
      </c>
      <c r="AA546" s="4"/>
      <c r="AB546" s="4"/>
      <c r="AC546" s="4"/>
      <c r="AD546" s="4"/>
      <c r="AE546" s="4"/>
      <c r="AF546" s="4"/>
      <c r="AG546" s="4"/>
      <c r="AH546" s="4"/>
      <c r="AI546" s="4"/>
      <c r="AJ546" s="76" t="str">
        <f>IF(E546="○",IF(COUNTA(E$13:E546)=1,"",",")&amp;D546,"")</f>
        <v/>
      </c>
      <c r="AK546" s="4"/>
      <c r="AL546" s="4"/>
      <c r="AM546" s="4"/>
      <c r="AN546" s="4"/>
      <c r="AO546" s="4"/>
      <c r="AP546" s="4"/>
      <c r="AQ546" s="4"/>
      <c r="AR546" s="4"/>
      <c r="AS546" s="76" t="str">
        <f>"COMMENT ON COLUMN "&amp;エンティティ一覧!$O$2&amp;"."&amp;D$8&amp;"."&amp;D546&amp;" IS '"&amp;C546&amp;"';"</f>
        <v>COMMENT ON COLUMN milscm_2023_009.sny_202310_annony_non_annony2.shikkan528_start_date IS 'F000_疾患開始日';</v>
      </c>
    </row>
    <row r="547" spans="1:45" s="25" customFormat="1">
      <c r="A547" s="4" t="s">
        <v>5621</v>
      </c>
      <c r="B547" s="21">
        <f t="shared" si="66"/>
        <v>535</v>
      </c>
      <c r="C547" s="13" t="str">
        <f t="shared" si="65"/>
        <v>F001_疾患開始日</v>
      </c>
      <c r="D547" s="13" t="s">
        <v>6189</v>
      </c>
      <c r="E547" s="8"/>
      <c r="F547" s="7" t="s">
        <v>4348</v>
      </c>
      <c r="G547" s="7" t="s">
        <v>25</v>
      </c>
      <c r="H547" s="58"/>
      <c r="I547" s="23"/>
      <c r="J547" s="24"/>
      <c r="M547" s="4"/>
      <c r="N547" s="76"/>
      <c r="O547" s="76"/>
      <c r="P547" s="76" t="str">
        <f t="shared" si="58"/>
        <v>,shikkan529_start_date</v>
      </c>
      <c r="Q547" s="76" t="str">
        <f t="shared" si="59"/>
        <v>DATE</v>
      </c>
      <c r="R547" s="76" t="str">
        <f t="shared" si="60"/>
        <v/>
      </c>
      <c r="S547" s="76" t="str">
        <f t="shared" si="61"/>
        <v/>
      </c>
      <c r="T547" s="76" t="str">
        <f t="shared" si="62"/>
        <v>-- F001_疾患開始日</v>
      </c>
      <c r="U547" s="4" t="str">
        <f t="shared" si="63"/>
        <v>, CASE WHEN shikkan_disp_name = 'F001' THEN min_shikkan_start_date ::DATE ELSE NULL END AS shikkan529_start_date</v>
      </c>
      <c r="V547" s="25" t="str">
        <f t="shared" si="64"/>
        <v>, max(shikkan529_start_date)</v>
      </c>
      <c r="AA547" s="4"/>
      <c r="AB547" s="4"/>
      <c r="AC547" s="4"/>
      <c r="AD547" s="4"/>
      <c r="AE547" s="4"/>
      <c r="AF547" s="4"/>
      <c r="AG547" s="4"/>
      <c r="AH547" s="4"/>
      <c r="AI547" s="4"/>
      <c r="AJ547" s="76" t="str">
        <f>IF(E547="○",IF(COUNTA(E$13:E547)=1,"",",")&amp;D547,"")</f>
        <v/>
      </c>
      <c r="AK547" s="4"/>
      <c r="AL547" s="4"/>
      <c r="AM547" s="4"/>
      <c r="AN547" s="4"/>
      <c r="AO547" s="4"/>
      <c r="AP547" s="4"/>
      <c r="AQ547" s="4"/>
      <c r="AR547" s="4"/>
      <c r="AS547" s="76" t="str">
        <f>"COMMENT ON COLUMN "&amp;エンティティ一覧!$O$2&amp;"."&amp;D$8&amp;"."&amp;D547&amp;" IS '"&amp;C547&amp;"';"</f>
        <v>COMMENT ON COLUMN milscm_2023_009.sny_202310_annony_non_annony2.shikkan529_start_date IS 'F001_疾患開始日';</v>
      </c>
    </row>
    <row r="548" spans="1:45" s="25" customFormat="1">
      <c r="A548" s="4" t="s">
        <v>5622</v>
      </c>
      <c r="B548" s="21">
        <f t="shared" si="66"/>
        <v>536</v>
      </c>
      <c r="C548" s="13" t="str">
        <f t="shared" si="65"/>
        <v>F002_疾患開始日</v>
      </c>
      <c r="D548" s="13" t="s">
        <v>6190</v>
      </c>
      <c r="E548" s="8"/>
      <c r="F548" s="7" t="s">
        <v>4348</v>
      </c>
      <c r="G548" s="7" t="s">
        <v>25</v>
      </c>
      <c r="H548" s="58"/>
      <c r="I548" s="23"/>
      <c r="J548" s="24"/>
      <c r="M548" s="4"/>
      <c r="N548" s="76"/>
      <c r="O548" s="76"/>
      <c r="P548" s="76" t="str">
        <f t="shared" si="58"/>
        <v>,shikkan530_start_date</v>
      </c>
      <c r="Q548" s="76" t="str">
        <f t="shared" si="59"/>
        <v>DATE</v>
      </c>
      <c r="R548" s="76" t="str">
        <f t="shared" si="60"/>
        <v/>
      </c>
      <c r="S548" s="76" t="str">
        <f t="shared" si="61"/>
        <v/>
      </c>
      <c r="T548" s="76" t="str">
        <f t="shared" si="62"/>
        <v>-- F002_疾患開始日</v>
      </c>
      <c r="U548" s="4" t="str">
        <f t="shared" si="63"/>
        <v>, CASE WHEN shikkan_disp_name = 'F002' THEN min_shikkan_start_date ::DATE ELSE NULL END AS shikkan530_start_date</v>
      </c>
      <c r="V548" s="25" t="str">
        <f t="shared" si="64"/>
        <v>, max(shikkan530_start_date)</v>
      </c>
      <c r="AA548" s="4"/>
      <c r="AB548" s="4"/>
      <c r="AC548" s="4"/>
      <c r="AD548" s="4"/>
      <c r="AE548" s="4"/>
      <c r="AF548" s="4"/>
      <c r="AG548" s="4"/>
      <c r="AH548" s="4"/>
      <c r="AI548" s="4"/>
      <c r="AJ548" s="76" t="str">
        <f>IF(E548="○",IF(COUNTA(E$13:E548)=1,"",",")&amp;D548,"")</f>
        <v/>
      </c>
      <c r="AK548" s="4"/>
      <c r="AL548" s="4"/>
      <c r="AM548" s="4"/>
      <c r="AN548" s="4"/>
      <c r="AO548" s="4"/>
      <c r="AP548" s="4"/>
      <c r="AQ548" s="4"/>
      <c r="AR548" s="4"/>
      <c r="AS548" s="76" t="str">
        <f>"COMMENT ON COLUMN "&amp;エンティティ一覧!$O$2&amp;"."&amp;D$8&amp;"."&amp;D548&amp;" IS '"&amp;C548&amp;"';"</f>
        <v>COMMENT ON COLUMN milscm_2023_009.sny_202310_annony_non_annony2.shikkan530_start_date IS 'F002_疾患開始日';</v>
      </c>
    </row>
    <row r="549" spans="1:45" s="25" customFormat="1">
      <c r="A549" s="4" t="s">
        <v>5623</v>
      </c>
      <c r="B549" s="21">
        <f t="shared" si="66"/>
        <v>537</v>
      </c>
      <c r="C549" s="13" t="str">
        <f t="shared" si="65"/>
        <v>F009_疾患開始日</v>
      </c>
      <c r="D549" s="13" t="s">
        <v>6191</v>
      </c>
      <c r="E549" s="8"/>
      <c r="F549" s="7" t="s">
        <v>4348</v>
      </c>
      <c r="G549" s="7" t="s">
        <v>25</v>
      </c>
      <c r="H549" s="58"/>
      <c r="I549" s="23"/>
      <c r="J549" s="24"/>
      <c r="M549" s="4"/>
      <c r="N549" s="76"/>
      <c r="O549" s="76"/>
      <c r="P549" s="76" t="str">
        <f t="shared" si="58"/>
        <v>,shikkan531_start_date</v>
      </c>
      <c r="Q549" s="76" t="str">
        <f t="shared" si="59"/>
        <v>DATE</v>
      </c>
      <c r="R549" s="76" t="str">
        <f t="shared" si="60"/>
        <v/>
      </c>
      <c r="S549" s="76" t="str">
        <f t="shared" si="61"/>
        <v/>
      </c>
      <c r="T549" s="76" t="str">
        <f t="shared" si="62"/>
        <v>-- F009_疾患開始日</v>
      </c>
      <c r="U549" s="4" t="str">
        <f t="shared" si="63"/>
        <v>, CASE WHEN shikkan_disp_name = 'F009' THEN min_shikkan_start_date ::DATE ELSE NULL END AS shikkan531_start_date</v>
      </c>
      <c r="V549" s="25" t="str">
        <f t="shared" si="64"/>
        <v>, max(shikkan531_start_date)</v>
      </c>
      <c r="AA549" s="4"/>
      <c r="AB549" s="4"/>
      <c r="AC549" s="4"/>
      <c r="AD549" s="4"/>
      <c r="AE549" s="4"/>
      <c r="AF549" s="4"/>
      <c r="AG549" s="4"/>
      <c r="AH549" s="4"/>
      <c r="AI549" s="4"/>
      <c r="AJ549" s="76" t="str">
        <f>IF(E549="○",IF(COUNTA(E$13:E549)=1,"",",")&amp;D549,"")</f>
        <v/>
      </c>
      <c r="AK549" s="4"/>
      <c r="AL549" s="4"/>
      <c r="AM549" s="4"/>
      <c r="AN549" s="4"/>
      <c r="AO549" s="4"/>
      <c r="AP549" s="4"/>
      <c r="AQ549" s="4"/>
      <c r="AR549" s="4"/>
      <c r="AS549" s="76" t="str">
        <f>"COMMENT ON COLUMN "&amp;エンティティ一覧!$O$2&amp;"."&amp;D$8&amp;"."&amp;D549&amp;" IS '"&amp;C549&amp;"';"</f>
        <v>COMMENT ON COLUMN milscm_2023_009.sny_202310_annony_non_annony2.shikkan531_start_date IS 'F009_疾患開始日';</v>
      </c>
    </row>
    <row r="550" spans="1:45" s="25" customFormat="1">
      <c r="A550" s="4" t="s">
        <v>5624</v>
      </c>
      <c r="B550" s="21">
        <f t="shared" si="66"/>
        <v>538</v>
      </c>
      <c r="C550" s="13" t="str">
        <f t="shared" si="65"/>
        <v>F010_疾患開始日</v>
      </c>
      <c r="D550" s="13" t="s">
        <v>6192</v>
      </c>
      <c r="E550" s="8"/>
      <c r="F550" s="7" t="s">
        <v>4348</v>
      </c>
      <c r="G550" s="7" t="s">
        <v>25</v>
      </c>
      <c r="H550" s="58"/>
      <c r="I550" s="23"/>
      <c r="J550" s="24"/>
      <c r="M550" s="4"/>
      <c r="N550" s="76"/>
      <c r="O550" s="76"/>
      <c r="P550" s="76" t="str">
        <f t="shared" si="58"/>
        <v>,shikkan532_start_date</v>
      </c>
      <c r="Q550" s="76" t="str">
        <f t="shared" si="59"/>
        <v>DATE</v>
      </c>
      <c r="R550" s="76" t="str">
        <f t="shared" si="60"/>
        <v/>
      </c>
      <c r="S550" s="76" t="str">
        <f t="shared" si="61"/>
        <v/>
      </c>
      <c r="T550" s="76" t="str">
        <f t="shared" si="62"/>
        <v>-- F010_疾患開始日</v>
      </c>
      <c r="U550" s="4" t="str">
        <f t="shared" si="63"/>
        <v>, CASE WHEN shikkan_disp_name = 'F010' THEN min_shikkan_start_date ::DATE ELSE NULL END AS shikkan532_start_date</v>
      </c>
      <c r="V550" s="25" t="str">
        <f t="shared" si="64"/>
        <v>, max(shikkan532_start_date)</v>
      </c>
      <c r="AA550" s="4"/>
      <c r="AB550" s="4"/>
      <c r="AC550" s="4"/>
      <c r="AD550" s="4"/>
      <c r="AE550" s="4"/>
      <c r="AF550" s="4"/>
      <c r="AG550" s="4"/>
      <c r="AH550" s="4"/>
      <c r="AI550" s="4"/>
      <c r="AJ550" s="76" t="str">
        <f>IF(E550="○",IF(COUNTA(E$13:E550)=1,"",",")&amp;D550,"")</f>
        <v/>
      </c>
      <c r="AK550" s="4"/>
      <c r="AL550" s="4"/>
      <c r="AM550" s="4"/>
      <c r="AN550" s="4"/>
      <c r="AO550" s="4"/>
      <c r="AP550" s="4"/>
      <c r="AQ550" s="4"/>
      <c r="AR550" s="4"/>
      <c r="AS550" s="76" t="str">
        <f>"COMMENT ON COLUMN "&amp;エンティティ一覧!$O$2&amp;"."&amp;D$8&amp;"."&amp;D550&amp;" IS '"&amp;C550&amp;"';"</f>
        <v>COMMENT ON COLUMN milscm_2023_009.sny_202310_annony_non_annony2.shikkan532_start_date IS 'F010_疾患開始日';</v>
      </c>
    </row>
    <row r="551" spans="1:45" s="25" customFormat="1">
      <c r="A551" s="4" t="s">
        <v>5625</v>
      </c>
      <c r="B551" s="21">
        <f t="shared" si="66"/>
        <v>539</v>
      </c>
      <c r="C551" s="13" t="str">
        <f t="shared" si="65"/>
        <v>F011_疾患開始日</v>
      </c>
      <c r="D551" s="13" t="s">
        <v>6193</v>
      </c>
      <c r="E551" s="8"/>
      <c r="F551" s="7" t="s">
        <v>4348</v>
      </c>
      <c r="G551" s="7" t="s">
        <v>25</v>
      </c>
      <c r="H551" s="58"/>
      <c r="I551" s="23"/>
      <c r="J551" s="24"/>
      <c r="M551" s="4"/>
      <c r="N551" s="76"/>
      <c r="O551" s="76"/>
      <c r="P551" s="76" t="str">
        <f t="shared" si="58"/>
        <v>,shikkan533_start_date</v>
      </c>
      <c r="Q551" s="76" t="str">
        <f t="shared" si="59"/>
        <v>DATE</v>
      </c>
      <c r="R551" s="76" t="str">
        <f t="shared" si="60"/>
        <v/>
      </c>
      <c r="S551" s="76" t="str">
        <f t="shared" si="61"/>
        <v/>
      </c>
      <c r="T551" s="76" t="str">
        <f t="shared" si="62"/>
        <v>-- F011_疾患開始日</v>
      </c>
      <c r="U551" s="4" t="str">
        <f t="shared" si="63"/>
        <v>, CASE WHEN shikkan_disp_name = 'F011' THEN min_shikkan_start_date ::DATE ELSE NULL END AS shikkan533_start_date</v>
      </c>
      <c r="V551" s="25" t="str">
        <f t="shared" si="64"/>
        <v>, max(shikkan533_start_date)</v>
      </c>
      <c r="AA551" s="4"/>
      <c r="AB551" s="4"/>
      <c r="AC551" s="4"/>
      <c r="AD551" s="4"/>
      <c r="AE551" s="4"/>
      <c r="AF551" s="4"/>
      <c r="AG551" s="4"/>
      <c r="AH551" s="4"/>
      <c r="AI551" s="4"/>
      <c r="AJ551" s="76" t="str">
        <f>IF(E551="○",IF(COUNTA(E$13:E551)=1,"",",")&amp;D551,"")</f>
        <v/>
      </c>
      <c r="AK551" s="4"/>
      <c r="AL551" s="4"/>
      <c r="AM551" s="4"/>
      <c r="AN551" s="4"/>
      <c r="AO551" s="4"/>
      <c r="AP551" s="4"/>
      <c r="AQ551" s="4"/>
      <c r="AR551" s="4"/>
      <c r="AS551" s="76" t="str">
        <f>"COMMENT ON COLUMN "&amp;エンティティ一覧!$O$2&amp;"."&amp;D$8&amp;"."&amp;D551&amp;" IS '"&amp;C551&amp;"';"</f>
        <v>COMMENT ON COLUMN milscm_2023_009.sny_202310_annony_non_annony2.shikkan533_start_date IS 'F011_疾患開始日';</v>
      </c>
    </row>
    <row r="552" spans="1:45" s="25" customFormat="1">
      <c r="A552" s="4" t="s">
        <v>5626</v>
      </c>
      <c r="B552" s="21">
        <f t="shared" si="66"/>
        <v>540</v>
      </c>
      <c r="C552" s="13" t="str">
        <f t="shared" si="65"/>
        <v>F012_疾患開始日</v>
      </c>
      <c r="D552" s="13" t="s">
        <v>6194</v>
      </c>
      <c r="E552" s="8"/>
      <c r="F552" s="7" t="s">
        <v>4348</v>
      </c>
      <c r="G552" s="7" t="s">
        <v>25</v>
      </c>
      <c r="H552" s="58"/>
      <c r="I552" s="23"/>
      <c r="J552" s="24"/>
      <c r="M552" s="4"/>
      <c r="N552" s="76"/>
      <c r="O552" s="76"/>
      <c r="P552" s="76" t="str">
        <f t="shared" si="58"/>
        <v>,shikkan534_start_date</v>
      </c>
      <c r="Q552" s="76" t="str">
        <f t="shared" si="59"/>
        <v>DATE</v>
      </c>
      <c r="R552" s="76" t="str">
        <f t="shared" si="60"/>
        <v/>
      </c>
      <c r="S552" s="76" t="str">
        <f t="shared" si="61"/>
        <v/>
      </c>
      <c r="T552" s="76" t="str">
        <f t="shared" si="62"/>
        <v>-- F012_疾患開始日</v>
      </c>
      <c r="U552" s="4" t="str">
        <f t="shared" si="63"/>
        <v>, CASE WHEN shikkan_disp_name = 'F012' THEN min_shikkan_start_date ::DATE ELSE NULL END AS shikkan534_start_date</v>
      </c>
      <c r="V552" s="25" t="str">
        <f t="shared" si="64"/>
        <v>, max(shikkan534_start_date)</v>
      </c>
      <c r="AA552" s="4"/>
      <c r="AB552" s="4"/>
      <c r="AC552" s="4"/>
      <c r="AD552" s="4"/>
      <c r="AE552" s="4"/>
      <c r="AF552" s="4"/>
      <c r="AG552" s="4"/>
      <c r="AH552" s="4"/>
      <c r="AI552" s="4"/>
      <c r="AJ552" s="76" t="str">
        <f>IF(E552="○",IF(COUNTA(E$13:E552)=1,"",",")&amp;D552,"")</f>
        <v/>
      </c>
      <c r="AK552" s="4"/>
      <c r="AL552" s="4"/>
      <c r="AM552" s="4"/>
      <c r="AN552" s="4"/>
      <c r="AO552" s="4"/>
      <c r="AP552" s="4"/>
      <c r="AQ552" s="4"/>
      <c r="AR552" s="4"/>
      <c r="AS552" s="76" t="str">
        <f>"COMMENT ON COLUMN "&amp;エンティティ一覧!$O$2&amp;"."&amp;D$8&amp;"."&amp;D552&amp;" IS '"&amp;C552&amp;"';"</f>
        <v>COMMENT ON COLUMN milscm_2023_009.sny_202310_annony_non_annony2.shikkan534_start_date IS 'F012_疾患開始日';</v>
      </c>
    </row>
    <row r="553" spans="1:45" s="25" customFormat="1">
      <c r="A553" s="4" t="s">
        <v>5627</v>
      </c>
      <c r="B553" s="21">
        <f t="shared" si="66"/>
        <v>541</v>
      </c>
      <c r="C553" s="13" t="str">
        <f t="shared" si="65"/>
        <v>F013_疾患開始日</v>
      </c>
      <c r="D553" s="13" t="s">
        <v>6195</v>
      </c>
      <c r="E553" s="8"/>
      <c r="F553" s="7" t="s">
        <v>4348</v>
      </c>
      <c r="G553" s="7" t="s">
        <v>25</v>
      </c>
      <c r="H553" s="58"/>
      <c r="I553" s="23"/>
      <c r="J553" s="24"/>
      <c r="M553" s="4"/>
      <c r="N553" s="76"/>
      <c r="O553" s="76"/>
      <c r="P553" s="76" t="str">
        <f t="shared" si="58"/>
        <v>,shikkan535_start_date</v>
      </c>
      <c r="Q553" s="76" t="str">
        <f t="shared" si="59"/>
        <v>DATE</v>
      </c>
      <c r="R553" s="76" t="str">
        <f t="shared" si="60"/>
        <v/>
      </c>
      <c r="S553" s="76" t="str">
        <f t="shared" si="61"/>
        <v/>
      </c>
      <c r="T553" s="76" t="str">
        <f t="shared" si="62"/>
        <v>-- F013_疾患開始日</v>
      </c>
      <c r="U553" s="4" t="str">
        <f t="shared" si="63"/>
        <v>, CASE WHEN shikkan_disp_name = 'F013' THEN min_shikkan_start_date ::DATE ELSE NULL END AS shikkan535_start_date</v>
      </c>
      <c r="V553" s="25" t="str">
        <f t="shared" si="64"/>
        <v>, max(shikkan535_start_date)</v>
      </c>
      <c r="AA553" s="4"/>
      <c r="AB553" s="4"/>
      <c r="AC553" s="4"/>
      <c r="AD553" s="4"/>
      <c r="AE553" s="4"/>
      <c r="AF553" s="4"/>
      <c r="AG553" s="4"/>
      <c r="AH553" s="4"/>
      <c r="AI553" s="4"/>
      <c r="AJ553" s="76" t="str">
        <f>IF(E553="○",IF(COUNTA(E$13:E553)=1,"",",")&amp;D553,"")</f>
        <v/>
      </c>
      <c r="AK553" s="4"/>
      <c r="AL553" s="4"/>
      <c r="AM553" s="4"/>
      <c r="AN553" s="4"/>
      <c r="AO553" s="4"/>
      <c r="AP553" s="4"/>
      <c r="AQ553" s="4"/>
      <c r="AR553" s="4"/>
      <c r="AS553" s="76" t="str">
        <f>"COMMENT ON COLUMN "&amp;エンティティ一覧!$O$2&amp;"."&amp;D$8&amp;"."&amp;D553&amp;" IS '"&amp;C553&amp;"';"</f>
        <v>COMMENT ON COLUMN milscm_2023_009.sny_202310_annony_non_annony2.shikkan535_start_date IS 'F013_疾患開始日';</v>
      </c>
    </row>
    <row r="554" spans="1:45" s="25" customFormat="1">
      <c r="A554" s="4" t="s">
        <v>5628</v>
      </c>
      <c r="B554" s="21">
        <f t="shared" si="66"/>
        <v>542</v>
      </c>
      <c r="C554" s="13" t="str">
        <f t="shared" si="65"/>
        <v>F018_疾患開始日</v>
      </c>
      <c r="D554" s="13" t="s">
        <v>6196</v>
      </c>
      <c r="E554" s="8"/>
      <c r="F554" s="7" t="s">
        <v>4348</v>
      </c>
      <c r="G554" s="7" t="s">
        <v>25</v>
      </c>
      <c r="H554" s="58"/>
      <c r="I554" s="23"/>
      <c r="J554" s="24"/>
      <c r="M554" s="4"/>
      <c r="N554" s="76"/>
      <c r="O554" s="76"/>
      <c r="P554" s="76" t="str">
        <f t="shared" si="58"/>
        <v>,shikkan536_start_date</v>
      </c>
      <c r="Q554" s="76" t="str">
        <f t="shared" si="59"/>
        <v>DATE</v>
      </c>
      <c r="R554" s="76" t="str">
        <f t="shared" si="60"/>
        <v/>
      </c>
      <c r="S554" s="76" t="str">
        <f t="shared" si="61"/>
        <v/>
      </c>
      <c r="T554" s="76" t="str">
        <f t="shared" si="62"/>
        <v>-- F018_疾患開始日</v>
      </c>
      <c r="U554" s="4" t="str">
        <f t="shared" si="63"/>
        <v>, CASE WHEN shikkan_disp_name = 'F018' THEN min_shikkan_start_date ::DATE ELSE NULL END AS shikkan536_start_date</v>
      </c>
      <c r="V554" s="25" t="str">
        <f t="shared" si="64"/>
        <v>, max(shikkan536_start_date)</v>
      </c>
      <c r="AA554" s="4"/>
      <c r="AB554" s="4"/>
      <c r="AC554" s="4"/>
      <c r="AD554" s="4"/>
      <c r="AE554" s="4"/>
      <c r="AF554" s="4"/>
      <c r="AG554" s="4"/>
      <c r="AH554" s="4"/>
      <c r="AI554" s="4"/>
      <c r="AJ554" s="76" t="str">
        <f>IF(E554="○",IF(COUNTA(E$13:E554)=1,"",",")&amp;D554,"")</f>
        <v/>
      </c>
      <c r="AK554" s="4"/>
      <c r="AL554" s="4"/>
      <c r="AM554" s="4"/>
      <c r="AN554" s="4"/>
      <c r="AO554" s="4"/>
      <c r="AP554" s="4"/>
      <c r="AQ554" s="4"/>
      <c r="AR554" s="4"/>
      <c r="AS554" s="76" t="str">
        <f>"COMMENT ON COLUMN "&amp;エンティティ一覧!$O$2&amp;"."&amp;D$8&amp;"."&amp;D554&amp;" IS '"&amp;C554&amp;"';"</f>
        <v>COMMENT ON COLUMN milscm_2023_009.sny_202310_annony_non_annony2.shikkan536_start_date IS 'F018_疾患開始日';</v>
      </c>
    </row>
    <row r="555" spans="1:45" s="25" customFormat="1">
      <c r="A555" s="4" t="s">
        <v>5629</v>
      </c>
      <c r="B555" s="21">
        <f t="shared" si="66"/>
        <v>543</v>
      </c>
      <c r="C555" s="13" t="str">
        <f t="shared" si="65"/>
        <v>F019_疾患開始日</v>
      </c>
      <c r="D555" s="13" t="s">
        <v>6197</v>
      </c>
      <c r="E555" s="8"/>
      <c r="F555" s="7" t="s">
        <v>4348</v>
      </c>
      <c r="G555" s="7" t="s">
        <v>25</v>
      </c>
      <c r="H555" s="58"/>
      <c r="I555" s="23"/>
      <c r="J555" s="24"/>
      <c r="M555" s="4"/>
      <c r="N555" s="76"/>
      <c r="O555" s="76"/>
      <c r="P555" s="76" t="str">
        <f t="shared" si="58"/>
        <v>,shikkan537_start_date</v>
      </c>
      <c r="Q555" s="76" t="str">
        <f t="shared" si="59"/>
        <v>DATE</v>
      </c>
      <c r="R555" s="76" t="str">
        <f t="shared" si="60"/>
        <v/>
      </c>
      <c r="S555" s="76" t="str">
        <f t="shared" si="61"/>
        <v/>
      </c>
      <c r="T555" s="76" t="str">
        <f t="shared" si="62"/>
        <v>-- F019_疾患開始日</v>
      </c>
      <c r="U555" s="4" t="str">
        <f t="shared" si="63"/>
        <v>, CASE WHEN shikkan_disp_name = 'F019' THEN min_shikkan_start_date ::DATE ELSE NULL END AS shikkan537_start_date</v>
      </c>
      <c r="V555" s="25" t="str">
        <f t="shared" si="64"/>
        <v>, max(shikkan537_start_date)</v>
      </c>
      <c r="AA555" s="4"/>
      <c r="AB555" s="4"/>
      <c r="AC555" s="4"/>
      <c r="AD555" s="4"/>
      <c r="AE555" s="4"/>
      <c r="AF555" s="4"/>
      <c r="AG555" s="4"/>
      <c r="AH555" s="4"/>
      <c r="AI555" s="4"/>
      <c r="AJ555" s="76" t="str">
        <f>IF(E555="○",IF(COUNTA(E$13:E555)=1,"",",")&amp;D555,"")</f>
        <v/>
      </c>
      <c r="AK555" s="4"/>
      <c r="AL555" s="4"/>
      <c r="AM555" s="4"/>
      <c r="AN555" s="4"/>
      <c r="AO555" s="4"/>
      <c r="AP555" s="4"/>
      <c r="AQ555" s="4"/>
      <c r="AR555" s="4"/>
      <c r="AS555" s="76" t="str">
        <f>"COMMENT ON COLUMN "&amp;エンティティ一覧!$O$2&amp;"."&amp;D$8&amp;"."&amp;D555&amp;" IS '"&amp;C555&amp;"';"</f>
        <v>COMMENT ON COLUMN milscm_2023_009.sny_202310_annony_non_annony2.shikkan537_start_date IS 'F019_疾患開始日';</v>
      </c>
    </row>
    <row r="556" spans="1:45" s="25" customFormat="1">
      <c r="A556" s="4" t="s">
        <v>5630</v>
      </c>
      <c r="B556" s="21">
        <f t="shared" si="66"/>
        <v>544</v>
      </c>
      <c r="C556" s="13" t="str">
        <f t="shared" si="65"/>
        <v>F020_疾患開始日</v>
      </c>
      <c r="D556" s="13" t="s">
        <v>6198</v>
      </c>
      <c r="E556" s="8"/>
      <c r="F556" s="7" t="s">
        <v>4348</v>
      </c>
      <c r="G556" s="7" t="s">
        <v>25</v>
      </c>
      <c r="H556" s="58"/>
      <c r="I556" s="23"/>
      <c r="J556" s="24"/>
      <c r="M556" s="4"/>
      <c r="N556" s="76"/>
      <c r="O556" s="76"/>
      <c r="P556" s="76" t="str">
        <f t="shared" si="58"/>
        <v>,shikkan538_start_date</v>
      </c>
      <c r="Q556" s="76" t="str">
        <f t="shared" si="59"/>
        <v>DATE</v>
      </c>
      <c r="R556" s="76" t="str">
        <f t="shared" si="60"/>
        <v/>
      </c>
      <c r="S556" s="76" t="str">
        <f t="shared" si="61"/>
        <v/>
      </c>
      <c r="T556" s="76" t="str">
        <f t="shared" si="62"/>
        <v>-- F020_疾患開始日</v>
      </c>
      <c r="U556" s="4" t="str">
        <f t="shared" si="63"/>
        <v>, CASE WHEN shikkan_disp_name = 'F020' THEN min_shikkan_start_date ::DATE ELSE NULL END AS shikkan538_start_date</v>
      </c>
      <c r="V556" s="25" t="str">
        <f t="shared" si="64"/>
        <v>, max(shikkan538_start_date)</v>
      </c>
      <c r="AA556" s="4"/>
      <c r="AB556" s="4"/>
      <c r="AC556" s="4"/>
      <c r="AD556" s="4"/>
      <c r="AE556" s="4"/>
      <c r="AF556" s="4"/>
      <c r="AG556" s="4"/>
      <c r="AH556" s="4"/>
      <c r="AI556" s="4"/>
      <c r="AJ556" s="76" t="str">
        <f>IF(E556="○",IF(COUNTA(E$13:E556)=1,"",",")&amp;D556,"")</f>
        <v/>
      </c>
      <c r="AK556" s="4"/>
      <c r="AL556" s="4"/>
      <c r="AM556" s="4"/>
      <c r="AN556" s="4"/>
      <c r="AO556" s="4"/>
      <c r="AP556" s="4"/>
      <c r="AQ556" s="4"/>
      <c r="AR556" s="4"/>
      <c r="AS556" s="76" t="str">
        <f>"COMMENT ON COLUMN "&amp;エンティティ一覧!$O$2&amp;"."&amp;D$8&amp;"."&amp;D556&amp;" IS '"&amp;C556&amp;"';"</f>
        <v>COMMENT ON COLUMN milscm_2023_009.sny_202310_annony_non_annony2.shikkan538_start_date IS 'F020_疾患開始日';</v>
      </c>
    </row>
    <row r="557" spans="1:45" s="25" customFormat="1">
      <c r="A557" s="4" t="s">
        <v>5631</v>
      </c>
      <c r="B557" s="21">
        <f t="shared" si="66"/>
        <v>545</v>
      </c>
      <c r="C557" s="13" t="str">
        <f t="shared" si="65"/>
        <v>F021_疾患開始日</v>
      </c>
      <c r="D557" s="13" t="s">
        <v>6199</v>
      </c>
      <c r="E557" s="8"/>
      <c r="F557" s="7" t="s">
        <v>4348</v>
      </c>
      <c r="G557" s="7" t="s">
        <v>25</v>
      </c>
      <c r="H557" s="58"/>
      <c r="I557" s="23"/>
      <c r="J557" s="24"/>
      <c r="M557" s="4"/>
      <c r="N557" s="76"/>
      <c r="O557" s="76"/>
      <c r="P557" s="76" t="str">
        <f t="shared" si="58"/>
        <v>,shikkan539_start_date</v>
      </c>
      <c r="Q557" s="76" t="str">
        <f t="shared" si="59"/>
        <v>DATE</v>
      </c>
      <c r="R557" s="76" t="str">
        <f t="shared" si="60"/>
        <v/>
      </c>
      <c r="S557" s="76" t="str">
        <f t="shared" si="61"/>
        <v/>
      </c>
      <c r="T557" s="76" t="str">
        <f t="shared" si="62"/>
        <v>-- F021_疾患開始日</v>
      </c>
      <c r="U557" s="4" t="str">
        <f t="shared" si="63"/>
        <v>, CASE WHEN shikkan_disp_name = 'F021' THEN min_shikkan_start_date ::DATE ELSE NULL END AS shikkan539_start_date</v>
      </c>
      <c r="V557" s="25" t="str">
        <f t="shared" si="64"/>
        <v>, max(shikkan539_start_date)</v>
      </c>
      <c r="AA557" s="4"/>
      <c r="AB557" s="4"/>
      <c r="AC557" s="4"/>
      <c r="AD557" s="4"/>
      <c r="AE557" s="4"/>
      <c r="AF557" s="4"/>
      <c r="AG557" s="4"/>
      <c r="AH557" s="4"/>
      <c r="AI557" s="4"/>
      <c r="AJ557" s="76" t="str">
        <f>IF(E557="○",IF(COUNTA(E$13:E557)=1,"",",")&amp;D557,"")</f>
        <v/>
      </c>
      <c r="AK557" s="4"/>
      <c r="AL557" s="4"/>
      <c r="AM557" s="4"/>
      <c r="AN557" s="4"/>
      <c r="AO557" s="4"/>
      <c r="AP557" s="4"/>
      <c r="AQ557" s="4"/>
      <c r="AR557" s="4"/>
      <c r="AS557" s="76" t="str">
        <f>"COMMENT ON COLUMN "&amp;エンティティ一覧!$O$2&amp;"."&amp;D$8&amp;"."&amp;D557&amp;" IS '"&amp;C557&amp;"';"</f>
        <v>COMMENT ON COLUMN milscm_2023_009.sny_202310_annony_non_annony2.shikkan539_start_date IS 'F021_疾患開始日';</v>
      </c>
    </row>
    <row r="558" spans="1:45" s="25" customFormat="1">
      <c r="A558" s="4" t="s">
        <v>5632</v>
      </c>
      <c r="B558" s="21">
        <f t="shared" si="66"/>
        <v>546</v>
      </c>
      <c r="C558" s="13" t="str">
        <f t="shared" si="65"/>
        <v>F022_疾患開始日</v>
      </c>
      <c r="D558" s="13" t="s">
        <v>6200</v>
      </c>
      <c r="E558" s="8"/>
      <c r="F558" s="7" t="s">
        <v>4348</v>
      </c>
      <c r="G558" s="7" t="s">
        <v>25</v>
      </c>
      <c r="H558" s="58"/>
      <c r="I558" s="23"/>
      <c r="J558" s="24"/>
      <c r="M558" s="4"/>
      <c r="N558" s="76"/>
      <c r="O558" s="76"/>
      <c r="P558" s="76" t="str">
        <f t="shared" si="58"/>
        <v>,shikkan540_start_date</v>
      </c>
      <c r="Q558" s="76" t="str">
        <f t="shared" si="59"/>
        <v>DATE</v>
      </c>
      <c r="R558" s="76" t="str">
        <f t="shared" si="60"/>
        <v/>
      </c>
      <c r="S558" s="76" t="str">
        <f t="shared" si="61"/>
        <v/>
      </c>
      <c r="T558" s="76" t="str">
        <f t="shared" si="62"/>
        <v>-- F022_疾患開始日</v>
      </c>
      <c r="U558" s="4" t="str">
        <f t="shared" si="63"/>
        <v>, CASE WHEN shikkan_disp_name = 'F022' THEN min_shikkan_start_date ::DATE ELSE NULL END AS shikkan540_start_date</v>
      </c>
      <c r="V558" s="25" t="str">
        <f t="shared" si="64"/>
        <v>, max(shikkan540_start_date)</v>
      </c>
      <c r="AA558" s="4"/>
      <c r="AB558" s="4"/>
      <c r="AC558" s="4"/>
      <c r="AD558" s="4"/>
      <c r="AE558" s="4"/>
      <c r="AF558" s="4"/>
      <c r="AG558" s="4"/>
      <c r="AH558" s="4"/>
      <c r="AI558" s="4"/>
      <c r="AJ558" s="76" t="str">
        <f>IF(E558="○",IF(COUNTA(E$13:E558)=1,"",",")&amp;D558,"")</f>
        <v/>
      </c>
      <c r="AK558" s="4"/>
      <c r="AL558" s="4"/>
      <c r="AM558" s="4"/>
      <c r="AN558" s="4"/>
      <c r="AO558" s="4"/>
      <c r="AP558" s="4"/>
      <c r="AQ558" s="4"/>
      <c r="AR558" s="4"/>
      <c r="AS558" s="76" t="str">
        <f>"COMMENT ON COLUMN "&amp;エンティティ一覧!$O$2&amp;"."&amp;D$8&amp;"."&amp;D558&amp;" IS '"&amp;C558&amp;"';"</f>
        <v>COMMENT ON COLUMN milscm_2023_009.sny_202310_annony_non_annony2.shikkan540_start_date IS 'F022_疾患開始日';</v>
      </c>
    </row>
    <row r="559" spans="1:45" s="25" customFormat="1">
      <c r="A559" s="4" t="s">
        <v>5633</v>
      </c>
      <c r="B559" s="21">
        <f t="shared" si="66"/>
        <v>547</v>
      </c>
      <c r="C559" s="13" t="str">
        <f t="shared" si="65"/>
        <v>F023_疾患開始日</v>
      </c>
      <c r="D559" s="13" t="s">
        <v>6201</v>
      </c>
      <c r="E559" s="8"/>
      <c r="F559" s="7" t="s">
        <v>4348</v>
      </c>
      <c r="G559" s="7" t="s">
        <v>25</v>
      </c>
      <c r="H559" s="58"/>
      <c r="I559" s="23"/>
      <c r="J559" s="24"/>
      <c r="M559" s="4"/>
      <c r="N559" s="76"/>
      <c r="O559" s="76"/>
      <c r="P559" s="76" t="str">
        <f t="shared" si="58"/>
        <v>,shikkan541_start_date</v>
      </c>
      <c r="Q559" s="76" t="str">
        <f t="shared" si="59"/>
        <v>DATE</v>
      </c>
      <c r="R559" s="76" t="str">
        <f t="shared" si="60"/>
        <v/>
      </c>
      <c r="S559" s="76" t="str">
        <f t="shared" si="61"/>
        <v/>
      </c>
      <c r="T559" s="76" t="str">
        <f t="shared" si="62"/>
        <v>-- F023_疾患開始日</v>
      </c>
      <c r="U559" s="4" t="str">
        <f t="shared" si="63"/>
        <v>, CASE WHEN shikkan_disp_name = 'F023' THEN min_shikkan_start_date ::DATE ELSE NULL END AS shikkan541_start_date</v>
      </c>
      <c r="V559" s="25" t="str">
        <f t="shared" si="64"/>
        <v>, max(shikkan541_start_date)</v>
      </c>
      <c r="AA559" s="4"/>
      <c r="AB559" s="4"/>
      <c r="AC559" s="4"/>
      <c r="AD559" s="4"/>
      <c r="AE559" s="4"/>
      <c r="AF559" s="4"/>
      <c r="AG559" s="4"/>
      <c r="AH559" s="4"/>
      <c r="AI559" s="4"/>
      <c r="AJ559" s="76" t="str">
        <f>IF(E559="○",IF(COUNTA(E$13:E559)=1,"",",")&amp;D559,"")</f>
        <v/>
      </c>
      <c r="AK559" s="4"/>
      <c r="AL559" s="4"/>
      <c r="AM559" s="4"/>
      <c r="AN559" s="4"/>
      <c r="AO559" s="4"/>
      <c r="AP559" s="4"/>
      <c r="AQ559" s="4"/>
      <c r="AR559" s="4"/>
      <c r="AS559" s="76" t="str">
        <f>"COMMENT ON COLUMN "&amp;エンティティ一覧!$O$2&amp;"."&amp;D$8&amp;"."&amp;D559&amp;" IS '"&amp;C559&amp;"';"</f>
        <v>COMMENT ON COLUMN milscm_2023_009.sny_202310_annony_non_annony2.shikkan541_start_date IS 'F023_疾患開始日';</v>
      </c>
    </row>
    <row r="560" spans="1:45" s="25" customFormat="1">
      <c r="A560" s="4" t="s">
        <v>5634</v>
      </c>
      <c r="B560" s="21">
        <f t="shared" si="66"/>
        <v>548</v>
      </c>
      <c r="C560" s="13" t="str">
        <f t="shared" si="65"/>
        <v>F024_疾患開始日</v>
      </c>
      <c r="D560" s="13" t="s">
        <v>6202</v>
      </c>
      <c r="E560" s="8"/>
      <c r="F560" s="7" t="s">
        <v>4348</v>
      </c>
      <c r="G560" s="7" t="s">
        <v>25</v>
      </c>
      <c r="H560" s="58"/>
      <c r="I560" s="23"/>
      <c r="J560" s="24"/>
      <c r="M560" s="4"/>
      <c r="N560" s="76"/>
      <c r="O560" s="76"/>
      <c r="P560" s="76" t="str">
        <f t="shared" si="58"/>
        <v>,shikkan542_start_date</v>
      </c>
      <c r="Q560" s="76" t="str">
        <f t="shared" si="59"/>
        <v>DATE</v>
      </c>
      <c r="R560" s="76" t="str">
        <f t="shared" si="60"/>
        <v/>
      </c>
      <c r="S560" s="76" t="str">
        <f t="shared" si="61"/>
        <v/>
      </c>
      <c r="T560" s="76" t="str">
        <f t="shared" si="62"/>
        <v>-- F024_疾患開始日</v>
      </c>
      <c r="U560" s="4" t="str">
        <f t="shared" si="63"/>
        <v>, CASE WHEN shikkan_disp_name = 'F024' THEN min_shikkan_start_date ::DATE ELSE NULL END AS shikkan542_start_date</v>
      </c>
      <c r="V560" s="25" t="str">
        <f t="shared" si="64"/>
        <v>, max(shikkan542_start_date)</v>
      </c>
      <c r="AA560" s="4"/>
      <c r="AB560" s="4"/>
      <c r="AC560" s="4"/>
      <c r="AD560" s="4"/>
      <c r="AE560" s="4"/>
      <c r="AF560" s="4"/>
      <c r="AG560" s="4"/>
      <c r="AH560" s="4"/>
      <c r="AI560" s="4"/>
      <c r="AJ560" s="76" t="str">
        <f>IF(E560="○",IF(COUNTA(E$13:E560)=1,"",",")&amp;D560,"")</f>
        <v/>
      </c>
      <c r="AK560" s="4"/>
      <c r="AL560" s="4"/>
      <c r="AM560" s="4"/>
      <c r="AN560" s="4"/>
      <c r="AO560" s="4"/>
      <c r="AP560" s="4"/>
      <c r="AQ560" s="4"/>
      <c r="AR560" s="4"/>
      <c r="AS560" s="76" t="str">
        <f>"COMMENT ON COLUMN "&amp;エンティティ一覧!$O$2&amp;"."&amp;D$8&amp;"."&amp;D560&amp;" IS '"&amp;C560&amp;"';"</f>
        <v>COMMENT ON COLUMN milscm_2023_009.sny_202310_annony_non_annony2.shikkan542_start_date IS 'F024_疾患開始日';</v>
      </c>
    </row>
    <row r="561" spans="1:45" s="25" customFormat="1">
      <c r="A561" s="4" t="s">
        <v>5635</v>
      </c>
      <c r="B561" s="21">
        <f t="shared" si="66"/>
        <v>549</v>
      </c>
      <c r="C561" s="13" t="str">
        <f t="shared" si="65"/>
        <v>F028_疾患開始日</v>
      </c>
      <c r="D561" s="13" t="s">
        <v>6203</v>
      </c>
      <c r="E561" s="8"/>
      <c r="F561" s="7" t="s">
        <v>4348</v>
      </c>
      <c r="G561" s="7" t="s">
        <v>25</v>
      </c>
      <c r="H561" s="58"/>
      <c r="I561" s="23"/>
      <c r="J561" s="24"/>
      <c r="M561" s="4"/>
      <c r="N561" s="76"/>
      <c r="O561" s="76"/>
      <c r="P561" s="76" t="str">
        <f t="shared" si="58"/>
        <v>,shikkan543_start_date</v>
      </c>
      <c r="Q561" s="76" t="str">
        <f t="shared" si="59"/>
        <v>DATE</v>
      </c>
      <c r="R561" s="76" t="str">
        <f t="shared" si="60"/>
        <v/>
      </c>
      <c r="S561" s="76" t="str">
        <f t="shared" si="61"/>
        <v/>
      </c>
      <c r="T561" s="76" t="str">
        <f t="shared" si="62"/>
        <v>-- F028_疾患開始日</v>
      </c>
      <c r="U561" s="4" t="str">
        <f t="shared" si="63"/>
        <v>, CASE WHEN shikkan_disp_name = 'F028' THEN min_shikkan_start_date ::DATE ELSE NULL END AS shikkan543_start_date</v>
      </c>
      <c r="V561" s="25" t="str">
        <f t="shared" si="64"/>
        <v>, max(shikkan543_start_date)</v>
      </c>
      <c r="AA561" s="4"/>
      <c r="AB561" s="4"/>
      <c r="AC561" s="4"/>
      <c r="AD561" s="4"/>
      <c r="AE561" s="4"/>
      <c r="AF561" s="4"/>
      <c r="AG561" s="4"/>
      <c r="AH561" s="4"/>
      <c r="AI561" s="4"/>
      <c r="AJ561" s="76" t="str">
        <f>IF(E561="○",IF(COUNTA(E$13:E561)=1,"",",")&amp;D561,"")</f>
        <v/>
      </c>
      <c r="AK561" s="4"/>
      <c r="AL561" s="4"/>
      <c r="AM561" s="4"/>
      <c r="AN561" s="4"/>
      <c r="AO561" s="4"/>
      <c r="AP561" s="4"/>
      <c r="AQ561" s="4"/>
      <c r="AR561" s="4"/>
      <c r="AS561" s="76" t="str">
        <f>"COMMENT ON COLUMN "&amp;エンティティ一覧!$O$2&amp;"."&amp;D$8&amp;"."&amp;D561&amp;" IS '"&amp;C561&amp;"';"</f>
        <v>COMMENT ON COLUMN milscm_2023_009.sny_202310_annony_non_annony2.shikkan543_start_date IS 'F028_疾患開始日';</v>
      </c>
    </row>
    <row r="562" spans="1:45" s="25" customFormat="1">
      <c r="A562" s="4" t="s">
        <v>5063</v>
      </c>
      <c r="B562" s="21">
        <f t="shared" si="66"/>
        <v>550</v>
      </c>
      <c r="C562" s="13" t="str">
        <f t="shared" si="65"/>
        <v>F03_疾患開始日</v>
      </c>
      <c r="D562" s="13" t="s">
        <v>6204</v>
      </c>
      <c r="E562" s="8"/>
      <c r="F562" s="7" t="s">
        <v>4348</v>
      </c>
      <c r="G562" s="7" t="s">
        <v>25</v>
      </c>
      <c r="H562" s="58"/>
      <c r="I562" s="23"/>
      <c r="J562" s="24"/>
      <c r="M562" s="4"/>
      <c r="N562" s="76"/>
      <c r="O562" s="76"/>
      <c r="P562" s="76" t="str">
        <f t="shared" si="58"/>
        <v>,shikkan544_start_date</v>
      </c>
      <c r="Q562" s="76" t="str">
        <f t="shared" si="59"/>
        <v>DATE</v>
      </c>
      <c r="R562" s="76" t="str">
        <f t="shared" si="60"/>
        <v/>
      </c>
      <c r="S562" s="76" t="str">
        <f t="shared" si="61"/>
        <v/>
      </c>
      <c r="T562" s="76" t="str">
        <f t="shared" si="62"/>
        <v>-- F03_疾患開始日</v>
      </c>
      <c r="U562" s="4" t="str">
        <f t="shared" si="63"/>
        <v>, CASE WHEN shikkan_disp_name = 'F03' THEN min_shikkan_start_date ::DATE ELSE NULL END AS shikkan544_start_date</v>
      </c>
      <c r="V562" s="25" t="str">
        <f t="shared" si="64"/>
        <v>, max(shikkan544_start_date)</v>
      </c>
      <c r="AA562" s="4"/>
      <c r="AB562" s="4"/>
      <c r="AC562" s="4"/>
      <c r="AD562" s="4"/>
      <c r="AE562" s="4"/>
      <c r="AF562" s="4"/>
      <c r="AG562" s="4"/>
      <c r="AH562" s="4"/>
      <c r="AI562" s="4"/>
      <c r="AJ562" s="76" t="str">
        <f>IF(E562="○",IF(COUNTA(E$13:E562)=1,"",",")&amp;D562,"")</f>
        <v/>
      </c>
      <c r="AK562" s="4"/>
      <c r="AL562" s="4"/>
      <c r="AM562" s="4"/>
      <c r="AN562" s="4"/>
      <c r="AO562" s="4"/>
      <c r="AP562" s="4"/>
      <c r="AQ562" s="4"/>
      <c r="AR562" s="4"/>
      <c r="AS562" s="76" t="str">
        <f>"COMMENT ON COLUMN "&amp;エンティティ一覧!$O$2&amp;"."&amp;D$8&amp;"."&amp;D562&amp;" IS '"&amp;C562&amp;"';"</f>
        <v>COMMENT ON COLUMN milscm_2023_009.sny_202310_annony_non_annony2.shikkan544_start_date IS 'F03_疾患開始日';</v>
      </c>
    </row>
    <row r="563" spans="1:45" s="25" customFormat="1">
      <c r="A563" s="4" t="s">
        <v>5636</v>
      </c>
      <c r="B563" s="21">
        <f t="shared" si="66"/>
        <v>551</v>
      </c>
      <c r="C563" s="13" t="str">
        <f t="shared" si="65"/>
        <v>F051_疾患開始日</v>
      </c>
      <c r="D563" s="13" t="s">
        <v>6205</v>
      </c>
      <c r="E563" s="8"/>
      <c r="F563" s="7" t="s">
        <v>4348</v>
      </c>
      <c r="G563" s="7" t="s">
        <v>25</v>
      </c>
      <c r="H563" s="58"/>
      <c r="I563" s="23"/>
      <c r="J563" s="24"/>
      <c r="M563" s="4"/>
      <c r="N563" s="76"/>
      <c r="O563" s="76"/>
      <c r="P563" s="76" t="str">
        <f t="shared" si="58"/>
        <v>,shikkan545_start_date</v>
      </c>
      <c r="Q563" s="76" t="str">
        <f t="shared" si="59"/>
        <v>DATE</v>
      </c>
      <c r="R563" s="76" t="str">
        <f t="shared" si="60"/>
        <v/>
      </c>
      <c r="S563" s="76" t="str">
        <f t="shared" si="61"/>
        <v/>
      </c>
      <c r="T563" s="76" t="str">
        <f t="shared" si="62"/>
        <v>-- F051_疾患開始日</v>
      </c>
      <c r="U563" s="4" t="str">
        <f t="shared" si="63"/>
        <v>, CASE WHEN shikkan_disp_name = 'F051' THEN min_shikkan_start_date ::DATE ELSE NULL END AS shikkan545_start_date</v>
      </c>
      <c r="V563" s="25" t="str">
        <f t="shared" si="64"/>
        <v>, max(shikkan545_start_date)</v>
      </c>
      <c r="AA563" s="4"/>
      <c r="AB563" s="4"/>
      <c r="AC563" s="4"/>
      <c r="AD563" s="4"/>
      <c r="AE563" s="4"/>
      <c r="AF563" s="4"/>
      <c r="AG563" s="4"/>
      <c r="AH563" s="4"/>
      <c r="AI563" s="4"/>
      <c r="AJ563" s="76" t="str">
        <f>IF(E563="○",IF(COUNTA(E$13:E563)=1,"",",")&amp;D563,"")</f>
        <v/>
      </c>
      <c r="AK563" s="4"/>
      <c r="AL563" s="4"/>
      <c r="AM563" s="4"/>
      <c r="AN563" s="4"/>
      <c r="AO563" s="4"/>
      <c r="AP563" s="4"/>
      <c r="AQ563" s="4"/>
      <c r="AR563" s="4"/>
      <c r="AS563" s="76" t="str">
        <f>"COMMENT ON COLUMN "&amp;エンティティ一覧!$O$2&amp;"."&amp;D$8&amp;"."&amp;D563&amp;" IS '"&amp;C563&amp;"';"</f>
        <v>COMMENT ON COLUMN milscm_2023_009.sny_202310_annony_non_annony2.shikkan545_start_date IS 'F051_疾患開始日';</v>
      </c>
    </row>
    <row r="564" spans="1:45" s="25" customFormat="1">
      <c r="A564" s="4" t="s">
        <v>5637</v>
      </c>
      <c r="B564" s="21">
        <f t="shared" si="66"/>
        <v>552</v>
      </c>
      <c r="C564" s="13" t="str">
        <f t="shared" si="65"/>
        <v>G041_疾患開始日</v>
      </c>
      <c r="D564" s="13" t="s">
        <v>6206</v>
      </c>
      <c r="E564" s="8"/>
      <c r="F564" s="7" t="s">
        <v>4348</v>
      </c>
      <c r="G564" s="7" t="s">
        <v>25</v>
      </c>
      <c r="H564" s="58"/>
      <c r="I564" s="23"/>
      <c r="J564" s="24"/>
      <c r="M564" s="4"/>
      <c r="N564" s="76"/>
      <c r="O564" s="76"/>
      <c r="P564" s="76" t="str">
        <f t="shared" si="58"/>
        <v>,shikkan546_start_date</v>
      </c>
      <c r="Q564" s="76" t="str">
        <f t="shared" si="59"/>
        <v>DATE</v>
      </c>
      <c r="R564" s="76" t="str">
        <f t="shared" si="60"/>
        <v/>
      </c>
      <c r="S564" s="76" t="str">
        <f t="shared" si="61"/>
        <v/>
      </c>
      <c r="T564" s="76" t="str">
        <f t="shared" si="62"/>
        <v>-- G041_疾患開始日</v>
      </c>
      <c r="U564" s="4" t="str">
        <f t="shared" si="63"/>
        <v>, CASE WHEN shikkan_disp_name = 'G041' THEN min_shikkan_start_date ::DATE ELSE NULL END AS shikkan546_start_date</v>
      </c>
      <c r="V564" s="25" t="str">
        <f t="shared" si="64"/>
        <v>, max(shikkan546_start_date)</v>
      </c>
      <c r="AA564" s="4"/>
      <c r="AB564" s="4"/>
      <c r="AC564" s="4"/>
      <c r="AD564" s="4"/>
      <c r="AE564" s="4"/>
      <c r="AF564" s="4"/>
      <c r="AG564" s="4"/>
      <c r="AH564" s="4"/>
      <c r="AI564" s="4"/>
      <c r="AJ564" s="76" t="str">
        <f>IF(E564="○",IF(COUNTA(E$13:E564)=1,"",",")&amp;D564,"")</f>
        <v/>
      </c>
      <c r="AK564" s="4"/>
      <c r="AL564" s="4"/>
      <c r="AM564" s="4"/>
      <c r="AN564" s="4"/>
      <c r="AO564" s="4"/>
      <c r="AP564" s="4"/>
      <c r="AQ564" s="4"/>
      <c r="AR564" s="4"/>
      <c r="AS564" s="76" t="str">
        <f>"COMMENT ON COLUMN "&amp;エンティティ一覧!$O$2&amp;"."&amp;D$8&amp;"."&amp;D564&amp;" IS '"&amp;C564&amp;"';"</f>
        <v>COMMENT ON COLUMN milscm_2023_009.sny_202310_annony_non_annony2.shikkan546_start_date IS 'G041_疾患開始日';</v>
      </c>
    </row>
    <row r="565" spans="1:45" s="25" customFormat="1">
      <c r="A565" s="4" t="s">
        <v>5638</v>
      </c>
      <c r="B565" s="21">
        <f t="shared" si="66"/>
        <v>553</v>
      </c>
      <c r="C565" s="13" t="str">
        <f t="shared" si="65"/>
        <v>G114_疾患開始日</v>
      </c>
      <c r="D565" s="13" t="s">
        <v>6207</v>
      </c>
      <c r="E565" s="8"/>
      <c r="F565" s="7" t="s">
        <v>4348</v>
      </c>
      <c r="G565" s="7" t="s">
        <v>25</v>
      </c>
      <c r="H565" s="58"/>
      <c r="I565" s="23"/>
      <c r="J565" s="24"/>
      <c r="M565" s="4"/>
      <c r="N565" s="76"/>
      <c r="O565" s="76"/>
      <c r="P565" s="76" t="str">
        <f t="shared" si="58"/>
        <v>,shikkan547_start_date</v>
      </c>
      <c r="Q565" s="76" t="str">
        <f t="shared" si="59"/>
        <v>DATE</v>
      </c>
      <c r="R565" s="76" t="str">
        <f t="shared" si="60"/>
        <v/>
      </c>
      <c r="S565" s="76" t="str">
        <f t="shared" si="61"/>
        <v/>
      </c>
      <c r="T565" s="76" t="str">
        <f t="shared" si="62"/>
        <v>-- G114_疾患開始日</v>
      </c>
      <c r="U565" s="4" t="str">
        <f t="shared" si="63"/>
        <v>, CASE WHEN shikkan_disp_name = 'G114' THEN min_shikkan_start_date ::DATE ELSE NULL END AS shikkan547_start_date</v>
      </c>
      <c r="V565" s="25" t="str">
        <f t="shared" si="64"/>
        <v>, max(shikkan547_start_date)</v>
      </c>
      <c r="AA565" s="4"/>
      <c r="AB565" s="4"/>
      <c r="AC565" s="4"/>
      <c r="AD565" s="4"/>
      <c r="AE565" s="4"/>
      <c r="AF565" s="4"/>
      <c r="AG565" s="4"/>
      <c r="AH565" s="4"/>
      <c r="AI565" s="4"/>
      <c r="AJ565" s="76" t="str">
        <f>IF(E565="○",IF(COUNTA(E$13:E565)=1,"",",")&amp;D565,"")</f>
        <v/>
      </c>
      <c r="AK565" s="4"/>
      <c r="AL565" s="4"/>
      <c r="AM565" s="4"/>
      <c r="AN565" s="4"/>
      <c r="AO565" s="4"/>
      <c r="AP565" s="4"/>
      <c r="AQ565" s="4"/>
      <c r="AR565" s="4"/>
      <c r="AS565" s="76" t="str">
        <f>"COMMENT ON COLUMN "&amp;エンティティ一覧!$O$2&amp;"."&amp;D$8&amp;"."&amp;D565&amp;" IS '"&amp;C565&amp;"';"</f>
        <v>COMMENT ON COLUMN milscm_2023_009.sny_202310_annony_non_annony2.shikkan547_start_date IS 'G114_疾患開始日';</v>
      </c>
    </row>
    <row r="566" spans="1:45" s="25" customFormat="1">
      <c r="A566" s="4" t="s">
        <v>5639</v>
      </c>
      <c r="B566" s="21">
        <f t="shared" si="66"/>
        <v>554</v>
      </c>
      <c r="C566" s="13" t="str">
        <f t="shared" si="65"/>
        <v>G300_疾患開始日</v>
      </c>
      <c r="D566" s="13" t="s">
        <v>6208</v>
      </c>
      <c r="E566" s="8"/>
      <c r="F566" s="7" t="s">
        <v>4348</v>
      </c>
      <c r="G566" s="7" t="s">
        <v>25</v>
      </c>
      <c r="H566" s="58"/>
      <c r="I566" s="23"/>
      <c r="J566" s="24"/>
      <c r="M566" s="4"/>
      <c r="N566" s="76"/>
      <c r="O566" s="76"/>
      <c r="P566" s="76" t="str">
        <f t="shared" si="58"/>
        <v>,shikkan548_start_date</v>
      </c>
      <c r="Q566" s="76" t="str">
        <f t="shared" si="59"/>
        <v>DATE</v>
      </c>
      <c r="R566" s="76" t="str">
        <f t="shared" si="60"/>
        <v/>
      </c>
      <c r="S566" s="76" t="str">
        <f t="shared" si="61"/>
        <v/>
      </c>
      <c r="T566" s="76" t="str">
        <f t="shared" si="62"/>
        <v>-- G300_疾患開始日</v>
      </c>
      <c r="U566" s="4" t="str">
        <f t="shared" si="63"/>
        <v>, CASE WHEN shikkan_disp_name = 'G300' THEN min_shikkan_start_date ::DATE ELSE NULL END AS shikkan548_start_date</v>
      </c>
      <c r="V566" s="25" t="str">
        <f t="shared" si="64"/>
        <v>, max(shikkan548_start_date)</v>
      </c>
      <c r="AA566" s="4"/>
      <c r="AB566" s="4"/>
      <c r="AC566" s="4"/>
      <c r="AD566" s="4"/>
      <c r="AE566" s="4"/>
      <c r="AF566" s="4"/>
      <c r="AG566" s="4"/>
      <c r="AH566" s="4"/>
      <c r="AI566" s="4"/>
      <c r="AJ566" s="76" t="str">
        <f>IF(E566="○",IF(COUNTA(E$13:E566)=1,"",",")&amp;D566,"")</f>
        <v/>
      </c>
      <c r="AK566" s="4"/>
      <c r="AL566" s="4"/>
      <c r="AM566" s="4"/>
      <c r="AN566" s="4"/>
      <c r="AO566" s="4"/>
      <c r="AP566" s="4"/>
      <c r="AQ566" s="4"/>
      <c r="AR566" s="4"/>
      <c r="AS566" s="76" t="str">
        <f>"COMMENT ON COLUMN "&amp;エンティティ一覧!$O$2&amp;"."&amp;D$8&amp;"."&amp;D566&amp;" IS '"&amp;C566&amp;"';"</f>
        <v>COMMENT ON COLUMN milscm_2023_009.sny_202310_annony_non_annony2.shikkan548_start_date IS 'G300_疾患開始日';</v>
      </c>
    </row>
    <row r="567" spans="1:45" s="25" customFormat="1">
      <c r="A567" s="4" t="s">
        <v>5640</v>
      </c>
      <c r="B567" s="21">
        <f t="shared" si="66"/>
        <v>555</v>
      </c>
      <c r="C567" s="13" t="str">
        <f t="shared" si="65"/>
        <v>G301_疾患開始日</v>
      </c>
      <c r="D567" s="13" t="s">
        <v>6209</v>
      </c>
      <c r="E567" s="8"/>
      <c r="F567" s="7" t="s">
        <v>4348</v>
      </c>
      <c r="G567" s="7" t="s">
        <v>25</v>
      </c>
      <c r="H567" s="58"/>
      <c r="I567" s="23"/>
      <c r="J567" s="24"/>
      <c r="M567" s="4"/>
      <c r="N567" s="76"/>
      <c r="O567" s="76"/>
      <c r="P567" s="76" t="str">
        <f t="shared" si="58"/>
        <v>,shikkan549_start_date</v>
      </c>
      <c r="Q567" s="76" t="str">
        <f t="shared" si="59"/>
        <v>DATE</v>
      </c>
      <c r="R567" s="76" t="str">
        <f t="shared" si="60"/>
        <v/>
      </c>
      <c r="S567" s="76" t="str">
        <f t="shared" si="61"/>
        <v/>
      </c>
      <c r="T567" s="76" t="str">
        <f t="shared" si="62"/>
        <v>-- G301_疾患開始日</v>
      </c>
      <c r="U567" s="4" t="str">
        <f t="shared" si="63"/>
        <v>, CASE WHEN shikkan_disp_name = 'G301' THEN min_shikkan_start_date ::DATE ELSE NULL END AS shikkan549_start_date</v>
      </c>
      <c r="V567" s="25" t="str">
        <f t="shared" si="64"/>
        <v>, max(shikkan549_start_date)</v>
      </c>
      <c r="AA567" s="4"/>
      <c r="AB567" s="4"/>
      <c r="AC567" s="4"/>
      <c r="AD567" s="4"/>
      <c r="AE567" s="4"/>
      <c r="AF567" s="4"/>
      <c r="AG567" s="4"/>
      <c r="AH567" s="4"/>
      <c r="AI567" s="4"/>
      <c r="AJ567" s="76" t="str">
        <f>IF(E567="○",IF(COUNTA(E$13:E567)=1,"",",")&amp;D567,"")</f>
        <v/>
      </c>
      <c r="AK567" s="4"/>
      <c r="AL567" s="4"/>
      <c r="AM567" s="4"/>
      <c r="AN567" s="4"/>
      <c r="AO567" s="4"/>
      <c r="AP567" s="4"/>
      <c r="AQ567" s="4"/>
      <c r="AR567" s="4"/>
      <c r="AS567" s="76" t="str">
        <f>"COMMENT ON COLUMN "&amp;エンティティ一覧!$O$2&amp;"."&amp;D$8&amp;"."&amp;D567&amp;" IS '"&amp;C567&amp;"';"</f>
        <v>COMMENT ON COLUMN milscm_2023_009.sny_202310_annony_non_annony2.shikkan549_start_date IS 'G301_疾患開始日';</v>
      </c>
    </row>
    <row r="568" spans="1:45" s="25" customFormat="1">
      <c r="A568" s="4" t="s">
        <v>5641</v>
      </c>
      <c r="B568" s="21">
        <f t="shared" si="66"/>
        <v>556</v>
      </c>
      <c r="C568" s="13" t="str">
        <f t="shared" si="65"/>
        <v>G308_疾患開始日</v>
      </c>
      <c r="D568" s="13" t="s">
        <v>6210</v>
      </c>
      <c r="E568" s="8"/>
      <c r="F568" s="7" t="s">
        <v>4348</v>
      </c>
      <c r="G568" s="7" t="s">
        <v>25</v>
      </c>
      <c r="H568" s="58"/>
      <c r="I568" s="23"/>
      <c r="J568" s="24"/>
      <c r="M568" s="4"/>
      <c r="N568" s="76"/>
      <c r="O568" s="76"/>
      <c r="P568" s="76" t="str">
        <f t="shared" si="58"/>
        <v>,shikkan550_start_date</v>
      </c>
      <c r="Q568" s="76" t="str">
        <f t="shared" si="59"/>
        <v>DATE</v>
      </c>
      <c r="R568" s="76" t="str">
        <f t="shared" si="60"/>
        <v/>
      </c>
      <c r="S568" s="76" t="str">
        <f t="shared" si="61"/>
        <v/>
      </c>
      <c r="T568" s="76" t="str">
        <f t="shared" si="62"/>
        <v>-- G308_疾患開始日</v>
      </c>
      <c r="U568" s="4" t="str">
        <f t="shared" si="63"/>
        <v>, CASE WHEN shikkan_disp_name = 'G308' THEN min_shikkan_start_date ::DATE ELSE NULL END AS shikkan550_start_date</v>
      </c>
      <c r="V568" s="25" t="str">
        <f t="shared" si="64"/>
        <v>, max(shikkan550_start_date)</v>
      </c>
      <c r="AA568" s="4"/>
      <c r="AB568" s="4"/>
      <c r="AC568" s="4"/>
      <c r="AD568" s="4"/>
      <c r="AE568" s="4"/>
      <c r="AF568" s="4"/>
      <c r="AG568" s="4"/>
      <c r="AH568" s="4"/>
      <c r="AI568" s="4"/>
      <c r="AJ568" s="76" t="str">
        <f>IF(E568="○",IF(COUNTA(E$13:E568)=1,"",",")&amp;D568,"")</f>
        <v/>
      </c>
      <c r="AK568" s="4"/>
      <c r="AL568" s="4"/>
      <c r="AM568" s="4"/>
      <c r="AN568" s="4"/>
      <c r="AO568" s="4"/>
      <c r="AP568" s="4"/>
      <c r="AQ568" s="4"/>
      <c r="AR568" s="4"/>
      <c r="AS568" s="76" t="str">
        <f>"COMMENT ON COLUMN "&amp;エンティティ一覧!$O$2&amp;"."&amp;D$8&amp;"."&amp;D568&amp;" IS '"&amp;C568&amp;"';"</f>
        <v>COMMENT ON COLUMN milscm_2023_009.sny_202310_annony_non_annony2.shikkan550_start_date IS 'G308_疾患開始日';</v>
      </c>
    </row>
    <row r="569" spans="1:45" s="25" customFormat="1">
      <c r="A569" s="4" t="s">
        <v>5642</v>
      </c>
      <c r="B569" s="21">
        <f t="shared" si="66"/>
        <v>557</v>
      </c>
      <c r="C569" s="13" t="str">
        <f t="shared" si="65"/>
        <v>G309_疾患開始日</v>
      </c>
      <c r="D569" s="13" t="s">
        <v>6211</v>
      </c>
      <c r="E569" s="8"/>
      <c r="F569" s="7" t="s">
        <v>4348</v>
      </c>
      <c r="G569" s="7" t="s">
        <v>25</v>
      </c>
      <c r="H569" s="58"/>
      <c r="I569" s="23"/>
      <c r="J569" s="24"/>
      <c r="M569" s="4"/>
      <c r="N569" s="76"/>
      <c r="O569" s="76"/>
      <c r="P569" s="76" t="str">
        <f t="shared" si="58"/>
        <v>,shikkan551_start_date</v>
      </c>
      <c r="Q569" s="76" t="str">
        <f t="shared" si="59"/>
        <v>DATE</v>
      </c>
      <c r="R569" s="76" t="str">
        <f t="shared" si="60"/>
        <v/>
      </c>
      <c r="S569" s="76" t="str">
        <f t="shared" si="61"/>
        <v/>
      </c>
      <c r="T569" s="76" t="str">
        <f t="shared" si="62"/>
        <v>-- G309_疾患開始日</v>
      </c>
      <c r="U569" s="4" t="str">
        <f t="shared" si="63"/>
        <v>, CASE WHEN shikkan_disp_name = 'G309' THEN min_shikkan_start_date ::DATE ELSE NULL END AS shikkan551_start_date</v>
      </c>
      <c r="V569" s="25" t="str">
        <f t="shared" si="64"/>
        <v>, max(shikkan551_start_date)</v>
      </c>
      <c r="AA569" s="4"/>
      <c r="AB569" s="4"/>
      <c r="AC569" s="4"/>
      <c r="AD569" s="4"/>
      <c r="AE569" s="4"/>
      <c r="AF569" s="4"/>
      <c r="AG569" s="4"/>
      <c r="AH569" s="4"/>
      <c r="AI569" s="4"/>
      <c r="AJ569" s="76" t="str">
        <f>IF(E569="○",IF(COUNTA(E$13:E569)=1,"",",")&amp;D569,"")</f>
        <v/>
      </c>
      <c r="AK569" s="4"/>
      <c r="AL569" s="4"/>
      <c r="AM569" s="4"/>
      <c r="AN569" s="4"/>
      <c r="AO569" s="4"/>
      <c r="AP569" s="4"/>
      <c r="AQ569" s="4"/>
      <c r="AR569" s="4"/>
      <c r="AS569" s="76" t="str">
        <f>"COMMENT ON COLUMN "&amp;エンティティ一覧!$O$2&amp;"."&amp;D$8&amp;"."&amp;D569&amp;" IS '"&amp;C569&amp;"';"</f>
        <v>COMMENT ON COLUMN milscm_2023_009.sny_202310_annony_non_annony2.shikkan551_start_date IS 'G309_疾患開始日';</v>
      </c>
    </row>
    <row r="570" spans="1:45" s="25" customFormat="1">
      <c r="A570" s="4" t="s">
        <v>5643</v>
      </c>
      <c r="B570" s="21">
        <f t="shared" si="66"/>
        <v>558</v>
      </c>
      <c r="C570" s="13" t="str">
        <f t="shared" si="65"/>
        <v>G311_疾患開始日</v>
      </c>
      <c r="D570" s="13" t="s">
        <v>6212</v>
      </c>
      <c r="E570" s="8"/>
      <c r="F570" s="7" t="s">
        <v>4348</v>
      </c>
      <c r="G570" s="7" t="s">
        <v>25</v>
      </c>
      <c r="H570" s="58"/>
      <c r="I570" s="23"/>
      <c r="J570" s="24"/>
      <c r="M570" s="4"/>
      <c r="N570" s="76"/>
      <c r="O570" s="76"/>
      <c r="P570" s="76" t="str">
        <f t="shared" si="58"/>
        <v>,shikkan552_start_date</v>
      </c>
      <c r="Q570" s="76" t="str">
        <f t="shared" si="59"/>
        <v>DATE</v>
      </c>
      <c r="R570" s="76" t="str">
        <f t="shared" si="60"/>
        <v/>
      </c>
      <c r="S570" s="76" t="str">
        <f t="shared" si="61"/>
        <v/>
      </c>
      <c r="T570" s="76" t="str">
        <f t="shared" si="62"/>
        <v>-- G311_疾患開始日</v>
      </c>
      <c r="U570" s="4" t="str">
        <f t="shared" si="63"/>
        <v>, CASE WHEN shikkan_disp_name = 'G311' THEN min_shikkan_start_date ::DATE ELSE NULL END AS shikkan552_start_date</v>
      </c>
      <c r="V570" s="25" t="str">
        <f t="shared" si="64"/>
        <v>, max(shikkan552_start_date)</v>
      </c>
      <c r="AA570" s="4"/>
      <c r="AB570" s="4"/>
      <c r="AC570" s="4"/>
      <c r="AD570" s="4"/>
      <c r="AE570" s="4"/>
      <c r="AF570" s="4"/>
      <c r="AG570" s="4"/>
      <c r="AH570" s="4"/>
      <c r="AI570" s="4"/>
      <c r="AJ570" s="76" t="str">
        <f>IF(E570="○",IF(COUNTA(E$13:E570)=1,"",",")&amp;D570,"")</f>
        <v/>
      </c>
      <c r="AK570" s="4"/>
      <c r="AL570" s="4"/>
      <c r="AM570" s="4"/>
      <c r="AN570" s="4"/>
      <c r="AO570" s="4"/>
      <c r="AP570" s="4"/>
      <c r="AQ570" s="4"/>
      <c r="AR570" s="4"/>
      <c r="AS570" s="76" t="str">
        <f>"COMMENT ON COLUMN "&amp;エンティティ一覧!$O$2&amp;"."&amp;D$8&amp;"."&amp;D570&amp;" IS '"&amp;C570&amp;"';"</f>
        <v>COMMENT ON COLUMN milscm_2023_009.sny_202310_annony_non_annony2.shikkan552_start_date IS 'G311_疾患開始日';</v>
      </c>
    </row>
    <row r="571" spans="1:45" s="25" customFormat="1">
      <c r="A571" s="4" t="s">
        <v>5644</v>
      </c>
      <c r="B571" s="21">
        <f t="shared" si="66"/>
        <v>559</v>
      </c>
      <c r="C571" s="13" t="str">
        <f t="shared" si="65"/>
        <v>G450_疾患開始日</v>
      </c>
      <c r="D571" s="13" t="s">
        <v>6213</v>
      </c>
      <c r="E571" s="8"/>
      <c r="F571" s="7" t="s">
        <v>4348</v>
      </c>
      <c r="G571" s="7" t="s">
        <v>25</v>
      </c>
      <c r="H571" s="58"/>
      <c r="I571" s="23"/>
      <c r="J571" s="24"/>
      <c r="M571" s="4"/>
      <c r="N571" s="76"/>
      <c r="O571" s="76"/>
      <c r="P571" s="76" t="str">
        <f t="shared" si="58"/>
        <v>,shikkan553_start_date</v>
      </c>
      <c r="Q571" s="76" t="str">
        <f t="shared" si="59"/>
        <v>DATE</v>
      </c>
      <c r="R571" s="76" t="str">
        <f t="shared" si="60"/>
        <v/>
      </c>
      <c r="S571" s="76" t="str">
        <f t="shared" si="61"/>
        <v/>
      </c>
      <c r="T571" s="76" t="str">
        <f t="shared" si="62"/>
        <v>-- G450_疾患開始日</v>
      </c>
      <c r="U571" s="4" t="str">
        <f t="shared" si="63"/>
        <v>, CASE WHEN shikkan_disp_name = 'G450' THEN min_shikkan_start_date ::DATE ELSE NULL END AS shikkan553_start_date</v>
      </c>
      <c r="V571" s="25" t="str">
        <f t="shared" si="64"/>
        <v>, max(shikkan553_start_date)</v>
      </c>
      <c r="AA571" s="4"/>
      <c r="AB571" s="4"/>
      <c r="AC571" s="4"/>
      <c r="AD571" s="4"/>
      <c r="AE571" s="4"/>
      <c r="AF571" s="4"/>
      <c r="AG571" s="4"/>
      <c r="AH571" s="4"/>
      <c r="AI571" s="4"/>
      <c r="AJ571" s="76" t="str">
        <f>IF(E571="○",IF(COUNTA(E$13:E571)=1,"",",")&amp;D571,"")</f>
        <v/>
      </c>
      <c r="AK571" s="4"/>
      <c r="AL571" s="4"/>
      <c r="AM571" s="4"/>
      <c r="AN571" s="4"/>
      <c r="AO571" s="4"/>
      <c r="AP571" s="4"/>
      <c r="AQ571" s="4"/>
      <c r="AR571" s="4"/>
      <c r="AS571" s="76" t="str">
        <f>"COMMENT ON COLUMN "&amp;エンティティ一覧!$O$2&amp;"."&amp;D$8&amp;"."&amp;D571&amp;" IS '"&amp;C571&amp;"';"</f>
        <v>COMMENT ON COLUMN milscm_2023_009.sny_202310_annony_non_annony2.shikkan553_start_date IS 'G450_疾患開始日';</v>
      </c>
    </row>
    <row r="572" spans="1:45" s="25" customFormat="1">
      <c r="A572" s="4" t="s">
        <v>5645</v>
      </c>
      <c r="B572" s="21">
        <f t="shared" si="66"/>
        <v>560</v>
      </c>
      <c r="C572" s="13" t="str">
        <f t="shared" si="65"/>
        <v>G451_疾患開始日</v>
      </c>
      <c r="D572" s="13" t="s">
        <v>6214</v>
      </c>
      <c r="E572" s="8"/>
      <c r="F572" s="7" t="s">
        <v>4348</v>
      </c>
      <c r="G572" s="7" t="s">
        <v>25</v>
      </c>
      <c r="H572" s="58"/>
      <c r="I572" s="23"/>
      <c r="J572" s="24"/>
      <c r="M572" s="4"/>
      <c r="N572" s="76"/>
      <c r="O572" s="76"/>
      <c r="P572" s="76" t="str">
        <f t="shared" si="58"/>
        <v>,shikkan554_start_date</v>
      </c>
      <c r="Q572" s="76" t="str">
        <f t="shared" si="59"/>
        <v>DATE</v>
      </c>
      <c r="R572" s="76" t="str">
        <f t="shared" si="60"/>
        <v/>
      </c>
      <c r="S572" s="76" t="str">
        <f t="shared" si="61"/>
        <v/>
      </c>
      <c r="T572" s="76" t="str">
        <f t="shared" si="62"/>
        <v>-- G451_疾患開始日</v>
      </c>
      <c r="U572" s="4" t="str">
        <f t="shared" si="63"/>
        <v>, CASE WHEN shikkan_disp_name = 'G451' THEN min_shikkan_start_date ::DATE ELSE NULL END AS shikkan554_start_date</v>
      </c>
      <c r="V572" s="25" t="str">
        <f t="shared" si="64"/>
        <v>, max(shikkan554_start_date)</v>
      </c>
      <c r="AA572" s="4"/>
      <c r="AB572" s="4"/>
      <c r="AC572" s="4"/>
      <c r="AD572" s="4"/>
      <c r="AE572" s="4"/>
      <c r="AF572" s="4"/>
      <c r="AG572" s="4"/>
      <c r="AH572" s="4"/>
      <c r="AI572" s="4"/>
      <c r="AJ572" s="76" t="str">
        <f>IF(E572="○",IF(COUNTA(E$13:E572)=1,"",",")&amp;D572,"")</f>
        <v/>
      </c>
      <c r="AK572" s="4"/>
      <c r="AL572" s="4"/>
      <c r="AM572" s="4"/>
      <c r="AN572" s="4"/>
      <c r="AO572" s="4"/>
      <c r="AP572" s="4"/>
      <c r="AQ572" s="4"/>
      <c r="AR572" s="4"/>
      <c r="AS572" s="76" t="str">
        <f>"COMMENT ON COLUMN "&amp;エンティティ一覧!$O$2&amp;"."&amp;D$8&amp;"."&amp;D572&amp;" IS '"&amp;C572&amp;"';"</f>
        <v>COMMENT ON COLUMN milscm_2023_009.sny_202310_annony_non_annony2.shikkan554_start_date IS 'G451_疾患開始日';</v>
      </c>
    </row>
    <row r="573" spans="1:45" s="25" customFormat="1">
      <c r="A573" s="4" t="s">
        <v>5646</v>
      </c>
      <c r="B573" s="21">
        <f t="shared" si="66"/>
        <v>561</v>
      </c>
      <c r="C573" s="13" t="str">
        <f t="shared" si="65"/>
        <v>G452_疾患開始日</v>
      </c>
      <c r="D573" s="13" t="s">
        <v>6215</v>
      </c>
      <c r="E573" s="8"/>
      <c r="F573" s="7" t="s">
        <v>4348</v>
      </c>
      <c r="G573" s="7" t="s">
        <v>25</v>
      </c>
      <c r="H573" s="58"/>
      <c r="I573" s="23"/>
      <c r="J573" s="24"/>
      <c r="M573" s="4"/>
      <c r="N573" s="76"/>
      <c r="O573" s="76"/>
      <c r="P573" s="76" t="str">
        <f t="shared" si="58"/>
        <v>,shikkan555_start_date</v>
      </c>
      <c r="Q573" s="76" t="str">
        <f t="shared" si="59"/>
        <v>DATE</v>
      </c>
      <c r="R573" s="76" t="str">
        <f t="shared" si="60"/>
        <v/>
      </c>
      <c r="S573" s="76" t="str">
        <f t="shared" si="61"/>
        <v/>
      </c>
      <c r="T573" s="76" t="str">
        <f t="shared" si="62"/>
        <v>-- G452_疾患開始日</v>
      </c>
      <c r="U573" s="4" t="str">
        <f t="shared" si="63"/>
        <v>, CASE WHEN shikkan_disp_name = 'G452' THEN min_shikkan_start_date ::DATE ELSE NULL END AS shikkan555_start_date</v>
      </c>
      <c r="V573" s="25" t="str">
        <f t="shared" si="64"/>
        <v>, max(shikkan555_start_date)</v>
      </c>
      <c r="AA573" s="4"/>
      <c r="AB573" s="4"/>
      <c r="AC573" s="4"/>
      <c r="AD573" s="4"/>
      <c r="AE573" s="4"/>
      <c r="AF573" s="4"/>
      <c r="AG573" s="4"/>
      <c r="AH573" s="4"/>
      <c r="AI573" s="4"/>
      <c r="AJ573" s="76" t="str">
        <f>IF(E573="○",IF(COUNTA(E$13:E573)=1,"",",")&amp;D573,"")</f>
        <v/>
      </c>
      <c r="AK573" s="4"/>
      <c r="AL573" s="4"/>
      <c r="AM573" s="4"/>
      <c r="AN573" s="4"/>
      <c r="AO573" s="4"/>
      <c r="AP573" s="4"/>
      <c r="AQ573" s="4"/>
      <c r="AR573" s="4"/>
      <c r="AS573" s="76" t="str">
        <f>"COMMENT ON COLUMN "&amp;エンティティ一覧!$O$2&amp;"."&amp;D$8&amp;"."&amp;D573&amp;" IS '"&amp;C573&amp;"';"</f>
        <v>COMMENT ON COLUMN milscm_2023_009.sny_202310_annony_non_annony2.shikkan555_start_date IS 'G452_疾患開始日';</v>
      </c>
    </row>
    <row r="574" spans="1:45" s="25" customFormat="1">
      <c r="A574" s="4" t="s">
        <v>5647</v>
      </c>
      <c r="B574" s="21">
        <f t="shared" si="66"/>
        <v>562</v>
      </c>
      <c r="C574" s="13" t="str">
        <f t="shared" si="65"/>
        <v>G453_疾患開始日</v>
      </c>
      <c r="D574" s="13" t="s">
        <v>6216</v>
      </c>
      <c r="E574" s="8"/>
      <c r="F574" s="7" t="s">
        <v>4348</v>
      </c>
      <c r="G574" s="7" t="s">
        <v>25</v>
      </c>
      <c r="H574" s="58"/>
      <c r="I574" s="23"/>
      <c r="J574" s="24"/>
      <c r="M574" s="4"/>
      <c r="N574" s="76"/>
      <c r="O574" s="76"/>
      <c r="P574" s="76" t="str">
        <f t="shared" si="58"/>
        <v>,shikkan556_start_date</v>
      </c>
      <c r="Q574" s="76" t="str">
        <f t="shared" si="59"/>
        <v>DATE</v>
      </c>
      <c r="R574" s="76" t="str">
        <f t="shared" si="60"/>
        <v/>
      </c>
      <c r="S574" s="76" t="str">
        <f t="shared" si="61"/>
        <v/>
      </c>
      <c r="T574" s="76" t="str">
        <f t="shared" si="62"/>
        <v>-- G453_疾患開始日</v>
      </c>
      <c r="U574" s="4" t="str">
        <f t="shared" si="63"/>
        <v>, CASE WHEN shikkan_disp_name = 'G453' THEN min_shikkan_start_date ::DATE ELSE NULL END AS shikkan556_start_date</v>
      </c>
      <c r="V574" s="25" t="str">
        <f t="shared" si="64"/>
        <v>, max(shikkan556_start_date)</v>
      </c>
      <c r="AA574" s="4"/>
      <c r="AB574" s="4"/>
      <c r="AC574" s="4"/>
      <c r="AD574" s="4"/>
      <c r="AE574" s="4"/>
      <c r="AF574" s="4"/>
      <c r="AG574" s="4"/>
      <c r="AH574" s="4"/>
      <c r="AI574" s="4"/>
      <c r="AJ574" s="76" t="str">
        <f>IF(E574="○",IF(COUNTA(E$13:E574)=1,"",",")&amp;D574,"")</f>
        <v/>
      </c>
      <c r="AK574" s="4"/>
      <c r="AL574" s="4"/>
      <c r="AM574" s="4"/>
      <c r="AN574" s="4"/>
      <c r="AO574" s="4"/>
      <c r="AP574" s="4"/>
      <c r="AQ574" s="4"/>
      <c r="AR574" s="4"/>
      <c r="AS574" s="76" t="str">
        <f>"COMMENT ON COLUMN "&amp;エンティティ一覧!$O$2&amp;"."&amp;D$8&amp;"."&amp;D574&amp;" IS '"&amp;C574&amp;"';"</f>
        <v>COMMENT ON COLUMN milscm_2023_009.sny_202310_annony_non_annony2.shikkan556_start_date IS 'G453_疾患開始日';</v>
      </c>
    </row>
    <row r="575" spans="1:45" s="25" customFormat="1">
      <c r="A575" s="4" t="s">
        <v>5648</v>
      </c>
      <c r="B575" s="21">
        <f t="shared" si="66"/>
        <v>563</v>
      </c>
      <c r="C575" s="13" t="str">
        <f t="shared" si="65"/>
        <v>G454_疾患開始日</v>
      </c>
      <c r="D575" s="13" t="s">
        <v>6217</v>
      </c>
      <c r="E575" s="8"/>
      <c r="F575" s="7" t="s">
        <v>4348</v>
      </c>
      <c r="G575" s="7" t="s">
        <v>25</v>
      </c>
      <c r="H575" s="58"/>
      <c r="I575" s="23"/>
      <c r="J575" s="24"/>
      <c r="M575" s="4"/>
      <c r="N575" s="76"/>
      <c r="O575" s="76"/>
      <c r="P575" s="76" t="str">
        <f t="shared" si="58"/>
        <v>,shikkan557_start_date</v>
      </c>
      <c r="Q575" s="76" t="str">
        <f t="shared" si="59"/>
        <v>DATE</v>
      </c>
      <c r="R575" s="76" t="str">
        <f t="shared" si="60"/>
        <v/>
      </c>
      <c r="S575" s="76" t="str">
        <f t="shared" si="61"/>
        <v/>
      </c>
      <c r="T575" s="76" t="str">
        <f t="shared" si="62"/>
        <v>-- G454_疾患開始日</v>
      </c>
      <c r="U575" s="4" t="str">
        <f t="shared" si="63"/>
        <v>, CASE WHEN shikkan_disp_name = 'G454' THEN min_shikkan_start_date ::DATE ELSE NULL END AS shikkan557_start_date</v>
      </c>
      <c r="V575" s="25" t="str">
        <f t="shared" si="64"/>
        <v>, max(shikkan557_start_date)</v>
      </c>
      <c r="AA575" s="4"/>
      <c r="AB575" s="4"/>
      <c r="AC575" s="4"/>
      <c r="AD575" s="4"/>
      <c r="AE575" s="4"/>
      <c r="AF575" s="4"/>
      <c r="AG575" s="4"/>
      <c r="AH575" s="4"/>
      <c r="AI575" s="4"/>
      <c r="AJ575" s="76" t="str">
        <f>IF(E575="○",IF(COUNTA(E$13:E575)=1,"",",")&amp;D575,"")</f>
        <v/>
      </c>
      <c r="AK575" s="4"/>
      <c r="AL575" s="4"/>
      <c r="AM575" s="4"/>
      <c r="AN575" s="4"/>
      <c r="AO575" s="4"/>
      <c r="AP575" s="4"/>
      <c r="AQ575" s="4"/>
      <c r="AR575" s="4"/>
      <c r="AS575" s="76" t="str">
        <f>"COMMENT ON COLUMN "&amp;エンティティ一覧!$O$2&amp;"."&amp;D$8&amp;"."&amp;D575&amp;" IS '"&amp;C575&amp;"';"</f>
        <v>COMMENT ON COLUMN milscm_2023_009.sny_202310_annony_non_annony2.shikkan557_start_date IS 'G454_疾患開始日';</v>
      </c>
    </row>
    <row r="576" spans="1:45" s="25" customFormat="1">
      <c r="A576" s="4" t="s">
        <v>5649</v>
      </c>
      <c r="B576" s="21">
        <f t="shared" si="66"/>
        <v>564</v>
      </c>
      <c r="C576" s="13" t="str">
        <f t="shared" si="65"/>
        <v>G458_疾患開始日</v>
      </c>
      <c r="D576" s="13" t="s">
        <v>6218</v>
      </c>
      <c r="E576" s="8"/>
      <c r="F576" s="7" t="s">
        <v>4348</v>
      </c>
      <c r="G576" s="7" t="s">
        <v>25</v>
      </c>
      <c r="H576" s="58"/>
      <c r="I576" s="23"/>
      <c r="J576" s="24"/>
      <c r="M576" s="4"/>
      <c r="N576" s="76"/>
      <c r="O576" s="76"/>
      <c r="P576" s="76" t="str">
        <f t="shared" si="58"/>
        <v>,shikkan558_start_date</v>
      </c>
      <c r="Q576" s="76" t="str">
        <f t="shared" si="59"/>
        <v>DATE</v>
      </c>
      <c r="R576" s="76" t="str">
        <f t="shared" si="60"/>
        <v/>
      </c>
      <c r="S576" s="76" t="str">
        <f t="shared" si="61"/>
        <v/>
      </c>
      <c r="T576" s="76" t="str">
        <f t="shared" si="62"/>
        <v>-- G458_疾患開始日</v>
      </c>
      <c r="U576" s="4" t="str">
        <f t="shared" si="63"/>
        <v>, CASE WHEN shikkan_disp_name = 'G458' THEN min_shikkan_start_date ::DATE ELSE NULL END AS shikkan558_start_date</v>
      </c>
      <c r="V576" s="25" t="str">
        <f t="shared" si="64"/>
        <v>, max(shikkan558_start_date)</v>
      </c>
      <c r="AA576" s="4"/>
      <c r="AB576" s="4"/>
      <c r="AC576" s="4"/>
      <c r="AD576" s="4"/>
      <c r="AE576" s="4"/>
      <c r="AF576" s="4"/>
      <c r="AG576" s="4"/>
      <c r="AH576" s="4"/>
      <c r="AI576" s="4"/>
      <c r="AJ576" s="76" t="str">
        <f>IF(E576="○",IF(COUNTA(E$13:E576)=1,"",",")&amp;D576,"")</f>
        <v/>
      </c>
      <c r="AK576" s="4"/>
      <c r="AL576" s="4"/>
      <c r="AM576" s="4"/>
      <c r="AN576" s="4"/>
      <c r="AO576" s="4"/>
      <c r="AP576" s="4"/>
      <c r="AQ576" s="4"/>
      <c r="AR576" s="4"/>
      <c r="AS576" s="76" t="str">
        <f>"COMMENT ON COLUMN "&amp;エンティティ一覧!$O$2&amp;"."&amp;D$8&amp;"."&amp;D576&amp;" IS '"&amp;C576&amp;"';"</f>
        <v>COMMENT ON COLUMN milscm_2023_009.sny_202310_annony_non_annony2.shikkan558_start_date IS 'G458_疾患開始日';</v>
      </c>
    </row>
    <row r="577" spans="1:45" s="25" customFormat="1">
      <c r="A577" s="4" t="s">
        <v>5650</v>
      </c>
      <c r="B577" s="21">
        <f t="shared" si="66"/>
        <v>565</v>
      </c>
      <c r="C577" s="13" t="str">
        <f t="shared" si="65"/>
        <v>G459_疾患開始日</v>
      </c>
      <c r="D577" s="13" t="s">
        <v>6219</v>
      </c>
      <c r="E577" s="8"/>
      <c r="F577" s="7" t="s">
        <v>4348</v>
      </c>
      <c r="G577" s="7" t="s">
        <v>25</v>
      </c>
      <c r="H577" s="58"/>
      <c r="I577" s="23"/>
      <c r="J577" s="24"/>
      <c r="M577" s="4"/>
      <c r="N577" s="76"/>
      <c r="O577" s="76"/>
      <c r="P577" s="76" t="str">
        <f t="shared" si="58"/>
        <v>,shikkan559_start_date</v>
      </c>
      <c r="Q577" s="76" t="str">
        <f t="shared" si="59"/>
        <v>DATE</v>
      </c>
      <c r="R577" s="76" t="str">
        <f t="shared" si="60"/>
        <v/>
      </c>
      <c r="S577" s="76" t="str">
        <f t="shared" si="61"/>
        <v/>
      </c>
      <c r="T577" s="76" t="str">
        <f t="shared" si="62"/>
        <v>-- G459_疾患開始日</v>
      </c>
      <c r="U577" s="4" t="str">
        <f t="shared" si="63"/>
        <v>, CASE WHEN shikkan_disp_name = 'G459' THEN min_shikkan_start_date ::DATE ELSE NULL END AS shikkan559_start_date</v>
      </c>
      <c r="V577" s="25" t="str">
        <f t="shared" si="64"/>
        <v>, max(shikkan559_start_date)</v>
      </c>
      <c r="AA577" s="4"/>
      <c r="AB577" s="4"/>
      <c r="AC577" s="4"/>
      <c r="AD577" s="4"/>
      <c r="AE577" s="4"/>
      <c r="AF577" s="4"/>
      <c r="AG577" s="4"/>
      <c r="AH577" s="4"/>
      <c r="AI577" s="4"/>
      <c r="AJ577" s="76" t="str">
        <f>IF(E577="○",IF(COUNTA(E$13:E577)=1,"",",")&amp;D577,"")</f>
        <v/>
      </c>
      <c r="AK577" s="4"/>
      <c r="AL577" s="4"/>
      <c r="AM577" s="4"/>
      <c r="AN577" s="4"/>
      <c r="AO577" s="4"/>
      <c r="AP577" s="4"/>
      <c r="AQ577" s="4"/>
      <c r="AR577" s="4"/>
      <c r="AS577" s="76" t="str">
        <f>"COMMENT ON COLUMN "&amp;エンティティ一覧!$O$2&amp;"."&amp;D$8&amp;"."&amp;D577&amp;" IS '"&amp;C577&amp;"';"</f>
        <v>COMMENT ON COLUMN milscm_2023_009.sny_202310_annony_non_annony2.shikkan559_start_date IS 'G459_疾患開始日';</v>
      </c>
    </row>
    <row r="578" spans="1:45" s="25" customFormat="1">
      <c r="A578" s="4" t="s">
        <v>5651</v>
      </c>
      <c r="B578" s="21">
        <f t="shared" si="66"/>
        <v>566</v>
      </c>
      <c r="C578" s="13" t="str">
        <f t="shared" si="65"/>
        <v>G460_疾患開始日</v>
      </c>
      <c r="D578" s="13" t="s">
        <v>6220</v>
      </c>
      <c r="E578" s="8"/>
      <c r="F578" s="7" t="s">
        <v>4348</v>
      </c>
      <c r="G578" s="7" t="s">
        <v>25</v>
      </c>
      <c r="H578" s="58"/>
      <c r="I578" s="23"/>
      <c r="J578" s="24"/>
      <c r="M578" s="4"/>
      <c r="N578" s="76"/>
      <c r="O578" s="76"/>
      <c r="P578" s="76" t="str">
        <f t="shared" si="58"/>
        <v>,shikkan560_start_date</v>
      </c>
      <c r="Q578" s="76" t="str">
        <f t="shared" si="59"/>
        <v>DATE</v>
      </c>
      <c r="R578" s="76" t="str">
        <f t="shared" si="60"/>
        <v/>
      </c>
      <c r="S578" s="76" t="str">
        <f t="shared" si="61"/>
        <v/>
      </c>
      <c r="T578" s="76" t="str">
        <f t="shared" si="62"/>
        <v>-- G460_疾患開始日</v>
      </c>
      <c r="U578" s="4" t="str">
        <f t="shared" si="63"/>
        <v>, CASE WHEN shikkan_disp_name = 'G460' THEN min_shikkan_start_date ::DATE ELSE NULL END AS shikkan560_start_date</v>
      </c>
      <c r="V578" s="25" t="str">
        <f t="shared" si="64"/>
        <v>, max(shikkan560_start_date)</v>
      </c>
      <c r="AA578" s="4"/>
      <c r="AB578" s="4"/>
      <c r="AC578" s="4"/>
      <c r="AD578" s="4"/>
      <c r="AE578" s="4"/>
      <c r="AF578" s="4"/>
      <c r="AG578" s="4"/>
      <c r="AH578" s="4"/>
      <c r="AI578" s="4"/>
      <c r="AJ578" s="76" t="str">
        <f>IF(E578="○",IF(COUNTA(E$13:E578)=1,"",",")&amp;D578,"")</f>
        <v/>
      </c>
      <c r="AK578" s="4"/>
      <c r="AL578" s="4"/>
      <c r="AM578" s="4"/>
      <c r="AN578" s="4"/>
      <c r="AO578" s="4"/>
      <c r="AP578" s="4"/>
      <c r="AQ578" s="4"/>
      <c r="AR578" s="4"/>
      <c r="AS578" s="76" t="str">
        <f>"COMMENT ON COLUMN "&amp;エンティティ一覧!$O$2&amp;"."&amp;D$8&amp;"."&amp;D578&amp;" IS '"&amp;C578&amp;"';"</f>
        <v>COMMENT ON COLUMN milscm_2023_009.sny_202310_annony_non_annony2.shikkan560_start_date IS 'G460_疾患開始日';</v>
      </c>
    </row>
    <row r="579" spans="1:45" s="25" customFormat="1">
      <c r="A579" s="4" t="s">
        <v>5652</v>
      </c>
      <c r="B579" s="21">
        <f t="shared" si="66"/>
        <v>567</v>
      </c>
      <c r="C579" s="13" t="str">
        <f t="shared" si="65"/>
        <v>G461_疾患開始日</v>
      </c>
      <c r="D579" s="13" t="s">
        <v>6221</v>
      </c>
      <c r="E579" s="8"/>
      <c r="F579" s="7" t="s">
        <v>4348</v>
      </c>
      <c r="G579" s="7" t="s">
        <v>25</v>
      </c>
      <c r="H579" s="58"/>
      <c r="I579" s="23"/>
      <c r="J579" s="24"/>
      <c r="M579" s="4"/>
      <c r="N579" s="76"/>
      <c r="O579" s="76"/>
      <c r="P579" s="76" t="str">
        <f t="shared" si="58"/>
        <v>,shikkan561_start_date</v>
      </c>
      <c r="Q579" s="76" t="str">
        <f t="shared" si="59"/>
        <v>DATE</v>
      </c>
      <c r="R579" s="76" t="str">
        <f t="shared" si="60"/>
        <v/>
      </c>
      <c r="S579" s="76" t="str">
        <f t="shared" si="61"/>
        <v/>
      </c>
      <c r="T579" s="76" t="str">
        <f t="shared" si="62"/>
        <v>-- G461_疾患開始日</v>
      </c>
      <c r="U579" s="4" t="str">
        <f t="shared" si="63"/>
        <v>, CASE WHEN shikkan_disp_name = 'G461' THEN min_shikkan_start_date ::DATE ELSE NULL END AS shikkan561_start_date</v>
      </c>
      <c r="V579" s="25" t="str">
        <f t="shared" si="64"/>
        <v>, max(shikkan561_start_date)</v>
      </c>
      <c r="AA579" s="4"/>
      <c r="AB579" s="4"/>
      <c r="AC579" s="4"/>
      <c r="AD579" s="4"/>
      <c r="AE579" s="4"/>
      <c r="AF579" s="4"/>
      <c r="AG579" s="4"/>
      <c r="AH579" s="4"/>
      <c r="AI579" s="4"/>
      <c r="AJ579" s="76" t="str">
        <f>IF(E579="○",IF(COUNTA(E$13:E579)=1,"",",")&amp;D579,"")</f>
        <v/>
      </c>
      <c r="AK579" s="4"/>
      <c r="AL579" s="4"/>
      <c r="AM579" s="4"/>
      <c r="AN579" s="4"/>
      <c r="AO579" s="4"/>
      <c r="AP579" s="4"/>
      <c r="AQ579" s="4"/>
      <c r="AR579" s="4"/>
      <c r="AS579" s="76" t="str">
        <f>"COMMENT ON COLUMN "&amp;エンティティ一覧!$O$2&amp;"."&amp;D$8&amp;"."&amp;D579&amp;" IS '"&amp;C579&amp;"';"</f>
        <v>COMMENT ON COLUMN milscm_2023_009.sny_202310_annony_non_annony2.shikkan561_start_date IS 'G461_疾患開始日';</v>
      </c>
    </row>
    <row r="580" spans="1:45" s="25" customFormat="1">
      <c r="A580" s="4" t="s">
        <v>5653</v>
      </c>
      <c r="B580" s="21">
        <f t="shared" si="66"/>
        <v>568</v>
      </c>
      <c r="C580" s="13" t="str">
        <f t="shared" si="65"/>
        <v>G462_疾患開始日</v>
      </c>
      <c r="D580" s="13" t="s">
        <v>6222</v>
      </c>
      <c r="E580" s="8"/>
      <c r="F580" s="7" t="s">
        <v>4348</v>
      </c>
      <c r="G580" s="7" t="s">
        <v>25</v>
      </c>
      <c r="H580" s="58"/>
      <c r="I580" s="23"/>
      <c r="J580" s="24"/>
      <c r="M580" s="4"/>
      <c r="N580" s="76"/>
      <c r="O580" s="76"/>
      <c r="P580" s="76" t="str">
        <f t="shared" si="58"/>
        <v>,shikkan562_start_date</v>
      </c>
      <c r="Q580" s="76" t="str">
        <f t="shared" si="59"/>
        <v>DATE</v>
      </c>
      <c r="R580" s="76" t="str">
        <f t="shared" si="60"/>
        <v/>
      </c>
      <c r="S580" s="76" t="str">
        <f t="shared" si="61"/>
        <v/>
      </c>
      <c r="T580" s="76" t="str">
        <f t="shared" si="62"/>
        <v>-- G462_疾患開始日</v>
      </c>
      <c r="U580" s="4" t="str">
        <f t="shared" si="63"/>
        <v>, CASE WHEN shikkan_disp_name = 'G462' THEN min_shikkan_start_date ::DATE ELSE NULL END AS shikkan562_start_date</v>
      </c>
      <c r="V580" s="25" t="str">
        <f t="shared" si="64"/>
        <v>, max(shikkan562_start_date)</v>
      </c>
      <c r="AA580" s="4"/>
      <c r="AB580" s="4"/>
      <c r="AC580" s="4"/>
      <c r="AD580" s="4"/>
      <c r="AE580" s="4"/>
      <c r="AF580" s="4"/>
      <c r="AG580" s="4"/>
      <c r="AH580" s="4"/>
      <c r="AI580" s="4"/>
      <c r="AJ580" s="76" t="str">
        <f>IF(E580="○",IF(COUNTA(E$13:E580)=1,"",",")&amp;D580,"")</f>
        <v/>
      </c>
      <c r="AK580" s="4"/>
      <c r="AL580" s="4"/>
      <c r="AM580" s="4"/>
      <c r="AN580" s="4"/>
      <c r="AO580" s="4"/>
      <c r="AP580" s="4"/>
      <c r="AQ580" s="4"/>
      <c r="AR580" s="4"/>
      <c r="AS580" s="76" t="str">
        <f>"COMMENT ON COLUMN "&amp;エンティティ一覧!$O$2&amp;"."&amp;D$8&amp;"."&amp;D580&amp;" IS '"&amp;C580&amp;"';"</f>
        <v>COMMENT ON COLUMN milscm_2023_009.sny_202310_annony_non_annony2.shikkan562_start_date IS 'G462_疾患開始日';</v>
      </c>
    </row>
    <row r="581" spans="1:45" s="25" customFormat="1">
      <c r="A581" s="4" t="s">
        <v>5654</v>
      </c>
      <c r="B581" s="21">
        <f t="shared" si="66"/>
        <v>569</v>
      </c>
      <c r="C581" s="13" t="str">
        <f t="shared" si="65"/>
        <v>G463_疾患開始日</v>
      </c>
      <c r="D581" s="13" t="s">
        <v>6223</v>
      </c>
      <c r="E581" s="8"/>
      <c r="F581" s="7" t="s">
        <v>4348</v>
      </c>
      <c r="G581" s="7" t="s">
        <v>25</v>
      </c>
      <c r="H581" s="58"/>
      <c r="I581" s="23"/>
      <c r="J581" s="24"/>
      <c r="M581" s="4"/>
      <c r="N581" s="76"/>
      <c r="O581" s="76"/>
      <c r="P581" s="76" t="str">
        <f t="shared" si="58"/>
        <v>,shikkan563_start_date</v>
      </c>
      <c r="Q581" s="76" t="str">
        <f t="shared" si="59"/>
        <v>DATE</v>
      </c>
      <c r="R581" s="76" t="str">
        <f t="shared" si="60"/>
        <v/>
      </c>
      <c r="S581" s="76" t="str">
        <f t="shared" si="61"/>
        <v/>
      </c>
      <c r="T581" s="76" t="str">
        <f t="shared" si="62"/>
        <v>-- G463_疾患開始日</v>
      </c>
      <c r="U581" s="4" t="str">
        <f t="shared" si="63"/>
        <v>, CASE WHEN shikkan_disp_name = 'G463' THEN min_shikkan_start_date ::DATE ELSE NULL END AS shikkan563_start_date</v>
      </c>
      <c r="V581" s="25" t="str">
        <f t="shared" si="64"/>
        <v>, max(shikkan563_start_date)</v>
      </c>
      <c r="AA581" s="4"/>
      <c r="AB581" s="4"/>
      <c r="AC581" s="4"/>
      <c r="AD581" s="4"/>
      <c r="AE581" s="4"/>
      <c r="AF581" s="4"/>
      <c r="AG581" s="4"/>
      <c r="AH581" s="4"/>
      <c r="AI581" s="4"/>
      <c r="AJ581" s="76" t="str">
        <f>IF(E581="○",IF(COUNTA(E$13:E581)=1,"",",")&amp;D581,"")</f>
        <v/>
      </c>
      <c r="AK581" s="4"/>
      <c r="AL581" s="4"/>
      <c r="AM581" s="4"/>
      <c r="AN581" s="4"/>
      <c r="AO581" s="4"/>
      <c r="AP581" s="4"/>
      <c r="AQ581" s="4"/>
      <c r="AR581" s="4"/>
      <c r="AS581" s="76" t="str">
        <f>"COMMENT ON COLUMN "&amp;エンティティ一覧!$O$2&amp;"."&amp;D$8&amp;"."&amp;D581&amp;" IS '"&amp;C581&amp;"';"</f>
        <v>COMMENT ON COLUMN milscm_2023_009.sny_202310_annony_non_annony2.shikkan563_start_date IS 'G463_疾患開始日';</v>
      </c>
    </row>
    <row r="582" spans="1:45" s="25" customFormat="1">
      <c r="A582" s="4" t="s">
        <v>5655</v>
      </c>
      <c r="B582" s="21">
        <f t="shared" si="66"/>
        <v>570</v>
      </c>
      <c r="C582" s="13" t="str">
        <f t="shared" si="65"/>
        <v>G464_疾患開始日</v>
      </c>
      <c r="D582" s="13" t="s">
        <v>6224</v>
      </c>
      <c r="E582" s="8"/>
      <c r="F582" s="7" t="s">
        <v>4348</v>
      </c>
      <c r="G582" s="7" t="s">
        <v>25</v>
      </c>
      <c r="H582" s="58"/>
      <c r="I582" s="23"/>
      <c r="J582" s="24"/>
      <c r="M582" s="4"/>
      <c r="N582" s="76"/>
      <c r="O582" s="76"/>
      <c r="P582" s="76" t="str">
        <f t="shared" si="58"/>
        <v>,shikkan564_start_date</v>
      </c>
      <c r="Q582" s="76" t="str">
        <f t="shared" si="59"/>
        <v>DATE</v>
      </c>
      <c r="R582" s="76" t="str">
        <f t="shared" si="60"/>
        <v/>
      </c>
      <c r="S582" s="76" t="str">
        <f t="shared" si="61"/>
        <v/>
      </c>
      <c r="T582" s="76" t="str">
        <f t="shared" si="62"/>
        <v>-- G464_疾患開始日</v>
      </c>
      <c r="U582" s="4" t="str">
        <f t="shared" si="63"/>
        <v>, CASE WHEN shikkan_disp_name = 'G464' THEN min_shikkan_start_date ::DATE ELSE NULL END AS shikkan564_start_date</v>
      </c>
      <c r="V582" s="25" t="str">
        <f t="shared" si="64"/>
        <v>, max(shikkan564_start_date)</v>
      </c>
      <c r="AA582" s="4"/>
      <c r="AB582" s="4"/>
      <c r="AC582" s="4"/>
      <c r="AD582" s="4"/>
      <c r="AE582" s="4"/>
      <c r="AF582" s="4"/>
      <c r="AG582" s="4"/>
      <c r="AH582" s="4"/>
      <c r="AI582" s="4"/>
      <c r="AJ582" s="76" t="str">
        <f>IF(E582="○",IF(COUNTA(E$13:E582)=1,"",",")&amp;D582,"")</f>
        <v/>
      </c>
      <c r="AK582" s="4"/>
      <c r="AL582" s="4"/>
      <c r="AM582" s="4"/>
      <c r="AN582" s="4"/>
      <c r="AO582" s="4"/>
      <c r="AP582" s="4"/>
      <c r="AQ582" s="4"/>
      <c r="AR582" s="4"/>
      <c r="AS582" s="76" t="str">
        <f>"COMMENT ON COLUMN "&amp;エンティティ一覧!$O$2&amp;"."&amp;D$8&amp;"."&amp;D582&amp;" IS '"&amp;C582&amp;"';"</f>
        <v>COMMENT ON COLUMN milscm_2023_009.sny_202310_annony_non_annony2.shikkan564_start_date IS 'G464_疾患開始日';</v>
      </c>
    </row>
    <row r="583" spans="1:45" s="25" customFormat="1">
      <c r="A583" s="4" t="s">
        <v>5656</v>
      </c>
      <c r="B583" s="21">
        <f t="shared" si="66"/>
        <v>571</v>
      </c>
      <c r="C583" s="13" t="str">
        <f t="shared" si="65"/>
        <v>G465_疾患開始日</v>
      </c>
      <c r="D583" s="13" t="s">
        <v>6225</v>
      </c>
      <c r="E583" s="8"/>
      <c r="F583" s="7" t="s">
        <v>4348</v>
      </c>
      <c r="G583" s="7" t="s">
        <v>25</v>
      </c>
      <c r="H583" s="58"/>
      <c r="I583" s="23"/>
      <c r="J583" s="24"/>
      <c r="M583" s="4"/>
      <c r="N583" s="76"/>
      <c r="O583" s="76"/>
      <c r="P583" s="76" t="str">
        <f t="shared" si="58"/>
        <v>,shikkan565_start_date</v>
      </c>
      <c r="Q583" s="76" t="str">
        <f t="shared" si="59"/>
        <v>DATE</v>
      </c>
      <c r="R583" s="76" t="str">
        <f t="shared" si="60"/>
        <v/>
      </c>
      <c r="S583" s="76" t="str">
        <f t="shared" si="61"/>
        <v/>
      </c>
      <c r="T583" s="76" t="str">
        <f t="shared" si="62"/>
        <v>-- G465_疾患開始日</v>
      </c>
      <c r="U583" s="4" t="str">
        <f t="shared" si="63"/>
        <v>, CASE WHEN shikkan_disp_name = 'G465' THEN min_shikkan_start_date ::DATE ELSE NULL END AS shikkan565_start_date</v>
      </c>
      <c r="V583" s="25" t="str">
        <f t="shared" si="64"/>
        <v>, max(shikkan565_start_date)</v>
      </c>
      <c r="AA583" s="4"/>
      <c r="AB583" s="4"/>
      <c r="AC583" s="4"/>
      <c r="AD583" s="4"/>
      <c r="AE583" s="4"/>
      <c r="AF583" s="4"/>
      <c r="AG583" s="4"/>
      <c r="AH583" s="4"/>
      <c r="AI583" s="4"/>
      <c r="AJ583" s="76" t="str">
        <f>IF(E583="○",IF(COUNTA(E$13:E583)=1,"",",")&amp;D583,"")</f>
        <v/>
      </c>
      <c r="AK583" s="4"/>
      <c r="AL583" s="4"/>
      <c r="AM583" s="4"/>
      <c r="AN583" s="4"/>
      <c r="AO583" s="4"/>
      <c r="AP583" s="4"/>
      <c r="AQ583" s="4"/>
      <c r="AR583" s="4"/>
      <c r="AS583" s="76" t="str">
        <f>"COMMENT ON COLUMN "&amp;エンティティ一覧!$O$2&amp;"."&amp;D$8&amp;"."&amp;D583&amp;" IS '"&amp;C583&amp;"';"</f>
        <v>COMMENT ON COLUMN milscm_2023_009.sny_202310_annony_non_annony2.shikkan565_start_date IS 'G465_疾患開始日';</v>
      </c>
    </row>
    <row r="584" spans="1:45" s="25" customFormat="1">
      <c r="A584" s="4" t="s">
        <v>5657</v>
      </c>
      <c r="B584" s="21">
        <f t="shared" si="66"/>
        <v>572</v>
      </c>
      <c r="C584" s="13" t="str">
        <f t="shared" si="65"/>
        <v>G466_疾患開始日</v>
      </c>
      <c r="D584" s="13" t="s">
        <v>6226</v>
      </c>
      <c r="E584" s="8"/>
      <c r="F584" s="7" t="s">
        <v>4348</v>
      </c>
      <c r="G584" s="7" t="s">
        <v>25</v>
      </c>
      <c r="H584" s="58"/>
      <c r="I584" s="23"/>
      <c r="J584" s="24"/>
      <c r="M584" s="4"/>
      <c r="N584" s="76"/>
      <c r="O584" s="76"/>
      <c r="P584" s="76" t="str">
        <f t="shared" si="58"/>
        <v>,shikkan566_start_date</v>
      </c>
      <c r="Q584" s="76" t="str">
        <f t="shared" si="59"/>
        <v>DATE</v>
      </c>
      <c r="R584" s="76" t="str">
        <f t="shared" si="60"/>
        <v/>
      </c>
      <c r="S584" s="76" t="str">
        <f t="shared" si="61"/>
        <v/>
      </c>
      <c r="T584" s="76" t="str">
        <f t="shared" si="62"/>
        <v>-- G466_疾患開始日</v>
      </c>
      <c r="U584" s="4" t="str">
        <f t="shared" si="63"/>
        <v>, CASE WHEN shikkan_disp_name = 'G466' THEN min_shikkan_start_date ::DATE ELSE NULL END AS shikkan566_start_date</v>
      </c>
      <c r="V584" s="25" t="str">
        <f t="shared" si="64"/>
        <v>, max(shikkan566_start_date)</v>
      </c>
      <c r="AA584" s="4"/>
      <c r="AB584" s="4"/>
      <c r="AC584" s="4"/>
      <c r="AD584" s="4"/>
      <c r="AE584" s="4"/>
      <c r="AF584" s="4"/>
      <c r="AG584" s="4"/>
      <c r="AH584" s="4"/>
      <c r="AI584" s="4"/>
      <c r="AJ584" s="76" t="str">
        <f>IF(E584="○",IF(COUNTA(E$13:E584)=1,"",",")&amp;D584,"")</f>
        <v/>
      </c>
      <c r="AK584" s="4"/>
      <c r="AL584" s="4"/>
      <c r="AM584" s="4"/>
      <c r="AN584" s="4"/>
      <c r="AO584" s="4"/>
      <c r="AP584" s="4"/>
      <c r="AQ584" s="4"/>
      <c r="AR584" s="4"/>
      <c r="AS584" s="76" t="str">
        <f>"COMMENT ON COLUMN "&amp;エンティティ一覧!$O$2&amp;"."&amp;D$8&amp;"."&amp;D584&amp;" IS '"&amp;C584&amp;"';"</f>
        <v>COMMENT ON COLUMN milscm_2023_009.sny_202310_annony_non_annony2.shikkan566_start_date IS 'G466_疾患開始日';</v>
      </c>
    </row>
    <row r="585" spans="1:45" s="25" customFormat="1">
      <c r="A585" s="4" t="s">
        <v>5658</v>
      </c>
      <c r="B585" s="21">
        <f t="shared" si="66"/>
        <v>573</v>
      </c>
      <c r="C585" s="13" t="str">
        <f t="shared" si="65"/>
        <v>G467_疾患開始日</v>
      </c>
      <c r="D585" s="13" t="s">
        <v>6227</v>
      </c>
      <c r="E585" s="8"/>
      <c r="F585" s="7" t="s">
        <v>4348</v>
      </c>
      <c r="G585" s="7" t="s">
        <v>25</v>
      </c>
      <c r="H585" s="58"/>
      <c r="I585" s="23"/>
      <c r="J585" s="24"/>
      <c r="M585" s="4"/>
      <c r="N585" s="76"/>
      <c r="O585" s="76"/>
      <c r="P585" s="76" t="str">
        <f t="shared" si="58"/>
        <v>,shikkan567_start_date</v>
      </c>
      <c r="Q585" s="76" t="str">
        <f t="shared" si="59"/>
        <v>DATE</v>
      </c>
      <c r="R585" s="76" t="str">
        <f t="shared" si="60"/>
        <v/>
      </c>
      <c r="S585" s="76" t="str">
        <f t="shared" si="61"/>
        <v/>
      </c>
      <c r="T585" s="76" t="str">
        <f t="shared" si="62"/>
        <v>-- G467_疾患開始日</v>
      </c>
      <c r="U585" s="4" t="str">
        <f t="shared" si="63"/>
        <v>, CASE WHEN shikkan_disp_name = 'G467' THEN min_shikkan_start_date ::DATE ELSE NULL END AS shikkan567_start_date</v>
      </c>
      <c r="V585" s="25" t="str">
        <f t="shared" si="64"/>
        <v>, max(shikkan567_start_date)</v>
      </c>
      <c r="AA585" s="4"/>
      <c r="AB585" s="4"/>
      <c r="AC585" s="4"/>
      <c r="AD585" s="4"/>
      <c r="AE585" s="4"/>
      <c r="AF585" s="4"/>
      <c r="AG585" s="4"/>
      <c r="AH585" s="4"/>
      <c r="AI585" s="4"/>
      <c r="AJ585" s="76" t="str">
        <f>IF(E585="○",IF(COUNTA(E$13:E585)=1,"",",")&amp;D585,"")</f>
        <v/>
      </c>
      <c r="AK585" s="4"/>
      <c r="AL585" s="4"/>
      <c r="AM585" s="4"/>
      <c r="AN585" s="4"/>
      <c r="AO585" s="4"/>
      <c r="AP585" s="4"/>
      <c r="AQ585" s="4"/>
      <c r="AR585" s="4"/>
      <c r="AS585" s="76" t="str">
        <f>"COMMENT ON COLUMN "&amp;エンティティ一覧!$O$2&amp;"."&amp;D$8&amp;"."&amp;D585&amp;" IS '"&amp;C585&amp;"';"</f>
        <v>COMMENT ON COLUMN milscm_2023_009.sny_202310_annony_non_annony2.shikkan567_start_date IS 'G467_疾患開始日';</v>
      </c>
    </row>
    <row r="586" spans="1:45" s="25" customFormat="1">
      <c r="A586" s="4" t="s">
        <v>5659</v>
      </c>
      <c r="B586" s="21">
        <f t="shared" si="66"/>
        <v>574</v>
      </c>
      <c r="C586" s="13" t="str">
        <f t="shared" si="65"/>
        <v>G468_疾患開始日</v>
      </c>
      <c r="D586" s="13" t="s">
        <v>6228</v>
      </c>
      <c r="E586" s="8"/>
      <c r="F586" s="7" t="s">
        <v>4348</v>
      </c>
      <c r="G586" s="7" t="s">
        <v>25</v>
      </c>
      <c r="H586" s="58"/>
      <c r="I586" s="23"/>
      <c r="J586" s="24"/>
      <c r="M586" s="4"/>
      <c r="N586" s="76"/>
      <c r="O586" s="76"/>
      <c r="P586" s="76" t="str">
        <f t="shared" si="58"/>
        <v>,shikkan568_start_date</v>
      </c>
      <c r="Q586" s="76" t="str">
        <f t="shared" si="59"/>
        <v>DATE</v>
      </c>
      <c r="R586" s="76" t="str">
        <f t="shared" si="60"/>
        <v/>
      </c>
      <c r="S586" s="76" t="str">
        <f t="shared" si="61"/>
        <v/>
      </c>
      <c r="T586" s="76" t="str">
        <f t="shared" si="62"/>
        <v>-- G468_疾患開始日</v>
      </c>
      <c r="U586" s="4" t="str">
        <f t="shared" si="63"/>
        <v>, CASE WHEN shikkan_disp_name = 'G468' THEN min_shikkan_start_date ::DATE ELSE NULL END AS shikkan568_start_date</v>
      </c>
      <c r="V586" s="25" t="str">
        <f t="shared" si="64"/>
        <v>, max(shikkan568_start_date)</v>
      </c>
      <c r="AA586" s="4"/>
      <c r="AB586" s="4"/>
      <c r="AC586" s="4"/>
      <c r="AD586" s="4"/>
      <c r="AE586" s="4"/>
      <c r="AF586" s="4"/>
      <c r="AG586" s="4"/>
      <c r="AH586" s="4"/>
      <c r="AI586" s="4"/>
      <c r="AJ586" s="76" t="str">
        <f>IF(E586="○",IF(COUNTA(E$13:E586)=1,"",",")&amp;D586,"")</f>
        <v/>
      </c>
      <c r="AK586" s="4"/>
      <c r="AL586" s="4"/>
      <c r="AM586" s="4"/>
      <c r="AN586" s="4"/>
      <c r="AO586" s="4"/>
      <c r="AP586" s="4"/>
      <c r="AQ586" s="4"/>
      <c r="AR586" s="4"/>
      <c r="AS586" s="76" t="str">
        <f>"COMMENT ON COLUMN "&amp;エンティティ一覧!$O$2&amp;"."&amp;D$8&amp;"."&amp;D586&amp;" IS '"&amp;C586&amp;"';"</f>
        <v>COMMENT ON COLUMN milscm_2023_009.sny_202310_annony_non_annony2.shikkan568_start_date IS 'G468_疾患開始日';</v>
      </c>
    </row>
    <row r="587" spans="1:45" s="25" customFormat="1">
      <c r="A587" s="4" t="s">
        <v>5660</v>
      </c>
      <c r="B587" s="21">
        <f t="shared" si="66"/>
        <v>575</v>
      </c>
      <c r="C587" s="13" t="str">
        <f t="shared" si="65"/>
        <v>G801_疾患開始日</v>
      </c>
      <c r="D587" s="13" t="s">
        <v>6229</v>
      </c>
      <c r="E587" s="8"/>
      <c r="F587" s="7" t="s">
        <v>4348</v>
      </c>
      <c r="G587" s="7" t="s">
        <v>25</v>
      </c>
      <c r="H587" s="58"/>
      <c r="I587" s="23"/>
      <c r="J587" s="24"/>
      <c r="M587" s="4"/>
      <c r="N587" s="76"/>
      <c r="O587" s="76"/>
      <c r="P587" s="76" t="str">
        <f t="shared" si="58"/>
        <v>,shikkan569_start_date</v>
      </c>
      <c r="Q587" s="76" t="str">
        <f t="shared" si="59"/>
        <v>DATE</v>
      </c>
      <c r="R587" s="76" t="str">
        <f t="shared" si="60"/>
        <v/>
      </c>
      <c r="S587" s="76" t="str">
        <f t="shared" si="61"/>
        <v/>
      </c>
      <c r="T587" s="76" t="str">
        <f t="shared" si="62"/>
        <v>-- G801_疾患開始日</v>
      </c>
      <c r="U587" s="4" t="str">
        <f t="shared" si="63"/>
        <v>, CASE WHEN shikkan_disp_name = 'G801' THEN min_shikkan_start_date ::DATE ELSE NULL END AS shikkan569_start_date</v>
      </c>
      <c r="V587" s="25" t="str">
        <f t="shared" si="64"/>
        <v>, max(shikkan569_start_date)</v>
      </c>
      <c r="AA587" s="4"/>
      <c r="AB587" s="4"/>
      <c r="AC587" s="4"/>
      <c r="AD587" s="4"/>
      <c r="AE587" s="4"/>
      <c r="AF587" s="4"/>
      <c r="AG587" s="4"/>
      <c r="AH587" s="4"/>
      <c r="AI587" s="4"/>
      <c r="AJ587" s="76" t="str">
        <f>IF(E587="○",IF(COUNTA(E$13:E587)=1,"",",")&amp;D587,"")</f>
        <v/>
      </c>
      <c r="AK587" s="4"/>
      <c r="AL587" s="4"/>
      <c r="AM587" s="4"/>
      <c r="AN587" s="4"/>
      <c r="AO587" s="4"/>
      <c r="AP587" s="4"/>
      <c r="AQ587" s="4"/>
      <c r="AR587" s="4"/>
      <c r="AS587" s="76" t="str">
        <f>"COMMENT ON COLUMN "&amp;エンティティ一覧!$O$2&amp;"."&amp;D$8&amp;"."&amp;D587&amp;" IS '"&amp;C587&amp;"';"</f>
        <v>COMMENT ON COLUMN milscm_2023_009.sny_202310_annony_non_annony2.shikkan569_start_date IS 'G801_疾患開始日';</v>
      </c>
    </row>
    <row r="588" spans="1:45" s="25" customFormat="1">
      <c r="A588" s="4" t="s">
        <v>5661</v>
      </c>
      <c r="B588" s="21">
        <f t="shared" si="66"/>
        <v>576</v>
      </c>
      <c r="C588" s="13" t="str">
        <f t="shared" si="65"/>
        <v>G802_疾患開始日</v>
      </c>
      <c r="D588" s="13" t="s">
        <v>6230</v>
      </c>
      <c r="E588" s="8"/>
      <c r="F588" s="7" t="s">
        <v>4348</v>
      </c>
      <c r="G588" s="7" t="s">
        <v>25</v>
      </c>
      <c r="H588" s="58"/>
      <c r="I588" s="23"/>
      <c r="J588" s="24"/>
      <c r="M588" s="4"/>
      <c r="N588" s="76"/>
      <c r="O588" s="76"/>
      <c r="P588" s="76" t="str">
        <f t="shared" si="58"/>
        <v>,shikkan570_start_date</v>
      </c>
      <c r="Q588" s="76" t="str">
        <f t="shared" si="59"/>
        <v>DATE</v>
      </c>
      <c r="R588" s="76" t="str">
        <f t="shared" si="60"/>
        <v/>
      </c>
      <c r="S588" s="76" t="str">
        <f t="shared" si="61"/>
        <v/>
      </c>
      <c r="T588" s="76" t="str">
        <f t="shared" si="62"/>
        <v>-- G802_疾患開始日</v>
      </c>
      <c r="U588" s="4" t="str">
        <f t="shared" si="63"/>
        <v>, CASE WHEN shikkan_disp_name = 'G802' THEN min_shikkan_start_date ::DATE ELSE NULL END AS shikkan570_start_date</v>
      </c>
      <c r="V588" s="25" t="str">
        <f t="shared" si="64"/>
        <v>, max(shikkan570_start_date)</v>
      </c>
      <c r="AA588" s="4"/>
      <c r="AB588" s="4"/>
      <c r="AC588" s="4"/>
      <c r="AD588" s="4"/>
      <c r="AE588" s="4"/>
      <c r="AF588" s="4"/>
      <c r="AG588" s="4"/>
      <c r="AH588" s="4"/>
      <c r="AI588" s="4"/>
      <c r="AJ588" s="76" t="str">
        <f>IF(E588="○",IF(COUNTA(E$13:E588)=1,"",",")&amp;D588,"")</f>
        <v/>
      </c>
      <c r="AK588" s="4"/>
      <c r="AL588" s="4"/>
      <c r="AM588" s="4"/>
      <c r="AN588" s="4"/>
      <c r="AO588" s="4"/>
      <c r="AP588" s="4"/>
      <c r="AQ588" s="4"/>
      <c r="AR588" s="4"/>
      <c r="AS588" s="76" t="str">
        <f>"COMMENT ON COLUMN "&amp;エンティティ一覧!$O$2&amp;"."&amp;D$8&amp;"."&amp;D588&amp;" IS '"&amp;C588&amp;"';"</f>
        <v>COMMENT ON COLUMN milscm_2023_009.sny_202310_annony_non_annony2.shikkan570_start_date IS 'G802_疾患開始日';</v>
      </c>
    </row>
    <row r="589" spans="1:45" s="25" customFormat="1">
      <c r="A589" s="4" t="s">
        <v>5662</v>
      </c>
      <c r="B589" s="21">
        <f t="shared" si="66"/>
        <v>577</v>
      </c>
      <c r="C589" s="13" t="str">
        <f t="shared" si="65"/>
        <v>G810_疾患開始日</v>
      </c>
      <c r="D589" s="13" t="s">
        <v>6231</v>
      </c>
      <c r="E589" s="8"/>
      <c r="F589" s="7" t="s">
        <v>4348</v>
      </c>
      <c r="G589" s="7" t="s">
        <v>25</v>
      </c>
      <c r="H589" s="58"/>
      <c r="I589" s="23"/>
      <c r="J589" s="24"/>
      <c r="M589" s="4"/>
      <c r="N589" s="76"/>
      <c r="O589" s="76"/>
      <c r="P589" s="76" t="str">
        <f t="shared" si="58"/>
        <v>,shikkan571_start_date</v>
      </c>
      <c r="Q589" s="76" t="str">
        <f t="shared" si="59"/>
        <v>DATE</v>
      </c>
      <c r="R589" s="76" t="str">
        <f t="shared" si="60"/>
        <v/>
      </c>
      <c r="S589" s="76" t="str">
        <f t="shared" si="61"/>
        <v/>
      </c>
      <c r="T589" s="76" t="str">
        <f t="shared" si="62"/>
        <v>-- G810_疾患開始日</v>
      </c>
      <c r="U589" s="4" t="str">
        <f t="shared" si="63"/>
        <v>, CASE WHEN shikkan_disp_name = 'G810' THEN min_shikkan_start_date ::DATE ELSE NULL END AS shikkan571_start_date</v>
      </c>
      <c r="V589" s="25" t="str">
        <f t="shared" si="64"/>
        <v>, max(shikkan571_start_date)</v>
      </c>
      <c r="AA589" s="4"/>
      <c r="AB589" s="4"/>
      <c r="AC589" s="4"/>
      <c r="AD589" s="4"/>
      <c r="AE589" s="4"/>
      <c r="AF589" s="4"/>
      <c r="AG589" s="4"/>
      <c r="AH589" s="4"/>
      <c r="AI589" s="4"/>
      <c r="AJ589" s="76" t="str">
        <f>IF(E589="○",IF(COUNTA(E$13:E589)=1,"",",")&amp;D589,"")</f>
        <v/>
      </c>
      <c r="AK589" s="4"/>
      <c r="AL589" s="4"/>
      <c r="AM589" s="4"/>
      <c r="AN589" s="4"/>
      <c r="AO589" s="4"/>
      <c r="AP589" s="4"/>
      <c r="AQ589" s="4"/>
      <c r="AR589" s="4"/>
      <c r="AS589" s="76" t="str">
        <f>"COMMENT ON COLUMN "&amp;エンティティ一覧!$O$2&amp;"."&amp;D$8&amp;"."&amp;D589&amp;" IS '"&amp;C589&amp;"';"</f>
        <v>COMMENT ON COLUMN milscm_2023_009.sny_202310_annony_non_annony2.shikkan571_start_date IS 'G810_疾患開始日';</v>
      </c>
    </row>
    <row r="590" spans="1:45" s="25" customFormat="1">
      <c r="A590" s="4" t="s">
        <v>5663</v>
      </c>
      <c r="B590" s="21">
        <f t="shared" si="66"/>
        <v>578</v>
      </c>
      <c r="C590" s="13" t="str">
        <f t="shared" si="65"/>
        <v>G811_疾患開始日</v>
      </c>
      <c r="D590" s="13" t="s">
        <v>6232</v>
      </c>
      <c r="E590" s="8"/>
      <c r="F590" s="7" t="s">
        <v>4348</v>
      </c>
      <c r="G590" s="7" t="s">
        <v>25</v>
      </c>
      <c r="H590" s="58"/>
      <c r="I590" s="23"/>
      <c r="J590" s="24"/>
      <c r="M590" s="4"/>
      <c r="N590" s="76"/>
      <c r="O590" s="76"/>
      <c r="P590" s="76" t="str">
        <f t="shared" si="58"/>
        <v>,shikkan572_start_date</v>
      </c>
      <c r="Q590" s="76" t="str">
        <f t="shared" si="59"/>
        <v>DATE</v>
      </c>
      <c r="R590" s="76" t="str">
        <f t="shared" si="60"/>
        <v/>
      </c>
      <c r="S590" s="76" t="str">
        <f t="shared" si="61"/>
        <v/>
      </c>
      <c r="T590" s="76" t="str">
        <f t="shared" si="62"/>
        <v>-- G811_疾患開始日</v>
      </c>
      <c r="U590" s="4" t="str">
        <f t="shared" si="63"/>
        <v>, CASE WHEN shikkan_disp_name = 'G811' THEN min_shikkan_start_date ::DATE ELSE NULL END AS shikkan572_start_date</v>
      </c>
      <c r="V590" s="25" t="str">
        <f t="shared" si="64"/>
        <v>, max(shikkan572_start_date)</v>
      </c>
      <c r="AA590" s="4"/>
      <c r="AB590" s="4"/>
      <c r="AC590" s="4"/>
      <c r="AD590" s="4"/>
      <c r="AE590" s="4"/>
      <c r="AF590" s="4"/>
      <c r="AG590" s="4"/>
      <c r="AH590" s="4"/>
      <c r="AI590" s="4"/>
      <c r="AJ590" s="76" t="str">
        <f>IF(E590="○",IF(COUNTA(E$13:E590)=1,"",",")&amp;D590,"")</f>
        <v/>
      </c>
      <c r="AK590" s="4"/>
      <c r="AL590" s="4"/>
      <c r="AM590" s="4"/>
      <c r="AN590" s="4"/>
      <c r="AO590" s="4"/>
      <c r="AP590" s="4"/>
      <c r="AQ590" s="4"/>
      <c r="AR590" s="4"/>
      <c r="AS590" s="76" t="str">
        <f>"COMMENT ON COLUMN "&amp;エンティティ一覧!$O$2&amp;"."&amp;D$8&amp;"."&amp;D590&amp;" IS '"&amp;C590&amp;"';"</f>
        <v>COMMENT ON COLUMN milscm_2023_009.sny_202310_annony_non_annony2.shikkan572_start_date IS 'G811_疾患開始日';</v>
      </c>
    </row>
    <row r="591" spans="1:45" s="25" customFormat="1">
      <c r="A591" s="4" t="s">
        <v>5664</v>
      </c>
      <c r="B591" s="21">
        <f t="shared" si="66"/>
        <v>579</v>
      </c>
      <c r="C591" s="13" t="str">
        <f t="shared" si="65"/>
        <v>G819_疾患開始日</v>
      </c>
      <c r="D591" s="13" t="s">
        <v>6233</v>
      </c>
      <c r="E591" s="8"/>
      <c r="F591" s="7" t="s">
        <v>4348</v>
      </c>
      <c r="G591" s="7" t="s">
        <v>25</v>
      </c>
      <c r="H591" s="58"/>
      <c r="I591" s="23"/>
      <c r="J591" s="24"/>
      <c r="M591" s="4"/>
      <c r="N591" s="76"/>
      <c r="O591" s="76"/>
      <c r="P591" s="76" t="str">
        <f t="shared" si="58"/>
        <v>,shikkan573_start_date</v>
      </c>
      <c r="Q591" s="76" t="str">
        <f t="shared" si="59"/>
        <v>DATE</v>
      </c>
      <c r="R591" s="76" t="str">
        <f t="shared" si="60"/>
        <v/>
      </c>
      <c r="S591" s="76" t="str">
        <f t="shared" si="61"/>
        <v/>
      </c>
      <c r="T591" s="76" t="str">
        <f t="shared" si="62"/>
        <v>-- G819_疾患開始日</v>
      </c>
      <c r="U591" s="4" t="str">
        <f t="shared" si="63"/>
        <v>, CASE WHEN shikkan_disp_name = 'G819' THEN min_shikkan_start_date ::DATE ELSE NULL END AS shikkan573_start_date</v>
      </c>
      <c r="V591" s="25" t="str">
        <f t="shared" si="64"/>
        <v>, max(shikkan573_start_date)</v>
      </c>
      <c r="AA591" s="4"/>
      <c r="AB591" s="4"/>
      <c r="AC591" s="4"/>
      <c r="AD591" s="4"/>
      <c r="AE591" s="4"/>
      <c r="AF591" s="4"/>
      <c r="AG591" s="4"/>
      <c r="AH591" s="4"/>
      <c r="AI591" s="4"/>
      <c r="AJ591" s="76" t="str">
        <f>IF(E591="○",IF(COUNTA(E$13:E591)=1,"",",")&amp;D591,"")</f>
        <v/>
      </c>
      <c r="AK591" s="4"/>
      <c r="AL591" s="4"/>
      <c r="AM591" s="4"/>
      <c r="AN591" s="4"/>
      <c r="AO591" s="4"/>
      <c r="AP591" s="4"/>
      <c r="AQ591" s="4"/>
      <c r="AR591" s="4"/>
      <c r="AS591" s="76" t="str">
        <f>"COMMENT ON COLUMN "&amp;エンティティ一覧!$O$2&amp;"."&amp;D$8&amp;"."&amp;D591&amp;" IS '"&amp;C591&amp;"';"</f>
        <v>COMMENT ON COLUMN milscm_2023_009.sny_202310_annony_non_annony2.shikkan573_start_date IS 'G819_疾患開始日';</v>
      </c>
    </row>
    <row r="592" spans="1:45" s="25" customFormat="1">
      <c r="A592" s="4" t="s">
        <v>5665</v>
      </c>
      <c r="B592" s="21">
        <f t="shared" si="66"/>
        <v>580</v>
      </c>
      <c r="C592" s="13" t="str">
        <f t="shared" si="65"/>
        <v>G820_疾患開始日</v>
      </c>
      <c r="D592" s="13" t="s">
        <v>6234</v>
      </c>
      <c r="E592" s="8"/>
      <c r="F592" s="7" t="s">
        <v>4348</v>
      </c>
      <c r="G592" s="7" t="s">
        <v>25</v>
      </c>
      <c r="H592" s="58"/>
      <c r="I592" s="23"/>
      <c r="J592" s="24"/>
      <c r="M592" s="4"/>
      <c r="N592" s="76"/>
      <c r="O592" s="76"/>
      <c r="P592" s="76" t="str">
        <f t="shared" si="58"/>
        <v>,shikkan574_start_date</v>
      </c>
      <c r="Q592" s="76" t="str">
        <f t="shared" si="59"/>
        <v>DATE</v>
      </c>
      <c r="R592" s="76" t="str">
        <f t="shared" si="60"/>
        <v/>
      </c>
      <c r="S592" s="76" t="str">
        <f t="shared" si="61"/>
        <v/>
      </c>
      <c r="T592" s="76" t="str">
        <f t="shared" si="62"/>
        <v>-- G820_疾患開始日</v>
      </c>
      <c r="U592" s="4" t="str">
        <f t="shared" si="63"/>
        <v>, CASE WHEN shikkan_disp_name = 'G820' THEN min_shikkan_start_date ::DATE ELSE NULL END AS shikkan574_start_date</v>
      </c>
      <c r="V592" s="25" t="str">
        <f t="shared" si="64"/>
        <v>, max(shikkan574_start_date)</v>
      </c>
      <c r="AA592" s="4"/>
      <c r="AB592" s="4"/>
      <c r="AC592" s="4"/>
      <c r="AD592" s="4"/>
      <c r="AE592" s="4"/>
      <c r="AF592" s="4"/>
      <c r="AG592" s="4"/>
      <c r="AH592" s="4"/>
      <c r="AI592" s="4"/>
      <c r="AJ592" s="76" t="str">
        <f>IF(E592="○",IF(COUNTA(E$13:E592)=1,"",",")&amp;D592,"")</f>
        <v/>
      </c>
      <c r="AK592" s="4"/>
      <c r="AL592" s="4"/>
      <c r="AM592" s="4"/>
      <c r="AN592" s="4"/>
      <c r="AO592" s="4"/>
      <c r="AP592" s="4"/>
      <c r="AQ592" s="4"/>
      <c r="AR592" s="4"/>
      <c r="AS592" s="76" t="str">
        <f>"COMMENT ON COLUMN "&amp;エンティティ一覧!$O$2&amp;"."&amp;D$8&amp;"."&amp;D592&amp;" IS '"&amp;C592&amp;"';"</f>
        <v>COMMENT ON COLUMN milscm_2023_009.sny_202310_annony_non_annony2.shikkan574_start_date IS 'G820_疾患開始日';</v>
      </c>
    </row>
    <row r="593" spans="1:45" s="25" customFormat="1">
      <c r="A593" s="4" t="s">
        <v>5666</v>
      </c>
      <c r="B593" s="21">
        <f t="shared" si="66"/>
        <v>581</v>
      </c>
      <c r="C593" s="13" t="str">
        <f t="shared" si="65"/>
        <v>G821_疾患開始日</v>
      </c>
      <c r="D593" s="13" t="s">
        <v>6235</v>
      </c>
      <c r="E593" s="8"/>
      <c r="F593" s="7" t="s">
        <v>4348</v>
      </c>
      <c r="G593" s="7" t="s">
        <v>25</v>
      </c>
      <c r="H593" s="58"/>
      <c r="I593" s="23"/>
      <c r="J593" s="24"/>
      <c r="M593" s="4"/>
      <c r="N593" s="76"/>
      <c r="O593" s="76"/>
      <c r="P593" s="76" t="str">
        <f t="shared" si="58"/>
        <v>,shikkan575_start_date</v>
      </c>
      <c r="Q593" s="76" t="str">
        <f t="shared" si="59"/>
        <v>DATE</v>
      </c>
      <c r="R593" s="76" t="str">
        <f t="shared" si="60"/>
        <v/>
      </c>
      <c r="S593" s="76" t="str">
        <f t="shared" si="61"/>
        <v/>
      </c>
      <c r="T593" s="76" t="str">
        <f t="shared" si="62"/>
        <v>-- G821_疾患開始日</v>
      </c>
      <c r="U593" s="4" t="str">
        <f t="shared" si="63"/>
        <v>, CASE WHEN shikkan_disp_name = 'G821' THEN min_shikkan_start_date ::DATE ELSE NULL END AS shikkan575_start_date</v>
      </c>
      <c r="V593" s="25" t="str">
        <f t="shared" si="64"/>
        <v>, max(shikkan575_start_date)</v>
      </c>
      <c r="AA593" s="4"/>
      <c r="AB593" s="4"/>
      <c r="AC593" s="4"/>
      <c r="AD593" s="4"/>
      <c r="AE593" s="4"/>
      <c r="AF593" s="4"/>
      <c r="AG593" s="4"/>
      <c r="AH593" s="4"/>
      <c r="AI593" s="4"/>
      <c r="AJ593" s="76" t="str">
        <f>IF(E593="○",IF(COUNTA(E$13:E593)=1,"",",")&amp;D593,"")</f>
        <v/>
      </c>
      <c r="AK593" s="4"/>
      <c r="AL593" s="4"/>
      <c r="AM593" s="4"/>
      <c r="AN593" s="4"/>
      <c r="AO593" s="4"/>
      <c r="AP593" s="4"/>
      <c r="AQ593" s="4"/>
      <c r="AR593" s="4"/>
      <c r="AS593" s="76" t="str">
        <f>"COMMENT ON COLUMN "&amp;エンティティ一覧!$O$2&amp;"."&amp;D$8&amp;"."&amp;D593&amp;" IS '"&amp;C593&amp;"';"</f>
        <v>COMMENT ON COLUMN milscm_2023_009.sny_202310_annony_non_annony2.shikkan575_start_date IS 'G821_疾患開始日';</v>
      </c>
    </row>
    <row r="594" spans="1:45" s="25" customFormat="1">
      <c r="A594" s="4" t="s">
        <v>5667</v>
      </c>
      <c r="B594" s="21">
        <f t="shared" si="66"/>
        <v>582</v>
      </c>
      <c r="C594" s="13" t="str">
        <f t="shared" si="65"/>
        <v>G822_疾患開始日</v>
      </c>
      <c r="D594" s="13" t="s">
        <v>6236</v>
      </c>
      <c r="E594" s="8"/>
      <c r="F594" s="7" t="s">
        <v>4348</v>
      </c>
      <c r="G594" s="7" t="s">
        <v>25</v>
      </c>
      <c r="H594" s="58"/>
      <c r="I594" s="23"/>
      <c r="J594" s="24"/>
      <c r="M594" s="4"/>
      <c r="N594" s="76"/>
      <c r="O594" s="76"/>
      <c r="P594" s="76" t="str">
        <f t="shared" ref="P594:P657" si="67">IF(B594&lt;&gt;1,","&amp;D594,D594)</f>
        <v>,shikkan576_start_date</v>
      </c>
      <c r="Q594" s="76" t="str">
        <f t="shared" ref="Q594:Q657" si="68">UPPER(G594)</f>
        <v>DATE</v>
      </c>
      <c r="R594" s="76" t="str">
        <f t="shared" ref="R594:R657" si="69">IF(H594&lt;&gt;"","default "&amp;IF(G594="text","'"&amp;H594&amp;"'",H594),"")</f>
        <v/>
      </c>
      <c r="S594" s="76" t="str">
        <f t="shared" ref="S594:S657" si="70">IF(I594="○","NOT NULL","")</f>
        <v/>
      </c>
      <c r="T594" s="76" t="str">
        <f t="shared" ref="T594:T657" si="71">"-- "&amp;C594</f>
        <v>-- G822_疾患開始日</v>
      </c>
      <c r="U594" s="4" t="str">
        <f t="shared" si="63"/>
        <v>, CASE WHEN shikkan_disp_name = 'G822' THEN min_shikkan_start_date ::DATE ELSE NULL END AS shikkan576_start_date</v>
      </c>
      <c r="V594" s="25" t="str">
        <f t="shared" si="64"/>
        <v>, max(shikkan576_start_date)</v>
      </c>
      <c r="AA594" s="4"/>
      <c r="AB594" s="4"/>
      <c r="AC594" s="4"/>
      <c r="AD594" s="4"/>
      <c r="AE594" s="4"/>
      <c r="AF594" s="4"/>
      <c r="AG594" s="4"/>
      <c r="AH594" s="4"/>
      <c r="AI594" s="4"/>
      <c r="AJ594" s="76" t="str">
        <f>IF(E594="○",IF(COUNTA(E$13:E594)=1,"",",")&amp;D594,"")</f>
        <v/>
      </c>
      <c r="AK594" s="4"/>
      <c r="AL594" s="4"/>
      <c r="AM594" s="4"/>
      <c r="AN594" s="4"/>
      <c r="AO594" s="4"/>
      <c r="AP594" s="4"/>
      <c r="AQ594" s="4"/>
      <c r="AR594" s="4"/>
      <c r="AS594" s="76" t="str">
        <f>"COMMENT ON COLUMN "&amp;エンティティ一覧!$O$2&amp;"."&amp;D$8&amp;"."&amp;D594&amp;" IS '"&amp;C594&amp;"';"</f>
        <v>COMMENT ON COLUMN milscm_2023_009.sny_202310_annony_non_annony2.shikkan576_start_date IS 'G822_疾患開始日';</v>
      </c>
    </row>
    <row r="595" spans="1:45" s="25" customFormat="1">
      <c r="A595" s="4" t="s">
        <v>5668</v>
      </c>
      <c r="B595" s="21">
        <f t="shared" si="66"/>
        <v>583</v>
      </c>
      <c r="C595" s="13" t="str">
        <f t="shared" si="65"/>
        <v>G823_疾患開始日</v>
      </c>
      <c r="D595" s="13" t="s">
        <v>6237</v>
      </c>
      <c r="E595" s="8"/>
      <c r="F595" s="7" t="s">
        <v>4348</v>
      </c>
      <c r="G595" s="7" t="s">
        <v>25</v>
      </c>
      <c r="H595" s="58"/>
      <c r="I595" s="23"/>
      <c r="J595" s="24"/>
      <c r="M595" s="4"/>
      <c r="N595" s="76"/>
      <c r="O595" s="76"/>
      <c r="P595" s="76" t="str">
        <f t="shared" si="67"/>
        <v>,shikkan577_start_date</v>
      </c>
      <c r="Q595" s="76" t="str">
        <f t="shared" si="68"/>
        <v>DATE</v>
      </c>
      <c r="R595" s="76" t="str">
        <f t="shared" si="69"/>
        <v/>
      </c>
      <c r="S595" s="76" t="str">
        <f t="shared" si="70"/>
        <v/>
      </c>
      <c r="T595" s="76" t="str">
        <f t="shared" si="71"/>
        <v>-- G823_疾患開始日</v>
      </c>
      <c r="U595" s="4" t="str">
        <f t="shared" ref="U595:U849" si="72">", CASE WHEN shikkan_disp_name = '"&amp;A595&amp;"' THEN min_shikkan_start_date ::DATE ELSE NULL END AS "&amp;D595</f>
        <v>, CASE WHEN shikkan_disp_name = 'G823' THEN min_shikkan_start_date ::DATE ELSE NULL END AS shikkan577_start_date</v>
      </c>
      <c r="V595" s="25" t="str">
        <f t="shared" ref="V595:V849" si="73">", max("&amp;D595&amp;")"</f>
        <v>, max(shikkan577_start_date)</v>
      </c>
      <c r="AA595" s="4"/>
      <c r="AB595" s="4"/>
      <c r="AC595" s="4"/>
      <c r="AD595" s="4"/>
      <c r="AE595" s="4"/>
      <c r="AF595" s="4"/>
      <c r="AG595" s="4"/>
      <c r="AH595" s="4"/>
      <c r="AI595" s="4"/>
      <c r="AJ595" s="76" t="str">
        <f>IF(E595="○",IF(COUNTA(E$13:E595)=1,"",",")&amp;D595,"")</f>
        <v/>
      </c>
      <c r="AK595" s="4"/>
      <c r="AL595" s="4"/>
      <c r="AM595" s="4"/>
      <c r="AN595" s="4"/>
      <c r="AO595" s="4"/>
      <c r="AP595" s="4"/>
      <c r="AQ595" s="4"/>
      <c r="AR595" s="4"/>
      <c r="AS595" s="76" t="str">
        <f>"COMMENT ON COLUMN "&amp;エンティティ一覧!$O$2&amp;"."&amp;D$8&amp;"."&amp;D595&amp;" IS '"&amp;C595&amp;"';"</f>
        <v>COMMENT ON COLUMN milscm_2023_009.sny_202310_annony_non_annony2.shikkan577_start_date IS 'G823_疾患開始日';</v>
      </c>
    </row>
    <row r="596" spans="1:45" s="25" customFormat="1">
      <c r="A596" s="4" t="s">
        <v>5669</v>
      </c>
      <c r="B596" s="21">
        <f t="shared" si="66"/>
        <v>584</v>
      </c>
      <c r="C596" s="13" t="str">
        <f t="shared" ref="C596:C659" si="74">A596&amp;"_疾患開始日"</f>
        <v>G824_疾患開始日</v>
      </c>
      <c r="D596" s="13" t="s">
        <v>6238</v>
      </c>
      <c r="E596" s="8"/>
      <c r="F596" s="7" t="s">
        <v>4348</v>
      </c>
      <c r="G596" s="7" t="s">
        <v>25</v>
      </c>
      <c r="H596" s="58"/>
      <c r="I596" s="23"/>
      <c r="J596" s="24"/>
      <c r="M596" s="4"/>
      <c r="N596" s="76"/>
      <c r="O596" s="76"/>
      <c r="P596" s="76" t="str">
        <f t="shared" si="67"/>
        <v>,shikkan578_start_date</v>
      </c>
      <c r="Q596" s="76" t="str">
        <f t="shared" si="68"/>
        <v>DATE</v>
      </c>
      <c r="R596" s="76" t="str">
        <f t="shared" si="69"/>
        <v/>
      </c>
      <c r="S596" s="76" t="str">
        <f t="shared" si="70"/>
        <v/>
      </c>
      <c r="T596" s="76" t="str">
        <f t="shared" si="71"/>
        <v>-- G824_疾患開始日</v>
      </c>
      <c r="U596" s="4" t="str">
        <f t="shared" si="72"/>
        <v>, CASE WHEN shikkan_disp_name = 'G824' THEN min_shikkan_start_date ::DATE ELSE NULL END AS shikkan578_start_date</v>
      </c>
      <c r="V596" s="25" t="str">
        <f t="shared" si="73"/>
        <v>, max(shikkan578_start_date)</v>
      </c>
      <c r="AA596" s="4"/>
      <c r="AB596" s="4"/>
      <c r="AC596" s="4"/>
      <c r="AD596" s="4"/>
      <c r="AE596" s="4"/>
      <c r="AF596" s="4"/>
      <c r="AG596" s="4"/>
      <c r="AH596" s="4"/>
      <c r="AI596" s="4"/>
      <c r="AJ596" s="76" t="str">
        <f>IF(E596="○",IF(COUNTA(E$13:E596)=1,"",",")&amp;D596,"")</f>
        <v/>
      </c>
      <c r="AK596" s="4"/>
      <c r="AL596" s="4"/>
      <c r="AM596" s="4"/>
      <c r="AN596" s="4"/>
      <c r="AO596" s="4"/>
      <c r="AP596" s="4"/>
      <c r="AQ596" s="4"/>
      <c r="AR596" s="4"/>
      <c r="AS596" s="76" t="str">
        <f>"COMMENT ON COLUMN "&amp;エンティティ一覧!$O$2&amp;"."&amp;D$8&amp;"."&amp;D596&amp;" IS '"&amp;C596&amp;"';"</f>
        <v>COMMENT ON COLUMN milscm_2023_009.sny_202310_annony_non_annony2.shikkan578_start_date IS 'G824_疾患開始日';</v>
      </c>
    </row>
    <row r="597" spans="1:45" s="25" customFormat="1">
      <c r="A597" s="4" t="s">
        <v>5670</v>
      </c>
      <c r="B597" s="21">
        <f t="shared" ref="B597:B660" si="75">ROW()-12</f>
        <v>585</v>
      </c>
      <c r="C597" s="13" t="str">
        <f t="shared" si="74"/>
        <v>G825_疾患開始日</v>
      </c>
      <c r="D597" s="13" t="s">
        <v>6239</v>
      </c>
      <c r="E597" s="8"/>
      <c r="F597" s="7" t="s">
        <v>4348</v>
      </c>
      <c r="G597" s="7" t="s">
        <v>25</v>
      </c>
      <c r="H597" s="58"/>
      <c r="I597" s="23"/>
      <c r="J597" s="24"/>
      <c r="M597" s="4"/>
      <c r="N597" s="76"/>
      <c r="O597" s="76"/>
      <c r="P597" s="76" t="str">
        <f t="shared" si="67"/>
        <v>,shikkan579_start_date</v>
      </c>
      <c r="Q597" s="76" t="str">
        <f t="shared" si="68"/>
        <v>DATE</v>
      </c>
      <c r="R597" s="76" t="str">
        <f t="shared" si="69"/>
        <v/>
      </c>
      <c r="S597" s="76" t="str">
        <f t="shared" si="70"/>
        <v/>
      </c>
      <c r="T597" s="76" t="str">
        <f t="shared" si="71"/>
        <v>-- G825_疾患開始日</v>
      </c>
      <c r="U597" s="4" t="str">
        <f t="shared" si="72"/>
        <v>, CASE WHEN shikkan_disp_name = 'G825' THEN min_shikkan_start_date ::DATE ELSE NULL END AS shikkan579_start_date</v>
      </c>
      <c r="V597" s="25" t="str">
        <f t="shared" si="73"/>
        <v>, max(shikkan579_start_date)</v>
      </c>
      <c r="AA597" s="4"/>
      <c r="AB597" s="4"/>
      <c r="AC597" s="4"/>
      <c r="AD597" s="4"/>
      <c r="AE597" s="4"/>
      <c r="AF597" s="4"/>
      <c r="AG597" s="4"/>
      <c r="AH597" s="4"/>
      <c r="AI597" s="4"/>
      <c r="AJ597" s="76" t="str">
        <f>IF(E597="○",IF(COUNTA(E$13:E597)=1,"",",")&amp;D597,"")</f>
        <v/>
      </c>
      <c r="AK597" s="4"/>
      <c r="AL597" s="4"/>
      <c r="AM597" s="4"/>
      <c r="AN597" s="4"/>
      <c r="AO597" s="4"/>
      <c r="AP597" s="4"/>
      <c r="AQ597" s="4"/>
      <c r="AR597" s="4"/>
      <c r="AS597" s="76" t="str">
        <f>"COMMENT ON COLUMN "&amp;エンティティ一覧!$O$2&amp;"."&amp;D$8&amp;"."&amp;D597&amp;" IS '"&amp;C597&amp;"';"</f>
        <v>COMMENT ON COLUMN milscm_2023_009.sny_202310_annony_non_annony2.shikkan579_start_date IS 'G825_疾患開始日';</v>
      </c>
    </row>
    <row r="598" spans="1:45" s="25" customFormat="1">
      <c r="A598" s="4" t="s">
        <v>5671</v>
      </c>
      <c r="B598" s="21">
        <f t="shared" si="75"/>
        <v>586</v>
      </c>
      <c r="C598" s="13" t="str">
        <f t="shared" si="74"/>
        <v>G830_疾患開始日</v>
      </c>
      <c r="D598" s="13" t="s">
        <v>6240</v>
      </c>
      <c r="E598" s="8"/>
      <c r="F598" s="7" t="s">
        <v>4348</v>
      </c>
      <c r="G598" s="7" t="s">
        <v>25</v>
      </c>
      <c r="H598" s="58"/>
      <c r="I598" s="23"/>
      <c r="J598" s="24"/>
      <c r="M598" s="4"/>
      <c r="N598" s="76"/>
      <c r="O598" s="76"/>
      <c r="P598" s="76" t="str">
        <f t="shared" si="67"/>
        <v>,shikkan580_start_date</v>
      </c>
      <c r="Q598" s="76" t="str">
        <f t="shared" si="68"/>
        <v>DATE</v>
      </c>
      <c r="R598" s="76" t="str">
        <f t="shared" si="69"/>
        <v/>
      </c>
      <c r="S598" s="76" t="str">
        <f t="shared" si="70"/>
        <v/>
      </c>
      <c r="T598" s="76" t="str">
        <f t="shared" si="71"/>
        <v>-- G830_疾患開始日</v>
      </c>
      <c r="U598" s="4" t="str">
        <f t="shared" si="72"/>
        <v>, CASE WHEN shikkan_disp_name = 'G830' THEN min_shikkan_start_date ::DATE ELSE NULL END AS shikkan580_start_date</v>
      </c>
      <c r="V598" s="25" t="str">
        <f t="shared" si="73"/>
        <v>, max(shikkan580_start_date)</v>
      </c>
      <c r="AA598" s="4"/>
      <c r="AB598" s="4"/>
      <c r="AC598" s="4"/>
      <c r="AD598" s="4"/>
      <c r="AE598" s="4"/>
      <c r="AF598" s="4"/>
      <c r="AG598" s="4"/>
      <c r="AH598" s="4"/>
      <c r="AI598" s="4"/>
      <c r="AJ598" s="76" t="str">
        <f>IF(E598="○",IF(COUNTA(E$13:E598)=1,"",",")&amp;D598,"")</f>
        <v/>
      </c>
      <c r="AK598" s="4"/>
      <c r="AL598" s="4"/>
      <c r="AM598" s="4"/>
      <c r="AN598" s="4"/>
      <c r="AO598" s="4"/>
      <c r="AP598" s="4"/>
      <c r="AQ598" s="4"/>
      <c r="AR598" s="4"/>
      <c r="AS598" s="76" t="str">
        <f>"COMMENT ON COLUMN "&amp;エンティティ一覧!$O$2&amp;"."&amp;D$8&amp;"."&amp;D598&amp;" IS '"&amp;C598&amp;"';"</f>
        <v>COMMENT ON COLUMN milscm_2023_009.sny_202310_annony_non_annony2.shikkan580_start_date IS 'G830_疾患開始日';</v>
      </c>
    </row>
    <row r="599" spans="1:45" s="25" customFormat="1">
      <c r="A599" s="4" t="s">
        <v>5672</v>
      </c>
      <c r="B599" s="21">
        <f t="shared" si="75"/>
        <v>587</v>
      </c>
      <c r="C599" s="13" t="str">
        <f t="shared" si="74"/>
        <v>G831_疾患開始日</v>
      </c>
      <c r="D599" s="13" t="s">
        <v>6241</v>
      </c>
      <c r="E599" s="8"/>
      <c r="F599" s="7" t="s">
        <v>4348</v>
      </c>
      <c r="G599" s="7" t="s">
        <v>25</v>
      </c>
      <c r="H599" s="58"/>
      <c r="I599" s="23"/>
      <c r="J599" s="24"/>
      <c r="M599" s="4"/>
      <c r="N599" s="76"/>
      <c r="O599" s="76"/>
      <c r="P599" s="76" t="str">
        <f t="shared" si="67"/>
        <v>,shikkan581_start_date</v>
      </c>
      <c r="Q599" s="76" t="str">
        <f t="shared" si="68"/>
        <v>DATE</v>
      </c>
      <c r="R599" s="76" t="str">
        <f t="shared" si="69"/>
        <v/>
      </c>
      <c r="S599" s="76" t="str">
        <f t="shared" si="70"/>
        <v/>
      </c>
      <c r="T599" s="76" t="str">
        <f t="shared" si="71"/>
        <v>-- G831_疾患開始日</v>
      </c>
      <c r="U599" s="4" t="str">
        <f t="shared" si="72"/>
        <v>, CASE WHEN shikkan_disp_name = 'G831' THEN min_shikkan_start_date ::DATE ELSE NULL END AS shikkan581_start_date</v>
      </c>
      <c r="V599" s="25" t="str">
        <f t="shared" si="73"/>
        <v>, max(shikkan581_start_date)</v>
      </c>
      <c r="AA599" s="4"/>
      <c r="AB599" s="4"/>
      <c r="AC599" s="4"/>
      <c r="AD599" s="4"/>
      <c r="AE599" s="4"/>
      <c r="AF599" s="4"/>
      <c r="AG599" s="4"/>
      <c r="AH599" s="4"/>
      <c r="AI599" s="4"/>
      <c r="AJ599" s="76" t="str">
        <f>IF(E599="○",IF(COUNTA(E$13:E599)=1,"",",")&amp;D599,"")</f>
        <v/>
      </c>
      <c r="AK599" s="4"/>
      <c r="AL599" s="4"/>
      <c r="AM599" s="4"/>
      <c r="AN599" s="4"/>
      <c r="AO599" s="4"/>
      <c r="AP599" s="4"/>
      <c r="AQ599" s="4"/>
      <c r="AR599" s="4"/>
      <c r="AS599" s="76" t="str">
        <f>"COMMENT ON COLUMN "&amp;エンティティ一覧!$O$2&amp;"."&amp;D$8&amp;"."&amp;D599&amp;" IS '"&amp;C599&amp;"';"</f>
        <v>COMMENT ON COLUMN milscm_2023_009.sny_202310_annony_non_annony2.shikkan581_start_date IS 'G831_疾患開始日';</v>
      </c>
    </row>
    <row r="600" spans="1:45" s="25" customFormat="1">
      <c r="A600" s="4" t="s">
        <v>5673</v>
      </c>
      <c r="B600" s="21">
        <f t="shared" si="75"/>
        <v>588</v>
      </c>
      <c r="C600" s="13" t="str">
        <f t="shared" si="74"/>
        <v>G832_疾患開始日</v>
      </c>
      <c r="D600" s="13" t="s">
        <v>6242</v>
      </c>
      <c r="E600" s="8"/>
      <c r="F600" s="7" t="s">
        <v>4348</v>
      </c>
      <c r="G600" s="7" t="s">
        <v>25</v>
      </c>
      <c r="H600" s="58"/>
      <c r="I600" s="23"/>
      <c r="J600" s="24"/>
      <c r="M600" s="4"/>
      <c r="N600" s="76"/>
      <c r="O600" s="76"/>
      <c r="P600" s="76" t="str">
        <f t="shared" si="67"/>
        <v>,shikkan582_start_date</v>
      </c>
      <c r="Q600" s="76" t="str">
        <f t="shared" si="68"/>
        <v>DATE</v>
      </c>
      <c r="R600" s="76" t="str">
        <f t="shared" si="69"/>
        <v/>
      </c>
      <c r="S600" s="76" t="str">
        <f t="shared" si="70"/>
        <v/>
      </c>
      <c r="T600" s="76" t="str">
        <f t="shared" si="71"/>
        <v>-- G832_疾患開始日</v>
      </c>
      <c r="U600" s="4" t="str">
        <f t="shared" si="72"/>
        <v>, CASE WHEN shikkan_disp_name = 'G832' THEN min_shikkan_start_date ::DATE ELSE NULL END AS shikkan582_start_date</v>
      </c>
      <c r="V600" s="25" t="str">
        <f t="shared" si="73"/>
        <v>, max(shikkan582_start_date)</v>
      </c>
      <c r="AA600" s="4"/>
      <c r="AB600" s="4"/>
      <c r="AC600" s="4"/>
      <c r="AD600" s="4"/>
      <c r="AE600" s="4"/>
      <c r="AF600" s="4"/>
      <c r="AG600" s="4"/>
      <c r="AH600" s="4"/>
      <c r="AI600" s="4"/>
      <c r="AJ600" s="76" t="str">
        <f>IF(E600="○",IF(COUNTA(E$13:E600)=1,"",",")&amp;D600,"")</f>
        <v/>
      </c>
      <c r="AK600" s="4"/>
      <c r="AL600" s="4"/>
      <c r="AM600" s="4"/>
      <c r="AN600" s="4"/>
      <c r="AO600" s="4"/>
      <c r="AP600" s="4"/>
      <c r="AQ600" s="4"/>
      <c r="AR600" s="4"/>
      <c r="AS600" s="76" t="str">
        <f>"COMMENT ON COLUMN "&amp;エンティティ一覧!$O$2&amp;"."&amp;D$8&amp;"."&amp;D600&amp;" IS '"&amp;C600&amp;"';"</f>
        <v>COMMENT ON COLUMN milscm_2023_009.sny_202310_annony_non_annony2.shikkan582_start_date IS 'G832_疾患開始日';</v>
      </c>
    </row>
    <row r="601" spans="1:45" s="25" customFormat="1">
      <c r="A601" s="4" t="s">
        <v>5674</v>
      </c>
      <c r="B601" s="21">
        <f t="shared" si="75"/>
        <v>589</v>
      </c>
      <c r="C601" s="13" t="str">
        <f t="shared" si="74"/>
        <v>G833_疾患開始日</v>
      </c>
      <c r="D601" s="13" t="s">
        <v>6243</v>
      </c>
      <c r="E601" s="8"/>
      <c r="F601" s="7" t="s">
        <v>4348</v>
      </c>
      <c r="G601" s="7" t="s">
        <v>25</v>
      </c>
      <c r="H601" s="58"/>
      <c r="I601" s="23"/>
      <c r="J601" s="24"/>
      <c r="M601" s="4"/>
      <c r="N601" s="76"/>
      <c r="O601" s="76"/>
      <c r="P601" s="76" t="str">
        <f t="shared" si="67"/>
        <v>,shikkan583_start_date</v>
      </c>
      <c r="Q601" s="76" t="str">
        <f t="shared" si="68"/>
        <v>DATE</v>
      </c>
      <c r="R601" s="76" t="str">
        <f t="shared" si="69"/>
        <v/>
      </c>
      <c r="S601" s="76" t="str">
        <f t="shared" si="70"/>
        <v/>
      </c>
      <c r="T601" s="76" t="str">
        <f t="shared" si="71"/>
        <v>-- G833_疾患開始日</v>
      </c>
      <c r="U601" s="4" t="str">
        <f t="shared" si="72"/>
        <v>, CASE WHEN shikkan_disp_name = 'G833' THEN min_shikkan_start_date ::DATE ELSE NULL END AS shikkan583_start_date</v>
      </c>
      <c r="V601" s="25" t="str">
        <f t="shared" si="73"/>
        <v>, max(shikkan583_start_date)</v>
      </c>
      <c r="AA601" s="4"/>
      <c r="AB601" s="4"/>
      <c r="AC601" s="4"/>
      <c r="AD601" s="4"/>
      <c r="AE601" s="4"/>
      <c r="AF601" s="4"/>
      <c r="AG601" s="4"/>
      <c r="AH601" s="4"/>
      <c r="AI601" s="4"/>
      <c r="AJ601" s="76" t="str">
        <f>IF(E601="○",IF(COUNTA(E$13:E601)=1,"",",")&amp;D601,"")</f>
        <v/>
      </c>
      <c r="AK601" s="4"/>
      <c r="AL601" s="4"/>
      <c r="AM601" s="4"/>
      <c r="AN601" s="4"/>
      <c r="AO601" s="4"/>
      <c r="AP601" s="4"/>
      <c r="AQ601" s="4"/>
      <c r="AR601" s="4"/>
      <c r="AS601" s="76" t="str">
        <f>"COMMENT ON COLUMN "&amp;エンティティ一覧!$O$2&amp;"."&amp;D$8&amp;"."&amp;D601&amp;" IS '"&amp;C601&amp;"';"</f>
        <v>COMMENT ON COLUMN milscm_2023_009.sny_202310_annony_non_annony2.shikkan583_start_date IS 'G833_疾患開始日';</v>
      </c>
    </row>
    <row r="602" spans="1:45" s="25" customFormat="1">
      <c r="A602" s="4" t="s">
        <v>5675</v>
      </c>
      <c r="B602" s="21">
        <f t="shared" si="75"/>
        <v>590</v>
      </c>
      <c r="C602" s="13" t="str">
        <f t="shared" si="74"/>
        <v>G834_疾患開始日</v>
      </c>
      <c r="D602" s="13" t="s">
        <v>6244</v>
      </c>
      <c r="E602" s="8"/>
      <c r="F602" s="7" t="s">
        <v>4348</v>
      </c>
      <c r="G602" s="7" t="s">
        <v>25</v>
      </c>
      <c r="H602" s="58"/>
      <c r="I602" s="23"/>
      <c r="J602" s="24"/>
      <c r="M602" s="4"/>
      <c r="N602" s="76"/>
      <c r="O602" s="76"/>
      <c r="P602" s="76" t="str">
        <f t="shared" si="67"/>
        <v>,shikkan584_start_date</v>
      </c>
      <c r="Q602" s="76" t="str">
        <f t="shared" si="68"/>
        <v>DATE</v>
      </c>
      <c r="R602" s="76" t="str">
        <f t="shared" si="69"/>
        <v/>
      </c>
      <c r="S602" s="76" t="str">
        <f t="shared" si="70"/>
        <v/>
      </c>
      <c r="T602" s="76" t="str">
        <f t="shared" si="71"/>
        <v>-- G834_疾患開始日</v>
      </c>
      <c r="U602" s="4" t="str">
        <f t="shared" si="72"/>
        <v>, CASE WHEN shikkan_disp_name = 'G834' THEN min_shikkan_start_date ::DATE ELSE NULL END AS shikkan584_start_date</v>
      </c>
      <c r="V602" s="25" t="str">
        <f t="shared" si="73"/>
        <v>, max(shikkan584_start_date)</v>
      </c>
      <c r="AA602" s="4"/>
      <c r="AB602" s="4"/>
      <c r="AC602" s="4"/>
      <c r="AD602" s="4"/>
      <c r="AE602" s="4"/>
      <c r="AF602" s="4"/>
      <c r="AG602" s="4"/>
      <c r="AH602" s="4"/>
      <c r="AI602" s="4"/>
      <c r="AJ602" s="76" t="str">
        <f>IF(E602="○",IF(COUNTA(E$13:E602)=1,"",",")&amp;D602,"")</f>
        <v/>
      </c>
      <c r="AK602" s="4"/>
      <c r="AL602" s="4"/>
      <c r="AM602" s="4"/>
      <c r="AN602" s="4"/>
      <c r="AO602" s="4"/>
      <c r="AP602" s="4"/>
      <c r="AQ602" s="4"/>
      <c r="AR602" s="4"/>
      <c r="AS602" s="76" t="str">
        <f>"COMMENT ON COLUMN "&amp;エンティティ一覧!$O$2&amp;"."&amp;D$8&amp;"."&amp;D602&amp;" IS '"&amp;C602&amp;"';"</f>
        <v>COMMENT ON COLUMN milscm_2023_009.sny_202310_annony_non_annony2.shikkan584_start_date IS 'G834_疾患開始日';</v>
      </c>
    </row>
    <row r="603" spans="1:45" s="25" customFormat="1">
      <c r="A603" s="4" t="s">
        <v>5676</v>
      </c>
      <c r="B603" s="21">
        <f t="shared" si="75"/>
        <v>591</v>
      </c>
      <c r="C603" s="13" t="str">
        <f t="shared" si="74"/>
        <v>G839_疾患開始日</v>
      </c>
      <c r="D603" s="13" t="s">
        <v>6245</v>
      </c>
      <c r="E603" s="8"/>
      <c r="F603" s="7" t="s">
        <v>4348</v>
      </c>
      <c r="G603" s="7" t="s">
        <v>25</v>
      </c>
      <c r="H603" s="58"/>
      <c r="I603" s="23"/>
      <c r="J603" s="24"/>
      <c r="M603" s="4"/>
      <c r="N603" s="76"/>
      <c r="O603" s="76"/>
      <c r="P603" s="76" t="str">
        <f t="shared" si="67"/>
        <v>,shikkan585_start_date</v>
      </c>
      <c r="Q603" s="76" t="str">
        <f t="shared" si="68"/>
        <v>DATE</v>
      </c>
      <c r="R603" s="76" t="str">
        <f t="shared" si="69"/>
        <v/>
      </c>
      <c r="S603" s="76" t="str">
        <f t="shared" si="70"/>
        <v/>
      </c>
      <c r="T603" s="76" t="str">
        <f t="shared" si="71"/>
        <v>-- G839_疾患開始日</v>
      </c>
      <c r="U603" s="4" t="str">
        <f t="shared" si="72"/>
        <v>, CASE WHEN shikkan_disp_name = 'G839' THEN min_shikkan_start_date ::DATE ELSE NULL END AS shikkan585_start_date</v>
      </c>
      <c r="V603" s="25" t="str">
        <f t="shared" si="73"/>
        <v>, max(shikkan585_start_date)</v>
      </c>
      <c r="AA603" s="4"/>
      <c r="AB603" s="4"/>
      <c r="AC603" s="4"/>
      <c r="AD603" s="4"/>
      <c r="AE603" s="4"/>
      <c r="AF603" s="4"/>
      <c r="AG603" s="4"/>
      <c r="AH603" s="4"/>
      <c r="AI603" s="4"/>
      <c r="AJ603" s="76" t="str">
        <f>IF(E603="○",IF(COUNTA(E$13:E603)=1,"",",")&amp;D603,"")</f>
        <v/>
      </c>
      <c r="AK603" s="4"/>
      <c r="AL603" s="4"/>
      <c r="AM603" s="4"/>
      <c r="AN603" s="4"/>
      <c r="AO603" s="4"/>
      <c r="AP603" s="4"/>
      <c r="AQ603" s="4"/>
      <c r="AR603" s="4"/>
      <c r="AS603" s="76" t="str">
        <f>"COMMENT ON COLUMN "&amp;エンティティ一覧!$O$2&amp;"."&amp;D$8&amp;"."&amp;D603&amp;" IS '"&amp;C603&amp;"';"</f>
        <v>COMMENT ON COLUMN milscm_2023_009.sny_202310_annony_non_annony2.shikkan585_start_date IS 'G839_疾患開始日';</v>
      </c>
    </row>
    <row r="604" spans="1:45" s="25" customFormat="1">
      <c r="A604" s="4" t="s">
        <v>5677</v>
      </c>
      <c r="B604" s="21">
        <f t="shared" si="75"/>
        <v>592</v>
      </c>
      <c r="C604" s="13" t="str">
        <f t="shared" si="74"/>
        <v>H340_疾患開始日</v>
      </c>
      <c r="D604" s="13" t="s">
        <v>6246</v>
      </c>
      <c r="E604" s="8"/>
      <c r="F604" s="7" t="s">
        <v>4348</v>
      </c>
      <c r="G604" s="7" t="s">
        <v>25</v>
      </c>
      <c r="H604" s="58"/>
      <c r="I604" s="23"/>
      <c r="J604" s="24"/>
      <c r="M604" s="4"/>
      <c r="N604" s="76"/>
      <c r="O604" s="76"/>
      <c r="P604" s="76" t="str">
        <f t="shared" si="67"/>
        <v>,shikkan586_start_date</v>
      </c>
      <c r="Q604" s="76" t="str">
        <f t="shared" si="68"/>
        <v>DATE</v>
      </c>
      <c r="R604" s="76" t="str">
        <f t="shared" si="69"/>
        <v/>
      </c>
      <c r="S604" s="76" t="str">
        <f t="shared" si="70"/>
        <v/>
      </c>
      <c r="T604" s="76" t="str">
        <f t="shared" si="71"/>
        <v>-- H340_疾患開始日</v>
      </c>
      <c r="U604" s="4" t="str">
        <f t="shared" si="72"/>
        <v>, CASE WHEN shikkan_disp_name = 'H340' THEN min_shikkan_start_date ::DATE ELSE NULL END AS shikkan586_start_date</v>
      </c>
      <c r="V604" s="25" t="str">
        <f t="shared" si="73"/>
        <v>, max(shikkan586_start_date)</v>
      </c>
      <c r="AA604" s="4"/>
      <c r="AB604" s="4"/>
      <c r="AC604" s="4"/>
      <c r="AD604" s="4"/>
      <c r="AE604" s="4"/>
      <c r="AF604" s="4"/>
      <c r="AG604" s="4"/>
      <c r="AH604" s="4"/>
      <c r="AI604" s="4"/>
      <c r="AJ604" s="76" t="str">
        <f>IF(E604="○",IF(COUNTA(E$13:E604)=1,"",",")&amp;D604,"")</f>
        <v/>
      </c>
      <c r="AK604" s="4"/>
      <c r="AL604" s="4"/>
      <c r="AM604" s="4"/>
      <c r="AN604" s="4"/>
      <c r="AO604" s="4"/>
      <c r="AP604" s="4"/>
      <c r="AQ604" s="4"/>
      <c r="AR604" s="4"/>
      <c r="AS604" s="76" t="str">
        <f>"COMMENT ON COLUMN "&amp;エンティティ一覧!$O$2&amp;"."&amp;D$8&amp;"."&amp;D604&amp;" IS '"&amp;C604&amp;"';"</f>
        <v>COMMENT ON COLUMN milscm_2023_009.sny_202310_annony_non_annony2.shikkan586_start_date IS 'H340_疾患開始日';</v>
      </c>
    </row>
    <row r="605" spans="1:45" s="25" customFormat="1">
      <c r="A605" s="4" t="s">
        <v>5678</v>
      </c>
      <c r="B605" s="21">
        <f t="shared" si="75"/>
        <v>593</v>
      </c>
      <c r="C605" s="13" t="str">
        <f t="shared" si="74"/>
        <v>I099_疾患開始日</v>
      </c>
      <c r="D605" s="13" t="s">
        <v>6247</v>
      </c>
      <c r="E605" s="8"/>
      <c r="F605" s="7" t="s">
        <v>4348</v>
      </c>
      <c r="G605" s="7" t="s">
        <v>25</v>
      </c>
      <c r="H605" s="58"/>
      <c r="I605" s="23"/>
      <c r="J605" s="24"/>
      <c r="M605" s="4"/>
      <c r="N605" s="76"/>
      <c r="O605" s="76"/>
      <c r="P605" s="76" t="str">
        <f t="shared" si="67"/>
        <v>,shikkan587_start_date</v>
      </c>
      <c r="Q605" s="76" t="str">
        <f t="shared" si="68"/>
        <v>DATE</v>
      </c>
      <c r="R605" s="76" t="str">
        <f t="shared" si="69"/>
        <v/>
      </c>
      <c r="S605" s="76" t="str">
        <f t="shared" si="70"/>
        <v/>
      </c>
      <c r="T605" s="76" t="str">
        <f t="shared" si="71"/>
        <v>-- I099_疾患開始日</v>
      </c>
      <c r="U605" s="4" t="str">
        <f t="shared" si="72"/>
        <v>, CASE WHEN shikkan_disp_name = 'I099' THEN min_shikkan_start_date ::DATE ELSE NULL END AS shikkan587_start_date</v>
      </c>
      <c r="V605" s="25" t="str">
        <f t="shared" si="73"/>
        <v>, max(shikkan587_start_date)</v>
      </c>
      <c r="AA605" s="4"/>
      <c r="AB605" s="4"/>
      <c r="AC605" s="4"/>
      <c r="AD605" s="4"/>
      <c r="AE605" s="4"/>
      <c r="AF605" s="4"/>
      <c r="AG605" s="4"/>
      <c r="AH605" s="4"/>
      <c r="AI605" s="4"/>
      <c r="AJ605" s="76" t="str">
        <f>IF(E605="○",IF(COUNTA(E$13:E605)=1,"",",")&amp;D605,"")</f>
        <v/>
      </c>
      <c r="AK605" s="4"/>
      <c r="AL605" s="4"/>
      <c r="AM605" s="4"/>
      <c r="AN605" s="4"/>
      <c r="AO605" s="4"/>
      <c r="AP605" s="4"/>
      <c r="AQ605" s="4"/>
      <c r="AR605" s="4"/>
      <c r="AS605" s="76" t="str">
        <f>"COMMENT ON COLUMN "&amp;エンティティ一覧!$O$2&amp;"."&amp;D$8&amp;"."&amp;D605&amp;" IS '"&amp;C605&amp;"';"</f>
        <v>COMMENT ON COLUMN milscm_2023_009.sny_202310_annony_non_annony2.shikkan587_start_date IS 'I099_疾患開始日';</v>
      </c>
    </row>
    <row r="606" spans="1:45" s="25" customFormat="1">
      <c r="A606" s="4" t="s">
        <v>5679</v>
      </c>
      <c r="B606" s="21">
        <f t="shared" si="75"/>
        <v>594</v>
      </c>
      <c r="C606" s="13" t="str">
        <f t="shared" si="74"/>
        <v>I110_疾患開始日</v>
      </c>
      <c r="D606" s="13" t="s">
        <v>6248</v>
      </c>
      <c r="E606" s="8"/>
      <c r="F606" s="7" t="s">
        <v>4348</v>
      </c>
      <c r="G606" s="7" t="s">
        <v>25</v>
      </c>
      <c r="H606" s="58"/>
      <c r="I606" s="23"/>
      <c r="J606" s="24"/>
      <c r="M606" s="4"/>
      <c r="N606" s="76"/>
      <c r="O606" s="76"/>
      <c r="P606" s="76" t="str">
        <f t="shared" si="67"/>
        <v>,shikkan588_start_date</v>
      </c>
      <c r="Q606" s="76" t="str">
        <f t="shared" si="68"/>
        <v>DATE</v>
      </c>
      <c r="R606" s="76" t="str">
        <f t="shared" si="69"/>
        <v/>
      </c>
      <c r="S606" s="76" t="str">
        <f t="shared" si="70"/>
        <v/>
      </c>
      <c r="T606" s="76" t="str">
        <f t="shared" si="71"/>
        <v>-- I110_疾患開始日</v>
      </c>
      <c r="U606" s="4" t="str">
        <f t="shared" si="72"/>
        <v>, CASE WHEN shikkan_disp_name = 'I110' THEN min_shikkan_start_date ::DATE ELSE NULL END AS shikkan588_start_date</v>
      </c>
      <c r="V606" s="25" t="str">
        <f t="shared" si="73"/>
        <v>, max(shikkan588_start_date)</v>
      </c>
      <c r="AA606" s="4"/>
      <c r="AB606" s="4"/>
      <c r="AC606" s="4"/>
      <c r="AD606" s="4"/>
      <c r="AE606" s="4"/>
      <c r="AF606" s="4"/>
      <c r="AG606" s="4"/>
      <c r="AH606" s="4"/>
      <c r="AI606" s="4"/>
      <c r="AJ606" s="76" t="str">
        <f>IF(E606="○",IF(COUNTA(E$13:E606)=1,"",",")&amp;D606,"")</f>
        <v/>
      </c>
      <c r="AK606" s="4"/>
      <c r="AL606" s="4"/>
      <c r="AM606" s="4"/>
      <c r="AN606" s="4"/>
      <c r="AO606" s="4"/>
      <c r="AP606" s="4"/>
      <c r="AQ606" s="4"/>
      <c r="AR606" s="4"/>
      <c r="AS606" s="76" t="str">
        <f>"COMMENT ON COLUMN "&amp;エンティティ一覧!$O$2&amp;"."&amp;D$8&amp;"."&amp;D606&amp;" IS '"&amp;C606&amp;"';"</f>
        <v>COMMENT ON COLUMN milscm_2023_009.sny_202310_annony_non_annony2.shikkan588_start_date IS 'I110_疾患開始日';</v>
      </c>
    </row>
    <row r="607" spans="1:45" s="25" customFormat="1">
      <c r="A607" s="4" t="s">
        <v>5680</v>
      </c>
      <c r="B607" s="21">
        <f t="shared" si="75"/>
        <v>595</v>
      </c>
      <c r="C607" s="13" t="str">
        <f t="shared" si="74"/>
        <v>I120_疾患開始日</v>
      </c>
      <c r="D607" s="13" t="s">
        <v>6249</v>
      </c>
      <c r="E607" s="8"/>
      <c r="F607" s="7" t="s">
        <v>4348</v>
      </c>
      <c r="G607" s="7" t="s">
        <v>25</v>
      </c>
      <c r="H607" s="58"/>
      <c r="I607" s="23"/>
      <c r="J607" s="24"/>
      <c r="M607" s="4"/>
      <c r="N607" s="76"/>
      <c r="O607" s="76"/>
      <c r="P607" s="76" t="str">
        <f t="shared" si="67"/>
        <v>,shikkan589_start_date</v>
      </c>
      <c r="Q607" s="76" t="str">
        <f t="shared" si="68"/>
        <v>DATE</v>
      </c>
      <c r="R607" s="76" t="str">
        <f t="shared" si="69"/>
        <v/>
      </c>
      <c r="S607" s="76" t="str">
        <f t="shared" si="70"/>
        <v/>
      </c>
      <c r="T607" s="76" t="str">
        <f t="shared" si="71"/>
        <v>-- I120_疾患開始日</v>
      </c>
      <c r="U607" s="4" t="str">
        <f t="shared" si="72"/>
        <v>, CASE WHEN shikkan_disp_name = 'I120' THEN min_shikkan_start_date ::DATE ELSE NULL END AS shikkan589_start_date</v>
      </c>
      <c r="V607" s="25" t="str">
        <f t="shared" si="73"/>
        <v>, max(shikkan589_start_date)</v>
      </c>
      <c r="AA607" s="4"/>
      <c r="AB607" s="4"/>
      <c r="AC607" s="4"/>
      <c r="AD607" s="4"/>
      <c r="AE607" s="4"/>
      <c r="AF607" s="4"/>
      <c r="AG607" s="4"/>
      <c r="AH607" s="4"/>
      <c r="AI607" s="4"/>
      <c r="AJ607" s="76" t="str">
        <f>IF(E607="○",IF(COUNTA(E$13:E607)=1,"",",")&amp;D607,"")</f>
        <v/>
      </c>
      <c r="AK607" s="4"/>
      <c r="AL607" s="4"/>
      <c r="AM607" s="4"/>
      <c r="AN607" s="4"/>
      <c r="AO607" s="4"/>
      <c r="AP607" s="4"/>
      <c r="AQ607" s="4"/>
      <c r="AR607" s="4"/>
      <c r="AS607" s="76" t="str">
        <f>"COMMENT ON COLUMN "&amp;エンティティ一覧!$O$2&amp;"."&amp;D$8&amp;"."&amp;D607&amp;" IS '"&amp;C607&amp;"';"</f>
        <v>COMMENT ON COLUMN milscm_2023_009.sny_202310_annony_non_annony2.shikkan589_start_date IS 'I120_疾患開始日';</v>
      </c>
    </row>
    <row r="608" spans="1:45" s="25" customFormat="1">
      <c r="A608" s="4" t="s">
        <v>5059</v>
      </c>
      <c r="B608" s="21">
        <f t="shared" si="75"/>
        <v>596</v>
      </c>
      <c r="C608" s="13" t="str">
        <f t="shared" si="74"/>
        <v>I130_疾患開始日</v>
      </c>
      <c r="D608" s="13" t="s">
        <v>6250</v>
      </c>
      <c r="E608" s="8"/>
      <c r="F608" s="7" t="s">
        <v>4348</v>
      </c>
      <c r="G608" s="7" t="s">
        <v>25</v>
      </c>
      <c r="H608" s="58"/>
      <c r="I608" s="23"/>
      <c r="J608" s="24"/>
      <c r="M608" s="4"/>
      <c r="N608" s="76"/>
      <c r="O608" s="76"/>
      <c r="P608" s="76" t="str">
        <f t="shared" si="67"/>
        <v>,shikkan590_start_date</v>
      </c>
      <c r="Q608" s="76" t="str">
        <f t="shared" si="68"/>
        <v>DATE</v>
      </c>
      <c r="R608" s="76" t="str">
        <f t="shared" si="69"/>
        <v/>
      </c>
      <c r="S608" s="76" t="str">
        <f t="shared" si="70"/>
        <v/>
      </c>
      <c r="T608" s="76" t="str">
        <f t="shared" si="71"/>
        <v>-- I130_疾患開始日</v>
      </c>
      <c r="U608" s="4" t="str">
        <f t="shared" si="72"/>
        <v>, CASE WHEN shikkan_disp_name = 'I130' THEN min_shikkan_start_date ::DATE ELSE NULL END AS shikkan590_start_date</v>
      </c>
      <c r="V608" s="25" t="str">
        <f t="shared" si="73"/>
        <v>, max(shikkan590_start_date)</v>
      </c>
      <c r="AA608" s="4"/>
      <c r="AB608" s="4"/>
      <c r="AC608" s="4"/>
      <c r="AD608" s="4"/>
      <c r="AE608" s="4"/>
      <c r="AF608" s="4"/>
      <c r="AG608" s="4"/>
      <c r="AH608" s="4"/>
      <c r="AI608" s="4"/>
      <c r="AJ608" s="76" t="str">
        <f>IF(E608="○",IF(COUNTA(E$13:E608)=1,"",",")&amp;D608,"")</f>
        <v/>
      </c>
      <c r="AK608" s="4"/>
      <c r="AL608" s="4"/>
      <c r="AM608" s="4"/>
      <c r="AN608" s="4"/>
      <c r="AO608" s="4"/>
      <c r="AP608" s="4"/>
      <c r="AQ608" s="4"/>
      <c r="AR608" s="4"/>
      <c r="AS608" s="76" t="str">
        <f>"COMMENT ON COLUMN "&amp;エンティティ一覧!$O$2&amp;"."&amp;D$8&amp;"."&amp;D608&amp;" IS '"&amp;C608&amp;"';"</f>
        <v>COMMENT ON COLUMN milscm_2023_009.sny_202310_annony_non_annony2.shikkan590_start_date IS 'I130_疾患開始日';</v>
      </c>
    </row>
    <row r="609" spans="1:45" s="25" customFormat="1">
      <c r="A609" s="4" t="s">
        <v>5137</v>
      </c>
      <c r="B609" s="21">
        <f t="shared" si="75"/>
        <v>597</v>
      </c>
      <c r="C609" s="13" t="str">
        <f t="shared" si="74"/>
        <v>I131_疾患開始日</v>
      </c>
      <c r="D609" s="13" t="s">
        <v>6251</v>
      </c>
      <c r="E609" s="8"/>
      <c r="F609" s="7" t="s">
        <v>4348</v>
      </c>
      <c r="G609" s="7" t="s">
        <v>99</v>
      </c>
      <c r="H609" s="58"/>
      <c r="I609" s="23"/>
      <c r="J609" s="24"/>
      <c r="M609" s="4"/>
      <c r="N609" s="76"/>
      <c r="O609" s="76"/>
      <c r="P609" s="76" t="str">
        <f t="shared" si="67"/>
        <v>,shikkan591_start_date</v>
      </c>
      <c r="Q609" s="76" t="str">
        <f t="shared" si="68"/>
        <v>DATE</v>
      </c>
      <c r="R609" s="76" t="str">
        <f t="shared" si="69"/>
        <v/>
      </c>
      <c r="S609" s="76" t="str">
        <f t="shared" si="70"/>
        <v/>
      </c>
      <c r="T609" s="76" t="str">
        <f t="shared" si="71"/>
        <v>-- I131_疾患開始日</v>
      </c>
      <c r="U609" s="4" t="str">
        <f t="shared" si="72"/>
        <v>, CASE WHEN shikkan_disp_name = 'I131' THEN min_shikkan_start_date ::DATE ELSE NULL END AS shikkan591_start_date</v>
      </c>
      <c r="V609" s="25" t="str">
        <f t="shared" si="73"/>
        <v>, max(shikkan591_start_date)</v>
      </c>
      <c r="AA609" s="4"/>
      <c r="AB609" s="4"/>
      <c r="AC609" s="4"/>
      <c r="AD609" s="4"/>
      <c r="AE609" s="4"/>
      <c r="AF609" s="4"/>
      <c r="AG609" s="4"/>
      <c r="AH609" s="4"/>
      <c r="AI609" s="4"/>
      <c r="AJ609" s="76" t="str">
        <f>IF(E609="○",IF(COUNTA(E$13:E609)=1,"",",")&amp;D609,"")</f>
        <v/>
      </c>
      <c r="AK609" s="4"/>
      <c r="AL609" s="4"/>
      <c r="AM609" s="4"/>
      <c r="AN609" s="4"/>
      <c r="AO609" s="4"/>
      <c r="AP609" s="4"/>
      <c r="AQ609" s="4"/>
      <c r="AR609" s="4"/>
      <c r="AS609" s="76" t="str">
        <f>"COMMENT ON COLUMN "&amp;エンティティ一覧!$O$2&amp;"."&amp;D$8&amp;"."&amp;D609&amp;" IS '"&amp;C609&amp;"';"</f>
        <v>COMMENT ON COLUMN milscm_2023_009.sny_202310_annony_non_annony2.shikkan591_start_date IS 'I131_疾患開始日';</v>
      </c>
    </row>
    <row r="610" spans="1:45" s="25" customFormat="1">
      <c r="A610" s="4" t="s">
        <v>5060</v>
      </c>
      <c r="B610" s="21">
        <f t="shared" si="75"/>
        <v>598</v>
      </c>
      <c r="C610" s="13" t="str">
        <f t="shared" si="74"/>
        <v>I132_疾患開始日</v>
      </c>
      <c r="D610" s="13" t="s">
        <v>6252</v>
      </c>
      <c r="E610" s="8"/>
      <c r="F610" s="7" t="s">
        <v>4348</v>
      </c>
      <c r="G610" s="7" t="s">
        <v>25</v>
      </c>
      <c r="H610" s="58"/>
      <c r="I610" s="23"/>
      <c r="J610" s="24"/>
      <c r="M610" s="4"/>
      <c r="N610" s="76"/>
      <c r="O610" s="76"/>
      <c r="P610" s="76" t="str">
        <f t="shared" si="67"/>
        <v>,shikkan592_start_date</v>
      </c>
      <c r="Q610" s="76" t="str">
        <f t="shared" si="68"/>
        <v>DATE</v>
      </c>
      <c r="R610" s="76" t="str">
        <f t="shared" si="69"/>
        <v/>
      </c>
      <c r="S610" s="76" t="str">
        <f t="shared" si="70"/>
        <v/>
      </c>
      <c r="T610" s="76" t="str">
        <f t="shared" si="71"/>
        <v>-- I132_疾患開始日</v>
      </c>
      <c r="U610" s="4" t="str">
        <f t="shared" si="72"/>
        <v>, CASE WHEN shikkan_disp_name = 'I132' THEN min_shikkan_start_date ::DATE ELSE NULL END AS shikkan592_start_date</v>
      </c>
      <c r="V610" s="25" t="str">
        <f t="shared" si="73"/>
        <v>, max(shikkan592_start_date)</v>
      </c>
      <c r="AA610" s="4"/>
      <c r="AB610" s="4"/>
      <c r="AC610" s="4"/>
      <c r="AD610" s="4"/>
      <c r="AE610" s="4"/>
      <c r="AF610" s="4"/>
      <c r="AG610" s="4"/>
      <c r="AH610" s="4"/>
      <c r="AI610" s="4"/>
      <c r="AJ610" s="76" t="str">
        <f>IF(E610="○",IF(COUNTA(E$13:E610)=1,"",",")&amp;D610,"")</f>
        <v/>
      </c>
      <c r="AK610" s="4"/>
      <c r="AL610" s="4"/>
      <c r="AM610" s="4"/>
      <c r="AN610" s="4"/>
      <c r="AO610" s="4"/>
      <c r="AP610" s="4"/>
      <c r="AQ610" s="4"/>
      <c r="AR610" s="4"/>
      <c r="AS610" s="76" t="str">
        <f>"COMMENT ON COLUMN "&amp;エンティティ一覧!$O$2&amp;"."&amp;D$8&amp;"."&amp;D610&amp;" IS '"&amp;C610&amp;"';"</f>
        <v>COMMENT ON COLUMN milscm_2023_009.sny_202310_annony_non_annony2.shikkan592_start_date IS 'I132_疾患開始日';</v>
      </c>
    </row>
    <row r="611" spans="1:45" s="25" customFormat="1">
      <c r="A611" s="4" t="s">
        <v>5681</v>
      </c>
      <c r="B611" s="21">
        <f t="shared" si="75"/>
        <v>599</v>
      </c>
      <c r="C611" s="13" t="str">
        <f t="shared" si="74"/>
        <v>I210_疾患開始日</v>
      </c>
      <c r="D611" s="13" t="s">
        <v>6253</v>
      </c>
      <c r="E611" s="8"/>
      <c r="F611" s="7" t="s">
        <v>4348</v>
      </c>
      <c r="G611" s="7" t="s">
        <v>25</v>
      </c>
      <c r="H611" s="58"/>
      <c r="I611" s="23"/>
      <c r="J611" s="24"/>
      <c r="M611" s="4"/>
      <c r="N611" s="76"/>
      <c r="O611" s="76"/>
      <c r="P611" s="76" t="str">
        <f t="shared" si="67"/>
        <v>,shikkan593_start_date</v>
      </c>
      <c r="Q611" s="76" t="str">
        <f t="shared" si="68"/>
        <v>DATE</v>
      </c>
      <c r="R611" s="76" t="str">
        <f t="shared" si="69"/>
        <v/>
      </c>
      <c r="S611" s="76" t="str">
        <f t="shared" si="70"/>
        <v/>
      </c>
      <c r="T611" s="76" t="str">
        <f t="shared" si="71"/>
        <v>-- I210_疾患開始日</v>
      </c>
      <c r="U611" s="4" t="str">
        <f t="shared" si="72"/>
        <v>, CASE WHEN shikkan_disp_name = 'I210' THEN min_shikkan_start_date ::DATE ELSE NULL END AS shikkan593_start_date</v>
      </c>
      <c r="V611" s="25" t="str">
        <f t="shared" si="73"/>
        <v>, max(shikkan593_start_date)</v>
      </c>
      <c r="AA611" s="4"/>
      <c r="AB611" s="4"/>
      <c r="AC611" s="4"/>
      <c r="AD611" s="4"/>
      <c r="AE611" s="4"/>
      <c r="AF611" s="4"/>
      <c r="AG611" s="4"/>
      <c r="AH611" s="4"/>
      <c r="AI611" s="4"/>
      <c r="AJ611" s="76" t="str">
        <f>IF(E611="○",IF(COUNTA(E$13:E611)=1,"",",")&amp;D611,"")</f>
        <v/>
      </c>
      <c r="AK611" s="4"/>
      <c r="AL611" s="4"/>
      <c r="AM611" s="4"/>
      <c r="AN611" s="4"/>
      <c r="AO611" s="4"/>
      <c r="AP611" s="4"/>
      <c r="AQ611" s="4"/>
      <c r="AR611" s="4"/>
      <c r="AS611" s="76" t="str">
        <f>"COMMENT ON COLUMN "&amp;エンティティ一覧!$O$2&amp;"."&amp;D$8&amp;"."&amp;D611&amp;" IS '"&amp;C611&amp;"';"</f>
        <v>COMMENT ON COLUMN milscm_2023_009.sny_202310_annony_non_annony2.shikkan593_start_date IS 'I210_疾患開始日';</v>
      </c>
    </row>
    <row r="612" spans="1:45" s="25" customFormat="1">
      <c r="A612" s="4" t="s">
        <v>5682</v>
      </c>
      <c r="B612" s="21">
        <f t="shared" si="75"/>
        <v>600</v>
      </c>
      <c r="C612" s="13" t="str">
        <f t="shared" si="74"/>
        <v>I211_疾患開始日</v>
      </c>
      <c r="D612" s="13" t="s">
        <v>6254</v>
      </c>
      <c r="E612" s="8"/>
      <c r="F612" s="7" t="s">
        <v>4348</v>
      </c>
      <c r="G612" s="7" t="s">
        <v>25</v>
      </c>
      <c r="H612" s="58"/>
      <c r="I612" s="23"/>
      <c r="J612" s="24"/>
      <c r="M612" s="4"/>
      <c r="N612" s="76"/>
      <c r="O612" s="76"/>
      <c r="P612" s="76" t="str">
        <f t="shared" si="67"/>
        <v>,shikkan594_start_date</v>
      </c>
      <c r="Q612" s="76" t="str">
        <f t="shared" si="68"/>
        <v>DATE</v>
      </c>
      <c r="R612" s="76" t="str">
        <f t="shared" si="69"/>
        <v/>
      </c>
      <c r="S612" s="76" t="str">
        <f t="shared" si="70"/>
        <v/>
      </c>
      <c r="T612" s="76" t="str">
        <f t="shared" si="71"/>
        <v>-- I211_疾患開始日</v>
      </c>
      <c r="U612" s="4" t="str">
        <f t="shared" si="72"/>
        <v>, CASE WHEN shikkan_disp_name = 'I211' THEN min_shikkan_start_date ::DATE ELSE NULL END AS shikkan594_start_date</v>
      </c>
      <c r="V612" s="25" t="str">
        <f t="shared" si="73"/>
        <v>, max(shikkan594_start_date)</v>
      </c>
      <c r="AA612" s="4"/>
      <c r="AB612" s="4"/>
      <c r="AC612" s="4"/>
      <c r="AD612" s="4"/>
      <c r="AE612" s="4"/>
      <c r="AF612" s="4"/>
      <c r="AG612" s="4"/>
      <c r="AH612" s="4"/>
      <c r="AI612" s="4"/>
      <c r="AJ612" s="76" t="str">
        <f>IF(E612="○",IF(COUNTA(E$13:E612)=1,"",",")&amp;D612,"")</f>
        <v/>
      </c>
      <c r="AK612" s="4"/>
      <c r="AL612" s="4"/>
      <c r="AM612" s="4"/>
      <c r="AN612" s="4"/>
      <c r="AO612" s="4"/>
      <c r="AP612" s="4"/>
      <c r="AQ612" s="4"/>
      <c r="AR612" s="4"/>
      <c r="AS612" s="76" t="str">
        <f>"COMMENT ON COLUMN "&amp;エンティティ一覧!$O$2&amp;"."&amp;D$8&amp;"."&amp;D612&amp;" IS '"&amp;C612&amp;"';"</f>
        <v>COMMENT ON COLUMN milscm_2023_009.sny_202310_annony_non_annony2.shikkan594_start_date IS 'I211_疾患開始日';</v>
      </c>
    </row>
    <row r="613" spans="1:45" s="25" customFormat="1">
      <c r="A613" s="4" t="s">
        <v>5683</v>
      </c>
      <c r="B613" s="21">
        <f t="shared" si="75"/>
        <v>601</v>
      </c>
      <c r="C613" s="13" t="str">
        <f t="shared" si="74"/>
        <v>I212_疾患開始日</v>
      </c>
      <c r="D613" s="13" t="s">
        <v>6255</v>
      </c>
      <c r="E613" s="8"/>
      <c r="F613" s="7" t="s">
        <v>4348</v>
      </c>
      <c r="G613" s="7" t="s">
        <v>25</v>
      </c>
      <c r="H613" s="58"/>
      <c r="I613" s="23"/>
      <c r="J613" s="24"/>
      <c r="M613" s="4"/>
      <c r="N613" s="76"/>
      <c r="O613" s="76"/>
      <c r="P613" s="76" t="str">
        <f t="shared" si="67"/>
        <v>,shikkan595_start_date</v>
      </c>
      <c r="Q613" s="76" t="str">
        <f t="shared" si="68"/>
        <v>DATE</v>
      </c>
      <c r="R613" s="76" t="str">
        <f t="shared" si="69"/>
        <v/>
      </c>
      <c r="S613" s="76" t="str">
        <f t="shared" si="70"/>
        <v/>
      </c>
      <c r="T613" s="76" t="str">
        <f t="shared" si="71"/>
        <v>-- I212_疾患開始日</v>
      </c>
      <c r="U613" s="4" t="str">
        <f t="shared" si="72"/>
        <v>, CASE WHEN shikkan_disp_name = 'I212' THEN min_shikkan_start_date ::DATE ELSE NULL END AS shikkan595_start_date</v>
      </c>
      <c r="V613" s="25" t="str">
        <f t="shared" si="73"/>
        <v>, max(shikkan595_start_date)</v>
      </c>
      <c r="AA613" s="4"/>
      <c r="AB613" s="4"/>
      <c r="AC613" s="4"/>
      <c r="AD613" s="4"/>
      <c r="AE613" s="4"/>
      <c r="AF613" s="4"/>
      <c r="AG613" s="4"/>
      <c r="AH613" s="4"/>
      <c r="AI613" s="4"/>
      <c r="AJ613" s="76" t="str">
        <f>IF(E613="○",IF(COUNTA(E$13:E613)=1,"",",")&amp;D613,"")</f>
        <v/>
      </c>
      <c r="AK613" s="4"/>
      <c r="AL613" s="4"/>
      <c r="AM613" s="4"/>
      <c r="AN613" s="4"/>
      <c r="AO613" s="4"/>
      <c r="AP613" s="4"/>
      <c r="AQ613" s="4"/>
      <c r="AR613" s="4"/>
      <c r="AS613" s="76" t="str">
        <f>"COMMENT ON COLUMN "&amp;エンティティ一覧!$O$2&amp;"."&amp;D$8&amp;"."&amp;D613&amp;" IS '"&amp;C613&amp;"';"</f>
        <v>COMMENT ON COLUMN milscm_2023_009.sny_202310_annony_non_annony2.shikkan595_start_date IS 'I212_疾患開始日';</v>
      </c>
    </row>
    <row r="614" spans="1:45" s="25" customFormat="1">
      <c r="A614" s="4" t="s">
        <v>5684</v>
      </c>
      <c r="B614" s="21">
        <f t="shared" si="75"/>
        <v>602</v>
      </c>
      <c r="C614" s="13" t="str">
        <f t="shared" si="74"/>
        <v>I213_疾患開始日</v>
      </c>
      <c r="D614" s="13" t="s">
        <v>6256</v>
      </c>
      <c r="E614" s="8"/>
      <c r="F614" s="7" t="s">
        <v>4348</v>
      </c>
      <c r="G614" s="7" t="s">
        <v>25</v>
      </c>
      <c r="H614" s="58"/>
      <c r="I614" s="23"/>
      <c r="J614" s="24"/>
      <c r="M614" s="4"/>
      <c r="N614" s="76"/>
      <c r="O614" s="76"/>
      <c r="P614" s="76" t="str">
        <f t="shared" si="67"/>
        <v>,shikkan596_start_date</v>
      </c>
      <c r="Q614" s="76" t="str">
        <f t="shared" si="68"/>
        <v>DATE</v>
      </c>
      <c r="R614" s="76" t="str">
        <f t="shared" si="69"/>
        <v/>
      </c>
      <c r="S614" s="76" t="str">
        <f t="shared" si="70"/>
        <v/>
      </c>
      <c r="T614" s="76" t="str">
        <f t="shared" si="71"/>
        <v>-- I213_疾患開始日</v>
      </c>
      <c r="U614" s="4" t="str">
        <f t="shared" si="72"/>
        <v>, CASE WHEN shikkan_disp_name = 'I213' THEN min_shikkan_start_date ::DATE ELSE NULL END AS shikkan596_start_date</v>
      </c>
      <c r="V614" s="25" t="str">
        <f t="shared" si="73"/>
        <v>, max(shikkan596_start_date)</v>
      </c>
      <c r="AA614" s="4"/>
      <c r="AB614" s="4"/>
      <c r="AC614" s="4"/>
      <c r="AD614" s="4"/>
      <c r="AE614" s="4"/>
      <c r="AF614" s="4"/>
      <c r="AG614" s="4"/>
      <c r="AH614" s="4"/>
      <c r="AI614" s="4"/>
      <c r="AJ614" s="76" t="str">
        <f>IF(E614="○",IF(COUNTA(E$13:E614)=1,"",",")&amp;D614,"")</f>
        <v/>
      </c>
      <c r="AK614" s="4"/>
      <c r="AL614" s="4"/>
      <c r="AM614" s="4"/>
      <c r="AN614" s="4"/>
      <c r="AO614" s="4"/>
      <c r="AP614" s="4"/>
      <c r="AQ614" s="4"/>
      <c r="AR614" s="4"/>
      <c r="AS614" s="76" t="str">
        <f>"COMMENT ON COLUMN "&amp;エンティティ一覧!$O$2&amp;"."&amp;D$8&amp;"."&amp;D614&amp;" IS '"&amp;C614&amp;"';"</f>
        <v>COMMENT ON COLUMN milscm_2023_009.sny_202310_annony_non_annony2.shikkan596_start_date IS 'I213_疾患開始日';</v>
      </c>
    </row>
    <row r="615" spans="1:45" s="25" customFormat="1">
      <c r="A615" s="4" t="s">
        <v>5685</v>
      </c>
      <c r="B615" s="21">
        <f t="shared" si="75"/>
        <v>603</v>
      </c>
      <c r="C615" s="13" t="str">
        <f t="shared" si="74"/>
        <v>I214_疾患開始日</v>
      </c>
      <c r="D615" s="13" t="s">
        <v>6257</v>
      </c>
      <c r="E615" s="8"/>
      <c r="F615" s="7" t="s">
        <v>4348</v>
      </c>
      <c r="G615" s="7" t="s">
        <v>25</v>
      </c>
      <c r="H615" s="58"/>
      <c r="I615" s="23"/>
      <c r="J615" s="24"/>
      <c r="M615" s="4"/>
      <c r="N615" s="76"/>
      <c r="O615" s="76"/>
      <c r="P615" s="76" t="str">
        <f t="shared" si="67"/>
        <v>,shikkan597_start_date</v>
      </c>
      <c r="Q615" s="76" t="str">
        <f t="shared" si="68"/>
        <v>DATE</v>
      </c>
      <c r="R615" s="76" t="str">
        <f t="shared" si="69"/>
        <v/>
      </c>
      <c r="S615" s="76" t="str">
        <f t="shared" si="70"/>
        <v/>
      </c>
      <c r="T615" s="76" t="str">
        <f t="shared" si="71"/>
        <v>-- I214_疾患開始日</v>
      </c>
      <c r="U615" s="4" t="str">
        <f t="shared" si="72"/>
        <v>, CASE WHEN shikkan_disp_name = 'I214' THEN min_shikkan_start_date ::DATE ELSE NULL END AS shikkan597_start_date</v>
      </c>
      <c r="V615" s="25" t="str">
        <f t="shared" si="73"/>
        <v>, max(shikkan597_start_date)</v>
      </c>
      <c r="AA615" s="4"/>
      <c r="AB615" s="4"/>
      <c r="AC615" s="4"/>
      <c r="AD615" s="4"/>
      <c r="AE615" s="4"/>
      <c r="AF615" s="4"/>
      <c r="AG615" s="4"/>
      <c r="AH615" s="4"/>
      <c r="AI615" s="4"/>
      <c r="AJ615" s="76" t="str">
        <f>IF(E615="○",IF(COUNTA(E$13:E615)=1,"",",")&amp;D615,"")</f>
        <v/>
      </c>
      <c r="AK615" s="4"/>
      <c r="AL615" s="4"/>
      <c r="AM615" s="4"/>
      <c r="AN615" s="4"/>
      <c r="AO615" s="4"/>
      <c r="AP615" s="4"/>
      <c r="AQ615" s="4"/>
      <c r="AR615" s="4"/>
      <c r="AS615" s="76" t="str">
        <f>"COMMENT ON COLUMN "&amp;エンティティ一覧!$O$2&amp;"."&amp;D$8&amp;"."&amp;D615&amp;" IS '"&amp;C615&amp;"';"</f>
        <v>COMMENT ON COLUMN milscm_2023_009.sny_202310_annony_non_annony2.shikkan597_start_date IS 'I214_疾患開始日';</v>
      </c>
    </row>
    <row r="616" spans="1:45" s="25" customFormat="1">
      <c r="A616" s="4" t="s">
        <v>5686</v>
      </c>
      <c r="B616" s="21">
        <f t="shared" si="75"/>
        <v>604</v>
      </c>
      <c r="C616" s="13" t="str">
        <f t="shared" si="74"/>
        <v>I219_疾患開始日</v>
      </c>
      <c r="D616" s="13" t="s">
        <v>6258</v>
      </c>
      <c r="E616" s="8"/>
      <c r="F616" s="7" t="s">
        <v>4348</v>
      </c>
      <c r="G616" s="7" t="s">
        <v>25</v>
      </c>
      <c r="H616" s="58"/>
      <c r="I616" s="23"/>
      <c r="J616" s="24"/>
      <c r="M616" s="4"/>
      <c r="N616" s="76"/>
      <c r="O616" s="76"/>
      <c r="P616" s="76" t="str">
        <f t="shared" si="67"/>
        <v>,shikkan598_start_date</v>
      </c>
      <c r="Q616" s="76" t="str">
        <f t="shared" si="68"/>
        <v>DATE</v>
      </c>
      <c r="R616" s="76" t="str">
        <f t="shared" si="69"/>
        <v/>
      </c>
      <c r="S616" s="76" t="str">
        <f t="shared" si="70"/>
        <v/>
      </c>
      <c r="T616" s="76" t="str">
        <f t="shared" si="71"/>
        <v>-- I219_疾患開始日</v>
      </c>
      <c r="U616" s="4" t="str">
        <f t="shared" si="72"/>
        <v>, CASE WHEN shikkan_disp_name = 'I219' THEN min_shikkan_start_date ::DATE ELSE NULL END AS shikkan598_start_date</v>
      </c>
      <c r="V616" s="25" t="str">
        <f t="shared" si="73"/>
        <v>, max(shikkan598_start_date)</v>
      </c>
      <c r="AA616" s="4"/>
      <c r="AB616" s="4"/>
      <c r="AC616" s="4"/>
      <c r="AD616" s="4"/>
      <c r="AE616" s="4"/>
      <c r="AF616" s="4"/>
      <c r="AG616" s="4"/>
      <c r="AH616" s="4"/>
      <c r="AI616" s="4"/>
      <c r="AJ616" s="76" t="str">
        <f>IF(E616="○",IF(COUNTA(E$13:E616)=1,"",",")&amp;D616,"")</f>
        <v/>
      </c>
      <c r="AK616" s="4"/>
      <c r="AL616" s="4"/>
      <c r="AM616" s="4"/>
      <c r="AN616" s="4"/>
      <c r="AO616" s="4"/>
      <c r="AP616" s="4"/>
      <c r="AQ616" s="4"/>
      <c r="AR616" s="4"/>
      <c r="AS616" s="76" t="str">
        <f>"COMMENT ON COLUMN "&amp;エンティティ一覧!$O$2&amp;"."&amp;D$8&amp;"."&amp;D616&amp;" IS '"&amp;C616&amp;"';"</f>
        <v>COMMENT ON COLUMN milscm_2023_009.sny_202310_annony_non_annony2.shikkan598_start_date IS 'I219_疾患開始日';</v>
      </c>
    </row>
    <row r="617" spans="1:45" s="25" customFormat="1">
      <c r="A617" s="4" t="s">
        <v>5687</v>
      </c>
      <c r="B617" s="21">
        <f t="shared" si="75"/>
        <v>605</v>
      </c>
      <c r="C617" s="13" t="str">
        <f t="shared" si="74"/>
        <v>I220_疾患開始日</v>
      </c>
      <c r="D617" s="13" t="s">
        <v>6259</v>
      </c>
      <c r="E617" s="8"/>
      <c r="F617" s="7" t="s">
        <v>4348</v>
      </c>
      <c r="G617" s="7" t="s">
        <v>25</v>
      </c>
      <c r="H617" s="58"/>
      <c r="I617" s="23"/>
      <c r="J617" s="24"/>
      <c r="M617" s="4"/>
      <c r="N617" s="76"/>
      <c r="O617" s="76"/>
      <c r="P617" s="76" t="str">
        <f t="shared" si="67"/>
        <v>,shikkan599_start_date</v>
      </c>
      <c r="Q617" s="76" t="str">
        <f t="shared" si="68"/>
        <v>DATE</v>
      </c>
      <c r="R617" s="76" t="str">
        <f t="shared" si="69"/>
        <v/>
      </c>
      <c r="S617" s="76" t="str">
        <f t="shared" si="70"/>
        <v/>
      </c>
      <c r="T617" s="76" t="str">
        <f t="shared" si="71"/>
        <v>-- I220_疾患開始日</v>
      </c>
      <c r="U617" s="4" t="str">
        <f t="shared" si="72"/>
        <v>, CASE WHEN shikkan_disp_name = 'I220' THEN min_shikkan_start_date ::DATE ELSE NULL END AS shikkan599_start_date</v>
      </c>
      <c r="V617" s="25" t="str">
        <f t="shared" si="73"/>
        <v>, max(shikkan599_start_date)</v>
      </c>
      <c r="AA617" s="4"/>
      <c r="AB617" s="4"/>
      <c r="AC617" s="4"/>
      <c r="AD617" s="4"/>
      <c r="AE617" s="4"/>
      <c r="AF617" s="4"/>
      <c r="AG617" s="4"/>
      <c r="AH617" s="4"/>
      <c r="AI617" s="4"/>
      <c r="AJ617" s="76" t="str">
        <f>IF(E617="○",IF(COUNTA(E$13:E617)=1,"",",")&amp;D617,"")</f>
        <v/>
      </c>
      <c r="AK617" s="4"/>
      <c r="AL617" s="4"/>
      <c r="AM617" s="4"/>
      <c r="AN617" s="4"/>
      <c r="AO617" s="4"/>
      <c r="AP617" s="4"/>
      <c r="AQ617" s="4"/>
      <c r="AR617" s="4"/>
      <c r="AS617" s="76" t="str">
        <f>"COMMENT ON COLUMN "&amp;エンティティ一覧!$O$2&amp;"."&amp;D$8&amp;"."&amp;D617&amp;" IS '"&amp;C617&amp;"';"</f>
        <v>COMMENT ON COLUMN milscm_2023_009.sny_202310_annony_non_annony2.shikkan599_start_date IS 'I220_疾患開始日';</v>
      </c>
    </row>
    <row r="618" spans="1:45" s="25" customFormat="1">
      <c r="A618" s="4" t="s">
        <v>5688</v>
      </c>
      <c r="B618" s="21">
        <f t="shared" si="75"/>
        <v>606</v>
      </c>
      <c r="C618" s="13" t="str">
        <f t="shared" si="74"/>
        <v>I221_疾患開始日</v>
      </c>
      <c r="D618" s="13" t="s">
        <v>6260</v>
      </c>
      <c r="E618" s="8"/>
      <c r="F618" s="7" t="s">
        <v>4348</v>
      </c>
      <c r="G618" s="7" t="s">
        <v>25</v>
      </c>
      <c r="H618" s="58"/>
      <c r="I618" s="23"/>
      <c r="J618" s="24"/>
      <c r="M618" s="4"/>
      <c r="N618" s="76"/>
      <c r="O618" s="76"/>
      <c r="P618" s="76" t="str">
        <f t="shared" si="67"/>
        <v>,shikkan600_start_date</v>
      </c>
      <c r="Q618" s="76" t="str">
        <f t="shared" si="68"/>
        <v>DATE</v>
      </c>
      <c r="R618" s="76" t="str">
        <f t="shared" si="69"/>
        <v/>
      </c>
      <c r="S618" s="76" t="str">
        <f t="shared" si="70"/>
        <v/>
      </c>
      <c r="T618" s="76" t="str">
        <f t="shared" si="71"/>
        <v>-- I221_疾患開始日</v>
      </c>
      <c r="U618" s="4" t="str">
        <f t="shared" si="72"/>
        <v>, CASE WHEN shikkan_disp_name = 'I221' THEN min_shikkan_start_date ::DATE ELSE NULL END AS shikkan600_start_date</v>
      </c>
      <c r="V618" s="25" t="str">
        <f t="shared" si="73"/>
        <v>, max(shikkan600_start_date)</v>
      </c>
      <c r="AA618" s="4"/>
      <c r="AB618" s="4"/>
      <c r="AC618" s="4"/>
      <c r="AD618" s="4"/>
      <c r="AE618" s="4"/>
      <c r="AF618" s="4"/>
      <c r="AG618" s="4"/>
      <c r="AH618" s="4"/>
      <c r="AI618" s="4"/>
      <c r="AJ618" s="76" t="str">
        <f>IF(E618="○",IF(COUNTA(E$13:E618)=1,"",",")&amp;D618,"")</f>
        <v/>
      </c>
      <c r="AK618" s="4"/>
      <c r="AL618" s="4"/>
      <c r="AM618" s="4"/>
      <c r="AN618" s="4"/>
      <c r="AO618" s="4"/>
      <c r="AP618" s="4"/>
      <c r="AQ618" s="4"/>
      <c r="AR618" s="4"/>
      <c r="AS618" s="76" t="str">
        <f>"COMMENT ON COLUMN "&amp;エンティティ一覧!$O$2&amp;"."&amp;D$8&amp;"."&amp;D618&amp;" IS '"&amp;C618&amp;"';"</f>
        <v>COMMENT ON COLUMN milscm_2023_009.sny_202310_annony_non_annony2.shikkan600_start_date IS 'I221_疾患開始日';</v>
      </c>
    </row>
    <row r="619" spans="1:45" s="25" customFormat="1">
      <c r="A619" s="4" t="s">
        <v>5689</v>
      </c>
      <c r="B619" s="21">
        <f t="shared" si="75"/>
        <v>607</v>
      </c>
      <c r="C619" s="13" t="str">
        <f t="shared" si="74"/>
        <v>I228_疾患開始日</v>
      </c>
      <c r="D619" s="13" t="s">
        <v>6261</v>
      </c>
      <c r="E619" s="8"/>
      <c r="F619" s="7" t="s">
        <v>4348</v>
      </c>
      <c r="G619" s="7" t="s">
        <v>25</v>
      </c>
      <c r="H619" s="58"/>
      <c r="I619" s="23"/>
      <c r="J619" s="24"/>
      <c r="M619" s="4"/>
      <c r="N619" s="76"/>
      <c r="O619" s="76"/>
      <c r="P619" s="76" t="str">
        <f t="shared" si="67"/>
        <v>,shikkan601_start_date</v>
      </c>
      <c r="Q619" s="76" t="str">
        <f t="shared" si="68"/>
        <v>DATE</v>
      </c>
      <c r="R619" s="76" t="str">
        <f t="shared" si="69"/>
        <v/>
      </c>
      <c r="S619" s="76" t="str">
        <f t="shared" si="70"/>
        <v/>
      </c>
      <c r="T619" s="76" t="str">
        <f t="shared" si="71"/>
        <v>-- I228_疾患開始日</v>
      </c>
      <c r="U619" s="4" t="str">
        <f t="shared" si="72"/>
        <v>, CASE WHEN shikkan_disp_name = 'I228' THEN min_shikkan_start_date ::DATE ELSE NULL END AS shikkan601_start_date</v>
      </c>
      <c r="V619" s="25" t="str">
        <f t="shared" si="73"/>
        <v>, max(shikkan601_start_date)</v>
      </c>
      <c r="AA619" s="4"/>
      <c r="AB619" s="4"/>
      <c r="AC619" s="4"/>
      <c r="AD619" s="4"/>
      <c r="AE619" s="4"/>
      <c r="AF619" s="4"/>
      <c r="AG619" s="4"/>
      <c r="AH619" s="4"/>
      <c r="AI619" s="4"/>
      <c r="AJ619" s="76" t="str">
        <f>IF(E619="○",IF(COUNTA(E$13:E619)=1,"",",")&amp;D619,"")</f>
        <v/>
      </c>
      <c r="AK619" s="4"/>
      <c r="AL619" s="4"/>
      <c r="AM619" s="4"/>
      <c r="AN619" s="4"/>
      <c r="AO619" s="4"/>
      <c r="AP619" s="4"/>
      <c r="AQ619" s="4"/>
      <c r="AR619" s="4"/>
      <c r="AS619" s="76" t="str">
        <f>"COMMENT ON COLUMN "&amp;エンティティ一覧!$O$2&amp;"."&amp;D$8&amp;"."&amp;D619&amp;" IS '"&amp;C619&amp;"';"</f>
        <v>COMMENT ON COLUMN milscm_2023_009.sny_202310_annony_non_annony2.shikkan601_start_date IS 'I228_疾患開始日';</v>
      </c>
    </row>
    <row r="620" spans="1:45" s="25" customFormat="1">
      <c r="A620" s="4" t="s">
        <v>5690</v>
      </c>
      <c r="B620" s="21">
        <f t="shared" si="75"/>
        <v>608</v>
      </c>
      <c r="C620" s="13" t="str">
        <f t="shared" si="74"/>
        <v>I229_疾患開始日</v>
      </c>
      <c r="D620" s="13" t="s">
        <v>6262</v>
      </c>
      <c r="E620" s="8"/>
      <c r="F620" s="7" t="s">
        <v>4348</v>
      </c>
      <c r="G620" s="7" t="s">
        <v>25</v>
      </c>
      <c r="H620" s="58"/>
      <c r="I620" s="23"/>
      <c r="J620" s="24"/>
      <c r="M620" s="4"/>
      <c r="N620" s="76"/>
      <c r="O620" s="76"/>
      <c r="P620" s="76" t="str">
        <f t="shared" si="67"/>
        <v>,shikkan602_start_date</v>
      </c>
      <c r="Q620" s="76" t="str">
        <f t="shared" si="68"/>
        <v>DATE</v>
      </c>
      <c r="R620" s="76" t="str">
        <f t="shared" si="69"/>
        <v/>
      </c>
      <c r="S620" s="76" t="str">
        <f t="shared" si="70"/>
        <v/>
      </c>
      <c r="T620" s="76" t="str">
        <f t="shared" si="71"/>
        <v>-- I229_疾患開始日</v>
      </c>
      <c r="U620" s="4" t="str">
        <f t="shared" si="72"/>
        <v>, CASE WHEN shikkan_disp_name = 'I229' THEN min_shikkan_start_date ::DATE ELSE NULL END AS shikkan602_start_date</v>
      </c>
      <c r="V620" s="25" t="str">
        <f t="shared" si="73"/>
        <v>, max(shikkan602_start_date)</v>
      </c>
      <c r="AA620" s="4"/>
      <c r="AB620" s="4"/>
      <c r="AC620" s="4"/>
      <c r="AD620" s="4"/>
      <c r="AE620" s="4"/>
      <c r="AF620" s="4"/>
      <c r="AG620" s="4"/>
      <c r="AH620" s="4"/>
      <c r="AI620" s="4"/>
      <c r="AJ620" s="76" t="str">
        <f>IF(E620="○",IF(COUNTA(E$13:E620)=1,"",",")&amp;D620,"")</f>
        <v/>
      </c>
      <c r="AK620" s="4"/>
      <c r="AL620" s="4"/>
      <c r="AM620" s="4"/>
      <c r="AN620" s="4"/>
      <c r="AO620" s="4"/>
      <c r="AP620" s="4"/>
      <c r="AQ620" s="4"/>
      <c r="AR620" s="4"/>
      <c r="AS620" s="76" t="str">
        <f>"COMMENT ON COLUMN "&amp;エンティティ一覧!$O$2&amp;"."&amp;D$8&amp;"."&amp;D620&amp;" IS '"&amp;C620&amp;"';"</f>
        <v>COMMENT ON COLUMN milscm_2023_009.sny_202310_annony_non_annony2.shikkan602_start_date IS 'I229_疾患開始日';</v>
      </c>
    </row>
    <row r="621" spans="1:45" s="25" customFormat="1">
      <c r="A621" s="4" t="s">
        <v>5058</v>
      </c>
      <c r="B621" s="21">
        <f t="shared" si="75"/>
        <v>609</v>
      </c>
      <c r="C621" s="13" t="str">
        <f t="shared" si="74"/>
        <v>I252_疾患開始日</v>
      </c>
      <c r="D621" s="13" t="s">
        <v>6263</v>
      </c>
      <c r="E621" s="8"/>
      <c r="F621" s="7" t="s">
        <v>4348</v>
      </c>
      <c r="G621" s="7" t="s">
        <v>25</v>
      </c>
      <c r="H621" s="58"/>
      <c r="I621" s="23"/>
      <c r="J621" s="24"/>
      <c r="M621" s="4"/>
      <c r="N621" s="76"/>
      <c r="O621" s="76"/>
      <c r="P621" s="76" t="str">
        <f t="shared" si="67"/>
        <v>,shikkan603_start_date</v>
      </c>
      <c r="Q621" s="76" t="str">
        <f t="shared" si="68"/>
        <v>DATE</v>
      </c>
      <c r="R621" s="76" t="str">
        <f t="shared" si="69"/>
        <v/>
      </c>
      <c r="S621" s="76" t="str">
        <f t="shared" si="70"/>
        <v/>
      </c>
      <c r="T621" s="76" t="str">
        <f t="shared" si="71"/>
        <v>-- I252_疾患開始日</v>
      </c>
      <c r="U621" s="4" t="str">
        <f t="shared" si="72"/>
        <v>, CASE WHEN shikkan_disp_name = 'I252' THEN min_shikkan_start_date ::DATE ELSE NULL END AS shikkan603_start_date</v>
      </c>
      <c r="V621" s="25" t="str">
        <f t="shared" si="73"/>
        <v>, max(shikkan603_start_date)</v>
      </c>
      <c r="AA621" s="4"/>
      <c r="AB621" s="4"/>
      <c r="AC621" s="4"/>
      <c r="AD621" s="4"/>
      <c r="AE621" s="4"/>
      <c r="AF621" s="4"/>
      <c r="AG621" s="4"/>
      <c r="AH621" s="4"/>
      <c r="AI621" s="4"/>
      <c r="AJ621" s="76" t="str">
        <f>IF(E621="○",IF(COUNTA(E$13:E621)=1,"",",")&amp;D621,"")</f>
        <v/>
      </c>
      <c r="AK621" s="4"/>
      <c r="AL621" s="4"/>
      <c r="AM621" s="4"/>
      <c r="AN621" s="4"/>
      <c r="AO621" s="4"/>
      <c r="AP621" s="4"/>
      <c r="AQ621" s="4"/>
      <c r="AR621" s="4"/>
      <c r="AS621" s="76" t="str">
        <f>"COMMENT ON COLUMN "&amp;エンティティ一覧!$O$2&amp;"."&amp;D$8&amp;"."&amp;D621&amp;" IS '"&amp;C621&amp;"';"</f>
        <v>COMMENT ON COLUMN milscm_2023_009.sny_202310_annony_non_annony2.shikkan603_start_date IS 'I252_疾患開始日';</v>
      </c>
    </row>
    <row r="622" spans="1:45" s="25" customFormat="1">
      <c r="A622" s="4" t="s">
        <v>5061</v>
      </c>
      <c r="B622" s="21">
        <f t="shared" si="75"/>
        <v>610</v>
      </c>
      <c r="C622" s="13" t="str">
        <f t="shared" si="74"/>
        <v>I255_疾患開始日</v>
      </c>
      <c r="D622" s="13" t="s">
        <v>6264</v>
      </c>
      <c r="E622" s="8"/>
      <c r="F622" s="7" t="s">
        <v>4348</v>
      </c>
      <c r="G622" s="7" t="s">
        <v>25</v>
      </c>
      <c r="H622" s="58"/>
      <c r="I622" s="23"/>
      <c r="J622" s="24"/>
      <c r="M622" s="4"/>
      <c r="N622" s="76"/>
      <c r="O622" s="76"/>
      <c r="P622" s="76" t="str">
        <f t="shared" si="67"/>
        <v>,shikkan604_start_date</v>
      </c>
      <c r="Q622" s="76" t="str">
        <f t="shared" si="68"/>
        <v>DATE</v>
      </c>
      <c r="R622" s="76" t="str">
        <f t="shared" si="69"/>
        <v/>
      </c>
      <c r="S622" s="76" t="str">
        <f t="shared" si="70"/>
        <v/>
      </c>
      <c r="T622" s="76" t="str">
        <f t="shared" si="71"/>
        <v>-- I255_疾患開始日</v>
      </c>
      <c r="U622" s="4" t="str">
        <f t="shared" si="72"/>
        <v>, CASE WHEN shikkan_disp_name = 'I255' THEN min_shikkan_start_date ::DATE ELSE NULL END AS shikkan604_start_date</v>
      </c>
      <c r="V622" s="25" t="str">
        <f t="shared" si="73"/>
        <v>, max(shikkan604_start_date)</v>
      </c>
      <c r="AA622" s="4"/>
      <c r="AB622" s="4"/>
      <c r="AC622" s="4"/>
      <c r="AD622" s="4"/>
      <c r="AE622" s="4"/>
      <c r="AF622" s="4"/>
      <c r="AG622" s="4"/>
      <c r="AH622" s="4"/>
      <c r="AI622" s="4"/>
      <c r="AJ622" s="76" t="str">
        <f>IF(E622="○",IF(COUNTA(E$13:E622)=1,"",",")&amp;D622,"")</f>
        <v/>
      </c>
      <c r="AK622" s="4"/>
      <c r="AL622" s="4"/>
      <c r="AM622" s="4"/>
      <c r="AN622" s="4"/>
      <c r="AO622" s="4"/>
      <c r="AP622" s="4"/>
      <c r="AQ622" s="4"/>
      <c r="AR622" s="4"/>
      <c r="AS622" s="76" t="str">
        <f>"COMMENT ON COLUMN "&amp;エンティティ一覧!$O$2&amp;"."&amp;D$8&amp;"."&amp;D622&amp;" IS '"&amp;C622&amp;"';"</f>
        <v>COMMENT ON COLUMN milscm_2023_009.sny_202310_annony_non_annony2.shikkan604_start_date IS 'I255_疾患開始日';</v>
      </c>
    </row>
    <row r="623" spans="1:45" s="25" customFormat="1">
      <c r="A623" s="4" t="s">
        <v>5691</v>
      </c>
      <c r="B623" s="21">
        <f t="shared" si="75"/>
        <v>611</v>
      </c>
      <c r="C623" s="13" t="str">
        <f t="shared" si="74"/>
        <v>I278_疾患開始日</v>
      </c>
      <c r="D623" s="13" t="s">
        <v>6265</v>
      </c>
      <c r="E623" s="8"/>
      <c r="F623" s="7" t="s">
        <v>4348</v>
      </c>
      <c r="G623" s="7" t="s">
        <v>25</v>
      </c>
      <c r="H623" s="58"/>
      <c r="I623" s="23"/>
      <c r="J623" s="24"/>
      <c r="M623" s="4"/>
      <c r="N623" s="76"/>
      <c r="O623" s="76"/>
      <c r="P623" s="76" t="str">
        <f t="shared" si="67"/>
        <v>,shikkan605_start_date</v>
      </c>
      <c r="Q623" s="76" t="str">
        <f t="shared" si="68"/>
        <v>DATE</v>
      </c>
      <c r="R623" s="76" t="str">
        <f t="shared" si="69"/>
        <v/>
      </c>
      <c r="S623" s="76" t="str">
        <f t="shared" si="70"/>
        <v/>
      </c>
      <c r="T623" s="76" t="str">
        <f t="shared" si="71"/>
        <v>-- I278_疾患開始日</v>
      </c>
      <c r="U623" s="4" t="str">
        <f t="shared" si="72"/>
        <v>, CASE WHEN shikkan_disp_name = 'I278' THEN min_shikkan_start_date ::DATE ELSE NULL END AS shikkan605_start_date</v>
      </c>
      <c r="V623" s="25" t="str">
        <f t="shared" si="73"/>
        <v>, max(shikkan605_start_date)</v>
      </c>
      <c r="AA623" s="4"/>
      <c r="AB623" s="4"/>
      <c r="AC623" s="4"/>
      <c r="AD623" s="4"/>
      <c r="AE623" s="4"/>
      <c r="AF623" s="4"/>
      <c r="AG623" s="4"/>
      <c r="AH623" s="4"/>
      <c r="AI623" s="4"/>
      <c r="AJ623" s="76" t="str">
        <f>IF(E623="○",IF(COUNTA(E$13:E623)=1,"",",")&amp;D623,"")</f>
        <v/>
      </c>
      <c r="AK623" s="4"/>
      <c r="AL623" s="4"/>
      <c r="AM623" s="4"/>
      <c r="AN623" s="4"/>
      <c r="AO623" s="4"/>
      <c r="AP623" s="4"/>
      <c r="AQ623" s="4"/>
      <c r="AR623" s="4"/>
      <c r="AS623" s="76" t="str">
        <f>"COMMENT ON COLUMN "&amp;エンティティ一覧!$O$2&amp;"."&amp;D$8&amp;"."&amp;D623&amp;" IS '"&amp;C623&amp;"';"</f>
        <v>COMMENT ON COLUMN milscm_2023_009.sny_202310_annony_non_annony2.shikkan605_start_date IS 'I278_疾患開始日';</v>
      </c>
    </row>
    <row r="624" spans="1:45" s="25" customFormat="1">
      <c r="A624" s="4" t="s">
        <v>5692</v>
      </c>
      <c r="B624" s="21">
        <f t="shared" si="75"/>
        <v>612</v>
      </c>
      <c r="C624" s="13" t="str">
        <f t="shared" si="74"/>
        <v>I279_疾患開始日</v>
      </c>
      <c r="D624" s="13" t="s">
        <v>6266</v>
      </c>
      <c r="E624" s="8"/>
      <c r="F624" s="7" t="s">
        <v>4348</v>
      </c>
      <c r="G624" s="7" t="s">
        <v>25</v>
      </c>
      <c r="H624" s="58"/>
      <c r="I624" s="23"/>
      <c r="J624" s="24"/>
      <c r="M624" s="4"/>
      <c r="N624" s="76"/>
      <c r="O624" s="76"/>
      <c r="P624" s="76" t="str">
        <f t="shared" si="67"/>
        <v>,shikkan606_start_date</v>
      </c>
      <c r="Q624" s="76" t="str">
        <f t="shared" si="68"/>
        <v>DATE</v>
      </c>
      <c r="R624" s="76" t="str">
        <f t="shared" si="69"/>
        <v/>
      </c>
      <c r="S624" s="76" t="str">
        <f t="shared" si="70"/>
        <v/>
      </c>
      <c r="T624" s="76" t="str">
        <f t="shared" si="71"/>
        <v>-- I279_疾患開始日</v>
      </c>
      <c r="U624" s="4" t="str">
        <f t="shared" si="72"/>
        <v>, CASE WHEN shikkan_disp_name = 'I279' THEN min_shikkan_start_date ::DATE ELSE NULL END AS shikkan606_start_date</v>
      </c>
      <c r="V624" s="25" t="str">
        <f t="shared" si="73"/>
        <v>, max(shikkan606_start_date)</v>
      </c>
      <c r="AA624" s="4"/>
      <c r="AB624" s="4"/>
      <c r="AC624" s="4"/>
      <c r="AD624" s="4"/>
      <c r="AE624" s="4"/>
      <c r="AF624" s="4"/>
      <c r="AG624" s="4"/>
      <c r="AH624" s="4"/>
      <c r="AI624" s="4"/>
      <c r="AJ624" s="76" t="str">
        <f>IF(E624="○",IF(COUNTA(E$13:E624)=1,"",",")&amp;D624,"")</f>
        <v/>
      </c>
      <c r="AK624" s="4"/>
      <c r="AL624" s="4"/>
      <c r="AM624" s="4"/>
      <c r="AN624" s="4"/>
      <c r="AO624" s="4"/>
      <c r="AP624" s="4"/>
      <c r="AQ624" s="4"/>
      <c r="AR624" s="4"/>
      <c r="AS624" s="76" t="str">
        <f>"COMMENT ON COLUMN "&amp;エンティティ一覧!$O$2&amp;"."&amp;D$8&amp;"."&amp;D624&amp;" IS '"&amp;C624&amp;"';"</f>
        <v>COMMENT ON COLUMN milscm_2023_009.sny_202310_annony_non_annony2.shikkan606_start_date IS 'I279_疾患開始日';</v>
      </c>
    </row>
    <row r="625" spans="1:45" s="25" customFormat="1">
      <c r="A625" s="4" t="s">
        <v>5693</v>
      </c>
      <c r="B625" s="21">
        <f t="shared" si="75"/>
        <v>613</v>
      </c>
      <c r="C625" s="13" t="str">
        <f t="shared" si="74"/>
        <v>I420_疾患開始日</v>
      </c>
      <c r="D625" s="13" t="s">
        <v>6267</v>
      </c>
      <c r="E625" s="8"/>
      <c r="F625" s="7" t="s">
        <v>4348</v>
      </c>
      <c r="G625" s="7" t="s">
        <v>99</v>
      </c>
      <c r="H625" s="58"/>
      <c r="I625" s="23"/>
      <c r="J625" s="24"/>
      <c r="M625" s="4"/>
      <c r="N625" s="76"/>
      <c r="O625" s="76"/>
      <c r="P625" s="76" t="str">
        <f t="shared" si="67"/>
        <v>,shikkan607_start_date</v>
      </c>
      <c r="Q625" s="76" t="str">
        <f t="shared" si="68"/>
        <v>DATE</v>
      </c>
      <c r="R625" s="76" t="str">
        <f t="shared" si="69"/>
        <v/>
      </c>
      <c r="S625" s="76" t="str">
        <f t="shared" si="70"/>
        <v/>
      </c>
      <c r="T625" s="76" t="str">
        <f t="shared" si="71"/>
        <v>-- I420_疾患開始日</v>
      </c>
      <c r="U625" s="4" t="str">
        <f t="shared" si="72"/>
        <v>, CASE WHEN shikkan_disp_name = 'I420' THEN min_shikkan_start_date ::DATE ELSE NULL END AS shikkan607_start_date</v>
      </c>
      <c r="V625" s="25" t="str">
        <f t="shared" si="73"/>
        <v>, max(shikkan607_start_date)</v>
      </c>
      <c r="AA625" s="4"/>
      <c r="AB625" s="4"/>
      <c r="AC625" s="4"/>
      <c r="AD625" s="4"/>
      <c r="AE625" s="4"/>
      <c r="AF625" s="4"/>
      <c r="AG625" s="4"/>
      <c r="AH625" s="4"/>
      <c r="AI625" s="4"/>
      <c r="AJ625" s="76" t="str">
        <f>IF(E625="○",IF(COUNTA(E$13:E625)=1,"",",")&amp;D625,"")</f>
        <v/>
      </c>
      <c r="AK625" s="4"/>
      <c r="AL625" s="4"/>
      <c r="AM625" s="4"/>
      <c r="AN625" s="4"/>
      <c r="AO625" s="4"/>
      <c r="AP625" s="4"/>
      <c r="AQ625" s="4"/>
      <c r="AR625" s="4"/>
      <c r="AS625" s="76" t="str">
        <f>"COMMENT ON COLUMN "&amp;エンティティ一覧!$O$2&amp;"."&amp;D$8&amp;"."&amp;D625&amp;" IS '"&amp;C625&amp;"';"</f>
        <v>COMMENT ON COLUMN milscm_2023_009.sny_202310_annony_non_annony2.shikkan607_start_date IS 'I420_疾患開始日';</v>
      </c>
    </row>
    <row r="626" spans="1:45" s="25" customFormat="1">
      <c r="A626" s="4" t="s">
        <v>5694</v>
      </c>
      <c r="B626" s="21">
        <f t="shared" si="75"/>
        <v>614</v>
      </c>
      <c r="C626" s="13" t="str">
        <f t="shared" si="74"/>
        <v>I425_疾患開始日</v>
      </c>
      <c r="D626" s="13" t="s">
        <v>6268</v>
      </c>
      <c r="E626" s="8"/>
      <c r="F626" s="7" t="s">
        <v>4348</v>
      </c>
      <c r="G626" s="7" t="s">
        <v>25</v>
      </c>
      <c r="H626" s="58"/>
      <c r="I626" s="23"/>
      <c r="J626" s="24"/>
      <c r="M626" s="4"/>
      <c r="N626" s="76"/>
      <c r="O626" s="76"/>
      <c r="P626" s="76" t="str">
        <f t="shared" si="67"/>
        <v>,shikkan608_start_date</v>
      </c>
      <c r="Q626" s="76" t="str">
        <f t="shared" si="68"/>
        <v>DATE</v>
      </c>
      <c r="R626" s="76" t="str">
        <f t="shared" si="69"/>
        <v/>
      </c>
      <c r="S626" s="76" t="str">
        <f t="shared" si="70"/>
        <v/>
      </c>
      <c r="T626" s="76" t="str">
        <f t="shared" si="71"/>
        <v>-- I425_疾患開始日</v>
      </c>
      <c r="U626" s="4" t="str">
        <f t="shared" si="72"/>
        <v>, CASE WHEN shikkan_disp_name = 'I425' THEN min_shikkan_start_date ::DATE ELSE NULL END AS shikkan608_start_date</v>
      </c>
      <c r="V626" s="25" t="str">
        <f t="shared" si="73"/>
        <v>, max(shikkan608_start_date)</v>
      </c>
      <c r="AA626" s="4"/>
      <c r="AB626" s="4"/>
      <c r="AC626" s="4"/>
      <c r="AD626" s="4"/>
      <c r="AE626" s="4"/>
      <c r="AF626" s="4"/>
      <c r="AG626" s="4"/>
      <c r="AH626" s="4"/>
      <c r="AI626" s="4"/>
      <c r="AJ626" s="76" t="str">
        <f>IF(E626="○",IF(COUNTA(E$13:E626)=1,"",",")&amp;D626,"")</f>
        <v/>
      </c>
      <c r="AK626" s="4"/>
      <c r="AL626" s="4"/>
      <c r="AM626" s="4"/>
      <c r="AN626" s="4"/>
      <c r="AO626" s="4"/>
      <c r="AP626" s="4"/>
      <c r="AQ626" s="4"/>
      <c r="AR626" s="4"/>
      <c r="AS626" s="76" t="str">
        <f>"COMMENT ON COLUMN "&amp;エンティティ一覧!$O$2&amp;"."&amp;D$8&amp;"."&amp;D626&amp;" IS '"&amp;C626&amp;"';"</f>
        <v>COMMENT ON COLUMN milscm_2023_009.sny_202310_annony_non_annony2.shikkan608_start_date IS 'I425_疾患開始日';</v>
      </c>
    </row>
    <row r="627" spans="1:45" s="25" customFormat="1">
      <c r="A627" s="4" t="s">
        <v>5695</v>
      </c>
      <c r="B627" s="21">
        <f t="shared" si="75"/>
        <v>615</v>
      </c>
      <c r="C627" s="13" t="str">
        <f t="shared" si="74"/>
        <v>I426_疾患開始日</v>
      </c>
      <c r="D627" s="13" t="s">
        <v>6269</v>
      </c>
      <c r="E627" s="8"/>
      <c r="F627" s="7" t="s">
        <v>4348</v>
      </c>
      <c r="G627" s="7" t="s">
        <v>25</v>
      </c>
      <c r="H627" s="58"/>
      <c r="I627" s="23"/>
      <c r="J627" s="24"/>
      <c r="M627" s="4"/>
      <c r="N627" s="76"/>
      <c r="O627" s="76"/>
      <c r="P627" s="76" t="str">
        <f t="shared" si="67"/>
        <v>,shikkan609_start_date</v>
      </c>
      <c r="Q627" s="76" t="str">
        <f t="shared" si="68"/>
        <v>DATE</v>
      </c>
      <c r="R627" s="76" t="str">
        <f t="shared" si="69"/>
        <v/>
      </c>
      <c r="S627" s="76" t="str">
        <f t="shared" si="70"/>
        <v/>
      </c>
      <c r="T627" s="76" t="str">
        <f t="shared" si="71"/>
        <v>-- I426_疾患開始日</v>
      </c>
      <c r="U627" s="4" t="str">
        <f t="shared" si="72"/>
        <v>, CASE WHEN shikkan_disp_name = 'I426' THEN min_shikkan_start_date ::DATE ELSE NULL END AS shikkan609_start_date</v>
      </c>
      <c r="V627" s="25" t="str">
        <f t="shared" si="73"/>
        <v>, max(shikkan609_start_date)</v>
      </c>
      <c r="AA627" s="4"/>
      <c r="AB627" s="4"/>
      <c r="AC627" s="4"/>
      <c r="AD627" s="4"/>
      <c r="AE627" s="4"/>
      <c r="AF627" s="4"/>
      <c r="AG627" s="4"/>
      <c r="AH627" s="4"/>
      <c r="AI627" s="4"/>
      <c r="AJ627" s="76" t="str">
        <f>IF(E627="○",IF(COUNTA(E$13:E627)=1,"",",")&amp;D627,"")</f>
        <v/>
      </c>
      <c r="AK627" s="4"/>
      <c r="AL627" s="4"/>
      <c r="AM627" s="4"/>
      <c r="AN627" s="4"/>
      <c r="AO627" s="4"/>
      <c r="AP627" s="4"/>
      <c r="AQ627" s="4"/>
      <c r="AR627" s="4"/>
      <c r="AS627" s="76" t="str">
        <f>"COMMENT ON COLUMN "&amp;エンティティ一覧!$O$2&amp;"."&amp;D$8&amp;"."&amp;D627&amp;" IS '"&amp;C627&amp;"';"</f>
        <v>COMMENT ON COLUMN milscm_2023_009.sny_202310_annony_non_annony2.shikkan609_start_date IS 'I426_疾患開始日';</v>
      </c>
    </row>
    <row r="628" spans="1:45" s="25" customFormat="1">
      <c r="A628" s="4" t="s">
        <v>5696</v>
      </c>
      <c r="B628" s="21">
        <f t="shared" si="75"/>
        <v>616</v>
      </c>
      <c r="C628" s="13" t="str">
        <f t="shared" si="74"/>
        <v>I427_疾患開始日</v>
      </c>
      <c r="D628" s="13" t="s">
        <v>6270</v>
      </c>
      <c r="E628" s="8"/>
      <c r="F628" s="7" t="s">
        <v>4348</v>
      </c>
      <c r="G628" s="7" t="s">
        <v>25</v>
      </c>
      <c r="H628" s="58"/>
      <c r="I628" s="23"/>
      <c r="J628" s="24"/>
      <c r="M628" s="4"/>
      <c r="N628" s="76"/>
      <c r="O628" s="76"/>
      <c r="P628" s="76" t="str">
        <f t="shared" si="67"/>
        <v>,shikkan610_start_date</v>
      </c>
      <c r="Q628" s="76" t="str">
        <f t="shared" si="68"/>
        <v>DATE</v>
      </c>
      <c r="R628" s="76" t="str">
        <f t="shared" si="69"/>
        <v/>
      </c>
      <c r="S628" s="76" t="str">
        <f t="shared" si="70"/>
        <v/>
      </c>
      <c r="T628" s="76" t="str">
        <f t="shared" si="71"/>
        <v>-- I427_疾患開始日</v>
      </c>
      <c r="U628" s="4" t="str">
        <f t="shared" si="72"/>
        <v>, CASE WHEN shikkan_disp_name = 'I427' THEN min_shikkan_start_date ::DATE ELSE NULL END AS shikkan610_start_date</v>
      </c>
      <c r="V628" s="25" t="str">
        <f t="shared" si="73"/>
        <v>, max(shikkan610_start_date)</v>
      </c>
      <c r="AA628" s="4"/>
      <c r="AB628" s="4"/>
      <c r="AC628" s="4"/>
      <c r="AD628" s="4"/>
      <c r="AE628" s="4"/>
      <c r="AF628" s="4"/>
      <c r="AG628" s="4"/>
      <c r="AH628" s="4"/>
      <c r="AI628" s="4"/>
      <c r="AJ628" s="76" t="str">
        <f>IF(E628="○",IF(COUNTA(E$13:E628)=1,"",",")&amp;D628,"")</f>
        <v/>
      </c>
      <c r="AK628" s="4"/>
      <c r="AL628" s="4"/>
      <c r="AM628" s="4"/>
      <c r="AN628" s="4"/>
      <c r="AO628" s="4"/>
      <c r="AP628" s="4"/>
      <c r="AQ628" s="4"/>
      <c r="AR628" s="4"/>
      <c r="AS628" s="76" t="str">
        <f>"COMMENT ON COLUMN "&amp;エンティティ一覧!$O$2&amp;"."&amp;D$8&amp;"."&amp;D628&amp;" IS '"&amp;C628&amp;"';"</f>
        <v>COMMENT ON COLUMN milscm_2023_009.sny_202310_annony_non_annony2.shikkan610_start_date IS 'I427_疾患開始日';</v>
      </c>
    </row>
    <row r="629" spans="1:45" s="25" customFormat="1">
      <c r="A629" s="4" t="s">
        <v>5697</v>
      </c>
      <c r="B629" s="21">
        <f t="shared" si="75"/>
        <v>617</v>
      </c>
      <c r="C629" s="13" t="str">
        <f t="shared" si="74"/>
        <v>I428_疾患開始日</v>
      </c>
      <c r="D629" s="13" t="s">
        <v>6271</v>
      </c>
      <c r="E629" s="8"/>
      <c r="F629" s="7" t="s">
        <v>4348</v>
      </c>
      <c r="G629" s="7" t="s">
        <v>25</v>
      </c>
      <c r="H629" s="58"/>
      <c r="I629" s="23"/>
      <c r="J629" s="24"/>
      <c r="M629" s="4"/>
      <c r="N629" s="76"/>
      <c r="O629" s="76"/>
      <c r="P629" s="76" t="str">
        <f t="shared" si="67"/>
        <v>,shikkan611_start_date</v>
      </c>
      <c r="Q629" s="76" t="str">
        <f t="shared" si="68"/>
        <v>DATE</v>
      </c>
      <c r="R629" s="76" t="str">
        <f t="shared" si="69"/>
        <v/>
      </c>
      <c r="S629" s="76" t="str">
        <f t="shared" si="70"/>
        <v/>
      </c>
      <c r="T629" s="76" t="str">
        <f t="shared" si="71"/>
        <v>-- I428_疾患開始日</v>
      </c>
      <c r="U629" s="4" t="str">
        <f t="shared" si="72"/>
        <v>, CASE WHEN shikkan_disp_name = 'I428' THEN min_shikkan_start_date ::DATE ELSE NULL END AS shikkan611_start_date</v>
      </c>
      <c r="V629" s="25" t="str">
        <f t="shared" si="73"/>
        <v>, max(shikkan611_start_date)</v>
      </c>
      <c r="AA629" s="4"/>
      <c r="AB629" s="4"/>
      <c r="AC629" s="4"/>
      <c r="AD629" s="4"/>
      <c r="AE629" s="4"/>
      <c r="AF629" s="4"/>
      <c r="AG629" s="4"/>
      <c r="AH629" s="4"/>
      <c r="AI629" s="4"/>
      <c r="AJ629" s="76" t="str">
        <f>IF(E629="○",IF(COUNTA(E$13:E629)=1,"",",")&amp;D629,"")</f>
        <v/>
      </c>
      <c r="AK629" s="4"/>
      <c r="AL629" s="4"/>
      <c r="AM629" s="4"/>
      <c r="AN629" s="4"/>
      <c r="AO629" s="4"/>
      <c r="AP629" s="4"/>
      <c r="AQ629" s="4"/>
      <c r="AR629" s="4"/>
      <c r="AS629" s="76" t="str">
        <f>"COMMENT ON COLUMN "&amp;エンティティ一覧!$O$2&amp;"."&amp;D$8&amp;"."&amp;D629&amp;" IS '"&amp;C629&amp;"';"</f>
        <v>COMMENT ON COLUMN milscm_2023_009.sny_202310_annony_non_annony2.shikkan611_start_date IS 'I428_疾患開始日';</v>
      </c>
    </row>
    <row r="630" spans="1:45" s="25" customFormat="1">
      <c r="A630" s="4" t="s">
        <v>5698</v>
      </c>
      <c r="B630" s="21">
        <f t="shared" si="75"/>
        <v>618</v>
      </c>
      <c r="C630" s="13" t="str">
        <f t="shared" si="74"/>
        <v>I429_疾患開始日</v>
      </c>
      <c r="D630" s="13" t="s">
        <v>6272</v>
      </c>
      <c r="E630" s="8"/>
      <c r="F630" s="7" t="s">
        <v>4348</v>
      </c>
      <c r="G630" s="7" t="s">
        <v>25</v>
      </c>
      <c r="H630" s="58"/>
      <c r="I630" s="23"/>
      <c r="J630" s="24"/>
      <c r="M630" s="4"/>
      <c r="N630" s="76"/>
      <c r="O630" s="76"/>
      <c r="P630" s="76" t="str">
        <f t="shared" si="67"/>
        <v>,shikkan612_start_date</v>
      </c>
      <c r="Q630" s="76" t="str">
        <f t="shared" si="68"/>
        <v>DATE</v>
      </c>
      <c r="R630" s="76" t="str">
        <f t="shared" si="69"/>
        <v/>
      </c>
      <c r="S630" s="76" t="str">
        <f t="shared" si="70"/>
        <v/>
      </c>
      <c r="T630" s="76" t="str">
        <f t="shared" si="71"/>
        <v>-- I429_疾患開始日</v>
      </c>
      <c r="U630" s="4" t="str">
        <f t="shared" si="72"/>
        <v>, CASE WHEN shikkan_disp_name = 'I429' THEN min_shikkan_start_date ::DATE ELSE NULL END AS shikkan612_start_date</v>
      </c>
      <c r="V630" s="25" t="str">
        <f t="shared" si="73"/>
        <v>, max(shikkan612_start_date)</v>
      </c>
      <c r="AA630" s="4"/>
      <c r="AB630" s="4"/>
      <c r="AC630" s="4"/>
      <c r="AD630" s="4"/>
      <c r="AE630" s="4"/>
      <c r="AF630" s="4"/>
      <c r="AG630" s="4"/>
      <c r="AH630" s="4"/>
      <c r="AI630" s="4"/>
      <c r="AJ630" s="76" t="str">
        <f>IF(E630="○",IF(COUNTA(E$13:E630)=1,"",",")&amp;D630,"")</f>
        <v/>
      </c>
      <c r="AK630" s="4"/>
      <c r="AL630" s="4"/>
      <c r="AM630" s="4"/>
      <c r="AN630" s="4"/>
      <c r="AO630" s="4"/>
      <c r="AP630" s="4"/>
      <c r="AQ630" s="4"/>
      <c r="AR630" s="4"/>
      <c r="AS630" s="76" t="str">
        <f>"COMMENT ON COLUMN "&amp;エンティティ一覧!$O$2&amp;"."&amp;D$8&amp;"."&amp;D630&amp;" IS '"&amp;C630&amp;"';"</f>
        <v>COMMENT ON COLUMN milscm_2023_009.sny_202310_annony_non_annony2.shikkan612_start_date IS 'I429_疾患開始日';</v>
      </c>
    </row>
    <row r="631" spans="1:45" s="25" customFormat="1">
      <c r="A631" s="4" t="s">
        <v>5699</v>
      </c>
      <c r="B631" s="21">
        <f t="shared" si="75"/>
        <v>619</v>
      </c>
      <c r="C631" s="13" t="str">
        <f t="shared" si="74"/>
        <v>I430_疾患開始日</v>
      </c>
      <c r="D631" s="13" t="s">
        <v>6273</v>
      </c>
      <c r="E631" s="8"/>
      <c r="F631" s="7" t="s">
        <v>4348</v>
      </c>
      <c r="G631" s="7" t="s">
        <v>25</v>
      </c>
      <c r="H631" s="58"/>
      <c r="I631" s="23"/>
      <c r="J631" s="24"/>
      <c r="M631" s="4"/>
      <c r="N631" s="76"/>
      <c r="O631" s="76"/>
      <c r="P631" s="76" t="str">
        <f t="shared" si="67"/>
        <v>,shikkan613_start_date</v>
      </c>
      <c r="Q631" s="76" t="str">
        <f t="shared" si="68"/>
        <v>DATE</v>
      </c>
      <c r="R631" s="76" t="str">
        <f t="shared" si="69"/>
        <v/>
      </c>
      <c r="S631" s="76" t="str">
        <f t="shared" si="70"/>
        <v/>
      </c>
      <c r="T631" s="76" t="str">
        <f t="shared" si="71"/>
        <v>-- I430_疾患開始日</v>
      </c>
      <c r="U631" s="4" t="str">
        <f t="shared" si="72"/>
        <v>, CASE WHEN shikkan_disp_name = 'I430' THEN min_shikkan_start_date ::DATE ELSE NULL END AS shikkan613_start_date</v>
      </c>
      <c r="V631" s="25" t="str">
        <f t="shared" si="73"/>
        <v>, max(shikkan613_start_date)</v>
      </c>
      <c r="AA631" s="4"/>
      <c r="AB631" s="4"/>
      <c r="AC631" s="4"/>
      <c r="AD631" s="4"/>
      <c r="AE631" s="4"/>
      <c r="AF631" s="4"/>
      <c r="AG631" s="4"/>
      <c r="AH631" s="4"/>
      <c r="AI631" s="4"/>
      <c r="AJ631" s="76" t="str">
        <f>IF(E631="○",IF(COUNTA(E$13:E631)=1,"",",")&amp;D631,"")</f>
        <v/>
      </c>
      <c r="AK631" s="4"/>
      <c r="AL631" s="4"/>
      <c r="AM631" s="4"/>
      <c r="AN631" s="4"/>
      <c r="AO631" s="4"/>
      <c r="AP631" s="4"/>
      <c r="AQ631" s="4"/>
      <c r="AR631" s="4"/>
      <c r="AS631" s="76" t="str">
        <f>"COMMENT ON COLUMN "&amp;エンティティ一覧!$O$2&amp;"."&amp;D$8&amp;"."&amp;D631&amp;" IS '"&amp;C631&amp;"';"</f>
        <v>COMMENT ON COLUMN milscm_2023_009.sny_202310_annony_non_annony2.shikkan613_start_date IS 'I430_疾患開始日';</v>
      </c>
    </row>
    <row r="632" spans="1:45" s="25" customFormat="1">
      <c r="A632" s="4" t="s">
        <v>5700</v>
      </c>
      <c r="B632" s="21">
        <f t="shared" si="75"/>
        <v>620</v>
      </c>
      <c r="C632" s="13" t="str">
        <f t="shared" si="74"/>
        <v>I431_疾患開始日</v>
      </c>
      <c r="D632" s="13" t="s">
        <v>6274</v>
      </c>
      <c r="E632" s="8"/>
      <c r="F632" s="7" t="s">
        <v>4348</v>
      </c>
      <c r="G632" s="7" t="s">
        <v>25</v>
      </c>
      <c r="H632" s="58"/>
      <c r="I632" s="23"/>
      <c r="J632" s="24"/>
      <c r="M632" s="4"/>
      <c r="N632" s="76"/>
      <c r="O632" s="76"/>
      <c r="P632" s="76" t="str">
        <f t="shared" si="67"/>
        <v>,shikkan614_start_date</v>
      </c>
      <c r="Q632" s="76" t="str">
        <f t="shared" si="68"/>
        <v>DATE</v>
      </c>
      <c r="R632" s="76" t="str">
        <f t="shared" si="69"/>
        <v/>
      </c>
      <c r="S632" s="76" t="str">
        <f t="shared" si="70"/>
        <v/>
      </c>
      <c r="T632" s="76" t="str">
        <f t="shared" si="71"/>
        <v>-- I431_疾患開始日</v>
      </c>
      <c r="U632" s="4" t="str">
        <f t="shared" si="72"/>
        <v>, CASE WHEN shikkan_disp_name = 'I431' THEN min_shikkan_start_date ::DATE ELSE NULL END AS shikkan614_start_date</v>
      </c>
      <c r="V632" s="25" t="str">
        <f t="shared" si="73"/>
        <v>, max(shikkan614_start_date)</v>
      </c>
      <c r="AA632" s="4"/>
      <c r="AB632" s="4"/>
      <c r="AC632" s="4"/>
      <c r="AD632" s="4"/>
      <c r="AE632" s="4"/>
      <c r="AF632" s="4"/>
      <c r="AG632" s="4"/>
      <c r="AH632" s="4"/>
      <c r="AI632" s="4"/>
      <c r="AJ632" s="76" t="str">
        <f>IF(E632="○",IF(COUNTA(E$13:E632)=1,"",",")&amp;D632,"")</f>
        <v/>
      </c>
      <c r="AK632" s="4"/>
      <c r="AL632" s="4"/>
      <c r="AM632" s="4"/>
      <c r="AN632" s="4"/>
      <c r="AO632" s="4"/>
      <c r="AP632" s="4"/>
      <c r="AQ632" s="4"/>
      <c r="AR632" s="4"/>
      <c r="AS632" s="76" t="str">
        <f>"COMMENT ON COLUMN "&amp;エンティティ一覧!$O$2&amp;"."&amp;D$8&amp;"."&amp;D632&amp;" IS '"&amp;C632&amp;"';"</f>
        <v>COMMENT ON COLUMN milscm_2023_009.sny_202310_annony_non_annony2.shikkan614_start_date IS 'I431_疾患開始日';</v>
      </c>
    </row>
    <row r="633" spans="1:45" s="25" customFormat="1">
      <c r="A633" s="4" t="s">
        <v>5701</v>
      </c>
      <c r="B633" s="21">
        <f t="shared" si="75"/>
        <v>621</v>
      </c>
      <c r="C633" s="13" t="str">
        <f t="shared" si="74"/>
        <v>I432_疾患開始日</v>
      </c>
      <c r="D633" s="13" t="s">
        <v>6275</v>
      </c>
      <c r="E633" s="8"/>
      <c r="F633" s="7" t="s">
        <v>4348</v>
      </c>
      <c r="G633" s="7" t="s">
        <v>25</v>
      </c>
      <c r="H633" s="58"/>
      <c r="I633" s="23"/>
      <c r="J633" s="24"/>
      <c r="M633" s="4"/>
      <c r="N633" s="76"/>
      <c r="O633" s="76"/>
      <c r="P633" s="76" t="str">
        <f t="shared" si="67"/>
        <v>,shikkan615_start_date</v>
      </c>
      <c r="Q633" s="76" t="str">
        <f t="shared" si="68"/>
        <v>DATE</v>
      </c>
      <c r="R633" s="76" t="str">
        <f t="shared" si="69"/>
        <v/>
      </c>
      <c r="S633" s="76" t="str">
        <f t="shared" si="70"/>
        <v/>
      </c>
      <c r="T633" s="76" t="str">
        <f t="shared" si="71"/>
        <v>-- I432_疾患開始日</v>
      </c>
      <c r="U633" s="4" t="str">
        <f t="shared" si="72"/>
        <v>, CASE WHEN shikkan_disp_name = 'I432' THEN min_shikkan_start_date ::DATE ELSE NULL END AS shikkan615_start_date</v>
      </c>
      <c r="V633" s="25" t="str">
        <f t="shared" si="73"/>
        <v>, max(shikkan615_start_date)</v>
      </c>
      <c r="AA633" s="4"/>
      <c r="AB633" s="4"/>
      <c r="AC633" s="4"/>
      <c r="AD633" s="4"/>
      <c r="AE633" s="4"/>
      <c r="AF633" s="4"/>
      <c r="AG633" s="4"/>
      <c r="AH633" s="4"/>
      <c r="AI633" s="4"/>
      <c r="AJ633" s="76" t="str">
        <f>IF(E633="○",IF(COUNTA(E$13:E633)=1,"",",")&amp;D633,"")</f>
        <v/>
      </c>
      <c r="AK633" s="4"/>
      <c r="AL633" s="4"/>
      <c r="AM633" s="4"/>
      <c r="AN633" s="4"/>
      <c r="AO633" s="4"/>
      <c r="AP633" s="4"/>
      <c r="AQ633" s="4"/>
      <c r="AR633" s="4"/>
      <c r="AS633" s="76" t="str">
        <f>"COMMENT ON COLUMN "&amp;エンティティ一覧!$O$2&amp;"."&amp;D$8&amp;"."&amp;D633&amp;" IS '"&amp;C633&amp;"';"</f>
        <v>COMMENT ON COLUMN milscm_2023_009.sny_202310_annony_non_annony2.shikkan615_start_date IS 'I432_疾患開始日';</v>
      </c>
    </row>
    <row r="634" spans="1:45" s="25" customFormat="1">
      <c r="A634" s="4" t="s">
        <v>5702</v>
      </c>
      <c r="B634" s="21">
        <f t="shared" si="75"/>
        <v>622</v>
      </c>
      <c r="C634" s="13" t="str">
        <f t="shared" si="74"/>
        <v>I438_疾患開始日</v>
      </c>
      <c r="D634" s="13" t="s">
        <v>6276</v>
      </c>
      <c r="E634" s="8"/>
      <c r="F634" s="7" t="s">
        <v>4348</v>
      </c>
      <c r="G634" s="7" t="s">
        <v>25</v>
      </c>
      <c r="H634" s="58"/>
      <c r="I634" s="23"/>
      <c r="J634" s="24"/>
      <c r="M634" s="4"/>
      <c r="N634" s="76"/>
      <c r="O634" s="76"/>
      <c r="P634" s="76" t="str">
        <f t="shared" si="67"/>
        <v>,shikkan616_start_date</v>
      </c>
      <c r="Q634" s="76" t="str">
        <f t="shared" si="68"/>
        <v>DATE</v>
      </c>
      <c r="R634" s="76" t="str">
        <f t="shared" si="69"/>
        <v/>
      </c>
      <c r="S634" s="76" t="str">
        <f t="shared" si="70"/>
        <v/>
      </c>
      <c r="T634" s="76" t="str">
        <f t="shared" si="71"/>
        <v>-- I438_疾患開始日</v>
      </c>
      <c r="U634" s="4" t="str">
        <f t="shared" si="72"/>
        <v>, CASE WHEN shikkan_disp_name = 'I438' THEN min_shikkan_start_date ::DATE ELSE NULL END AS shikkan616_start_date</v>
      </c>
      <c r="V634" s="25" t="str">
        <f t="shared" si="73"/>
        <v>, max(shikkan616_start_date)</v>
      </c>
      <c r="AA634" s="4"/>
      <c r="AB634" s="4"/>
      <c r="AC634" s="4"/>
      <c r="AD634" s="4"/>
      <c r="AE634" s="4"/>
      <c r="AF634" s="4"/>
      <c r="AG634" s="4"/>
      <c r="AH634" s="4"/>
      <c r="AI634" s="4"/>
      <c r="AJ634" s="76" t="str">
        <f>IF(E634="○",IF(COUNTA(E$13:E634)=1,"",",")&amp;D634,"")</f>
        <v/>
      </c>
      <c r="AK634" s="4"/>
      <c r="AL634" s="4"/>
      <c r="AM634" s="4"/>
      <c r="AN634" s="4"/>
      <c r="AO634" s="4"/>
      <c r="AP634" s="4"/>
      <c r="AQ634" s="4"/>
      <c r="AR634" s="4"/>
      <c r="AS634" s="76" t="str">
        <f>"COMMENT ON COLUMN "&amp;エンティティ一覧!$O$2&amp;"."&amp;D$8&amp;"."&amp;D634&amp;" IS '"&amp;C634&amp;"';"</f>
        <v>COMMENT ON COLUMN milscm_2023_009.sny_202310_annony_non_annony2.shikkan616_start_date IS 'I438_疾患開始日';</v>
      </c>
    </row>
    <row r="635" spans="1:45" s="25" customFormat="1">
      <c r="A635" s="4" t="s">
        <v>5703</v>
      </c>
      <c r="B635" s="21">
        <f t="shared" si="75"/>
        <v>623</v>
      </c>
      <c r="C635" s="13" t="str">
        <f t="shared" si="74"/>
        <v>I500_疾患開始日</v>
      </c>
      <c r="D635" s="13" t="s">
        <v>6277</v>
      </c>
      <c r="E635" s="8"/>
      <c r="F635" s="7" t="s">
        <v>4348</v>
      </c>
      <c r="G635" s="7" t="s">
        <v>25</v>
      </c>
      <c r="H635" s="58"/>
      <c r="I635" s="23"/>
      <c r="J635" s="24"/>
      <c r="M635" s="4"/>
      <c r="N635" s="76"/>
      <c r="O635" s="76"/>
      <c r="P635" s="76" t="str">
        <f t="shared" si="67"/>
        <v>,shikkan617_start_date</v>
      </c>
      <c r="Q635" s="76" t="str">
        <f t="shared" si="68"/>
        <v>DATE</v>
      </c>
      <c r="R635" s="76" t="str">
        <f t="shared" si="69"/>
        <v/>
      </c>
      <c r="S635" s="76" t="str">
        <f t="shared" si="70"/>
        <v/>
      </c>
      <c r="T635" s="76" t="str">
        <f t="shared" si="71"/>
        <v>-- I500_疾患開始日</v>
      </c>
      <c r="U635" s="4" t="str">
        <f t="shared" si="72"/>
        <v>, CASE WHEN shikkan_disp_name = 'I500' THEN min_shikkan_start_date ::DATE ELSE NULL END AS shikkan617_start_date</v>
      </c>
      <c r="V635" s="25" t="str">
        <f t="shared" si="73"/>
        <v>, max(shikkan617_start_date)</v>
      </c>
      <c r="AA635" s="4"/>
      <c r="AB635" s="4"/>
      <c r="AC635" s="4"/>
      <c r="AD635" s="4"/>
      <c r="AE635" s="4"/>
      <c r="AF635" s="4"/>
      <c r="AG635" s="4"/>
      <c r="AH635" s="4"/>
      <c r="AI635" s="4"/>
      <c r="AJ635" s="76" t="str">
        <f>IF(E635="○",IF(COUNTA(E$13:E635)=1,"",",")&amp;D635,"")</f>
        <v/>
      </c>
      <c r="AK635" s="4"/>
      <c r="AL635" s="4"/>
      <c r="AM635" s="4"/>
      <c r="AN635" s="4"/>
      <c r="AO635" s="4"/>
      <c r="AP635" s="4"/>
      <c r="AQ635" s="4"/>
      <c r="AR635" s="4"/>
      <c r="AS635" s="76" t="str">
        <f>"COMMENT ON COLUMN "&amp;エンティティ一覧!$O$2&amp;"."&amp;D$8&amp;"."&amp;D635&amp;" IS '"&amp;C635&amp;"';"</f>
        <v>COMMENT ON COLUMN milscm_2023_009.sny_202310_annony_non_annony2.shikkan617_start_date IS 'I500_疾患開始日';</v>
      </c>
    </row>
    <row r="636" spans="1:45" s="25" customFormat="1">
      <c r="A636" s="4" t="s">
        <v>5704</v>
      </c>
      <c r="B636" s="21">
        <f t="shared" si="75"/>
        <v>624</v>
      </c>
      <c r="C636" s="13" t="str">
        <f t="shared" si="74"/>
        <v>I501_疾患開始日</v>
      </c>
      <c r="D636" s="13" t="s">
        <v>6278</v>
      </c>
      <c r="E636" s="8"/>
      <c r="F636" s="7" t="s">
        <v>4348</v>
      </c>
      <c r="G636" s="7" t="s">
        <v>25</v>
      </c>
      <c r="H636" s="58"/>
      <c r="I636" s="23"/>
      <c r="J636" s="24"/>
      <c r="M636" s="4"/>
      <c r="N636" s="76"/>
      <c r="O636" s="76"/>
      <c r="P636" s="76" t="str">
        <f t="shared" si="67"/>
        <v>,shikkan618_start_date</v>
      </c>
      <c r="Q636" s="76" t="str">
        <f t="shared" si="68"/>
        <v>DATE</v>
      </c>
      <c r="R636" s="76" t="str">
        <f t="shared" si="69"/>
        <v/>
      </c>
      <c r="S636" s="76" t="str">
        <f t="shared" si="70"/>
        <v/>
      </c>
      <c r="T636" s="76" t="str">
        <f t="shared" si="71"/>
        <v>-- I501_疾患開始日</v>
      </c>
      <c r="U636" s="4" t="str">
        <f t="shared" si="72"/>
        <v>, CASE WHEN shikkan_disp_name = 'I501' THEN min_shikkan_start_date ::DATE ELSE NULL END AS shikkan618_start_date</v>
      </c>
      <c r="V636" s="25" t="str">
        <f t="shared" si="73"/>
        <v>, max(shikkan618_start_date)</v>
      </c>
      <c r="AA636" s="4"/>
      <c r="AB636" s="4"/>
      <c r="AC636" s="4"/>
      <c r="AD636" s="4"/>
      <c r="AE636" s="4"/>
      <c r="AF636" s="4"/>
      <c r="AG636" s="4"/>
      <c r="AH636" s="4"/>
      <c r="AI636" s="4"/>
      <c r="AJ636" s="76" t="str">
        <f>IF(E636="○",IF(COUNTA(E$13:E636)=1,"",",")&amp;D636,"")</f>
        <v/>
      </c>
      <c r="AK636" s="4"/>
      <c r="AL636" s="4"/>
      <c r="AM636" s="4"/>
      <c r="AN636" s="4"/>
      <c r="AO636" s="4"/>
      <c r="AP636" s="4"/>
      <c r="AQ636" s="4"/>
      <c r="AR636" s="4"/>
      <c r="AS636" s="76" t="str">
        <f>"COMMENT ON COLUMN "&amp;エンティティ一覧!$O$2&amp;"."&amp;D$8&amp;"."&amp;D636&amp;" IS '"&amp;C636&amp;"';"</f>
        <v>COMMENT ON COLUMN milscm_2023_009.sny_202310_annony_non_annony2.shikkan618_start_date IS 'I501_疾患開始日';</v>
      </c>
    </row>
    <row r="637" spans="1:45" s="25" customFormat="1">
      <c r="A637" s="4" t="s">
        <v>5705</v>
      </c>
      <c r="B637" s="21">
        <f t="shared" si="75"/>
        <v>625</v>
      </c>
      <c r="C637" s="13" t="str">
        <f t="shared" si="74"/>
        <v>I509_疾患開始日</v>
      </c>
      <c r="D637" s="13" t="s">
        <v>6279</v>
      </c>
      <c r="E637" s="8"/>
      <c r="F637" s="7" t="s">
        <v>4348</v>
      </c>
      <c r="G637" s="7" t="s">
        <v>25</v>
      </c>
      <c r="H637" s="58"/>
      <c r="I637" s="23"/>
      <c r="J637" s="24"/>
      <c r="M637" s="4"/>
      <c r="N637" s="76"/>
      <c r="O637" s="76"/>
      <c r="P637" s="76" t="str">
        <f t="shared" si="67"/>
        <v>,shikkan619_start_date</v>
      </c>
      <c r="Q637" s="76" t="str">
        <f t="shared" si="68"/>
        <v>DATE</v>
      </c>
      <c r="R637" s="76" t="str">
        <f t="shared" si="69"/>
        <v/>
      </c>
      <c r="S637" s="76" t="str">
        <f t="shared" si="70"/>
        <v/>
      </c>
      <c r="T637" s="76" t="str">
        <f t="shared" si="71"/>
        <v>-- I509_疾患開始日</v>
      </c>
      <c r="U637" s="4" t="str">
        <f t="shared" si="72"/>
        <v>, CASE WHEN shikkan_disp_name = 'I509' THEN min_shikkan_start_date ::DATE ELSE NULL END AS shikkan619_start_date</v>
      </c>
      <c r="V637" s="25" t="str">
        <f t="shared" si="73"/>
        <v>, max(shikkan619_start_date)</v>
      </c>
      <c r="AA637" s="4"/>
      <c r="AB637" s="4"/>
      <c r="AC637" s="4"/>
      <c r="AD637" s="4"/>
      <c r="AE637" s="4"/>
      <c r="AF637" s="4"/>
      <c r="AG637" s="4"/>
      <c r="AH637" s="4"/>
      <c r="AI637" s="4"/>
      <c r="AJ637" s="76" t="str">
        <f>IF(E637="○",IF(COUNTA(E$13:E637)=1,"",",")&amp;D637,"")</f>
        <v/>
      </c>
      <c r="AK637" s="4"/>
      <c r="AL637" s="4"/>
      <c r="AM637" s="4"/>
      <c r="AN637" s="4"/>
      <c r="AO637" s="4"/>
      <c r="AP637" s="4"/>
      <c r="AQ637" s="4"/>
      <c r="AR637" s="4"/>
      <c r="AS637" s="76" t="str">
        <f>"COMMENT ON COLUMN "&amp;エンティティ一覧!$O$2&amp;"."&amp;D$8&amp;"."&amp;D637&amp;" IS '"&amp;C637&amp;"';"</f>
        <v>COMMENT ON COLUMN milscm_2023_009.sny_202310_annony_non_annony2.shikkan619_start_date IS 'I509_疾患開始日';</v>
      </c>
    </row>
    <row r="638" spans="1:45" s="25" customFormat="1">
      <c r="A638" s="4" t="s">
        <v>5706</v>
      </c>
      <c r="B638" s="21">
        <f t="shared" si="75"/>
        <v>626</v>
      </c>
      <c r="C638" s="13" t="str">
        <f t="shared" si="74"/>
        <v>I600_疾患開始日</v>
      </c>
      <c r="D638" s="13" t="s">
        <v>6280</v>
      </c>
      <c r="E638" s="8"/>
      <c r="F638" s="7" t="s">
        <v>4348</v>
      </c>
      <c r="G638" s="7" t="s">
        <v>25</v>
      </c>
      <c r="H638" s="58"/>
      <c r="I638" s="23"/>
      <c r="J638" s="24"/>
      <c r="M638" s="4"/>
      <c r="N638" s="76"/>
      <c r="O638" s="76"/>
      <c r="P638" s="76" t="str">
        <f t="shared" si="67"/>
        <v>,shikkan620_start_date</v>
      </c>
      <c r="Q638" s="76" t="str">
        <f t="shared" si="68"/>
        <v>DATE</v>
      </c>
      <c r="R638" s="76" t="str">
        <f t="shared" si="69"/>
        <v/>
      </c>
      <c r="S638" s="76" t="str">
        <f t="shared" si="70"/>
        <v/>
      </c>
      <c r="T638" s="76" t="str">
        <f t="shared" si="71"/>
        <v>-- I600_疾患開始日</v>
      </c>
      <c r="U638" s="4" t="str">
        <f t="shared" si="72"/>
        <v>, CASE WHEN shikkan_disp_name = 'I600' THEN min_shikkan_start_date ::DATE ELSE NULL END AS shikkan620_start_date</v>
      </c>
      <c r="V638" s="25" t="str">
        <f t="shared" si="73"/>
        <v>, max(shikkan620_start_date)</v>
      </c>
      <c r="AA638" s="4"/>
      <c r="AB638" s="4"/>
      <c r="AC638" s="4"/>
      <c r="AD638" s="4"/>
      <c r="AE638" s="4"/>
      <c r="AF638" s="4"/>
      <c r="AG638" s="4"/>
      <c r="AH638" s="4"/>
      <c r="AI638" s="4"/>
      <c r="AJ638" s="76" t="str">
        <f>IF(E638="○",IF(COUNTA(E$13:E638)=1,"",",")&amp;D638,"")</f>
        <v/>
      </c>
      <c r="AK638" s="4"/>
      <c r="AL638" s="4"/>
      <c r="AM638" s="4"/>
      <c r="AN638" s="4"/>
      <c r="AO638" s="4"/>
      <c r="AP638" s="4"/>
      <c r="AQ638" s="4"/>
      <c r="AR638" s="4"/>
      <c r="AS638" s="76" t="str">
        <f>"COMMENT ON COLUMN "&amp;エンティティ一覧!$O$2&amp;"."&amp;D$8&amp;"."&amp;D638&amp;" IS '"&amp;C638&amp;"';"</f>
        <v>COMMENT ON COLUMN milscm_2023_009.sny_202310_annony_non_annony2.shikkan620_start_date IS 'I600_疾患開始日';</v>
      </c>
    </row>
    <row r="639" spans="1:45" s="25" customFormat="1">
      <c r="A639" s="4" t="s">
        <v>5707</v>
      </c>
      <c r="B639" s="21">
        <f t="shared" si="75"/>
        <v>627</v>
      </c>
      <c r="C639" s="13" t="str">
        <f t="shared" si="74"/>
        <v>I601_疾患開始日</v>
      </c>
      <c r="D639" s="13" t="s">
        <v>6281</v>
      </c>
      <c r="E639" s="8"/>
      <c r="F639" s="7" t="s">
        <v>4348</v>
      </c>
      <c r="G639" s="7" t="s">
        <v>25</v>
      </c>
      <c r="H639" s="58"/>
      <c r="I639" s="23"/>
      <c r="J639" s="24"/>
      <c r="M639" s="4"/>
      <c r="N639" s="76"/>
      <c r="O639" s="76"/>
      <c r="P639" s="76" t="str">
        <f t="shared" si="67"/>
        <v>,shikkan621_start_date</v>
      </c>
      <c r="Q639" s="76" t="str">
        <f t="shared" si="68"/>
        <v>DATE</v>
      </c>
      <c r="R639" s="76" t="str">
        <f t="shared" si="69"/>
        <v/>
      </c>
      <c r="S639" s="76" t="str">
        <f t="shared" si="70"/>
        <v/>
      </c>
      <c r="T639" s="76" t="str">
        <f t="shared" si="71"/>
        <v>-- I601_疾患開始日</v>
      </c>
      <c r="U639" s="4" t="str">
        <f t="shared" si="72"/>
        <v>, CASE WHEN shikkan_disp_name = 'I601' THEN min_shikkan_start_date ::DATE ELSE NULL END AS shikkan621_start_date</v>
      </c>
      <c r="V639" s="25" t="str">
        <f t="shared" si="73"/>
        <v>, max(shikkan621_start_date)</v>
      </c>
      <c r="AA639" s="4"/>
      <c r="AB639" s="4"/>
      <c r="AC639" s="4"/>
      <c r="AD639" s="4"/>
      <c r="AE639" s="4"/>
      <c r="AF639" s="4"/>
      <c r="AG639" s="4"/>
      <c r="AH639" s="4"/>
      <c r="AI639" s="4"/>
      <c r="AJ639" s="76" t="str">
        <f>IF(E639="○",IF(COUNTA(E$13:E639)=1,"",",")&amp;D639,"")</f>
        <v/>
      </c>
      <c r="AK639" s="4"/>
      <c r="AL639" s="4"/>
      <c r="AM639" s="4"/>
      <c r="AN639" s="4"/>
      <c r="AO639" s="4"/>
      <c r="AP639" s="4"/>
      <c r="AQ639" s="4"/>
      <c r="AR639" s="4"/>
      <c r="AS639" s="76" t="str">
        <f>"COMMENT ON COLUMN "&amp;エンティティ一覧!$O$2&amp;"."&amp;D$8&amp;"."&amp;D639&amp;" IS '"&amp;C639&amp;"';"</f>
        <v>COMMENT ON COLUMN milscm_2023_009.sny_202310_annony_non_annony2.shikkan621_start_date IS 'I601_疾患開始日';</v>
      </c>
    </row>
    <row r="640" spans="1:45" s="25" customFormat="1">
      <c r="A640" s="4" t="s">
        <v>5708</v>
      </c>
      <c r="B640" s="21">
        <f t="shared" si="75"/>
        <v>628</v>
      </c>
      <c r="C640" s="13" t="str">
        <f t="shared" si="74"/>
        <v>I602_疾患開始日</v>
      </c>
      <c r="D640" s="13" t="s">
        <v>6282</v>
      </c>
      <c r="E640" s="8"/>
      <c r="F640" s="7" t="s">
        <v>4348</v>
      </c>
      <c r="G640" s="7" t="s">
        <v>25</v>
      </c>
      <c r="H640" s="58"/>
      <c r="I640" s="23"/>
      <c r="J640" s="24"/>
      <c r="M640" s="4"/>
      <c r="N640" s="76"/>
      <c r="O640" s="76"/>
      <c r="P640" s="76" t="str">
        <f t="shared" si="67"/>
        <v>,shikkan622_start_date</v>
      </c>
      <c r="Q640" s="76" t="str">
        <f t="shared" si="68"/>
        <v>DATE</v>
      </c>
      <c r="R640" s="76" t="str">
        <f t="shared" si="69"/>
        <v/>
      </c>
      <c r="S640" s="76" t="str">
        <f t="shared" si="70"/>
        <v/>
      </c>
      <c r="T640" s="76" t="str">
        <f t="shared" si="71"/>
        <v>-- I602_疾患開始日</v>
      </c>
      <c r="U640" s="4" t="str">
        <f t="shared" si="72"/>
        <v>, CASE WHEN shikkan_disp_name = 'I602' THEN min_shikkan_start_date ::DATE ELSE NULL END AS shikkan622_start_date</v>
      </c>
      <c r="V640" s="25" t="str">
        <f t="shared" si="73"/>
        <v>, max(shikkan622_start_date)</v>
      </c>
      <c r="AA640" s="4"/>
      <c r="AB640" s="4"/>
      <c r="AC640" s="4"/>
      <c r="AD640" s="4"/>
      <c r="AE640" s="4"/>
      <c r="AF640" s="4"/>
      <c r="AG640" s="4"/>
      <c r="AH640" s="4"/>
      <c r="AI640" s="4"/>
      <c r="AJ640" s="76" t="str">
        <f>IF(E640="○",IF(COUNTA(E$13:E640)=1,"",",")&amp;D640,"")</f>
        <v/>
      </c>
      <c r="AK640" s="4"/>
      <c r="AL640" s="4"/>
      <c r="AM640" s="4"/>
      <c r="AN640" s="4"/>
      <c r="AO640" s="4"/>
      <c r="AP640" s="4"/>
      <c r="AQ640" s="4"/>
      <c r="AR640" s="4"/>
      <c r="AS640" s="76" t="str">
        <f>"COMMENT ON COLUMN "&amp;エンティティ一覧!$O$2&amp;"."&amp;D$8&amp;"."&amp;D640&amp;" IS '"&amp;C640&amp;"';"</f>
        <v>COMMENT ON COLUMN milscm_2023_009.sny_202310_annony_non_annony2.shikkan622_start_date IS 'I602_疾患開始日';</v>
      </c>
    </row>
    <row r="641" spans="1:45" s="25" customFormat="1">
      <c r="A641" s="4" t="s">
        <v>5709</v>
      </c>
      <c r="B641" s="21">
        <f t="shared" si="75"/>
        <v>629</v>
      </c>
      <c r="C641" s="13" t="str">
        <f t="shared" si="74"/>
        <v>I603_疾患開始日</v>
      </c>
      <c r="D641" s="13" t="s">
        <v>6283</v>
      </c>
      <c r="E641" s="8"/>
      <c r="F641" s="7" t="s">
        <v>4348</v>
      </c>
      <c r="G641" s="7" t="s">
        <v>99</v>
      </c>
      <c r="H641" s="58"/>
      <c r="I641" s="23"/>
      <c r="J641" s="24"/>
      <c r="M641" s="4"/>
      <c r="N641" s="76"/>
      <c r="O641" s="76"/>
      <c r="P641" s="76" t="str">
        <f t="shared" si="67"/>
        <v>,shikkan623_start_date</v>
      </c>
      <c r="Q641" s="76" t="str">
        <f t="shared" si="68"/>
        <v>DATE</v>
      </c>
      <c r="R641" s="76" t="str">
        <f t="shared" si="69"/>
        <v/>
      </c>
      <c r="S641" s="76" t="str">
        <f t="shared" si="70"/>
        <v/>
      </c>
      <c r="T641" s="76" t="str">
        <f t="shared" si="71"/>
        <v>-- I603_疾患開始日</v>
      </c>
      <c r="U641" s="4" t="str">
        <f t="shared" si="72"/>
        <v>, CASE WHEN shikkan_disp_name = 'I603' THEN min_shikkan_start_date ::DATE ELSE NULL END AS shikkan623_start_date</v>
      </c>
      <c r="V641" s="25" t="str">
        <f t="shared" si="73"/>
        <v>, max(shikkan623_start_date)</v>
      </c>
      <c r="AA641" s="4"/>
      <c r="AB641" s="4"/>
      <c r="AC641" s="4"/>
      <c r="AD641" s="4"/>
      <c r="AE641" s="4"/>
      <c r="AF641" s="4"/>
      <c r="AG641" s="4"/>
      <c r="AH641" s="4"/>
      <c r="AI641" s="4"/>
      <c r="AJ641" s="76" t="str">
        <f>IF(E641="○",IF(COUNTA(E$13:E641)=1,"",",")&amp;D641,"")</f>
        <v/>
      </c>
      <c r="AK641" s="4"/>
      <c r="AL641" s="4"/>
      <c r="AM641" s="4"/>
      <c r="AN641" s="4"/>
      <c r="AO641" s="4"/>
      <c r="AP641" s="4"/>
      <c r="AQ641" s="4"/>
      <c r="AR641" s="4"/>
      <c r="AS641" s="76" t="str">
        <f>"COMMENT ON COLUMN "&amp;エンティティ一覧!$O$2&amp;"."&amp;D$8&amp;"."&amp;D641&amp;" IS '"&amp;C641&amp;"';"</f>
        <v>COMMENT ON COLUMN milscm_2023_009.sny_202310_annony_non_annony2.shikkan623_start_date IS 'I603_疾患開始日';</v>
      </c>
    </row>
    <row r="642" spans="1:45" s="25" customFormat="1">
      <c r="A642" s="4" t="s">
        <v>5710</v>
      </c>
      <c r="B642" s="21">
        <f t="shared" si="75"/>
        <v>630</v>
      </c>
      <c r="C642" s="13" t="str">
        <f t="shared" si="74"/>
        <v>I604_疾患開始日</v>
      </c>
      <c r="D642" s="13" t="s">
        <v>6284</v>
      </c>
      <c r="E642" s="8"/>
      <c r="F642" s="7" t="s">
        <v>4348</v>
      </c>
      <c r="G642" s="7" t="s">
        <v>25</v>
      </c>
      <c r="H642" s="58"/>
      <c r="I642" s="23"/>
      <c r="J642" s="24"/>
      <c r="M642" s="4"/>
      <c r="N642" s="76"/>
      <c r="O642" s="76"/>
      <c r="P642" s="76" t="str">
        <f t="shared" si="67"/>
        <v>,shikkan624_start_date</v>
      </c>
      <c r="Q642" s="76" t="str">
        <f t="shared" si="68"/>
        <v>DATE</v>
      </c>
      <c r="R642" s="76" t="str">
        <f t="shared" si="69"/>
        <v/>
      </c>
      <c r="S642" s="76" t="str">
        <f t="shared" si="70"/>
        <v/>
      </c>
      <c r="T642" s="76" t="str">
        <f t="shared" si="71"/>
        <v>-- I604_疾患開始日</v>
      </c>
      <c r="U642" s="4" t="str">
        <f t="shared" si="72"/>
        <v>, CASE WHEN shikkan_disp_name = 'I604' THEN min_shikkan_start_date ::DATE ELSE NULL END AS shikkan624_start_date</v>
      </c>
      <c r="V642" s="25" t="str">
        <f t="shared" si="73"/>
        <v>, max(shikkan624_start_date)</v>
      </c>
      <c r="AA642" s="4"/>
      <c r="AB642" s="4"/>
      <c r="AC642" s="4"/>
      <c r="AD642" s="4"/>
      <c r="AE642" s="4"/>
      <c r="AF642" s="4"/>
      <c r="AG642" s="4"/>
      <c r="AH642" s="4"/>
      <c r="AI642" s="4"/>
      <c r="AJ642" s="76" t="str">
        <f>IF(E642="○",IF(COUNTA(E$13:E642)=1,"",",")&amp;D642,"")</f>
        <v/>
      </c>
      <c r="AK642" s="4"/>
      <c r="AL642" s="4"/>
      <c r="AM642" s="4"/>
      <c r="AN642" s="4"/>
      <c r="AO642" s="4"/>
      <c r="AP642" s="4"/>
      <c r="AQ642" s="4"/>
      <c r="AR642" s="4"/>
      <c r="AS642" s="76" t="str">
        <f>"COMMENT ON COLUMN "&amp;エンティティ一覧!$O$2&amp;"."&amp;D$8&amp;"."&amp;D642&amp;" IS '"&amp;C642&amp;"';"</f>
        <v>COMMENT ON COLUMN milscm_2023_009.sny_202310_annony_non_annony2.shikkan624_start_date IS 'I604_疾患開始日';</v>
      </c>
    </row>
    <row r="643" spans="1:45" s="25" customFormat="1">
      <c r="A643" s="4" t="s">
        <v>5711</v>
      </c>
      <c r="B643" s="21">
        <f t="shared" si="75"/>
        <v>631</v>
      </c>
      <c r="C643" s="13" t="str">
        <f t="shared" si="74"/>
        <v>I605_疾患開始日</v>
      </c>
      <c r="D643" s="13" t="s">
        <v>6285</v>
      </c>
      <c r="E643" s="8"/>
      <c r="F643" s="7" t="s">
        <v>4348</v>
      </c>
      <c r="G643" s="7" t="s">
        <v>25</v>
      </c>
      <c r="H643" s="58"/>
      <c r="I643" s="23"/>
      <c r="J643" s="24"/>
      <c r="M643" s="4"/>
      <c r="N643" s="76"/>
      <c r="O643" s="76"/>
      <c r="P643" s="76" t="str">
        <f t="shared" si="67"/>
        <v>,shikkan625_start_date</v>
      </c>
      <c r="Q643" s="76" t="str">
        <f t="shared" si="68"/>
        <v>DATE</v>
      </c>
      <c r="R643" s="76" t="str">
        <f t="shared" si="69"/>
        <v/>
      </c>
      <c r="S643" s="76" t="str">
        <f t="shared" si="70"/>
        <v/>
      </c>
      <c r="T643" s="76" t="str">
        <f t="shared" si="71"/>
        <v>-- I605_疾患開始日</v>
      </c>
      <c r="U643" s="4" t="str">
        <f t="shared" si="72"/>
        <v>, CASE WHEN shikkan_disp_name = 'I605' THEN min_shikkan_start_date ::DATE ELSE NULL END AS shikkan625_start_date</v>
      </c>
      <c r="V643" s="25" t="str">
        <f t="shared" si="73"/>
        <v>, max(shikkan625_start_date)</v>
      </c>
      <c r="AA643" s="4"/>
      <c r="AB643" s="4"/>
      <c r="AC643" s="4"/>
      <c r="AD643" s="4"/>
      <c r="AE643" s="4"/>
      <c r="AF643" s="4"/>
      <c r="AG643" s="4"/>
      <c r="AH643" s="4"/>
      <c r="AI643" s="4"/>
      <c r="AJ643" s="76" t="str">
        <f>IF(E643="○",IF(COUNTA(E$13:E643)=1,"",",")&amp;D643,"")</f>
        <v/>
      </c>
      <c r="AK643" s="4"/>
      <c r="AL643" s="4"/>
      <c r="AM643" s="4"/>
      <c r="AN643" s="4"/>
      <c r="AO643" s="4"/>
      <c r="AP643" s="4"/>
      <c r="AQ643" s="4"/>
      <c r="AR643" s="4"/>
      <c r="AS643" s="76" t="str">
        <f>"COMMENT ON COLUMN "&amp;エンティティ一覧!$O$2&amp;"."&amp;D$8&amp;"."&amp;D643&amp;" IS '"&amp;C643&amp;"';"</f>
        <v>COMMENT ON COLUMN milscm_2023_009.sny_202310_annony_non_annony2.shikkan625_start_date IS 'I605_疾患開始日';</v>
      </c>
    </row>
    <row r="644" spans="1:45" s="25" customFormat="1">
      <c r="A644" s="4" t="s">
        <v>5712</v>
      </c>
      <c r="B644" s="21">
        <f t="shared" si="75"/>
        <v>632</v>
      </c>
      <c r="C644" s="13" t="str">
        <f t="shared" si="74"/>
        <v>I606_疾患開始日</v>
      </c>
      <c r="D644" s="13" t="s">
        <v>6286</v>
      </c>
      <c r="E644" s="8"/>
      <c r="F644" s="7" t="s">
        <v>4348</v>
      </c>
      <c r="G644" s="7" t="s">
        <v>25</v>
      </c>
      <c r="H644" s="58"/>
      <c r="I644" s="23"/>
      <c r="J644" s="24"/>
      <c r="M644" s="4"/>
      <c r="N644" s="76"/>
      <c r="O644" s="76"/>
      <c r="P644" s="76" t="str">
        <f t="shared" si="67"/>
        <v>,shikkan626_start_date</v>
      </c>
      <c r="Q644" s="76" t="str">
        <f t="shared" si="68"/>
        <v>DATE</v>
      </c>
      <c r="R644" s="76" t="str">
        <f t="shared" si="69"/>
        <v/>
      </c>
      <c r="S644" s="76" t="str">
        <f t="shared" si="70"/>
        <v/>
      </c>
      <c r="T644" s="76" t="str">
        <f t="shared" si="71"/>
        <v>-- I606_疾患開始日</v>
      </c>
      <c r="U644" s="4" t="str">
        <f t="shared" si="72"/>
        <v>, CASE WHEN shikkan_disp_name = 'I606' THEN min_shikkan_start_date ::DATE ELSE NULL END AS shikkan626_start_date</v>
      </c>
      <c r="V644" s="25" t="str">
        <f t="shared" si="73"/>
        <v>, max(shikkan626_start_date)</v>
      </c>
      <c r="AA644" s="4"/>
      <c r="AB644" s="4"/>
      <c r="AC644" s="4"/>
      <c r="AD644" s="4"/>
      <c r="AE644" s="4"/>
      <c r="AF644" s="4"/>
      <c r="AG644" s="4"/>
      <c r="AH644" s="4"/>
      <c r="AI644" s="4"/>
      <c r="AJ644" s="76" t="str">
        <f>IF(E644="○",IF(COUNTA(E$13:E644)=1,"",",")&amp;D644,"")</f>
        <v/>
      </c>
      <c r="AK644" s="4"/>
      <c r="AL644" s="4"/>
      <c r="AM644" s="4"/>
      <c r="AN644" s="4"/>
      <c r="AO644" s="4"/>
      <c r="AP644" s="4"/>
      <c r="AQ644" s="4"/>
      <c r="AR644" s="4"/>
      <c r="AS644" s="76" t="str">
        <f>"COMMENT ON COLUMN "&amp;エンティティ一覧!$O$2&amp;"."&amp;D$8&amp;"."&amp;D644&amp;" IS '"&amp;C644&amp;"';"</f>
        <v>COMMENT ON COLUMN milscm_2023_009.sny_202310_annony_non_annony2.shikkan626_start_date IS 'I606_疾患開始日';</v>
      </c>
    </row>
    <row r="645" spans="1:45" s="25" customFormat="1">
      <c r="A645" s="4" t="s">
        <v>5713</v>
      </c>
      <c r="B645" s="21">
        <f t="shared" si="75"/>
        <v>633</v>
      </c>
      <c r="C645" s="13" t="str">
        <f t="shared" si="74"/>
        <v>I607_疾患開始日</v>
      </c>
      <c r="D645" s="13" t="s">
        <v>6287</v>
      </c>
      <c r="E645" s="8"/>
      <c r="F645" s="7" t="s">
        <v>4348</v>
      </c>
      <c r="G645" s="7" t="s">
        <v>25</v>
      </c>
      <c r="H645" s="58"/>
      <c r="I645" s="23"/>
      <c r="J645" s="24"/>
      <c r="M645" s="4"/>
      <c r="N645" s="76"/>
      <c r="O645" s="76"/>
      <c r="P645" s="76" t="str">
        <f t="shared" si="67"/>
        <v>,shikkan627_start_date</v>
      </c>
      <c r="Q645" s="76" t="str">
        <f t="shared" si="68"/>
        <v>DATE</v>
      </c>
      <c r="R645" s="76" t="str">
        <f t="shared" si="69"/>
        <v/>
      </c>
      <c r="S645" s="76" t="str">
        <f t="shared" si="70"/>
        <v/>
      </c>
      <c r="T645" s="76" t="str">
        <f t="shared" si="71"/>
        <v>-- I607_疾患開始日</v>
      </c>
      <c r="U645" s="4" t="str">
        <f t="shared" si="72"/>
        <v>, CASE WHEN shikkan_disp_name = 'I607' THEN min_shikkan_start_date ::DATE ELSE NULL END AS shikkan627_start_date</v>
      </c>
      <c r="V645" s="25" t="str">
        <f t="shared" si="73"/>
        <v>, max(shikkan627_start_date)</v>
      </c>
      <c r="AA645" s="4"/>
      <c r="AB645" s="4"/>
      <c r="AC645" s="4"/>
      <c r="AD645" s="4"/>
      <c r="AE645" s="4"/>
      <c r="AF645" s="4"/>
      <c r="AG645" s="4"/>
      <c r="AH645" s="4"/>
      <c r="AI645" s="4"/>
      <c r="AJ645" s="76" t="str">
        <f>IF(E645="○",IF(COUNTA(E$13:E645)=1,"",",")&amp;D645,"")</f>
        <v/>
      </c>
      <c r="AK645" s="4"/>
      <c r="AL645" s="4"/>
      <c r="AM645" s="4"/>
      <c r="AN645" s="4"/>
      <c r="AO645" s="4"/>
      <c r="AP645" s="4"/>
      <c r="AQ645" s="4"/>
      <c r="AR645" s="4"/>
      <c r="AS645" s="76" t="str">
        <f>"COMMENT ON COLUMN "&amp;エンティティ一覧!$O$2&amp;"."&amp;D$8&amp;"."&amp;D645&amp;" IS '"&amp;C645&amp;"';"</f>
        <v>COMMENT ON COLUMN milscm_2023_009.sny_202310_annony_non_annony2.shikkan627_start_date IS 'I607_疾患開始日';</v>
      </c>
    </row>
    <row r="646" spans="1:45" s="25" customFormat="1">
      <c r="A646" s="4" t="s">
        <v>5714</v>
      </c>
      <c r="B646" s="21">
        <f t="shared" si="75"/>
        <v>634</v>
      </c>
      <c r="C646" s="13" t="str">
        <f t="shared" si="74"/>
        <v>I608_疾患開始日</v>
      </c>
      <c r="D646" s="13" t="s">
        <v>6288</v>
      </c>
      <c r="E646" s="8"/>
      <c r="F646" s="7" t="s">
        <v>4348</v>
      </c>
      <c r="G646" s="7" t="s">
        <v>25</v>
      </c>
      <c r="H646" s="58"/>
      <c r="I646" s="23"/>
      <c r="J646" s="24"/>
      <c r="M646" s="4"/>
      <c r="N646" s="76"/>
      <c r="O646" s="76"/>
      <c r="P646" s="76" t="str">
        <f t="shared" si="67"/>
        <v>,shikkan628_start_date</v>
      </c>
      <c r="Q646" s="76" t="str">
        <f t="shared" si="68"/>
        <v>DATE</v>
      </c>
      <c r="R646" s="76" t="str">
        <f t="shared" si="69"/>
        <v/>
      </c>
      <c r="S646" s="76" t="str">
        <f t="shared" si="70"/>
        <v/>
      </c>
      <c r="T646" s="76" t="str">
        <f t="shared" si="71"/>
        <v>-- I608_疾患開始日</v>
      </c>
      <c r="U646" s="4" t="str">
        <f t="shared" si="72"/>
        <v>, CASE WHEN shikkan_disp_name = 'I608' THEN min_shikkan_start_date ::DATE ELSE NULL END AS shikkan628_start_date</v>
      </c>
      <c r="V646" s="25" t="str">
        <f t="shared" si="73"/>
        <v>, max(shikkan628_start_date)</v>
      </c>
      <c r="AA646" s="4"/>
      <c r="AB646" s="4"/>
      <c r="AC646" s="4"/>
      <c r="AD646" s="4"/>
      <c r="AE646" s="4"/>
      <c r="AF646" s="4"/>
      <c r="AG646" s="4"/>
      <c r="AH646" s="4"/>
      <c r="AI646" s="4"/>
      <c r="AJ646" s="76" t="str">
        <f>IF(E646="○",IF(COUNTA(E$13:E646)=1,"",",")&amp;D646,"")</f>
        <v/>
      </c>
      <c r="AK646" s="4"/>
      <c r="AL646" s="4"/>
      <c r="AM646" s="4"/>
      <c r="AN646" s="4"/>
      <c r="AO646" s="4"/>
      <c r="AP646" s="4"/>
      <c r="AQ646" s="4"/>
      <c r="AR646" s="4"/>
      <c r="AS646" s="76" t="str">
        <f>"COMMENT ON COLUMN "&amp;エンティティ一覧!$O$2&amp;"."&amp;D$8&amp;"."&amp;D646&amp;" IS '"&amp;C646&amp;"';"</f>
        <v>COMMENT ON COLUMN milscm_2023_009.sny_202310_annony_non_annony2.shikkan628_start_date IS 'I608_疾患開始日';</v>
      </c>
    </row>
    <row r="647" spans="1:45" s="25" customFormat="1">
      <c r="A647" s="4" t="s">
        <v>5715</v>
      </c>
      <c r="B647" s="21">
        <f t="shared" si="75"/>
        <v>635</v>
      </c>
      <c r="C647" s="13" t="str">
        <f t="shared" si="74"/>
        <v>I609_疾患開始日</v>
      </c>
      <c r="D647" s="13" t="s">
        <v>6289</v>
      </c>
      <c r="E647" s="8"/>
      <c r="F647" s="7" t="s">
        <v>4348</v>
      </c>
      <c r="G647" s="7" t="s">
        <v>25</v>
      </c>
      <c r="H647" s="58"/>
      <c r="I647" s="23"/>
      <c r="J647" s="24"/>
      <c r="M647" s="4"/>
      <c r="N647" s="76"/>
      <c r="O647" s="76"/>
      <c r="P647" s="76" t="str">
        <f t="shared" si="67"/>
        <v>,shikkan629_start_date</v>
      </c>
      <c r="Q647" s="76" t="str">
        <f t="shared" si="68"/>
        <v>DATE</v>
      </c>
      <c r="R647" s="76" t="str">
        <f t="shared" si="69"/>
        <v/>
      </c>
      <c r="S647" s="76" t="str">
        <f t="shared" si="70"/>
        <v/>
      </c>
      <c r="T647" s="76" t="str">
        <f t="shared" si="71"/>
        <v>-- I609_疾患開始日</v>
      </c>
      <c r="U647" s="4" t="str">
        <f t="shared" si="72"/>
        <v>, CASE WHEN shikkan_disp_name = 'I609' THEN min_shikkan_start_date ::DATE ELSE NULL END AS shikkan629_start_date</v>
      </c>
      <c r="V647" s="25" t="str">
        <f t="shared" si="73"/>
        <v>, max(shikkan629_start_date)</v>
      </c>
      <c r="AA647" s="4"/>
      <c r="AB647" s="4"/>
      <c r="AC647" s="4"/>
      <c r="AD647" s="4"/>
      <c r="AE647" s="4"/>
      <c r="AF647" s="4"/>
      <c r="AG647" s="4"/>
      <c r="AH647" s="4"/>
      <c r="AI647" s="4"/>
      <c r="AJ647" s="76" t="str">
        <f>IF(E647="○",IF(COUNTA(E$13:E647)=1,"",",")&amp;D647,"")</f>
        <v/>
      </c>
      <c r="AK647" s="4"/>
      <c r="AL647" s="4"/>
      <c r="AM647" s="4"/>
      <c r="AN647" s="4"/>
      <c r="AO647" s="4"/>
      <c r="AP647" s="4"/>
      <c r="AQ647" s="4"/>
      <c r="AR647" s="4"/>
      <c r="AS647" s="76" t="str">
        <f>"COMMENT ON COLUMN "&amp;エンティティ一覧!$O$2&amp;"."&amp;D$8&amp;"."&amp;D647&amp;" IS '"&amp;C647&amp;"';"</f>
        <v>COMMENT ON COLUMN milscm_2023_009.sny_202310_annony_non_annony2.shikkan629_start_date IS 'I609_疾患開始日';</v>
      </c>
    </row>
    <row r="648" spans="1:45" s="25" customFormat="1">
      <c r="A648" s="4" t="s">
        <v>5716</v>
      </c>
      <c r="B648" s="21">
        <f t="shared" si="75"/>
        <v>636</v>
      </c>
      <c r="C648" s="13" t="str">
        <f t="shared" si="74"/>
        <v>I610_疾患開始日</v>
      </c>
      <c r="D648" s="13" t="s">
        <v>6290</v>
      </c>
      <c r="E648" s="8"/>
      <c r="F648" s="7" t="s">
        <v>4348</v>
      </c>
      <c r="G648" s="7" t="s">
        <v>25</v>
      </c>
      <c r="H648" s="58"/>
      <c r="I648" s="23"/>
      <c r="J648" s="24"/>
      <c r="M648" s="4"/>
      <c r="N648" s="76"/>
      <c r="O648" s="76"/>
      <c r="P648" s="76" t="str">
        <f t="shared" si="67"/>
        <v>,shikkan630_start_date</v>
      </c>
      <c r="Q648" s="76" t="str">
        <f t="shared" si="68"/>
        <v>DATE</v>
      </c>
      <c r="R648" s="76" t="str">
        <f t="shared" si="69"/>
        <v/>
      </c>
      <c r="S648" s="76" t="str">
        <f t="shared" si="70"/>
        <v/>
      </c>
      <c r="T648" s="76" t="str">
        <f t="shared" si="71"/>
        <v>-- I610_疾患開始日</v>
      </c>
      <c r="U648" s="4" t="str">
        <f t="shared" si="72"/>
        <v>, CASE WHEN shikkan_disp_name = 'I610' THEN min_shikkan_start_date ::DATE ELSE NULL END AS shikkan630_start_date</v>
      </c>
      <c r="V648" s="25" t="str">
        <f t="shared" si="73"/>
        <v>, max(shikkan630_start_date)</v>
      </c>
      <c r="AA648" s="4"/>
      <c r="AB648" s="4"/>
      <c r="AC648" s="4"/>
      <c r="AD648" s="4"/>
      <c r="AE648" s="4"/>
      <c r="AF648" s="4"/>
      <c r="AG648" s="4"/>
      <c r="AH648" s="4"/>
      <c r="AI648" s="4"/>
      <c r="AJ648" s="76" t="str">
        <f>IF(E648="○",IF(COUNTA(E$13:E648)=1,"",",")&amp;D648,"")</f>
        <v/>
      </c>
      <c r="AK648" s="4"/>
      <c r="AL648" s="4"/>
      <c r="AM648" s="4"/>
      <c r="AN648" s="4"/>
      <c r="AO648" s="4"/>
      <c r="AP648" s="4"/>
      <c r="AQ648" s="4"/>
      <c r="AR648" s="4"/>
      <c r="AS648" s="76" t="str">
        <f>"COMMENT ON COLUMN "&amp;エンティティ一覧!$O$2&amp;"."&amp;D$8&amp;"."&amp;D648&amp;" IS '"&amp;C648&amp;"';"</f>
        <v>COMMENT ON COLUMN milscm_2023_009.sny_202310_annony_non_annony2.shikkan630_start_date IS 'I610_疾患開始日';</v>
      </c>
    </row>
    <row r="649" spans="1:45" s="25" customFormat="1">
      <c r="A649" s="4" t="s">
        <v>5717</v>
      </c>
      <c r="B649" s="21">
        <f t="shared" si="75"/>
        <v>637</v>
      </c>
      <c r="C649" s="13" t="str">
        <f t="shared" si="74"/>
        <v>I611_疾患開始日</v>
      </c>
      <c r="D649" s="13" t="s">
        <v>6291</v>
      </c>
      <c r="E649" s="8"/>
      <c r="F649" s="7" t="s">
        <v>4348</v>
      </c>
      <c r="G649" s="7" t="s">
        <v>25</v>
      </c>
      <c r="H649" s="58"/>
      <c r="I649" s="23"/>
      <c r="J649" s="24"/>
      <c r="M649" s="4"/>
      <c r="N649" s="76"/>
      <c r="O649" s="76"/>
      <c r="P649" s="76" t="str">
        <f t="shared" si="67"/>
        <v>,shikkan631_start_date</v>
      </c>
      <c r="Q649" s="76" t="str">
        <f t="shared" si="68"/>
        <v>DATE</v>
      </c>
      <c r="R649" s="76" t="str">
        <f t="shared" si="69"/>
        <v/>
      </c>
      <c r="S649" s="76" t="str">
        <f t="shared" si="70"/>
        <v/>
      </c>
      <c r="T649" s="76" t="str">
        <f t="shared" si="71"/>
        <v>-- I611_疾患開始日</v>
      </c>
      <c r="U649" s="4" t="str">
        <f t="shared" si="72"/>
        <v>, CASE WHEN shikkan_disp_name = 'I611' THEN min_shikkan_start_date ::DATE ELSE NULL END AS shikkan631_start_date</v>
      </c>
      <c r="V649" s="25" t="str">
        <f t="shared" si="73"/>
        <v>, max(shikkan631_start_date)</v>
      </c>
      <c r="AA649" s="4"/>
      <c r="AB649" s="4"/>
      <c r="AC649" s="4"/>
      <c r="AD649" s="4"/>
      <c r="AE649" s="4"/>
      <c r="AF649" s="4"/>
      <c r="AG649" s="4"/>
      <c r="AH649" s="4"/>
      <c r="AI649" s="4"/>
      <c r="AJ649" s="76" t="str">
        <f>IF(E649="○",IF(COUNTA(E$13:E649)=1,"",",")&amp;D649,"")</f>
        <v/>
      </c>
      <c r="AK649" s="4"/>
      <c r="AL649" s="4"/>
      <c r="AM649" s="4"/>
      <c r="AN649" s="4"/>
      <c r="AO649" s="4"/>
      <c r="AP649" s="4"/>
      <c r="AQ649" s="4"/>
      <c r="AR649" s="4"/>
      <c r="AS649" s="76" t="str">
        <f>"COMMENT ON COLUMN "&amp;エンティティ一覧!$O$2&amp;"."&amp;D$8&amp;"."&amp;D649&amp;" IS '"&amp;C649&amp;"';"</f>
        <v>COMMENT ON COLUMN milscm_2023_009.sny_202310_annony_non_annony2.shikkan631_start_date IS 'I611_疾患開始日';</v>
      </c>
    </row>
    <row r="650" spans="1:45" s="25" customFormat="1">
      <c r="A650" s="4" t="s">
        <v>5718</v>
      </c>
      <c r="B650" s="21">
        <f t="shared" si="75"/>
        <v>638</v>
      </c>
      <c r="C650" s="13" t="str">
        <f t="shared" si="74"/>
        <v>I612_疾患開始日</v>
      </c>
      <c r="D650" s="13" t="s">
        <v>6292</v>
      </c>
      <c r="E650" s="8"/>
      <c r="F650" s="7" t="s">
        <v>4348</v>
      </c>
      <c r="G650" s="7" t="s">
        <v>25</v>
      </c>
      <c r="H650" s="58"/>
      <c r="I650" s="23"/>
      <c r="J650" s="24"/>
      <c r="M650" s="4"/>
      <c r="N650" s="76"/>
      <c r="O650" s="76"/>
      <c r="P650" s="76" t="str">
        <f t="shared" si="67"/>
        <v>,shikkan632_start_date</v>
      </c>
      <c r="Q650" s="76" t="str">
        <f t="shared" si="68"/>
        <v>DATE</v>
      </c>
      <c r="R650" s="76" t="str">
        <f t="shared" si="69"/>
        <v/>
      </c>
      <c r="S650" s="76" t="str">
        <f t="shared" si="70"/>
        <v/>
      </c>
      <c r="T650" s="76" t="str">
        <f t="shared" si="71"/>
        <v>-- I612_疾患開始日</v>
      </c>
      <c r="U650" s="4" t="str">
        <f t="shared" si="72"/>
        <v>, CASE WHEN shikkan_disp_name = 'I612' THEN min_shikkan_start_date ::DATE ELSE NULL END AS shikkan632_start_date</v>
      </c>
      <c r="V650" s="25" t="str">
        <f t="shared" si="73"/>
        <v>, max(shikkan632_start_date)</v>
      </c>
      <c r="AA650" s="4"/>
      <c r="AB650" s="4"/>
      <c r="AC650" s="4"/>
      <c r="AD650" s="4"/>
      <c r="AE650" s="4"/>
      <c r="AF650" s="4"/>
      <c r="AG650" s="4"/>
      <c r="AH650" s="4"/>
      <c r="AI650" s="4"/>
      <c r="AJ650" s="76" t="str">
        <f>IF(E650="○",IF(COUNTA(E$13:E650)=1,"",",")&amp;D650,"")</f>
        <v/>
      </c>
      <c r="AK650" s="4"/>
      <c r="AL650" s="4"/>
      <c r="AM650" s="4"/>
      <c r="AN650" s="4"/>
      <c r="AO650" s="4"/>
      <c r="AP650" s="4"/>
      <c r="AQ650" s="4"/>
      <c r="AR650" s="4"/>
      <c r="AS650" s="76" t="str">
        <f>"COMMENT ON COLUMN "&amp;エンティティ一覧!$O$2&amp;"."&amp;D$8&amp;"."&amp;D650&amp;" IS '"&amp;C650&amp;"';"</f>
        <v>COMMENT ON COLUMN milscm_2023_009.sny_202310_annony_non_annony2.shikkan632_start_date IS 'I612_疾患開始日';</v>
      </c>
    </row>
    <row r="651" spans="1:45" s="25" customFormat="1">
      <c r="A651" s="4" t="s">
        <v>5719</v>
      </c>
      <c r="B651" s="21">
        <f t="shared" si="75"/>
        <v>639</v>
      </c>
      <c r="C651" s="13" t="str">
        <f t="shared" si="74"/>
        <v>I613_疾患開始日</v>
      </c>
      <c r="D651" s="13" t="s">
        <v>6293</v>
      </c>
      <c r="E651" s="8"/>
      <c r="F651" s="7" t="s">
        <v>4348</v>
      </c>
      <c r="G651" s="7" t="s">
        <v>25</v>
      </c>
      <c r="H651" s="58"/>
      <c r="I651" s="23"/>
      <c r="J651" s="24"/>
      <c r="M651" s="4"/>
      <c r="N651" s="76"/>
      <c r="O651" s="76"/>
      <c r="P651" s="76" t="str">
        <f t="shared" si="67"/>
        <v>,shikkan633_start_date</v>
      </c>
      <c r="Q651" s="76" t="str">
        <f t="shared" si="68"/>
        <v>DATE</v>
      </c>
      <c r="R651" s="76" t="str">
        <f t="shared" si="69"/>
        <v/>
      </c>
      <c r="S651" s="76" t="str">
        <f t="shared" si="70"/>
        <v/>
      </c>
      <c r="T651" s="76" t="str">
        <f t="shared" si="71"/>
        <v>-- I613_疾患開始日</v>
      </c>
      <c r="U651" s="4" t="str">
        <f t="shared" si="72"/>
        <v>, CASE WHEN shikkan_disp_name = 'I613' THEN min_shikkan_start_date ::DATE ELSE NULL END AS shikkan633_start_date</v>
      </c>
      <c r="V651" s="25" t="str">
        <f t="shared" si="73"/>
        <v>, max(shikkan633_start_date)</v>
      </c>
      <c r="AA651" s="4"/>
      <c r="AB651" s="4"/>
      <c r="AC651" s="4"/>
      <c r="AD651" s="4"/>
      <c r="AE651" s="4"/>
      <c r="AF651" s="4"/>
      <c r="AG651" s="4"/>
      <c r="AH651" s="4"/>
      <c r="AI651" s="4"/>
      <c r="AJ651" s="76" t="str">
        <f>IF(E651="○",IF(COUNTA(E$13:E651)=1,"",",")&amp;D651,"")</f>
        <v/>
      </c>
      <c r="AK651" s="4"/>
      <c r="AL651" s="4"/>
      <c r="AM651" s="4"/>
      <c r="AN651" s="4"/>
      <c r="AO651" s="4"/>
      <c r="AP651" s="4"/>
      <c r="AQ651" s="4"/>
      <c r="AR651" s="4"/>
      <c r="AS651" s="76" t="str">
        <f>"COMMENT ON COLUMN "&amp;エンティティ一覧!$O$2&amp;"."&amp;D$8&amp;"."&amp;D651&amp;" IS '"&amp;C651&amp;"';"</f>
        <v>COMMENT ON COLUMN milscm_2023_009.sny_202310_annony_non_annony2.shikkan633_start_date IS 'I613_疾患開始日';</v>
      </c>
    </row>
    <row r="652" spans="1:45" s="25" customFormat="1">
      <c r="A652" s="4" t="s">
        <v>5720</v>
      </c>
      <c r="B652" s="21">
        <f t="shared" si="75"/>
        <v>640</v>
      </c>
      <c r="C652" s="13" t="str">
        <f t="shared" si="74"/>
        <v>I614_疾患開始日</v>
      </c>
      <c r="D652" s="13" t="s">
        <v>6294</v>
      </c>
      <c r="E652" s="8"/>
      <c r="F652" s="7" t="s">
        <v>4348</v>
      </c>
      <c r="G652" s="7" t="s">
        <v>25</v>
      </c>
      <c r="H652" s="58"/>
      <c r="I652" s="23"/>
      <c r="J652" s="24"/>
      <c r="M652" s="4"/>
      <c r="N652" s="76"/>
      <c r="O652" s="76"/>
      <c r="P652" s="76" t="str">
        <f t="shared" si="67"/>
        <v>,shikkan634_start_date</v>
      </c>
      <c r="Q652" s="76" t="str">
        <f t="shared" si="68"/>
        <v>DATE</v>
      </c>
      <c r="R652" s="76" t="str">
        <f t="shared" si="69"/>
        <v/>
      </c>
      <c r="S652" s="76" t="str">
        <f t="shared" si="70"/>
        <v/>
      </c>
      <c r="T652" s="76" t="str">
        <f t="shared" si="71"/>
        <v>-- I614_疾患開始日</v>
      </c>
      <c r="U652" s="4" t="str">
        <f t="shared" si="72"/>
        <v>, CASE WHEN shikkan_disp_name = 'I614' THEN min_shikkan_start_date ::DATE ELSE NULL END AS shikkan634_start_date</v>
      </c>
      <c r="V652" s="25" t="str">
        <f t="shared" si="73"/>
        <v>, max(shikkan634_start_date)</v>
      </c>
      <c r="AA652" s="4"/>
      <c r="AB652" s="4"/>
      <c r="AC652" s="4"/>
      <c r="AD652" s="4"/>
      <c r="AE652" s="4"/>
      <c r="AF652" s="4"/>
      <c r="AG652" s="4"/>
      <c r="AH652" s="4"/>
      <c r="AI652" s="4"/>
      <c r="AJ652" s="76" t="str">
        <f>IF(E652="○",IF(COUNTA(E$13:E652)=1,"",",")&amp;D652,"")</f>
        <v/>
      </c>
      <c r="AK652" s="4"/>
      <c r="AL652" s="4"/>
      <c r="AM652" s="4"/>
      <c r="AN652" s="4"/>
      <c r="AO652" s="4"/>
      <c r="AP652" s="4"/>
      <c r="AQ652" s="4"/>
      <c r="AR652" s="4"/>
      <c r="AS652" s="76" t="str">
        <f>"COMMENT ON COLUMN "&amp;エンティティ一覧!$O$2&amp;"."&amp;D$8&amp;"."&amp;D652&amp;" IS '"&amp;C652&amp;"';"</f>
        <v>COMMENT ON COLUMN milscm_2023_009.sny_202310_annony_non_annony2.shikkan634_start_date IS 'I614_疾患開始日';</v>
      </c>
    </row>
    <row r="653" spans="1:45" s="25" customFormat="1">
      <c r="A653" s="4" t="s">
        <v>5721</v>
      </c>
      <c r="B653" s="21">
        <f t="shared" si="75"/>
        <v>641</v>
      </c>
      <c r="C653" s="13" t="str">
        <f t="shared" si="74"/>
        <v>I615_疾患開始日</v>
      </c>
      <c r="D653" s="13" t="s">
        <v>6295</v>
      </c>
      <c r="E653" s="8"/>
      <c r="F653" s="7" t="s">
        <v>4348</v>
      </c>
      <c r="G653" s="7" t="s">
        <v>25</v>
      </c>
      <c r="H653" s="58"/>
      <c r="I653" s="23"/>
      <c r="J653" s="24"/>
      <c r="M653" s="4"/>
      <c r="N653" s="76"/>
      <c r="O653" s="76"/>
      <c r="P653" s="76" t="str">
        <f t="shared" si="67"/>
        <v>,shikkan635_start_date</v>
      </c>
      <c r="Q653" s="76" t="str">
        <f t="shared" si="68"/>
        <v>DATE</v>
      </c>
      <c r="R653" s="76" t="str">
        <f t="shared" si="69"/>
        <v/>
      </c>
      <c r="S653" s="76" t="str">
        <f t="shared" si="70"/>
        <v/>
      </c>
      <c r="T653" s="76" t="str">
        <f t="shared" si="71"/>
        <v>-- I615_疾患開始日</v>
      </c>
      <c r="U653" s="4" t="str">
        <f t="shared" si="72"/>
        <v>, CASE WHEN shikkan_disp_name = 'I615' THEN min_shikkan_start_date ::DATE ELSE NULL END AS shikkan635_start_date</v>
      </c>
      <c r="V653" s="25" t="str">
        <f t="shared" si="73"/>
        <v>, max(shikkan635_start_date)</v>
      </c>
      <c r="AA653" s="4"/>
      <c r="AB653" s="4"/>
      <c r="AC653" s="4"/>
      <c r="AD653" s="4"/>
      <c r="AE653" s="4"/>
      <c r="AF653" s="4"/>
      <c r="AG653" s="4"/>
      <c r="AH653" s="4"/>
      <c r="AI653" s="4"/>
      <c r="AJ653" s="76" t="str">
        <f>IF(E653="○",IF(COUNTA(E$13:E653)=1,"",",")&amp;D653,"")</f>
        <v/>
      </c>
      <c r="AK653" s="4"/>
      <c r="AL653" s="4"/>
      <c r="AM653" s="4"/>
      <c r="AN653" s="4"/>
      <c r="AO653" s="4"/>
      <c r="AP653" s="4"/>
      <c r="AQ653" s="4"/>
      <c r="AR653" s="4"/>
      <c r="AS653" s="76" t="str">
        <f>"COMMENT ON COLUMN "&amp;エンティティ一覧!$O$2&amp;"."&amp;D$8&amp;"."&amp;D653&amp;" IS '"&amp;C653&amp;"';"</f>
        <v>COMMENT ON COLUMN milscm_2023_009.sny_202310_annony_non_annony2.shikkan635_start_date IS 'I615_疾患開始日';</v>
      </c>
    </row>
    <row r="654" spans="1:45" s="25" customFormat="1">
      <c r="A654" s="4" t="s">
        <v>5722</v>
      </c>
      <c r="B654" s="21">
        <f t="shared" si="75"/>
        <v>642</v>
      </c>
      <c r="C654" s="13" t="str">
        <f t="shared" si="74"/>
        <v>I616_疾患開始日</v>
      </c>
      <c r="D654" s="13" t="s">
        <v>6296</v>
      </c>
      <c r="E654" s="8"/>
      <c r="F654" s="7" t="s">
        <v>4348</v>
      </c>
      <c r="G654" s="7" t="s">
        <v>25</v>
      </c>
      <c r="H654" s="58"/>
      <c r="I654" s="23"/>
      <c r="J654" s="24"/>
      <c r="M654" s="4"/>
      <c r="N654" s="76"/>
      <c r="O654" s="76"/>
      <c r="P654" s="76" t="str">
        <f t="shared" si="67"/>
        <v>,shikkan636_start_date</v>
      </c>
      <c r="Q654" s="76" t="str">
        <f t="shared" si="68"/>
        <v>DATE</v>
      </c>
      <c r="R654" s="76" t="str">
        <f t="shared" si="69"/>
        <v/>
      </c>
      <c r="S654" s="76" t="str">
        <f t="shared" si="70"/>
        <v/>
      </c>
      <c r="T654" s="76" t="str">
        <f t="shared" si="71"/>
        <v>-- I616_疾患開始日</v>
      </c>
      <c r="U654" s="4" t="str">
        <f t="shared" si="72"/>
        <v>, CASE WHEN shikkan_disp_name = 'I616' THEN min_shikkan_start_date ::DATE ELSE NULL END AS shikkan636_start_date</v>
      </c>
      <c r="V654" s="25" t="str">
        <f t="shared" si="73"/>
        <v>, max(shikkan636_start_date)</v>
      </c>
      <c r="AA654" s="4"/>
      <c r="AB654" s="4"/>
      <c r="AC654" s="4"/>
      <c r="AD654" s="4"/>
      <c r="AE654" s="4"/>
      <c r="AF654" s="4"/>
      <c r="AG654" s="4"/>
      <c r="AH654" s="4"/>
      <c r="AI654" s="4"/>
      <c r="AJ654" s="76" t="str">
        <f>IF(E654="○",IF(COUNTA(E$13:E654)=1,"",",")&amp;D654,"")</f>
        <v/>
      </c>
      <c r="AK654" s="4"/>
      <c r="AL654" s="4"/>
      <c r="AM654" s="4"/>
      <c r="AN654" s="4"/>
      <c r="AO654" s="4"/>
      <c r="AP654" s="4"/>
      <c r="AQ654" s="4"/>
      <c r="AR654" s="4"/>
      <c r="AS654" s="76" t="str">
        <f>"COMMENT ON COLUMN "&amp;エンティティ一覧!$O$2&amp;"."&amp;D$8&amp;"."&amp;D654&amp;" IS '"&amp;C654&amp;"';"</f>
        <v>COMMENT ON COLUMN milscm_2023_009.sny_202310_annony_non_annony2.shikkan636_start_date IS 'I616_疾患開始日';</v>
      </c>
    </row>
    <row r="655" spans="1:45" s="25" customFormat="1">
      <c r="A655" s="4" t="s">
        <v>5723</v>
      </c>
      <c r="B655" s="21">
        <f t="shared" si="75"/>
        <v>643</v>
      </c>
      <c r="C655" s="13" t="str">
        <f t="shared" si="74"/>
        <v>I618_疾患開始日</v>
      </c>
      <c r="D655" s="13" t="s">
        <v>6297</v>
      </c>
      <c r="E655" s="8"/>
      <c r="F655" s="7" t="s">
        <v>4348</v>
      </c>
      <c r="G655" s="7" t="s">
        <v>25</v>
      </c>
      <c r="H655" s="58"/>
      <c r="I655" s="23"/>
      <c r="J655" s="24"/>
      <c r="M655" s="4"/>
      <c r="N655" s="76"/>
      <c r="O655" s="76"/>
      <c r="P655" s="76" t="str">
        <f t="shared" si="67"/>
        <v>,shikkan637_start_date</v>
      </c>
      <c r="Q655" s="76" t="str">
        <f t="shared" si="68"/>
        <v>DATE</v>
      </c>
      <c r="R655" s="76" t="str">
        <f t="shared" si="69"/>
        <v/>
      </c>
      <c r="S655" s="76" t="str">
        <f t="shared" si="70"/>
        <v/>
      </c>
      <c r="T655" s="76" t="str">
        <f t="shared" si="71"/>
        <v>-- I618_疾患開始日</v>
      </c>
      <c r="U655" s="4" t="str">
        <f t="shared" si="72"/>
        <v>, CASE WHEN shikkan_disp_name = 'I618' THEN min_shikkan_start_date ::DATE ELSE NULL END AS shikkan637_start_date</v>
      </c>
      <c r="V655" s="25" t="str">
        <f t="shared" si="73"/>
        <v>, max(shikkan637_start_date)</v>
      </c>
      <c r="AA655" s="4"/>
      <c r="AB655" s="4"/>
      <c r="AC655" s="4"/>
      <c r="AD655" s="4"/>
      <c r="AE655" s="4"/>
      <c r="AF655" s="4"/>
      <c r="AG655" s="4"/>
      <c r="AH655" s="4"/>
      <c r="AI655" s="4"/>
      <c r="AJ655" s="76" t="str">
        <f>IF(E655="○",IF(COUNTA(E$13:E655)=1,"",",")&amp;D655,"")</f>
        <v/>
      </c>
      <c r="AK655" s="4"/>
      <c r="AL655" s="4"/>
      <c r="AM655" s="4"/>
      <c r="AN655" s="4"/>
      <c r="AO655" s="4"/>
      <c r="AP655" s="4"/>
      <c r="AQ655" s="4"/>
      <c r="AR655" s="4"/>
      <c r="AS655" s="76" t="str">
        <f>"COMMENT ON COLUMN "&amp;エンティティ一覧!$O$2&amp;"."&amp;D$8&amp;"."&amp;D655&amp;" IS '"&amp;C655&amp;"';"</f>
        <v>COMMENT ON COLUMN milscm_2023_009.sny_202310_annony_non_annony2.shikkan637_start_date IS 'I618_疾患開始日';</v>
      </c>
    </row>
    <row r="656" spans="1:45" s="25" customFormat="1">
      <c r="A656" s="4" t="s">
        <v>5724</v>
      </c>
      <c r="B656" s="21">
        <f t="shared" si="75"/>
        <v>644</v>
      </c>
      <c r="C656" s="13" t="str">
        <f t="shared" si="74"/>
        <v>I619_疾患開始日</v>
      </c>
      <c r="D656" s="13" t="s">
        <v>6298</v>
      </c>
      <c r="E656" s="8"/>
      <c r="F656" s="7" t="s">
        <v>4348</v>
      </c>
      <c r="G656" s="7" t="s">
        <v>25</v>
      </c>
      <c r="H656" s="58"/>
      <c r="I656" s="23"/>
      <c r="J656" s="24"/>
      <c r="M656" s="4"/>
      <c r="N656" s="76"/>
      <c r="O656" s="76"/>
      <c r="P656" s="76" t="str">
        <f t="shared" si="67"/>
        <v>,shikkan638_start_date</v>
      </c>
      <c r="Q656" s="76" t="str">
        <f t="shared" si="68"/>
        <v>DATE</v>
      </c>
      <c r="R656" s="76" t="str">
        <f t="shared" si="69"/>
        <v/>
      </c>
      <c r="S656" s="76" t="str">
        <f t="shared" si="70"/>
        <v/>
      </c>
      <c r="T656" s="76" t="str">
        <f t="shared" si="71"/>
        <v>-- I619_疾患開始日</v>
      </c>
      <c r="U656" s="4" t="str">
        <f t="shared" si="72"/>
        <v>, CASE WHEN shikkan_disp_name = 'I619' THEN min_shikkan_start_date ::DATE ELSE NULL END AS shikkan638_start_date</v>
      </c>
      <c r="V656" s="25" t="str">
        <f t="shared" si="73"/>
        <v>, max(shikkan638_start_date)</v>
      </c>
      <c r="AA656" s="4"/>
      <c r="AB656" s="4"/>
      <c r="AC656" s="4"/>
      <c r="AD656" s="4"/>
      <c r="AE656" s="4"/>
      <c r="AF656" s="4"/>
      <c r="AG656" s="4"/>
      <c r="AH656" s="4"/>
      <c r="AI656" s="4"/>
      <c r="AJ656" s="76" t="str">
        <f>IF(E656="○",IF(COUNTA(E$13:E656)=1,"",",")&amp;D656,"")</f>
        <v/>
      </c>
      <c r="AK656" s="4"/>
      <c r="AL656" s="4"/>
      <c r="AM656" s="4"/>
      <c r="AN656" s="4"/>
      <c r="AO656" s="4"/>
      <c r="AP656" s="4"/>
      <c r="AQ656" s="4"/>
      <c r="AR656" s="4"/>
      <c r="AS656" s="76" t="str">
        <f>"COMMENT ON COLUMN "&amp;エンティティ一覧!$O$2&amp;"."&amp;D$8&amp;"."&amp;D656&amp;" IS '"&amp;C656&amp;"';"</f>
        <v>COMMENT ON COLUMN milscm_2023_009.sny_202310_annony_non_annony2.shikkan638_start_date IS 'I619_疾患開始日';</v>
      </c>
    </row>
    <row r="657" spans="1:45" s="25" customFormat="1">
      <c r="A657" s="4" t="s">
        <v>5725</v>
      </c>
      <c r="B657" s="21">
        <f t="shared" si="75"/>
        <v>645</v>
      </c>
      <c r="C657" s="13" t="str">
        <f t="shared" si="74"/>
        <v>I620_疾患開始日</v>
      </c>
      <c r="D657" s="13" t="s">
        <v>6299</v>
      </c>
      <c r="E657" s="8"/>
      <c r="F657" s="7" t="s">
        <v>4348</v>
      </c>
      <c r="G657" s="7" t="s">
        <v>99</v>
      </c>
      <c r="H657" s="58"/>
      <c r="I657" s="23"/>
      <c r="J657" s="24"/>
      <c r="M657" s="4"/>
      <c r="N657" s="76"/>
      <c r="O657" s="76"/>
      <c r="P657" s="76" t="str">
        <f t="shared" si="67"/>
        <v>,shikkan639_start_date</v>
      </c>
      <c r="Q657" s="76" t="str">
        <f t="shared" si="68"/>
        <v>DATE</v>
      </c>
      <c r="R657" s="76" t="str">
        <f t="shared" si="69"/>
        <v/>
      </c>
      <c r="S657" s="76" t="str">
        <f t="shared" si="70"/>
        <v/>
      </c>
      <c r="T657" s="76" t="str">
        <f t="shared" si="71"/>
        <v>-- I620_疾患開始日</v>
      </c>
      <c r="U657" s="4" t="str">
        <f t="shared" si="72"/>
        <v>, CASE WHEN shikkan_disp_name = 'I620' THEN min_shikkan_start_date ::DATE ELSE NULL END AS shikkan639_start_date</v>
      </c>
      <c r="V657" s="25" t="str">
        <f t="shared" si="73"/>
        <v>, max(shikkan639_start_date)</v>
      </c>
      <c r="AA657" s="4"/>
      <c r="AB657" s="4"/>
      <c r="AC657" s="4"/>
      <c r="AD657" s="4"/>
      <c r="AE657" s="4"/>
      <c r="AF657" s="4"/>
      <c r="AG657" s="4"/>
      <c r="AH657" s="4"/>
      <c r="AI657" s="4"/>
      <c r="AJ657" s="76" t="str">
        <f>IF(E657="○",IF(COUNTA(E$13:E657)=1,"",",")&amp;D657,"")</f>
        <v/>
      </c>
      <c r="AK657" s="4"/>
      <c r="AL657" s="4"/>
      <c r="AM657" s="4"/>
      <c r="AN657" s="4"/>
      <c r="AO657" s="4"/>
      <c r="AP657" s="4"/>
      <c r="AQ657" s="4"/>
      <c r="AR657" s="4"/>
      <c r="AS657" s="76" t="str">
        <f>"COMMENT ON COLUMN "&amp;エンティティ一覧!$O$2&amp;"."&amp;D$8&amp;"."&amp;D657&amp;" IS '"&amp;C657&amp;"';"</f>
        <v>COMMENT ON COLUMN milscm_2023_009.sny_202310_annony_non_annony2.shikkan639_start_date IS 'I620_疾患開始日';</v>
      </c>
    </row>
    <row r="658" spans="1:45" s="25" customFormat="1">
      <c r="A658" s="4" t="s">
        <v>5726</v>
      </c>
      <c r="B658" s="21">
        <f t="shared" si="75"/>
        <v>646</v>
      </c>
      <c r="C658" s="13" t="str">
        <f t="shared" si="74"/>
        <v>I621_疾患開始日</v>
      </c>
      <c r="D658" s="13" t="s">
        <v>6300</v>
      </c>
      <c r="E658" s="8"/>
      <c r="F658" s="7" t="s">
        <v>4348</v>
      </c>
      <c r="G658" s="7" t="s">
        <v>25</v>
      </c>
      <c r="H658" s="58"/>
      <c r="I658" s="23"/>
      <c r="J658" s="24"/>
      <c r="M658" s="4"/>
      <c r="N658" s="76"/>
      <c r="O658" s="76"/>
      <c r="P658" s="76" t="str">
        <f t="shared" ref="P658:P721" si="76">IF(B658&lt;&gt;1,","&amp;D658,D658)</f>
        <v>,shikkan640_start_date</v>
      </c>
      <c r="Q658" s="76" t="str">
        <f t="shared" ref="Q658:Q721" si="77">UPPER(G658)</f>
        <v>DATE</v>
      </c>
      <c r="R658" s="76" t="str">
        <f t="shared" ref="R658:R721" si="78">IF(H658&lt;&gt;"","default "&amp;IF(G658="text","'"&amp;H658&amp;"'",H658),"")</f>
        <v/>
      </c>
      <c r="S658" s="76" t="str">
        <f t="shared" ref="S658:S721" si="79">IF(I658="○","NOT NULL","")</f>
        <v/>
      </c>
      <c r="T658" s="76" t="str">
        <f t="shared" ref="T658:T721" si="80">"-- "&amp;C658</f>
        <v>-- I621_疾患開始日</v>
      </c>
      <c r="U658" s="4" t="str">
        <f t="shared" si="72"/>
        <v>, CASE WHEN shikkan_disp_name = 'I621' THEN min_shikkan_start_date ::DATE ELSE NULL END AS shikkan640_start_date</v>
      </c>
      <c r="V658" s="25" t="str">
        <f t="shared" si="73"/>
        <v>, max(shikkan640_start_date)</v>
      </c>
      <c r="AA658" s="4"/>
      <c r="AB658" s="4"/>
      <c r="AC658" s="4"/>
      <c r="AD658" s="4"/>
      <c r="AE658" s="4"/>
      <c r="AF658" s="4"/>
      <c r="AG658" s="4"/>
      <c r="AH658" s="4"/>
      <c r="AI658" s="4"/>
      <c r="AJ658" s="76" t="str">
        <f>IF(E658="○",IF(COUNTA(E$13:E658)=1,"",",")&amp;D658,"")</f>
        <v/>
      </c>
      <c r="AK658" s="4"/>
      <c r="AL658" s="4"/>
      <c r="AM658" s="4"/>
      <c r="AN658" s="4"/>
      <c r="AO658" s="4"/>
      <c r="AP658" s="4"/>
      <c r="AQ658" s="4"/>
      <c r="AR658" s="4"/>
      <c r="AS658" s="76" t="str">
        <f>"COMMENT ON COLUMN "&amp;エンティティ一覧!$O$2&amp;"."&amp;D$8&amp;"."&amp;D658&amp;" IS '"&amp;C658&amp;"';"</f>
        <v>COMMENT ON COLUMN milscm_2023_009.sny_202310_annony_non_annony2.shikkan640_start_date IS 'I621_疾患開始日';</v>
      </c>
    </row>
    <row r="659" spans="1:45" s="25" customFormat="1">
      <c r="A659" s="4" t="s">
        <v>5727</v>
      </c>
      <c r="B659" s="21">
        <f t="shared" si="75"/>
        <v>647</v>
      </c>
      <c r="C659" s="13" t="str">
        <f t="shared" si="74"/>
        <v>I629_疾患開始日</v>
      </c>
      <c r="D659" s="13" t="s">
        <v>6301</v>
      </c>
      <c r="E659" s="8"/>
      <c r="F659" s="7" t="s">
        <v>4348</v>
      </c>
      <c r="G659" s="7" t="s">
        <v>25</v>
      </c>
      <c r="H659" s="58"/>
      <c r="I659" s="23"/>
      <c r="J659" s="24"/>
      <c r="M659" s="4"/>
      <c r="N659" s="76"/>
      <c r="O659" s="76"/>
      <c r="P659" s="76" t="str">
        <f t="shared" si="76"/>
        <v>,shikkan641_start_date</v>
      </c>
      <c r="Q659" s="76" t="str">
        <f t="shared" si="77"/>
        <v>DATE</v>
      </c>
      <c r="R659" s="76" t="str">
        <f t="shared" si="78"/>
        <v/>
      </c>
      <c r="S659" s="76" t="str">
        <f t="shared" si="79"/>
        <v/>
      </c>
      <c r="T659" s="76" t="str">
        <f t="shared" si="80"/>
        <v>-- I629_疾患開始日</v>
      </c>
      <c r="U659" s="4" t="str">
        <f t="shared" si="72"/>
        <v>, CASE WHEN shikkan_disp_name = 'I629' THEN min_shikkan_start_date ::DATE ELSE NULL END AS shikkan641_start_date</v>
      </c>
      <c r="V659" s="25" t="str">
        <f t="shared" si="73"/>
        <v>, max(shikkan641_start_date)</v>
      </c>
      <c r="AA659" s="4"/>
      <c r="AB659" s="4"/>
      <c r="AC659" s="4"/>
      <c r="AD659" s="4"/>
      <c r="AE659" s="4"/>
      <c r="AF659" s="4"/>
      <c r="AG659" s="4"/>
      <c r="AH659" s="4"/>
      <c r="AI659" s="4"/>
      <c r="AJ659" s="76" t="str">
        <f>IF(E659="○",IF(COUNTA(E$13:E659)=1,"",",")&amp;D659,"")</f>
        <v/>
      </c>
      <c r="AK659" s="4"/>
      <c r="AL659" s="4"/>
      <c r="AM659" s="4"/>
      <c r="AN659" s="4"/>
      <c r="AO659" s="4"/>
      <c r="AP659" s="4"/>
      <c r="AQ659" s="4"/>
      <c r="AR659" s="4"/>
      <c r="AS659" s="76" t="str">
        <f>"COMMENT ON COLUMN "&amp;エンティティ一覧!$O$2&amp;"."&amp;D$8&amp;"."&amp;D659&amp;" IS '"&amp;C659&amp;"';"</f>
        <v>COMMENT ON COLUMN milscm_2023_009.sny_202310_annony_non_annony2.shikkan641_start_date IS 'I629_疾患開始日';</v>
      </c>
    </row>
    <row r="660" spans="1:45" s="25" customFormat="1">
      <c r="A660" s="4" t="s">
        <v>5728</v>
      </c>
      <c r="B660" s="21">
        <f t="shared" si="75"/>
        <v>648</v>
      </c>
      <c r="C660" s="13" t="str">
        <f t="shared" ref="C660:C723" si="81">A660&amp;"_疾患開始日"</f>
        <v>I630_疾患開始日</v>
      </c>
      <c r="D660" s="13" t="s">
        <v>6302</v>
      </c>
      <c r="E660" s="8"/>
      <c r="F660" s="7" t="s">
        <v>4348</v>
      </c>
      <c r="G660" s="7" t="s">
        <v>25</v>
      </c>
      <c r="H660" s="58"/>
      <c r="I660" s="23"/>
      <c r="J660" s="24"/>
      <c r="M660" s="4"/>
      <c r="N660" s="76"/>
      <c r="O660" s="76"/>
      <c r="P660" s="76" t="str">
        <f t="shared" si="76"/>
        <v>,shikkan642_start_date</v>
      </c>
      <c r="Q660" s="76" t="str">
        <f t="shared" si="77"/>
        <v>DATE</v>
      </c>
      <c r="R660" s="76" t="str">
        <f t="shared" si="78"/>
        <v/>
      </c>
      <c r="S660" s="76" t="str">
        <f t="shared" si="79"/>
        <v/>
      </c>
      <c r="T660" s="76" t="str">
        <f t="shared" si="80"/>
        <v>-- I630_疾患開始日</v>
      </c>
      <c r="U660" s="4" t="str">
        <f t="shared" si="72"/>
        <v>, CASE WHEN shikkan_disp_name = 'I630' THEN min_shikkan_start_date ::DATE ELSE NULL END AS shikkan642_start_date</v>
      </c>
      <c r="V660" s="25" t="str">
        <f t="shared" si="73"/>
        <v>, max(shikkan642_start_date)</v>
      </c>
      <c r="AA660" s="4"/>
      <c r="AB660" s="4"/>
      <c r="AC660" s="4"/>
      <c r="AD660" s="4"/>
      <c r="AE660" s="4"/>
      <c r="AF660" s="4"/>
      <c r="AG660" s="4"/>
      <c r="AH660" s="4"/>
      <c r="AI660" s="4"/>
      <c r="AJ660" s="76" t="str">
        <f>IF(E660="○",IF(COUNTA(E$13:E660)=1,"",",")&amp;D660,"")</f>
        <v/>
      </c>
      <c r="AK660" s="4"/>
      <c r="AL660" s="4"/>
      <c r="AM660" s="4"/>
      <c r="AN660" s="4"/>
      <c r="AO660" s="4"/>
      <c r="AP660" s="4"/>
      <c r="AQ660" s="4"/>
      <c r="AR660" s="4"/>
      <c r="AS660" s="76" t="str">
        <f>"COMMENT ON COLUMN "&amp;エンティティ一覧!$O$2&amp;"."&amp;D$8&amp;"."&amp;D660&amp;" IS '"&amp;C660&amp;"';"</f>
        <v>COMMENT ON COLUMN milscm_2023_009.sny_202310_annony_non_annony2.shikkan642_start_date IS 'I630_疾患開始日';</v>
      </c>
    </row>
    <row r="661" spans="1:45" s="25" customFormat="1">
      <c r="A661" s="4" t="s">
        <v>5729</v>
      </c>
      <c r="B661" s="21">
        <f t="shared" ref="B661:B725" si="82">ROW()-12</f>
        <v>649</v>
      </c>
      <c r="C661" s="13" t="str">
        <f t="shared" si="81"/>
        <v>I631_疾患開始日</v>
      </c>
      <c r="D661" s="13" t="s">
        <v>6303</v>
      </c>
      <c r="E661" s="8"/>
      <c r="F661" s="7" t="s">
        <v>4348</v>
      </c>
      <c r="G661" s="7" t="s">
        <v>25</v>
      </c>
      <c r="H661" s="58"/>
      <c r="I661" s="23"/>
      <c r="J661" s="24"/>
      <c r="M661" s="4"/>
      <c r="N661" s="76"/>
      <c r="O661" s="76"/>
      <c r="P661" s="76" t="str">
        <f t="shared" si="76"/>
        <v>,shikkan643_start_date</v>
      </c>
      <c r="Q661" s="76" t="str">
        <f t="shared" si="77"/>
        <v>DATE</v>
      </c>
      <c r="R661" s="76" t="str">
        <f t="shared" si="78"/>
        <v/>
      </c>
      <c r="S661" s="76" t="str">
        <f t="shared" si="79"/>
        <v/>
      </c>
      <c r="T661" s="76" t="str">
        <f t="shared" si="80"/>
        <v>-- I631_疾患開始日</v>
      </c>
      <c r="U661" s="4" t="str">
        <f t="shared" si="72"/>
        <v>, CASE WHEN shikkan_disp_name = 'I631' THEN min_shikkan_start_date ::DATE ELSE NULL END AS shikkan643_start_date</v>
      </c>
      <c r="V661" s="25" t="str">
        <f t="shared" si="73"/>
        <v>, max(shikkan643_start_date)</v>
      </c>
      <c r="AA661" s="4"/>
      <c r="AB661" s="4"/>
      <c r="AC661" s="4"/>
      <c r="AD661" s="4"/>
      <c r="AE661" s="4"/>
      <c r="AF661" s="4"/>
      <c r="AG661" s="4"/>
      <c r="AH661" s="4"/>
      <c r="AI661" s="4"/>
      <c r="AJ661" s="76" t="str">
        <f>IF(E661="○",IF(COUNTA(E$13:E661)=1,"",",")&amp;D661,"")</f>
        <v/>
      </c>
      <c r="AK661" s="4"/>
      <c r="AL661" s="4"/>
      <c r="AM661" s="4"/>
      <c r="AN661" s="4"/>
      <c r="AO661" s="4"/>
      <c r="AP661" s="4"/>
      <c r="AQ661" s="4"/>
      <c r="AR661" s="4"/>
      <c r="AS661" s="76" t="str">
        <f>"COMMENT ON COLUMN "&amp;エンティティ一覧!$O$2&amp;"."&amp;D$8&amp;"."&amp;D661&amp;" IS '"&amp;C661&amp;"';"</f>
        <v>COMMENT ON COLUMN milscm_2023_009.sny_202310_annony_non_annony2.shikkan643_start_date IS 'I631_疾患開始日';</v>
      </c>
    </row>
    <row r="662" spans="1:45" s="25" customFormat="1">
      <c r="A662" s="4" t="s">
        <v>5730</v>
      </c>
      <c r="B662" s="21">
        <f t="shared" si="82"/>
        <v>650</v>
      </c>
      <c r="C662" s="13" t="str">
        <f t="shared" si="81"/>
        <v>I632_疾患開始日</v>
      </c>
      <c r="D662" s="13" t="s">
        <v>6304</v>
      </c>
      <c r="E662" s="8"/>
      <c r="F662" s="7" t="s">
        <v>4348</v>
      </c>
      <c r="G662" s="7" t="s">
        <v>25</v>
      </c>
      <c r="H662" s="58"/>
      <c r="I662" s="23"/>
      <c r="J662" s="24"/>
      <c r="M662" s="4"/>
      <c r="N662" s="76"/>
      <c r="O662" s="76"/>
      <c r="P662" s="76" t="str">
        <f t="shared" si="76"/>
        <v>,shikkan644_start_date</v>
      </c>
      <c r="Q662" s="76" t="str">
        <f t="shared" si="77"/>
        <v>DATE</v>
      </c>
      <c r="R662" s="76" t="str">
        <f t="shared" si="78"/>
        <v/>
      </c>
      <c r="S662" s="76" t="str">
        <f t="shared" si="79"/>
        <v/>
      </c>
      <c r="T662" s="76" t="str">
        <f t="shared" si="80"/>
        <v>-- I632_疾患開始日</v>
      </c>
      <c r="U662" s="4" t="str">
        <f t="shared" si="72"/>
        <v>, CASE WHEN shikkan_disp_name = 'I632' THEN min_shikkan_start_date ::DATE ELSE NULL END AS shikkan644_start_date</v>
      </c>
      <c r="V662" s="25" t="str">
        <f t="shared" si="73"/>
        <v>, max(shikkan644_start_date)</v>
      </c>
      <c r="AA662" s="4"/>
      <c r="AB662" s="4"/>
      <c r="AC662" s="4"/>
      <c r="AD662" s="4"/>
      <c r="AE662" s="4"/>
      <c r="AF662" s="4"/>
      <c r="AG662" s="4"/>
      <c r="AH662" s="4"/>
      <c r="AI662" s="4"/>
      <c r="AJ662" s="76" t="str">
        <f>IF(E662="○",IF(COUNTA(E$13:E662)=1,"",",")&amp;D662,"")</f>
        <v/>
      </c>
      <c r="AK662" s="4"/>
      <c r="AL662" s="4"/>
      <c r="AM662" s="4"/>
      <c r="AN662" s="4"/>
      <c r="AO662" s="4"/>
      <c r="AP662" s="4"/>
      <c r="AQ662" s="4"/>
      <c r="AR662" s="4"/>
      <c r="AS662" s="76" t="str">
        <f>"COMMENT ON COLUMN "&amp;エンティティ一覧!$O$2&amp;"."&amp;D$8&amp;"."&amp;D662&amp;" IS '"&amp;C662&amp;"';"</f>
        <v>COMMENT ON COLUMN milscm_2023_009.sny_202310_annony_non_annony2.shikkan644_start_date IS 'I632_疾患開始日';</v>
      </c>
    </row>
    <row r="663" spans="1:45" s="25" customFormat="1">
      <c r="A663" s="4" t="s">
        <v>5731</v>
      </c>
      <c r="B663" s="21">
        <f t="shared" si="82"/>
        <v>651</v>
      </c>
      <c r="C663" s="13" t="str">
        <f t="shared" si="81"/>
        <v>I633_疾患開始日</v>
      </c>
      <c r="D663" s="13" t="s">
        <v>6305</v>
      </c>
      <c r="E663" s="8"/>
      <c r="F663" s="7" t="s">
        <v>4348</v>
      </c>
      <c r="G663" s="7" t="s">
        <v>25</v>
      </c>
      <c r="H663" s="58"/>
      <c r="I663" s="23"/>
      <c r="J663" s="24"/>
      <c r="M663" s="4"/>
      <c r="N663" s="76"/>
      <c r="O663" s="76"/>
      <c r="P663" s="76" t="str">
        <f t="shared" si="76"/>
        <v>,shikkan645_start_date</v>
      </c>
      <c r="Q663" s="76" t="str">
        <f t="shared" si="77"/>
        <v>DATE</v>
      </c>
      <c r="R663" s="76" t="str">
        <f t="shared" si="78"/>
        <v/>
      </c>
      <c r="S663" s="76" t="str">
        <f t="shared" si="79"/>
        <v/>
      </c>
      <c r="T663" s="76" t="str">
        <f t="shared" si="80"/>
        <v>-- I633_疾患開始日</v>
      </c>
      <c r="U663" s="4" t="str">
        <f t="shared" si="72"/>
        <v>, CASE WHEN shikkan_disp_name = 'I633' THEN min_shikkan_start_date ::DATE ELSE NULL END AS shikkan645_start_date</v>
      </c>
      <c r="V663" s="25" t="str">
        <f t="shared" si="73"/>
        <v>, max(shikkan645_start_date)</v>
      </c>
      <c r="AA663" s="4"/>
      <c r="AB663" s="4"/>
      <c r="AC663" s="4"/>
      <c r="AD663" s="4"/>
      <c r="AE663" s="4"/>
      <c r="AF663" s="4"/>
      <c r="AG663" s="4"/>
      <c r="AH663" s="4"/>
      <c r="AI663" s="4"/>
      <c r="AJ663" s="76" t="str">
        <f>IF(E663="○",IF(COUNTA(E$13:E663)=1,"",",")&amp;D663,"")</f>
        <v/>
      </c>
      <c r="AK663" s="4"/>
      <c r="AL663" s="4"/>
      <c r="AM663" s="4"/>
      <c r="AN663" s="4"/>
      <c r="AO663" s="4"/>
      <c r="AP663" s="4"/>
      <c r="AQ663" s="4"/>
      <c r="AR663" s="4"/>
      <c r="AS663" s="76" t="str">
        <f>"COMMENT ON COLUMN "&amp;エンティティ一覧!$O$2&amp;"."&amp;D$8&amp;"."&amp;D663&amp;" IS '"&amp;C663&amp;"';"</f>
        <v>COMMENT ON COLUMN milscm_2023_009.sny_202310_annony_non_annony2.shikkan645_start_date IS 'I633_疾患開始日';</v>
      </c>
    </row>
    <row r="664" spans="1:45" s="25" customFormat="1">
      <c r="A664" s="4" t="s">
        <v>5732</v>
      </c>
      <c r="B664" s="21">
        <f t="shared" si="82"/>
        <v>652</v>
      </c>
      <c r="C664" s="13" t="str">
        <f t="shared" si="81"/>
        <v>I634_疾患開始日</v>
      </c>
      <c r="D664" s="13" t="s">
        <v>6306</v>
      </c>
      <c r="E664" s="8"/>
      <c r="F664" s="7" t="s">
        <v>4348</v>
      </c>
      <c r="G664" s="7" t="s">
        <v>25</v>
      </c>
      <c r="H664" s="58"/>
      <c r="I664" s="23"/>
      <c r="J664" s="24"/>
      <c r="M664" s="4"/>
      <c r="N664" s="76"/>
      <c r="O664" s="76"/>
      <c r="P664" s="76" t="str">
        <f t="shared" si="76"/>
        <v>,shikkan646_start_date</v>
      </c>
      <c r="Q664" s="76" t="str">
        <f t="shared" si="77"/>
        <v>DATE</v>
      </c>
      <c r="R664" s="76" t="str">
        <f t="shared" si="78"/>
        <v/>
      </c>
      <c r="S664" s="76" t="str">
        <f t="shared" si="79"/>
        <v/>
      </c>
      <c r="T664" s="76" t="str">
        <f t="shared" si="80"/>
        <v>-- I634_疾患開始日</v>
      </c>
      <c r="U664" s="4" t="str">
        <f t="shared" si="72"/>
        <v>, CASE WHEN shikkan_disp_name = 'I634' THEN min_shikkan_start_date ::DATE ELSE NULL END AS shikkan646_start_date</v>
      </c>
      <c r="V664" s="25" t="str">
        <f t="shared" si="73"/>
        <v>, max(shikkan646_start_date)</v>
      </c>
      <c r="AA664" s="4"/>
      <c r="AB664" s="4"/>
      <c r="AC664" s="4"/>
      <c r="AD664" s="4"/>
      <c r="AE664" s="4"/>
      <c r="AF664" s="4"/>
      <c r="AG664" s="4"/>
      <c r="AH664" s="4"/>
      <c r="AI664" s="4"/>
      <c r="AJ664" s="76" t="str">
        <f>IF(E664="○",IF(COUNTA(E$13:E664)=1,"",",")&amp;D664,"")</f>
        <v/>
      </c>
      <c r="AK664" s="4"/>
      <c r="AL664" s="4"/>
      <c r="AM664" s="4"/>
      <c r="AN664" s="4"/>
      <c r="AO664" s="4"/>
      <c r="AP664" s="4"/>
      <c r="AQ664" s="4"/>
      <c r="AR664" s="4"/>
      <c r="AS664" s="76" t="str">
        <f>"COMMENT ON COLUMN "&amp;エンティティ一覧!$O$2&amp;"."&amp;D$8&amp;"."&amp;D664&amp;" IS '"&amp;C664&amp;"';"</f>
        <v>COMMENT ON COLUMN milscm_2023_009.sny_202310_annony_non_annony2.shikkan646_start_date IS 'I634_疾患開始日';</v>
      </c>
    </row>
    <row r="665" spans="1:45" s="25" customFormat="1">
      <c r="A665" s="4" t="s">
        <v>5733</v>
      </c>
      <c r="B665" s="21">
        <f t="shared" si="82"/>
        <v>653</v>
      </c>
      <c r="C665" s="13" t="str">
        <f t="shared" si="81"/>
        <v>I635_疾患開始日</v>
      </c>
      <c r="D665" s="13" t="s">
        <v>6307</v>
      </c>
      <c r="E665" s="8"/>
      <c r="F665" s="7" t="s">
        <v>4348</v>
      </c>
      <c r="G665" s="7" t="s">
        <v>25</v>
      </c>
      <c r="H665" s="58"/>
      <c r="I665" s="23"/>
      <c r="J665" s="24"/>
      <c r="M665" s="4"/>
      <c r="N665" s="76"/>
      <c r="O665" s="76"/>
      <c r="P665" s="76" t="str">
        <f t="shared" si="76"/>
        <v>,shikkan647_start_date</v>
      </c>
      <c r="Q665" s="76" t="str">
        <f t="shared" si="77"/>
        <v>DATE</v>
      </c>
      <c r="R665" s="76" t="str">
        <f t="shared" si="78"/>
        <v/>
      </c>
      <c r="S665" s="76" t="str">
        <f t="shared" si="79"/>
        <v/>
      </c>
      <c r="T665" s="76" t="str">
        <f t="shared" si="80"/>
        <v>-- I635_疾患開始日</v>
      </c>
      <c r="U665" s="4" t="str">
        <f t="shared" si="72"/>
        <v>, CASE WHEN shikkan_disp_name = 'I635' THEN min_shikkan_start_date ::DATE ELSE NULL END AS shikkan647_start_date</v>
      </c>
      <c r="V665" s="25" t="str">
        <f t="shared" si="73"/>
        <v>, max(shikkan647_start_date)</v>
      </c>
      <c r="AA665" s="4"/>
      <c r="AB665" s="4"/>
      <c r="AC665" s="4"/>
      <c r="AD665" s="4"/>
      <c r="AE665" s="4"/>
      <c r="AF665" s="4"/>
      <c r="AG665" s="4"/>
      <c r="AH665" s="4"/>
      <c r="AI665" s="4"/>
      <c r="AJ665" s="76" t="str">
        <f>IF(E665="○",IF(COUNTA(E$13:E665)=1,"",",")&amp;D665,"")</f>
        <v/>
      </c>
      <c r="AK665" s="4"/>
      <c r="AL665" s="4"/>
      <c r="AM665" s="4"/>
      <c r="AN665" s="4"/>
      <c r="AO665" s="4"/>
      <c r="AP665" s="4"/>
      <c r="AQ665" s="4"/>
      <c r="AR665" s="4"/>
      <c r="AS665" s="76" t="str">
        <f>"COMMENT ON COLUMN "&amp;エンティティ一覧!$O$2&amp;"."&amp;D$8&amp;"."&amp;D665&amp;" IS '"&amp;C665&amp;"';"</f>
        <v>COMMENT ON COLUMN milscm_2023_009.sny_202310_annony_non_annony2.shikkan647_start_date IS 'I635_疾患開始日';</v>
      </c>
    </row>
    <row r="666" spans="1:45" s="25" customFormat="1">
      <c r="A666" s="4" t="s">
        <v>5734</v>
      </c>
      <c r="B666" s="21">
        <f t="shared" si="82"/>
        <v>654</v>
      </c>
      <c r="C666" s="13" t="str">
        <f t="shared" si="81"/>
        <v>I636_疾患開始日</v>
      </c>
      <c r="D666" s="13" t="s">
        <v>6308</v>
      </c>
      <c r="E666" s="8"/>
      <c r="F666" s="7" t="s">
        <v>4348</v>
      </c>
      <c r="G666" s="7" t="s">
        <v>25</v>
      </c>
      <c r="H666" s="58"/>
      <c r="I666" s="23"/>
      <c r="J666" s="24"/>
      <c r="M666" s="4"/>
      <c r="N666" s="76"/>
      <c r="O666" s="76"/>
      <c r="P666" s="76" t="str">
        <f t="shared" si="76"/>
        <v>,shikkan648_start_date</v>
      </c>
      <c r="Q666" s="76" t="str">
        <f t="shared" si="77"/>
        <v>DATE</v>
      </c>
      <c r="R666" s="76" t="str">
        <f t="shared" si="78"/>
        <v/>
      </c>
      <c r="S666" s="76" t="str">
        <f t="shared" si="79"/>
        <v/>
      </c>
      <c r="T666" s="76" t="str">
        <f t="shared" si="80"/>
        <v>-- I636_疾患開始日</v>
      </c>
      <c r="U666" s="4" t="str">
        <f t="shared" si="72"/>
        <v>, CASE WHEN shikkan_disp_name = 'I636' THEN min_shikkan_start_date ::DATE ELSE NULL END AS shikkan648_start_date</v>
      </c>
      <c r="V666" s="25" t="str">
        <f t="shared" si="73"/>
        <v>, max(shikkan648_start_date)</v>
      </c>
      <c r="AA666" s="4"/>
      <c r="AB666" s="4"/>
      <c r="AC666" s="4"/>
      <c r="AD666" s="4"/>
      <c r="AE666" s="4"/>
      <c r="AF666" s="4"/>
      <c r="AG666" s="4"/>
      <c r="AH666" s="4"/>
      <c r="AI666" s="4"/>
      <c r="AJ666" s="76" t="str">
        <f>IF(E666="○",IF(COUNTA(E$13:E666)=1,"",",")&amp;D666,"")</f>
        <v/>
      </c>
      <c r="AK666" s="4"/>
      <c r="AL666" s="4"/>
      <c r="AM666" s="4"/>
      <c r="AN666" s="4"/>
      <c r="AO666" s="4"/>
      <c r="AP666" s="4"/>
      <c r="AQ666" s="4"/>
      <c r="AR666" s="4"/>
      <c r="AS666" s="76" t="str">
        <f>"COMMENT ON COLUMN "&amp;エンティティ一覧!$O$2&amp;"."&amp;D$8&amp;"."&amp;D666&amp;" IS '"&amp;C666&amp;"';"</f>
        <v>COMMENT ON COLUMN milscm_2023_009.sny_202310_annony_non_annony2.shikkan648_start_date IS 'I636_疾患開始日';</v>
      </c>
    </row>
    <row r="667" spans="1:45" s="25" customFormat="1">
      <c r="A667" s="4" t="s">
        <v>5735</v>
      </c>
      <c r="B667" s="21">
        <f t="shared" si="82"/>
        <v>655</v>
      </c>
      <c r="C667" s="13" t="str">
        <f t="shared" si="81"/>
        <v>I638_疾患開始日</v>
      </c>
      <c r="D667" s="13" t="s">
        <v>6309</v>
      </c>
      <c r="E667" s="8"/>
      <c r="F667" s="7" t="s">
        <v>4348</v>
      </c>
      <c r="G667" s="7" t="s">
        <v>25</v>
      </c>
      <c r="H667" s="58"/>
      <c r="I667" s="23"/>
      <c r="J667" s="24"/>
      <c r="M667" s="4"/>
      <c r="N667" s="76"/>
      <c r="O667" s="76"/>
      <c r="P667" s="76" t="str">
        <f t="shared" si="76"/>
        <v>,shikkan649_start_date</v>
      </c>
      <c r="Q667" s="76" t="str">
        <f t="shared" si="77"/>
        <v>DATE</v>
      </c>
      <c r="R667" s="76" t="str">
        <f t="shared" si="78"/>
        <v/>
      </c>
      <c r="S667" s="76" t="str">
        <f t="shared" si="79"/>
        <v/>
      </c>
      <c r="T667" s="76" t="str">
        <f t="shared" si="80"/>
        <v>-- I638_疾患開始日</v>
      </c>
      <c r="U667" s="4" t="str">
        <f t="shared" si="72"/>
        <v>, CASE WHEN shikkan_disp_name = 'I638' THEN min_shikkan_start_date ::DATE ELSE NULL END AS shikkan649_start_date</v>
      </c>
      <c r="V667" s="25" t="str">
        <f t="shared" si="73"/>
        <v>, max(shikkan649_start_date)</v>
      </c>
      <c r="AA667" s="4"/>
      <c r="AB667" s="4"/>
      <c r="AC667" s="4"/>
      <c r="AD667" s="4"/>
      <c r="AE667" s="4"/>
      <c r="AF667" s="4"/>
      <c r="AG667" s="4"/>
      <c r="AH667" s="4"/>
      <c r="AI667" s="4"/>
      <c r="AJ667" s="76" t="str">
        <f>IF(E667="○",IF(COUNTA(E$13:E667)=1,"",",")&amp;D667,"")</f>
        <v/>
      </c>
      <c r="AK667" s="4"/>
      <c r="AL667" s="4"/>
      <c r="AM667" s="4"/>
      <c r="AN667" s="4"/>
      <c r="AO667" s="4"/>
      <c r="AP667" s="4"/>
      <c r="AQ667" s="4"/>
      <c r="AR667" s="4"/>
      <c r="AS667" s="76" t="str">
        <f>"COMMENT ON COLUMN "&amp;エンティティ一覧!$O$2&amp;"."&amp;D$8&amp;"."&amp;D667&amp;" IS '"&amp;C667&amp;"';"</f>
        <v>COMMENT ON COLUMN milscm_2023_009.sny_202310_annony_non_annony2.shikkan649_start_date IS 'I638_疾患開始日';</v>
      </c>
    </row>
    <row r="668" spans="1:45" s="25" customFormat="1">
      <c r="A668" s="4" t="s">
        <v>5736</v>
      </c>
      <c r="B668" s="21">
        <f t="shared" si="82"/>
        <v>656</v>
      </c>
      <c r="C668" s="13" t="str">
        <f t="shared" si="81"/>
        <v>I639_疾患開始日</v>
      </c>
      <c r="D668" s="13" t="s">
        <v>6310</v>
      </c>
      <c r="E668" s="8"/>
      <c r="F668" s="7" t="s">
        <v>4348</v>
      </c>
      <c r="G668" s="7" t="s">
        <v>25</v>
      </c>
      <c r="H668" s="58"/>
      <c r="I668" s="23"/>
      <c r="J668" s="24"/>
      <c r="M668" s="4"/>
      <c r="N668" s="76"/>
      <c r="O668" s="76"/>
      <c r="P668" s="76" t="str">
        <f t="shared" si="76"/>
        <v>,shikkan650_start_date</v>
      </c>
      <c r="Q668" s="76" t="str">
        <f t="shared" si="77"/>
        <v>DATE</v>
      </c>
      <c r="R668" s="76" t="str">
        <f t="shared" si="78"/>
        <v/>
      </c>
      <c r="S668" s="76" t="str">
        <f t="shared" si="79"/>
        <v/>
      </c>
      <c r="T668" s="76" t="str">
        <f t="shared" si="80"/>
        <v>-- I639_疾患開始日</v>
      </c>
      <c r="U668" s="4" t="str">
        <f t="shared" si="72"/>
        <v>, CASE WHEN shikkan_disp_name = 'I639' THEN min_shikkan_start_date ::DATE ELSE NULL END AS shikkan650_start_date</v>
      </c>
      <c r="V668" s="25" t="str">
        <f t="shared" si="73"/>
        <v>, max(shikkan650_start_date)</v>
      </c>
      <c r="AA668" s="4"/>
      <c r="AB668" s="4"/>
      <c r="AC668" s="4"/>
      <c r="AD668" s="4"/>
      <c r="AE668" s="4"/>
      <c r="AF668" s="4"/>
      <c r="AG668" s="4"/>
      <c r="AH668" s="4"/>
      <c r="AI668" s="4"/>
      <c r="AJ668" s="76" t="str">
        <f>IF(E668="○",IF(COUNTA(E$13:E668)=1,"",",")&amp;D668,"")</f>
        <v/>
      </c>
      <c r="AK668" s="4"/>
      <c r="AL668" s="4"/>
      <c r="AM668" s="4"/>
      <c r="AN668" s="4"/>
      <c r="AO668" s="4"/>
      <c r="AP668" s="4"/>
      <c r="AQ668" s="4"/>
      <c r="AR668" s="4"/>
      <c r="AS668" s="76" t="str">
        <f>"COMMENT ON COLUMN "&amp;エンティティ一覧!$O$2&amp;"."&amp;D$8&amp;"."&amp;D668&amp;" IS '"&amp;C668&amp;"';"</f>
        <v>COMMENT ON COLUMN milscm_2023_009.sny_202310_annony_non_annony2.shikkan650_start_date IS 'I639_疾患開始日';</v>
      </c>
    </row>
    <row r="669" spans="1:45" s="25" customFormat="1">
      <c r="A669" s="4" t="s">
        <v>5062</v>
      </c>
      <c r="B669" s="21">
        <f t="shared" si="82"/>
        <v>657</v>
      </c>
      <c r="C669" s="13" t="str">
        <f t="shared" si="81"/>
        <v>I64_疾患開始日</v>
      </c>
      <c r="D669" s="13" t="s">
        <v>6311</v>
      </c>
      <c r="E669" s="8"/>
      <c r="F669" s="7" t="s">
        <v>4348</v>
      </c>
      <c r="G669" s="7" t="s">
        <v>25</v>
      </c>
      <c r="H669" s="58"/>
      <c r="I669" s="23"/>
      <c r="J669" s="24"/>
      <c r="M669" s="4"/>
      <c r="N669" s="76"/>
      <c r="O669" s="76"/>
      <c r="P669" s="76" t="str">
        <f t="shared" si="76"/>
        <v>,shikkan651_start_date</v>
      </c>
      <c r="Q669" s="76" t="str">
        <f t="shared" si="77"/>
        <v>DATE</v>
      </c>
      <c r="R669" s="76" t="str">
        <f t="shared" si="78"/>
        <v/>
      </c>
      <c r="S669" s="76" t="str">
        <f t="shared" si="79"/>
        <v/>
      </c>
      <c r="T669" s="76" t="str">
        <f t="shared" si="80"/>
        <v>-- I64_疾患開始日</v>
      </c>
      <c r="U669" s="4" t="str">
        <f t="shared" si="72"/>
        <v>, CASE WHEN shikkan_disp_name = 'I64' THEN min_shikkan_start_date ::DATE ELSE NULL END AS shikkan651_start_date</v>
      </c>
      <c r="V669" s="25" t="str">
        <f t="shared" si="73"/>
        <v>, max(shikkan651_start_date)</v>
      </c>
      <c r="AA669" s="4"/>
      <c r="AB669" s="4"/>
      <c r="AC669" s="4"/>
      <c r="AD669" s="4"/>
      <c r="AE669" s="4"/>
      <c r="AF669" s="4"/>
      <c r="AG669" s="4"/>
      <c r="AH669" s="4"/>
      <c r="AI669" s="4"/>
      <c r="AJ669" s="76" t="str">
        <f>IF(E669="○",IF(COUNTA(E$13:E669)=1,"",",")&amp;D669,"")</f>
        <v/>
      </c>
      <c r="AK669" s="4"/>
      <c r="AL669" s="4"/>
      <c r="AM669" s="4"/>
      <c r="AN669" s="4"/>
      <c r="AO669" s="4"/>
      <c r="AP669" s="4"/>
      <c r="AQ669" s="4"/>
      <c r="AR669" s="4"/>
      <c r="AS669" s="76" t="str">
        <f>"COMMENT ON COLUMN "&amp;エンティティ一覧!$O$2&amp;"."&amp;D$8&amp;"."&amp;D669&amp;" IS '"&amp;C669&amp;"';"</f>
        <v>COMMENT ON COLUMN milscm_2023_009.sny_202310_annony_non_annony2.shikkan651_start_date IS 'I64_疾患開始日';</v>
      </c>
    </row>
    <row r="670" spans="1:45" s="25" customFormat="1">
      <c r="A670" s="4" t="s">
        <v>5737</v>
      </c>
      <c r="B670" s="21">
        <f t="shared" si="82"/>
        <v>658</v>
      </c>
      <c r="C670" s="13" t="str">
        <f t="shared" si="81"/>
        <v>I650_疾患開始日</v>
      </c>
      <c r="D670" s="13" t="s">
        <v>6312</v>
      </c>
      <c r="E670" s="8"/>
      <c r="F670" s="7" t="s">
        <v>4348</v>
      </c>
      <c r="G670" s="7" t="s">
        <v>25</v>
      </c>
      <c r="H670" s="58"/>
      <c r="I670" s="23"/>
      <c r="J670" s="24"/>
      <c r="M670" s="4"/>
      <c r="N670" s="76"/>
      <c r="O670" s="76"/>
      <c r="P670" s="76" t="str">
        <f t="shared" si="76"/>
        <v>,shikkan652_start_date</v>
      </c>
      <c r="Q670" s="76" t="str">
        <f t="shared" si="77"/>
        <v>DATE</v>
      </c>
      <c r="R670" s="76" t="str">
        <f t="shared" si="78"/>
        <v/>
      </c>
      <c r="S670" s="76" t="str">
        <f t="shared" si="79"/>
        <v/>
      </c>
      <c r="T670" s="76" t="str">
        <f t="shared" si="80"/>
        <v>-- I650_疾患開始日</v>
      </c>
      <c r="U670" s="4" t="str">
        <f t="shared" si="72"/>
        <v>, CASE WHEN shikkan_disp_name = 'I650' THEN min_shikkan_start_date ::DATE ELSE NULL END AS shikkan652_start_date</v>
      </c>
      <c r="V670" s="25" t="str">
        <f t="shared" si="73"/>
        <v>, max(shikkan652_start_date)</v>
      </c>
      <c r="AA670" s="4"/>
      <c r="AB670" s="4"/>
      <c r="AC670" s="4"/>
      <c r="AD670" s="4"/>
      <c r="AE670" s="4"/>
      <c r="AF670" s="4"/>
      <c r="AG670" s="4"/>
      <c r="AH670" s="4"/>
      <c r="AI670" s="4"/>
      <c r="AJ670" s="76" t="str">
        <f>IF(E670="○",IF(COUNTA(E$13:E670)=1,"",",")&amp;D670,"")</f>
        <v/>
      </c>
      <c r="AK670" s="4"/>
      <c r="AL670" s="4"/>
      <c r="AM670" s="4"/>
      <c r="AN670" s="4"/>
      <c r="AO670" s="4"/>
      <c r="AP670" s="4"/>
      <c r="AQ670" s="4"/>
      <c r="AR670" s="4"/>
      <c r="AS670" s="76" t="str">
        <f>"COMMENT ON COLUMN "&amp;エンティティ一覧!$O$2&amp;"."&amp;D$8&amp;"."&amp;D670&amp;" IS '"&amp;C670&amp;"';"</f>
        <v>COMMENT ON COLUMN milscm_2023_009.sny_202310_annony_non_annony2.shikkan652_start_date IS 'I650_疾患開始日';</v>
      </c>
    </row>
    <row r="671" spans="1:45" s="25" customFormat="1">
      <c r="A671" s="4" t="s">
        <v>5738</v>
      </c>
      <c r="B671" s="21">
        <f t="shared" si="82"/>
        <v>659</v>
      </c>
      <c r="C671" s="13" t="str">
        <f t="shared" si="81"/>
        <v>I651_疾患開始日</v>
      </c>
      <c r="D671" s="13" t="s">
        <v>6313</v>
      </c>
      <c r="E671" s="8"/>
      <c r="F671" s="7" t="s">
        <v>4348</v>
      </c>
      <c r="G671" s="7" t="s">
        <v>25</v>
      </c>
      <c r="H671" s="58"/>
      <c r="I671" s="23"/>
      <c r="J671" s="24"/>
      <c r="M671" s="4"/>
      <c r="N671" s="76"/>
      <c r="O671" s="76"/>
      <c r="P671" s="76" t="str">
        <f t="shared" si="76"/>
        <v>,shikkan653_start_date</v>
      </c>
      <c r="Q671" s="76" t="str">
        <f t="shared" si="77"/>
        <v>DATE</v>
      </c>
      <c r="R671" s="76" t="str">
        <f t="shared" si="78"/>
        <v/>
      </c>
      <c r="S671" s="76" t="str">
        <f t="shared" si="79"/>
        <v/>
      </c>
      <c r="T671" s="76" t="str">
        <f t="shared" si="80"/>
        <v>-- I651_疾患開始日</v>
      </c>
      <c r="U671" s="4" t="str">
        <f t="shared" si="72"/>
        <v>, CASE WHEN shikkan_disp_name = 'I651' THEN min_shikkan_start_date ::DATE ELSE NULL END AS shikkan653_start_date</v>
      </c>
      <c r="V671" s="25" t="str">
        <f t="shared" si="73"/>
        <v>, max(shikkan653_start_date)</v>
      </c>
      <c r="AA671" s="4"/>
      <c r="AB671" s="4"/>
      <c r="AC671" s="4"/>
      <c r="AD671" s="4"/>
      <c r="AE671" s="4"/>
      <c r="AF671" s="4"/>
      <c r="AG671" s="4"/>
      <c r="AH671" s="4"/>
      <c r="AI671" s="4"/>
      <c r="AJ671" s="76" t="str">
        <f>IF(E671="○",IF(COUNTA(E$13:E671)=1,"",",")&amp;D671,"")</f>
        <v/>
      </c>
      <c r="AK671" s="4"/>
      <c r="AL671" s="4"/>
      <c r="AM671" s="4"/>
      <c r="AN671" s="4"/>
      <c r="AO671" s="4"/>
      <c r="AP671" s="4"/>
      <c r="AQ671" s="4"/>
      <c r="AR671" s="4"/>
      <c r="AS671" s="76" t="str">
        <f>"COMMENT ON COLUMN "&amp;エンティティ一覧!$O$2&amp;"."&amp;D$8&amp;"."&amp;D671&amp;" IS '"&amp;C671&amp;"';"</f>
        <v>COMMENT ON COLUMN milscm_2023_009.sny_202310_annony_non_annony2.shikkan653_start_date IS 'I651_疾患開始日';</v>
      </c>
    </row>
    <row r="672" spans="1:45" s="25" customFormat="1">
      <c r="A672" s="4" t="s">
        <v>5739</v>
      </c>
      <c r="B672" s="21">
        <f t="shared" si="82"/>
        <v>660</v>
      </c>
      <c r="C672" s="13" t="str">
        <f t="shared" si="81"/>
        <v>I652_疾患開始日</v>
      </c>
      <c r="D672" s="13" t="s">
        <v>6314</v>
      </c>
      <c r="E672" s="8"/>
      <c r="F672" s="7" t="s">
        <v>4348</v>
      </c>
      <c r="G672" s="7" t="s">
        <v>25</v>
      </c>
      <c r="H672" s="58"/>
      <c r="I672" s="23"/>
      <c r="J672" s="24"/>
      <c r="M672" s="4"/>
      <c r="N672" s="76"/>
      <c r="O672" s="76"/>
      <c r="P672" s="76" t="str">
        <f t="shared" si="76"/>
        <v>,shikkan654_start_date</v>
      </c>
      <c r="Q672" s="76" t="str">
        <f t="shared" si="77"/>
        <v>DATE</v>
      </c>
      <c r="R672" s="76" t="str">
        <f t="shared" si="78"/>
        <v/>
      </c>
      <c r="S672" s="76" t="str">
        <f t="shared" si="79"/>
        <v/>
      </c>
      <c r="T672" s="76" t="str">
        <f t="shared" si="80"/>
        <v>-- I652_疾患開始日</v>
      </c>
      <c r="U672" s="4" t="str">
        <f t="shared" si="72"/>
        <v>, CASE WHEN shikkan_disp_name = 'I652' THEN min_shikkan_start_date ::DATE ELSE NULL END AS shikkan654_start_date</v>
      </c>
      <c r="V672" s="25" t="str">
        <f t="shared" si="73"/>
        <v>, max(shikkan654_start_date)</v>
      </c>
      <c r="AA672" s="4"/>
      <c r="AB672" s="4"/>
      <c r="AC672" s="4"/>
      <c r="AD672" s="4"/>
      <c r="AE672" s="4"/>
      <c r="AF672" s="4"/>
      <c r="AG672" s="4"/>
      <c r="AH672" s="4"/>
      <c r="AI672" s="4"/>
      <c r="AJ672" s="76" t="str">
        <f>IF(E672="○",IF(COUNTA(E$13:E672)=1,"",",")&amp;D672,"")</f>
        <v/>
      </c>
      <c r="AK672" s="4"/>
      <c r="AL672" s="4"/>
      <c r="AM672" s="4"/>
      <c r="AN672" s="4"/>
      <c r="AO672" s="4"/>
      <c r="AP672" s="4"/>
      <c r="AQ672" s="4"/>
      <c r="AR672" s="4"/>
      <c r="AS672" s="76" t="str">
        <f>"COMMENT ON COLUMN "&amp;エンティティ一覧!$O$2&amp;"."&amp;D$8&amp;"."&amp;D672&amp;" IS '"&amp;C672&amp;"';"</f>
        <v>COMMENT ON COLUMN milscm_2023_009.sny_202310_annony_non_annony2.shikkan654_start_date IS 'I652_疾患開始日';</v>
      </c>
    </row>
    <row r="673" spans="1:45" s="25" customFormat="1">
      <c r="A673" s="4" t="s">
        <v>5740</v>
      </c>
      <c r="B673" s="21">
        <f t="shared" si="82"/>
        <v>661</v>
      </c>
      <c r="C673" s="13" t="str">
        <f t="shared" si="81"/>
        <v>I653_疾患開始日</v>
      </c>
      <c r="D673" s="13" t="s">
        <v>6315</v>
      </c>
      <c r="E673" s="8"/>
      <c r="F673" s="7" t="s">
        <v>4348</v>
      </c>
      <c r="G673" s="7" t="s">
        <v>99</v>
      </c>
      <c r="H673" s="58"/>
      <c r="I673" s="23"/>
      <c r="J673" s="24"/>
      <c r="M673" s="4"/>
      <c r="N673" s="76"/>
      <c r="O673" s="76"/>
      <c r="P673" s="76" t="str">
        <f t="shared" si="76"/>
        <v>,shikkan655_start_date</v>
      </c>
      <c r="Q673" s="76" t="str">
        <f t="shared" si="77"/>
        <v>DATE</v>
      </c>
      <c r="R673" s="76" t="str">
        <f t="shared" si="78"/>
        <v/>
      </c>
      <c r="S673" s="76" t="str">
        <f t="shared" si="79"/>
        <v/>
      </c>
      <c r="T673" s="76" t="str">
        <f t="shared" si="80"/>
        <v>-- I653_疾患開始日</v>
      </c>
      <c r="U673" s="4" t="str">
        <f t="shared" si="72"/>
        <v>, CASE WHEN shikkan_disp_name = 'I653' THEN min_shikkan_start_date ::DATE ELSE NULL END AS shikkan655_start_date</v>
      </c>
      <c r="V673" s="25" t="str">
        <f t="shared" si="73"/>
        <v>, max(shikkan655_start_date)</v>
      </c>
      <c r="AA673" s="4"/>
      <c r="AB673" s="4"/>
      <c r="AC673" s="4"/>
      <c r="AD673" s="4"/>
      <c r="AE673" s="4"/>
      <c r="AF673" s="4"/>
      <c r="AG673" s="4"/>
      <c r="AH673" s="4"/>
      <c r="AI673" s="4"/>
      <c r="AJ673" s="76" t="str">
        <f>IF(E673="○",IF(COUNTA(E$13:E673)=1,"",",")&amp;D673,"")</f>
        <v/>
      </c>
      <c r="AK673" s="4"/>
      <c r="AL673" s="4"/>
      <c r="AM673" s="4"/>
      <c r="AN673" s="4"/>
      <c r="AO673" s="4"/>
      <c r="AP673" s="4"/>
      <c r="AQ673" s="4"/>
      <c r="AR673" s="4"/>
      <c r="AS673" s="76" t="str">
        <f>"COMMENT ON COLUMN "&amp;エンティティ一覧!$O$2&amp;"."&amp;D$8&amp;"."&amp;D673&amp;" IS '"&amp;C673&amp;"';"</f>
        <v>COMMENT ON COLUMN milscm_2023_009.sny_202310_annony_non_annony2.shikkan655_start_date IS 'I653_疾患開始日';</v>
      </c>
    </row>
    <row r="674" spans="1:45" s="25" customFormat="1">
      <c r="A674" s="4" t="s">
        <v>5741</v>
      </c>
      <c r="B674" s="21">
        <f t="shared" si="82"/>
        <v>662</v>
      </c>
      <c r="C674" s="13" t="str">
        <f t="shared" si="81"/>
        <v>I658_疾患開始日</v>
      </c>
      <c r="D674" s="13" t="s">
        <v>6316</v>
      </c>
      <c r="E674" s="8"/>
      <c r="F674" s="7" t="s">
        <v>4348</v>
      </c>
      <c r="G674" s="7" t="s">
        <v>25</v>
      </c>
      <c r="H674" s="58"/>
      <c r="I674" s="23"/>
      <c r="J674" s="24"/>
      <c r="M674" s="4"/>
      <c r="N674" s="76"/>
      <c r="O674" s="76"/>
      <c r="P674" s="76" t="str">
        <f t="shared" si="76"/>
        <v>,shikkan656_start_date</v>
      </c>
      <c r="Q674" s="76" t="str">
        <f t="shared" si="77"/>
        <v>DATE</v>
      </c>
      <c r="R674" s="76" t="str">
        <f t="shared" si="78"/>
        <v/>
      </c>
      <c r="S674" s="76" t="str">
        <f t="shared" si="79"/>
        <v/>
      </c>
      <c r="T674" s="76" t="str">
        <f t="shared" si="80"/>
        <v>-- I658_疾患開始日</v>
      </c>
      <c r="U674" s="4" t="str">
        <f t="shared" si="72"/>
        <v>, CASE WHEN shikkan_disp_name = 'I658' THEN min_shikkan_start_date ::DATE ELSE NULL END AS shikkan656_start_date</v>
      </c>
      <c r="V674" s="25" t="str">
        <f t="shared" si="73"/>
        <v>, max(shikkan656_start_date)</v>
      </c>
      <c r="AA674" s="4"/>
      <c r="AB674" s="4"/>
      <c r="AC674" s="4"/>
      <c r="AD674" s="4"/>
      <c r="AE674" s="4"/>
      <c r="AF674" s="4"/>
      <c r="AG674" s="4"/>
      <c r="AH674" s="4"/>
      <c r="AI674" s="4"/>
      <c r="AJ674" s="76" t="str">
        <f>IF(E674="○",IF(COUNTA(E$13:E674)=1,"",",")&amp;D674,"")</f>
        <v/>
      </c>
      <c r="AK674" s="4"/>
      <c r="AL674" s="4"/>
      <c r="AM674" s="4"/>
      <c r="AN674" s="4"/>
      <c r="AO674" s="4"/>
      <c r="AP674" s="4"/>
      <c r="AQ674" s="4"/>
      <c r="AR674" s="4"/>
      <c r="AS674" s="76" t="str">
        <f>"COMMENT ON COLUMN "&amp;エンティティ一覧!$O$2&amp;"."&amp;D$8&amp;"."&amp;D674&amp;" IS '"&amp;C674&amp;"';"</f>
        <v>COMMENT ON COLUMN milscm_2023_009.sny_202310_annony_non_annony2.shikkan656_start_date IS 'I658_疾患開始日';</v>
      </c>
    </row>
    <row r="675" spans="1:45" s="25" customFormat="1">
      <c r="A675" s="4" t="s">
        <v>5742</v>
      </c>
      <c r="B675" s="21">
        <f t="shared" si="82"/>
        <v>663</v>
      </c>
      <c r="C675" s="13" t="str">
        <f t="shared" si="81"/>
        <v>I659_疾患開始日</v>
      </c>
      <c r="D675" s="13" t="s">
        <v>6317</v>
      </c>
      <c r="E675" s="8"/>
      <c r="F675" s="7" t="s">
        <v>4348</v>
      </c>
      <c r="G675" s="7" t="s">
        <v>25</v>
      </c>
      <c r="H675" s="58"/>
      <c r="I675" s="23"/>
      <c r="J675" s="24"/>
      <c r="M675" s="4"/>
      <c r="N675" s="76"/>
      <c r="O675" s="76"/>
      <c r="P675" s="76" t="str">
        <f t="shared" si="76"/>
        <v>,shikkan657_start_date</v>
      </c>
      <c r="Q675" s="76" t="str">
        <f t="shared" si="77"/>
        <v>DATE</v>
      </c>
      <c r="R675" s="76" t="str">
        <f t="shared" si="78"/>
        <v/>
      </c>
      <c r="S675" s="76" t="str">
        <f t="shared" si="79"/>
        <v/>
      </c>
      <c r="T675" s="76" t="str">
        <f t="shared" si="80"/>
        <v>-- I659_疾患開始日</v>
      </c>
      <c r="U675" s="4" t="str">
        <f t="shared" si="72"/>
        <v>, CASE WHEN shikkan_disp_name = 'I659' THEN min_shikkan_start_date ::DATE ELSE NULL END AS shikkan657_start_date</v>
      </c>
      <c r="V675" s="25" t="str">
        <f t="shared" si="73"/>
        <v>, max(shikkan657_start_date)</v>
      </c>
      <c r="AA675" s="4"/>
      <c r="AB675" s="4"/>
      <c r="AC675" s="4"/>
      <c r="AD675" s="4"/>
      <c r="AE675" s="4"/>
      <c r="AF675" s="4"/>
      <c r="AG675" s="4"/>
      <c r="AH675" s="4"/>
      <c r="AI675" s="4"/>
      <c r="AJ675" s="76" t="str">
        <f>IF(E675="○",IF(COUNTA(E$13:E675)=1,"",",")&amp;D675,"")</f>
        <v/>
      </c>
      <c r="AK675" s="4"/>
      <c r="AL675" s="4"/>
      <c r="AM675" s="4"/>
      <c r="AN675" s="4"/>
      <c r="AO675" s="4"/>
      <c r="AP675" s="4"/>
      <c r="AQ675" s="4"/>
      <c r="AR675" s="4"/>
      <c r="AS675" s="76" t="str">
        <f>"COMMENT ON COLUMN "&amp;エンティティ一覧!$O$2&amp;"."&amp;D$8&amp;"."&amp;D675&amp;" IS '"&amp;C675&amp;"';"</f>
        <v>COMMENT ON COLUMN milscm_2023_009.sny_202310_annony_non_annony2.shikkan657_start_date IS 'I659_疾患開始日';</v>
      </c>
    </row>
    <row r="676" spans="1:45" s="25" customFormat="1">
      <c r="A676" s="4" t="s">
        <v>5743</v>
      </c>
      <c r="B676" s="21">
        <f t="shared" si="82"/>
        <v>664</v>
      </c>
      <c r="C676" s="13" t="str">
        <f t="shared" si="81"/>
        <v>I660_疾患開始日</v>
      </c>
      <c r="D676" s="13" t="s">
        <v>6318</v>
      </c>
      <c r="E676" s="8"/>
      <c r="F676" s="7" t="s">
        <v>4348</v>
      </c>
      <c r="G676" s="7" t="s">
        <v>25</v>
      </c>
      <c r="H676" s="58"/>
      <c r="I676" s="23"/>
      <c r="J676" s="24"/>
      <c r="M676" s="4"/>
      <c r="N676" s="76"/>
      <c r="O676" s="76"/>
      <c r="P676" s="76" t="str">
        <f t="shared" si="76"/>
        <v>,shikkan658_start_date</v>
      </c>
      <c r="Q676" s="76" t="str">
        <f t="shared" si="77"/>
        <v>DATE</v>
      </c>
      <c r="R676" s="76" t="str">
        <f t="shared" si="78"/>
        <v/>
      </c>
      <c r="S676" s="76" t="str">
        <f t="shared" si="79"/>
        <v/>
      </c>
      <c r="T676" s="76" t="str">
        <f t="shared" si="80"/>
        <v>-- I660_疾患開始日</v>
      </c>
      <c r="U676" s="4" t="str">
        <f t="shared" si="72"/>
        <v>, CASE WHEN shikkan_disp_name = 'I660' THEN min_shikkan_start_date ::DATE ELSE NULL END AS shikkan658_start_date</v>
      </c>
      <c r="V676" s="25" t="str">
        <f t="shared" si="73"/>
        <v>, max(shikkan658_start_date)</v>
      </c>
      <c r="AA676" s="4"/>
      <c r="AB676" s="4"/>
      <c r="AC676" s="4"/>
      <c r="AD676" s="4"/>
      <c r="AE676" s="4"/>
      <c r="AF676" s="4"/>
      <c r="AG676" s="4"/>
      <c r="AH676" s="4"/>
      <c r="AI676" s="4"/>
      <c r="AJ676" s="76" t="str">
        <f>IF(E676="○",IF(COUNTA(E$13:E676)=1,"",",")&amp;D676,"")</f>
        <v/>
      </c>
      <c r="AK676" s="4"/>
      <c r="AL676" s="4"/>
      <c r="AM676" s="4"/>
      <c r="AN676" s="4"/>
      <c r="AO676" s="4"/>
      <c r="AP676" s="4"/>
      <c r="AQ676" s="4"/>
      <c r="AR676" s="4"/>
      <c r="AS676" s="76" t="str">
        <f>"COMMENT ON COLUMN "&amp;エンティティ一覧!$O$2&amp;"."&amp;D$8&amp;"."&amp;D676&amp;" IS '"&amp;C676&amp;"';"</f>
        <v>COMMENT ON COLUMN milscm_2023_009.sny_202310_annony_non_annony2.shikkan658_start_date IS 'I660_疾患開始日';</v>
      </c>
    </row>
    <row r="677" spans="1:45" s="25" customFormat="1">
      <c r="A677" s="4" t="s">
        <v>5744</v>
      </c>
      <c r="B677" s="21">
        <f t="shared" si="82"/>
        <v>665</v>
      </c>
      <c r="C677" s="13" t="str">
        <f t="shared" si="81"/>
        <v>I661_疾患開始日</v>
      </c>
      <c r="D677" s="13" t="s">
        <v>6319</v>
      </c>
      <c r="E677" s="8"/>
      <c r="F677" s="7" t="s">
        <v>4348</v>
      </c>
      <c r="G677" s="7" t="s">
        <v>25</v>
      </c>
      <c r="H677" s="58"/>
      <c r="I677" s="23"/>
      <c r="J677" s="24"/>
      <c r="M677" s="4"/>
      <c r="N677" s="76"/>
      <c r="O677" s="76"/>
      <c r="P677" s="76" t="str">
        <f t="shared" si="76"/>
        <v>,shikkan659_start_date</v>
      </c>
      <c r="Q677" s="76" t="str">
        <f t="shared" si="77"/>
        <v>DATE</v>
      </c>
      <c r="R677" s="76" t="str">
        <f t="shared" si="78"/>
        <v/>
      </c>
      <c r="S677" s="76" t="str">
        <f t="shared" si="79"/>
        <v/>
      </c>
      <c r="T677" s="76" t="str">
        <f t="shared" si="80"/>
        <v>-- I661_疾患開始日</v>
      </c>
      <c r="U677" s="4" t="str">
        <f t="shared" si="72"/>
        <v>, CASE WHEN shikkan_disp_name = 'I661' THEN min_shikkan_start_date ::DATE ELSE NULL END AS shikkan659_start_date</v>
      </c>
      <c r="V677" s="25" t="str">
        <f t="shared" si="73"/>
        <v>, max(shikkan659_start_date)</v>
      </c>
      <c r="AA677" s="4"/>
      <c r="AB677" s="4"/>
      <c r="AC677" s="4"/>
      <c r="AD677" s="4"/>
      <c r="AE677" s="4"/>
      <c r="AF677" s="4"/>
      <c r="AG677" s="4"/>
      <c r="AH677" s="4"/>
      <c r="AI677" s="4"/>
      <c r="AJ677" s="76" t="str">
        <f>IF(E677="○",IF(COUNTA(E$13:E677)=1,"",",")&amp;D677,"")</f>
        <v/>
      </c>
      <c r="AK677" s="4"/>
      <c r="AL677" s="4"/>
      <c r="AM677" s="4"/>
      <c r="AN677" s="4"/>
      <c r="AO677" s="4"/>
      <c r="AP677" s="4"/>
      <c r="AQ677" s="4"/>
      <c r="AR677" s="4"/>
      <c r="AS677" s="76" t="str">
        <f>"COMMENT ON COLUMN "&amp;エンティティ一覧!$O$2&amp;"."&amp;D$8&amp;"."&amp;D677&amp;" IS '"&amp;C677&amp;"';"</f>
        <v>COMMENT ON COLUMN milscm_2023_009.sny_202310_annony_non_annony2.shikkan659_start_date IS 'I661_疾患開始日';</v>
      </c>
    </row>
    <row r="678" spans="1:45" s="25" customFormat="1">
      <c r="A678" s="4" t="s">
        <v>5745</v>
      </c>
      <c r="B678" s="21">
        <f t="shared" si="82"/>
        <v>666</v>
      </c>
      <c r="C678" s="13" t="str">
        <f t="shared" si="81"/>
        <v>I662_疾患開始日</v>
      </c>
      <c r="D678" s="13" t="s">
        <v>6320</v>
      </c>
      <c r="E678" s="8"/>
      <c r="F678" s="7" t="s">
        <v>4348</v>
      </c>
      <c r="G678" s="7" t="s">
        <v>25</v>
      </c>
      <c r="H678" s="58"/>
      <c r="I678" s="23"/>
      <c r="J678" s="24"/>
      <c r="M678" s="4"/>
      <c r="N678" s="76"/>
      <c r="O678" s="76"/>
      <c r="P678" s="76" t="str">
        <f t="shared" si="76"/>
        <v>,shikkan660_start_date</v>
      </c>
      <c r="Q678" s="76" t="str">
        <f t="shared" si="77"/>
        <v>DATE</v>
      </c>
      <c r="R678" s="76" t="str">
        <f t="shared" si="78"/>
        <v/>
      </c>
      <c r="S678" s="76" t="str">
        <f t="shared" si="79"/>
        <v/>
      </c>
      <c r="T678" s="76" t="str">
        <f t="shared" si="80"/>
        <v>-- I662_疾患開始日</v>
      </c>
      <c r="U678" s="4" t="str">
        <f t="shared" si="72"/>
        <v>, CASE WHEN shikkan_disp_name = 'I662' THEN min_shikkan_start_date ::DATE ELSE NULL END AS shikkan660_start_date</v>
      </c>
      <c r="V678" s="25" t="str">
        <f t="shared" si="73"/>
        <v>, max(shikkan660_start_date)</v>
      </c>
      <c r="AA678" s="4"/>
      <c r="AB678" s="4"/>
      <c r="AC678" s="4"/>
      <c r="AD678" s="4"/>
      <c r="AE678" s="4"/>
      <c r="AF678" s="4"/>
      <c r="AG678" s="4"/>
      <c r="AH678" s="4"/>
      <c r="AI678" s="4"/>
      <c r="AJ678" s="76" t="str">
        <f>IF(E678="○",IF(COUNTA(E$13:E678)=1,"",",")&amp;D678,"")</f>
        <v/>
      </c>
      <c r="AK678" s="4"/>
      <c r="AL678" s="4"/>
      <c r="AM678" s="4"/>
      <c r="AN678" s="4"/>
      <c r="AO678" s="4"/>
      <c r="AP678" s="4"/>
      <c r="AQ678" s="4"/>
      <c r="AR678" s="4"/>
      <c r="AS678" s="76" t="str">
        <f>"COMMENT ON COLUMN "&amp;エンティティ一覧!$O$2&amp;"."&amp;D$8&amp;"."&amp;D678&amp;" IS '"&amp;C678&amp;"';"</f>
        <v>COMMENT ON COLUMN milscm_2023_009.sny_202310_annony_non_annony2.shikkan660_start_date IS 'I662_疾患開始日';</v>
      </c>
    </row>
    <row r="679" spans="1:45" s="25" customFormat="1">
      <c r="A679" s="4" t="s">
        <v>5746</v>
      </c>
      <c r="B679" s="21">
        <f t="shared" si="82"/>
        <v>667</v>
      </c>
      <c r="C679" s="13" t="str">
        <f t="shared" si="81"/>
        <v>I663_疾患開始日</v>
      </c>
      <c r="D679" s="13" t="s">
        <v>6321</v>
      </c>
      <c r="E679" s="8"/>
      <c r="F679" s="7" t="s">
        <v>4348</v>
      </c>
      <c r="G679" s="7" t="s">
        <v>25</v>
      </c>
      <c r="H679" s="58"/>
      <c r="I679" s="23"/>
      <c r="J679" s="24"/>
      <c r="M679" s="4"/>
      <c r="N679" s="76"/>
      <c r="O679" s="76"/>
      <c r="P679" s="76" t="str">
        <f t="shared" si="76"/>
        <v>,shikkan661_start_date</v>
      </c>
      <c r="Q679" s="76" t="str">
        <f t="shared" si="77"/>
        <v>DATE</v>
      </c>
      <c r="R679" s="76" t="str">
        <f t="shared" si="78"/>
        <v/>
      </c>
      <c r="S679" s="76" t="str">
        <f t="shared" si="79"/>
        <v/>
      </c>
      <c r="T679" s="76" t="str">
        <f t="shared" si="80"/>
        <v>-- I663_疾患開始日</v>
      </c>
      <c r="U679" s="4" t="str">
        <f t="shared" si="72"/>
        <v>, CASE WHEN shikkan_disp_name = 'I663' THEN min_shikkan_start_date ::DATE ELSE NULL END AS shikkan661_start_date</v>
      </c>
      <c r="V679" s="25" t="str">
        <f t="shared" si="73"/>
        <v>, max(shikkan661_start_date)</v>
      </c>
      <c r="AA679" s="4"/>
      <c r="AB679" s="4"/>
      <c r="AC679" s="4"/>
      <c r="AD679" s="4"/>
      <c r="AE679" s="4"/>
      <c r="AF679" s="4"/>
      <c r="AG679" s="4"/>
      <c r="AH679" s="4"/>
      <c r="AI679" s="4"/>
      <c r="AJ679" s="76" t="str">
        <f>IF(E679="○",IF(COUNTA(E$13:E679)=1,"",",")&amp;D679,"")</f>
        <v/>
      </c>
      <c r="AK679" s="4"/>
      <c r="AL679" s="4"/>
      <c r="AM679" s="4"/>
      <c r="AN679" s="4"/>
      <c r="AO679" s="4"/>
      <c r="AP679" s="4"/>
      <c r="AQ679" s="4"/>
      <c r="AR679" s="4"/>
      <c r="AS679" s="76" t="str">
        <f>"COMMENT ON COLUMN "&amp;エンティティ一覧!$O$2&amp;"."&amp;D$8&amp;"."&amp;D679&amp;" IS '"&amp;C679&amp;"';"</f>
        <v>COMMENT ON COLUMN milscm_2023_009.sny_202310_annony_non_annony2.shikkan661_start_date IS 'I663_疾患開始日';</v>
      </c>
    </row>
    <row r="680" spans="1:45" s="25" customFormat="1">
      <c r="A680" s="4" t="s">
        <v>5747</v>
      </c>
      <c r="B680" s="21">
        <f t="shared" si="82"/>
        <v>668</v>
      </c>
      <c r="C680" s="13" t="str">
        <f t="shared" si="81"/>
        <v>I664_疾患開始日</v>
      </c>
      <c r="D680" s="13" t="s">
        <v>6322</v>
      </c>
      <c r="E680" s="8"/>
      <c r="F680" s="7" t="s">
        <v>4348</v>
      </c>
      <c r="G680" s="7" t="s">
        <v>25</v>
      </c>
      <c r="H680" s="58"/>
      <c r="I680" s="23"/>
      <c r="J680" s="24"/>
      <c r="M680" s="4"/>
      <c r="N680" s="76"/>
      <c r="O680" s="76"/>
      <c r="P680" s="76" t="str">
        <f t="shared" si="76"/>
        <v>,shikkan662_start_date</v>
      </c>
      <c r="Q680" s="76" t="str">
        <f t="shared" si="77"/>
        <v>DATE</v>
      </c>
      <c r="R680" s="76" t="str">
        <f t="shared" si="78"/>
        <v/>
      </c>
      <c r="S680" s="76" t="str">
        <f t="shared" si="79"/>
        <v/>
      </c>
      <c r="T680" s="76" t="str">
        <f t="shared" si="80"/>
        <v>-- I664_疾患開始日</v>
      </c>
      <c r="U680" s="4" t="str">
        <f t="shared" si="72"/>
        <v>, CASE WHEN shikkan_disp_name = 'I664' THEN min_shikkan_start_date ::DATE ELSE NULL END AS shikkan662_start_date</v>
      </c>
      <c r="V680" s="25" t="str">
        <f t="shared" si="73"/>
        <v>, max(shikkan662_start_date)</v>
      </c>
      <c r="AA680" s="4"/>
      <c r="AB680" s="4"/>
      <c r="AC680" s="4"/>
      <c r="AD680" s="4"/>
      <c r="AE680" s="4"/>
      <c r="AF680" s="4"/>
      <c r="AG680" s="4"/>
      <c r="AH680" s="4"/>
      <c r="AI680" s="4"/>
      <c r="AJ680" s="76" t="str">
        <f>IF(E680="○",IF(COUNTA(E$13:E680)=1,"",",")&amp;D680,"")</f>
        <v/>
      </c>
      <c r="AK680" s="4"/>
      <c r="AL680" s="4"/>
      <c r="AM680" s="4"/>
      <c r="AN680" s="4"/>
      <c r="AO680" s="4"/>
      <c r="AP680" s="4"/>
      <c r="AQ680" s="4"/>
      <c r="AR680" s="4"/>
      <c r="AS680" s="76" t="str">
        <f>"COMMENT ON COLUMN "&amp;エンティティ一覧!$O$2&amp;"."&amp;D$8&amp;"."&amp;D680&amp;" IS '"&amp;C680&amp;"';"</f>
        <v>COMMENT ON COLUMN milscm_2023_009.sny_202310_annony_non_annony2.shikkan662_start_date IS 'I664_疾患開始日';</v>
      </c>
    </row>
    <row r="681" spans="1:45" s="25" customFormat="1">
      <c r="A681" s="4" t="s">
        <v>5748</v>
      </c>
      <c r="B681" s="21">
        <f t="shared" si="82"/>
        <v>669</v>
      </c>
      <c r="C681" s="13" t="str">
        <f t="shared" si="81"/>
        <v>I668_疾患開始日</v>
      </c>
      <c r="D681" s="13" t="s">
        <v>6323</v>
      </c>
      <c r="E681" s="8"/>
      <c r="F681" s="7" t="s">
        <v>4348</v>
      </c>
      <c r="G681" s="7" t="s">
        <v>25</v>
      </c>
      <c r="H681" s="58"/>
      <c r="I681" s="23"/>
      <c r="J681" s="24"/>
      <c r="M681" s="4"/>
      <c r="N681" s="76"/>
      <c r="O681" s="76"/>
      <c r="P681" s="76" t="str">
        <f t="shared" si="76"/>
        <v>,shikkan663_start_date</v>
      </c>
      <c r="Q681" s="76" t="str">
        <f t="shared" si="77"/>
        <v>DATE</v>
      </c>
      <c r="R681" s="76" t="str">
        <f t="shared" si="78"/>
        <v/>
      </c>
      <c r="S681" s="76" t="str">
        <f t="shared" si="79"/>
        <v/>
      </c>
      <c r="T681" s="76" t="str">
        <f t="shared" si="80"/>
        <v>-- I668_疾患開始日</v>
      </c>
      <c r="U681" s="4" t="str">
        <f t="shared" si="72"/>
        <v>, CASE WHEN shikkan_disp_name = 'I668' THEN min_shikkan_start_date ::DATE ELSE NULL END AS shikkan663_start_date</v>
      </c>
      <c r="V681" s="25" t="str">
        <f t="shared" si="73"/>
        <v>, max(shikkan663_start_date)</v>
      </c>
      <c r="AA681" s="4"/>
      <c r="AB681" s="4"/>
      <c r="AC681" s="4"/>
      <c r="AD681" s="4"/>
      <c r="AE681" s="4"/>
      <c r="AF681" s="4"/>
      <c r="AG681" s="4"/>
      <c r="AH681" s="4"/>
      <c r="AI681" s="4"/>
      <c r="AJ681" s="76" t="str">
        <f>IF(E681="○",IF(COUNTA(E$13:E681)=1,"",",")&amp;D681,"")</f>
        <v/>
      </c>
      <c r="AK681" s="4"/>
      <c r="AL681" s="4"/>
      <c r="AM681" s="4"/>
      <c r="AN681" s="4"/>
      <c r="AO681" s="4"/>
      <c r="AP681" s="4"/>
      <c r="AQ681" s="4"/>
      <c r="AR681" s="4"/>
      <c r="AS681" s="76" t="str">
        <f>"COMMENT ON COLUMN "&amp;エンティティ一覧!$O$2&amp;"."&amp;D$8&amp;"."&amp;D681&amp;" IS '"&amp;C681&amp;"';"</f>
        <v>COMMENT ON COLUMN milscm_2023_009.sny_202310_annony_non_annony2.shikkan663_start_date IS 'I668_疾患開始日';</v>
      </c>
    </row>
    <row r="682" spans="1:45" s="25" customFormat="1">
      <c r="A682" s="4" t="s">
        <v>5749</v>
      </c>
      <c r="B682" s="21">
        <f t="shared" si="82"/>
        <v>670</v>
      </c>
      <c r="C682" s="13" t="str">
        <f t="shared" si="81"/>
        <v>I669_疾患開始日</v>
      </c>
      <c r="D682" s="13" t="s">
        <v>6324</v>
      </c>
      <c r="E682" s="8"/>
      <c r="F682" s="7" t="s">
        <v>4348</v>
      </c>
      <c r="G682" s="7" t="s">
        <v>25</v>
      </c>
      <c r="H682" s="58"/>
      <c r="I682" s="23"/>
      <c r="J682" s="24"/>
      <c r="M682" s="4"/>
      <c r="N682" s="76"/>
      <c r="O682" s="76"/>
      <c r="P682" s="76" t="str">
        <f t="shared" si="76"/>
        <v>,shikkan664_start_date</v>
      </c>
      <c r="Q682" s="76" t="str">
        <f t="shared" si="77"/>
        <v>DATE</v>
      </c>
      <c r="R682" s="76" t="str">
        <f t="shared" si="78"/>
        <v/>
      </c>
      <c r="S682" s="76" t="str">
        <f t="shared" si="79"/>
        <v/>
      </c>
      <c r="T682" s="76" t="str">
        <f t="shared" si="80"/>
        <v>-- I669_疾患開始日</v>
      </c>
      <c r="U682" s="4" t="str">
        <f t="shared" si="72"/>
        <v>, CASE WHEN shikkan_disp_name = 'I669' THEN min_shikkan_start_date ::DATE ELSE NULL END AS shikkan664_start_date</v>
      </c>
      <c r="V682" s="25" t="str">
        <f t="shared" si="73"/>
        <v>, max(shikkan664_start_date)</v>
      </c>
      <c r="AA682" s="4"/>
      <c r="AB682" s="4"/>
      <c r="AC682" s="4"/>
      <c r="AD682" s="4"/>
      <c r="AE682" s="4"/>
      <c r="AF682" s="4"/>
      <c r="AG682" s="4"/>
      <c r="AH682" s="4"/>
      <c r="AI682" s="4"/>
      <c r="AJ682" s="76" t="str">
        <f>IF(E682="○",IF(COUNTA(E$13:E682)=1,"",",")&amp;D682,"")</f>
        <v/>
      </c>
      <c r="AK682" s="4"/>
      <c r="AL682" s="4"/>
      <c r="AM682" s="4"/>
      <c r="AN682" s="4"/>
      <c r="AO682" s="4"/>
      <c r="AP682" s="4"/>
      <c r="AQ682" s="4"/>
      <c r="AR682" s="4"/>
      <c r="AS682" s="76" t="str">
        <f>"COMMENT ON COLUMN "&amp;エンティティ一覧!$O$2&amp;"."&amp;D$8&amp;"."&amp;D682&amp;" IS '"&amp;C682&amp;"';"</f>
        <v>COMMENT ON COLUMN milscm_2023_009.sny_202310_annony_non_annony2.shikkan664_start_date IS 'I669_疾患開始日';</v>
      </c>
    </row>
    <row r="683" spans="1:45" s="25" customFormat="1">
      <c r="A683" s="4" t="s">
        <v>5750</v>
      </c>
      <c r="B683" s="21">
        <f t="shared" si="82"/>
        <v>671</v>
      </c>
      <c r="C683" s="13" t="str">
        <f t="shared" si="81"/>
        <v>I670_疾患開始日</v>
      </c>
      <c r="D683" s="13" t="s">
        <v>6325</v>
      </c>
      <c r="E683" s="8"/>
      <c r="F683" s="7" t="s">
        <v>4348</v>
      </c>
      <c r="G683" s="7" t="s">
        <v>25</v>
      </c>
      <c r="H683" s="58"/>
      <c r="I683" s="23"/>
      <c r="J683" s="24"/>
      <c r="M683" s="4"/>
      <c r="N683" s="76"/>
      <c r="O683" s="76"/>
      <c r="P683" s="76" t="str">
        <f t="shared" si="76"/>
        <v>,shikkan665_start_date</v>
      </c>
      <c r="Q683" s="76" t="str">
        <f t="shared" si="77"/>
        <v>DATE</v>
      </c>
      <c r="R683" s="76" t="str">
        <f t="shared" si="78"/>
        <v/>
      </c>
      <c r="S683" s="76" t="str">
        <f t="shared" si="79"/>
        <v/>
      </c>
      <c r="T683" s="76" t="str">
        <f t="shared" si="80"/>
        <v>-- I670_疾患開始日</v>
      </c>
      <c r="U683" s="4" t="str">
        <f t="shared" si="72"/>
        <v>, CASE WHEN shikkan_disp_name = 'I670' THEN min_shikkan_start_date ::DATE ELSE NULL END AS shikkan665_start_date</v>
      </c>
      <c r="V683" s="25" t="str">
        <f t="shared" si="73"/>
        <v>, max(shikkan665_start_date)</v>
      </c>
      <c r="AA683" s="4"/>
      <c r="AB683" s="4"/>
      <c r="AC683" s="4"/>
      <c r="AD683" s="4"/>
      <c r="AE683" s="4"/>
      <c r="AF683" s="4"/>
      <c r="AG683" s="4"/>
      <c r="AH683" s="4"/>
      <c r="AI683" s="4"/>
      <c r="AJ683" s="76" t="str">
        <f>IF(E683="○",IF(COUNTA(E$13:E683)=1,"",",")&amp;D683,"")</f>
        <v/>
      </c>
      <c r="AK683" s="4"/>
      <c r="AL683" s="4"/>
      <c r="AM683" s="4"/>
      <c r="AN683" s="4"/>
      <c r="AO683" s="4"/>
      <c r="AP683" s="4"/>
      <c r="AQ683" s="4"/>
      <c r="AR683" s="4"/>
      <c r="AS683" s="76" t="str">
        <f>"COMMENT ON COLUMN "&amp;エンティティ一覧!$O$2&amp;"."&amp;D$8&amp;"."&amp;D683&amp;" IS '"&amp;C683&amp;"';"</f>
        <v>COMMENT ON COLUMN milscm_2023_009.sny_202310_annony_non_annony2.shikkan665_start_date IS 'I670_疾患開始日';</v>
      </c>
    </row>
    <row r="684" spans="1:45" s="25" customFormat="1">
      <c r="A684" s="4" t="s">
        <v>5751</v>
      </c>
      <c r="B684" s="21">
        <f t="shared" si="82"/>
        <v>672</v>
      </c>
      <c r="C684" s="13" t="str">
        <f t="shared" si="81"/>
        <v>I671_疾患開始日</v>
      </c>
      <c r="D684" s="13" t="s">
        <v>6326</v>
      </c>
      <c r="E684" s="8"/>
      <c r="F684" s="7" t="s">
        <v>4348</v>
      </c>
      <c r="G684" s="7" t="s">
        <v>25</v>
      </c>
      <c r="H684" s="58"/>
      <c r="I684" s="23"/>
      <c r="J684" s="24"/>
      <c r="M684" s="4"/>
      <c r="N684" s="76"/>
      <c r="O684" s="76"/>
      <c r="P684" s="76" t="str">
        <f t="shared" si="76"/>
        <v>,shikkan666_start_date</v>
      </c>
      <c r="Q684" s="76" t="str">
        <f t="shared" si="77"/>
        <v>DATE</v>
      </c>
      <c r="R684" s="76" t="str">
        <f t="shared" si="78"/>
        <v/>
      </c>
      <c r="S684" s="76" t="str">
        <f t="shared" si="79"/>
        <v/>
      </c>
      <c r="T684" s="76" t="str">
        <f t="shared" si="80"/>
        <v>-- I671_疾患開始日</v>
      </c>
      <c r="U684" s="4" t="str">
        <f t="shared" si="72"/>
        <v>, CASE WHEN shikkan_disp_name = 'I671' THEN min_shikkan_start_date ::DATE ELSE NULL END AS shikkan666_start_date</v>
      </c>
      <c r="V684" s="25" t="str">
        <f t="shared" si="73"/>
        <v>, max(shikkan666_start_date)</v>
      </c>
      <c r="AA684" s="4"/>
      <c r="AB684" s="4"/>
      <c r="AC684" s="4"/>
      <c r="AD684" s="4"/>
      <c r="AE684" s="4"/>
      <c r="AF684" s="4"/>
      <c r="AG684" s="4"/>
      <c r="AH684" s="4"/>
      <c r="AI684" s="4"/>
      <c r="AJ684" s="76" t="str">
        <f>IF(E684="○",IF(COUNTA(E$13:E684)=1,"",",")&amp;D684,"")</f>
        <v/>
      </c>
      <c r="AK684" s="4"/>
      <c r="AL684" s="4"/>
      <c r="AM684" s="4"/>
      <c r="AN684" s="4"/>
      <c r="AO684" s="4"/>
      <c r="AP684" s="4"/>
      <c r="AQ684" s="4"/>
      <c r="AR684" s="4"/>
      <c r="AS684" s="76" t="str">
        <f>"COMMENT ON COLUMN "&amp;エンティティ一覧!$O$2&amp;"."&amp;D$8&amp;"."&amp;D684&amp;" IS '"&amp;C684&amp;"';"</f>
        <v>COMMENT ON COLUMN milscm_2023_009.sny_202310_annony_non_annony2.shikkan666_start_date IS 'I671_疾患開始日';</v>
      </c>
    </row>
    <row r="685" spans="1:45" s="25" customFormat="1">
      <c r="A685" s="4" t="s">
        <v>5752</v>
      </c>
      <c r="B685" s="21">
        <f t="shared" si="82"/>
        <v>673</v>
      </c>
      <c r="C685" s="13" t="str">
        <f t="shared" si="81"/>
        <v>I672_疾患開始日</v>
      </c>
      <c r="D685" s="13" t="s">
        <v>6327</v>
      </c>
      <c r="E685" s="8"/>
      <c r="F685" s="7" t="s">
        <v>4348</v>
      </c>
      <c r="G685" s="7" t="s">
        <v>25</v>
      </c>
      <c r="H685" s="58"/>
      <c r="I685" s="23"/>
      <c r="J685" s="24"/>
      <c r="M685" s="4"/>
      <c r="N685" s="76"/>
      <c r="O685" s="76"/>
      <c r="P685" s="76" t="str">
        <f t="shared" si="76"/>
        <v>,shikkan667_start_date</v>
      </c>
      <c r="Q685" s="76" t="str">
        <f t="shared" si="77"/>
        <v>DATE</v>
      </c>
      <c r="R685" s="76" t="str">
        <f t="shared" si="78"/>
        <v/>
      </c>
      <c r="S685" s="76" t="str">
        <f t="shared" si="79"/>
        <v/>
      </c>
      <c r="T685" s="76" t="str">
        <f t="shared" si="80"/>
        <v>-- I672_疾患開始日</v>
      </c>
      <c r="U685" s="4" t="str">
        <f t="shared" si="72"/>
        <v>, CASE WHEN shikkan_disp_name = 'I672' THEN min_shikkan_start_date ::DATE ELSE NULL END AS shikkan667_start_date</v>
      </c>
      <c r="V685" s="25" t="str">
        <f t="shared" si="73"/>
        <v>, max(shikkan667_start_date)</v>
      </c>
      <c r="AA685" s="4"/>
      <c r="AB685" s="4"/>
      <c r="AC685" s="4"/>
      <c r="AD685" s="4"/>
      <c r="AE685" s="4"/>
      <c r="AF685" s="4"/>
      <c r="AG685" s="4"/>
      <c r="AH685" s="4"/>
      <c r="AI685" s="4"/>
      <c r="AJ685" s="76" t="str">
        <f>IF(E685="○",IF(COUNTA(E$13:E685)=1,"",",")&amp;D685,"")</f>
        <v/>
      </c>
      <c r="AK685" s="4"/>
      <c r="AL685" s="4"/>
      <c r="AM685" s="4"/>
      <c r="AN685" s="4"/>
      <c r="AO685" s="4"/>
      <c r="AP685" s="4"/>
      <c r="AQ685" s="4"/>
      <c r="AR685" s="4"/>
      <c r="AS685" s="76" t="str">
        <f>"COMMENT ON COLUMN "&amp;エンティティ一覧!$O$2&amp;"."&amp;D$8&amp;"."&amp;D685&amp;" IS '"&amp;C685&amp;"';"</f>
        <v>COMMENT ON COLUMN milscm_2023_009.sny_202310_annony_non_annony2.shikkan667_start_date IS 'I672_疾患開始日';</v>
      </c>
    </row>
    <row r="686" spans="1:45" s="25" customFormat="1">
      <c r="A686" s="4" t="s">
        <v>5753</v>
      </c>
      <c r="B686" s="21">
        <f t="shared" si="82"/>
        <v>674</v>
      </c>
      <c r="C686" s="13" t="str">
        <f t="shared" si="81"/>
        <v>I673_疾患開始日</v>
      </c>
      <c r="D686" s="13" t="s">
        <v>6328</v>
      </c>
      <c r="E686" s="8"/>
      <c r="F686" s="7" t="s">
        <v>4348</v>
      </c>
      <c r="G686" s="7" t="s">
        <v>25</v>
      </c>
      <c r="H686" s="58"/>
      <c r="I686" s="23"/>
      <c r="J686" s="24"/>
      <c r="M686" s="4"/>
      <c r="N686" s="76"/>
      <c r="O686" s="76"/>
      <c r="P686" s="76" t="str">
        <f t="shared" si="76"/>
        <v>,shikkan668_start_date</v>
      </c>
      <c r="Q686" s="76" t="str">
        <f t="shared" si="77"/>
        <v>DATE</v>
      </c>
      <c r="R686" s="76" t="str">
        <f t="shared" si="78"/>
        <v/>
      </c>
      <c r="S686" s="76" t="str">
        <f t="shared" si="79"/>
        <v/>
      </c>
      <c r="T686" s="76" t="str">
        <f t="shared" si="80"/>
        <v>-- I673_疾患開始日</v>
      </c>
      <c r="U686" s="4" t="str">
        <f t="shared" si="72"/>
        <v>, CASE WHEN shikkan_disp_name = 'I673' THEN min_shikkan_start_date ::DATE ELSE NULL END AS shikkan668_start_date</v>
      </c>
      <c r="V686" s="25" t="str">
        <f t="shared" si="73"/>
        <v>, max(shikkan668_start_date)</v>
      </c>
      <c r="AA686" s="4"/>
      <c r="AB686" s="4"/>
      <c r="AC686" s="4"/>
      <c r="AD686" s="4"/>
      <c r="AE686" s="4"/>
      <c r="AF686" s="4"/>
      <c r="AG686" s="4"/>
      <c r="AH686" s="4"/>
      <c r="AI686" s="4"/>
      <c r="AJ686" s="76" t="str">
        <f>IF(E686="○",IF(COUNTA(E$13:E686)=1,"",",")&amp;D686,"")</f>
        <v/>
      </c>
      <c r="AK686" s="4"/>
      <c r="AL686" s="4"/>
      <c r="AM686" s="4"/>
      <c r="AN686" s="4"/>
      <c r="AO686" s="4"/>
      <c r="AP686" s="4"/>
      <c r="AQ686" s="4"/>
      <c r="AR686" s="4"/>
      <c r="AS686" s="76" t="str">
        <f>"COMMENT ON COLUMN "&amp;エンティティ一覧!$O$2&amp;"."&amp;D$8&amp;"."&amp;D686&amp;" IS '"&amp;C686&amp;"';"</f>
        <v>COMMENT ON COLUMN milscm_2023_009.sny_202310_annony_non_annony2.shikkan668_start_date IS 'I673_疾患開始日';</v>
      </c>
    </row>
    <row r="687" spans="1:45" s="25" customFormat="1">
      <c r="A687" s="4" t="s">
        <v>5754</v>
      </c>
      <c r="B687" s="21">
        <f t="shared" si="82"/>
        <v>675</v>
      </c>
      <c r="C687" s="13" t="str">
        <f t="shared" si="81"/>
        <v>I674_疾患開始日</v>
      </c>
      <c r="D687" s="13" t="s">
        <v>6329</v>
      </c>
      <c r="E687" s="8"/>
      <c r="F687" s="7" t="s">
        <v>4348</v>
      </c>
      <c r="G687" s="7" t="s">
        <v>25</v>
      </c>
      <c r="H687" s="58"/>
      <c r="I687" s="23"/>
      <c r="J687" s="24"/>
      <c r="M687" s="4"/>
      <c r="N687" s="76"/>
      <c r="O687" s="76"/>
      <c r="P687" s="76" t="str">
        <f t="shared" si="76"/>
        <v>,shikkan669_start_date</v>
      </c>
      <c r="Q687" s="76" t="str">
        <f t="shared" si="77"/>
        <v>DATE</v>
      </c>
      <c r="R687" s="76" t="str">
        <f t="shared" si="78"/>
        <v/>
      </c>
      <c r="S687" s="76" t="str">
        <f t="shared" si="79"/>
        <v/>
      </c>
      <c r="T687" s="76" t="str">
        <f t="shared" si="80"/>
        <v>-- I674_疾患開始日</v>
      </c>
      <c r="U687" s="4" t="str">
        <f t="shared" si="72"/>
        <v>, CASE WHEN shikkan_disp_name = 'I674' THEN min_shikkan_start_date ::DATE ELSE NULL END AS shikkan669_start_date</v>
      </c>
      <c r="V687" s="25" t="str">
        <f t="shared" si="73"/>
        <v>, max(shikkan669_start_date)</v>
      </c>
      <c r="AA687" s="4"/>
      <c r="AB687" s="4"/>
      <c r="AC687" s="4"/>
      <c r="AD687" s="4"/>
      <c r="AE687" s="4"/>
      <c r="AF687" s="4"/>
      <c r="AG687" s="4"/>
      <c r="AH687" s="4"/>
      <c r="AI687" s="4"/>
      <c r="AJ687" s="76" t="str">
        <f>IF(E687="○",IF(COUNTA(E$13:E687)=1,"",",")&amp;D687,"")</f>
        <v/>
      </c>
      <c r="AK687" s="4"/>
      <c r="AL687" s="4"/>
      <c r="AM687" s="4"/>
      <c r="AN687" s="4"/>
      <c r="AO687" s="4"/>
      <c r="AP687" s="4"/>
      <c r="AQ687" s="4"/>
      <c r="AR687" s="4"/>
      <c r="AS687" s="76" t="str">
        <f>"COMMENT ON COLUMN "&amp;エンティティ一覧!$O$2&amp;"."&amp;D$8&amp;"."&amp;D687&amp;" IS '"&amp;C687&amp;"';"</f>
        <v>COMMENT ON COLUMN milscm_2023_009.sny_202310_annony_non_annony2.shikkan669_start_date IS 'I674_疾患開始日';</v>
      </c>
    </row>
    <row r="688" spans="1:45" s="25" customFormat="1">
      <c r="A688" s="4" t="s">
        <v>5755</v>
      </c>
      <c r="B688" s="21">
        <f t="shared" si="82"/>
        <v>676</v>
      </c>
      <c r="C688" s="13" t="str">
        <f t="shared" si="81"/>
        <v>I675_疾患開始日</v>
      </c>
      <c r="D688" s="13" t="s">
        <v>6330</v>
      </c>
      <c r="E688" s="8"/>
      <c r="F688" s="7" t="s">
        <v>4348</v>
      </c>
      <c r="G688" s="7" t="s">
        <v>25</v>
      </c>
      <c r="H688" s="58"/>
      <c r="I688" s="23"/>
      <c r="J688" s="24"/>
      <c r="M688" s="4"/>
      <c r="N688" s="76"/>
      <c r="O688" s="76"/>
      <c r="P688" s="76" t="str">
        <f t="shared" si="76"/>
        <v>,shikkan670_start_date</v>
      </c>
      <c r="Q688" s="76" t="str">
        <f t="shared" si="77"/>
        <v>DATE</v>
      </c>
      <c r="R688" s="76" t="str">
        <f t="shared" si="78"/>
        <v/>
      </c>
      <c r="S688" s="76" t="str">
        <f t="shared" si="79"/>
        <v/>
      </c>
      <c r="T688" s="76" t="str">
        <f t="shared" si="80"/>
        <v>-- I675_疾患開始日</v>
      </c>
      <c r="U688" s="4" t="str">
        <f t="shared" si="72"/>
        <v>, CASE WHEN shikkan_disp_name = 'I675' THEN min_shikkan_start_date ::DATE ELSE NULL END AS shikkan670_start_date</v>
      </c>
      <c r="V688" s="25" t="str">
        <f t="shared" si="73"/>
        <v>, max(shikkan670_start_date)</v>
      </c>
      <c r="AA688" s="4"/>
      <c r="AB688" s="4"/>
      <c r="AC688" s="4"/>
      <c r="AD688" s="4"/>
      <c r="AE688" s="4"/>
      <c r="AF688" s="4"/>
      <c r="AG688" s="4"/>
      <c r="AH688" s="4"/>
      <c r="AI688" s="4"/>
      <c r="AJ688" s="76" t="str">
        <f>IF(E688="○",IF(COUNTA(E$13:E688)=1,"",",")&amp;D688,"")</f>
        <v/>
      </c>
      <c r="AK688" s="4"/>
      <c r="AL688" s="4"/>
      <c r="AM688" s="4"/>
      <c r="AN688" s="4"/>
      <c r="AO688" s="4"/>
      <c r="AP688" s="4"/>
      <c r="AQ688" s="4"/>
      <c r="AR688" s="4"/>
      <c r="AS688" s="76" t="str">
        <f>"COMMENT ON COLUMN "&amp;エンティティ一覧!$O$2&amp;"."&amp;D$8&amp;"."&amp;D688&amp;" IS '"&amp;C688&amp;"';"</f>
        <v>COMMENT ON COLUMN milscm_2023_009.sny_202310_annony_non_annony2.shikkan670_start_date IS 'I675_疾患開始日';</v>
      </c>
    </row>
    <row r="689" spans="1:45" s="25" customFormat="1">
      <c r="A689" s="4" t="s">
        <v>5756</v>
      </c>
      <c r="B689" s="21">
        <f t="shared" si="82"/>
        <v>677</v>
      </c>
      <c r="C689" s="13" t="str">
        <f t="shared" si="81"/>
        <v>I676_疾患開始日</v>
      </c>
      <c r="D689" s="13" t="s">
        <v>6331</v>
      </c>
      <c r="E689" s="8"/>
      <c r="F689" s="7" t="s">
        <v>4348</v>
      </c>
      <c r="G689" s="7" t="s">
        <v>99</v>
      </c>
      <c r="H689" s="58"/>
      <c r="I689" s="23"/>
      <c r="J689" s="24"/>
      <c r="M689" s="4"/>
      <c r="N689" s="76"/>
      <c r="O689" s="76"/>
      <c r="P689" s="76" t="str">
        <f t="shared" si="76"/>
        <v>,shikkan671_start_date</v>
      </c>
      <c r="Q689" s="76" t="str">
        <f t="shared" si="77"/>
        <v>DATE</v>
      </c>
      <c r="R689" s="76" t="str">
        <f t="shared" si="78"/>
        <v/>
      </c>
      <c r="S689" s="76" t="str">
        <f t="shared" si="79"/>
        <v/>
      </c>
      <c r="T689" s="76" t="str">
        <f t="shared" si="80"/>
        <v>-- I676_疾患開始日</v>
      </c>
      <c r="U689" s="4" t="str">
        <f t="shared" si="72"/>
        <v>, CASE WHEN shikkan_disp_name = 'I676' THEN min_shikkan_start_date ::DATE ELSE NULL END AS shikkan671_start_date</v>
      </c>
      <c r="V689" s="25" t="str">
        <f t="shared" si="73"/>
        <v>, max(shikkan671_start_date)</v>
      </c>
      <c r="AA689" s="4"/>
      <c r="AB689" s="4"/>
      <c r="AC689" s="4"/>
      <c r="AD689" s="4"/>
      <c r="AE689" s="4"/>
      <c r="AF689" s="4"/>
      <c r="AG689" s="4"/>
      <c r="AH689" s="4"/>
      <c r="AI689" s="4"/>
      <c r="AJ689" s="76" t="str">
        <f>IF(E689="○",IF(COUNTA(E$13:E689)=1,"",",")&amp;D689,"")</f>
        <v/>
      </c>
      <c r="AK689" s="4"/>
      <c r="AL689" s="4"/>
      <c r="AM689" s="4"/>
      <c r="AN689" s="4"/>
      <c r="AO689" s="4"/>
      <c r="AP689" s="4"/>
      <c r="AQ689" s="4"/>
      <c r="AR689" s="4"/>
      <c r="AS689" s="76" t="str">
        <f>"COMMENT ON COLUMN "&amp;エンティティ一覧!$O$2&amp;"."&amp;D$8&amp;"."&amp;D689&amp;" IS '"&amp;C689&amp;"';"</f>
        <v>COMMENT ON COLUMN milscm_2023_009.sny_202310_annony_non_annony2.shikkan671_start_date IS 'I676_疾患開始日';</v>
      </c>
    </row>
    <row r="690" spans="1:45" s="25" customFormat="1">
      <c r="A690" s="4" t="s">
        <v>5757</v>
      </c>
      <c r="B690" s="21">
        <f t="shared" si="82"/>
        <v>678</v>
      </c>
      <c r="C690" s="13" t="str">
        <f t="shared" si="81"/>
        <v>I677_疾患開始日</v>
      </c>
      <c r="D690" s="13" t="s">
        <v>6332</v>
      </c>
      <c r="E690" s="8"/>
      <c r="F690" s="7" t="s">
        <v>4348</v>
      </c>
      <c r="G690" s="7" t="s">
        <v>25</v>
      </c>
      <c r="H690" s="58"/>
      <c r="I690" s="23"/>
      <c r="J690" s="24"/>
      <c r="M690" s="4"/>
      <c r="N690" s="76"/>
      <c r="O690" s="76"/>
      <c r="P690" s="76" t="str">
        <f t="shared" si="76"/>
        <v>,shikkan672_start_date</v>
      </c>
      <c r="Q690" s="76" t="str">
        <f t="shared" si="77"/>
        <v>DATE</v>
      </c>
      <c r="R690" s="76" t="str">
        <f t="shared" si="78"/>
        <v/>
      </c>
      <c r="S690" s="76" t="str">
        <f t="shared" si="79"/>
        <v/>
      </c>
      <c r="T690" s="76" t="str">
        <f t="shared" si="80"/>
        <v>-- I677_疾患開始日</v>
      </c>
      <c r="U690" s="4" t="str">
        <f t="shared" si="72"/>
        <v>, CASE WHEN shikkan_disp_name = 'I677' THEN min_shikkan_start_date ::DATE ELSE NULL END AS shikkan672_start_date</v>
      </c>
      <c r="V690" s="25" t="str">
        <f t="shared" si="73"/>
        <v>, max(shikkan672_start_date)</v>
      </c>
      <c r="AA690" s="4"/>
      <c r="AB690" s="4"/>
      <c r="AC690" s="4"/>
      <c r="AD690" s="4"/>
      <c r="AE690" s="4"/>
      <c r="AF690" s="4"/>
      <c r="AG690" s="4"/>
      <c r="AH690" s="4"/>
      <c r="AI690" s="4"/>
      <c r="AJ690" s="76" t="str">
        <f>IF(E690="○",IF(COUNTA(E$13:E690)=1,"",",")&amp;D690,"")</f>
        <v/>
      </c>
      <c r="AK690" s="4"/>
      <c r="AL690" s="4"/>
      <c r="AM690" s="4"/>
      <c r="AN690" s="4"/>
      <c r="AO690" s="4"/>
      <c r="AP690" s="4"/>
      <c r="AQ690" s="4"/>
      <c r="AR690" s="4"/>
      <c r="AS690" s="76" t="str">
        <f>"COMMENT ON COLUMN "&amp;エンティティ一覧!$O$2&amp;"."&amp;D$8&amp;"."&amp;D690&amp;" IS '"&amp;C690&amp;"';"</f>
        <v>COMMENT ON COLUMN milscm_2023_009.sny_202310_annony_non_annony2.shikkan672_start_date IS 'I677_疾患開始日';</v>
      </c>
    </row>
    <row r="691" spans="1:45" s="25" customFormat="1">
      <c r="A691" s="4" t="s">
        <v>5758</v>
      </c>
      <c r="B691" s="21">
        <f t="shared" si="82"/>
        <v>679</v>
      </c>
      <c r="C691" s="13" t="str">
        <f t="shared" si="81"/>
        <v>I678_疾患開始日</v>
      </c>
      <c r="D691" s="13" t="s">
        <v>6333</v>
      </c>
      <c r="E691" s="8"/>
      <c r="F691" s="7" t="s">
        <v>4348</v>
      </c>
      <c r="G691" s="7" t="s">
        <v>25</v>
      </c>
      <c r="H691" s="58"/>
      <c r="I691" s="23"/>
      <c r="J691" s="24"/>
      <c r="M691" s="4"/>
      <c r="N691" s="76"/>
      <c r="O691" s="76"/>
      <c r="P691" s="76" t="str">
        <f t="shared" si="76"/>
        <v>,shikkan673_start_date</v>
      </c>
      <c r="Q691" s="76" t="str">
        <f t="shared" si="77"/>
        <v>DATE</v>
      </c>
      <c r="R691" s="76" t="str">
        <f t="shared" si="78"/>
        <v/>
      </c>
      <c r="S691" s="76" t="str">
        <f t="shared" si="79"/>
        <v/>
      </c>
      <c r="T691" s="76" t="str">
        <f t="shared" si="80"/>
        <v>-- I678_疾患開始日</v>
      </c>
      <c r="U691" s="4" t="str">
        <f t="shared" si="72"/>
        <v>, CASE WHEN shikkan_disp_name = 'I678' THEN min_shikkan_start_date ::DATE ELSE NULL END AS shikkan673_start_date</v>
      </c>
      <c r="V691" s="25" t="str">
        <f t="shared" si="73"/>
        <v>, max(shikkan673_start_date)</v>
      </c>
      <c r="AA691" s="4"/>
      <c r="AB691" s="4"/>
      <c r="AC691" s="4"/>
      <c r="AD691" s="4"/>
      <c r="AE691" s="4"/>
      <c r="AF691" s="4"/>
      <c r="AG691" s="4"/>
      <c r="AH691" s="4"/>
      <c r="AI691" s="4"/>
      <c r="AJ691" s="76" t="str">
        <f>IF(E691="○",IF(COUNTA(E$13:E691)=1,"",",")&amp;D691,"")</f>
        <v/>
      </c>
      <c r="AK691" s="4"/>
      <c r="AL691" s="4"/>
      <c r="AM691" s="4"/>
      <c r="AN691" s="4"/>
      <c r="AO691" s="4"/>
      <c r="AP691" s="4"/>
      <c r="AQ691" s="4"/>
      <c r="AR691" s="4"/>
      <c r="AS691" s="76" t="str">
        <f>"COMMENT ON COLUMN "&amp;エンティティ一覧!$O$2&amp;"."&amp;D$8&amp;"."&amp;D691&amp;" IS '"&amp;C691&amp;"';"</f>
        <v>COMMENT ON COLUMN milscm_2023_009.sny_202310_annony_non_annony2.shikkan673_start_date IS 'I678_疾患開始日';</v>
      </c>
    </row>
    <row r="692" spans="1:45" s="25" customFormat="1">
      <c r="A692" s="4" t="s">
        <v>5759</v>
      </c>
      <c r="B692" s="21">
        <f t="shared" si="82"/>
        <v>680</v>
      </c>
      <c r="C692" s="13" t="str">
        <f t="shared" si="81"/>
        <v>I679_疾患開始日</v>
      </c>
      <c r="D692" s="13" t="s">
        <v>6334</v>
      </c>
      <c r="E692" s="8"/>
      <c r="F692" s="7" t="s">
        <v>4348</v>
      </c>
      <c r="G692" s="7" t="s">
        <v>25</v>
      </c>
      <c r="H692" s="58"/>
      <c r="I692" s="23"/>
      <c r="J692" s="24"/>
      <c r="M692" s="4"/>
      <c r="N692" s="76"/>
      <c r="O692" s="76"/>
      <c r="P692" s="76" t="str">
        <f t="shared" si="76"/>
        <v>,shikkan674_start_date</v>
      </c>
      <c r="Q692" s="76" t="str">
        <f t="shared" si="77"/>
        <v>DATE</v>
      </c>
      <c r="R692" s="76" t="str">
        <f t="shared" si="78"/>
        <v/>
      </c>
      <c r="S692" s="76" t="str">
        <f t="shared" si="79"/>
        <v/>
      </c>
      <c r="T692" s="76" t="str">
        <f t="shared" si="80"/>
        <v>-- I679_疾患開始日</v>
      </c>
      <c r="U692" s="4" t="str">
        <f t="shared" si="72"/>
        <v>, CASE WHEN shikkan_disp_name = 'I679' THEN min_shikkan_start_date ::DATE ELSE NULL END AS shikkan674_start_date</v>
      </c>
      <c r="V692" s="25" t="str">
        <f t="shared" si="73"/>
        <v>, max(shikkan674_start_date)</v>
      </c>
      <c r="AA692" s="4"/>
      <c r="AB692" s="4"/>
      <c r="AC692" s="4"/>
      <c r="AD692" s="4"/>
      <c r="AE692" s="4"/>
      <c r="AF692" s="4"/>
      <c r="AG692" s="4"/>
      <c r="AH692" s="4"/>
      <c r="AI692" s="4"/>
      <c r="AJ692" s="76" t="str">
        <f>IF(E692="○",IF(COUNTA(E$13:E692)=1,"",",")&amp;D692,"")</f>
        <v/>
      </c>
      <c r="AK692" s="4"/>
      <c r="AL692" s="4"/>
      <c r="AM692" s="4"/>
      <c r="AN692" s="4"/>
      <c r="AO692" s="4"/>
      <c r="AP692" s="4"/>
      <c r="AQ692" s="4"/>
      <c r="AR692" s="4"/>
      <c r="AS692" s="76" t="str">
        <f>"COMMENT ON COLUMN "&amp;エンティティ一覧!$O$2&amp;"."&amp;D$8&amp;"."&amp;D692&amp;" IS '"&amp;C692&amp;"';"</f>
        <v>COMMENT ON COLUMN milscm_2023_009.sny_202310_annony_non_annony2.shikkan674_start_date IS 'I679_疾患開始日';</v>
      </c>
    </row>
    <row r="693" spans="1:45" s="25" customFormat="1">
      <c r="A693" s="4" t="s">
        <v>5760</v>
      </c>
      <c r="B693" s="21">
        <f t="shared" si="82"/>
        <v>681</v>
      </c>
      <c r="C693" s="13" t="str">
        <f t="shared" si="81"/>
        <v>I680_疾患開始日</v>
      </c>
      <c r="D693" s="13" t="s">
        <v>6335</v>
      </c>
      <c r="E693" s="8"/>
      <c r="F693" s="7" t="s">
        <v>4348</v>
      </c>
      <c r="G693" s="7" t="s">
        <v>25</v>
      </c>
      <c r="H693" s="58"/>
      <c r="I693" s="23"/>
      <c r="J693" s="24"/>
      <c r="M693" s="4"/>
      <c r="N693" s="76"/>
      <c r="O693" s="76"/>
      <c r="P693" s="76" t="str">
        <f t="shared" si="76"/>
        <v>,shikkan675_start_date</v>
      </c>
      <c r="Q693" s="76" t="str">
        <f t="shared" si="77"/>
        <v>DATE</v>
      </c>
      <c r="R693" s="76" t="str">
        <f t="shared" si="78"/>
        <v/>
      </c>
      <c r="S693" s="76" t="str">
        <f t="shared" si="79"/>
        <v/>
      </c>
      <c r="T693" s="76" t="str">
        <f t="shared" si="80"/>
        <v>-- I680_疾患開始日</v>
      </c>
      <c r="U693" s="4" t="str">
        <f t="shared" si="72"/>
        <v>, CASE WHEN shikkan_disp_name = 'I680' THEN min_shikkan_start_date ::DATE ELSE NULL END AS shikkan675_start_date</v>
      </c>
      <c r="V693" s="25" t="str">
        <f t="shared" si="73"/>
        <v>, max(shikkan675_start_date)</v>
      </c>
      <c r="AA693" s="4"/>
      <c r="AB693" s="4"/>
      <c r="AC693" s="4"/>
      <c r="AD693" s="4"/>
      <c r="AE693" s="4"/>
      <c r="AF693" s="4"/>
      <c r="AG693" s="4"/>
      <c r="AH693" s="4"/>
      <c r="AI693" s="4"/>
      <c r="AJ693" s="76" t="str">
        <f>IF(E693="○",IF(COUNTA(E$13:E693)=1,"",",")&amp;D693,"")</f>
        <v/>
      </c>
      <c r="AK693" s="4"/>
      <c r="AL693" s="4"/>
      <c r="AM693" s="4"/>
      <c r="AN693" s="4"/>
      <c r="AO693" s="4"/>
      <c r="AP693" s="4"/>
      <c r="AQ693" s="4"/>
      <c r="AR693" s="4"/>
      <c r="AS693" s="76" t="str">
        <f>"COMMENT ON COLUMN "&amp;エンティティ一覧!$O$2&amp;"."&amp;D$8&amp;"."&amp;D693&amp;" IS '"&amp;C693&amp;"';"</f>
        <v>COMMENT ON COLUMN milscm_2023_009.sny_202310_annony_non_annony2.shikkan675_start_date IS 'I680_疾患開始日';</v>
      </c>
    </row>
    <row r="694" spans="1:45" s="25" customFormat="1">
      <c r="A694" s="4" t="s">
        <v>5761</v>
      </c>
      <c r="B694" s="21">
        <f t="shared" si="82"/>
        <v>682</v>
      </c>
      <c r="C694" s="13" t="str">
        <f t="shared" si="81"/>
        <v>I681_疾患開始日</v>
      </c>
      <c r="D694" s="13" t="s">
        <v>6336</v>
      </c>
      <c r="E694" s="8"/>
      <c r="F694" s="7" t="s">
        <v>4348</v>
      </c>
      <c r="G694" s="7" t="s">
        <v>25</v>
      </c>
      <c r="H694" s="58"/>
      <c r="I694" s="23"/>
      <c r="J694" s="24"/>
      <c r="M694" s="4"/>
      <c r="N694" s="76"/>
      <c r="O694" s="76"/>
      <c r="P694" s="76" t="str">
        <f t="shared" si="76"/>
        <v>,shikkan676_start_date</v>
      </c>
      <c r="Q694" s="76" t="str">
        <f t="shared" si="77"/>
        <v>DATE</v>
      </c>
      <c r="R694" s="76" t="str">
        <f t="shared" si="78"/>
        <v/>
      </c>
      <c r="S694" s="76" t="str">
        <f t="shared" si="79"/>
        <v/>
      </c>
      <c r="T694" s="76" t="str">
        <f t="shared" si="80"/>
        <v>-- I681_疾患開始日</v>
      </c>
      <c r="U694" s="4" t="str">
        <f t="shared" si="72"/>
        <v>, CASE WHEN shikkan_disp_name = 'I681' THEN min_shikkan_start_date ::DATE ELSE NULL END AS shikkan676_start_date</v>
      </c>
      <c r="V694" s="25" t="str">
        <f t="shared" si="73"/>
        <v>, max(shikkan676_start_date)</v>
      </c>
      <c r="AA694" s="4"/>
      <c r="AB694" s="4"/>
      <c r="AC694" s="4"/>
      <c r="AD694" s="4"/>
      <c r="AE694" s="4"/>
      <c r="AF694" s="4"/>
      <c r="AG694" s="4"/>
      <c r="AH694" s="4"/>
      <c r="AI694" s="4"/>
      <c r="AJ694" s="76" t="str">
        <f>IF(E694="○",IF(COUNTA(E$13:E694)=1,"",",")&amp;D694,"")</f>
        <v/>
      </c>
      <c r="AK694" s="4"/>
      <c r="AL694" s="4"/>
      <c r="AM694" s="4"/>
      <c r="AN694" s="4"/>
      <c r="AO694" s="4"/>
      <c r="AP694" s="4"/>
      <c r="AQ694" s="4"/>
      <c r="AR694" s="4"/>
      <c r="AS694" s="76" t="str">
        <f>"COMMENT ON COLUMN "&amp;エンティティ一覧!$O$2&amp;"."&amp;D$8&amp;"."&amp;D694&amp;" IS '"&amp;C694&amp;"';"</f>
        <v>COMMENT ON COLUMN milscm_2023_009.sny_202310_annony_non_annony2.shikkan676_start_date IS 'I681_疾患開始日';</v>
      </c>
    </row>
    <row r="695" spans="1:45" s="25" customFormat="1">
      <c r="A695" s="4" t="s">
        <v>5762</v>
      </c>
      <c r="B695" s="21">
        <f t="shared" si="82"/>
        <v>683</v>
      </c>
      <c r="C695" s="13" t="str">
        <f t="shared" si="81"/>
        <v>I682_疾患開始日</v>
      </c>
      <c r="D695" s="13" t="s">
        <v>6337</v>
      </c>
      <c r="E695" s="8"/>
      <c r="F695" s="7" t="s">
        <v>4348</v>
      </c>
      <c r="G695" s="7" t="s">
        <v>25</v>
      </c>
      <c r="H695" s="58"/>
      <c r="I695" s="23"/>
      <c r="J695" s="24"/>
      <c r="M695" s="4"/>
      <c r="N695" s="76"/>
      <c r="O695" s="76"/>
      <c r="P695" s="76" t="str">
        <f t="shared" si="76"/>
        <v>,shikkan677_start_date</v>
      </c>
      <c r="Q695" s="76" t="str">
        <f t="shared" si="77"/>
        <v>DATE</v>
      </c>
      <c r="R695" s="76" t="str">
        <f t="shared" si="78"/>
        <v/>
      </c>
      <c r="S695" s="76" t="str">
        <f t="shared" si="79"/>
        <v/>
      </c>
      <c r="T695" s="76" t="str">
        <f t="shared" si="80"/>
        <v>-- I682_疾患開始日</v>
      </c>
      <c r="U695" s="4" t="str">
        <f t="shared" si="72"/>
        <v>, CASE WHEN shikkan_disp_name = 'I682' THEN min_shikkan_start_date ::DATE ELSE NULL END AS shikkan677_start_date</v>
      </c>
      <c r="V695" s="25" t="str">
        <f t="shared" si="73"/>
        <v>, max(shikkan677_start_date)</v>
      </c>
      <c r="AA695" s="4"/>
      <c r="AB695" s="4"/>
      <c r="AC695" s="4"/>
      <c r="AD695" s="4"/>
      <c r="AE695" s="4"/>
      <c r="AF695" s="4"/>
      <c r="AG695" s="4"/>
      <c r="AH695" s="4"/>
      <c r="AI695" s="4"/>
      <c r="AJ695" s="76" t="str">
        <f>IF(E695="○",IF(COUNTA(E$13:E695)=1,"",",")&amp;D695,"")</f>
        <v/>
      </c>
      <c r="AK695" s="4"/>
      <c r="AL695" s="4"/>
      <c r="AM695" s="4"/>
      <c r="AN695" s="4"/>
      <c r="AO695" s="4"/>
      <c r="AP695" s="4"/>
      <c r="AQ695" s="4"/>
      <c r="AR695" s="4"/>
      <c r="AS695" s="76" t="str">
        <f>"COMMENT ON COLUMN "&amp;エンティティ一覧!$O$2&amp;"."&amp;D$8&amp;"."&amp;D695&amp;" IS '"&amp;C695&amp;"';"</f>
        <v>COMMENT ON COLUMN milscm_2023_009.sny_202310_annony_non_annony2.shikkan677_start_date IS 'I682_疾患開始日';</v>
      </c>
    </row>
    <row r="696" spans="1:45" s="25" customFormat="1">
      <c r="A696" s="4" t="s">
        <v>5763</v>
      </c>
      <c r="B696" s="21">
        <f t="shared" si="82"/>
        <v>684</v>
      </c>
      <c r="C696" s="13" t="str">
        <f t="shared" si="81"/>
        <v>I688_疾患開始日</v>
      </c>
      <c r="D696" s="13" t="s">
        <v>6338</v>
      </c>
      <c r="E696" s="8"/>
      <c r="F696" s="7" t="s">
        <v>4348</v>
      </c>
      <c r="G696" s="7" t="s">
        <v>25</v>
      </c>
      <c r="H696" s="58"/>
      <c r="I696" s="23"/>
      <c r="J696" s="24"/>
      <c r="M696" s="4"/>
      <c r="N696" s="76"/>
      <c r="O696" s="76"/>
      <c r="P696" s="76" t="str">
        <f t="shared" si="76"/>
        <v>,shikkan678_start_date</v>
      </c>
      <c r="Q696" s="76" t="str">
        <f t="shared" si="77"/>
        <v>DATE</v>
      </c>
      <c r="R696" s="76" t="str">
        <f t="shared" si="78"/>
        <v/>
      </c>
      <c r="S696" s="76" t="str">
        <f t="shared" si="79"/>
        <v/>
      </c>
      <c r="T696" s="76" t="str">
        <f t="shared" si="80"/>
        <v>-- I688_疾患開始日</v>
      </c>
      <c r="U696" s="4" t="str">
        <f t="shared" si="72"/>
        <v>, CASE WHEN shikkan_disp_name = 'I688' THEN min_shikkan_start_date ::DATE ELSE NULL END AS shikkan678_start_date</v>
      </c>
      <c r="V696" s="25" t="str">
        <f t="shared" si="73"/>
        <v>, max(shikkan678_start_date)</v>
      </c>
      <c r="AA696" s="4"/>
      <c r="AB696" s="4"/>
      <c r="AC696" s="4"/>
      <c r="AD696" s="4"/>
      <c r="AE696" s="4"/>
      <c r="AF696" s="4"/>
      <c r="AG696" s="4"/>
      <c r="AH696" s="4"/>
      <c r="AI696" s="4"/>
      <c r="AJ696" s="76" t="str">
        <f>IF(E696="○",IF(COUNTA(E$13:E696)=1,"",",")&amp;D696,"")</f>
        <v/>
      </c>
      <c r="AK696" s="4"/>
      <c r="AL696" s="4"/>
      <c r="AM696" s="4"/>
      <c r="AN696" s="4"/>
      <c r="AO696" s="4"/>
      <c r="AP696" s="4"/>
      <c r="AQ696" s="4"/>
      <c r="AR696" s="4"/>
      <c r="AS696" s="76" t="str">
        <f>"COMMENT ON COLUMN "&amp;エンティティ一覧!$O$2&amp;"."&amp;D$8&amp;"."&amp;D696&amp;" IS '"&amp;C696&amp;"';"</f>
        <v>COMMENT ON COLUMN milscm_2023_009.sny_202310_annony_non_annony2.shikkan678_start_date IS 'I688_疾患開始日';</v>
      </c>
    </row>
    <row r="697" spans="1:45" s="25" customFormat="1">
      <c r="A697" s="4" t="s">
        <v>5764</v>
      </c>
      <c r="B697" s="21">
        <f t="shared" si="82"/>
        <v>685</v>
      </c>
      <c r="C697" s="13" t="str">
        <f t="shared" si="81"/>
        <v>I690_疾患開始日</v>
      </c>
      <c r="D697" s="13" t="s">
        <v>6339</v>
      </c>
      <c r="E697" s="8"/>
      <c r="F697" s="7" t="s">
        <v>4348</v>
      </c>
      <c r="G697" s="7" t="s">
        <v>25</v>
      </c>
      <c r="H697" s="58"/>
      <c r="I697" s="23"/>
      <c r="J697" s="24"/>
      <c r="M697" s="4"/>
      <c r="N697" s="76"/>
      <c r="O697" s="76"/>
      <c r="P697" s="76" t="str">
        <f t="shared" si="76"/>
        <v>,shikkan679_start_date</v>
      </c>
      <c r="Q697" s="76" t="str">
        <f t="shared" si="77"/>
        <v>DATE</v>
      </c>
      <c r="R697" s="76" t="str">
        <f t="shared" si="78"/>
        <v/>
      </c>
      <c r="S697" s="76" t="str">
        <f t="shared" si="79"/>
        <v/>
      </c>
      <c r="T697" s="76" t="str">
        <f t="shared" si="80"/>
        <v>-- I690_疾患開始日</v>
      </c>
      <c r="U697" s="4" t="str">
        <f t="shared" si="72"/>
        <v>, CASE WHEN shikkan_disp_name = 'I690' THEN min_shikkan_start_date ::DATE ELSE NULL END AS shikkan679_start_date</v>
      </c>
      <c r="V697" s="25" t="str">
        <f t="shared" si="73"/>
        <v>, max(shikkan679_start_date)</v>
      </c>
      <c r="AA697" s="4"/>
      <c r="AB697" s="4"/>
      <c r="AC697" s="4"/>
      <c r="AD697" s="4"/>
      <c r="AE697" s="4"/>
      <c r="AF697" s="4"/>
      <c r="AG697" s="4"/>
      <c r="AH697" s="4"/>
      <c r="AI697" s="4"/>
      <c r="AJ697" s="76" t="str">
        <f>IF(E697="○",IF(COUNTA(E$13:E697)=1,"",",")&amp;D697,"")</f>
        <v/>
      </c>
      <c r="AK697" s="4"/>
      <c r="AL697" s="4"/>
      <c r="AM697" s="4"/>
      <c r="AN697" s="4"/>
      <c r="AO697" s="4"/>
      <c r="AP697" s="4"/>
      <c r="AQ697" s="4"/>
      <c r="AR697" s="4"/>
      <c r="AS697" s="76" t="str">
        <f>"COMMENT ON COLUMN "&amp;エンティティ一覧!$O$2&amp;"."&amp;D$8&amp;"."&amp;D697&amp;" IS '"&amp;C697&amp;"';"</f>
        <v>COMMENT ON COLUMN milscm_2023_009.sny_202310_annony_non_annony2.shikkan679_start_date IS 'I690_疾患開始日';</v>
      </c>
    </row>
    <row r="698" spans="1:45" s="25" customFormat="1">
      <c r="A698" s="4" t="s">
        <v>5765</v>
      </c>
      <c r="B698" s="21">
        <f t="shared" si="82"/>
        <v>686</v>
      </c>
      <c r="C698" s="13" t="str">
        <f t="shared" si="81"/>
        <v>I691_疾患開始日</v>
      </c>
      <c r="D698" s="13" t="s">
        <v>6340</v>
      </c>
      <c r="E698" s="8"/>
      <c r="F698" s="7" t="s">
        <v>4348</v>
      </c>
      <c r="G698" s="7" t="s">
        <v>25</v>
      </c>
      <c r="H698" s="58"/>
      <c r="I698" s="23"/>
      <c r="J698" s="24"/>
      <c r="M698" s="4"/>
      <c r="N698" s="76"/>
      <c r="O698" s="76"/>
      <c r="P698" s="76" t="str">
        <f t="shared" si="76"/>
        <v>,shikkan680_start_date</v>
      </c>
      <c r="Q698" s="76" t="str">
        <f t="shared" si="77"/>
        <v>DATE</v>
      </c>
      <c r="R698" s="76" t="str">
        <f t="shared" si="78"/>
        <v/>
      </c>
      <c r="S698" s="76" t="str">
        <f t="shared" si="79"/>
        <v/>
      </c>
      <c r="T698" s="76" t="str">
        <f t="shared" si="80"/>
        <v>-- I691_疾患開始日</v>
      </c>
      <c r="U698" s="4" t="str">
        <f t="shared" si="72"/>
        <v>, CASE WHEN shikkan_disp_name = 'I691' THEN min_shikkan_start_date ::DATE ELSE NULL END AS shikkan680_start_date</v>
      </c>
      <c r="V698" s="25" t="str">
        <f t="shared" si="73"/>
        <v>, max(shikkan680_start_date)</v>
      </c>
      <c r="AA698" s="4"/>
      <c r="AB698" s="4"/>
      <c r="AC698" s="4"/>
      <c r="AD698" s="4"/>
      <c r="AE698" s="4"/>
      <c r="AF698" s="4"/>
      <c r="AG698" s="4"/>
      <c r="AH698" s="4"/>
      <c r="AI698" s="4"/>
      <c r="AJ698" s="76" t="str">
        <f>IF(E698="○",IF(COUNTA(E$13:E698)=1,"",",")&amp;D698,"")</f>
        <v/>
      </c>
      <c r="AK698" s="4"/>
      <c r="AL698" s="4"/>
      <c r="AM698" s="4"/>
      <c r="AN698" s="4"/>
      <c r="AO698" s="4"/>
      <c r="AP698" s="4"/>
      <c r="AQ698" s="4"/>
      <c r="AR698" s="4"/>
      <c r="AS698" s="76" t="str">
        <f>"COMMENT ON COLUMN "&amp;エンティティ一覧!$O$2&amp;"."&amp;D$8&amp;"."&amp;D698&amp;" IS '"&amp;C698&amp;"';"</f>
        <v>COMMENT ON COLUMN milscm_2023_009.sny_202310_annony_non_annony2.shikkan680_start_date IS 'I691_疾患開始日';</v>
      </c>
    </row>
    <row r="699" spans="1:45" s="25" customFormat="1">
      <c r="A699" s="4" t="s">
        <v>5766</v>
      </c>
      <c r="B699" s="21">
        <f t="shared" si="82"/>
        <v>687</v>
      </c>
      <c r="C699" s="13" t="str">
        <f t="shared" si="81"/>
        <v>I692_疾患開始日</v>
      </c>
      <c r="D699" s="13" t="s">
        <v>6341</v>
      </c>
      <c r="E699" s="8"/>
      <c r="F699" s="7" t="s">
        <v>4348</v>
      </c>
      <c r="G699" s="7" t="s">
        <v>25</v>
      </c>
      <c r="H699" s="58"/>
      <c r="I699" s="23"/>
      <c r="J699" s="24"/>
      <c r="M699" s="4"/>
      <c r="N699" s="76"/>
      <c r="O699" s="76"/>
      <c r="P699" s="76" t="str">
        <f t="shared" si="76"/>
        <v>,shikkan681_start_date</v>
      </c>
      <c r="Q699" s="76" t="str">
        <f t="shared" si="77"/>
        <v>DATE</v>
      </c>
      <c r="R699" s="76" t="str">
        <f t="shared" si="78"/>
        <v/>
      </c>
      <c r="S699" s="76" t="str">
        <f t="shared" si="79"/>
        <v/>
      </c>
      <c r="T699" s="76" t="str">
        <f t="shared" si="80"/>
        <v>-- I692_疾患開始日</v>
      </c>
      <c r="U699" s="4" t="str">
        <f t="shared" si="72"/>
        <v>, CASE WHEN shikkan_disp_name = 'I692' THEN min_shikkan_start_date ::DATE ELSE NULL END AS shikkan681_start_date</v>
      </c>
      <c r="V699" s="25" t="str">
        <f t="shared" si="73"/>
        <v>, max(shikkan681_start_date)</v>
      </c>
      <c r="AA699" s="4"/>
      <c r="AB699" s="4"/>
      <c r="AC699" s="4"/>
      <c r="AD699" s="4"/>
      <c r="AE699" s="4"/>
      <c r="AF699" s="4"/>
      <c r="AG699" s="4"/>
      <c r="AH699" s="4"/>
      <c r="AI699" s="4"/>
      <c r="AJ699" s="76" t="str">
        <f>IF(E699="○",IF(COUNTA(E$13:E699)=1,"",",")&amp;D699,"")</f>
        <v/>
      </c>
      <c r="AK699" s="4"/>
      <c r="AL699" s="4"/>
      <c r="AM699" s="4"/>
      <c r="AN699" s="4"/>
      <c r="AO699" s="4"/>
      <c r="AP699" s="4"/>
      <c r="AQ699" s="4"/>
      <c r="AR699" s="4"/>
      <c r="AS699" s="76" t="str">
        <f>"COMMENT ON COLUMN "&amp;エンティティ一覧!$O$2&amp;"."&amp;D$8&amp;"."&amp;D699&amp;" IS '"&amp;C699&amp;"';"</f>
        <v>COMMENT ON COLUMN milscm_2023_009.sny_202310_annony_non_annony2.shikkan681_start_date IS 'I692_疾患開始日';</v>
      </c>
    </row>
    <row r="700" spans="1:45" s="25" customFormat="1">
      <c r="A700" s="4" t="s">
        <v>5767</v>
      </c>
      <c r="B700" s="21">
        <f t="shared" si="82"/>
        <v>688</v>
      </c>
      <c r="C700" s="13" t="str">
        <f t="shared" si="81"/>
        <v>I693_疾患開始日</v>
      </c>
      <c r="D700" s="13" t="s">
        <v>6342</v>
      </c>
      <c r="E700" s="8"/>
      <c r="F700" s="7" t="s">
        <v>4348</v>
      </c>
      <c r="G700" s="7" t="s">
        <v>25</v>
      </c>
      <c r="H700" s="58"/>
      <c r="I700" s="23"/>
      <c r="J700" s="24"/>
      <c r="M700" s="4"/>
      <c r="N700" s="76"/>
      <c r="O700" s="76"/>
      <c r="P700" s="76" t="str">
        <f t="shared" si="76"/>
        <v>,shikkan682_start_date</v>
      </c>
      <c r="Q700" s="76" t="str">
        <f t="shared" si="77"/>
        <v>DATE</v>
      </c>
      <c r="R700" s="76" t="str">
        <f t="shared" si="78"/>
        <v/>
      </c>
      <c r="S700" s="76" t="str">
        <f t="shared" si="79"/>
        <v/>
      </c>
      <c r="T700" s="76" t="str">
        <f t="shared" si="80"/>
        <v>-- I693_疾患開始日</v>
      </c>
      <c r="U700" s="4" t="str">
        <f t="shared" si="72"/>
        <v>, CASE WHEN shikkan_disp_name = 'I693' THEN min_shikkan_start_date ::DATE ELSE NULL END AS shikkan682_start_date</v>
      </c>
      <c r="V700" s="25" t="str">
        <f t="shared" si="73"/>
        <v>, max(shikkan682_start_date)</v>
      </c>
      <c r="AA700" s="4"/>
      <c r="AB700" s="4"/>
      <c r="AC700" s="4"/>
      <c r="AD700" s="4"/>
      <c r="AE700" s="4"/>
      <c r="AF700" s="4"/>
      <c r="AG700" s="4"/>
      <c r="AH700" s="4"/>
      <c r="AI700" s="4"/>
      <c r="AJ700" s="76" t="str">
        <f>IF(E700="○",IF(COUNTA(E$13:E700)=1,"",",")&amp;D700,"")</f>
        <v/>
      </c>
      <c r="AK700" s="4"/>
      <c r="AL700" s="4"/>
      <c r="AM700" s="4"/>
      <c r="AN700" s="4"/>
      <c r="AO700" s="4"/>
      <c r="AP700" s="4"/>
      <c r="AQ700" s="4"/>
      <c r="AR700" s="4"/>
      <c r="AS700" s="76" t="str">
        <f>"COMMENT ON COLUMN "&amp;エンティティ一覧!$O$2&amp;"."&amp;D$8&amp;"."&amp;D700&amp;" IS '"&amp;C700&amp;"';"</f>
        <v>COMMENT ON COLUMN milscm_2023_009.sny_202310_annony_non_annony2.shikkan682_start_date IS 'I693_疾患開始日';</v>
      </c>
    </row>
    <row r="701" spans="1:45" s="25" customFormat="1">
      <c r="A701" s="4" t="s">
        <v>5768</v>
      </c>
      <c r="B701" s="21">
        <f t="shared" si="82"/>
        <v>689</v>
      </c>
      <c r="C701" s="13" t="str">
        <f t="shared" si="81"/>
        <v>I694_疾患開始日</v>
      </c>
      <c r="D701" s="13" t="s">
        <v>6343</v>
      </c>
      <c r="E701" s="8"/>
      <c r="F701" s="7" t="s">
        <v>4348</v>
      </c>
      <c r="G701" s="7" t="s">
        <v>25</v>
      </c>
      <c r="H701" s="58"/>
      <c r="I701" s="23"/>
      <c r="J701" s="24"/>
      <c r="M701" s="4"/>
      <c r="N701" s="76"/>
      <c r="O701" s="76"/>
      <c r="P701" s="76" t="str">
        <f t="shared" si="76"/>
        <v>,shikkan683_start_date</v>
      </c>
      <c r="Q701" s="76" t="str">
        <f t="shared" si="77"/>
        <v>DATE</v>
      </c>
      <c r="R701" s="76" t="str">
        <f t="shared" si="78"/>
        <v/>
      </c>
      <c r="S701" s="76" t="str">
        <f t="shared" si="79"/>
        <v/>
      </c>
      <c r="T701" s="76" t="str">
        <f t="shared" si="80"/>
        <v>-- I694_疾患開始日</v>
      </c>
      <c r="U701" s="4" t="str">
        <f t="shared" si="72"/>
        <v>, CASE WHEN shikkan_disp_name = 'I694' THEN min_shikkan_start_date ::DATE ELSE NULL END AS shikkan683_start_date</v>
      </c>
      <c r="V701" s="25" t="str">
        <f t="shared" si="73"/>
        <v>, max(shikkan683_start_date)</v>
      </c>
      <c r="AA701" s="4"/>
      <c r="AB701" s="4"/>
      <c r="AC701" s="4"/>
      <c r="AD701" s="4"/>
      <c r="AE701" s="4"/>
      <c r="AF701" s="4"/>
      <c r="AG701" s="4"/>
      <c r="AH701" s="4"/>
      <c r="AI701" s="4"/>
      <c r="AJ701" s="76" t="str">
        <f>IF(E701="○",IF(COUNTA(E$13:E701)=1,"",",")&amp;D701,"")</f>
        <v/>
      </c>
      <c r="AK701" s="4"/>
      <c r="AL701" s="4"/>
      <c r="AM701" s="4"/>
      <c r="AN701" s="4"/>
      <c r="AO701" s="4"/>
      <c r="AP701" s="4"/>
      <c r="AQ701" s="4"/>
      <c r="AR701" s="4"/>
      <c r="AS701" s="76" t="str">
        <f>"COMMENT ON COLUMN "&amp;エンティティ一覧!$O$2&amp;"."&amp;D$8&amp;"."&amp;D701&amp;" IS '"&amp;C701&amp;"';"</f>
        <v>COMMENT ON COLUMN milscm_2023_009.sny_202310_annony_non_annony2.shikkan683_start_date IS 'I694_疾患開始日';</v>
      </c>
    </row>
    <row r="702" spans="1:45" s="25" customFormat="1">
      <c r="A702" s="4" t="s">
        <v>5769</v>
      </c>
      <c r="B702" s="21">
        <f t="shared" si="82"/>
        <v>690</v>
      </c>
      <c r="C702" s="13" t="str">
        <f t="shared" si="81"/>
        <v>I698_疾患開始日</v>
      </c>
      <c r="D702" s="13" t="s">
        <v>6344</v>
      </c>
      <c r="E702" s="8"/>
      <c r="F702" s="7" t="s">
        <v>4348</v>
      </c>
      <c r="G702" s="7" t="s">
        <v>25</v>
      </c>
      <c r="H702" s="58"/>
      <c r="I702" s="23"/>
      <c r="J702" s="24"/>
      <c r="M702" s="4"/>
      <c r="N702" s="76"/>
      <c r="O702" s="76"/>
      <c r="P702" s="76" t="str">
        <f t="shared" si="76"/>
        <v>,shikkan684_start_date</v>
      </c>
      <c r="Q702" s="76" t="str">
        <f t="shared" si="77"/>
        <v>DATE</v>
      </c>
      <c r="R702" s="76" t="str">
        <f t="shared" si="78"/>
        <v/>
      </c>
      <c r="S702" s="76" t="str">
        <f t="shared" si="79"/>
        <v/>
      </c>
      <c r="T702" s="76" t="str">
        <f t="shared" si="80"/>
        <v>-- I698_疾患開始日</v>
      </c>
      <c r="U702" s="4" t="str">
        <f t="shared" si="72"/>
        <v>, CASE WHEN shikkan_disp_name = 'I698' THEN min_shikkan_start_date ::DATE ELSE NULL END AS shikkan684_start_date</v>
      </c>
      <c r="V702" s="25" t="str">
        <f t="shared" si="73"/>
        <v>, max(shikkan684_start_date)</v>
      </c>
      <c r="AA702" s="4"/>
      <c r="AB702" s="4"/>
      <c r="AC702" s="4"/>
      <c r="AD702" s="4"/>
      <c r="AE702" s="4"/>
      <c r="AF702" s="4"/>
      <c r="AG702" s="4"/>
      <c r="AH702" s="4"/>
      <c r="AI702" s="4"/>
      <c r="AJ702" s="76" t="str">
        <f>IF(E702="○",IF(COUNTA(E$13:E702)=1,"",",")&amp;D702,"")</f>
        <v/>
      </c>
      <c r="AK702" s="4"/>
      <c r="AL702" s="4"/>
      <c r="AM702" s="4"/>
      <c r="AN702" s="4"/>
      <c r="AO702" s="4"/>
      <c r="AP702" s="4"/>
      <c r="AQ702" s="4"/>
      <c r="AR702" s="4"/>
      <c r="AS702" s="76" t="str">
        <f>"COMMENT ON COLUMN "&amp;エンティティ一覧!$O$2&amp;"."&amp;D$8&amp;"."&amp;D702&amp;" IS '"&amp;C702&amp;"';"</f>
        <v>COMMENT ON COLUMN milscm_2023_009.sny_202310_annony_non_annony2.shikkan684_start_date IS 'I698_疾患開始日';</v>
      </c>
    </row>
    <row r="703" spans="1:45" s="25" customFormat="1">
      <c r="A703" s="4" t="s">
        <v>5770</v>
      </c>
      <c r="B703" s="21">
        <f t="shared" si="82"/>
        <v>691</v>
      </c>
      <c r="C703" s="13" t="str">
        <f t="shared" si="81"/>
        <v>I700_疾患開始日</v>
      </c>
      <c r="D703" s="13" t="s">
        <v>6345</v>
      </c>
      <c r="E703" s="8"/>
      <c r="F703" s="7" t="s">
        <v>4348</v>
      </c>
      <c r="G703" s="7" t="s">
        <v>25</v>
      </c>
      <c r="H703" s="58"/>
      <c r="I703" s="23"/>
      <c r="J703" s="24"/>
      <c r="M703" s="4"/>
      <c r="N703" s="76"/>
      <c r="O703" s="76"/>
      <c r="P703" s="76" t="str">
        <f t="shared" si="76"/>
        <v>,shikkan685_start_date</v>
      </c>
      <c r="Q703" s="76" t="str">
        <f t="shared" si="77"/>
        <v>DATE</v>
      </c>
      <c r="R703" s="76" t="str">
        <f t="shared" si="78"/>
        <v/>
      </c>
      <c r="S703" s="76" t="str">
        <f t="shared" si="79"/>
        <v/>
      </c>
      <c r="T703" s="76" t="str">
        <f t="shared" si="80"/>
        <v>-- I700_疾患開始日</v>
      </c>
      <c r="U703" s="4" t="str">
        <f t="shared" si="72"/>
        <v>, CASE WHEN shikkan_disp_name = 'I700' THEN min_shikkan_start_date ::DATE ELSE NULL END AS shikkan685_start_date</v>
      </c>
      <c r="V703" s="25" t="str">
        <f t="shared" si="73"/>
        <v>, max(shikkan685_start_date)</v>
      </c>
      <c r="AA703" s="4"/>
      <c r="AB703" s="4"/>
      <c r="AC703" s="4"/>
      <c r="AD703" s="4"/>
      <c r="AE703" s="4"/>
      <c r="AF703" s="4"/>
      <c r="AG703" s="4"/>
      <c r="AH703" s="4"/>
      <c r="AI703" s="4"/>
      <c r="AJ703" s="76" t="str">
        <f>IF(E703="○",IF(COUNTA(E$13:E703)=1,"",",")&amp;D703,"")</f>
        <v/>
      </c>
      <c r="AK703" s="4"/>
      <c r="AL703" s="4"/>
      <c r="AM703" s="4"/>
      <c r="AN703" s="4"/>
      <c r="AO703" s="4"/>
      <c r="AP703" s="4"/>
      <c r="AQ703" s="4"/>
      <c r="AR703" s="4"/>
      <c r="AS703" s="76" t="str">
        <f>"COMMENT ON COLUMN "&amp;エンティティ一覧!$O$2&amp;"."&amp;D$8&amp;"."&amp;D703&amp;" IS '"&amp;C703&amp;"';"</f>
        <v>COMMENT ON COLUMN milscm_2023_009.sny_202310_annony_non_annony2.shikkan685_start_date IS 'I700_疾患開始日';</v>
      </c>
    </row>
    <row r="704" spans="1:45" s="25" customFormat="1">
      <c r="A704" s="4" t="s">
        <v>5771</v>
      </c>
      <c r="B704" s="21">
        <f t="shared" si="82"/>
        <v>692</v>
      </c>
      <c r="C704" s="13" t="str">
        <f t="shared" si="81"/>
        <v>I701_疾患開始日</v>
      </c>
      <c r="D704" s="13" t="s">
        <v>6346</v>
      </c>
      <c r="E704" s="8"/>
      <c r="F704" s="7" t="s">
        <v>4348</v>
      </c>
      <c r="G704" s="7" t="s">
        <v>25</v>
      </c>
      <c r="H704" s="58"/>
      <c r="I704" s="23"/>
      <c r="J704" s="24"/>
      <c r="M704" s="4"/>
      <c r="N704" s="76"/>
      <c r="O704" s="76"/>
      <c r="P704" s="76" t="str">
        <f t="shared" si="76"/>
        <v>,shikkan686_start_date</v>
      </c>
      <c r="Q704" s="76" t="str">
        <f t="shared" si="77"/>
        <v>DATE</v>
      </c>
      <c r="R704" s="76" t="str">
        <f t="shared" si="78"/>
        <v/>
      </c>
      <c r="S704" s="76" t="str">
        <f t="shared" si="79"/>
        <v/>
      </c>
      <c r="T704" s="76" t="str">
        <f t="shared" si="80"/>
        <v>-- I701_疾患開始日</v>
      </c>
      <c r="U704" s="4" t="str">
        <f t="shared" si="72"/>
        <v>, CASE WHEN shikkan_disp_name = 'I701' THEN min_shikkan_start_date ::DATE ELSE NULL END AS shikkan686_start_date</v>
      </c>
      <c r="V704" s="25" t="str">
        <f t="shared" si="73"/>
        <v>, max(shikkan686_start_date)</v>
      </c>
      <c r="AA704" s="4"/>
      <c r="AB704" s="4"/>
      <c r="AC704" s="4"/>
      <c r="AD704" s="4"/>
      <c r="AE704" s="4"/>
      <c r="AF704" s="4"/>
      <c r="AG704" s="4"/>
      <c r="AH704" s="4"/>
      <c r="AI704" s="4"/>
      <c r="AJ704" s="76" t="str">
        <f>IF(E704="○",IF(COUNTA(E$13:E704)=1,"",",")&amp;D704,"")</f>
        <v/>
      </c>
      <c r="AK704" s="4"/>
      <c r="AL704" s="4"/>
      <c r="AM704" s="4"/>
      <c r="AN704" s="4"/>
      <c r="AO704" s="4"/>
      <c r="AP704" s="4"/>
      <c r="AQ704" s="4"/>
      <c r="AR704" s="4"/>
      <c r="AS704" s="76" t="str">
        <f>"COMMENT ON COLUMN "&amp;エンティティ一覧!$O$2&amp;"."&amp;D$8&amp;"."&amp;D704&amp;" IS '"&amp;C704&amp;"';"</f>
        <v>COMMENT ON COLUMN milscm_2023_009.sny_202310_annony_non_annony2.shikkan686_start_date IS 'I701_疾患開始日';</v>
      </c>
    </row>
    <row r="705" spans="1:45" s="25" customFormat="1">
      <c r="A705" s="4" t="s">
        <v>5772</v>
      </c>
      <c r="B705" s="21">
        <f t="shared" si="82"/>
        <v>693</v>
      </c>
      <c r="C705" s="13" t="str">
        <f t="shared" si="81"/>
        <v>I702_疾患開始日</v>
      </c>
      <c r="D705" s="13" t="s">
        <v>6347</v>
      </c>
      <c r="E705" s="8"/>
      <c r="F705" s="7" t="s">
        <v>4348</v>
      </c>
      <c r="G705" s="7" t="s">
        <v>99</v>
      </c>
      <c r="H705" s="58"/>
      <c r="I705" s="23"/>
      <c r="J705" s="24"/>
      <c r="M705" s="4"/>
      <c r="N705" s="76"/>
      <c r="O705" s="76"/>
      <c r="P705" s="76" t="str">
        <f t="shared" si="76"/>
        <v>,shikkan687_start_date</v>
      </c>
      <c r="Q705" s="76" t="str">
        <f t="shared" si="77"/>
        <v>DATE</v>
      </c>
      <c r="R705" s="76" t="str">
        <f t="shared" si="78"/>
        <v/>
      </c>
      <c r="S705" s="76" t="str">
        <f t="shared" si="79"/>
        <v/>
      </c>
      <c r="T705" s="76" t="str">
        <f t="shared" si="80"/>
        <v>-- I702_疾患開始日</v>
      </c>
      <c r="U705" s="4" t="str">
        <f t="shared" si="72"/>
        <v>, CASE WHEN shikkan_disp_name = 'I702' THEN min_shikkan_start_date ::DATE ELSE NULL END AS shikkan687_start_date</v>
      </c>
      <c r="V705" s="25" t="str">
        <f t="shared" si="73"/>
        <v>, max(shikkan687_start_date)</v>
      </c>
      <c r="AA705" s="4"/>
      <c r="AB705" s="4"/>
      <c r="AC705" s="4"/>
      <c r="AD705" s="4"/>
      <c r="AE705" s="4"/>
      <c r="AF705" s="4"/>
      <c r="AG705" s="4"/>
      <c r="AH705" s="4"/>
      <c r="AI705" s="4"/>
      <c r="AJ705" s="76" t="str">
        <f>IF(E705="○",IF(COUNTA(E$13:E705)=1,"",",")&amp;D705,"")</f>
        <v/>
      </c>
      <c r="AK705" s="4"/>
      <c r="AL705" s="4"/>
      <c r="AM705" s="4"/>
      <c r="AN705" s="4"/>
      <c r="AO705" s="4"/>
      <c r="AP705" s="4"/>
      <c r="AQ705" s="4"/>
      <c r="AR705" s="4"/>
      <c r="AS705" s="76" t="str">
        <f>"COMMENT ON COLUMN "&amp;エンティティ一覧!$O$2&amp;"."&amp;D$8&amp;"."&amp;D705&amp;" IS '"&amp;C705&amp;"';"</f>
        <v>COMMENT ON COLUMN milscm_2023_009.sny_202310_annony_non_annony2.shikkan687_start_date IS 'I702_疾患開始日';</v>
      </c>
    </row>
    <row r="706" spans="1:45" s="25" customFormat="1">
      <c r="A706" s="4" t="s">
        <v>5773</v>
      </c>
      <c r="B706" s="21">
        <f t="shared" si="82"/>
        <v>694</v>
      </c>
      <c r="C706" s="13" t="str">
        <f t="shared" si="81"/>
        <v>I708_疾患開始日</v>
      </c>
      <c r="D706" s="13" t="s">
        <v>6348</v>
      </c>
      <c r="E706" s="8"/>
      <c r="F706" s="7" t="s">
        <v>4348</v>
      </c>
      <c r="G706" s="7" t="s">
        <v>25</v>
      </c>
      <c r="H706" s="58"/>
      <c r="I706" s="23"/>
      <c r="J706" s="24"/>
      <c r="M706" s="4"/>
      <c r="N706" s="76"/>
      <c r="O706" s="76"/>
      <c r="P706" s="76" t="str">
        <f t="shared" si="76"/>
        <v>,shikkan688_start_date</v>
      </c>
      <c r="Q706" s="76" t="str">
        <f t="shared" si="77"/>
        <v>DATE</v>
      </c>
      <c r="R706" s="76" t="str">
        <f t="shared" si="78"/>
        <v/>
      </c>
      <c r="S706" s="76" t="str">
        <f t="shared" si="79"/>
        <v/>
      </c>
      <c r="T706" s="76" t="str">
        <f t="shared" si="80"/>
        <v>-- I708_疾患開始日</v>
      </c>
      <c r="U706" s="4" t="str">
        <f t="shared" si="72"/>
        <v>, CASE WHEN shikkan_disp_name = 'I708' THEN min_shikkan_start_date ::DATE ELSE NULL END AS shikkan688_start_date</v>
      </c>
      <c r="V706" s="25" t="str">
        <f t="shared" si="73"/>
        <v>, max(shikkan688_start_date)</v>
      </c>
      <c r="AA706" s="4"/>
      <c r="AB706" s="4"/>
      <c r="AC706" s="4"/>
      <c r="AD706" s="4"/>
      <c r="AE706" s="4"/>
      <c r="AF706" s="4"/>
      <c r="AG706" s="4"/>
      <c r="AH706" s="4"/>
      <c r="AI706" s="4"/>
      <c r="AJ706" s="76" t="str">
        <f>IF(E706="○",IF(COUNTA(E$13:E706)=1,"",",")&amp;D706,"")</f>
        <v/>
      </c>
      <c r="AK706" s="4"/>
      <c r="AL706" s="4"/>
      <c r="AM706" s="4"/>
      <c r="AN706" s="4"/>
      <c r="AO706" s="4"/>
      <c r="AP706" s="4"/>
      <c r="AQ706" s="4"/>
      <c r="AR706" s="4"/>
      <c r="AS706" s="76" t="str">
        <f>"COMMENT ON COLUMN "&amp;エンティティ一覧!$O$2&amp;"."&amp;D$8&amp;"."&amp;D706&amp;" IS '"&amp;C706&amp;"';"</f>
        <v>COMMENT ON COLUMN milscm_2023_009.sny_202310_annony_non_annony2.shikkan688_start_date IS 'I708_疾患開始日';</v>
      </c>
    </row>
    <row r="707" spans="1:45" s="25" customFormat="1">
      <c r="A707" s="4" t="s">
        <v>5774</v>
      </c>
      <c r="B707" s="21">
        <f t="shared" si="82"/>
        <v>695</v>
      </c>
      <c r="C707" s="13" t="str">
        <f t="shared" si="81"/>
        <v>I709_疾患開始日</v>
      </c>
      <c r="D707" s="13" t="s">
        <v>6349</v>
      </c>
      <c r="E707" s="8"/>
      <c r="F707" s="7" t="s">
        <v>4348</v>
      </c>
      <c r="G707" s="7" t="s">
        <v>25</v>
      </c>
      <c r="H707" s="58"/>
      <c r="I707" s="23"/>
      <c r="J707" s="24"/>
      <c r="M707" s="4"/>
      <c r="N707" s="76"/>
      <c r="O707" s="76"/>
      <c r="P707" s="76" t="str">
        <f t="shared" si="76"/>
        <v>,shikkan689_start_date</v>
      </c>
      <c r="Q707" s="76" t="str">
        <f t="shared" si="77"/>
        <v>DATE</v>
      </c>
      <c r="R707" s="76" t="str">
        <f t="shared" si="78"/>
        <v/>
      </c>
      <c r="S707" s="76" t="str">
        <f t="shared" si="79"/>
        <v/>
      </c>
      <c r="T707" s="76" t="str">
        <f t="shared" si="80"/>
        <v>-- I709_疾患開始日</v>
      </c>
      <c r="U707" s="4" t="str">
        <f t="shared" si="72"/>
        <v>, CASE WHEN shikkan_disp_name = 'I709' THEN min_shikkan_start_date ::DATE ELSE NULL END AS shikkan689_start_date</v>
      </c>
      <c r="V707" s="25" t="str">
        <f t="shared" si="73"/>
        <v>, max(shikkan689_start_date)</v>
      </c>
      <c r="AA707" s="4"/>
      <c r="AB707" s="4"/>
      <c r="AC707" s="4"/>
      <c r="AD707" s="4"/>
      <c r="AE707" s="4"/>
      <c r="AF707" s="4"/>
      <c r="AG707" s="4"/>
      <c r="AH707" s="4"/>
      <c r="AI707" s="4"/>
      <c r="AJ707" s="76" t="str">
        <f>IF(E707="○",IF(COUNTA(E$13:E707)=1,"",",")&amp;D707,"")</f>
        <v/>
      </c>
      <c r="AK707" s="4"/>
      <c r="AL707" s="4"/>
      <c r="AM707" s="4"/>
      <c r="AN707" s="4"/>
      <c r="AO707" s="4"/>
      <c r="AP707" s="4"/>
      <c r="AQ707" s="4"/>
      <c r="AR707" s="4"/>
      <c r="AS707" s="76" t="str">
        <f>"COMMENT ON COLUMN "&amp;エンティティ一覧!$O$2&amp;"."&amp;D$8&amp;"."&amp;D707&amp;" IS '"&amp;C707&amp;"';"</f>
        <v>COMMENT ON COLUMN milscm_2023_009.sny_202310_annony_non_annony2.shikkan689_start_date IS 'I709_疾患開始日';</v>
      </c>
    </row>
    <row r="708" spans="1:45" s="25" customFormat="1">
      <c r="A708" s="4" t="s">
        <v>5775</v>
      </c>
      <c r="B708" s="21">
        <f t="shared" si="82"/>
        <v>696</v>
      </c>
      <c r="C708" s="13" t="str">
        <f t="shared" si="81"/>
        <v>I710_疾患開始日</v>
      </c>
      <c r="D708" s="13" t="s">
        <v>6350</v>
      </c>
      <c r="E708" s="8"/>
      <c r="F708" s="7" t="s">
        <v>4348</v>
      </c>
      <c r="G708" s="7" t="s">
        <v>25</v>
      </c>
      <c r="H708" s="58"/>
      <c r="I708" s="23"/>
      <c r="J708" s="24"/>
      <c r="M708" s="4"/>
      <c r="N708" s="76"/>
      <c r="O708" s="76"/>
      <c r="P708" s="76" t="str">
        <f t="shared" si="76"/>
        <v>,shikkan690_start_date</v>
      </c>
      <c r="Q708" s="76" t="str">
        <f t="shared" si="77"/>
        <v>DATE</v>
      </c>
      <c r="R708" s="76" t="str">
        <f t="shared" si="78"/>
        <v/>
      </c>
      <c r="S708" s="76" t="str">
        <f t="shared" si="79"/>
        <v/>
      </c>
      <c r="T708" s="76" t="str">
        <f t="shared" si="80"/>
        <v>-- I710_疾患開始日</v>
      </c>
      <c r="U708" s="4" t="str">
        <f t="shared" si="72"/>
        <v>, CASE WHEN shikkan_disp_name = 'I710' THEN min_shikkan_start_date ::DATE ELSE NULL END AS shikkan690_start_date</v>
      </c>
      <c r="V708" s="25" t="str">
        <f t="shared" si="73"/>
        <v>, max(shikkan690_start_date)</v>
      </c>
      <c r="AA708" s="4"/>
      <c r="AB708" s="4"/>
      <c r="AC708" s="4"/>
      <c r="AD708" s="4"/>
      <c r="AE708" s="4"/>
      <c r="AF708" s="4"/>
      <c r="AG708" s="4"/>
      <c r="AH708" s="4"/>
      <c r="AI708" s="4"/>
      <c r="AJ708" s="76" t="str">
        <f>IF(E708="○",IF(COUNTA(E$13:E708)=1,"",",")&amp;D708,"")</f>
        <v/>
      </c>
      <c r="AK708" s="4"/>
      <c r="AL708" s="4"/>
      <c r="AM708" s="4"/>
      <c r="AN708" s="4"/>
      <c r="AO708" s="4"/>
      <c r="AP708" s="4"/>
      <c r="AQ708" s="4"/>
      <c r="AR708" s="4"/>
      <c r="AS708" s="76" t="str">
        <f>"COMMENT ON COLUMN "&amp;エンティティ一覧!$O$2&amp;"."&amp;D$8&amp;"."&amp;D708&amp;" IS '"&amp;C708&amp;"';"</f>
        <v>COMMENT ON COLUMN milscm_2023_009.sny_202310_annony_non_annony2.shikkan690_start_date IS 'I710_疾患開始日';</v>
      </c>
    </row>
    <row r="709" spans="1:45" s="25" customFormat="1">
      <c r="A709" s="4" t="s">
        <v>5776</v>
      </c>
      <c r="B709" s="21">
        <f t="shared" si="82"/>
        <v>697</v>
      </c>
      <c r="C709" s="13" t="str">
        <f t="shared" si="81"/>
        <v>I711_疾患開始日</v>
      </c>
      <c r="D709" s="13" t="s">
        <v>6351</v>
      </c>
      <c r="E709" s="8"/>
      <c r="F709" s="7" t="s">
        <v>4348</v>
      </c>
      <c r="G709" s="7" t="s">
        <v>25</v>
      </c>
      <c r="H709" s="58"/>
      <c r="I709" s="23"/>
      <c r="J709" s="24"/>
      <c r="M709" s="4"/>
      <c r="N709" s="76"/>
      <c r="O709" s="76"/>
      <c r="P709" s="76" t="str">
        <f t="shared" si="76"/>
        <v>,shikkan691_start_date</v>
      </c>
      <c r="Q709" s="76" t="str">
        <f t="shared" si="77"/>
        <v>DATE</v>
      </c>
      <c r="R709" s="76" t="str">
        <f t="shared" si="78"/>
        <v/>
      </c>
      <c r="S709" s="76" t="str">
        <f t="shared" si="79"/>
        <v/>
      </c>
      <c r="T709" s="76" t="str">
        <f t="shared" si="80"/>
        <v>-- I711_疾患開始日</v>
      </c>
      <c r="U709" s="4" t="str">
        <f t="shared" si="72"/>
        <v>, CASE WHEN shikkan_disp_name = 'I711' THEN min_shikkan_start_date ::DATE ELSE NULL END AS shikkan691_start_date</v>
      </c>
      <c r="V709" s="25" t="str">
        <f t="shared" si="73"/>
        <v>, max(shikkan691_start_date)</v>
      </c>
      <c r="AA709" s="4"/>
      <c r="AB709" s="4"/>
      <c r="AC709" s="4"/>
      <c r="AD709" s="4"/>
      <c r="AE709" s="4"/>
      <c r="AF709" s="4"/>
      <c r="AG709" s="4"/>
      <c r="AH709" s="4"/>
      <c r="AI709" s="4"/>
      <c r="AJ709" s="76" t="str">
        <f>IF(E709="○",IF(COUNTA(E$13:E709)=1,"",",")&amp;D709,"")</f>
        <v/>
      </c>
      <c r="AK709" s="4"/>
      <c r="AL709" s="4"/>
      <c r="AM709" s="4"/>
      <c r="AN709" s="4"/>
      <c r="AO709" s="4"/>
      <c r="AP709" s="4"/>
      <c r="AQ709" s="4"/>
      <c r="AR709" s="4"/>
      <c r="AS709" s="76" t="str">
        <f>"COMMENT ON COLUMN "&amp;エンティティ一覧!$O$2&amp;"."&amp;D$8&amp;"."&amp;D709&amp;" IS '"&amp;C709&amp;"';"</f>
        <v>COMMENT ON COLUMN milscm_2023_009.sny_202310_annony_non_annony2.shikkan691_start_date IS 'I711_疾患開始日';</v>
      </c>
    </row>
    <row r="710" spans="1:45" s="25" customFormat="1">
      <c r="A710" s="4" t="s">
        <v>5777</v>
      </c>
      <c r="B710" s="21">
        <f t="shared" si="82"/>
        <v>698</v>
      </c>
      <c r="C710" s="13" t="str">
        <f t="shared" si="81"/>
        <v>I712_疾患開始日</v>
      </c>
      <c r="D710" s="13" t="s">
        <v>6352</v>
      </c>
      <c r="E710" s="8"/>
      <c r="F710" s="7" t="s">
        <v>4348</v>
      </c>
      <c r="G710" s="7" t="s">
        <v>25</v>
      </c>
      <c r="H710" s="58"/>
      <c r="I710" s="23"/>
      <c r="J710" s="24"/>
      <c r="M710" s="4"/>
      <c r="N710" s="76"/>
      <c r="O710" s="76"/>
      <c r="P710" s="76" t="str">
        <f t="shared" si="76"/>
        <v>,shikkan692_start_date</v>
      </c>
      <c r="Q710" s="76" t="str">
        <f t="shared" si="77"/>
        <v>DATE</v>
      </c>
      <c r="R710" s="76" t="str">
        <f t="shared" si="78"/>
        <v/>
      </c>
      <c r="S710" s="76" t="str">
        <f t="shared" si="79"/>
        <v/>
      </c>
      <c r="T710" s="76" t="str">
        <f t="shared" si="80"/>
        <v>-- I712_疾患開始日</v>
      </c>
      <c r="U710" s="4" t="str">
        <f t="shared" si="72"/>
        <v>, CASE WHEN shikkan_disp_name = 'I712' THEN min_shikkan_start_date ::DATE ELSE NULL END AS shikkan692_start_date</v>
      </c>
      <c r="V710" s="25" t="str">
        <f t="shared" si="73"/>
        <v>, max(shikkan692_start_date)</v>
      </c>
      <c r="AA710" s="4"/>
      <c r="AB710" s="4"/>
      <c r="AC710" s="4"/>
      <c r="AD710" s="4"/>
      <c r="AE710" s="4"/>
      <c r="AF710" s="4"/>
      <c r="AG710" s="4"/>
      <c r="AH710" s="4"/>
      <c r="AI710" s="4"/>
      <c r="AJ710" s="76" t="str">
        <f>IF(E710="○",IF(COUNTA(E$13:E710)=1,"",",")&amp;D710,"")</f>
        <v/>
      </c>
      <c r="AK710" s="4"/>
      <c r="AL710" s="4"/>
      <c r="AM710" s="4"/>
      <c r="AN710" s="4"/>
      <c r="AO710" s="4"/>
      <c r="AP710" s="4"/>
      <c r="AQ710" s="4"/>
      <c r="AR710" s="4"/>
      <c r="AS710" s="76" t="str">
        <f>"COMMENT ON COLUMN "&amp;エンティティ一覧!$O$2&amp;"."&amp;D$8&amp;"."&amp;D710&amp;" IS '"&amp;C710&amp;"';"</f>
        <v>COMMENT ON COLUMN milscm_2023_009.sny_202310_annony_non_annony2.shikkan692_start_date IS 'I712_疾患開始日';</v>
      </c>
    </row>
    <row r="711" spans="1:45" s="25" customFormat="1">
      <c r="A711" s="4" t="s">
        <v>5778</v>
      </c>
      <c r="B711" s="21">
        <f t="shared" si="82"/>
        <v>699</v>
      </c>
      <c r="C711" s="13" t="str">
        <f t="shared" si="81"/>
        <v>I713_疾患開始日</v>
      </c>
      <c r="D711" s="13" t="s">
        <v>6353</v>
      </c>
      <c r="E711" s="8"/>
      <c r="F711" s="7" t="s">
        <v>4348</v>
      </c>
      <c r="G711" s="7" t="s">
        <v>25</v>
      </c>
      <c r="H711" s="58"/>
      <c r="I711" s="23"/>
      <c r="J711" s="24"/>
      <c r="M711" s="4"/>
      <c r="N711" s="76"/>
      <c r="O711" s="76"/>
      <c r="P711" s="76" t="str">
        <f t="shared" si="76"/>
        <v>,shikkan693_start_date</v>
      </c>
      <c r="Q711" s="76" t="str">
        <f t="shared" si="77"/>
        <v>DATE</v>
      </c>
      <c r="R711" s="76" t="str">
        <f t="shared" si="78"/>
        <v/>
      </c>
      <c r="S711" s="76" t="str">
        <f t="shared" si="79"/>
        <v/>
      </c>
      <c r="T711" s="76" t="str">
        <f t="shared" si="80"/>
        <v>-- I713_疾患開始日</v>
      </c>
      <c r="U711" s="4" t="str">
        <f t="shared" si="72"/>
        <v>, CASE WHEN shikkan_disp_name = 'I713' THEN min_shikkan_start_date ::DATE ELSE NULL END AS shikkan693_start_date</v>
      </c>
      <c r="V711" s="25" t="str">
        <f t="shared" si="73"/>
        <v>, max(shikkan693_start_date)</v>
      </c>
      <c r="AA711" s="4"/>
      <c r="AB711" s="4"/>
      <c r="AC711" s="4"/>
      <c r="AD711" s="4"/>
      <c r="AE711" s="4"/>
      <c r="AF711" s="4"/>
      <c r="AG711" s="4"/>
      <c r="AH711" s="4"/>
      <c r="AI711" s="4"/>
      <c r="AJ711" s="76" t="str">
        <f>IF(E711="○",IF(COUNTA(E$13:E711)=1,"",",")&amp;D711,"")</f>
        <v/>
      </c>
      <c r="AK711" s="4"/>
      <c r="AL711" s="4"/>
      <c r="AM711" s="4"/>
      <c r="AN711" s="4"/>
      <c r="AO711" s="4"/>
      <c r="AP711" s="4"/>
      <c r="AQ711" s="4"/>
      <c r="AR711" s="4"/>
      <c r="AS711" s="76" t="str">
        <f>"COMMENT ON COLUMN "&amp;エンティティ一覧!$O$2&amp;"."&amp;D$8&amp;"."&amp;D711&amp;" IS '"&amp;C711&amp;"';"</f>
        <v>COMMENT ON COLUMN milscm_2023_009.sny_202310_annony_non_annony2.shikkan693_start_date IS 'I713_疾患開始日';</v>
      </c>
    </row>
    <row r="712" spans="1:45" s="25" customFormat="1">
      <c r="A712" s="4" t="s">
        <v>5779</v>
      </c>
      <c r="B712" s="21">
        <f t="shared" si="82"/>
        <v>700</v>
      </c>
      <c r="C712" s="13" t="str">
        <f t="shared" si="81"/>
        <v>I714_疾患開始日</v>
      </c>
      <c r="D712" s="13" t="s">
        <v>6354</v>
      </c>
      <c r="E712" s="8"/>
      <c r="F712" s="7" t="s">
        <v>4348</v>
      </c>
      <c r="G712" s="7" t="s">
        <v>25</v>
      </c>
      <c r="H712" s="58"/>
      <c r="I712" s="23"/>
      <c r="J712" s="24"/>
      <c r="M712" s="4"/>
      <c r="N712" s="76"/>
      <c r="O712" s="76"/>
      <c r="P712" s="76" t="str">
        <f t="shared" si="76"/>
        <v>,shikkan694_start_date</v>
      </c>
      <c r="Q712" s="76" t="str">
        <f t="shared" si="77"/>
        <v>DATE</v>
      </c>
      <c r="R712" s="76" t="str">
        <f t="shared" si="78"/>
        <v/>
      </c>
      <c r="S712" s="76" t="str">
        <f t="shared" si="79"/>
        <v/>
      </c>
      <c r="T712" s="76" t="str">
        <f t="shared" si="80"/>
        <v>-- I714_疾患開始日</v>
      </c>
      <c r="U712" s="4" t="str">
        <f t="shared" si="72"/>
        <v>, CASE WHEN shikkan_disp_name = 'I714' THEN min_shikkan_start_date ::DATE ELSE NULL END AS shikkan694_start_date</v>
      </c>
      <c r="V712" s="25" t="str">
        <f t="shared" si="73"/>
        <v>, max(shikkan694_start_date)</v>
      </c>
      <c r="AA712" s="4"/>
      <c r="AB712" s="4"/>
      <c r="AC712" s="4"/>
      <c r="AD712" s="4"/>
      <c r="AE712" s="4"/>
      <c r="AF712" s="4"/>
      <c r="AG712" s="4"/>
      <c r="AH712" s="4"/>
      <c r="AI712" s="4"/>
      <c r="AJ712" s="76" t="str">
        <f>IF(E712="○",IF(COUNTA(E$13:E712)=1,"",",")&amp;D712,"")</f>
        <v/>
      </c>
      <c r="AK712" s="4"/>
      <c r="AL712" s="4"/>
      <c r="AM712" s="4"/>
      <c r="AN712" s="4"/>
      <c r="AO712" s="4"/>
      <c r="AP712" s="4"/>
      <c r="AQ712" s="4"/>
      <c r="AR712" s="4"/>
      <c r="AS712" s="76" t="str">
        <f>"COMMENT ON COLUMN "&amp;エンティティ一覧!$O$2&amp;"."&amp;D$8&amp;"."&amp;D712&amp;" IS '"&amp;C712&amp;"';"</f>
        <v>COMMENT ON COLUMN milscm_2023_009.sny_202310_annony_non_annony2.shikkan694_start_date IS 'I714_疾患開始日';</v>
      </c>
    </row>
    <row r="713" spans="1:45" s="25" customFormat="1">
      <c r="A713" s="4" t="s">
        <v>5780</v>
      </c>
      <c r="B713" s="21">
        <f t="shared" si="82"/>
        <v>701</v>
      </c>
      <c r="C713" s="13" t="str">
        <f t="shared" si="81"/>
        <v>I715_疾患開始日</v>
      </c>
      <c r="D713" s="13" t="s">
        <v>6355</v>
      </c>
      <c r="E713" s="8"/>
      <c r="F713" s="7" t="s">
        <v>4348</v>
      </c>
      <c r="G713" s="7" t="s">
        <v>25</v>
      </c>
      <c r="H713" s="58"/>
      <c r="I713" s="23"/>
      <c r="J713" s="24"/>
      <c r="M713" s="4"/>
      <c r="N713" s="76"/>
      <c r="O713" s="76"/>
      <c r="P713" s="76" t="str">
        <f t="shared" si="76"/>
        <v>,shikkan695_start_date</v>
      </c>
      <c r="Q713" s="76" t="str">
        <f t="shared" si="77"/>
        <v>DATE</v>
      </c>
      <c r="R713" s="76" t="str">
        <f t="shared" si="78"/>
        <v/>
      </c>
      <c r="S713" s="76" t="str">
        <f t="shared" si="79"/>
        <v/>
      </c>
      <c r="T713" s="76" t="str">
        <f t="shared" si="80"/>
        <v>-- I715_疾患開始日</v>
      </c>
      <c r="U713" s="4" t="str">
        <f t="shared" si="72"/>
        <v>, CASE WHEN shikkan_disp_name = 'I715' THEN min_shikkan_start_date ::DATE ELSE NULL END AS shikkan695_start_date</v>
      </c>
      <c r="V713" s="25" t="str">
        <f t="shared" si="73"/>
        <v>, max(shikkan695_start_date)</v>
      </c>
      <c r="AA713" s="4"/>
      <c r="AB713" s="4"/>
      <c r="AC713" s="4"/>
      <c r="AD713" s="4"/>
      <c r="AE713" s="4"/>
      <c r="AF713" s="4"/>
      <c r="AG713" s="4"/>
      <c r="AH713" s="4"/>
      <c r="AI713" s="4"/>
      <c r="AJ713" s="76" t="str">
        <f>IF(E713="○",IF(COUNTA(E$13:E713)=1,"",",")&amp;D713,"")</f>
        <v/>
      </c>
      <c r="AK713" s="4"/>
      <c r="AL713" s="4"/>
      <c r="AM713" s="4"/>
      <c r="AN713" s="4"/>
      <c r="AO713" s="4"/>
      <c r="AP713" s="4"/>
      <c r="AQ713" s="4"/>
      <c r="AR713" s="4"/>
      <c r="AS713" s="76" t="str">
        <f>"COMMENT ON COLUMN "&amp;エンティティ一覧!$O$2&amp;"."&amp;D$8&amp;"."&amp;D713&amp;" IS '"&amp;C713&amp;"';"</f>
        <v>COMMENT ON COLUMN milscm_2023_009.sny_202310_annony_non_annony2.shikkan695_start_date IS 'I715_疾患開始日';</v>
      </c>
    </row>
    <row r="714" spans="1:45" s="25" customFormat="1">
      <c r="A714" s="4" t="s">
        <v>5781</v>
      </c>
      <c r="B714" s="21">
        <f t="shared" si="82"/>
        <v>702</v>
      </c>
      <c r="C714" s="13" t="str">
        <f t="shared" si="81"/>
        <v>I716_疾患開始日</v>
      </c>
      <c r="D714" s="13" t="s">
        <v>6356</v>
      </c>
      <c r="E714" s="8"/>
      <c r="F714" s="7" t="s">
        <v>4348</v>
      </c>
      <c r="G714" s="7" t="s">
        <v>25</v>
      </c>
      <c r="H714" s="58"/>
      <c r="I714" s="23"/>
      <c r="J714" s="24"/>
      <c r="M714" s="4"/>
      <c r="N714" s="76"/>
      <c r="O714" s="76"/>
      <c r="P714" s="76" t="str">
        <f t="shared" si="76"/>
        <v>,shikkan696_start_date</v>
      </c>
      <c r="Q714" s="76" t="str">
        <f t="shared" si="77"/>
        <v>DATE</v>
      </c>
      <c r="R714" s="76" t="str">
        <f t="shared" si="78"/>
        <v/>
      </c>
      <c r="S714" s="76" t="str">
        <f t="shared" si="79"/>
        <v/>
      </c>
      <c r="T714" s="76" t="str">
        <f t="shared" si="80"/>
        <v>-- I716_疾患開始日</v>
      </c>
      <c r="U714" s="4" t="str">
        <f t="shared" si="72"/>
        <v>, CASE WHEN shikkan_disp_name = 'I716' THEN min_shikkan_start_date ::DATE ELSE NULL END AS shikkan696_start_date</v>
      </c>
      <c r="V714" s="25" t="str">
        <f t="shared" si="73"/>
        <v>, max(shikkan696_start_date)</v>
      </c>
      <c r="AA714" s="4"/>
      <c r="AB714" s="4"/>
      <c r="AC714" s="4"/>
      <c r="AD714" s="4"/>
      <c r="AE714" s="4"/>
      <c r="AF714" s="4"/>
      <c r="AG714" s="4"/>
      <c r="AH714" s="4"/>
      <c r="AI714" s="4"/>
      <c r="AJ714" s="76" t="str">
        <f>IF(E714="○",IF(COUNTA(E$13:E714)=1,"",",")&amp;D714,"")</f>
        <v/>
      </c>
      <c r="AK714" s="4"/>
      <c r="AL714" s="4"/>
      <c r="AM714" s="4"/>
      <c r="AN714" s="4"/>
      <c r="AO714" s="4"/>
      <c r="AP714" s="4"/>
      <c r="AQ714" s="4"/>
      <c r="AR714" s="4"/>
      <c r="AS714" s="76" t="str">
        <f>"COMMENT ON COLUMN "&amp;エンティティ一覧!$O$2&amp;"."&amp;D$8&amp;"."&amp;D714&amp;" IS '"&amp;C714&amp;"';"</f>
        <v>COMMENT ON COLUMN milscm_2023_009.sny_202310_annony_non_annony2.shikkan696_start_date IS 'I716_疾患開始日';</v>
      </c>
    </row>
    <row r="715" spans="1:45" s="25" customFormat="1">
      <c r="A715" s="4" t="s">
        <v>5782</v>
      </c>
      <c r="B715" s="21">
        <f t="shared" si="82"/>
        <v>703</v>
      </c>
      <c r="C715" s="13" t="str">
        <f t="shared" si="81"/>
        <v>I718_疾患開始日</v>
      </c>
      <c r="D715" s="13" t="s">
        <v>6357</v>
      </c>
      <c r="E715" s="8"/>
      <c r="F715" s="7" t="s">
        <v>4348</v>
      </c>
      <c r="G715" s="7" t="s">
        <v>25</v>
      </c>
      <c r="H715" s="58"/>
      <c r="I715" s="23"/>
      <c r="J715" s="24"/>
      <c r="M715" s="4"/>
      <c r="N715" s="76"/>
      <c r="O715" s="76"/>
      <c r="P715" s="76" t="str">
        <f t="shared" si="76"/>
        <v>,shikkan697_start_date</v>
      </c>
      <c r="Q715" s="76" t="str">
        <f t="shared" si="77"/>
        <v>DATE</v>
      </c>
      <c r="R715" s="76" t="str">
        <f t="shared" si="78"/>
        <v/>
      </c>
      <c r="S715" s="76" t="str">
        <f t="shared" si="79"/>
        <v/>
      </c>
      <c r="T715" s="76" t="str">
        <f t="shared" si="80"/>
        <v>-- I718_疾患開始日</v>
      </c>
      <c r="U715" s="4" t="str">
        <f t="shared" si="72"/>
        <v>, CASE WHEN shikkan_disp_name = 'I718' THEN min_shikkan_start_date ::DATE ELSE NULL END AS shikkan697_start_date</v>
      </c>
      <c r="V715" s="25" t="str">
        <f t="shared" si="73"/>
        <v>, max(shikkan697_start_date)</v>
      </c>
      <c r="AA715" s="4"/>
      <c r="AB715" s="4"/>
      <c r="AC715" s="4"/>
      <c r="AD715" s="4"/>
      <c r="AE715" s="4"/>
      <c r="AF715" s="4"/>
      <c r="AG715" s="4"/>
      <c r="AH715" s="4"/>
      <c r="AI715" s="4"/>
      <c r="AJ715" s="76" t="str">
        <f>IF(E715="○",IF(COUNTA(E$13:E715)=1,"",",")&amp;D715,"")</f>
        <v/>
      </c>
      <c r="AK715" s="4"/>
      <c r="AL715" s="4"/>
      <c r="AM715" s="4"/>
      <c r="AN715" s="4"/>
      <c r="AO715" s="4"/>
      <c r="AP715" s="4"/>
      <c r="AQ715" s="4"/>
      <c r="AR715" s="4"/>
      <c r="AS715" s="76" t="str">
        <f>"COMMENT ON COLUMN "&amp;エンティティ一覧!$O$2&amp;"."&amp;D$8&amp;"."&amp;D715&amp;" IS '"&amp;C715&amp;"';"</f>
        <v>COMMENT ON COLUMN milscm_2023_009.sny_202310_annony_non_annony2.shikkan697_start_date IS 'I718_疾患開始日';</v>
      </c>
    </row>
    <row r="716" spans="1:45" s="25" customFormat="1">
      <c r="A716" s="4" t="s">
        <v>5783</v>
      </c>
      <c r="B716" s="21">
        <f t="shared" si="82"/>
        <v>704</v>
      </c>
      <c r="C716" s="13" t="str">
        <f t="shared" si="81"/>
        <v>I719_疾患開始日</v>
      </c>
      <c r="D716" s="13" t="s">
        <v>6358</v>
      </c>
      <c r="E716" s="8"/>
      <c r="F716" s="7" t="s">
        <v>4348</v>
      </c>
      <c r="G716" s="7" t="s">
        <v>25</v>
      </c>
      <c r="H716" s="58"/>
      <c r="I716" s="23"/>
      <c r="J716" s="24"/>
      <c r="M716" s="4"/>
      <c r="N716" s="76"/>
      <c r="O716" s="76"/>
      <c r="P716" s="76" t="str">
        <f t="shared" si="76"/>
        <v>,shikkan698_start_date</v>
      </c>
      <c r="Q716" s="76" t="str">
        <f t="shared" si="77"/>
        <v>DATE</v>
      </c>
      <c r="R716" s="76" t="str">
        <f t="shared" si="78"/>
        <v/>
      </c>
      <c r="S716" s="76" t="str">
        <f t="shared" si="79"/>
        <v/>
      </c>
      <c r="T716" s="76" t="str">
        <f t="shared" si="80"/>
        <v>-- I719_疾患開始日</v>
      </c>
      <c r="U716" s="4" t="str">
        <f t="shared" si="72"/>
        <v>, CASE WHEN shikkan_disp_name = 'I719' THEN min_shikkan_start_date ::DATE ELSE NULL END AS shikkan698_start_date</v>
      </c>
      <c r="V716" s="25" t="str">
        <f t="shared" si="73"/>
        <v>, max(shikkan698_start_date)</v>
      </c>
      <c r="AA716" s="4"/>
      <c r="AB716" s="4"/>
      <c r="AC716" s="4"/>
      <c r="AD716" s="4"/>
      <c r="AE716" s="4"/>
      <c r="AF716" s="4"/>
      <c r="AG716" s="4"/>
      <c r="AH716" s="4"/>
      <c r="AI716" s="4"/>
      <c r="AJ716" s="76" t="str">
        <f>IF(E716="○",IF(COUNTA(E$13:E716)=1,"",",")&amp;D716,"")</f>
        <v/>
      </c>
      <c r="AK716" s="4"/>
      <c r="AL716" s="4"/>
      <c r="AM716" s="4"/>
      <c r="AN716" s="4"/>
      <c r="AO716" s="4"/>
      <c r="AP716" s="4"/>
      <c r="AQ716" s="4"/>
      <c r="AR716" s="4"/>
      <c r="AS716" s="76" t="str">
        <f>"COMMENT ON COLUMN "&amp;エンティティ一覧!$O$2&amp;"."&amp;D$8&amp;"."&amp;D716&amp;" IS '"&amp;C716&amp;"';"</f>
        <v>COMMENT ON COLUMN milscm_2023_009.sny_202310_annony_non_annony2.shikkan698_start_date IS 'I719_疾患開始日';</v>
      </c>
    </row>
    <row r="717" spans="1:45" s="25" customFormat="1">
      <c r="A717" s="4" t="s">
        <v>5784</v>
      </c>
      <c r="B717" s="21">
        <f t="shared" si="82"/>
        <v>705</v>
      </c>
      <c r="C717" s="13" t="str">
        <f t="shared" si="81"/>
        <v>I731_疾患開始日</v>
      </c>
      <c r="D717" s="13" t="s">
        <v>6359</v>
      </c>
      <c r="E717" s="8"/>
      <c r="F717" s="7" t="s">
        <v>4348</v>
      </c>
      <c r="G717" s="7" t="s">
        <v>25</v>
      </c>
      <c r="H717" s="58"/>
      <c r="I717" s="23"/>
      <c r="J717" s="24"/>
      <c r="M717" s="4"/>
      <c r="N717" s="76"/>
      <c r="O717" s="76"/>
      <c r="P717" s="76" t="str">
        <f t="shared" si="76"/>
        <v>,shikkan699_start_date</v>
      </c>
      <c r="Q717" s="76" t="str">
        <f t="shared" si="77"/>
        <v>DATE</v>
      </c>
      <c r="R717" s="76" t="str">
        <f t="shared" si="78"/>
        <v/>
      </c>
      <c r="S717" s="76" t="str">
        <f t="shared" si="79"/>
        <v/>
      </c>
      <c r="T717" s="76" t="str">
        <f t="shared" si="80"/>
        <v>-- I731_疾患開始日</v>
      </c>
      <c r="U717" s="4" t="str">
        <f t="shared" si="72"/>
        <v>, CASE WHEN shikkan_disp_name = 'I731' THEN min_shikkan_start_date ::DATE ELSE NULL END AS shikkan699_start_date</v>
      </c>
      <c r="V717" s="25" t="str">
        <f t="shared" si="73"/>
        <v>, max(shikkan699_start_date)</v>
      </c>
      <c r="AA717" s="4"/>
      <c r="AB717" s="4"/>
      <c r="AC717" s="4"/>
      <c r="AD717" s="4"/>
      <c r="AE717" s="4"/>
      <c r="AF717" s="4"/>
      <c r="AG717" s="4"/>
      <c r="AH717" s="4"/>
      <c r="AI717" s="4"/>
      <c r="AJ717" s="76" t="str">
        <f>IF(E717="○",IF(COUNTA(E$13:E717)=1,"",",")&amp;D717,"")</f>
        <v/>
      </c>
      <c r="AK717" s="4"/>
      <c r="AL717" s="4"/>
      <c r="AM717" s="4"/>
      <c r="AN717" s="4"/>
      <c r="AO717" s="4"/>
      <c r="AP717" s="4"/>
      <c r="AQ717" s="4"/>
      <c r="AR717" s="4"/>
      <c r="AS717" s="76" t="str">
        <f>"COMMENT ON COLUMN "&amp;エンティティ一覧!$O$2&amp;"."&amp;D$8&amp;"."&amp;D717&amp;" IS '"&amp;C717&amp;"';"</f>
        <v>COMMENT ON COLUMN milscm_2023_009.sny_202310_annony_non_annony2.shikkan699_start_date IS 'I731_疾患開始日';</v>
      </c>
    </row>
    <row r="718" spans="1:45" s="25" customFormat="1">
      <c r="A718" s="4" t="s">
        <v>5785</v>
      </c>
      <c r="B718" s="21">
        <f t="shared" si="82"/>
        <v>706</v>
      </c>
      <c r="C718" s="13" t="str">
        <f t="shared" si="81"/>
        <v>I738_疾患開始日</v>
      </c>
      <c r="D718" s="13" t="s">
        <v>6360</v>
      </c>
      <c r="E718" s="8"/>
      <c r="F718" s="7" t="s">
        <v>4348</v>
      </c>
      <c r="G718" s="7" t="s">
        <v>25</v>
      </c>
      <c r="H718" s="58"/>
      <c r="I718" s="23"/>
      <c r="J718" s="24"/>
      <c r="M718" s="4"/>
      <c r="N718" s="76"/>
      <c r="O718" s="76"/>
      <c r="P718" s="76" t="str">
        <f t="shared" si="76"/>
        <v>,shikkan700_start_date</v>
      </c>
      <c r="Q718" s="76" t="str">
        <f t="shared" si="77"/>
        <v>DATE</v>
      </c>
      <c r="R718" s="76" t="str">
        <f t="shared" si="78"/>
        <v/>
      </c>
      <c r="S718" s="76" t="str">
        <f t="shared" si="79"/>
        <v/>
      </c>
      <c r="T718" s="76" t="str">
        <f t="shared" si="80"/>
        <v>-- I738_疾患開始日</v>
      </c>
      <c r="U718" s="4" t="str">
        <f t="shared" si="72"/>
        <v>, CASE WHEN shikkan_disp_name = 'I738' THEN min_shikkan_start_date ::DATE ELSE NULL END AS shikkan700_start_date</v>
      </c>
      <c r="V718" s="25" t="str">
        <f t="shared" si="73"/>
        <v>, max(shikkan700_start_date)</v>
      </c>
      <c r="AA718" s="4"/>
      <c r="AB718" s="4"/>
      <c r="AC718" s="4"/>
      <c r="AD718" s="4"/>
      <c r="AE718" s="4"/>
      <c r="AF718" s="4"/>
      <c r="AG718" s="4"/>
      <c r="AH718" s="4"/>
      <c r="AI718" s="4"/>
      <c r="AJ718" s="76" t="str">
        <f>IF(E718="○",IF(COUNTA(E$13:E718)=1,"",",")&amp;D718,"")</f>
        <v/>
      </c>
      <c r="AK718" s="4"/>
      <c r="AL718" s="4"/>
      <c r="AM718" s="4"/>
      <c r="AN718" s="4"/>
      <c r="AO718" s="4"/>
      <c r="AP718" s="4"/>
      <c r="AQ718" s="4"/>
      <c r="AR718" s="4"/>
      <c r="AS718" s="76" t="str">
        <f>"COMMENT ON COLUMN "&amp;エンティティ一覧!$O$2&amp;"."&amp;D$8&amp;"."&amp;D718&amp;" IS '"&amp;C718&amp;"';"</f>
        <v>COMMENT ON COLUMN milscm_2023_009.sny_202310_annony_non_annony2.shikkan700_start_date IS 'I738_疾患開始日';</v>
      </c>
    </row>
    <row r="719" spans="1:45" s="25" customFormat="1">
      <c r="A719" s="4" t="s">
        <v>5786</v>
      </c>
      <c r="B719" s="21">
        <f t="shared" si="82"/>
        <v>707</v>
      </c>
      <c r="C719" s="13" t="str">
        <f t="shared" si="81"/>
        <v>I739_疾患開始日</v>
      </c>
      <c r="D719" s="13" t="s">
        <v>6361</v>
      </c>
      <c r="E719" s="8"/>
      <c r="F719" s="7" t="s">
        <v>4348</v>
      </c>
      <c r="G719" s="7" t="s">
        <v>25</v>
      </c>
      <c r="H719" s="58"/>
      <c r="I719" s="23"/>
      <c r="J719" s="24"/>
      <c r="M719" s="4"/>
      <c r="N719" s="76"/>
      <c r="O719" s="76"/>
      <c r="P719" s="76" t="str">
        <f t="shared" si="76"/>
        <v>,shikkan701_start_date</v>
      </c>
      <c r="Q719" s="76" t="str">
        <f t="shared" si="77"/>
        <v>DATE</v>
      </c>
      <c r="R719" s="76" t="str">
        <f t="shared" si="78"/>
        <v/>
      </c>
      <c r="S719" s="76" t="str">
        <f t="shared" si="79"/>
        <v/>
      </c>
      <c r="T719" s="76" t="str">
        <f t="shared" si="80"/>
        <v>-- I739_疾患開始日</v>
      </c>
      <c r="U719" s="4" t="str">
        <f t="shared" si="72"/>
        <v>, CASE WHEN shikkan_disp_name = 'I739' THEN min_shikkan_start_date ::DATE ELSE NULL END AS shikkan701_start_date</v>
      </c>
      <c r="V719" s="25" t="str">
        <f t="shared" si="73"/>
        <v>, max(shikkan701_start_date)</v>
      </c>
      <c r="AA719" s="4"/>
      <c r="AB719" s="4"/>
      <c r="AC719" s="4"/>
      <c r="AD719" s="4"/>
      <c r="AE719" s="4"/>
      <c r="AF719" s="4"/>
      <c r="AG719" s="4"/>
      <c r="AH719" s="4"/>
      <c r="AI719" s="4"/>
      <c r="AJ719" s="76" t="str">
        <f>IF(E719="○",IF(COUNTA(E$13:E719)=1,"",",")&amp;D719,"")</f>
        <v/>
      </c>
      <c r="AK719" s="4"/>
      <c r="AL719" s="4"/>
      <c r="AM719" s="4"/>
      <c r="AN719" s="4"/>
      <c r="AO719" s="4"/>
      <c r="AP719" s="4"/>
      <c r="AQ719" s="4"/>
      <c r="AR719" s="4"/>
      <c r="AS719" s="76" t="str">
        <f>"COMMENT ON COLUMN "&amp;エンティティ一覧!$O$2&amp;"."&amp;D$8&amp;"."&amp;D719&amp;" IS '"&amp;C719&amp;"';"</f>
        <v>COMMENT ON COLUMN milscm_2023_009.sny_202310_annony_non_annony2.shikkan701_start_date IS 'I739_疾患開始日';</v>
      </c>
    </row>
    <row r="720" spans="1:45" s="25" customFormat="1">
      <c r="A720" s="4" t="s">
        <v>5787</v>
      </c>
      <c r="B720" s="21">
        <f t="shared" si="82"/>
        <v>708</v>
      </c>
      <c r="C720" s="13" t="str">
        <f t="shared" si="81"/>
        <v>I771_疾患開始日</v>
      </c>
      <c r="D720" s="13" t="s">
        <v>6362</v>
      </c>
      <c r="E720" s="8"/>
      <c r="F720" s="7" t="s">
        <v>4348</v>
      </c>
      <c r="G720" s="7" t="s">
        <v>25</v>
      </c>
      <c r="H720" s="58"/>
      <c r="I720" s="23"/>
      <c r="J720" s="24"/>
      <c r="M720" s="4"/>
      <c r="N720" s="76"/>
      <c r="O720" s="76"/>
      <c r="P720" s="76" t="str">
        <f t="shared" si="76"/>
        <v>,shikkan702_start_date</v>
      </c>
      <c r="Q720" s="76" t="str">
        <f t="shared" si="77"/>
        <v>DATE</v>
      </c>
      <c r="R720" s="76" t="str">
        <f t="shared" si="78"/>
        <v/>
      </c>
      <c r="S720" s="76" t="str">
        <f t="shared" si="79"/>
        <v/>
      </c>
      <c r="T720" s="76" t="str">
        <f t="shared" si="80"/>
        <v>-- I771_疾患開始日</v>
      </c>
      <c r="U720" s="4" t="str">
        <f t="shared" si="72"/>
        <v>, CASE WHEN shikkan_disp_name = 'I771' THEN min_shikkan_start_date ::DATE ELSE NULL END AS shikkan702_start_date</v>
      </c>
      <c r="V720" s="25" t="str">
        <f t="shared" si="73"/>
        <v>, max(shikkan702_start_date)</v>
      </c>
      <c r="AA720" s="4"/>
      <c r="AB720" s="4"/>
      <c r="AC720" s="4"/>
      <c r="AD720" s="4"/>
      <c r="AE720" s="4"/>
      <c r="AF720" s="4"/>
      <c r="AG720" s="4"/>
      <c r="AH720" s="4"/>
      <c r="AI720" s="4"/>
      <c r="AJ720" s="76" t="str">
        <f>IF(E720="○",IF(COUNTA(E$13:E720)=1,"",",")&amp;D720,"")</f>
        <v/>
      </c>
      <c r="AK720" s="4"/>
      <c r="AL720" s="4"/>
      <c r="AM720" s="4"/>
      <c r="AN720" s="4"/>
      <c r="AO720" s="4"/>
      <c r="AP720" s="4"/>
      <c r="AQ720" s="4"/>
      <c r="AR720" s="4"/>
      <c r="AS720" s="76" t="str">
        <f>"COMMENT ON COLUMN "&amp;エンティティ一覧!$O$2&amp;"."&amp;D$8&amp;"."&amp;D720&amp;" IS '"&amp;C720&amp;"';"</f>
        <v>COMMENT ON COLUMN milscm_2023_009.sny_202310_annony_non_annony2.shikkan702_start_date IS 'I771_疾患開始日';</v>
      </c>
    </row>
    <row r="721" spans="1:45" s="25" customFormat="1">
      <c r="A721" s="4" t="s">
        <v>5788</v>
      </c>
      <c r="B721" s="21">
        <f t="shared" si="82"/>
        <v>709</v>
      </c>
      <c r="C721" s="13" t="str">
        <f t="shared" si="81"/>
        <v>I790_疾患開始日</v>
      </c>
      <c r="D721" s="13" t="s">
        <v>6363</v>
      </c>
      <c r="E721" s="8"/>
      <c r="F721" s="7" t="s">
        <v>4348</v>
      </c>
      <c r="G721" s="7" t="s">
        <v>99</v>
      </c>
      <c r="H721" s="58"/>
      <c r="I721" s="23"/>
      <c r="J721" s="24"/>
      <c r="M721" s="4"/>
      <c r="N721" s="76"/>
      <c r="O721" s="76"/>
      <c r="P721" s="76" t="str">
        <f t="shared" si="76"/>
        <v>,shikkan703_start_date</v>
      </c>
      <c r="Q721" s="76" t="str">
        <f t="shared" si="77"/>
        <v>DATE</v>
      </c>
      <c r="R721" s="76" t="str">
        <f t="shared" si="78"/>
        <v/>
      </c>
      <c r="S721" s="76" t="str">
        <f t="shared" si="79"/>
        <v/>
      </c>
      <c r="T721" s="76" t="str">
        <f t="shared" si="80"/>
        <v>-- I790_疾患開始日</v>
      </c>
      <c r="U721" s="4" t="str">
        <f t="shared" si="72"/>
        <v>, CASE WHEN shikkan_disp_name = 'I790' THEN min_shikkan_start_date ::DATE ELSE NULL END AS shikkan703_start_date</v>
      </c>
      <c r="V721" s="25" t="str">
        <f t="shared" si="73"/>
        <v>, max(shikkan703_start_date)</v>
      </c>
      <c r="AA721" s="4"/>
      <c r="AB721" s="4"/>
      <c r="AC721" s="4"/>
      <c r="AD721" s="4"/>
      <c r="AE721" s="4"/>
      <c r="AF721" s="4"/>
      <c r="AG721" s="4"/>
      <c r="AH721" s="4"/>
      <c r="AI721" s="4"/>
      <c r="AJ721" s="76" t="str">
        <f>IF(E721="○",IF(COUNTA(E$13:E721)=1,"",",")&amp;D721,"")</f>
        <v/>
      </c>
      <c r="AK721" s="4"/>
      <c r="AL721" s="4"/>
      <c r="AM721" s="4"/>
      <c r="AN721" s="4"/>
      <c r="AO721" s="4"/>
      <c r="AP721" s="4"/>
      <c r="AQ721" s="4"/>
      <c r="AR721" s="4"/>
      <c r="AS721" s="76" t="str">
        <f>"COMMENT ON COLUMN "&amp;エンティティ一覧!$O$2&amp;"."&amp;D$8&amp;"."&amp;D721&amp;" IS '"&amp;C721&amp;"';"</f>
        <v>COMMENT ON COLUMN milscm_2023_009.sny_202310_annony_non_annony2.shikkan703_start_date IS 'I790_疾患開始日';</v>
      </c>
    </row>
    <row r="722" spans="1:45" s="25" customFormat="1">
      <c r="A722" s="4" t="s">
        <v>5789</v>
      </c>
      <c r="B722" s="21">
        <f t="shared" si="82"/>
        <v>710</v>
      </c>
      <c r="C722" s="13" t="str">
        <f t="shared" si="81"/>
        <v>I792_疾患開始日</v>
      </c>
      <c r="D722" s="13" t="s">
        <v>6364</v>
      </c>
      <c r="E722" s="8"/>
      <c r="F722" s="7" t="s">
        <v>4348</v>
      </c>
      <c r="G722" s="7" t="s">
        <v>25</v>
      </c>
      <c r="H722" s="58"/>
      <c r="I722" s="23"/>
      <c r="J722" s="24"/>
      <c r="M722" s="4"/>
      <c r="N722" s="76"/>
      <c r="O722" s="76"/>
      <c r="P722" s="76" t="str">
        <f t="shared" ref="P722:P785" si="83">IF(B722&lt;&gt;1,","&amp;D722,D722)</f>
        <v>,shikkan704_start_date</v>
      </c>
      <c r="Q722" s="76" t="str">
        <f t="shared" ref="Q722:Q785" si="84">UPPER(G722)</f>
        <v>DATE</v>
      </c>
      <c r="R722" s="76" t="str">
        <f t="shared" ref="R722:R785" si="85">IF(H722&lt;&gt;"","default "&amp;IF(G722="text","'"&amp;H722&amp;"'",H722),"")</f>
        <v/>
      </c>
      <c r="S722" s="76" t="str">
        <f t="shared" ref="S722:S785" si="86">IF(I722="○","NOT NULL","")</f>
        <v/>
      </c>
      <c r="T722" s="76" t="str">
        <f t="shared" ref="T722:T785" si="87">"-- "&amp;C722</f>
        <v>-- I792_疾患開始日</v>
      </c>
      <c r="U722" s="4" t="str">
        <f t="shared" si="72"/>
        <v>, CASE WHEN shikkan_disp_name = 'I792' THEN min_shikkan_start_date ::DATE ELSE NULL END AS shikkan704_start_date</v>
      </c>
      <c r="V722" s="25" t="str">
        <f t="shared" si="73"/>
        <v>, max(shikkan704_start_date)</v>
      </c>
      <c r="AA722" s="4"/>
      <c r="AB722" s="4"/>
      <c r="AC722" s="4"/>
      <c r="AD722" s="4"/>
      <c r="AE722" s="4"/>
      <c r="AF722" s="4"/>
      <c r="AG722" s="4"/>
      <c r="AH722" s="4"/>
      <c r="AI722" s="4"/>
      <c r="AJ722" s="76" t="str">
        <f>IF(E722="○",IF(COUNTA(E$13:E722)=1,"",",")&amp;D722,"")</f>
        <v/>
      </c>
      <c r="AK722" s="4"/>
      <c r="AL722" s="4"/>
      <c r="AM722" s="4"/>
      <c r="AN722" s="4"/>
      <c r="AO722" s="4"/>
      <c r="AP722" s="4"/>
      <c r="AQ722" s="4"/>
      <c r="AR722" s="4"/>
      <c r="AS722" s="76" t="str">
        <f>"COMMENT ON COLUMN "&amp;エンティティ一覧!$O$2&amp;"."&amp;D$8&amp;"."&amp;D722&amp;" IS '"&amp;C722&amp;"';"</f>
        <v>COMMENT ON COLUMN milscm_2023_009.sny_202310_annony_non_annony2.shikkan704_start_date IS 'I792_疾患開始日';</v>
      </c>
    </row>
    <row r="723" spans="1:45" s="25" customFormat="1">
      <c r="A723" s="4" t="s">
        <v>5790</v>
      </c>
      <c r="B723" s="21">
        <f t="shared" si="82"/>
        <v>711</v>
      </c>
      <c r="C723" s="13" t="str">
        <f t="shared" si="81"/>
        <v>I850_疾患開始日</v>
      </c>
      <c r="D723" s="13" t="s">
        <v>6365</v>
      </c>
      <c r="E723" s="8"/>
      <c r="F723" s="7" t="s">
        <v>4348</v>
      </c>
      <c r="G723" s="7" t="s">
        <v>25</v>
      </c>
      <c r="H723" s="58"/>
      <c r="I723" s="23"/>
      <c r="J723" s="24"/>
      <c r="M723" s="4"/>
      <c r="N723" s="76"/>
      <c r="O723" s="76"/>
      <c r="P723" s="76" t="str">
        <f t="shared" si="83"/>
        <v>,shikkan705_start_date</v>
      </c>
      <c r="Q723" s="76" t="str">
        <f t="shared" si="84"/>
        <v>DATE</v>
      </c>
      <c r="R723" s="76" t="str">
        <f t="shared" si="85"/>
        <v/>
      </c>
      <c r="S723" s="76" t="str">
        <f t="shared" si="86"/>
        <v/>
      </c>
      <c r="T723" s="76" t="str">
        <f t="shared" si="87"/>
        <v>-- I850_疾患開始日</v>
      </c>
      <c r="U723" s="4" t="str">
        <f t="shared" si="72"/>
        <v>, CASE WHEN shikkan_disp_name = 'I850' THEN min_shikkan_start_date ::DATE ELSE NULL END AS shikkan705_start_date</v>
      </c>
      <c r="V723" s="25" t="str">
        <f t="shared" si="73"/>
        <v>, max(shikkan705_start_date)</v>
      </c>
      <c r="AA723" s="4"/>
      <c r="AB723" s="4"/>
      <c r="AC723" s="4"/>
      <c r="AD723" s="4"/>
      <c r="AE723" s="4"/>
      <c r="AF723" s="4"/>
      <c r="AG723" s="4"/>
      <c r="AH723" s="4"/>
      <c r="AI723" s="4"/>
      <c r="AJ723" s="76" t="str">
        <f>IF(E723="○",IF(COUNTA(E$13:E723)=1,"",",")&amp;D723,"")</f>
        <v/>
      </c>
      <c r="AK723" s="4"/>
      <c r="AL723" s="4"/>
      <c r="AM723" s="4"/>
      <c r="AN723" s="4"/>
      <c r="AO723" s="4"/>
      <c r="AP723" s="4"/>
      <c r="AQ723" s="4"/>
      <c r="AR723" s="4"/>
      <c r="AS723" s="76" t="str">
        <f>"COMMENT ON COLUMN "&amp;エンティティ一覧!$O$2&amp;"."&amp;D$8&amp;"."&amp;D723&amp;" IS '"&amp;C723&amp;"';"</f>
        <v>COMMENT ON COLUMN milscm_2023_009.sny_202310_annony_non_annony2.shikkan705_start_date IS 'I850_疾患開始日';</v>
      </c>
    </row>
    <row r="724" spans="1:45" s="25" customFormat="1">
      <c r="A724" s="4" t="s">
        <v>5791</v>
      </c>
      <c r="B724" s="21">
        <f t="shared" si="82"/>
        <v>712</v>
      </c>
      <c r="C724" s="13" t="str">
        <f t="shared" ref="C724:C787" si="88">A724&amp;"_疾患開始日"</f>
        <v>I859_疾患開始日</v>
      </c>
      <c r="D724" s="13" t="s">
        <v>6366</v>
      </c>
      <c r="E724" s="8"/>
      <c r="F724" s="7" t="s">
        <v>4348</v>
      </c>
      <c r="G724" s="7" t="s">
        <v>25</v>
      </c>
      <c r="H724" s="58"/>
      <c r="I724" s="23"/>
      <c r="J724" s="24"/>
      <c r="M724" s="4"/>
      <c r="N724" s="76"/>
      <c r="O724" s="76"/>
      <c r="P724" s="76" t="str">
        <f t="shared" si="83"/>
        <v>,shikkan706_start_date</v>
      </c>
      <c r="Q724" s="76" t="str">
        <f t="shared" si="84"/>
        <v>DATE</v>
      </c>
      <c r="R724" s="76" t="str">
        <f t="shared" si="85"/>
        <v/>
      </c>
      <c r="S724" s="76" t="str">
        <f t="shared" si="86"/>
        <v/>
      </c>
      <c r="T724" s="76" t="str">
        <f t="shared" si="87"/>
        <v>-- I859_疾患開始日</v>
      </c>
      <c r="U724" s="4" t="str">
        <f t="shared" si="72"/>
        <v>, CASE WHEN shikkan_disp_name = 'I859' THEN min_shikkan_start_date ::DATE ELSE NULL END AS shikkan706_start_date</v>
      </c>
      <c r="V724" s="25" t="str">
        <f t="shared" si="73"/>
        <v>, max(shikkan706_start_date)</v>
      </c>
      <c r="AA724" s="4"/>
      <c r="AB724" s="4"/>
      <c r="AC724" s="4"/>
      <c r="AD724" s="4"/>
      <c r="AE724" s="4"/>
      <c r="AF724" s="4"/>
      <c r="AG724" s="4"/>
      <c r="AH724" s="4"/>
      <c r="AI724" s="4"/>
      <c r="AJ724" s="76" t="str">
        <f>IF(E724="○",IF(COUNTA(E$13:E724)=1,"",",")&amp;D724,"")</f>
        <v/>
      </c>
      <c r="AK724" s="4"/>
      <c r="AL724" s="4"/>
      <c r="AM724" s="4"/>
      <c r="AN724" s="4"/>
      <c r="AO724" s="4"/>
      <c r="AP724" s="4"/>
      <c r="AQ724" s="4"/>
      <c r="AR724" s="4"/>
      <c r="AS724" s="76" t="str">
        <f>"COMMENT ON COLUMN "&amp;エンティティ一覧!$O$2&amp;"."&amp;D$8&amp;"."&amp;D724&amp;" IS '"&amp;C724&amp;"';"</f>
        <v>COMMENT ON COLUMN milscm_2023_009.sny_202310_annony_non_annony2.shikkan706_start_date IS 'I859_疾患開始日';</v>
      </c>
    </row>
    <row r="725" spans="1:45" s="25" customFormat="1">
      <c r="A725" s="4" t="s">
        <v>5792</v>
      </c>
      <c r="B725" s="21">
        <f t="shared" si="82"/>
        <v>713</v>
      </c>
      <c r="C725" s="13" t="str">
        <f t="shared" si="88"/>
        <v>I864_疾患開始日</v>
      </c>
      <c r="D725" s="13" t="s">
        <v>6367</v>
      </c>
      <c r="E725" s="8"/>
      <c r="F725" s="7" t="s">
        <v>4348</v>
      </c>
      <c r="G725" s="7" t="s">
        <v>25</v>
      </c>
      <c r="H725" s="58"/>
      <c r="I725" s="23"/>
      <c r="J725" s="24"/>
      <c r="M725" s="4"/>
      <c r="N725" s="76"/>
      <c r="O725" s="76"/>
      <c r="P725" s="76" t="str">
        <f t="shared" si="83"/>
        <v>,shikkan707_start_date</v>
      </c>
      <c r="Q725" s="76" t="str">
        <f t="shared" si="84"/>
        <v>DATE</v>
      </c>
      <c r="R725" s="76" t="str">
        <f t="shared" si="85"/>
        <v/>
      </c>
      <c r="S725" s="76" t="str">
        <f t="shared" si="86"/>
        <v/>
      </c>
      <c r="T725" s="76" t="str">
        <f t="shared" si="87"/>
        <v>-- I864_疾患開始日</v>
      </c>
      <c r="U725" s="4" t="str">
        <f t="shared" si="72"/>
        <v>, CASE WHEN shikkan_disp_name = 'I864' THEN min_shikkan_start_date ::DATE ELSE NULL END AS shikkan707_start_date</v>
      </c>
      <c r="V725" s="25" t="str">
        <f t="shared" si="73"/>
        <v>, max(shikkan707_start_date)</v>
      </c>
      <c r="AA725" s="4"/>
      <c r="AB725" s="4"/>
      <c r="AC725" s="4"/>
      <c r="AD725" s="4"/>
      <c r="AE725" s="4"/>
      <c r="AF725" s="4"/>
      <c r="AG725" s="4"/>
      <c r="AH725" s="4"/>
      <c r="AI725" s="4"/>
      <c r="AJ725" s="76" t="str">
        <f>IF(E725="○",IF(COUNTA(E$13:E725)=1,"",",")&amp;D725,"")</f>
        <v/>
      </c>
      <c r="AK725" s="4"/>
      <c r="AL725" s="4"/>
      <c r="AM725" s="4"/>
      <c r="AN725" s="4"/>
      <c r="AO725" s="4"/>
      <c r="AP725" s="4"/>
      <c r="AQ725" s="4"/>
      <c r="AR725" s="4"/>
      <c r="AS725" s="76" t="str">
        <f>"COMMENT ON COLUMN "&amp;エンティティ一覧!$O$2&amp;"."&amp;D$8&amp;"."&amp;D725&amp;" IS '"&amp;C725&amp;"';"</f>
        <v>COMMENT ON COLUMN milscm_2023_009.sny_202310_annony_non_annony2.shikkan707_start_date IS 'I864_疾患開始日';</v>
      </c>
    </row>
    <row r="726" spans="1:45" s="25" customFormat="1">
      <c r="A726" s="4" t="s">
        <v>5793</v>
      </c>
      <c r="B726" s="21">
        <f t="shared" ref="B726:B789" si="89">ROW()-12</f>
        <v>714</v>
      </c>
      <c r="C726" s="13" t="str">
        <f t="shared" si="88"/>
        <v>I982_疾患開始日</v>
      </c>
      <c r="D726" s="13" t="s">
        <v>6368</v>
      </c>
      <c r="E726" s="8"/>
      <c r="F726" s="7" t="s">
        <v>4348</v>
      </c>
      <c r="G726" s="7" t="s">
        <v>25</v>
      </c>
      <c r="H726" s="58"/>
      <c r="I726" s="23"/>
      <c r="J726" s="24"/>
      <c r="M726" s="4"/>
      <c r="N726" s="76"/>
      <c r="O726" s="76"/>
      <c r="P726" s="76" t="str">
        <f t="shared" si="83"/>
        <v>,shikkan708_start_date</v>
      </c>
      <c r="Q726" s="76" t="str">
        <f t="shared" si="84"/>
        <v>DATE</v>
      </c>
      <c r="R726" s="76" t="str">
        <f t="shared" si="85"/>
        <v/>
      </c>
      <c r="S726" s="76" t="str">
        <f t="shared" si="86"/>
        <v/>
      </c>
      <c r="T726" s="76" t="str">
        <f t="shared" si="87"/>
        <v>-- I982_疾患開始日</v>
      </c>
      <c r="U726" s="4" t="str">
        <f t="shared" si="72"/>
        <v>, CASE WHEN shikkan_disp_name = 'I982' THEN min_shikkan_start_date ::DATE ELSE NULL END AS shikkan708_start_date</v>
      </c>
      <c r="V726" s="25" t="str">
        <f t="shared" si="73"/>
        <v>, max(shikkan708_start_date)</v>
      </c>
      <c r="AA726" s="4"/>
      <c r="AB726" s="4"/>
      <c r="AC726" s="4"/>
      <c r="AD726" s="4"/>
      <c r="AE726" s="4"/>
      <c r="AF726" s="4"/>
      <c r="AG726" s="4"/>
      <c r="AH726" s="4"/>
      <c r="AI726" s="4"/>
      <c r="AJ726" s="76" t="str">
        <f>IF(E726="○",IF(COUNTA(E$13:E726)=1,"",",")&amp;D726,"")</f>
        <v/>
      </c>
      <c r="AK726" s="4"/>
      <c r="AL726" s="4"/>
      <c r="AM726" s="4"/>
      <c r="AN726" s="4"/>
      <c r="AO726" s="4"/>
      <c r="AP726" s="4"/>
      <c r="AQ726" s="4"/>
      <c r="AR726" s="4"/>
      <c r="AS726" s="76" t="str">
        <f>"COMMENT ON COLUMN "&amp;エンティティ一覧!$O$2&amp;"."&amp;D$8&amp;"."&amp;D726&amp;" IS '"&amp;C726&amp;"';"</f>
        <v>COMMENT ON COLUMN milscm_2023_009.sny_202310_annony_non_annony2.shikkan708_start_date IS 'I982_疾患開始日';</v>
      </c>
    </row>
    <row r="727" spans="1:45" s="25" customFormat="1">
      <c r="A727" s="4" t="s">
        <v>5064</v>
      </c>
      <c r="B727" s="21">
        <f t="shared" si="89"/>
        <v>715</v>
      </c>
      <c r="C727" s="13" t="str">
        <f t="shared" si="88"/>
        <v>J40_疾患開始日</v>
      </c>
      <c r="D727" s="13" t="s">
        <v>6369</v>
      </c>
      <c r="E727" s="8"/>
      <c r="F727" s="7" t="s">
        <v>4348</v>
      </c>
      <c r="G727" s="7" t="s">
        <v>25</v>
      </c>
      <c r="H727" s="58"/>
      <c r="I727" s="23"/>
      <c r="J727" s="24"/>
      <c r="M727" s="4"/>
      <c r="N727" s="76"/>
      <c r="O727" s="76"/>
      <c r="P727" s="76" t="str">
        <f t="shared" si="83"/>
        <v>,shikkan709_start_date</v>
      </c>
      <c r="Q727" s="76" t="str">
        <f t="shared" si="84"/>
        <v>DATE</v>
      </c>
      <c r="R727" s="76" t="str">
        <f t="shared" si="85"/>
        <v/>
      </c>
      <c r="S727" s="76" t="str">
        <f t="shared" si="86"/>
        <v/>
      </c>
      <c r="T727" s="76" t="str">
        <f t="shared" si="87"/>
        <v>-- J40_疾患開始日</v>
      </c>
      <c r="U727" s="4" t="str">
        <f t="shared" si="72"/>
        <v>, CASE WHEN shikkan_disp_name = 'J40' THEN min_shikkan_start_date ::DATE ELSE NULL END AS shikkan709_start_date</v>
      </c>
      <c r="V727" s="25" t="str">
        <f t="shared" si="73"/>
        <v>, max(shikkan709_start_date)</v>
      </c>
      <c r="AA727" s="4"/>
      <c r="AB727" s="4"/>
      <c r="AC727" s="4"/>
      <c r="AD727" s="4"/>
      <c r="AE727" s="4"/>
      <c r="AF727" s="4"/>
      <c r="AG727" s="4"/>
      <c r="AH727" s="4"/>
      <c r="AI727" s="4"/>
      <c r="AJ727" s="76" t="str">
        <f>IF(E727="○",IF(COUNTA(E$13:E727)=1,"",",")&amp;D727,"")</f>
        <v/>
      </c>
      <c r="AK727" s="4"/>
      <c r="AL727" s="4"/>
      <c r="AM727" s="4"/>
      <c r="AN727" s="4"/>
      <c r="AO727" s="4"/>
      <c r="AP727" s="4"/>
      <c r="AQ727" s="4"/>
      <c r="AR727" s="4"/>
      <c r="AS727" s="76" t="str">
        <f>"COMMENT ON COLUMN "&amp;エンティティ一覧!$O$2&amp;"."&amp;D$8&amp;"."&amp;D727&amp;" IS '"&amp;C727&amp;"';"</f>
        <v>COMMENT ON COLUMN milscm_2023_009.sny_202310_annony_non_annony2.shikkan709_start_date IS 'J40_疾患開始日';</v>
      </c>
    </row>
    <row r="728" spans="1:45" s="25" customFormat="1">
      <c r="A728" s="4" t="s">
        <v>5794</v>
      </c>
      <c r="B728" s="21">
        <f t="shared" si="89"/>
        <v>716</v>
      </c>
      <c r="C728" s="13" t="str">
        <f t="shared" si="88"/>
        <v>J410_疾患開始日</v>
      </c>
      <c r="D728" s="13" t="s">
        <v>6370</v>
      </c>
      <c r="E728" s="8"/>
      <c r="F728" s="7" t="s">
        <v>4348</v>
      </c>
      <c r="G728" s="7" t="s">
        <v>25</v>
      </c>
      <c r="H728" s="58"/>
      <c r="I728" s="23"/>
      <c r="J728" s="24"/>
      <c r="M728" s="4"/>
      <c r="N728" s="76"/>
      <c r="O728" s="76"/>
      <c r="P728" s="76" t="str">
        <f t="shared" si="83"/>
        <v>,shikkan710_start_date</v>
      </c>
      <c r="Q728" s="76" t="str">
        <f t="shared" si="84"/>
        <v>DATE</v>
      </c>
      <c r="R728" s="76" t="str">
        <f t="shared" si="85"/>
        <v/>
      </c>
      <c r="S728" s="76" t="str">
        <f t="shared" si="86"/>
        <v/>
      </c>
      <c r="T728" s="76" t="str">
        <f t="shared" si="87"/>
        <v>-- J410_疾患開始日</v>
      </c>
      <c r="U728" s="4" t="str">
        <f t="shared" si="72"/>
        <v>, CASE WHEN shikkan_disp_name = 'J410' THEN min_shikkan_start_date ::DATE ELSE NULL END AS shikkan710_start_date</v>
      </c>
      <c r="V728" s="25" t="str">
        <f t="shared" si="73"/>
        <v>, max(shikkan710_start_date)</v>
      </c>
      <c r="AA728" s="4"/>
      <c r="AB728" s="4"/>
      <c r="AC728" s="4"/>
      <c r="AD728" s="4"/>
      <c r="AE728" s="4"/>
      <c r="AF728" s="4"/>
      <c r="AG728" s="4"/>
      <c r="AH728" s="4"/>
      <c r="AI728" s="4"/>
      <c r="AJ728" s="76" t="str">
        <f>IF(E728="○",IF(COUNTA(E$13:E728)=1,"",",")&amp;D728,"")</f>
        <v/>
      </c>
      <c r="AK728" s="4"/>
      <c r="AL728" s="4"/>
      <c r="AM728" s="4"/>
      <c r="AN728" s="4"/>
      <c r="AO728" s="4"/>
      <c r="AP728" s="4"/>
      <c r="AQ728" s="4"/>
      <c r="AR728" s="4"/>
      <c r="AS728" s="76" t="str">
        <f>"COMMENT ON COLUMN "&amp;エンティティ一覧!$O$2&amp;"."&amp;D$8&amp;"."&amp;D728&amp;" IS '"&amp;C728&amp;"';"</f>
        <v>COMMENT ON COLUMN milscm_2023_009.sny_202310_annony_non_annony2.shikkan710_start_date IS 'J410_疾患開始日';</v>
      </c>
    </row>
    <row r="729" spans="1:45" s="25" customFormat="1">
      <c r="A729" s="4" t="s">
        <v>5795</v>
      </c>
      <c r="B729" s="21">
        <f t="shared" si="89"/>
        <v>717</v>
      </c>
      <c r="C729" s="13" t="str">
        <f t="shared" si="88"/>
        <v>J411_疾患開始日</v>
      </c>
      <c r="D729" s="13" t="s">
        <v>6371</v>
      </c>
      <c r="E729" s="8"/>
      <c r="F729" s="7" t="s">
        <v>4348</v>
      </c>
      <c r="G729" s="7" t="s">
        <v>25</v>
      </c>
      <c r="H729" s="58"/>
      <c r="I729" s="23"/>
      <c r="J729" s="24"/>
      <c r="M729" s="4"/>
      <c r="N729" s="76"/>
      <c r="O729" s="76"/>
      <c r="P729" s="76" t="str">
        <f t="shared" si="83"/>
        <v>,shikkan711_start_date</v>
      </c>
      <c r="Q729" s="76" t="str">
        <f t="shared" si="84"/>
        <v>DATE</v>
      </c>
      <c r="R729" s="76" t="str">
        <f t="shared" si="85"/>
        <v/>
      </c>
      <c r="S729" s="76" t="str">
        <f t="shared" si="86"/>
        <v/>
      </c>
      <c r="T729" s="76" t="str">
        <f t="shared" si="87"/>
        <v>-- J411_疾患開始日</v>
      </c>
      <c r="U729" s="4" t="str">
        <f t="shared" si="72"/>
        <v>, CASE WHEN shikkan_disp_name = 'J411' THEN min_shikkan_start_date ::DATE ELSE NULL END AS shikkan711_start_date</v>
      </c>
      <c r="V729" s="25" t="str">
        <f t="shared" si="73"/>
        <v>, max(shikkan711_start_date)</v>
      </c>
      <c r="AA729" s="4"/>
      <c r="AB729" s="4"/>
      <c r="AC729" s="4"/>
      <c r="AD729" s="4"/>
      <c r="AE729" s="4"/>
      <c r="AF729" s="4"/>
      <c r="AG729" s="4"/>
      <c r="AH729" s="4"/>
      <c r="AI729" s="4"/>
      <c r="AJ729" s="76" t="str">
        <f>IF(E729="○",IF(COUNTA(E$13:E729)=1,"",",")&amp;D729,"")</f>
        <v/>
      </c>
      <c r="AK729" s="4"/>
      <c r="AL729" s="4"/>
      <c r="AM729" s="4"/>
      <c r="AN729" s="4"/>
      <c r="AO729" s="4"/>
      <c r="AP729" s="4"/>
      <c r="AQ729" s="4"/>
      <c r="AR729" s="4"/>
      <c r="AS729" s="76" t="str">
        <f>"COMMENT ON COLUMN "&amp;エンティティ一覧!$O$2&amp;"."&amp;D$8&amp;"."&amp;D729&amp;" IS '"&amp;C729&amp;"';"</f>
        <v>COMMENT ON COLUMN milscm_2023_009.sny_202310_annony_non_annony2.shikkan711_start_date IS 'J411_疾患開始日';</v>
      </c>
    </row>
    <row r="730" spans="1:45" s="25" customFormat="1">
      <c r="A730" s="4" t="s">
        <v>5796</v>
      </c>
      <c r="B730" s="21">
        <f t="shared" si="89"/>
        <v>718</v>
      </c>
      <c r="C730" s="13" t="str">
        <f t="shared" si="88"/>
        <v>J418_疾患開始日</v>
      </c>
      <c r="D730" s="13" t="s">
        <v>6372</v>
      </c>
      <c r="E730" s="8"/>
      <c r="F730" s="7" t="s">
        <v>4348</v>
      </c>
      <c r="G730" s="7" t="s">
        <v>25</v>
      </c>
      <c r="H730" s="58"/>
      <c r="I730" s="23"/>
      <c r="J730" s="24"/>
      <c r="M730" s="4"/>
      <c r="N730" s="76"/>
      <c r="O730" s="76"/>
      <c r="P730" s="76" t="str">
        <f t="shared" si="83"/>
        <v>,shikkan712_start_date</v>
      </c>
      <c r="Q730" s="76" t="str">
        <f t="shared" si="84"/>
        <v>DATE</v>
      </c>
      <c r="R730" s="76" t="str">
        <f t="shared" si="85"/>
        <v/>
      </c>
      <c r="S730" s="76" t="str">
        <f t="shared" si="86"/>
        <v/>
      </c>
      <c r="T730" s="76" t="str">
        <f t="shared" si="87"/>
        <v>-- J418_疾患開始日</v>
      </c>
      <c r="U730" s="4" t="str">
        <f t="shared" si="72"/>
        <v>, CASE WHEN shikkan_disp_name = 'J418' THEN min_shikkan_start_date ::DATE ELSE NULL END AS shikkan712_start_date</v>
      </c>
      <c r="V730" s="25" t="str">
        <f t="shared" si="73"/>
        <v>, max(shikkan712_start_date)</v>
      </c>
      <c r="AA730" s="4"/>
      <c r="AB730" s="4"/>
      <c r="AC730" s="4"/>
      <c r="AD730" s="4"/>
      <c r="AE730" s="4"/>
      <c r="AF730" s="4"/>
      <c r="AG730" s="4"/>
      <c r="AH730" s="4"/>
      <c r="AI730" s="4"/>
      <c r="AJ730" s="76" t="str">
        <f>IF(E730="○",IF(COUNTA(E$13:E730)=1,"",",")&amp;D730,"")</f>
        <v/>
      </c>
      <c r="AK730" s="4"/>
      <c r="AL730" s="4"/>
      <c r="AM730" s="4"/>
      <c r="AN730" s="4"/>
      <c r="AO730" s="4"/>
      <c r="AP730" s="4"/>
      <c r="AQ730" s="4"/>
      <c r="AR730" s="4"/>
      <c r="AS730" s="76" t="str">
        <f>"COMMENT ON COLUMN "&amp;エンティティ一覧!$O$2&amp;"."&amp;D$8&amp;"."&amp;D730&amp;" IS '"&amp;C730&amp;"';"</f>
        <v>COMMENT ON COLUMN milscm_2023_009.sny_202310_annony_non_annony2.shikkan712_start_date IS 'J418_疾患開始日';</v>
      </c>
    </row>
    <row r="731" spans="1:45" s="25" customFormat="1">
      <c r="A731" s="4" t="s">
        <v>5065</v>
      </c>
      <c r="B731" s="21">
        <f t="shared" si="89"/>
        <v>719</v>
      </c>
      <c r="C731" s="13" t="str">
        <f t="shared" si="88"/>
        <v>J42_疾患開始日</v>
      </c>
      <c r="D731" s="13" t="s">
        <v>6373</v>
      </c>
      <c r="E731" s="8"/>
      <c r="F731" s="7" t="s">
        <v>4348</v>
      </c>
      <c r="G731" s="7" t="s">
        <v>25</v>
      </c>
      <c r="H731" s="58"/>
      <c r="I731" s="23"/>
      <c r="J731" s="24"/>
      <c r="M731" s="4"/>
      <c r="N731" s="76"/>
      <c r="O731" s="76"/>
      <c r="P731" s="76" t="str">
        <f t="shared" si="83"/>
        <v>,shikkan713_start_date</v>
      </c>
      <c r="Q731" s="76" t="str">
        <f t="shared" si="84"/>
        <v>DATE</v>
      </c>
      <c r="R731" s="76" t="str">
        <f t="shared" si="85"/>
        <v/>
      </c>
      <c r="S731" s="76" t="str">
        <f t="shared" si="86"/>
        <v/>
      </c>
      <c r="T731" s="76" t="str">
        <f t="shared" si="87"/>
        <v>-- J42_疾患開始日</v>
      </c>
      <c r="U731" s="4" t="str">
        <f t="shared" si="72"/>
        <v>, CASE WHEN shikkan_disp_name = 'J42' THEN min_shikkan_start_date ::DATE ELSE NULL END AS shikkan713_start_date</v>
      </c>
      <c r="V731" s="25" t="str">
        <f t="shared" si="73"/>
        <v>, max(shikkan713_start_date)</v>
      </c>
      <c r="AA731" s="4"/>
      <c r="AB731" s="4"/>
      <c r="AC731" s="4"/>
      <c r="AD731" s="4"/>
      <c r="AE731" s="4"/>
      <c r="AF731" s="4"/>
      <c r="AG731" s="4"/>
      <c r="AH731" s="4"/>
      <c r="AI731" s="4"/>
      <c r="AJ731" s="76" t="str">
        <f>IF(E731="○",IF(COUNTA(E$13:E731)=1,"",",")&amp;D731,"")</f>
        <v/>
      </c>
      <c r="AK731" s="4"/>
      <c r="AL731" s="4"/>
      <c r="AM731" s="4"/>
      <c r="AN731" s="4"/>
      <c r="AO731" s="4"/>
      <c r="AP731" s="4"/>
      <c r="AQ731" s="4"/>
      <c r="AR731" s="4"/>
      <c r="AS731" s="76" t="str">
        <f>"COMMENT ON COLUMN "&amp;エンティティ一覧!$O$2&amp;"."&amp;D$8&amp;"."&amp;D731&amp;" IS '"&amp;C731&amp;"';"</f>
        <v>COMMENT ON COLUMN milscm_2023_009.sny_202310_annony_non_annony2.shikkan713_start_date IS 'J42_疾患開始日';</v>
      </c>
    </row>
    <row r="732" spans="1:45" s="25" customFormat="1">
      <c r="A732" s="4" t="s">
        <v>5797</v>
      </c>
      <c r="B732" s="21">
        <f t="shared" si="89"/>
        <v>720</v>
      </c>
      <c r="C732" s="13" t="str">
        <f t="shared" si="88"/>
        <v>J430_疾患開始日</v>
      </c>
      <c r="D732" s="13" t="s">
        <v>6374</v>
      </c>
      <c r="E732" s="8"/>
      <c r="F732" s="7" t="s">
        <v>4348</v>
      </c>
      <c r="G732" s="7" t="s">
        <v>25</v>
      </c>
      <c r="H732" s="58"/>
      <c r="I732" s="23"/>
      <c r="J732" s="24"/>
      <c r="M732" s="4"/>
      <c r="N732" s="76"/>
      <c r="O732" s="76"/>
      <c r="P732" s="76" t="str">
        <f t="shared" si="83"/>
        <v>,shikkan714_start_date</v>
      </c>
      <c r="Q732" s="76" t="str">
        <f t="shared" si="84"/>
        <v>DATE</v>
      </c>
      <c r="R732" s="76" t="str">
        <f t="shared" si="85"/>
        <v/>
      </c>
      <c r="S732" s="76" t="str">
        <f t="shared" si="86"/>
        <v/>
      </c>
      <c r="T732" s="76" t="str">
        <f t="shared" si="87"/>
        <v>-- J430_疾患開始日</v>
      </c>
      <c r="U732" s="4" t="str">
        <f t="shared" si="72"/>
        <v>, CASE WHEN shikkan_disp_name = 'J430' THEN min_shikkan_start_date ::DATE ELSE NULL END AS shikkan714_start_date</v>
      </c>
      <c r="V732" s="25" t="str">
        <f t="shared" si="73"/>
        <v>, max(shikkan714_start_date)</v>
      </c>
      <c r="AA732" s="4"/>
      <c r="AB732" s="4"/>
      <c r="AC732" s="4"/>
      <c r="AD732" s="4"/>
      <c r="AE732" s="4"/>
      <c r="AF732" s="4"/>
      <c r="AG732" s="4"/>
      <c r="AH732" s="4"/>
      <c r="AI732" s="4"/>
      <c r="AJ732" s="76" t="str">
        <f>IF(E732="○",IF(COUNTA(E$13:E732)=1,"",",")&amp;D732,"")</f>
        <v/>
      </c>
      <c r="AK732" s="4"/>
      <c r="AL732" s="4"/>
      <c r="AM732" s="4"/>
      <c r="AN732" s="4"/>
      <c r="AO732" s="4"/>
      <c r="AP732" s="4"/>
      <c r="AQ732" s="4"/>
      <c r="AR732" s="4"/>
      <c r="AS732" s="76" t="str">
        <f>"COMMENT ON COLUMN "&amp;エンティティ一覧!$O$2&amp;"."&amp;D$8&amp;"."&amp;D732&amp;" IS '"&amp;C732&amp;"';"</f>
        <v>COMMENT ON COLUMN milscm_2023_009.sny_202310_annony_non_annony2.shikkan714_start_date IS 'J430_疾患開始日';</v>
      </c>
    </row>
    <row r="733" spans="1:45" s="25" customFormat="1">
      <c r="A733" s="4" t="s">
        <v>5798</v>
      </c>
      <c r="B733" s="21">
        <f t="shared" si="89"/>
        <v>721</v>
      </c>
      <c r="C733" s="13" t="str">
        <f t="shared" si="88"/>
        <v>J431_疾患開始日</v>
      </c>
      <c r="D733" s="13" t="s">
        <v>6375</v>
      </c>
      <c r="E733" s="8"/>
      <c r="F733" s="7" t="s">
        <v>4348</v>
      </c>
      <c r="G733" s="7" t="s">
        <v>25</v>
      </c>
      <c r="H733" s="58"/>
      <c r="I733" s="23"/>
      <c r="J733" s="24"/>
      <c r="M733" s="4"/>
      <c r="N733" s="76"/>
      <c r="O733" s="76"/>
      <c r="P733" s="76" t="str">
        <f t="shared" si="83"/>
        <v>,shikkan715_start_date</v>
      </c>
      <c r="Q733" s="76" t="str">
        <f t="shared" si="84"/>
        <v>DATE</v>
      </c>
      <c r="R733" s="76" t="str">
        <f t="shared" si="85"/>
        <v/>
      </c>
      <c r="S733" s="76" t="str">
        <f t="shared" si="86"/>
        <v/>
      </c>
      <c r="T733" s="76" t="str">
        <f t="shared" si="87"/>
        <v>-- J431_疾患開始日</v>
      </c>
      <c r="U733" s="4" t="str">
        <f t="shared" si="72"/>
        <v>, CASE WHEN shikkan_disp_name = 'J431' THEN min_shikkan_start_date ::DATE ELSE NULL END AS shikkan715_start_date</v>
      </c>
      <c r="V733" s="25" t="str">
        <f t="shared" si="73"/>
        <v>, max(shikkan715_start_date)</v>
      </c>
      <c r="AA733" s="4"/>
      <c r="AB733" s="4"/>
      <c r="AC733" s="4"/>
      <c r="AD733" s="4"/>
      <c r="AE733" s="4"/>
      <c r="AF733" s="4"/>
      <c r="AG733" s="4"/>
      <c r="AH733" s="4"/>
      <c r="AI733" s="4"/>
      <c r="AJ733" s="76" t="str">
        <f>IF(E733="○",IF(COUNTA(E$13:E733)=1,"",",")&amp;D733,"")</f>
        <v/>
      </c>
      <c r="AK733" s="4"/>
      <c r="AL733" s="4"/>
      <c r="AM733" s="4"/>
      <c r="AN733" s="4"/>
      <c r="AO733" s="4"/>
      <c r="AP733" s="4"/>
      <c r="AQ733" s="4"/>
      <c r="AR733" s="4"/>
      <c r="AS733" s="76" t="str">
        <f>"COMMENT ON COLUMN "&amp;エンティティ一覧!$O$2&amp;"."&amp;D$8&amp;"."&amp;D733&amp;" IS '"&amp;C733&amp;"';"</f>
        <v>COMMENT ON COLUMN milscm_2023_009.sny_202310_annony_non_annony2.shikkan715_start_date IS 'J431_疾患開始日';</v>
      </c>
    </row>
    <row r="734" spans="1:45" s="25" customFormat="1">
      <c r="A734" s="4" t="s">
        <v>5799</v>
      </c>
      <c r="B734" s="21">
        <f t="shared" si="89"/>
        <v>722</v>
      </c>
      <c r="C734" s="13" t="str">
        <f t="shared" si="88"/>
        <v>J432_疾患開始日</v>
      </c>
      <c r="D734" s="13" t="s">
        <v>6376</v>
      </c>
      <c r="E734" s="8"/>
      <c r="F734" s="7" t="s">
        <v>4348</v>
      </c>
      <c r="G734" s="7" t="s">
        <v>25</v>
      </c>
      <c r="H734" s="58"/>
      <c r="I734" s="23"/>
      <c r="J734" s="24"/>
      <c r="M734" s="4"/>
      <c r="N734" s="76"/>
      <c r="O734" s="76"/>
      <c r="P734" s="76" t="str">
        <f t="shared" si="83"/>
        <v>,shikkan716_start_date</v>
      </c>
      <c r="Q734" s="76" t="str">
        <f t="shared" si="84"/>
        <v>DATE</v>
      </c>
      <c r="R734" s="76" t="str">
        <f t="shared" si="85"/>
        <v/>
      </c>
      <c r="S734" s="76" t="str">
        <f t="shared" si="86"/>
        <v/>
      </c>
      <c r="T734" s="76" t="str">
        <f t="shared" si="87"/>
        <v>-- J432_疾患開始日</v>
      </c>
      <c r="U734" s="4" t="str">
        <f t="shared" si="72"/>
        <v>, CASE WHEN shikkan_disp_name = 'J432' THEN min_shikkan_start_date ::DATE ELSE NULL END AS shikkan716_start_date</v>
      </c>
      <c r="V734" s="25" t="str">
        <f t="shared" si="73"/>
        <v>, max(shikkan716_start_date)</v>
      </c>
      <c r="AA734" s="4"/>
      <c r="AB734" s="4"/>
      <c r="AC734" s="4"/>
      <c r="AD734" s="4"/>
      <c r="AE734" s="4"/>
      <c r="AF734" s="4"/>
      <c r="AG734" s="4"/>
      <c r="AH734" s="4"/>
      <c r="AI734" s="4"/>
      <c r="AJ734" s="76" t="str">
        <f>IF(E734="○",IF(COUNTA(E$13:E734)=1,"",",")&amp;D734,"")</f>
        <v/>
      </c>
      <c r="AK734" s="4"/>
      <c r="AL734" s="4"/>
      <c r="AM734" s="4"/>
      <c r="AN734" s="4"/>
      <c r="AO734" s="4"/>
      <c r="AP734" s="4"/>
      <c r="AQ734" s="4"/>
      <c r="AR734" s="4"/>
      <c r="AS734" s="76" t="str">
        <f>"COMMENT ON COLUMN "&amp;エンティティ一覧!$O$2&amp;"."&amp;D$8&amp;"."&amp;D734&amp;" IS '"&amp;C734&amp;"';"</f>
        <v>COMMENT ON COLUMN milscm_2023_009.sny_202310_annony_non_annony2.shikkan716_start_date IS 'J432_疾患開始日';</v>
      </c>
    </row>
    <row r="735" spans="1:45" s="25" customFormat="1">
      <c r="A735" s="4" t="s">
        <v>5800</v>
      </c>
      <c r="B735" s="21">
        <f t="shared" si="89"/>
        <v>723</v>
      </c>
      <c r="C735" s="13" t="str">
        <f t="shared" si="88"/>
        <v>J438_疾患開始日</v>
      </c>
      <c r="D735" s="13" t="s">
        <v>6377</v>
      </c>
      <c r="E735" s="8"/>
      <c r="F735" s="7" t="s">
        <v>4348</v>
      </c>
      <c r="G735" s="7" t="s">
        <v>25</v>
      </c>
      <c r="H735" s="58"/>
      <c r="I735" s="23"/>
      <c r="J735" s="24"/>
      <c r="M735" s="4"/>
      <c r="N735" s="76"/>
      <c r="O735" s="76"/>
      <c r="P735" s="76" t="str">
        <f t="shared" si="83"/>
        <v>,shikkan717_start_date</v>
      </c>
      <c r="Q735" s="76" t="str">
        <f t="shared" si="84"/>
        <v>DATE</v>
      </c>
      <c r="R735" s="76" t="str">
        <f t="shared" si="85"/>
        <v/>
      </c>
      <c r="S735" s="76" t="str">
        <f t="shared" si="86"/>
        <v/>
      </c>
      <c r="T735" s="76" t="str">
        <f t="shared" si="87"/>
        <v>-- J438_疾患開始日</v>
      </c>
      <c r="U735" s="4" t="str">
        <f t="shared" si="72"/>
        <v>, CASE WHEN shikkan_disp_name = 'J438' THEN min_shikkan_start_date ::DATE ELSE NULL END AS shikkan717_start_date</v>
      </c>
      <c r="V735" s="25" t="str">
        <f t="shared" si="73"/>
        <v>, max(shikkan717_start_date)</v>
      </c>
      <c r="AA735" s="4"/>
      <c r="AB735" s="4"/>
      <c r="AC735" s="4"/>
      <c r="AD735" s="4"/>
      <c r="AE735" s="4"/>
      <c r="AF735" s="4"/>
      <c r="AG735" s="4"/>
      <c r="AH735" s="4"/>
      <c r="AI735" s="4"/>
      <c r="AJ735" s="76" t="str">
        <f>IF(E735="○",IF(COUNTA(E$13:E735)=1,"",",")&amp;D735,"")</f>
        <v/>
      </c>
      <c r="AK735" s="4"/>
      <c r="AL735" s="4"/>
      <c r="AM735" s="4"/>
      <c r="AN735" s="4"/>
      <c r="AO735" s="4"/>
      <c r="AP735" s="4"/>
      <c r="AQ735" s="4"/>
      <c r="AR735" s="4"/>
      <c r="AS735" s="76" t="str">
        <f>"COMMENT ON COLUMN "&amp;エンティティ一覧!$O$2&amp;"."&amp;D$8&amp;"."&amp;D735&amp;" IS '"&amp;C735&amp;"';"</f>
        <v>COMMENT ON COLUMN milscm_2023_009.sny_202310_annony_non_annony2.shikkan717_start_date IS 'J438_疾患開始日';</v>
      </c>
    </row>
    <row r="736" spans="1:45" s="25" customFormat="1">
      <c r="A736" s="4" t="s">
        <v>5801</v>
      </c>
      <c r="B736" s="21">
        <f t="shared" si="89"/>
        <v>724</v>
      </c>
      <c r="C736" s="13" t="str">
        <f t="shared" si="88"/>
        <v>J439_疾患開始日</v>
      </c>
      <c r="D736" s="13" t="s">
        <v>6378</v>
      </c>
      <c r="E736" s="8"/>
      <c r="F736" s="7" t="s">
        <v>4348</v>
      </c>
      <c r="G736" s="7" t="s">
        <v>25</v>
      </c>
      <c r="H736" s="58"/>
      <c r="I736" s="23"/>
      <c r="J736" s="24"/>
      <c r="M736" s="4"/>
      <c r="N736" s="76"/>
      <c r="O736" s="76"/>
      <c r="P736" s="76" t="str">
        <f t="shared" si="83"/>
        <v>,shikkan718_start_date</v>
      </c>
      <c r="Q736" s="76" t="str">
        <f t="shared" si="84"/>
        <v>DATE</v>
      </c>
      <c r="R736" s="76" t="str">
        <f t="shared" si="85"/>
        <v/>
      </c>
      <c r="S736" s="76" t="str">
        <f t="shared" si="86"/>
        <v/>
      </c>
      <c r="T736" s="76" t="str">
        <f t="shared" si="87"/>
        <v>-- J439_疾患開始日</v>
      </c>
      <c r="U736" s="4" t="str">
        <f t="shared" si="72"/>
        <v>, CASE WHEN shikkan_disp_name = 'J439' THEN min_shikkan_start_date ::DATE ELSE NULL END AS shikkan718_start_date</v>
      </c>
      <c r="V736" s="25" t="str">
        <f t="shared" si="73"/>
        <v>, max(shikkan718_start_date)</v>
      </c>
      <c r="AA736" s="4"/>
      <c r="AB736" s="4"/>
      <c r="AC736" s="4"/>
      <c r="AD736" s="4"/>
      <c r="AE736" s="4"/>
      <c r="AF736" s="4"/>
      <c r="AG736" s="4"/>
      <c r="AH736" s="4"/>
      <c r="AI736" s="4"/>
      <c r="AJ736" s="76" t="str">
        <f>IF(E736="○",IF(COUNTA(E$13:E736)=1,"",",")&amp;D736,"")</f>
        <v/>
      </c>
      <c r="AK736" s="4"/>
      <c r="AL736" s="4"/>
      <c r="AM736" s="4"/>
      <c r="AN736" s="4"/>
      <c r="AO736" s="4"/>
      <c r="AP736" s="4"/>
      <c r="AQ736" s="4"/>
      <c r="AR736" s="4"/>
      <c r="AS736" s="76" t="str">
        <f>"COMMENT ON COLUMN "&amp;エンティティ一覧!$O$2&amp;"."&amp;D$8&amp;"."&amp;D736&amp;" IS '"&amp;C736&amp;"';"</f>
        <v>COMMENT ON COLUMN milscm_2023_009.sny_202310_annony_non_annony2.shikkan718_start_date IS 'J439_疾患開始日';</v>
      </c>
    </row>
    <row r="737" spans="1:45" s="25" customFormat="1">
      <c r="A737" s="4" t="s">
        <v>5802</v>
      </c>
      <c r="B737" s="21">
        <f t="shared" si="89"/>
        <v>725</v>
      </c>
      <c r="C737" s="13" t="str">
        <f t="shared" si="88"/>
        <v>J440_疾患開始日</v>
      </c>
      <c r="D737" s="13" t="s">
        <v>6379</v>
      </c>
      <c r="E737" s="8"/>
      <c r="F737" s="7" t="s">
        <v>4348</v>
      </c>
      <c r="G737" s="7" t="s">
        <v>99</v>
      </c>
      <c r="H737" s="58"/>
      <c r="I737" s="23"/>
      <c r="J737" s="24"/>
      <c r="M737" s="4"/>
      <c r="N737" s="76"/>
      <c r="O737" s="76"/>
      <c r="P737" s="76" t="str">
        <f t="shared" si="83"/>
        <v>,shikkan719_start_date</v>
      </c>
      <c r="Q737" s="76" t="str">
        <f t="shared" si="84"/>
        <v>DATE</v>
      </c>
      <c r="R737" s="76" t="str">
        <f t="shared" si="85"/>
        <v/>
      </c>
      <c r="S737" s="76" t="str">
        <f t="shared" si="86"/>
        <v/>
      </c>
      <c r="T737" s="76" t="str">
        <f t="shared" si="87"/>
        <v>-- J440_疾患開始日</v>
      </c>
      <c r="U737" s="4" t="str">
        <f t="shared" si="72"/>
        <v>, CASE WHEN shikkan_disp_name = 'J440' THEN min_shikkan_start_date ::DATE ELSE NULL END AS shikkan719_start_date</v>
      </c>
      <c r="V737" s="25" t="str">
        <f t="shared" si="73"/>
        <v>, max(shikkan719_start_date)</v>
      </c>
      <c r="AA737" s="4"/>
      <c r="AB737" s="4"/>
      <c r="AC737" s="4"/>
      <c r="AD737" s="4"/>
      <c r="AE737" s="4"/>
      <c r="AF737" s="4"/>
      <c r="AG737" s="4"/>
      <c r="AH737" s="4"/>
      <c r="AI737" s="4"/>
      <c r="AJ737" s="76" t="str">
        <f>IF(E737="○",IF(COUNTA(E$13:E737)=1,"",",")&amp;D737,"")</f>
        <v/>
      </c>
      <c r="AK737" s="4"/>
      <c r="AL737" s="4"/>
      <c r="AM737" s="4"/>
      <c r="AN737" s="4"/>
      <c r="AO737" s="4"/>
      <c r="AP737" s="4"/>
      <c r="AQ737" s="4"/>
      <c r="AR737" s="4"/>
      <c r="AS737" s="76" t="str">
        <f>"COMMENT ON COLUMN "&amp;エンティティ一覧!$O$2&amp;"."&amp;D$8&amp;"."&amp;D737&amp;" IS '"&amp;C737&amp;"';"</f>
        <v>COMMENT ON COLUMN milscm_2023_009.sny_202310_annony_non_annony2.shikkan719_start_date IS 'J440_疾患開始日';</v>
      </c>
    </row>
    <row r="738" spans="1:45" s="25" customFormat="1">
      <c r="A738" s="4" t="s">
        <v>5803</v>
      </c>
      <c r="B738" s="21">
        <f t="shared" si="89"/>
        <v>726</v>
      </c>
      <c r="C738" s="13" t="str">
        <f t="shared" si="88"/>
        <v>J441_疾患開始日</v>
      </c>
      <c r="D738" s="13" t="s">
        <v>6380</v>
      </c>
      <c r="E738" s="8"/>
      <c r="F738" s="7" t="s">
        <v>4348</v>
      </c>
      <c r="G738" s="7" t="s">
        <v>25</v>
      </c>
      <c r="H738" s="58"/>
      <c r="I738" s="23"/>
      <c r="J738" s="24"/>
      <c r="M738" s="4"/>
      <c r="N738" s="76"/>
      <c r="O738" s="76"/>
      <c r="P738" s="76" t="str">
        <f t="shared" si="83"/>
        <v>,shikkan720_start_date</v>
      </c>
      <c r="Q738" s="76" t="str">
        <f t="shared" si="84"/>
        <v>DATE</v>
      </c>
      <c r="R738" s="76" t="str">
        <f t="shared" si="85"/>
        <v/>
      </c>
      <c r="S738" s="76" t="str">
        <f t="shared" si="86"/>
        <v/>
      </c>
      <c r="T738" s="76" t="str">
        <f t="shared" si="87"/>
        <v>-- J441_疾患開始日</v>
      </c>
      <c r="U738" s="4" t="str">
        <f t="shared" si="72"/>
        <v>, CASE WHEN shikkan_disp_name = 'J441' THEN min_shikkan_start_date ::DATE ELSE NULL END AS shikkan720_start_date</v>
      </c>
      <c r="V738" s="25" t="str">
        <f t="shared" si="73"/>
        <v>, max(shikkan720_start_date)</v>
      </c>
      <c r="AA738" s="4"/>
      <c r="AB738" s="4"/>
      <c r="AC738" s="4"/>
      <c r="AD738" s="4"/>
      <c r="AE738" s="4"/>
      <c r="AF738" s="4"/>
      <c r="AG738" s="4"/>
      <c r="AH738" s="4"/>
      <c r="AI738" s="4"/>
      <c r="AJ738" s="76" t="str">
        <f>IF(E738="○",IF(COUNTA(E$13:E738)=1,"",",")&amp;D738,"")</f>
        <v/>
      </c>
      <c r="AK738" s="4"/>
      <c r="AL738" s="4"/>
      <c r="AM738" s="4"/>
      <c r="AN738" s="4"/>
      <c r="AO738" s="4"/>
      <c r="AP738" s="4"/>
      <c r="AQ738" s="4"/>
      <c r="AR738" s="4"/>
      <c r="AS738" s="76" t="str">
        <f>"COMMENT ON COLUMN "&amp;エンティティ一覧!$O$2&amp;"."&amp;D$8&amp;"."&amp;D738&amp;" IS '"&amp;C738&amp;"';"</f>
        <v>COMMENT ON COLUMN milscm_2023_009.sny_202310_annony_non_annony2.shikkan720_start_date IS 'J441_疾患開始日';</v>
      </c>
    </row>
    <row r="739" spans="1:45" s="25" customFormat="1">
      <c r="A739" s="4" t="s">
        <v>5804</v>
      </c>
      <c r="B739" s="21">
        <f t="shared" si="89"/>
        <v>727</v>
      </c>
      <c r="C739" s="13" t="str">
        <f t="shared" si="88"/>
        <v>J448_疾患開始日</v>
      </c>
      <c r="D739" s="13" t="s">
        <v>6381</v>
      </c>
      <c r="E739" s="8"/>
      <c r="F739" s="7" t="s">
        <v>4348</v>
      </c>
      <c r="G739" s="7" t="s">
        <v>25</v>
      </c>
      <c r="H739" s="58"/>
      <c r="I739" s="23"/>
      <c r="J739" s="24"/>
      <c r="M739" s="4"/>
      <c r="N739" s="76"/>
      <c r="O739" s="76"/>
      <c r="P739" s="76" t="str">
        <f t="shared" si="83"/>
        <v>,shikkan721_start_date</v>
      </c>
      <c r="Q739" s="76" t="str">
        <f t="shared" si="84"/>
        <v>DATE</v>
      </c>
      <c r="R739" s="76" t="str">
        <f t="shared" si="85"/>
        <v/>
      </c>
      <c r="S739" s="76" t="str">
        <f t="shared" si="86"/>
        <v/>
      </c>
      <c r="T739" s="76" t="str">
        <f t="shared" si="87"/>
        <v>-- J448_疾患開始日</v>
      </c>
      <c r="U739" s="4" t="str">
        <f t="shared" si="72"/>
        <v>, CASE WHEN shikkan_disp_name = 'J448' THEN min_shikkan_start_date ::DATE ELSE NULL END AS shikkan721_start_date</v>
      </c>
      <c r="V739" s="25" t="str">
        <f t="shared" si="73"/>
        <v>, max(shikkan721_start_date)</v>
      </c>
      <c r="AA739" s="4"/>
      <c r="AB739" s="4"/>
      <c r="AC739" s="4"/>
      <c r="AD739" s="4"/>
      <c r="AE739" s="4"/>
      <c r="AF739" s="4"/>
      <c r="AG739" s="4"/>
      <c r="AH739" s="4"/>
      <c r="AI739" s="4"/>
      <c r="AJ739" s="76" t="str">
        <f>IF(E739="○",IF(COUNTA(E$13:E739)=1,"",",")&amp;D739,"")</f>
        <v/>
      </c>
      <c r="AK739" s="4"/>
      <c r="AL739" s="4"/>
      <c r="AM739" s="4"/>
      <c r="AN739" s="4"/>
      <c r="AO739" s="4"/>
      <c r="AP739" s="4"/>
      <c r="AQ739" s="4"/>
      <c r="AR739" s="4"/>
      <c r="AS739" s="76" t="str">
        <f>"COMMENT ON COLUMN "&amp;エンティティ一覧!$O$2&amp;"."&amp;D$8&amp;"."&amp;D739&amp;" IS '"&amp;C739&amp;"';"</f>
        <v>COMMENT ON COLUMN milscm_2023_009.sny_202310_annony_non_annony2.shikkan721_start_date IS 'J448_疾患開始日';</v>
      </c>
    </row>
    <row r="740" spans="1:45" s="25" customFormat="1">
      <c r="A740" s="4" t="s">
        <v>5805</v>
      </c>
      <c r="B740" s="21">
        <f t="shared" si="89"/>
        <v>728</v>
      </c>
      <c r="C740" s="13" t="str">
        <f t="shared" si="88"/>
        <v>J449_疾患開始日</v>
      </c>
      <c r="D740" s="13" t="s">
        <v>6382</v>
      </c>
      <c r="E740" s="8"/>
      <c r="F740" s="7" t="s">
        <v>4348</v>
      </c>
      <c r="G740" s="7" t="s">
        <v>25</v>
      </c>
      <c r="H740" s="58"/>
      <c r="I740" s="23"/>
      <c r="J740" s="24"/>
      <c r="M740" s="4"/>
      <c r="N740" s="76"/>
      <c r="O740" s="76"/>
      <c r="P740" s="76" t="str">
        <f t="shared" si="83"/>
        <v>,shikkan722_start_date</v>
      </c>
      <c r="Q740" s="76" t="str">
        <f t="shared" si="84"/>
        <v>DATE</v>
      </c>
      <c r="R740" s="76" t="str">
        <f t="shared" si="85"/>
        <v/>
      </c>
      <c r="S740" s="76" t="str">
        <f t="shared" si="86"/>
        <v/>
      </c>
      <c r="T740" s="76" t="str">
        <f t="shared" si="87"/>
        <v>-- J449_疾患開始日</v>
      </c>
      <c r="U740" s="4" t="str">
        <f t="shared" si="72"/>
        <v>, CASE WHEN shikkan_disp_name = 'J449' THEN min_shikkan_start_date ::DATE ELSE NULL END AS shikkan722_start_date</v>
      </c>
      <c r="V740" s="25" t="str">
        <f t="shared" si="73"/>
        <v>, max(shikkan722_start_date)</v>
      </c>
      <c r="AA740" s="4"/>
      <c r="AB740" s="4"/>
      <c r="AC740" s="4"/>
      <c r="AD740" s="4"/>
      <c r="AE740" s="4"/>
      <c r="AF740" s="4"/>
      <c r="AG740" s="4"/>
      <c r="AH740" s="4"/>
      <c r="AI740" s="4"/>
      <c r="AJ740" s="76" t="str">
        <f>IF(E740="○",IF(COUNTA(E$13:E740)=1,"",",")&amp;D740,"")</f>
        <v/>
      </c>
      <c r="AK740" s="4"/>
      <c r="AL740" s="4"/>
      <c r="AM740" s="4"/>
      <c r="AN740" s="4"/>
      <c r="AO740" s="4"/>
      <c r="AP740" s="4"/>
      <c r="AQ740" s="4"/>
      <c r="AR740" s="4"/>
      <c r="AS740" s="76" t="str">
        <f>"COMMENT ON COLUMN "&amp;エンティティ一覧!$O$2&amp;"."&amp;D$8&amp;"."&amp;D740&amp;" IS '"&amp;C740&amp;"';"</f>
        <v>COMMENT ON COLUMN milscm_2023_009.sny_202310_annony_non_annony2.shikkan722_start_date IS 'J449_疾患開始日';</v>
      </c>
    </row>
    <row r="741" spans="1:45" s="25" customFormat="1">
      <c r="A741" s="4" t="s">
        <v>5806</v>
      </c>
      <c r="B741" s="21">
        <f t="shared" si="89"/>
        <v>729</v>
      </c>
      <c r="C741" s="13" t="str">
        <f t="shared" si="88"/>
        <v>J450_疾患開始日</v>
      </c>
      <c r="D741" s="13" t="s">
        <v>6383</v>
      </c>
      <c r="E741" s="8"/>
      <c r="F741" s="7" t="s">
        <v>4348</v>
      </c>
      <c r="G741" s="7" t="s">
        <v>25</v>
      </c>
      <c r="H741" s="58"/>
      <c r="I741" s="23"/>
      <c r="J741" s="24"/>
      <c r="M741" s="4"/>
      <c r="N741" s="76"/>
      <c r="O741" s="76"/>
      <c r="P741" s="76" t="str">
        <f t="shared" si="83"/>
        <v>,shikkan723_start_date</v>
      </c>
      <c r="Q741" s="76" t="str">
        <f t="shared" si="84"/>
        <v>DATE</v>
      </c>
      <c r="R741" s="76" t="str">
        <f t="shared" si="85"/>
        <v/>
      </c>
      <c r="S741" s="76" t="str">
        <f t="shared" si="86"/>
        <v/>
      </c>
      <c r="T741" s="76" t="str">
        <f t="shared" si="87"/>
        <v>-- J450_疾患開始日</v>
      </c>
      <c r="U741" s="4" t="str">
        <f t="shared" si="72"/>
        <v>, CASE WHEN shikkan_disp_name = 'J450' THEN min_shikkan_start_date ::DATE ELSE NULL END AS shikkan723_start_date</v>
      </c>
      <c r="V741" s="25" t="str">
        <f t="shared" si="73"/>
        <v>, max(shikkan723_start_date)</v>
      </c>
      <c r="AA741" s="4"/>
      <c r="AB741" s="4"/>
      <c r="AC741" s="4"/>
      <c r="AD741" s="4"/>
      <c r="AE741" s="4"/>
      <c r="AF741" s="4"/>
      <c r="AG741" s="4"/>
      <c r="AH741" s="4"/>
      <c r="AI741" s="4"/>
      <c r="AJ741" s="76" t="str">
        <f>IF(E741="○",IF(COUNTA(E$13:E741)=1,"",",")&amp;D741,"")</f>
        <v/>
      </c>
      <c r="AK741" s="4"/>
      <c r="AL741" s="4"/>
      <c r="AM741" s="4"/>
      <c r="AN741" s="4"/>
      <c r="AO741" s="4"/>
      <c r="AP741" s="4"/>
      <c r="AQ741" s="4"/>
      <c r="AR741" s="4"/>
      <c r="AS741" s="76" t="str">
        <f>"COMMENT ON COLUMN "&amp;エンティティ一覧!$O$2&amp;"."&amp;D$8&amp;"."&amp;D741&amp;" IS '"&amp;C741&amp;"';"</f>
        <v>COMMENT ON COLUMN milscm_2023_009.sny_202310_annony_non_annony2.shikkan723_start_date IS 'J450_疾患開始日';</v>
      </c>
    </row>
    <row r="742" spans="1:45" s="25" customFormat="1">
      <c r="A742" s="4" t="s">
        <v>5807</v>
      </c>
      <c r="B742" s="21">
        <f t="shared" si="89"/>
        <v>730</v>
      </c>
      <c r="C742" s="13" t="str">
        <f t="shared" si="88"/>
        <v>J451_疾患開始日</v>
      </c>
      <c r="D742" s="13" t="s">
        <v>6384</v>
      </c>
      <c r="E742" s="8"/>
      <c r="F742" s="7" t="s">
        <v>4348</v>
      </c>
      <c r="G742" s="7" t="s">
        <v>25</v>
      </c>
      <c r="H742" s="58"/>
      <c r="I742" s="23"/>
      <c r="J742" s="24"/>
      <c r="M742" s="4"/>
      <c r="N742" s="76"/>
      <c r="O742" s="76"/>
      <c r="P742" s="76" t="str">
        <f t="shared" si="83"/>
        <v>,shikkan724_start_date</v>
      </c>
      <c r="Q742" s="76" t="str">
        <f t="shared" si="84"/>
        <v>DATE</v>
      </c>
      <c r="R742" s="76" t="str">
        <f t="shared" si="85"/>
        <v/>
      </c>
      <c r="S742" s="76" t="str">
        <f t="shared" si="86"/>
        <v/>
      </c>
      <c r="T742" s="76" t="str">
        <f t="shared" si="87"/>
        <v>-- J451_疾患開始日</v>
      </c>
      <c r="U742" s="4" t="str">
        <f t="shared" si="72"/>
        <v>, CASE WHEN shikkan_disp_name = 'J451' THEN min_shikkan_start_date ::DATE ELSE NULL END AS shikkan724_start_date</v>
      </c>
      <c r="V742" s="25" t="str">
        <f t="shared" si="73"/>
        <v>, max(shikkan724_start_date)</v>
      </c>
      <c r="AA742" s="4"/>
      <c r="AB742" s="4"/>
      <c r="AC742" s="4"/>
      <c r="AD742" s="4"/>
      <c r="AE742" s="4"/>
      <c r="AF742" s="4"/>
      <c r="AG742" s="4"/>
      <c r="AH742" s="4"/>
      <c r="AI742" s="4"/>
      <c r="AJ742" s="76" t="str">
        <f>IF(E742="○",IF(COUNTA(E$13:E742)=1,"",",")&amp;D742,"")</f>
        <v/>
      </c>
      <c r="AK742" s="4"/>
      <c r="AL742" s="4"/>
      <c r="AM742" s="4"/>
      <c r="AN742" s="4"/>
      <c r="AO742" s="4"/>
      <c r="AP742" s="4"/>
      <c r="AQ742" s="4"/>
      <c r="AR742" s="4"/>
      <c r="AS742" s="76" t="str">
        <f>"COMMENT ON COLUMN "&amp;エンティティ一覧!$O$2&amp;"."&amp;D$8&amp;"."&amp;D742&amp;" IS '"&amp;C742&amp;"';"</f>
        <v>COMMENT ON COLUMN milscm_2023_009.sny_202310_annony_non_annony2.shikkan724_start_date IS 'J451_疾患開始日';</v>
      </c>
    </row>
    <row r="743" spans="1:45" s="25" customFormat="1">
      <c r="A743" s="4" t="s">
        <v>5808</v>
      </c>
      <c r="B743" s="21">
        <f t="shared" si="89"/>
        <v>731</v>
      </c>
      <c r="C743" s="13" t="str">
        <f t="shared" si="88"/>
        <v>J458_疾患開始日</v>
      </c>
      <c r="D743" s="13" t="s">
        <v>6385</v>
      </c>
      <c r="E743" s="8"/>
      <c r="F743" s="7" t="s">
        <v>4348</v>
      </c>
      <c r="G743" s="7" t="s">
        <v>25</v>
      </c>
      <c r="H743" s="58"/>
      <c r="I743" s="23"/>
      <c r="J743" s="24"/>
      <c r="M743" s="4"/>
      <c r="N743" s="76"/>
      <c r="O743" s="76"/>
      <c r="P743" s="76" t="str">
        <f t="shared" si="83"/>
        <v>,shikkan725_start_date</v>
      </c>
      <c r="Q743" s="76" t="str">
        <f t="shared" si="84"/>
        <v>DATE</v>
      </c>
      <c r="R743" s="76" t="str">
        <f t="shared" si="85"/>
        <v/>
      </c>
      <c r="S743" s="76" t="str">
        <f t="shared" si="86"/>
        <v/>
      </c>
      <c r="T743" s="76" t="str">
        <f t="shared" si="87"/>
        <v>-- J458_疾患開始日</v>
      </c>
      <c r="U743" s="4" t="str">
        <f t="shared" si="72"/>
        <v>, CASE WHEN shikkan_disp_name = 'J458' THEN min_shikkan_start_date ::DATE ELSE NULL END AS shikkan725_start_date</v>
      </c>
      <c r="V743" s="25" t="str">
        <f t="shared" si="73"/>
        <v>, max(shikkan725_start_date)</v>
      </c>
      <c r="AA743" s="4"/>
      <c r="AB743" s="4"/>
      <c r="AC743" s="4"/>
      <c r="AD743" s="4"/>
      <c r="AE743" s="4"/>
      <c r="AF743" s="4"/>
      <c r="AG743" s="4"/>
      <c r="AH743" s="4"/>
      <c r="AI743" s="4"/>
      <c r="AJ743" s="76" t="str">
        <f>IF(E743="○",IF(COUNTA(E$13:E743)=1,"",",")&amp;D743,"")</f>
        <v/>
      </c>
      <c r="AK743" s="4"/>
      <c r="AL743" s="4"/>
      <c r="AM743" s="4"/>
      <c r="AN743" s="4"/>
      <c r="AO743" s="4"/>
      <c r="AP743" s="4"/>
      <c r="AQ743" s="4"/>
      <c r="AR743" s="4"/>
      <c r="AS743" s="76" t="str">
        <f>"COMMENT ON COLUMN "&amp;エンティティ一覧!$O$2&amp;"."&amp;D$8&amp;"."&amp;D743&amp;" IS '"&amp;C743&amp;"';"</f>
        <v>COMMENT ON COLUMN milscm_2023_009.sny_202310_annony_non_annony2.shikkan725_start_date IS 'J458_疾患開始日';</v>
      </c>
    </row>
    <row r="744" spans="1:45" s="25" customFormat="1">
      <c r="A744" s="4" t="s">
        <v>5809</v>
      </c>
      <c r="B744" s="21">
        <f t="shared" si="89"/>
        <v>732</v>
      </c>
      <c r="C744" s="13" t="str">
        <f t="shared" si="88"/>
        <v>J459_疾患開始日</v>
      </c>
      <c r="D744" s="13" t="s">
        <v>6386</v>
      </c>
      <c r="E744" s="8"/>
      <c r="F744" s="7" t="s">
        <v>4348</v>
      </c>
      <c r="G744" s="7" t="s">
        <v>25</v>
      </c>
      <c r="H744" s="58"/>
      <c r="I744" s="23"/>
      <c r="J744" s="24"/>
      <c r="M744" s="4"/>
      <c r="N744" s="76"/>
      <c r="O744" s="76"/>
      <c r="P744" s="76" t="str">
        <f t="shared" si="83"/>
        <v>,shikkan726_start_date</v>
      </c>
      <c r="Q744" s="76" t="str">
        <f t="shared" si="84"/>
        <v>DATE</v>
      </c>
      <c r="R744" s="76" t="str">
        <f t="shared" si="85"/>
        <v/>
      </c>
      <c r="S744" s="76" t="str">
        <f t="shared" si="86"/>
        <v/>
      </c>
      <c r="T744" s="76" t="str">
        <f t="shared" si="87"/>
        <v>-- J459_疾患開始日</v>
      </c>
      <c r="U744" s="4" t="str">
        <f t="shared" si="72"/>
        <v>, CASE WHEN shikkan_disp_name = 'J459' THEN min_shikkan_start_date ::DATE ELSE NULL END AS shikkan726_start_date</v>
      </c>
      <c r="V744" s="25" t="str">
        <f t="shared" si="73"/>
        <v>, max(shikkan726_start_date)</v>
      </c>
      <c r="AA744" s="4"/>
      <c r="AB744" s="4"/>
      <c r="AC744" s="4"/>
      <c r="AD744" s="4"/>
      <c r="AE744" s="4"/>
      <c r="AF744" s="4"/>
      <c r="AG744" s="4"/>
      <c r="AH744" s="4"/>
      <c r="AI744" s="4"/>
      <c r="AJ744" s="76" t="str">
        <f>IF(E744="○",IF(COUNTA(E$13:E744)=1,"",",")&amp;D744,"")</f>
        <v/>
      </c>
      <c r="AK744" s="4"/>
      <c r="AL744" s="4"/>
      <c r="AM744" s="4"/>
      <c r="AN744" s="4"/>
      <c r="AO744" s="4"/>
      <c r="AP744" s="4"/>
      <c r="AQ744" s="4"/>
      <c r="AR744" s="4"/>
      <c r="AS744" s="76" t="str">
        <f>"COMMENT ON COLUMN "&amp;エンティティ一覧!$O$2&amp;"."&amp;D$8&amp;"."&amp;D744&amp;" IS '"&amp;C744&amp;"';"</f>
        <v>COMMENT ON COLUMN milscm_2023_009.sny_202310_annony_non_annony2.shikkan726_start_date IS 'J459_疾患開始日';</v>
      </c>
    </row>
    <row r="745" spans="1:45" s="25" customFormat="1">
      <c r="A745" s="4" t="s">
        <v>5066</v>
      </c>
      <c r="B745" s="21">
        <f t="shared" si="89"/>
        <v>733</v>
      </c>
      <c r="C745" s="13" t="str">
        <f t="shared" si="88"/>
        <v>J46_疾患開始日</v>
      </c>
      <c r="D745" s="13" t="s">
        <v>6387</v>
      </c>
      <c r="E745" s="8"/>
      <c r="F745" s="7" t="s">
        <v>4348</v>
      </c>
      <c r="G745" s="7" t="s">
        <v>25</v>
      </c>
      <c r="H745" s="58"/>
      <c r="I745" s="23"/>
      <c r="J745" s="24"/>
      <c r="M745" s="4"/>
      <c r="N745" s="76"/>
      <c r="O745" s="76"/>
      <c r="P745" s="76" t="str">
        <f t="shared" si="83"/>
        <v>,shikkan727_start_date</v>
      </c>
      <c r="Q745" s="76" t="str">
        <f t="shared" si="84"/>
        <v>DATE</v>
      </c>
      <c r="R745" s="76" t="str">
        <f t="shared" si="85"/>
        <v/>
      </c>
      <c r="S745" s="76" t="str">
        <f t="shared" si="86"/>
        <v/>
      </c>
      <c r="T745" s="76" t="str">
        <f t="shared" si="87"/>
        <v>-- J46_疾患開始日</v>
      </c>
      <c r="U745" s="4" t="str">
        <f t="shared" si="72"/>
        <v>, CASE WHEN shikkan_disp_name = 'J46' THEN min_shikkan_start_date ::DATE ELSE NULL END AS shikkan727_start_date</v>
      </c>
      <c r="V745" s="25" t="str">
        <f t="shared" si="73"/>
        <v>, max(shikkan727_start_date)</v>
      </c>
      <c r="AA745" s="4"/>
      <c r="AB745" s="4"/>
      <c r="AC745" s="4"/>
      <c r="AD745" s="4"/>
      <c r="AE745" s="4"/>
      <c r="AF745" s="4"/>
      <c r="AG745" s="4"/>
      <c r="AH745" s="4"/>
      <c r="AI745" s="4"/>
      <c r="AJ745" s="76" t="str">
        <f>IF(E745="○",IF(COUNTA(E$13:E745)=1,"",",")&amp;D745,"")</f>
        <v/>
      </c>
      <c r="AK745" s="4"/>
      <c r="AL745" s="4"/>
      <c r="AM745" s="4"/>
      <c r="AN745" s="4"/>
      <c r="AO745" s="4"/>
      <c r="AP745" s="4"/>
      <c r="AQ745" s="4"/>
      <c r="AR745" s="4"/>
      <c r="AS745" s="76" t="str">
        <f>"COMMENT ON COLUMN "&amp;エンティティ一覧!$O$2&amp;"."&amp;D$8&amp;"."&amp;D745&amp;" IS '"&amp;C745&amp;"';"</f>
        <v>COMMENT ON COLUMN milscm_2023_009.sny_202310_annony_non_annony2.shikkan727_start_date IS 'J46_疾患開始日';</v>
      </c>
    </row>
    <row r="746" spans="1:45" s="25" customFormat="1">
      <c r="A746" s="4" t="s">
        <v>5067</v>
      </c>
      <c r="B746" s="21">
        <f t="shared" si="89"/>
        <v>734</v>
      </c>
      <c r="C746" s="13" t="str">
        <f t="shared" si="88"/>
        <v>J47_疾患開始日</v>
      </c>
      <c r="D746" s="13" t="s">
        <v>6388</v>
      </c>
      <c r="E746" s="8"/>
      <c r="F746" s="7" t="s">
        <v>4348</v>
      </c>
      <c r="G746" s="7" t="s">
        <v>25</v>
      </c>
      <c r="H746" s="58"/>
      <c r="I746" s="23"/>
      <c r="J746" s="24"/>
      <c r="M746" s="4"/>
      <c r="N746" s="76"/>
      <c r="O746" s="76"/>
      <c r="P746" s="76" t="str">
        <f t="shared" si="83"/>
        <v>,shikkan728_start_date</v>
      </c>
      <c r="Q746" s="76" t="str">
        <f t="shared" si="84"/>
        <v>DATE</v>
      </c>
      <c r="R746" s="76" t="str">
        <f t="shared" si="85"/>
        <v/>
      </c>
      <c r="S746" s="76" t="str">
        <f t="shared" si="86"/>
        <v/>
      </c>
      <c r="T746" s="76" t="str">
        <f t="shared" si="87"/>
        <v>-- J47_疾患開始日</v>
      </c>
      <c r="U746" s="4" t="str">
        <f t="shared" si="72"/>
        <v>, CASE WHEN shikkan_disp_name = 'J47' THEN min_shikkan_start_date ::DATE ELSE NULL END AS shikkan728_start_date</v>
      </c>
      <c r="V746" s="25" t="str">
        <f t="shared" si="73"/>
        <v>, max(shikkan728_start_date)</v>
      </c>
      <c r="AA746" s="4"/>
      <c r="AB746" s="4"/>
      <c r="AC746" s="4"/>
      <c r="AD746" s="4"/>
      <c r="AE746" s="4"/>
      <c r="AF746" s="4"/>
      <c r="AG746" s="4"/>
      <c r="AH746" s="4"/>
      <c r="AI746" s="4"/>
      <c r="AJ746" s="76" t="str">
        <f>IF(E746="○",IF(COUNTA(E$13:E746)=1,"",",")&amp;D746,"")</f>
        <v/>
      </c>
      <c r="AK746" s="4"/>
      <c r="AL746" s="4"/>
      <c r="AM746" s="4"/>
      <c r="AN746" s="4"/>
      <c r="AO746" s="4"/>
      <c r="AP746" s="4"/>
      <c r="AQ746" s="4"/>
      <c r="AR746" s="4"/>
      <c r="AS746" s="76" t="str">
        <f>"COMMENT ON COLUMN "&amp;エンティティ一覧!$O$2&amp;"."&amp;D$8&amp;"."&amp;D746&amp;" IS '"&amp;C746&amp;"';"</f>
        <v>COMMENT ON COLUMN milscm_2023_009.sny_202310_annony_non_annony2.shikkan728_start_date IS 'J47_疾患開始日';</v>
      </c>
    </row>
    <row r="747" spans="1:45" s="25" customFormat="1">
      <c r="A747" s="4" t="s">
        <v>5068</v>
      </c>
      <c r="B747" s="21">
        <f t="shared" si="89"/>
        <v>735</v>
      </c>
      <c r="C747" s="13" t="str">
        <f t="shared" si="88"/>
        <v>J60_疾患開始日</v>
      </c>
      <c r="D747" s="13" t="s">
        <v>6389</v>
      </c>
      <c r="E747" s="8"/>
      <c r="F747" s="7" t="s">
        <v>4348</v>
      </c>
      <c r="G747" s="7" t="s">
        <v>25</v>
      </c>
      <c r="H747" s="58"/>
      <c r="I747" s="23"/>
      <c r="J747" s="24"/>
      <c r="M747" s="4"/>
      <c r="N747" s="76"/>
      <c r="O747" s="76"/>
      <c r="P747" s="76" t="str">
        <f t="shared" si="83"/>
        <v>,shikkan729_start_date</v>
      </c>
      <c r="Q747" s="76" t="str">
        <f t="shared" si="84"/>
        <v>DATE</v>
      </c>
      <c r="R747" s="76" t="str">
        <f t="shared" si="85"/>
        <v/>
      </c>
      <c r="S747" s="76" t="str">
        <f t="shared" si="86"/>
        <v/>
      </c>
      <c r="T747" s="76" t="str">
        <f t="shared" si="87"/>
        <v>-- J60_疾患開始日</v>
      </c>
      <c r="U747" s="4" t="str">
        <f t="shared" si="72"/>
        <v>, CASE WHEN shikkan_disp_name = 'J60' THEN min_shikkan_start_date ::DATE ELSE NULL END AS shikkan729_start_date</v>
      </c>
      <c r="V747" s="25" t="str">
        <f t="shared" si="73"/>
        <v>, max(shikkan729_start_date)</v>
      </c>
      <c r="AA747" s="4"/>
      <c r="AB747" s="4"/>
      <c r="AC747" s="4"/>
      <c r="AD747" s="4"/>
      <c r="AE747" s="4"/>
      <c r="AF747" s="4"/>
      <c r="AG747" s="4"/>
      <c r="AH747" s="4"/>
      <c r="AI747" s="4"/>
      <c r="AJ747" s="76" t="str">
        <f>IF(E747="○",IF(COUNTA(E$13:E747)=1,"",",")&amp;D747,"")</f>
        <v/>
      </c>
      <c r="AK747" s="4"/>
      <c r="AL747" s="4"/>
      <c r="AM747" s="4"/>
      <c r="AN747" s="4"/>
      <c r="AO747" s="4"/>
      <c r="AP747" s="4"/>
      <c r="AQ747" s="4"/>
      <c r="AR747" s="4"/>
      <c r="AS747" s="76" t="str">
        <f>"COMMENT ON COLUMN "&amp;エンティティ一覧!$O$2&amp;"."&amp;D$8&amp;"."&amp;D747&amp;" IS '"&amp;C747&amp;"';"</f>
        <v>COMMENT ON COLUMN milscm_2023_009.sny_202310_annony_non_annony2.shikkan729_start_date IS 'J60_疾患開始日';</v>
      </c>
    </row>
    <row r="748" spans="1:45" s="25" customFormat="1">
      <c r="A748" s="4" t="s">
        <v>5069</v>
      </c>
      <c r="B748" s="21">
        <f t="shared" si="89"/>
        <v>736</v>
      </c>
      <c r="C748" s="13" t="str">
        <f t="shared" si="88"/>
        <v>J61_疾患開始日</v>
      </c>
      <c r="D748" s="13" t="s">
        <v>6390</v>
      </c>
      <c r="E748" s="8"/>
      <c r="F748" s="7" t="s">
        <v>4348</v>
      </c>
      <c r="G748" s="7" t="s">
        <v>25</v>
      </c>
      <c r="H748" s="58"/>
      <c r="I748" s="23"/>
      <c r="J748" s="24"/>
      <c r="M748" s="4"/>
      <c r="N748" s="76"/>
      <c r="O748" s="76"/>
      <c r="P748" s="76" t="str">
        <f t="shared" si="83"/>
        <v>,shikkan730_start_date</v>
      </c>
      <c r="Q748" s="76" t="str">
        <f t="shared" si="84"/>
        <v>DATE</v>
      </c>
      <c r="R748" s="76" t="str">
        <f t="shared" si="85"/>
        <v/>
      </c>
      <c r="S748" s="76" t="str">
        <f t="shared" si="86"/>
        <v/>
      </c>
      <c r="T748" s="76" t="str">
        <f t="shared" si="87"/>
        <v>-- J61_疾患開始日</v>
      </c>
      <c r="U748" s="4" t="str">
        <f t="shared" si="72"/>
        <v>, CASE WHEN shikkan_disp_name = 'J61' THEN min_shikkan_start_date ::DATE ELSE NULL END AS shikkan730_start_date</v>
      </c>
      <c r="V748" s="25" t="str">
        <f t="shared" si="73"/>
        <v>, max(shikkan730_start_date)</v>
      </c>
      <c r="AA748" s="4"/>
      <c r="AB748" s="4"/>
      <c r="AC748" s="4"/>
      <c r="AD748" s="4"/>
      <c r="AE748" s="4"/>
      <c r="AF748" s="4"/>
      <c r="AG748" s="4"/>
      <c r="AH748" s="4"/>
      <c r="AI748" s="4"/>
      <c r="AJ748" s="76" t="str">
        <f>IF(E748="○",IF(COUNTA(E$13:E748)=1,"",",")&amp;D748,"")</f>
        <v/>
      </c>
      <c r="AK748" s="4"/>
      <c r="AL748" s="4"/>
      <c r="AM748" s="4"/>
      <c r="AN748" s="4"/>
      <c r="AO748" s="4"/>
      <c r="AP748" s="4"/>
      <c r="AQ748" s="4"/>
      <c r="AR748" s="4"/>
      <c r="AS748" s="76" t="str">
        <f>"COMMENT ON COLUMN "&amp;エンティティ一覧!$O$2&amp;"."&amp;D$8&amp;"."&amp;D748&amp;" IS '"&amp;C748&amp;"';"</f>
        <v>COMMENT ON COLUMN milscm_2023_009.sny_202310_annony_non_annony2.shikkan730_start_date IS 'J61_疾患開始日';</v>
      </c>
    </row>
    <row r="749" spans="1:45" s="25" customFormat="1">
      <c r="A749" s="4" t="s">
        <v>5810</v>
      </c>
      <c r="B749" s="21">
        <f t="shared" si="89"/>
        <v>737</v>
      </c>
      <c r="C749" s="13" t="str">
        <f t="shared" si="88"/>
        <v>J620_疾患開始日</v>
      </c>
      <c r="D749" s="13" t="s">
        <v>6391</v>
      </c>
      <c r="E749" s="8"/>
      <c r="F749" s="7" t="s">
        <v>4348</v>
      </c>
      <c r="G749" s="7" t="s">
        <v>25</v>
      </c>
      <c r="H749" s="58"/>
      <c r="I749" s="23"/>
      <c r="J749" s="24"/>
      <c r="M749" s="4"/>
      <c r="N749" s="76"/>
      <c r="O749" s="76"/>
      <c r="P749" s="76" t="str">
        <f t="shared" si="83"/>
        <v>,shikkan731_start_date</v>
      </c>
      <c r="Q749" s="76" t="str">
        <f t="shared" si="84"/>
        <v>DATE</v>
      </c>
      <c r="R749" s="76" t="str">
        <f t="shared" si="85"/>
        <v/>
      </c>
      <c r="S749" s="76" t="str">
        <f t="shared" si="86"/>
        <v/>
      </c>
      <c r="T749" s="76" t="str">
        <f t="shared" si="87"/>
        <v>-- J620_疾患開始日</v>
      </c>
      <c r="U749" s="4" t="str">
        <f t="shared" si="72"/>
        <v>, CASE WHEN shikkan_disp_name = 'J620' THEN min_shikkan_start_date ::DATE ELSE NULL END AS shikkan731_start_date</v>
      </c>
      <c r="V749" s="25" t="str">
        <f t="shared" si="73"/>
        <v>, max(shikkan731_start_date)</v>
      </c>
      <c r="AA749" s="4"/>
      <c r="AB749" s="4"/>
      <c r="AC749" s="4"/>
      <c r="AD749" s="4"/>
      <c r="AE749" s="4"/>
      <c r="AF749" s="4"/>
      <c r="AG749" s="4"/>
      <c r="AH749" s="4"/>
      <c r="AI749" s="4"/>
      <c r="AJ749" s="76" t="str">
        <f>IF(E749="○",IF(COUNTA(E$13:E749)=1,"",",")&amp;D749,"")</f>
        <v/>
      </c>
      <c r="AK749" s="4"/>
      <c r="AL749" s="4"/>
      <c r="AM749" s="4"/>
      <c r="AN749" s="4"/>
      <c r="AO749" s="4"/>
      <c r="AP749" s="4"/>
      <c r="AQ749" s="4"/>
      <c r="AR749" s="4"/>
      <c r="AS749" s="76" t="str">
        <f>"COMMENT ON COLUMN "&amp;エンティティ一覧!$O$2&amp;"."&amp;D$8&amp;"."&amp;D749&amp;" IS '"&amp;C749&amp;"';"</f>
        <v>COMMENT ON COLUMN milscm_2023_009.sny_202310_annony_non_annony2.shikkan731_start_date IS 'J620_疾患開始日';</v>
      </c>
    </row>
    <row r="750" spans="1:45" s="25" customFormat="1">
      <c r="A750" s="4" t="s">
        <v>5811</v>
      </c>
      <c r="B750" s="21">
        <f t="shared" si="89"/>
        <v>738</v>
      </c>
      <c r="C750" s="13" t="str">
        <f t="shared" si="88"/>
        <v>J628_疾患開始日</v>
      </c>
      <c r="D750" s="13" t="s">
        <v>6392</v>
      </c>
      <c r="E750" s="8"/>
      <c r="F750" s="7" t="s">
        <v>4348</v>
      </c>
      <c r="G750" s="7" t="s">
        <v>25</v>
      </c>
      <c r="H750" s="58"/>
      <c r="I750" s="23"/>
      <c r="J750" s="24"/>
      <c r="M750" s="4"/>
      <c r="N750" s="76"/>
      <c r="O750" s="76"/>
      <c r="P750" s="76" t="str">
        <f t="shared" si="83"/>
        <v>,shikkan732_start_date</v>
      </c>
      <c r="Q750" s="76" t="str">
        <f t="shared" si="84"/>
        <v>DATE</v>
      </c>
      <c r="R750" s="76" t="str">
        <f t="shared" si="85"/>
        <v/>
      </c>
      <c r="S750" s="76" t="str">
        <f t="shared" si="86"/>
        <v/>
      </c>
      <c r="T750" s="76" t="str">
        <f t="shared" si="87"/>
        <v>-- J628_疾患開始日</v>
      </c>
      <c r="U750" s="4" t="str">
        <f t="shared" si="72"/>
        <v>, CASE WHEN shikkan_disp_name = 'J628' THEN min_shikkan_start_date ::DATE ELSE NULL END AS shikkan732_start_date</v>
      </c>
      <c r="V750" s="25" t="str">
        <f t="shared" si="73"/>
        <v>, max(shikkan732_start_date)</v>
      </c>
      <c r="AA750" s="4"/>
      <c r="AB750" s="4"/>
      <c r="AC750" s="4"/>
      <c r="AD750" s="4"/>
      <c r="AE750" s="4"/>
      <c r="AF750" s="4"/>
      <c r="AG750" s="4"/>
      <c r="AH750" s="4"/>
      <c r="AI750" s="4"/>
      <c r="AJ750" s="76" t="str">
        <f>IF(E750="○",IF(COUNTA(E$13:E750)=1,"",",")&amp;D750,"")</f>
        <v/>
      </c>
      <c r="AK750" s="4"/>
      <c r="AL750" s="4"/>
      <c r="AM750" s="4"/>
      <c r="AN750" s="4"/>
      <c r="AO750" s="4"/>
      <c r="AP750" s="4"/>
      <c r="AQ750" s="4"/>
      <c r="AR750" s="4"/>
      <c r="AS750" s="76" t="str">
        <f>"COMMENT ON COLUMN "&amp;エンティティ一覧!$O$2&amp;"."&amp;D$8&amp;"."&amp;D750&amp;" IS '"&amp;C750&amp;"';"</f>
        <v>COMMENT ON COLUMN milscm_2023_009.sny_202310_annony_non_annony2.shikkan732_start_date IS 'J628_疾患開始日';</v>
      </c>
    </row>
    <row r="751" spans="1:45" s="25" customFormat="1">
      <c r="A751" s="4" t="s">
        <v>5812</v>
      </c>
      <c r="B751" s="21">
        <f t="shared" si="89"/>
        <v>739</v>
      </c>
      <c r="C751" s="13" t="str">
        <f t="shared" si="88"/>
        <v>J630_疾患開始日</v>
      </c>
      <c r="D751" s="13" t="s">
        <v>6393</v>
      </c>
      <c r="E751" s="8"/>
      <c r="F751" s="7" t="s">
        <v>4348</v>
      </c>
      <c r="G751" s="7" t="s">
        <v>25</v>
      </c>
      <c r="H751" s="58"/>
      <c r="I751" s="23"/>
      <c r="J751" s="24"/>
      <c r="M751" s="4"/>
      <c r="N751" s="76"/>
      <c r="O751" s="76"/>
      <c r="P751" s="76" t="str">
        <f t="shared" si="83"/>
        <v>,shikkan733_start_date</v>
      </c>
      <c r="Q751" s="76" t="str">
        <f t="shared" si="84"/>
        <v>DATE</v>
      </c>
      <c r="R751" s="76" t="str">
        <f t="shared" si="85"/>
        <v/>
      </c>
      <c r="S751" s="76" t="str">
        <f t="shared" si="86"/>
        <v/>
      </c>
      <c r="T751" s="76" t="str">
        <f t="shared" si="87"/>
        <v>-- J630_疾患開始日</v>
      </c>
      <c r="U751" s="4" t="str">
        <f t="shared" si="72"/>
        <v>, CASE WHEN shikkan_disp_name = 'J630' THEN min_shikkan_start_date ::DATE ELSE NULL END AS shikkan733_start_date</v>
      </c>
      <c r="V751" s="25" t="str">
        <f t="shared" si="73"/>
        <v>, max(shikkan733_start_date)</v>
      </c>
      <c r="AA751" s="4"/>
      <c r="AB751" s="4"/>
      <c r="AC751" s="4"/>
      <c r="AD751" s="4"/>
      <c r="AE751" s="4"/>
      <c r="AF751" s="4"/>
      <c r="AG751" s="4"/>
      <c r="AH751" s="4"/>
      <c r="AI751" s="4"/>
      <c r="AJ751" s="76" t="str">
        <f>IF(E751="○",IF(COUNTA(E$13:E751)=1,"",",")&amp;D751,"")</f>
        <v/>
      </c>
      <c r="AK751" s="4"/>
      <c r="AL751" s="4"/>
      <c r="AM751" s="4"/>
      <c r="AN751" s="4"/>
      <c r="AO751" s="4"/>
      <c r="AP751" s="4"/>
      <c r="AQ751" s="4"/>
      <c r="AR751" s="4"/>
      <c r="AS751" s="76" t="str">
        <f>"COMMENT ON COLUMN "&amp;エンティティ一覧!$O$2&amp;"."&amp;D$8&amp;"."&amp;D751&amp;" IS '"&amp;C751&amp;"';"</f>
        <v>COMMENT ON COLUMN milscm_2023_009.sny_202310_annony_non_annony2.shikkan733_start_date IS 'J630_疾患開始日';</v>
      </c>
    </row>
    <row r="752" spans="1:45" s="25" customFormat="1">
      <c r="A752" s="4" t="s">
        <v>5813</v>
      </c>
      <c r="B752" s="21">
        <f t="shared" si="89"/>
        <v>740</v>
      </c>
      <c r="C752" s="13" t="str">
        <f t="shared" si="88"/>
        <v>J631_疾患開始日</v>
      </c>
      <c r="D752" s="13" t="s">
        <v>6394</v>
      </c>
      <c r="E752" s="8"/>
      <c r="F752" s="7" t="s">
        <v>4348</v>
      </c>
      <c r="G752" s="7" t="s">
        <v>25</v>
      </c>
      <c r="H752" s="58"/>
      <c r="I752" s="23"/>
      <c r="J752" s="24"/>
      <c r="M752" s="4"/>
      <c r="N752" s="76"/>
      <c r="O752" s="76"/>
      <c r="P752" s="76" t="str">
        <f t="shared" si="83"/>
        <v>,shikkan734_start_date</v>
      </c>
      <c r="Q752" s="76" t="str">
        <f t="shared" si="84"/>
        <v>DATE</v>
      </c>
      <c r="R752" s="76" t="str">
        <f t="shared" si="85"/>
        <v/>
      </c>
      <c r="S752" s="76" t="str">
        <f t="shared" si="86"/>
        <v/>
      </c>
      <c r="T752" s="76" t="str">
        <f t="shared" si="87"/>
        <v>-- J631_疾患開始日</v>
      </c>
      <c r="U752" s="4" t="str">
        <f t="shared" si="72"/>
        <v>, CASE WHEN shikkan_disp_name = 'J631' THEN min_shikkan_start_date ::DATE ELSE NULL END AS shikkan734_start_date</v>
      </c>
      <c r="V752" s="25" t="str">
        <f t="shared" si="73"/>
        <v>, max(shikkan734_start_date)</v>
      </c>
      <c r="AA752" s="4"/>
      <c r="AB752" s="4"/>
      <c r="AC752" s="4"/>
      <c r="AD752" s="4"/>
      <c r="AE752" s="4"/>
      <c r="AF752" s="4"/>
      <c r="AG752" s="4"/>
      <c r="AH752" s="4"/>
      <c r="AI752" s="4"/>
      <c r="AJ752" s="76" t="str">
        <f>IF(E752="○",IF(COUNTA(E$13:E752)=1,"",",")&amp;D752,"")</f>
        <v/>
      </c>
      <c r="AK752" s="4"/>
      <c r="AL752" s="4"/>
      <c r="AM752" s="4"/>
      <c r="AN752" s="4"/>
      <c r="AO752" s="4"/>
      <c r="AP752" s="4"/>
      <c r="AQ752" s="4"/>
      <c r="AR752" s="4"/>
      <c r="AS752" s="76" t="str">
        <f>"COMMENT ON COLUMN "&amp;エンティティ一覧!$O$2&amp;"."&amp;D$8&amp;"."&amp;D752&amp;" IS '"&amp;C752&amp;"';"</f>
        <v>COMMENT ON COLUMN milscm_2023_009.sny_202310_annony_non_annony2.shikkan734_start_date IS 'J631_疾患開始日';</v>
      </c>
    </row>
    <row r="753" spans="1:45" s="25" customFormat="1">
      <c r="A753" s="4" t="s">
        <v>5814</v>
      </c>
      <c r="B753" s="21">
        <f t="shared" si="89"/>
        <v>741</v>
      </c>
      <c r="C753" s="13" t="str">
        <f t="shared" si="88"/>
        <v>J632_疾患開始日</v>
      </c>
      <c r="D753" s="13" t="s">
        <v>6395</v>
      </c>
      <c r="E753" s="8"/>
      <c r="F753" s="7" t="s">
        <v>4348</v>
      </c>
      <c r="G753" s="7" t="s">
        <v>99</v>
      </c>
      <c r="H753" s="58"/>
      <c r="I753" s="23"/>
      <c r="J753" s="24"/>
      <c r="M753" s="4"/>
      <c r="N753" s="76"/>
      <c r="O753" s="76"/>
      <c r="P753" s="76" t="str">
        <f t="shared" si="83"/>
        <v>,shikkan735_start_date</v>
      </c>
      <c r="Q753" s="76" t="str">
        <f t="shared" si="84"/>
        <v>DATE</v>
      </c>
      <c r="R753" s="76" t="str">
        <f t="shared" si="85"/>
        <v/>
      </c>
      <c r="S753" s="76" t="str">
        <f t="shared" si="86"/>
        <v/>
      </c>
      <c r="T753" s="76" t="str">
        <f t="shared" si="87"/>
        <v>-- J632_疾患開始日</v>
      </c>
      <c r="U753" s="4" t="str">
        <f t="shared" si="72"/>
        <v>, CASE WHEN shikkan_disp_name = 'J632' THEN min_shikkan_start_date ::DATE ELSE NULL END AS shikkan735_start_date</v>
      </c>
      <c r="V753" s="25" t="str">
        <f t="shared" si="73"/>
        <v>, max(shikkan735_start_date)</v>
      </c>
      <c r="AA753" s="4"/>
      <c r="AB753" s="4"/>
      <c r="AC753" s="4"/>
      <c r="AD753" s="4"/>
      <c r="AE753" s="4"/>
      <c r="AF753" s="4"/>
      <c r="AG753" s="4"/>
      <c r="AH753" s="4"/>
      <c r="AI753" s="4"/>
      <c r="AJ753" s="76" t="str">
        <f>IF(E753="○",IF(COUNTA(E$13:E753)=1,"",",")&amp;D753,"")</f>
        <v/>
      </c>
      <c r="AK753" s="4"/>
      <c r="AL753" s="4"/>
      <c r="AM753" s="4"/>
      <c r="AN753" s="4"/>
      <c r="AO753" s="4"/>
      <c r="AP753" s="4"/>
      <c r="AQ753" s="4"/>
      <c r="AR753" s="4"/>
      <c r="AS753" s="76" t="str">
        <f>"COMMENT ON COLUMN "&amp;エンティティ一覧!$O$2&amp;"."&amp;D$8&amp;"."&amp;D753&amp;" IS '"&amp;C753&amp;"';"</f>
        <v>COMMENT ON COLUMN milscm_2023_009.sny_202310_annony_non_annony2.shikkan735_start_date IS 'J632_疾患開始日';</v>
      </c>
    </row>
    <row r="754" spans="1:45" s="25" customFormat="1">
      <c r="A754" s="4" t="s">
        <v>5815</v>
      </c>
      <c r="B754" s="21">
        <f t="shared" si="89"/>
        <v>742</v>
      </c>
      <c r="C754" s="13" t="str">
        <f t="shared" si="88"/>
        <v>J633_疾患開始日</v>
      </c>
      <c r="D754" s="13" t="s">
        <v>6396</v>
      </c>
      <c r="E754" s="8"/>
      <c r="F754" s="7" t="s">
        <v>4348</v>
      </c>
      <c r="G754" s="7" t="s">
        <v>25</v>
      </c>
      <c r="H754" s="58"/>
      <c r="I754" s="23"/>
      <c r="J754" s="24"/>
      <c r="M754" s="4"/>
      <c r="N754" s="76"/>
      <c r="O754" s="76"/>
      <c r="P754" s="76" t="str">
        <f t="shared" si="83"/>
        <v>,shikkan736_start_date</v>
      </c>
      <c r="Q754" s="76" t="str">
        <f t="shared" si="84"/>
        <v>DATE</v>
      </c>
      <c r="R754" s="76" t="str">
        <f t="shared" si="85"/>
        <v/>
      </c>
      <c r="S754" s="76" t="str">
        <f t="shared" si="86"/>
        <v/>
      </c>
      <c r="T754" s="76" t="str">
        <f t="shared" si="87"/>
        <v>-- J633_疾患開始日</v>
      </c>
      <c r="U754" s="4" t="str">
        <f t="shared" si="72"/>
        <v>, CASE WHEN shikkan_disp_name = 'J633' THEN min_shikkan_start_date ::DATE ELSE NULL END AS shikkan736_start_date</v>
      </c>
      <c r="V754" s="25" t="str">
        <f t="shared" si="73"/>
        <v>, max(shikkan736_start_date)</v>
      </c>
      <c r="AA754" s="4"/>
      <c r="AB754" s="4"/>
      <c r="AC754" s="4"/>
      <c r="AD754" s="4"/>
      <c r="AE754" s="4"/>
      <c r="AF754" s="4"/>
      <c r="AG754" s="4"/>
      <c r="AH754" s="4"/>
      <c r="AI754" s="4"/>
      <c r="AJ754" s="76" t="str">
        <f>IF(E754="○",IF(COUNTA(E$13:E754)=1,"",",")&amp;D754,"")</f>
        <v/>
      </c>
      <c r="AK754" s="4"/>
      <c r="AL754" s="4"/>
      <c r="AM754" s="4"/>
      <c r="AN754" s="4"/>
      <c r="AO754" s="4"/>
      <c r="AP754" s="4"/>
      <c r="AQ754" s="4"/>
      <c r="AR754" s="4"/>
      <c r="AS754" s="76" t="str">
        <f>"COMMENT ON COLUMN "&amp;エンティティ一覧!$O$2&amp;"."&amp;D$8&amp;"."&amp;D754&amp;" IS '"&amp;C754&amp;"';"</f>
        <v>COMMENT ON COLUMN milscm_2023_009.sny_202310_annony_non_annony2.shikkan736_start_date IS 'J633_疾患開始日';</v>
      </c>
    </row>
    <row r="755" spans="1:45" s="25" customFormat="1">
      <c r="A755" s="4" t="s">
        <v>5816</v>
      </c>
      <c r="B755" s="21">
        <f t="shared" si="89"/>
        <v>743</v>
      </c>
      <c r="C755" s="13" t="str">
        <f t="shared" si="88"/>
        <v>J634_疾患開始日</v>
      </c>
      <c r="D755" s="13" t="s">
        <v>6397</v>
      </c>
      <c r="E755" s="8"/>
      <c r="F755" s="7" t="s">
        <v>4348</v>
      </c>
      <c r="G755" s="7" t="s">
        <v>25</v>
      </c>
      <c r="H755" s="58"/>
      <c r="I755" s="23"/>
      <c r="J755" s="24"/>
      <c r="M755" s="4"/>
      <c r="N755" s="76"/>
      <c r="O755" s="76"/>
      <c r="P755" s="76" t="str">
        <f t="shared" si="83"/>
        <v>,shikkan737_start_date</v>
      </c>
      <c r="Q755" s="76" t="str">
        <f t="shared" si="84"/>
        <v>DATE</v>
      </c>
      <c r="R755" s="76" t="str">
        <f t="shared" si="85"/>
        <v/>
      </c>
      <c r="S755" s="76" t="str">
        <f t="shared" si="86"/>
        <v/>
      </c>
      <c r="T755" s="76" t="str">
        <f t="shared" si="87"/>
        <v>-- J634_疾患開始日</v>
      </c>
      <c r="U755" s="4" t="str">
        <f t="shared" si="72"/>
        <v>, CASE WHEN shikkan_disp_name = 'J634' THEN min_shikkan_start_date ::DATE ELSE NULL END AS shikkan737_start_date</v>
      </c>
      <c r="V755" s="25" t="str">
        <f t="shared" si="73"/>
        <v>, max(shikkan737_start_date)</v>
      </c>
      <c r="AA755" s="4"/>
      <c r="AB755" s="4"/>
      <c r="AC755" s="4"/>
      <c r="AD755" s="4"/>
      <c r="AE755" s="4"/>
      <c r="AF755" s="4"/>
      <c r="AG755" s="4"/>
      <c r="AH755" s="4"/>
      <c r="AI755" s="4"/>
      <c r="AJ755" s="76" t="str">
        <f>IF(E755="○",IF(COUNTA(E$13:E755)=1,"",",")&amp;D755,"")</f>
        <v/>
      </c>
      <c r="AK755" s="4"/>
      <c r="AL755" s="4"/>
      <c r="AM755" s="4"/>
      <c r="AN755" s="4"/>
      <c r="AO755" s="4"/>
      <c r="AP755" s="4"/>
      <c r="AQ755" s="4"/>
      <c r="AR755" s="4"/>
      <c r="AS755" s="76" t="str">
        <f>"COMMENT ON COLUMN "&amp;エンティティ一覧!$O$2&amp;"."&amp;D$8&amp;"."&amp;D755&amp;" IS '"&amp;C755&amp;"';"</f>
        <v>COMMENT ON COLUMN milscm_2023_009.sny_202310_annony_non_annony2.shikkan737_start_date IS 'J634_疾患開始日';</v>
      </c>
    </row>
    <row r="756" spans="1:45" s="25" customFormat="1">
      <c r="A756" s="4" t="s">
        <v>5817</v>
      </c>
      <c r="B756" s="21">
        <f t="shared" si="89"/>
        <v>744</v>
      </c>
      <c r="C756" s="13" t="str">
        <f t="shared" si="88"/>
        <v>J635_疾患開始日</v>
      </c>
      <c r="D756" s="13" t="s">
        <v>6398</v>
      </c>
      <c r="E756" s="8"/>
      <c r="F756" s="7" t="s">
        <v>4348</v>
      </c>
      <c r="G756" s="7" t="s">
        <v>25</v>
      </c>
      <c r="H756" s="58"/>
      <c r="I756" s="23"/>
      <c r="J756" s="24"/>
      <c r="M756" s="4"/>
      <c r="N756" s="76"/>
      <c r="O756" s="76"/>
      <c r="P756" s="76" t="str">
        <f t="shared" si="83"/>
        <v>,shikkan738_start_date</v>
      </c>
      <c r="Q756" s="76" t="str">
        <f t="shared" si="84"/>
        <v>DATE</v>
      </c>
      <c r="R756" s="76" t="str">
        <f t="shared" si="85"/>
        <v/>
      </c>
      <c r="S756" s="76" t="str">
        <f t="shared" si="86"/>
        <v/>
      </c>
      <c r="T756" s="76" t="str">
        <f t="shared" si="87"/>
        <v>-- J635_疾患開始日</v>
      </c>
      <c r="U756" s="4" t="str">
        <f t="shared" si="72"/>
        <v>, CASE WHEN shikkan_disp_name = 'J635' THEN min_shikkan_start_date ::DATE ELSE NULL END AS shikkan738_start_date</v>
      </c>
      <c r="V756" s="25" t="str">
        <f t="shared" si="73"/>
        <v>, max(shikkan738_start_date)</v>
      </c>
      <c r="AA756" s="4"/>
      <c r="AB756" s="4"/>
      <c r="AC756" s="4"/>
      <c r="AD756" s="4"/>
      <c r="AE756" s="4"/>
      <c r="AF756" s="4"/>
      <c r="AG756" s="4"/>
      <c r="AH756" s="4"/>
      <c r="AI756" s="4"/>
      <c r="AJ756" s="76" t="str">
        <f>IF(E756="○",IF(COUNTA(E$13:E756)=1,"",",")&amp;D756,"")</f>
        <v/>
      </c>
      <c r="AK756" s="4"/>
      <c r="AL756" s="4"/>
      <c r="AM756" s="4"/>
      <c r="AN756" s="4"/>
      <c r="AO756" s="4"/>
      <c r="AP756" s="4"/>
      <c r="AQ756" s="4"/>
      <c r="AR756" s="4"/>
      <c r="AS756" s="76" t="str">
        <f>"COMMENT ON COLUMN "&amp;エンティティ一覧!$O$2&amp;"."&amp;D$8&amp;"."&amp;D756&amp;" IS '"&amp;C756&amp;"';"</f>
        <v>COMMENT ON COLUMN milscm_2023_009.sny_202310_annony_non_annony2.shikkan738_start_date IS 'J635_疾患開始日';</v>
      </c>
    </row>
    <row r="757" spans="1:45" s="25" customFormat="1">
      <c r="A757" s="4" t="s">
        <v>5818</v>
      </c>
      <c r="B757" s="21">
        <f t="shared" si="89"/>
        <v>745</v>
      </c>
      <c r="C757" s="13" t="str">
        <f t="shared" si="88"/>
        <v>J638_疾患開始日</v>
      </c>
      <c r="D757" s="13" t="s">
        <v>6399</v>
      </c>
      <c r="E757" s="8"/>
      <c r="F757" s="7" t="s">
        <v>4348</v>
      </c>
      <c r="G757" s="7" t="s">
        <v>25</v>
      </c>
      <c r="H757" s="58"/>
      <c r="I757" s="23"/>
      <c r="J757" s="24"/>
      <c r="M757" s="4"/>
      <c r="N757" s="76"/>
      <c r="O757" s="76"/>
      <c r="P757" s="76" t="str">
        <f t="shared" si="83"/>
        <v>,shikkan739_start_date</v>
      </c>
      <c r="Q757" s="76" t="str">
        <f t="shared" si="84"/>
        <v>DATE</v>
      </c>
      <c r="R757" s="76" t="str">
        <f t="shared" si="85"/>
        <v/>
      </c>
      <c r="S757" s="76" t="str">
        <f t="shared" si="86"/>
        <v/>
      </c>
      <c r="T757" s="76" t="str">
        <f t="shared" si="87"/>
        <v>-- J638_疾患開始日</v>
      </c>
      <c r="U757" s="4" t="str">
        <f t="shared" si="72"/>
        <v>, CASE WHEN shikkan_disp_name = 'J638' THEN min_shikkan_start_date ::DATE ELSE NULL END AS shikkan739_start_date</v>
      </c>
      <c r="V757" s="25" t="str">
        <f t="shared" si="73"/>
        <v>, max(shikkan739_start_date)</v>
      </c>
      <c r="AA757" s="4"/>
      <c r="AB757" s="4"/>
      <c r="AC757" s="4"/>
      <c r="AD757" s="4"/>
      <c r="AE757" s="4"/>
      <c r="AF757" s="4"/>
      <c r="AG757" s="4"/>
      <c r="AH757" s="4"/>
      <c r="AI757" s="4"/>
      <c r="AJ757" s="76" t="str">
        <f>IF(E757="○",IF(COUNTA(E$13:E757)=1,"",",")&amp;D757,"")</f>
        <v/>
      </c>
      <c r="AK757" s="4"/>
      <c r="AL757" s="4"/>
      <c r="AM757" s="4"/>
      <c r="AN757" s="4"/>
      <c r="AO757" s="4"/>
      <c r="AP757" s="4"/>
      <c r="AQ757" s="4"/>
      <c r="AR757" s="4"/>
      <c r="AS757" s="76" t="str">
        <f>"COMMENT ON COLUMN "&amp;エンティティ一覧!$O$2&amp;"."&amp;D$8&amp;"."&amp;D757&amp;" IS '"&amp;C757&amp;"';"</f>
        <v>COMMENT ON COLUMN milscm_2023_009.sny_202310_annony_non_annony2.shikkan739_start_date IS 'J638_疾患開始日';</v>
      </c>
    </row>
    <row r="758" spans="1:45" s="25" customFormat="1">
      <c r="A758" s="4" t="s">
        <v>5070</v>
      </c>
      <c r="B758" s="21">
        <f t="shared" si="89"/>
        <v>746</v>
      </c>
      <c r="C758" s="13" t="str">
        <f t="shared" si="88"/>
        <v>J64_疾患開始日</v>
      </c>
      <c r="D758" s="13" t="s">
        <v>6400</v>
      </c>
      <c r="E758" s="8"/>
      <c r="F758" s="7" t="s">
        <v>4348</v>
      </c>
      <c r="G758" s="7" t="s">
        <v>25</v>
      </c>
      <c r="H758" s="58"/>
      <c r="I758" s="23"/>
      <c r="J758" s="24"/>
      <c r="M758" s="4"/>
      <c r="N758" s="76"/>
      <c r="O758" s="76"/>
      <c r="P758" s="76" t="str">
        <f t="shared" si="83"/>
        <v>,shikkan740_start_date</v>
      </c>
      <c r="Q758" s="76" t="str">
        <f t="shared" si="84"/>
        <v>DATE</v>
      </c>
      <c r="R758" s="76" t="str">
        <f t="shared" si="85"/>
        <v/>
      </c>
      <c r="S758" s="76" t="str">
        <f t="shared" si="86"/>
        <v/>
      </c>
      <c r="T758" s="76" t="str">
        <f t="shared" si="87"/>
        <v>-- J64_疾患開始日</v>
      </c>
      <c r="U758" s="4" t="str">
        <f t="shared" si="72"/>
        <v>, CASE WHEN shikkan_disp_name = 'J64' THEN min_shikkan_start_date ::DATE ELSE NULL END AS shikkan740_start_date</v>
      </c>
      <c r="V758" s="25" t="str">
        <f t="shared" si="73"/>
        <v>, max(shikkan740_start_date)</v>
      </c>
      <c r="AA758" s="4"/>
      <c r="AB758" s="4"/>
      <c r="AC758" s="4"/>
      <c r="AD758" s="4"/>
      <c r="AE758" s="4"/>
      <c r="AF758" s="4"/>
      <c r="AG758" s="4"/>
      <c r="AH758" s="4"/>
      <c r="AI758" s="4"/>
      <c r="AJ758" s="76" t="str">
        <f>IF(E758="○",IF(COUNTA(E$13:E758)=1,"",",")&amp;D758,"")</f>
        <v/>
      </c>
      <c r="AK758" s="4"/>
      <c r="AL758" s="4"/>
      <c r="AM758" s="4"/>
      <c r="AN758" s="4"/>
      <c r="AO758" s="4"/>
      <c r="AP758" s="4"/>
      <c r="AQ758" s="4"/>
      <c r="AR758" s="4"/>
      <c r="AS758" s="76" t="str">
        <f>"COMMENT ON COLUMN "&amp;エンティティ一覧!$O$2&amp;"."&amp;D$8&amp;"."&amp;D758&amp;" IS '"&amp;C758&amp;"';"</f>
        <v>COMMENT ON COLUMN milscm_2023_009.sny_202310_annony_non_annony2.shikkan740_start_date IS 'J64_疾患開始日';</v>
      </c>
    </row>
    <row r="759" spans="1:45" s="25" customFormat="1">
      <c r="A759" s="4" t="s">
        <v>5071</v>
      </c>
      <c r="B759" s="21">
        <f t="shared" si="89"/>
        <v>747</v>
      </c>
      <c r="C759" s="13" t="str">
        <f t="shared" si="88"/>
        <v>J65_疾患開始日</v>
      </c>
      <c r="D759" s="13" t="s">
        <v>6401</v>
      </c>
      <c r="E759" s="8"/>
      <c r="F759" s="7" t="s">
        <v>4348</v>
      </c>
      <c r="G759" s="7" t="s">
        <v>25</v>
      </c>
      <c r="H759" s="58"/>
      <c r="I759" s="23"/>
      <c r="J759" s="24"/>
      <c r="M759" s="4"/>
      <c r="N759" s="76"/>
      <c r="O759" s="76"/>
      <c r="P759" s="76" t="str">
        <f t="shared" si="83"/>
        <v>,shikkan741_start_date</v>
      </c>
      <c r="Q759" s="76" t="str">
        <f t="shared" si="84"/>
        <v>DATE</v>
      </c>
      <c r="R759" s="76" t="str">
        <f t="shared" si="85"/>
        <v/>
      </c>
      <c r="S759" s="76" t="str">
        <f t="shared" si="86"/>
        <v/>
      </c>
      <c r="T759" s="76" t="str">
        <f t="shared" si="87"/>
        <v>-- J65_疾患開始日</v>
      </c>
      <c r="U759" s="4" t="str">
        <f t="shared" si="72"/>
        <v>, CASE WHEN shikkan_disp_name = 'J65' THEN min_shikkan_start_date ::DATE ELSE NULL END AS shikkan741_start_date</v>
      </c>
      <c r="V759" s="25" t="str">
        <f t="shared" si="73"/>
        <v>, max(shikkan741_start_date)</v>
      </c>
      <c r="AA759" s="4"/>
      <c r="AB759" s="4"/>
      <c r="AC759" s="4"/>
      <c r="AD759" s="4"/>
      <c r="AE759" s="4"/>
      <c r="AF759" s="4"/>
      <c r="AG759" s="4"/>
      <c r="AH759" s="4"/>
      <c r="AI759" s="4"/>
      <c r="AJ759" s="76" t="str">
        <f>IF(E759="○",IF(COUNTA(E$13:E759)=1,"",",")&amp;D759,"")</f>
        <v/>
      </c>
      <c r="AK759" s="4"/>
      <c r="AL759" s="4"/>
      <c r="AM759" s="4"/>
      <c r="AN759" s="4"/>
      <c r="AO759" s="4"/>
      <c r="AP759" s="4"/>
      <c r="AQ759" s="4"/>
      <c r="AR759" s="4"/>
      <c r="AS759" s="76" t="str">
        <f>"COMMENT ON COLUMN "&amp;エンティティ一覧!$O$2&amp;"."&amp;D$8&amp;"."&amp;D759&amp;" IS '"&amp;C759&amp;"';"</f>
        <v>COMMENT ON COLUMN milscm_2023_009.sny_202310_annony_non_annony2.shikkan741_start_date IS 'J65_疾患開始日';</v>
      </c>
    </row>
    <row r="760" spans="1:45" s="25" customFormat="1">
      <c r="A760" s="4" t="s">
        <v>5819</v>
      </c>
      <c r="B760" s="21">
        <f t="shared" si="89"/>
        <v>748</v>
      </c>
      <c r="C760" s="13" t="str">
        <f t="shared" si="88"/>
        <v>J660_疾患開始日</v>
      </c>
      <c r="D760" s="13" t="s">
        <v>6402</v>
      </c>
      <c r="E760" s="8"/>
      <c r="F760" s="7" t="s">
        <v>4348</v>
      </c>
      <c r="G760" s="7" t="s">
        <v>25</v>
      </c>
      <c r="H760" s="58"/>
      <c r="I760" s="23"/>
      <c r="J760" s="24"/>
      <c r="M760" s="4"/>
      <c r="N760" s="76"/>
      <c r="O760" s="76"/>
      <c r="P760" s="76" t="str">
        <f t="shared" si="83"/>
        <v>,shikkan742_start_date</v>
      </c>
      <c r="Q760" s="76" t="str">
        <f t="shared" si="84"/>
        <v>DATE</v>
      </c>
      <c r="R760" s="76" t="str">
        <f t="shared" si="85"/>
        <v/>
      </c>
      <c r="S760" s="76" t="str">
        <f t="shared" si="86"/>
        <v/>
      </c>
      <c r="T760" s="76" t="str">
        <f t="shared" si="87"/>
        <v>-- J660_疾患開始日</v>
      </c>
      <c r="U760" s="4" t="str">
        <f t="shared" si="72"/>
        <v>, CASE WHEN shikkan_disp_name = 'J660' THEN min_shikkan_start_date ::DATE ELSE NULL END AS shikkan742_start_date</v>
      </c>
      <c r="V760" s="25" t="str">
        <f t="shared" si="73"/>
        <v>, max(shikkan742_start_date)</v>
      </c>
      <c r="AA760" s="4"/>
      <c r="AB760" s="4"/>
      <c r="AC760" s="4"/>
      <c r="AD760" s="4"/>
      <c r="AE760" s="4"/>
      <c r="AF760" s="4"/>
      <c r="AG760" s="4"/>
      <c r="AH760" s="4"/>
      <c r="AI760" s="4"/>
      <c r="AJ760" s="76" t="str">
        <f>IF(E760="○",IF(COUNTA(E$13:E760)=1,"",",")&amp;D760,"")</f>
        <v/>
      </c>
      <c r="AK760" s="4"/>
      <c r="AL760" s="4"/>
      <c r="AM760" s="4"/>
      <c r="AN760" s="4"/>
      <c r="AO760" s="4"/>
      <c r="AP760" s="4"/>
      <c r="AQ760" s="4"/>
      <c r="AR760" s="4"/>
      <c r="AS760" s="76" t="str">
        <f>"COMMENT ON COLUMN "&amp;エンティティ一覧!$O$2&amp;"."&amp;D$8&amp;"."&amp;D760&amp;" IS '"&amp;C760&amp;"';"</f>
        <v>COMMENT ON COLUMN milscm_2023_009.sny_202310_annony_non_annony2.shikkan742_start_date IS 'J660_疾患開始日';</v>
      </c>
    </row>
    <row r="761" spans="1:45" s="25" customFormat="1">
      <c r="A761" s="4" t="s">
        <v>5820</v>
      </c>
      <c r="B761" s="21">
        <f t="shared" si="89"/>
        <v>749</v>
      </c>
      <c r="C761" s="13" t="str">
        <f t="shared" si="88"/>
        <v>J661_疾患開始日</v>
      </c>
      <c r="D761" s="13" t="s">
        <v>6403</v>
      </c>
      <c r="E761" s="8"/>
      <c r="F761" s="7" t="s">
        <v>4348</v>
      </c>
      <c r="G761" s="7" t="s">
        <v>25</v>
      </c>
      <c r="H761" s="58"/>
      <c r="I761" s="23"/>
      <c r="J761" s="24"/>
      <c r="M761" s="4"/>
      <c r="N761" s="76"/>
      <c r="O761" s="76"/>
      <c r="P761" s="76" t="str">
        <f t="shared" si="83"/>
        <v>,shikkan743_start_date</v>
      </c>
      <c r="Q761" s="76" t="str">
        <f t="shared" si="84"/>
        <v>DATE</v>
      </c>
      <c r="R761" s="76" t="str">
        <f t="shared" si="85"/>
        <v/>
      </c>
      <c r="S761" s="76" t="str">
        <f t="shared" si="86"/>
        <v/>
      </c>
      <c r="T761" s="76" t="str">
        <f t="shared" si="87"/>
        <v>-- J661_疾患開始日</v>
      </c>
      <c r="U761" s="4" t="str">
        <f t="shared" si="72"/>
        <v>, CASE WHEN shikkan_disp_name = 'J661' THEN min_shikkan_start_date ::DATE ELSE NULL END AS shikkan743_start_date</v>
      </c>
      <c r="V761" s="25" t="str">
        <f t="shared" si="73"/>
        <v>, max(shikkan743_start_date)</v>
      </c>
      <c r="AA761" s="4"/>
      <c r="AB761" s="4"/>
      <c r="AC761" s="4"/>
      <c r="AD761" s="4"/>
      <c r="AE761" s="4"/>
      <c r="AF761" s="4"/>
      <c r="AG761" s="4"/>
      <c r="AH761" s="4"/>
      <c r="AI761" s="4"/>
      <c r="AJ761" s="76" t="str">
        <f>IF(E761="○",IF(COUNTA(E$13:E761)=1,"",",")&amp;D761,"")</f>
        <v/>
      </c>
      <c r="AK761" s="4"/>
      <c r="AL761" s="4"/>
      <c r="AM761" s="4"/>
      <c r="AN761" s="4"/>
      <c r="AO761" s="4"/>
      <c r="AP761" s="4"/>
      <c r="AQ761" s="4"/>
      <c r="AR761" s="4"/>
      <c r="AS761" s="76" t="str">
        <f>"COMMENT ON COLUMN "&amp;エンティティ一覧!$O$2&amp;"."&amp;D$8&amp;"."&amp;D761&amp;" IS '"&amp;C761&amp;"';"</f>
        <v>COMMENT ON COLUMN milscm_2023_009.sny_202310_annony_non_annony2.shikkan743_start_date IS 'J661_疾患開始日';</v>
      </c>
    </row>
    <row r="762" spans="1:45" s="25" customFormat="1">
      <c r="A762" s="4" t="s">
        <v>5821</v>
      </c>
      <c r="B762" s="21">
        <f t="shared" si="89"/>
        <v>750</v>
      </c>
      <c r="C762" s="13" t="str">
        <f t="shared" si="88"/>
        <v>J662_疾患開始日</v>
      </c>
      <c r="D762" s="13" t="s">
        <v>6404</v>
      </c>
      <c r="E762" s="8"/>
      <c r="F762" s="7" t="s">
        <v>4348</v>
      </c>
      <c r="G762" s="7" t="s">
        <v>25</v>
      </c>
      <c r="H762" s="58"/>
      <c r="I762" s="23"/>
      <c r="J762" s="24"/>
      <c r="M762" s="4"/>
      <c r="N762" s="76"/>
      <c r="O762" s="76"/>
      <c r="P762" s="76" t="str">
        <f t="shared" si="83"/>
        <v>,shikkan744_start_date</v>
      </c>
      <c r="Q762" s="76" t="str">
        <f t="shared" si="84"/>
        <v>DATE</v>
      </c>
      <c r="R762" s="76" t="str">
        <f t="shared" si="85"/>
        <v/>
      </c>
      <c r="S762" s="76" t="str">
        <f t="shared" si="86"/>
        <v/>
      </c>
      <c r="T762" s="76" t="str">
        <f t="shared" si="87"/>
        <v>-- J662_疾患開始日</v>
      </c>
      <c r="U762" s="4" t="str">
        <f t="shared" si="72"/>
        <v>, CASE WHEN shikkan_disp_name = 'J662' THEN min_shikkan_start_date ::DATE ELSE NULL END AS shikkan744_start_date</v>
      </c>
      <c r="V762" s="25" t="str">
        <f t="shared" si="73"/>
        <v>, max(shikkan744_start_date)</v>
      </c>
      <c r="AA762" s="4"/>
      <c r="AB762" s="4"/>
      <c r="AC762" s="4"/>
      <c r="AD762" s="4"/>
      <c r="AE762" s="4"/>
      <c r="AF762" s="4"/>
      <c r="AG762" s="4"/>
      <c r="AH762" s="4"/>
      <c r="AI762" s="4"/>
      <c r="AJ762" s="76" t="str">
        <f>IF(E762="○",IF(COUNTA(E$13:E762)=1,"",",")&amp;D762,"")</f>
        <v/>
      </c>
      <c r="AK762" s="4"/>
      <c r="AL762" s="4"/>
      <c r="AM762" s="4"/>
      <c r="AN762" s="4"/>
      <c r="AO762" s="4"/>
      <c r="AP762" s="4"/>
      <c r="AQ762" s="4"/>
      <c r="AR762" s="4"/>
      <c r="AS762" s="76" t="str">
        <f>"COMMENT ON COLUMN "&amp;エンティティ一覧!$O$2&amp;"."&amp;D$8&amp;"."&amp;D762&amp;" IS '"&amp;C762&amp;"';"</f>
        <v>COMMENT ON COLUMN milscm_2023_009.sny_202310_annony_non_annony2.shikkan744_start_date IS 'J662_疾患開始日';</v>
      </c>
    </row>
    <row r="763" spans="1:45" s="25" customFormat="1">
      <c r="A763" s="4" t="s">
        <v>5822</v>
      </c>
      <c r="B763" s="21">
        <f t="shared" si="89"/>
        <v>751</v>
      </c>
      <c r="C763" s="13" t="str">
        <f t="shared" si="88"/>
        <v>J668_疾患開始日</v>
      </c>
      <c r="D763" s="13" t="s">
        <v>6405</v>
      </c>
      <c r="E763" s="8"/>
      <c r="F763" s="7" t="s">
        <v>4348</v>
      </c>
      <c r="G763" s="7" t="s">
        <v>25</v>
      </c>
      <c r="H763" s="58"/>
      <c r="I763" s="23"/>
      <c r="J763" s="24"/>
      <c r="M763" s="4"/>
      <c r="N763" s="76"/>
      <c r="O763" s="76"/>
      <c r="P763" s="76" t="str">
        <f t="shared" si="83"/>
        <v>,shikkan745_start_date</v>
      </c>
      <c r="Q763" s="76" t="str">
        <f t="shared" si="84"/>
        <v>DATE</v>
      </c>
      <c r="R763" s="76" t="str">
        <f t="shared" si="85"/>
        <v/>
      </c>
      <c r="S763" s="76" t="str">
        <f t="shared" si="86"/>
        <v/>
      </c>
      <c r="T763" s="76" t="str">
        <f t="shared" si="87"/>
        <v>-- J668_疾患開始日</v>
      </c>
      <c r="U763" s="4" t="str">
        <f t="shared" si="72"/>
        <v>, CASE WHEN shikkan_disp_name = 'J668' THEN min_shikkan_start_date ::DATE ELSE NULL END AS shikkan745_start_date</v>
      </c>
      <c r="V763" s="25" t="str">
        <f t="shared" si="73"/>
        <v>, max(shikkan745_start_date)</v>
      </c>
      <c r="AA763" s="4"/>
      <c r="AB763" s="4"/>
      <c r="AC763" s="4"/>
      <c r="AD763" s="4"/>
      <c r="AE763" s="4"/>
      <c r="AF763" s="4"/>
      <c r="AG763" s="4"/>
      <c r="AH763" s="4"/>
      <c r="AI763" s="4"/>
      <c r="AJ763" s="76" t="str">
        <f>IF(E763="○",IF(COUNTA(E$13:E763)=1,"",",")&amp;D763,"")</f>
        <v/>
      </c>
      <c r="AK763" s="4"/>
      <c r="AL763" s="4"/>
      <c r="AM763" s="4"/>
      <c r="AN763" s="4"/>
      <c r="AO763" s="4"/>
      <c r="AP763" s="4"/>
      <c r="AQ763" s="4"/>
      <c r="AR763" s="4"/>
      <c r="AS763" s="76" t="str">
        <f>"COMMENT ON COLUMN "&amp;エンティティ一覧!$O$2&amp;"."&amp;D$8&amp;"."&amp;D763&amp;" IS '"&amp;C763&amp;"';"</f>
        <v>COMMENT ON COLUMN milscm_2023_009.sny_202310_annony_non_annony2.shikkan745_start_date IS 'J668_疾患開始日';</v>
      </c>
    </row>
    <row r="764" spans="1:45" s="25" customFormat="1">
      <c r="A764" s="4" t="s">
        <v>5823</v>
      </c>
      <c r="B764" s="21">
        <f t="shared" si="89"/>
        <v>752</v>
      </c>
      <c r="C764" s="13" t="str">
        <f t="shared" si="88"/>
        <v>J670_疾患開始日</v>
      </c>
      <c r="D764" s="13" t="s">
        <v>6406</v>
      </c>
      <c r="E764" s="8"/>
      <c r="F764" s="7" t="s">
        <v>4348</v>
      </c>
      <c r="G764" s="7" t="s">
        <v>25</v>
      </c>
      <c r="H764" s="58"/>
      <c r="I764" s="23"/>
      <c r="J764" s="24"/>
      <c r="M764" s="4"/>
      <c r="N764" s="76"/>
      <c r="O764" s="76"/>
      <c r="P764" s="76" t="str">
        <f t="shared" si="83"/>
        <v>,shikkan746_start_date</v>
      </c>
      <c r="Q764" s="76" t="str">
        <f t="shared" si="84"/>
        <v>DATE</v>
      </c>
      <c r="R764" s="76" t="str">
        <f t="shared" si="85"/>
        <v/>
      </c>
      <c r="S764" s="76" t="str">
        <f t="shared" si="86"/>
        <v/>
      </c>
      <c r="T764" s="76" t="str">
        <f t="shared" si="87"/>
        <v>-- J670_疾患開始日</v>
      </c>
      <c r="U764" s="4" t="str">
        <f t="shared" si="72"/>
        <v>, CASE WHEN shikkan_disp_name = 'J670' THEN min_shikkan_start_date ::DATE ELSE NULL END AS shikkan746_start_date</v>
      </c>
      <c r="V764" s="25" t="str">
        <f t="shared" si="73"/>
        <v>, max(shikkan746_start_date)</v>
      </c>
      <c r="AA764" s="4"/>
      <c r="AB764" s="4"/>
      <c r="AC764" s="4"/>
      <c r="AD764" s="4"/>
      <c r="AE764" s="4"/>
      <c r="AF764" s="4"/>
      <c r="AG764" s="4"/>
      <c r="AH764" s="4"/>
      <c r="AI764" s="4"/>
      <c r="AJ764" s="76" t="str">
        <f>IF(E764="○",IF(COUNTA(E$13:E764)=1,"",",")&amp;D764,"")</f>
        <v/>
      </c>
      <c r="AK764" s="4"/>
      <c r="AL764" s="4"/>
      <c r="AM764" s="4"/>
      <c r="AN764" s="4"/>
      <c r="AO764" s="4"/>
      <c r="AP764" s="4"/>
      <c r="AQ764" s="4"/>
      <c r="AR764" s="4"/>
      <c r="AS764" s="76" t="str">
        <f>"COMMENT ON COLUMN "&amp;エンティティ一覧!$O$2&amp;"."&amp;D$8&amp;"."&amp;D764&amp;" IS '"&amp;C764&amp;"';"</f>
        <v>COMMENT ON COLUMN milscm_2023_009.sny_202310_annony_non_annony2.shikkan746_start_date IS 'J670_疾患開始日';</v>
      </c>
    </row>
    <row r="765" spans="1:45" s="25" customFormat="1">
      <c r="A765" s="4" t="s">
        <v>5824</v>
      </c>
      <c r="B765" s="21">
        <f t="shared" si="89"/>
        <v>753</v>
      </c>
      <c r="C765" s="13" t="str">
        <f t="shared" si="88"/>
        <v>J671_疾患開始日</v>
      </c>
      <c r="D765" s="13" t="s">
        <v>6407</v>
      </c>
      <c r="E765" s="8"/>
      <c r="F765" s="7" t="s">
        <v>4348</v>
      </c>
      <c r="G765" s="7" t="s">
        <v>25</v>
      </c>
      <c r="H765" s="58"/>
      <c r="I765" s="23"/>
      <c r="J765" s="24"/>
      <c r="M765" s="4"/>
      <c r="N765" s="76"/>
      <c r="O765" s="76"/>
      <c r="P765" s="76" t="str">
        <f t="shared" si="83"/>
        <v>,shikkan747_start_date</v>
      </c>
      <c r="Q765" s="76" t="str">
        <f t="shared" si="84"/>
        <v>DATE</v>
      </c>
      <c r="R765" s="76" t="str">
        <f t="shared" si="85"/>
        <v/>
      </c>
      <c r="S765" s="76" t="str">
        <f t="shared" si="86"/>
        <v/>
      </c>
      <c r="T765" s="76" t="str">
        <f t="shared" si="87"/>
        <v>-- J671_疾患開始日</v>
      </c>
      <c r="U765" s="4" t="str">
        <f t="shared" si="72"/>
        <v>, CASE WHEN shikkan_disp_name = 'J671' THEN min_shikkan_start_date ::DATE ELSE NULL END AS shikkan747_start_date</v>
      </c>
      <c r="V765" s="25" t="str">
        <f t="shared" si="73"/>
        <v>, max(shikkan747_start_date)</v>
      </c>
      <c r="AA765" s="4"/>
      <c r="AB765" s="4"/>
      <c r="AC765" s="4"/>
      <c r="AD765" s="4"/>
      <c r="AE765" s="4"/>
      <c r="AF765" s="4"/>
      <c r="AG765" s="4"/>
      <c r="AH765" s="4"/>
      <c r="AI765" s="4"/>
      <c r="AJ765" s="76" t="str">
        <f>IF(E765="○",IF(COUNTA(E$13:E765)=1,"",",")&amp;D765,"")</f>
        <v/>
      </c>
      <c r="AK765" s="4"/>
      <c r="AL765" s="4"/>
      <c r="AM765" s="4"/>
      <c r="AN765" s="4"/>
      <c r="AO765" s="4"/>
      <c r="AP765" s="4"/>
      <c r="AQ765" s="4"/>
      <c r="AR765" s="4"/>
      <c r="AS765" s="76" t="str">
        <f>"COMMENT ON COLUMN "&amp;エンティティ一覧!$O$2&amp;"."&amp;D$8&amp;"."&amp;D765&amp;" IS '"&amp;C765&amp;"';"</f>
        <v>COMMENT ON COLUMN milscm_2023_009.sny_202310_annony_non_annony2.shikkan747_start_date IS 'J671_疾患開始日';</v>
      </c>
    </row>
    <row r="766" spans="1:45" s="25" customFormat="1">
      <c r="A766" s="4" t="s">
        <v>5825</v>
      </c>
      <c r="B766" s="21">
        <f t="shared" si="89"/>
        <v>754</v>
      </c>
      <c r="C766" s="13" t="str">
        <f t="shared" si="88"/>
        <v>J672_疾患開始日</v>
      </c>
      <c r="D766" s="13" t="s">
        <v>6408</v>
      </c>
      <c r="E766" s="8"/>
      <c r="F766" s="7" t="s">
        <v>4348</v>
      </c>
      <c r="G766" s="7" t="s">
        <v>25</v>
      </c>
      <c r="H766" s="58"/>
      <c r="I766" s="23"/>
      <c r="J766" s="24"/>
      <c r="M766" s="4"/>
      <c r="N766" s="76"/>
      <c r="O766" s="76"/>
      <c r="P766" s="76" t="str">
        <f t="shared" si="83"/>
        <v>,shikkan748_start_date</v>
      </c>
      <c r="Q766" s="76" t="str">
        <f t="shared" si="84"/>
        <v>DATE</v>
      </c>
      <c r="R766" s="76" t="str">
        <f t="shared" si="85"/>
        <v/>
      </c>
      <c r="S766" s="76" t="str">
        <f t="shared" si="86"/>
        <v/>
      </c>
      <c r="T766" s="76" t="str">
        <f t="shared" si="87"/>
        <v>-- J672_疾患開始日</v>
      </c>
      <c r="U766" s="4" t="str">
        <f t="shared" si="72"/>
        <v>, CASE WHEN shikkan_disp_name = 'J672' THEN min_shikkan_start_date ::DATE ELSE NULL END AS shikkan748_start_date</v>
      </c>
      <c r="V766" s="25" t="str">
        <f t="shared" si="73"/>
        <v>, max(shikkan748_start_date)</v>
      </c>
      <c r="AA766" s="4"/>
      <c r="AB766" s="4"/>
      <c r="AC766" s="4"/>
      <c r="AD766" s="4"/>
      <c r="AE766" s="4"/>
      <c r="AF766" s="4"/>
      <c r="AG766" s="4"/>
      <c r="AH766" s="4"/>
      <c r="AI766" s="4"/>
      <c r="AJ766" s="76" t="str">
        <f>IF(E766="○",IF(COUNTA(E$13:E766)=1,"",",")&amp;D766,"")</f>
        <v/>
      </c>
      <c r="AK766" s="4"/>
      <c r="AL766" s="4"/>
      <c r="AM766" s="4"/>
      <c r="AN766" s="4"/>
      <c r="AO766" s="4"/>
      <c r="AP766" s="4"/>
      <c r="AQ766" s="4"/>
      <c r="AR766" s="4"/>
      <c r="AS766" s="76" t="str">
        <f>"COMMENT ON COLUMN "&amp;エンティティ一覧!$O$2&amp;"."&amp;D$8&amp;"."&amp;D766&amp;" IS '"&amp;C766&amp;"';"</f>
        <v>COMMENT ON COLUMN milscm_2023_009.sny_202310_annony_non_annony2.shikkan748_start_date IS 'J672_疾患開始日';</v>
      </c>
    </row>
    <row r="767" spans="1:45" s="25" customFormat="1">
      <c r="A767" s="4" t="s">
        <v>5826</v>
      </c>
      <c r="B767" s="21">
        <f t="shared" si="89"/>
        <v>755</v>
      </c>
      <c r="C767" s="13" t="str">
        <f t="shared" si="88"/>
        <v>J673_疾患開始日</v>
      </c>
      <c r="D767" s="13" t="s">
        <v>6409</v>
      </c>
      <c r="E767" s="8"/>
      <c r="F767" s="7" t="s">
        <v>4348</v>
      </c>
      <c r="G767" s="7" t="s">
        <v>25</v>
      </c>
      <c r="H767" s="58"/>
      <c r="I767" s="23"/>
      <c r="J767" s="24"/>
      <c r="M767" s="4"/>
      <c r="N767" s="76"/>
      <c r="O767" s="76"/>
      <c r="P767" s="76" t="str">
        <f t="shared" si="83"/>
        <v>,shikkan749_start_date</v>
      </c>
      <c r="Q767" s="76" t="str">
        <f t="shared" si="84"/>
        <v>DATE</v>
      </c>
      <c r="R767" s="76" t="str">
        <f t="shared" si="85"/>
        <v/>
      </c>
      <c r="S767" s="76" t="str">
        <f t="shared" si="86"/>
        <v/>
      </c>
      <c r="T767" s="76" t="str">
        <f t="shared" si="87"/>
        <v>-- J673_疾患開始日</v>
      </c>
      <c r="U767" s="4" t="str">
        <f t="shared" si="72"/>
        <v>, CASE WHEN shikkan_disp_name = 'J673' THEN min_shikkan_start_date ::DATE ELSE NULL END AS shikkan749_start_date</v>
      </c>
      <c r="V767" s="25" t="str">
        <f t="shared" si="73"/>
        <v>, max(shikkan749_start_date)</v>
      </c>
      <c r="AA767" s="4"/>
      <c r="AB767" s="4"/>
      <c r="AC767" s="4"/>
      <c r="AD767" s="4"/>
      <c r="AE767" s="4"/>
      <c r="AF767" s="4"/>
      <c r="AG767" s="4"/>
      <c r="AH767" s="4"/>
      <c r="AI767" s="4"/>
      <c r="AJ767" s="76" t="str">
        <f>IF(E767="○",IF(COUNTA(E$13:E767)=1,"",",")&amp;D767,"")</f>
        <v/>
      </c>
      <c r="AK767" s="4"/>
      <c r="AL767" s="4"/>
      <c r="AM767" s="4"/>
      <c r="AN767" s="4"/>
      <c r="AO767" s="4"/>
      <c r="AP767" s="4"/>
      <c r="AQ767" s="4"/>
      <c r="AR767" s="4"/>
      <c r="AS767" s="76" t="str">
        <f>"COMMENT ON COLUMN "&amp;エンティティ一覧!$O$2&amp;"."&amp;D$8&amp;"."&amp;D767&amp;" IS '"&amp;C767&amp;"';"</f>
        <v>COMMENT ON COLUMN milscm_2023_009.sny_202310_annony_non_annony2.shikkan749_start_date IS 'J673_疾患開始日';</v>
      </c>
    </row>
    <row r="768" spans="1:45" s="25" customFormat="1">
      <c r="A768" s="4" t="s">
        <v>5827</v>
      </c>
      <c r="B768" s="21">
        <f t="shared" si="89"/>
        <v>756</v>
      </c>
      <c r="C768" s="13" t="str">
        <f t="shared" si="88"/>
        <v>J674_疾患開始日</v>
      </c>
      <c r="D768" s="13" t="s">
        <v>6410</v>
      </c>
      <c r="E768" s="8"/>
      <c r="F768" s="7" t="s">
        <v>4348</v>
      </c>
      <c r="G768" s="7" t="s">
        <v>25</v>
      </c>
      <c r="H768" s="58"/>
      <c r="I768" s="23"/>
      <c r="J768" s="24"/>
      <c r="M768" s="4"/>
      <c r="N768" s="76"/>
      <c r="O768" s="76"/>
      <c r="P768" s="76" t="str">
        <f t="shared" si="83"/>
        <v>,shikkan750_start_date</v>
      </c>
      <c r="Q768" s="76" t="str">
        <f t="shared" si="84"/>
        <v>DATE</v>
      </c>
      <c r="R768" s="76" t="str">
        <f t="shared" si="85"/>
        <v/>
      </c>
      <c r="S768" s="76" t="str">
        <f t="shared" si="86"/>
        <v/>
      </c>
      <c r="T768" s="76" t="str">
        <f t="shared" si="87"/>
        <v>-- J674_疾患開始日</v>
      </c>
      <c r="U768" s="4" t="str">
        <f t="shared" si="72"/>
        <v>, CASE WHEN shikkan_disp_name = 'J674' THEN min_shikkan_start_date ::DATE ELSE NULL END AS shikkan750_start_date</v>
      </c>
      <c r="V768" s="25" t="str">
        <f t="shared" si="73"/>
        <v>, max(shikkan750_start_date)</v>
      </c>
      <c r="AA768" s="4"/>
      <c r="AB768" s="4"/>
      <c r="AC768" s="4"/>
      <c r="AD768" s="4"/>
      <c r="AE768" s="4"/>
      <c r="AF768" s="4"/>
      <c r="AG768" s="4"/>
      <c r="AH768" s="4"/>
      <c r="AI768" s="4"/>
      <c r="AJ768" s="76" t="str">
        <f>IF(E768="○",IF(COUNTA(E$13:E768)=1,"",",")&amp;D768,"")</f>
        <v/>
      </c>
      <c r="AK768" s="4"/>
      <c r="AL768" s="4"/>
      <c r="AM768" s="4"/>
      <c r="AN768" s="4"/>
      <c r="AO768" s="4"/>
      <c r="AP768" s="4"/>
      <c r="AQ768" s="4"/>
      <c r="AR768" s="4"/>
      <c r="AS768" s="76" t="str">
        <f>"COMMENT ON COLUMN "&amp;エンティティ一覧!$O$2&amp;"."&amp;D$8&amp;"."&amp;D768&amp;" IS '"&amp;C768&amp;"';"</f>
        <v>COMMENT ON COLUMN milscm_2023_009.sny_202310_annony_non_annony2.shikkan750_start_date IS 'J674_疾患開始日';</v>
      </c>
    </row>
    <row r="769" spans="1:45" s="25" customFormat="1">
      <c r="A769" s="4" t="s">
        <v>5828</v>
      </c>
      <c r="B769" s="21">
        <f t="shared" si="89"/>
        <v>757</v>
      </c>
      <c r="C769" s="13" t="str">
        <f t="shared" si="88"/>
        <v>J675_疾患開始日</v>
      </c>
      <c r="D769" s="13" t="s">
        <v>6411</v>
      </c>
      <c r="E769" s="8"/>
      <c r="F769" s="7" t="s">
        <v>4348</v>
      </c>
      <c r="G769" s="7" t="s">
        <v>99</v>
      </c>
      <c r="H769" s="58"/>
      <c r="I769" s="23"/>
      <c r="J769" s="24"/>
      <c r="M769" s="4"/>
      <c r="N769" s="76"/>
      <c r="O769" s="76"/>
      <c r="P769" s="76" t="str">
        <f t="shared" si="83"/>
        <v>,shikkan751_start_date</v>
      </c>
      <c r="Q769" s="76" t="str">
        <f t="shared" si="84"/>
        <v>DATE</v>
      </c>
      <c r="R769" s="76" t="str">
        <f t="shared" si="85"/>
        <v/>
      </c>
      <c r="S769" s="76" t="str">
        <f t="shared" si="86"/>
        <v/>
      </c>
      <c r="T769" s="76" t="str">
        <f t="shared" si="87"/>
        <v>-- J675_疾患開始日</v>
      </c>
      <c r="U769" s="4" t="str">
        <f t="shared" si="72"/>
        <v>, CASE WHEN shikkan_disp_name = 'J675' THEN min_shikkan_start_date ::DATE ELSE NULL END AS shikkan751_start_date</v>
      </c>
      <c r="V769" s="25" t="str">
        <f t="shared" si="73"/>
        <v>, max(shikkan751_start_date)</v>
      </c>
      <c r="AA769" s="4"/>
      <c r="AB769" s="4"/>
      <c r="AC769" s="4"/>
      <c r="AD769" s="4"/>
      <c r="AE769" s="4"/>
      <c r="AF769" s="4"/>
      <c r="AG769" s="4"/>
      <c r="AH769" s="4"/>
      <c r="AI769" s="4"/>
      <c r="AJ769" s="76" t="str">
        <f>IF(E769="○",IF(COUNTA(E$13:E769)=1,"",",")&amp;D769,"")</f>
        <v/>
      </c>
      <c r="AK769" s="4"/>
      <c r="AL769" s="4"/>
      <c r="AM769" s="4"/>
      <c r="AN769" s="4"/>
      <c r="AO769" s="4"/>
      <c r="AP769" s="4"/>
      <c r="AQ769" s="4"/>
      <c r="AR769" s="4"/>
      <c r="AS769" s="76" t="str">
        <f>"COMMENT ON COLUMN "&amp;エンティティ一覧!$O$2&amp;"."&amp;D$8&amp;"."&amp;D769&amp;" IS '"&amp;C769&amp;"';"</f>
        <v>COMMENT ON COLUMN milscm_2023_009.sny_202310_annony_non_annony2.shikkan751_start_date IS 'J675_疾患開始日';</v>
      </c>
    </row>
    <row r="770" spans="1:45" s="25" customFormat="1">
      <c r="A770" s="4" t="s">
        <v>5829</v>
      </c>
      <c r="B770" s="21">
        <f t="shared" si="89"/>
        <v>758</v>
      </c>
      <c r="C770" s="13" t="str">
        <f t="shared" si="88"/>
        <v>J676_疾患開始日</v>
      </c>
      <c r="D770" s="13" t="s">
        <v>6412</v>
      </c>
      <c r="E770" s="8"/>
      <c r="F770" s="7" t="s">
        <v>4348</v>
      </c>
      <c r="G770" s="7" t="s">
        <v>25</v>
      </c>
      <c r="H770" s="58"/>
      <c r="I770" s="23"/>
      <c r="J770" s="24"/>
      <c r="M770" s="4"/>
      <c r="N770" s="76"/>
      <c r="O770" s="76"/>
      <c r="P770" s="76" t="str">
        <f t="shared" si="83"/>
        <v>,shikkan752_start_date</v>
      </c>
      <c r="Q770" s="76" t="str">
        <f t="shared" si="84"/>
        <v>DATE</v>
      </c>
      <c r="R770" s="76" t="str">
        <f t="shared" si="85"/>
        <v/>
      </c>
      <c r="S770" s="76" t="str">
        <f t="shared" si="86"/>
        <v/>
      </c>
      <c r="T770" s="76" t="str">
        <f t="shared" si="87"/>
        <v>-- J676_疾患開始日</v>
      </c>
      <c r="U770" s="4" t="str">
        <f t="shared" si="72"/>
        <v>, CASE WHEN shikkan_disp_name = 'J676' THEN min_shikkan_start_date ::DATE ELSE NULL END AS shikkan752_start_date</v>
      </c>
      <c r="V770" s="25" t="str">
        <f t="shared" si="73"/>
        <v>, max(shikkan752_start_date)</v>
      </c>
      <c r="AA770" s="4"/>
      <c r="AB770" s="4"/>
      <c r="AC770" s="4"/>
      <c r="AD770" s="4"/>
      <c r="AE770" s="4"/>
      <c r="AF770" s="4"/>
      <c r="AG770" s="4"/>
      <c r="AH770" s="4"/>
      <c r="AI770" s="4"/>
      <c r="AJ770" s="76" t="str">
        <f>IF(E770="○",IF(COUNTA(E$13:E770)=1,"",",")&amp;D770,"")</f>
        <v/>
      </c>
      <c r="AK770" s="4"/>
      <c r="AL770" s="4"/>
      <c r="AM770" s="4"/>
      <c r="AN770" s="4"/>
      <c r="AO770" s="4"/>
      <c r="AP770" s="4"/>
      <c r="AQ770" s="4"/>
      <c r="AR770" s="4"/>
      <c r="AS770" s="76" t="str">
        <f>"COMMENT ON COLUMN "&amp;エンティティ一覧!$O$2&amp;"."&amp;D$8&amp;"."&amp;D770&amp;" IS '"&amp;C770&amp;"';"</f>
        <v>COMMENT ON COLUMN milscm_2023_009.sny_202310_annony_non_annony2.shikkan752_start_date IS 'J676_疾患開始日';</v>
      </c>
    </row>
    <row r="771" spans="1:45" s="25" customFormat="1">
      <c r="A771" s="4" t="s">
        <v>5830</v>
      </c>
      <c r="B771" s="21">
        <f t="shared" si="89"/>
        <v>759</v>
      </c>
      <c r="C771" s="13" t="str">
        <f t="shared" si="88"/>
        <v>J677_疾患開始日</v>
      </c>
      <c r="D771" s="13" t="s">
        <v>6413</v>
      </c>
      <c r="E771" s="8"/>
      <c r="F771" s="7" t="s">
        <v>4348</v>
      </c>
      <c r="G771" s="7" t="s">
        <v>25</v>
      </c>
      <c r="H771" s="58"/>
      <c r="I771" s="23"/>
      <c r="J771" s="24"/>
      <c r="M771" s="4"/>
      <c r="N771" s="76"/>
      <c r="O771" s="76"/>
      <c r="P771" s="76" t="str">
        <f t="shared" si="83"/>
        <v>,shikkan753_start_date</v>
      </c>
      <c r="Q771" s="76" t="str">
        <f t="shared" si="84"/>
        <v>DATE</v>
      </c>
      <c r="R771" s="76" t="str">
        <f t="shared" si="85"/>
        <v/>
      </c>
      <c r="S771" s="76" t="str">
        <f t="shared" si="86"/>
        <v/>
      </c>
      <c r="T771" s="76" t="str">
        <f t="shared" si="87"/>
        <v>-- J677_疾患開始日</v>
      </c>
      <c r="U771" s="4" t="str">
        <f t="shared" si="72"/>
        <v>, CASE WHEN shikkan_disp_name = 'J677' THEN min_shikkan_start_date ::DATE ELSE NULL END AS shikkan753_start_date</v>
      </c>
      <c r="V771" s="25" t="str">
        <f t="shared" si="73"/>
        <v>, max(shikkan753_start_date)</v>
      </c>
      <c r="AA771" s="4"/>
      <c r="AB771" s="4"/>
      <c r="AC771" s="4"/>
      <c r="AD771" s="4"/>
      <c r="AE771" s="4"/>
      <c r="AF771" s="4"/>
      <c r="AG771" s="4"/>
      <c r="AH771" s="4"/>
      <c r="AI771" s="4"/>
      <c r="AJ771" s="76" t="str">
        <f>IF(E771="○",IF(COUNTA(E$13:E771)=1,"",",")&amp;D771,"")</f>
        <v/>
      </c>
      <c r="AK771" s="4"/>
      <c r="AL771" s="4"/>
      <c r="AM771" s="4"/>
      <c r="AN771" s="4"/>
      <c r="AO771" s="4"/>
      <c r="AP771" s="4"/>
      <c r="AQ771" s="4"/>
      <c r="AR771" s="4"/>
      <c r="AS771" s="76" t="str">
        <f>"COMMENT ON COLUMN "&amp;エンティティ一覧!$O$2&amp;"."&amp;D$8&amp;"."&amp;D771&amp;" IS '"&amp;C771&amp;"';"</f>
        <v>COMMENT ON COLUMN milscm_2023_009.sny_202310_annony_non_annony2.shikkan753_start_date IS 'J677_疾患開始日';</v>
      </c>
    </row>
    <row r="772" spans="1:45" s="25" customFormat="1">
      <c r="A772" s="4" t="s">
        <v>5831</v>
      </c>
      <c r="B772" s="21">
        <f t="shared" si="89"/>
        <v>760</v>
      </c>
      <c r="C772" s="13" t="str">
        <f t="shared" si="88"/>
        <v>J678_疾患開始日</v>
      </c>
      <c r="D772" s="13" t="s">
        <v>6414</v>
      </c>
      <c r="E772" s="8"/>
      <c r="F772" s="7" t="s">
        <v>4348</v>
      </c>
      <c r="G772" s="7" t="s">
        <v>25</v>
      </c>
      <c r="H772" s="58"/>
      <c r="I772" s="23"/>
      <c r="J772" s="24"/>
      <c r="M772" s="4"/>
      <c r="N772" s="76"/>
      <c r="O772" s="76"/>
      <c r="P772" s="76" t="str">
        <f t="shared" si="83"/>
        <v>,shikkan754_start_date</v>
      </c>
      <c r="Q772" s="76" t="str">
        <f t="shared" si="84"/>
        <v>DATE</v>
      </c>
      <c r="R772" s="76" t="str">
        <f t="shared" si="85"/>
        <v/>
      </c>
      <c r="S772" s="76" t="str">
        <f t="shared" si="86"/>
        <v/>
      </c>
      <c r="T772" s="76" t="str">
        <f t="shared" si="87"/>
        <v>-- J678_疾患開始日</v>
      </c>
      <c r="U772" s="4" t="str">
        <f t="shared" si="72"/>
        <v>, CASE WHEN shikkan_disp_name = 'J678' THEN min_shikkan_start_date ::DATE ELSE NULL END AS shikkan754_start_date</v>
      </c>
      <c r="V772" s="25" t="str">
        <f t="shared" si="73"/>
        <v>, max(shikkan754_start_date)</v>
      </c>
      <c r="AA772" s="4"/>
      <c r="AB772" s="4"/>
      <c r="AC772" s="4"/>
      <c r="AD772" s="4"/>
      <c r="AE772" s="4"/>
      <c r="AF772" s="4"/>
      <c r="AG772" s="4"/>
      <c r="AH772" s="4"/>
      <c r="AI772" s="4"/>
      <c r="AJ772" s="76" t="str">
        <f>IF(E772="○",IF(COUNTA(E$13:E772)=1,"",",")&amp;D772,"")</f>
        <v/>
      </c>
      <c r="AK772" s="4"/>
      <c r="AL772" s="4"/>
      <c r="AM772" s="4"/>
      <c r="AN772" s="4"/>
      <c r="AO772" s="4"/>
      <c r="AP772" s="4"/>
      <c r="AQ772" s="4"/>
      <c r="AR772" s="4"/>
      <c r="AS772" s="76" t="str">
        <f>"COMMENT ON COLUMN "&amp;エンティティ一覧!$O$2&amp;"."&amp;D$8&amp;"."&amp;D772&amp;" IS '"&amp;C772&amp;"';"</f>
        <v>COMMENT ON COLUMN milscm_2023_009.sny_202310_annony_non_annony2.shikkan754_start_date IS 'J678_疾患開始日';</v>
      </c>
    </row>
    <row r="773" spans="1:45" s="25" customFormat="1">
      <c r="A773" s="4" t="s">
        <v>5832</v>
      </c>
      <c r="B773" s="21">
        <f t="shared" si="89"/>
        <v>761</v>
      </c>
      <c r="C773" s="13" t="str">
        <f t="shared" si="88"/>
        <v>J679_疾患開始日</v>
      </c>
      <c r="D773" s="13" t="s">
        <v>6415</v>
      </c>
      <c r="E773" s="8"/>
      <c r="F773" s="7" t="s">
        <v>4348</v>
      </c>
      <c r="G773" s="7" t="s">
        <v>25</v>
      </c>
      <c r="H773" s="58"/>
      <c r="I773" s="23"/>
      <c r="J773" s="24"/>
      <c r="M773" s="4"/>
      <c r="N773" s="76"/>
      <c r="O773" s="76"/>
      <c r="P773" s="76" t="str">
        <f t="shared" si="83"/>
        <v>,shikkan755_start_date</v>
      </c>
      <c r="Q773" s="76" t="str">
        <f t="shared" si="84"/>
        <v>DATE</v>
      </c>
      <c r="R773" s="76" t="str">
        <f t="shared" si="85"/>
        <v/>
      </c>
      <c r="S773" s="76" t="str">
        <f t="shared" si="86"/>
        <v/>
      </c>
      <c r="T773" s="76" t="str">
        <f t="shared" si="87"/>
        <v>-- J679_疾患開始日</v>
      </c>
      <c r="U773" s="4" t="str">
        <f t="shared" si="72"/>
        <v>, CASE WHEN shikkan_disp_name = 'J679' THEN min_shikkan_start_date ::DATE ELSE NULL END AS shikkan755_start_date</v>
      </c>
      <c r="V773" s="25" t="str">
        <f t="shared" si="73"/>
        <v>, max(shikkan755_start_date)</v>
      </c>
      <c r="AA773" s="4"/>
      <c r="AB773" s="4"/>
      <c r="AC773" s="4"/>
      <c r="AD773" s="4"/>
      <c r="AE773" s="4"/>
      <c r="AF773" s="4"/>
      <c r="AG773" s="4"/>
      <c r="AH773" s="4"/>
      <c r="AI773" s="4"/>
      <c r="AJ773" s="76" t="str">
        <f>IF(E773="○",IF(COUNTA(E$13:E773)=1,"",",")&amp;D773,"")</f>
        <v/>
      </c>
      <c r="AK773" s="4"/>
      <c r="AL773" s="4"/>
      <c r="AM773" s="4"/>
      <c r="AN773" s="4"/>
      <c r="AO773" s="4"/>
      <c r="AP773" s="4"/>
      <c r="AQ773" s="4"/>
      <c r="AR773" s="4"/>
      <c r="AS773" s="76" t="str">
        <f>"COMMENT ON COLUMN "&amp;エンティティ一覧!$O$2&amp;"."&amp;D$8&amp;"."&amp;D773&amp;" IS '"&amp;C773&amp;"';"</f>
        <v>COMMENT ON COLUMN milscm_2023_009.sny_202310_annony_non_annony2.shikkan755_start_date IS 'J679_疾患開始日';</v>
      </c>
    </row>
    <row r="774" spans="1:45" s="25" customFormat="1">
      <c r="A774" s="4" t="s">
        <v>5833</v>
      </c>
      <c r="B774" s="21">
        <f t="shared" si="89"/>
        <v>762</v>
      </c>
      <c r="C774" s="13" t="str">
        <f t="shared" si="88"/>
        <v>J684_疾患開始日</v>
      </c>
      <c r="D774" s="13" t="s">
        <v>6416</v>
      </c>
      <c r="E774" s="8"/>
      <c r="F774" s="7" t="s">
        <v>4348</v>
      </c>
      <c r="G774" s="7" t="s">
        <v>25</v>
      </c>
      <c r="H774" s="58"/>
      <c r="I774" s="23"/>
      <c r="J774" s="24"/>
      <c r="M774" s="4"/>
      <c r="N774" s="76"/>
      <c r="O774" s="76"/>
      <c r="P774" s="76" t="str">
        <f t="shared" si="83"/>
        <v>,shikkan756_start_date</v>
      </c>
      <c r="Q774" s="76" t="str">
        <f t="shared" si="84"/>
        <v>DATE</v>
      </c>
      <c r="R774" s="76" t="str">
        <f t="shared" si="85"/>
        <v/>
      </c>
      <c r="S774" s="76" t="str">
        <f t="shared" si="86"/>
        <v/>
      </c>
      <c r="T774" s="76" t="str">
        <f t="shared" si="87"/>
        <v>-- J684_疾患開始日</v>
      </c>
      <c r="U774" s="4" t="str">
        <f t="shared" si="72"/>
        <v>, CASE WHEN shikkan_disp_name = 'J684' THEN min_shikkan_start_date ::DATE ELSE NULL END AS shikkan756_start_date</v>
      </c>
      <c r="V774" s="25" t="str">
        <f t="shared" si="73"/>
        <v>, max(shikkan756_start_date)</v>
      </c>
      <c r="AA774" s="4"/>
      <c r="AB774" s="4"/>
      <c r="AC774" s="4"/>
      <c r="AD774" s="4"/>
      <c r="AE774" s="4"/>
      <c r="AF774" s="4"/>
      <c r="AG774" s="4"/>
      <c r="AH774" s="4"/>
      <c r="AI774" s="4"/>
      <c r="AJ774" s="76" t="str">
        <f>IF(E774="○",IF(COUNTA(E$13:E774)=1,"",",")&amp;D774,"")</f>
        <v/>
      </c>
      <c r="AK774" s="4"/>
      <c r="AL774" s="4"/>
      <c r="AM774" s="4"/>
      <c r="AN774" s="4"/>
      <c r="AO774" s="4"/>
      <c r="AP774" s="4"/>
      <c r="AQ774" s="4"/>
      <c r="AR774" s="4"/>
      <c r="AS774" s="76" t="str">
        <f>"COMMENT ON COLUMN "&amp;エンティティ一覧!$O$2&amp;"."&amp;D$8&amp;"."&amp;D774&amp;" IS '"&amp;C774&amp;"';"</f>
        <v>COMMENT ON COLUMN milscm_2023_009.sny_202310_annony_non_annony2.shikkan756_start_date IS 'J684_疾患開始日';</v>
      </c>
    </row>
    <row r="775" spans="1:45" s="25" customFormat="1">
      <c r="A775" s="4" t="s">
        <v>5834</v>
      </c>
      <c r="B775" s="21">
        <f t="shared" si="89"/>
        <v>763</v>
      </c>
      <c r="C775" s="13" t="str">
        <f t="shared" si="88"/>
        <v>J701_疾患開始日</v>
      </c>
      <c r="D775" s="13" t="s">
        <v>6417</v>
      </c>
      <c r="E775" s="8"/>
      <c r="F775" s="7" t="s">
        <v>4348</v>
      </c>
      <c r="G775" s="7" t="s">
        <v>25</v>
      </c>
      <c r="H775" s="58"/>
      <c r="I775" s="23"/>
      <c r="J775" s="24"/>
      <c r="M775" s="4"/>
      <c r="N775" s="76"/>
      <c r="O775" s="76"/>
      <c r="P775" s="76" t="str">
        <f t="shared" si="83"/>
        <v>,shikkan757_start_date</v>
      </c>
      <c r="Q775" s="76" t="str">
        <f t="shared" si="84"/>
        <v>DATE</v>
      </c>
      <c r="R775" s="76" t="str">
        <f t="shared" si="85"/>
        <v/>
      </c>
      <c r="S775" s="76" t="str">
        <f t="shared" si="86"/>
        <v/>
      </c>
      <c r="T775" s="76" t="str">
        <f t="shared" si="87"/>
        <v>-- J701_疾患開始日</v>
      </c>
      <c r="U775" s="4" t="str">
        <f t="shared" si="72"/>
        <v>, CASE WHEN shikkan_disp_name = 'J701' THEN min_shikkan_start_date ::DATE ELSE NULL END AS shikkan757_start_date</v>
      </c>
      <c r="V775" s="25" t="str">
        <f t="shared" si="73"/>
        <v>, max(shikkan757_start_date)</v>
      </c>
      <c r="AA775" s="4"/>
      <c r="AB775" s="4"/>
      <c r="AC775" s="4"/>
      <c r="AD775" s="4"/>
      <c r="AE775" s="4"/>
      <c r="AF775" s="4"/>
      <c r="AG775" s="4"/>
      <c r="AH775" s="4"/>
      <c r="AI775" s="4"/>
      <c r="AJ775" s="76" t="str">
        <f>IF(E775="○",IF(COUNTA(E$13:E775)=1,"",",")&amp;D775,"")</f>
        <v/>
      </c>
      <c r="AK775" s="4"/>
      <c r="AL775" s="4"/>
      <c r="AM775" s="4"/>
      <c r="AN775" s="4"/>
      <c r="AO775" s="4"/>
      <c r="AP775" s="4"/>
      <c r="AQ775" s="4"/>
      <c r="AR775" s="4"/>
      <c r="AS775" s="76" t="str">
        <f>"COMMENT ON COLUMN "&amp;エンティティ一覧!$O$2&amp;"."&amp;D$8&amp;"."&amp;D775&amp;" IS '"&amp;C775&amp;"';"</f>
        <v>COMMENT ON COLUMN milscm_2023_009.sny_202310_annony_non_annony2.shikkan757_start_date IS 'J701_疾患開始日';</v>
      </c>
    </row>
    <row r="776" spans="1:45" s="25" customFormat="1">
      <c r="A776" s="4" t="s">
        <v>5835</v>
      </c>
      <c r="B776" s="21">
        <f t="shared" si="89"/>
        <v>764</v>
      </c>
      <c r="C776" s="13" t="str">
        <f t="shared" si="88"/>
        <v>J703_疾患開始日</v>
      </c>
      <c r="D776" s="13" t="s">
        <v>6418</v>
      </c>
      <c r="E776" s="8"/>
      <c r="F776" s="7" t="s">
        <v>4348</v>
      </c>
      <c r="G776" s="7" t="s">
        <v>25</v>
      </c>
      <c r="H776" s="58"/>
      <c r="I776" s="23"/>
      <c r="J776" s="24"/>
      <c r="M776" s="4"/>
      <c r="N776" s="76"/>
      <c r="O776" s="76"/>
      <c r="P776" s="76" t="str">
        <f t="shared" si="83"/>
        <v>,shikkan758_start_date</v>
      </c>
      <c r="Q776" s="76" t="str">
        <f t="shared" si="84"/>
        <v>DATE</v>
      </c>
      <c r="R776" s="76" t="str">
        <f t="shared" si="85"/>
        <v/>
      </c>
      <c r="S776" s="76" t="str">
        <f t="shared" si="86"/>
        <v/>
      </c>
      <c r="T776" s="76" t="str">
        <f t="shared" si="87"/>
        <v>-- J703_疾患開始日</v>
      </c>
      <c r="U776" s="4" t="str">
        <f t="shared" si="72"/>
        <v>, CASE WHEN shikkan_disp_name = 'J703' THEN min_shikkan_start_date ::DATE ELSE NULL END AS shikkan758_start_date</v>
      </c>
      <c r="V776" s="25" t="str">
        <f t="shared" si="73"/>
        <v>, max(shikkan758_start_date)</v>
      </c>
      <c r="AA776" s="4"/>
      <c r="AB776" s="4"/>
      <c r="AC776" s="4"/>
      <c r="AD776" s="4"/>
      <c r="AE776" s="4"/>
      <c r="AF776" s="4"/>
      <c r="AG776" s="4"/>
      <c r="AH776" s="4"/>
      <c r="AI776" s="4"/>
      <c r="AJ776" s="76" t="str">
        <f>IF(E776="○",IF(COUNTA(E$13:E776)=1,"",",")&amp;D776,"")</f>
        <v/>
      </c>
      <c r="AK776" s="4"/>
      <c r="AL776" s="4"/>
      <c r="AM776" s="4"/>
      <c r="AN776" s="4"/>
      <c r="AO776" s="4"/>
      <c r="AP776" s="4"/>
      <c r="AQ776" s="4"/>
      <c r="AR776" s="4"/>
      <c r="AS776" s="76" t="str">
        <f>"COMMENT ON COLUMN "&amp;エンティティ一覧!$O$2&amp;"."&amp;D$8&amp;"."&amp;D776&amp;" IS '"&amp;C776&amp;"';"</f>
        <v>COMMENT ON COLUMN milscm_2023_009.sny_202310_annony_non_annony2.shikkan758_start_date IS 'J703_疾患開始日';</v>
      </c>
    </row>
    <row r="777" spans="1:45" s="25" customFormat="1">
      <c r="A777" s="4" t="s">
        <v>5836</v>
      </c>
      <c r="B777" s="21">
        <f t="shared" si="89"/>
        <v>765</v>
      </c>
      <c r="C777" s="13" t="str">
        <f t="shared" si="88"/>
        <v>K250_疾患開始日</v>
      </c>
      <c r="D777" s="13" t="s">
        <v>6419</v>
      </c>
      <c r="E777" s="8"/>
      <c r="F777" s="7" t="s">
        <v>4348</v>
      </c>
      <c r="G777" s="7" t="s">
        <v>25</v>
      </c>
      <c r="H777" s="58"/>
      <c r="I777" s="23"/>
      <c r="J777" s="24"/>
      <c r="M777" s="4"/>
      <c r="N777" s="76"/>
      <c r="O777" s="76"/>
      <c r="P777" s="76" t="str">
        <f t="shared" si="83"/>
        <v>,shikkan759_start_date</v>
      </c>
      <c r="Q777" s="76" t="str">
        <f t="shared" si="84"/>
        <v>DATE</v>
      </c>
      <c r="R777" s="76" t="str">
        <f t="shared" si="85"/>
        <v/>
      </c>
      <c r="S777" s="76" t="str">
        <f t="shared" si="86"/>
        <v/>
      </c>
      <c r="T777" s="76" t="str">
        <f t="shared" si="87"/>
        <v>-- K250_疾患開始日</v>
      </c>
      <c r="U777" s="4" t="str">
        <f t="shared" si="72"/>
        <v>, CASE WHEN shikkan_disp_name = 'K250' THEN min_shikkan_start_date ::DATE ELSE NULL END AS shikkan759_start_date</v>
      </c>
      <c r="V777" s="25" t="str">
        <f t="shared" si="73"/>
        <v>, max(shikkan759_start_date)</v>
      </c>
      <c r="AA777" s="4"/>
      <c r="AB777" s="4"/>
      <c r="AC777" s="4"/>
      <c r="AD777" s="4"/>
      <c r="AE777" s="4"/>
      <c r="AF777" s="4"/>
      <c r="AG777" s="4"/>
      <c r="AH777" s="4"/>
      <c r="AI777" s="4"/>
      <c r="AJ777" s="76" t="str">
        <f>IF(E777="○",IF(COUNTA(E$13:E777)=1,"",",")&amp;D777,"")</f>
        <v/>
      </c>
      <c r="AK777" s="4"/>
      <c r="AL777" s="4"/>
      <c r="AM777" s="4"/>
      <c r="AN777" s="4"/>
      <c r="AO777" s="4"/>
      <c r="AP777" s="4"/>
      <c r="AQ777" s="4"/>
      <c r="AR777" s="4"/>
      <c r="AS777" s="76" t="str">
        <f>"COMMENT ON COLUMN "&amp;エンティティ一覧!$O$2&amp;"."&amp;D$8&amp;"."&amp;D777&amp;" IS '"&amp;C777&amp;"';"</f>
        <v>COMMENT ON COLUMN milscm_2023_009.sny_202310_annony_non_annony2.shikkan759_start_date IS 'K250_疾患開始日';</v>
      </c>
    </row>
    <row r="778" spans="1:45" s="25" customFormat="1">
      <c r="A778" s="4" t="s">
        <v>5837</v>
      </c>
      <c r="B778" s="21">
        <f t="shared" si="89"/>
        <v>766</v>
      </c>
      <c r="C778" s="13" t="str">
        <f t="shared" si="88"/>
        <v>K251_疾患開始日</v>
      </c>
      <c r="D778" s="13" t="s">
        <v>6420</v>
      </c>
      <c r="E778" s="8"/>
      <c r="F778" s="7" t="s">
        <v>4348</v>
      </c>
      <c r="G778" s="7" t="s">
        <v>25</v>
      </c>
      <c r="H778" s="58"/>
      <c r="I778" s="23"/>
      <c r="J778" s="24"/>
      <c r="M778" s="4"/>
      <c r="N778" s="76"/>
      <c r="O778" s="76"/>
      <c r="P778" s="76" t="str">
        <f t="shared" si="83"/>
        <v>,shikkan760_start_date</v>
      </c>
      <c r="Q778" s="76" t="str">
        <f t="shared" si="84"/>
        <v>DATE</v>
      </c>
      <c r="R778" s="76" t="str">
        <f t="shared" si="85"/>
        <v/>
      </c>
      <c r="S778" s="76" t="str">
        <f t="shared" si="86"/>
        <v/>
      </c>
      <c r="T778" s="76" t="str">
        <f t="shared" si="87"/>
        <v>-- K251_疾患開始日</v>
      </c>
      <c r="U778" s="4" t="str">
        <f t="shared" si="72"/>
        <v>, CASE WHEN shikkan_disp_name = 'K251' THEN min_shikkan_start_date ::DATE ELSE NULL END AS shikkan760_start_date</v>
      </c>
      <c r="V778" s="25" t="str">
        <f t="shared" si="73"/>
        <v>, max(shikkan760_start_date)</v>
      </c>
      <c r="AA778" s="4"/>
      <c r="AB778" s="4"/>
      <c r="AC778" s="4"/>
      <c r="AD778" s="4"/>
      <c r="AE778" s="4"/>
      <c r="AF778" s="4"/>
      <c r="AG778" s="4"/>
      <c r="AH778" s="4"/>
      <c r="AI778" s="4"/>
      <c r="AJ778" s="76" t="str">
        <f>IF(E778="○",IF(COUNTA(E$13:E778)=1,"",",")&amp;D778,"")</f>
        <v/>
      </c>
      <c r="AK778" s="4"/>
      <c r="AL778" s="4"/>
      <c r="AM778" s="4"/>
      <c r="AN778" s="4"/>
      <c r="AO778" s="4"/>
      <c r="AP778" s="4"/>
      <c r="AQ778" s="4"/>
      <c r="AR778" s="4"/>
      <c r="AS778" s="76" t="str">
        <f>"COMMENT ON COLUMN "&amp;エンティティ一覧!$O$2&amp;"."&amp;D$8&amp;"."&amp;D778&amp;" IS '"&amp;C778&amp;"';"</f>
        <v>COMMENT ON COLUMN milscm_2023_009.sny_202310_annony_non_annony2.shikkan760_start_date IS 'K251_疾患開始日';</v>
      </c>
    </row>
    <row r="779" spans="1:45" s="25" customFormat="1">
      <c r="A779" s="4" t="s">
        <v>5838</v>
      </c>
      <c r="B779" s="21">
        <f t="shared" si="89"/>
        <v>767</v>
      </c>
      <c r="C779" s="13" t="str">
        <f t="shared" si="88"/>
        <v>K252_疾患開始日</v>
      </c>
      <c r="D779" s="13" t="s">
        <v>6421</v>
      </c>
      <c r="E779" s="8"/>
      <c r="F779" s="7" t="s">
        <v>4348</v>
      </c>
      <c r="G779" s="7" t="s">
        <v>25</v>
      </c>
      <c r="H779" s="58"/>
      <c r="I779" s="23"/>
      <c r="J779" s="24"/>
      <c r="M779" s="4"/>
      <c r="N779" s="76"/>
      <c r="O779" s="76"/>
      <c r="P779" s="76" t="str">
        <f t="shared" si="83"/>
        <v>,shikkan761_start_date</v>
      </c>
      <c r="Q779" s="76" t="str">
        <f t="shared" si="84"/>
        <v>DATE</v>
      </c>
      <c r="R779" s="76" t="str">
        <f t="shared" si="85"/>
        <v/>
      </c>
      <c r="S779" s="76" t="str">
        <f t="shared" si="86"/>
        <v/>
      </c>
      <c r="T779" s="76" t="str">
        <f t="shared" si="87"/>
        <v>-- K252_疾患開始日</v>
      </c>
      <c r="U779" s="4" t="str">
        <f t="shared" si="72"/>
        <v>, CASE WHEN shikkan_disp_name = 'K252' THEN min_shikkan_start_date ::DATE ELSE NULL END AS shikkan761_start_date</v>
      </c>
      <c r="V779" s="25" t="str">
        <f t="shared" si="73"/>
        <v>, max(shikkan761_start_date)</v>
      </c>
      <c r="AA779" s="4"/>
      <c r="AB779" s="4"/>
      <c r="AC779" s="4"/>
      <c r="AD779" s="4"/>
      <c r="AE779" s="4"/>
      <c r="AF779" s="4"/>
      <c r="AG779" s="4"/>
      <c r="AH779" s="4"/>
      <c r="AI779" s="4"/>
      <c r="AJ779" s="76" t="str">
        <f>IF(E779="○",IF(COUNTA(E$13:E779)=1,"",",")&amp;D779,"")</f>
        <v/>
      </c>
      <c r="AK779" s="4"/>
      <c r="AL779" s="4"/>
      <c r="AM779" s="4"/>
      <c r="AN779" s="4"/>
      <c r="AO779" s="4"/>
      <c r="AP779" s="4"/>
      <c r="AQ779" s="4"/>
      <c r="AR779" s="4"/>
      <c r="AS779" s="76" t="str">
        <f>"COMMENT ON COLUMN "&amp;エンティティ一覧!$O$2&amp;"."&amp;D$8&amp;"."&amp;D779&amp;" IS '"&amp;C779&amp;"';"</f>
        <v>COMMENT ON COLUMN milscm_2023_009.sny_202310_annony_non_annony2.shikkan761_start_date IS 'K252_疾患開始日';</v>
      </c>
    </row>
    <row r="780" spans="1:45" s="25" customFormat="1">
      <c r="A780" s="4" t="s">
        <v>5839</v>
      </c>
      <c r="B780" s="21">
        <f t="shared" si="89"/>
        <v>768</v>
      </c>
      <c r="C780" s="13" t="str">
        <f t="shared" si="88"/>
        <v>K253_疾患開始日</v>
      </c>
      <c r="D780" s="13" t="s">
        <v>6422</v>
      </c>
      <c r="E780" s="8"/>
      <c r="F780" s="7" t="s">
        <v>4348</v>
      </c>
      <c r="G780" s="7" t="s">
        <v>25</v>
      </c>
      <c r="H780" s="58"/>
      <c r="I780" s="23"/>
      <c r="J780" s="24"/>
      <c r="M780" s="4"/>
      <c r="N780" s="76"/>
      <c r="O780" s="76"/>
      <c r="P780" s="76" t="str">
        <f t="shared" si="83"/>
        <v>,shikkan762_start_date</v>
      </c>
      <c r="Q780" s="76" t="str">
        <f t="shared" si="84"/>
        <v>DATE</v>
      </c>
      <c r="R780" s="76" t="str">
        <f t="shared" si="85"/>
        <v/>
      </c>
      <c r="S780" s="76" t="str">
        <f t="shared" si="86"/>
        <v/>
      </c>
      <c r="T780" s="76" t="str">
        <f t="shared" si="87"/>
        <v>-- K253_疾患開始日</v>
      </c>
      <c r="U780" s="4" t="str">
        <f t="shared" si="72"/>
        <v>, CASE WHEN shikkan_disp_name = 'K253' THEN min_shikkan_start_date ::DATE ELSE NULL END AS shikkan762_start_date</v>
      </c>
      <c r="V780" s="25" t="str">
        <f t="shared" si="73"/>
        <v>, max(shikkan762_start_date)</v>
      </c>
      <c r="AA780" s="4"/>
      <c r="AB780" s="4"/>
      <c r="AC780" s="4"/>
      <c r="AD780" s="4"/>
      <c r="AE780" s="4"/>
      <c r="AF780" s="4"/>
      <c r="AG780" s="4"/>
      <c r="AH780" s="4"/>
      <c r="AI780" s="4"/>
      <c r="AJ780" s="76" t="str">
        <f>IF(E780="○",IF(COUNTA(E$13:E780)=1,"",",")&amp;D780,"")</f>
        <v/>
      </c>
      <c r="AK780" s="4"/>
      <c r="AL780" s="4"/>
      <c r="AM780" s="4"/>
      <c r="AN780" s="4"/>
      <c r="AO780" s="4"/>
      <c r="AP780" s="4"/>
      <c r="AQ780" s="4"/>
      <c r="AR780" s="4"/>
      <c r="AS780" s="76" t="str">
        <f>"COMMENT ON COLUMN "&amp;エンティティ一覧!$O$2&amp;"."&amp;D$8&amp;"."&amp;D780&amp;" IS '"&amp;C780&amp;"';"</f>
        <v>COMMENT ON COLUMN milscm_2023_009.sny_202310_annony_non_annony2.shikkan762_start_date IS 'K253_疾患開始日';</v>
      </c>
    </row>
    <row r="781" spans="1:45" s="25" customFormat="1">
      <c r="A781" s="4" t="s">
        <v>5840</v>
      </c>
      <c r="B781" s="21">
        <f t="shared" si="89"/>
        <v>769</v>
      </c>
      <c r="C781" s="13" t="str">
        <f t="shared" si="88"/>
        <v>K254_疾患開始日</v>
      </c>
      <c r="D781" s="13" t="s">
        <v>6423</v>
      </c>
      <c r="E781" s="8"/>
      <c r="F781" s="7" t="s">
        <v>4348</v>
      </c>
      <c r="G781" s="7" t="s">
        <v>25</v>
      </c>
      <c r="H781" s="58"/>
      <c r="I781" s="23"/>
      <c r="J781" s="24"/>
      <c r="M781" s="4"/>
      <c r="N781" s="76"/>
      <c r="O781" s="76"/>
      <c r="P781" s="76" t="str">
        <f t="shared" si="83"/>
        <v>,shikkan763_start_date</v>
      </c>
      <c r="Q781" s="76" t="str">
        <f t="shared" si="84"/>
        <v>DATE</v>
      </c>
      <c r="R781" s="76" t="str">
        <f t="shared" si="85"/>
        <v/>
      </c>
      <c r="S781" s="76" t="str">
        <f t="shared" si="86"/>
        <v/>
      </c>
      <c r="T781" s="76" t="str">
        <f t="shared" si="87"/>
        <v>-- K254_疾患開始日</v>
      </c>
      <c r="U781" s="4" t="str">
        <f t="shared" si="72"/>
        <v>, CASE WHEN shikkan_disp_name = 'K254' THEN min_shikkan_start_date ::DATE ELSE NULL END AS shikkan763_start_date</v>
      </c>
      <c r="V781" s="25" t="str">
        <f t="shared" si="73"/>
        <v>, max(shikkan763_start_date)</v>
      </c>
      <c r="AA781" s="4"/>
      <c r="AB781" s="4"/>
      <c r="AC781" s="4"/>
      <c r="AD781" s="4"/>
      <c r="AE781" s="4"/>
      <c r="AF781" s="4"/>
      <c r="AG781" s="4"/>
      <c r="AH781" s="4"/>
      <c r="AI781" s="4"/>
      <c r="AJ781" s="76" t="str">
        <f>IF(E781="○",IF(COUNTA(E$13:E781)=1,"",",")&amp;D781,"")</f>
        <v/>
      </c>
      <c r="AK781" s="4"/>
      <c r="AL781" s="4"/>
      <c r="AM781" s="4"/>
      <c r="AN781" s="4"/>
      <c r="AO781" s="4"/>
      <c r="AP781" s="4"/>
      <c r="AQ781" s="4"/>
      <c r="AR781" s="4"/>
      <c r="AS781" s="76" t="str">
        <f>"COMMENT ON COLUMN "&amp;エンティティ一覧!$O$2&amp;"."&amp;D$8&amp;"."&amp;D781&amp;" IS '"&amp;C781&amp;"';"</f>
        <v>COMMENT ON COLUMN milscm_2023_009.sny_202310_annony_non_annony2.shikkan763_start_date IS 'K254_疾患開始日';</v>
      </c>
    </row>
    <row r="782" spans="1:45" s="25" customFormat="1">
      <c r="A782" s="4" t="s">
        <v>5841</v>
      </c>
      <c r="B782" s="21">
        <f t="shared" si="89"/>
        <v>770</v>
      </c>
      <c r="C782" s="13" t="str">
        <f t="shared" si="88"/>
        <v>K255_疾患開始日</v>
      </c>
      <c r="D782" s="13" t="s">
        <v>6424</v>
      </c>
      <c r="E782" s="8"/>
      <c r="F782" s="7" t="s">
        <v>4348</v>
      </c>
      <c r="G782" s="7" t="s">
        <v>25</v>
      </c>
      <c r="H782" s="58"/>
      <c r="I782" s="23"/>
      <c r="J782" s="24"/>
      <c r="M782" s="4"/>
      <c r="N782" s="76"/>
      <c r="O782" s="76"/>
      <c r="P782" s="76" t="str">
        <f t="shared" si="83"/>
        <v>,shikkan764_start_date</v>
      </c>
      <c r="Q782" s="76" t="str">
        <f t="shared" si="84"/>
        <v>DATE</v>
      </c>
      <c r="R782" s="76" t="str">
        <f t="shared" si="85"/>
        <v/>
      </c>
      <c r="S782" s="76" t="str">
        <f t="shared" si="86"/>
        <v/>
      </c>
      <c r="T782" s="76" t="str">
        <f t="shared" si="87"/>
        <v>-- K255_疾患開始日</v>
      </c>
      <c r="U782" s="4" t="str">
        <f t="shared" si="72"/>
        <v>, CASE WHEN shikkan_disp_name = 'K255' THEN min_shikkan_start_date ::DATE ELSE NULL END AS shikkan764_start_date</v>
      </c>
      <c r="V782" s="25" t="str">
        <f t="shared" si="73"/>
        <v>, max(shikkan764_start_date)</v>
      </c>
      <c r="AA782" s="4"/>
      <c r="AB782" s="4"/>
      <c r="AC782" s="4"/>
      <c r="AD782" s="4"/>
      <c r="AE782" s="4"/>
      <c r="AF782" s="4"/>
      <c r="AG782" s="4"/>
      <c r="AH782" s="4"/>
      <c r="AI782" s="4"/>
      <c r="AJ782" s="76" t="str">
        <f>IF(E782="○",IF(COUNTA(E$13:E782)=1,"",",")&amp;D782,"")</f>
        <v/>
      </c>
      <c r="AK782" s="4"/>
      <c r="AL782" s="4"/>
      <c r="AM782" s="4"/>
      <c r="AN782" s="4"/>
      <c r="AO782" s="4"/>
      <c r="AP782" s="4"/>
      <c r="AQ782" s="4"/>
      <c r="AR782" s="4"/>
      <c r="AS782" s="76" t="str">
        <f>"COMMENT ON COLUMN "&amp;エンティティ一覧!$O$2&amp;"."&amp;D$8&amp;"."&amp;D782&amp;" IS '"&amp;C782&amp;"';"</f>
        <v>COMMENT ON COLUMN milscm_2023_009.sny_202310_annony_non_annony2.shikkan764_start_date IS 'K255_疾患開始日';</v>
      </c>
    </row>
    <row r="783" spans="1:45" s="25" customFormat="1">
      <c r="A783" s="4" t="s">
        <v>5842</v>
      </c>
      <c r="B783" s="21">
        <f t="shared" si="89"/>
        <v>771</v>
      </c>
      <c r="C783" s="13" t="str">
        <f t="shared" si="88"/>
        <v>K256_疾患開始日</v>
      </c>
      <c r="D783" s="13" t="s">
        <v>6425</v>
      </c>
      <c r="E783" s="8"/>
      <c r="F783" s="7" t="s">
        <v>4348</v>
      </c>
      <c r="G783" s="7" t="s">
        <v>25</v>
      </c>
      <c r="H783" s="58"/>
      <c r="I783" s="23"/>
      <c r="J783" s="24"/>
      <c r="M783" s="4"/>
      <c r="N783" s="76"/>
      <c r="O783" s="76"/>
      <c r="P783" s="76" t="str">
        <f t="shared" si="83"/>
        <v>,shikkan765_start_date</v>
      </c>
      <c r="Q783" s="76" t="str">
        <f t="shared" si="84"/>
        <v>DATE</v>
      </c>
      <c r="R783" s="76" t="str">
        <f t="shared" si="85"/>
        <v/>
      </c>
      <c r="S783" s="76" t="str">
        <f t="shared" si="86"/>
        <v/>
      </c>
      <c r="T783" s="76" t="str">
        <f t="shared" si="87"/>
        <v>-- K256_疾患開始日</v>
      </c>
      <c r="U783" s="4" t="str">
        <f t="shared" si="72"/>
        <v>, CASE WHEN shikkan_disp_name = 'K256' THEN min_shikkan_start_date ::DATE ELSE NULL END AS shikkan765_start_date</v>
      </c>
      <c r="V783" s="25" t="str">
        <f t="shared" si="73"/>
        <v>, max(shikkan765_start_date)</v>
      </c>
      <c r="AA783" s="4"/>
      <c r="AB783" s="4"/>
      <c r="AC783" s="4"/>
      <c r="AD783" s="4"/>
      <c r="AE783" s="4"/>
      <c r="AF783" s="4"/>
      <c r="AG783" s="4"/>
      <c r="AH783" s="4"/>
      <c r="AI783" s="4"/>
      <c r="AJ783" s="76" t="str">
        <f>IF(E783="○",IF(COUNTA(E$13:E783)=1,"",",")&amp;D783,"")</f>
        <v/>
      </c>
      <c r="AK783" s="4"/>
      <c r="AL783" s="4"/>
      <c r="AM783" s="4"/>
      <c r="AN783" s="4"/>
      <c r="AO783" s="4"/>
      <c r="AP783" s="4"/>
      <c r="AQ783" s="4"/>
      <c r="AR783" s="4"/>
      <c r="AS783" s="76" t="str">
        <f>"COMMENT ON COLUMN "&amp;エンティティ一覧!$O$2&amp;"."&amp;D$8&amp;"."&amp;D783&amp;" IS '"&amp;C783&amp;"';"</f>
        <v>COMMENT ON COLUMN milscm_2023_009.sny_202310_annony_non_annony2.shikkan765_start_date IS 'K256_疾患開始日';</v>
      </c>
    </row>
    <row r="784" spans="1:45" s="25" customFormat="1">
      <c r="A784" s="4" t="s">
        <v>5843</v>
      </c>
      <c r="B784" s="21">
        <f t="shared" si="89"/>
        <v>772</v>
      </c>
      <c r="C784" s="13" t="str">
        <f t="shared" si="88"/>
        <v>K257_疾患開始日</v>
      </c>
      <c r="D784" s="13" t="s">
        <v>6426</v>
      </c>
      <c r="E784" s="8"/>
      <c r="F784" s="7" t="s">
        <v>4348</v>
      </c>
      <c r="G784" s="7" t="s">
        <v>25</v>
      </c>
      <c r="H784" s="58"/>
      <c r="I784" s="23"/>
      <c r="J784" s="24"/>
      <c r="M784" s="4"/>
      <c r="N784" s="76"/>
      <c r="O784" s="76"/>
      <c r="P784" s="76" t="str">
        <f t="shared" si="83"/>
        <v>,shikkan766_start_date</v>
      </c>
      <c r="Q784" s="76" t="str">
        <f t="shared" si="84"/>
        <v>DATE</v>
      </c>
      <c r="R784" s="76" t="str">
        <f t="shared" si="85"/>
        <v/>
      </c>
      <c r="S784" s="76" t="str">
        <f t="shared" si="86"/>
        <v/>
      </c>
      <c r="T784" s="76" t="str">
        <f t="shared" si="87"/>
        <v>-- K257_疾患開始日</v>
      </c>
      <c r="U784" s="4" t="str">
        <f t="shared" si="72"/>
        <v>, CASE WHEN shikkan_disp_name = 'K257' THEN min_shikkan_start_date ::DATE ELSE NULL END AS shikkan766_start_date</v>
      </c>
      <c r="V784" s="25" t="str">
        <f t="shared" si="73"/>
        <v>, max(shikkan766_start_date)</v>
      </c>
      <c r="AA784" s="4"/>
      <c r="AB784" s="4"/>
      <c r="AC784" s="4"/>
      <c r="AD784" s="4"/>
      <c r="AE784" s="4"/>
      <c r="AF784" s="4"/>
      <c r="AG784" s="4"/>
      <c r="AH784" s="4"/>
      <c r="AI784" s="4"/>
      <c r="AJ784" s="76" t="str">
        <f>IF(E784="○",IF(COUNTA(E$13:E784)=1,"",",")&amp;D784,"")</f>
        <v/>
      </c>
      <c r="AK784" s="4"/>
      <c r="AL784" s="4"/>
      <c r="AM784" s="4"/>
      <c r="AN784" s="4"/>
      <c r="AO784" s="4"/>
      <c r="AP784" s="4"/>
      <c r="AQ784" s="4"/>
      <c r="AR784" s="4"/>
      <c r="AS784" s="76" t="str">
        <f>"COMMENT ON COLUMN "&amp;エンティティ一覧!$O$2&amp;"."&amp;D$8&amp;"."&amp;D784&amp;" IS '"&amp;C784&amp;"';"</f>
        <v>COMMENT ON COLUMN milscm_2023_009.sny_202310_annony_non_annony2.shikkan766_start_date IS 'K257_疾患開始日';</v>
      </c>
    </row>
    <row r="785" spans="1:45" s="25" customFormat="1">
      <c r="A785" s="4" t="s">
        <v>5844</v>
      </c>
      <c r="B785" s="21">
        <f t="shared" si="89"/>
        <v>773</v>
      </c>
      <c r="C785" s="13" t="str">
        <f t="shared" si="88"/>
        <v>K259_疾患開始日</v>
      </c>
      <c r="D785" s="13" t="s">
        <v>6427</v>
      </c>
      <c r="E785" s="8"/>
      <c r="F785" s="7" t="s">
        <v>4348</v>
      </c>
      <c r="G785" s="7" t="s">
        <v>99</v>
      </c>
      <c r="H785" s="58"/>
      <c r="I785" s="23"/>
      <c r="J785" s="24"/>
      <c r="M785" s="4"/>
      <c r="N785" s="76"/>
      <c r="O785" s="76"/>
      <c r="P785" s="76" t="str">
        <f t="shared" si="83"/>
        <v>,shikkan767_start_date</v>
      </c>
      <c r="Q785" s="76" t="str">
        <f t="shared" si="84"/>
        <v>DATE</v>
      </c>
      <c r="R785" s="76" t="str">
        <f t="shared" si="85"/>
        <v/>
      </c>
      <c r="S785" s="76" t="str">
        <f t="shared" si="86"/>
        <v/>
      </c>
      <c r="T785" s="76" t="str">
        <f t="shared" si="87"/>
        <v>-- K259_疾患開始日</v>
      </c>
      <c r="U785" s="4" t="str">
        <f t="shared" si="72"/>
        <v>, CASE WHEN shikkan_disp_name = 'K259' THEN min_shikkan_start_date ::DATE ELSE NULL END AS shikkan767_start_date</v>
      </c>
      <c r="V785" s="25" t="str">
        <f t="shared" si="73"/>
        <v>, max(shikkan767_start_date)</v>
      </c>
      <c r="AA785" s="4"/>
      <c r="AB785" s="4"/>
      <c r="AC785" s="4"/>
      <c r="AD785" s="4"/>
      <c r="AE785" s="4"/>
      <c r="AF785" s="4"/>
      <c r="AG785" s="4"/>
      <c r="AH785" s="4"/>
      <c r="AI785" s="4"/>
      <c r="AJ785" s="76" t="str">
        <f>IF(E785="○",IF(COUNTA(E$13:E785)=1,"",",")&amp;D785,"")</f>
        <v/>
      </c>
      <c r="AK785" s="4"/>
      <c r="AL785" s="4"/>
      <c r="AM785" s="4"/>
      <c r="AN785" s="4"/>
      <c r="AO785" s="4"/>
      <c r="AP785" s="4"/>
      <c r="AQ785" s="4"/>
      <c r="AR785" s="4"/>
      <c r="AS785" s="76" t="str">
        <f>"COMMENT ON COLUMN "&amp;エンティティ一覧!$O$2&amp;"."&amp;D$8&amp;"."&amp;D785&amp;" IS '"&amp;C785&amp;"';"</f>
        <v>COMMENT ON COLUMN milscm_2023_009.sny_202310_annony_non_annony2.shikkan767_start_date IS 'K259_疾患開始日';</v>
      </c>
    </row>
    <row r="786" spans="1:45" s="25" customFormat="1">
      <c r="A786" s="4" t="s">
        <v>5845</v>
      </c>
      <c r="B786" s="21">
        <f t="shared" si="89"/>
        <v>774</v>
      </c>
      <c r="C786" s="13" t="str">
        <f t="shared" si="88"/>
        <v>K260_疾患開始日</v>
      </c>
      <c r="D786" s="13" t="s">
        <v>6428</v>
      </c>
      <c r="E786" s="8"/>
      <c r="F786" s="7" t="s">
        <v>4348</v>
      </c>
      <c r="G786" s="7" t="s">
        <v>25</v>
      </c>
      <c r="H786" s="58"/>
      <c r="I786" s="23"/>
      <c r="J786" s="24"/>
      <c r="M786" s="4"/>
      <c r="N786" s="76"/>
      <c r="O786" s="76"/>
      <c r="P786" s="76" t="str">
        <f t="shared" ref="P786:P849" si="90">IF(B786&lt;&gt;1,","&amp;D786,D786)</f>
        <v>,shikkan768_start_date</v>
      </c>
      <c r="Q786" s="76" t="str">
        <f t="shared" ref="Q786:Q849" si="91">UPPER(G786)</f>
        <v>DATE</v>
      </c>
      <c r="R786" s="76" t="str">
        <f t="shared" ref="R786:R849" si="92">IF(H786&lt;&gt;"","default "&amp;IF(G786="text","'"&amp;H786&amp;"'",H786),"")</f>
        <v/>
      </c>
      <c r="S786" s="76" t="str">
        <f t="shared" ref="S786:S849" si="93">IF(I786="○","NOT NULL","")</f>
        <v/>
      </c>
      <c r="T786" s="76" t="str">
        <f t="shared" ref="T786:T849" si="94">"-- "&amp;C786</f>
        <v>-- K260_疾患開始日</v>
      </c>
      <c r="U786" s="4" t="str">
        <f t="shared" si="72"/>
        <v>, CASE WHEN shikkan_disp_name = 'K260' THEN min_shikkan_start_date ::DATE ELSE NULL END AS shikkan768_start_date</v>
      </c>
      <c r="V786" s="25" t="str">
        <f t="shared" si="73"/>
        <v>, max(shikkan768_start_date)</v>
      </c>
      <c r="AA786" s="4"/>
      <c r="AB786" s="4"/>
      <c r="AC786" s="4"/>
      <c r="AD786" s="4"/>
      <c r="AE786" s="4"/>
      <c r="AF786" s="4"/>
      <c r="AG786" s="4"/>
      <c r="AH786" s="4"/>
      <c r="AI786" s="4"/>
      <c r="AJ786" s="76" t="str">
        <f>IF(E786="○",IF(COUNTA(E$13:E786)=1,"",",")&amp;D786,"")</f>
        <v/>
      </c>
      <c r="AK786" s="4"/>
      <c r="AL786" s="4"/>
      <c r="AM786" s="4"/>
      <c r="AN786" s="4"/>
      <c r="AO786" s="4"/>
      <c r="AP786" s="4"/>
      <c r="AQ786" s="4"/>
      <c r="AR786" s="4"/>
      <c r="AS786" s="76" t="str">
        <f>"COMMENT ON COLUMN "&amp;エンティティ一覧!$O$2&amp;"."&amp;D$8&amp;"."&amp;D786&amp;" IS '"&amp;C786&amp;"';"</f>
        <v>COMMENT ON COLUMN milscm_2023_009.sny_202310_annony_non_annony2.shikkan768_start_date IS 'K260_疾患開始日';</v>
      </c>
    </row>
    <row r="787" spans="1:45" s="25" customFormat="1">
      <c r="A787" s="4" t="s">
        <v>5846</v>
      </c>
      <c r="B787" s="21">
        <f t="shared" si="89"/>
        <v>775</v>
      </c>
      <c r="C787" s="13" t="str">
        <f t="shared" si="88"/>
        <v>K261_疾患開始日</v>
      </c>
      <c r="D787" s="13" t="s">
        <v>6429</v>
      </c>
      <c r="E787" s="8"/>
      <c r="F787" s="7" t="s">
        <v>4348</v>
      </c>
      <c r="G787" s="7" t="s">
        <v>25</v>
      </c>
      <c r="H787" s="58"/>
      <c r="I787" s="23"/>
      <c r="J787" s="24"/>
      <c r="M787" s="4"/>
      <c r="N787" s="76"/>
      <c r="O787" s="76"/>
      <c r="P787" s="76" t="str">
        <f t="shared" si="90"/>
        <v>,shikkan769_start_date</v>
      </c>
      <c r="Q787" s="76" t="str">
        <f t="shared" si="91"/>
        <v>DATE</v>
      </c>
      <c r="R787" s="76" t="str">
        <f t="shared" si="92"/>
        <v/>
      </c>
      <c r="S787" s="76" t="str">
        <f t="shared" si="93"/>
        <v/>
      </c>
      <c r="T787" s="76" t="str">
        <f t="shared" si="94"/>
        <v>-- K261_疾患開始日</v>
      </c>
      <c r="U787" s="4" t="str">
        <f t="shared" si="72"/>
        <v>, CASE WHEN shikkan_disp_name = 'K261' THEN min_shikkan_start_date ::DATE ELSE NULL END AS shikkan769_start_date</v>
      </c>
      <c r="V787" s="25" t="str">
        <f t="shared" si="73"/>
        <v>, max(shikkan769_start_date)</v>
      </c>
      <c r="AA787" s="4"/>
      <c r="AB787" s="4"/>
      <c r="AC787" s="4"/>
      <c r="AD787" s="4"/>
      <c r="AE787" s="4"/>
      <c r="AF787" s="4"/>
      <c r="AG787" s="4"/>
      <c r="AH787" s="4"/>
      <c r="AI787" s="4"/>
      <c r="AJ787" s="76" t="str">
        <f>IF(E787="○",IF(COUNTA(E$13:E787)=1,"",",")&amp;D787,"")</f>
        <v/>
      </c>
      <c r="AK787" s="4"/>
      <c r="AL787" s="4"/>
      <c r="AM787" s="4"/>
      <c r="AN787" s="4"/>
      <c r="AO787" s="4"/>
      <c r="AP787" s="4"/>
      <c r="AQ787" s="4"/>
      <c r="AR787" s="4"/>
      <c r="AS787" s="76" t="str">
        <f>"COMMENT ON COLUMN "&amp;エンティティ一覧!$O$2&amp;"."&amp;D$8&amp;"."&amp;D787&amp;" IS '"&amp;C787&amp;"';"</f>
        <v>COMMENT ON COLUMN milscm_2023_009.sny_202310_annony_non_annony2.shikkan769_start_date IS 'K261_疾患開始日';</v>
      </c>
    </row>
    <row r="788" spans="1:45" s="25" customFormat="1">
      <c r="A788" s="4" t="s">
        <v>5847</v>
      </c>
      <c r="B788" s="21">
        <f t="shared" si="89"/>
        <v>776</v>
      </c>
      <c r="C788" s="13" t="str">
        <f t="shared" ref="C788:C851" si="95">A788&amp;"_疾患開始日"</f>
        <v>K262_疾患開始日</v>
      </c>
      <c r="D788" s="13" t="s">
        <v>6430</v>
      </c>
      <c r="E788" s="8"/>
      <c r="F788" s="7" t="s">
        <v>4348</v>
      </c>
      <c r="G788" s="7" t="s">
        <v>25</v>
      </c>
      <c r="H788" s="58"/>
      <c r="I788" s="23"/>
      <c r="J788" s="24"/>
      <c r="M788" s="4"/>
      <c r="N788" s="76"/>
      <c r="O788" s="76"/>
      <c r="P788" s="76" t="str">
        <f t="shared" si="90"/>
        <v>,shikkan770_start_date</v>
      </c>
      <c r="Q788" s="76" t="str">
        <f t="shared" si="91"/>
        <v>DATE</v>
      </c>
      <c r="R788" s="76" t="str">
        <f t="shared" si="92"/>
        <v/>
      </c>
      <c r="S788" s="76" t="str">
        <f t="shared" si="93"/>
        <v/>
      </c>
      <c r="T788" s="76" t="str">
        <f t="shared" si="94"/>
        <v>-- K262_疾患開始日</v>
      </c>
      <c r="U788" s="4" t="str">
        <f t="shared" si="72"/>
        <v>, CASE WHEN shikkan_disp_name = 'K262' THEN min_shikkan_start_date ::DATE ELSE NULL END AS shikkan770_start_date</v>
      </c>
      <c r="V788" s="25" t="str">
        <f t="shared" si="73"/>
        <v>, max(shikkan770_start_date)</v>
      </c>
      <c r="AA788" s="4"/>
      <c r="AB788" s="4"/>
      <c r="AC788" s="4"/>
      <c r="AD788" s="4"/>
      <c r="AE788" s="4"/>
      <c r="AF788" s="4"/>
      <c r="AG788" s="4"/>
      <c r="AH788" s="4"/>
      <c r="AI788" s="4"/>
      <c r="AJ788" s="76" t="str">
        <f>IF(E788="○",IF(COUNTA(E$13:E788)=1,"",",")&amp;D788,"")</f>
        <v/>
      </c>
      <c r="AK788" s="4"/>
      <c r="AL788" s="4"/>
      <c r="AM788" s="4"/>
      <c r="AN788" s="4"/>
      <c r="AO788" s="4"/>
      <c r="AP788" s="4"/>
      <c r="AQ788" s="4"/>
      <c r="AR788" s="4"/>
      <c r="AS788" s="76" t="str">
        <f>"COMMENT ON COLUMN "&amp;エンティティ一覧!$O$2&amp;"."&amp;D$8&amp;"."&amp;D788&amp;" IS '"&amp;C788&amp;"';"</f>
        <v>COMMENT ON COLUMN milscm_2023_009.sny_202310_annony_non_annony2.shikkan770_start_date IS 'K262_疾患開始日';</v>
      </c>
    </row>
    <row r="789" spans="1:45" s="25" customFormat="1">
      <c r="A789" s="4" t="s">
        <v>5848</v>
      </c>
      <c r="B789" s="21">
        <f t="shared" si="89"/>
        <v>777</v>
      </c>
      <c r="C789" s="13" t="str">
        <f t="shared" si="95"/>
        <v>K263_疾患開始日</v>
      </c>
      <c r="D789" s="13" t="s">
        <v>6431</v>
      </c>
      <c r="E789" s="8"/>
      <c r="F789" s="7" t="s">
        <v>4348</v>
      </c>
      <c r="G789" s="7" t="s">
        <v>25</v>
      </c>
      <c r="H789" s="58"/>
      <c r="I789" s="23"/>
      <c r="J789" s="24"/>
      <c r="M789" s="4"/>
      <c r="N789" s="76"/>
      <c r="O789" s="76"/>
      <c r="P789" s="76" t="str">
        <f t="shared" si="90"/>
        <v>,shikkan771_start_date</v>
      </c>
      <c r="Q789" s="76" t="str">
        <f t="shared" si="91"/>
        <v>DATE</v>
      </c>
      <c r="R789" s="76" t="str">
        <f t="shared" si="92"/>
        <v/>
      </c>
      <c r="S789" s="76" t="str">
        <f t="shared" si="93"/>
        <v/>
      </c>
      <c r="T789" s="76" t="str">
        <f t="shared" si="94"/>
        <v>-- K263_疾患開始日</v>
      </c>
      <c r="U789" s="4" t="str">
        <f t="shared" si="72"/>
        <v>, CASE WHEN shikkan_disp_name = 'K263' THEN min_shikkan_start_date ::DATE ELSE NULL END AS shikkan771_start_date</v>
      </c>
      <c r="V789" s="25" t="str">
        <f t="shared" si="73"/>
        <v>, max(shikkan771_start_date)</v>
      </c>
      <c r="AA789" s="4"/>
      <c r="AB789" s="4"/>
      <c r="AC789" s="4"/>
      <c r="AD789" s="4"/>
      <c r="AE789" s="4"/>
      <c r="AF789" s="4"/>
      <c r="AG789" s="4"/>
      <c r="AH789" s="4"/>
      <c r="AI789" s="4"/>
      <c r="AJ789" s="76" t="str">
        <f>IF(E789="○",IF(COUNTA(E$13:E789)=1,"",",")&amp;D789,"")</f>
        <v/>
      </c>
      <c r="AK789" s="4"/>
      <c r="AL789" s="4"/>
      <c r="AM789" s="4"/>
      <c r="AN789" s="4"/>
      <c r="AO789" s="4"/>
      <c r="AP789" s="4"/>
      <c r="AQ789" s="4"/>
      <c r="AR789" s="4"/>
      <c r="AS789" s="76" t="str">
        <f>"COMMENT ON COLUMN "&amp;エンティティ一覧!$O$2&amp;"."&amp;D$8&amp;"."&amp;D789&amp;" IS '"&amp;C789&amp;"';"</f>
        <v>COMMENT ON COLUMN milscm_2023_009.sny_202310_annony_non_annony2.shikkan771_start_date IS 'K263_疾患開始日';</v>
      </c>
    </row>
    <row r="790" spans="1:45" s="25" customFormat="1">
      <c r="A790" s="4" t="s">
        <v>5849</v>
      </c>
      <c r="B790" s="21">
        <f t="shared" ref="B790:B853" si="96">ROW()-12</f>
        <v>778</v>
      </c>
      <c r="C790" s="13" t="str">
        <f t="shared" si="95"/>
        <v>K264_疾患開始日</v>
      </c>
      <c r="D790" s="13" t="s">
        <v>6432</v>
      </c>
      <c r="E790" s="8"/>
      <c r="F790" s="7" t="s">
        <v>4348</v>
      </c>
      <c r="G790" s="7" t="s">
        <v>25</v>
      </c>
      <c r="H790" s="58"/>
      <c r="I790" s="23"/>
      <c r="J790" s="24"/>
      <c r="M790" s="4"/>
      <c r="N790" s="76"/>
      <c r="O790" s="76"/>
      <c r="P790" s="76" t="str">
        <f t="shared" si="90"/>
        <v>,shikkan772_start_date</v>
      </c>
      <c r="Q790" s="76" t="str">
        <f t="shared" si="91"/>
        <v>DATE</v>
      </c>
      <c r="R790" s="76" t="str">
        <f t="shared" si="92"/>
        <v/>
      </c>
      <c r="S790" s="76" t="str">
        <f t="shared" si="93"/>
        <v/>
      </c>
      <c r="T790" s="76" t="str">
        <f t="shared" si="94"/>
        <v>-- K264_疾患開始日</v>
      </c>
      <c r="U790" s="4" t="str">
        <f t="shared" si="72"/>
        <v>, CASE WHEN shikkan_disp_name = 'K264' THEN min_shikkan_start_date ::DATE ELSE NULL END AS shikkan772_start_date</v>
      </c>
      <c r="V790" s="25" t="str">
        <f t="shared" si="73"/>
        <v>, max(shikkan772_start_date)</v>
      </c>
      <c r="AA790" s="4"/>
      <c r="AB790" s="4"/>
      <c r="AC790" s="4"/>
      <c r="AD790" s="4"/>
      <c r="AE790" s="4"/>
      <c r="AF790" s="4"/>
      <c r="AG790" s="4"/>
      <c r="AH790" s="4"/>
      <c r="AI790" s="4"/>
      <c r="AJ790" s="76" t="str">
        <f>IF(E790="○",IF(COUNTA(E$13:E790)=1,"",",")&amp;D790,"")</f>
        <v/>
      </c>
      <c r="AK790" s="4"/>
      <c r="AL790" s="4"/>
      <c r="AM790" s="4"/>
      <c r="AN790" s="4"/>
      <c r="AO790" s="4"/>
      <c r="AP790" s="4"/>
      <c r="AQ790" s="4"/>
      <c r="AR790" s="4"/>
      <c r="AS790" s="76" t="str">
        <f>"COMMENT ON COLUMN "&amp;エンティティ一覧!$O$2&amp;"."&amp;D$8&amp;"."&amp;D790&amp;" IS '"&amp;C790&amp;"';"</f>
        <v>COMMENT ON COLUMN milscm_2023_009.sny_202310_annony_non_annony2.shikkan772_start_date IS 'K264_疾患開始日';</v>
      </c>
    </row>
    <row r="791" spans="1:45" s="25" customFormat="1">
      <c r="A791" s="4" t="s">
        <v>5850</v>
      </c>
      <c r="B791" s="21">
        <f t="shared" si="96"/>
        <v>779</v>
      </c>
      <c r="C791" s="13" t="str">
        <f t="shared" si="95"/>
        <v>K265_疾患開始日</v>
      </c>
      <c r="D791" s="13" t="s">
        <v>6433</v>
      </c>
      <c r="E791" s="8"/>
      <c r="F791" s="7" t="s">
        <v>4348</v>
      </c>
      <c r="G791" s="7" t="s">
        <v>25</v>
      </c>
      <c r="H791" s="58"/>
      <c r="I791" s="23"/>
      <c r="J791" s="24"/>
      <c r="M791" s="4"/>
      <c r="N791" s="76"/>
      <c r="O791" s="76"/>
      <c r="P791" s="76" t="str">
        <f t="shared" si="90"/>
        <v>,shikkan773_start_date</v>
      </c>
      <c r="Q791" s="76" t="str">
        <f t="shared" si="91"/>
        <v>DATE</v>
      </c>
      <c r="R791" s="76" t="str">
        <f t="shared" si="92"/>
        <v/>
      </c>
      <c r="S791" s="76" t="str">
        <f t="shared" si="93"/>
        <v/>
      </c>
      <c r="T791" s="76" t="str">
        <f t="shared" si="94"/>
        <v>-- K265_疾患開始日</v>
      </c>
      <c r="U791" s="4" t="str">
        <f t="shared" si="72"/>
        <v>, CASE WHEN shikkan_disp_name = 'K265' THEN min_shikkan_start_date ::DATE ELSE NULL END AS shikkan773_start_date</v>
      </c>
      <c r="V791" s="25" t="str">
        <f t="shared" si="73"/>
        <v>, max(shikkan773_start_date)</v>
      </c>
      <c r="AA791" s="4"/>
      <c r="AB791" s="4"/>
      <c r="AC791" s="4"/>
      <c r="AD791" s="4"/>
      <c r="AE791" s="4"/>
      <c r="AF791" s="4"/>
      <c r="AG791" s="4"/>
      <c r="AH791" s="4"/>
      <c r="AI791" s="4"/>
      <c r="AJ791" s="76" t="str">
        <f>IF(E791="○",IF(COUNTA(E$13:E791)=1,"",",")&amp;D791,"")</f>
        <v/>
      </c>
      <c r="AK791" s="4"/>
      <c r="AL791" s="4"/>
      <c r="AM791" s="4"/>
      <c r="AN791" s="4"/>
      <c r="AO791" s="4"/>
      <c r="AP791" s="4"/>
      <c r="AQ791" s="4"/>
      <c r="AR791" s="4"/>
      <c r="AS791" s="76" t="str">
        <f>"COMMENT ON COLUMN "&amp;エンティティ一覧!$O$2&amp;"."&amp;D$8&amp;"."&amp;D791&amp;" IS '"&amp;C791&amp;"';"</f>
        <v>COMMENT ON COLUMN milscm_2023_009.sny_202310_annony_non_annony2.shikkan773_start_date IS 'K265_疾患開始日';</v>
      </c>
    </row>
    <row r="792" spans="1:45" s="25" customFormat="1">
      <c r="A792" s="4" t="s">
        <v>5851</v>
      </c>
      <c r="B792" s="21">
        <f t="shared" si="96"/>
        <v>780</v>
      </c>
      <c r="C792" s="13" t="str">
        <f t="shared" si="95"/>
        <v>K266_疾患開始日</v>
      </c>
      <c r="D792" s="13" t="s">
        <v>6434</v>
      </c>
      <c r="E792" s="8"/>
      <c r="F792" s="7" t="s">
        <v>4348</v>
      </c>
      <c r="G792" s="7" t="s">
        <v>25</v>
      </c>
      <c r="H792" s="58"/>
      <c r="I792" s="23"/>
      <c r="J792" s="24"/>
      <c r="M792" s="4"/>
      <c r="N792" s="76"/>
      <c r="O792" s="76"/>
      <c r="P792" s="76" t="str">
        <f t="shared" si="90"/>
        <v>,shikkan774_start_date</v>
      </c>
      <c r="Q792" s="76" t="str">
        <f t="shared" si="91"/>
        <v>DATE</v>
      </c>
      <c r="R792" s="76" t="str">
        <f t="shared" si="92"/>
        <v/>
      </c>
      <c r="S792" s="76" t="str">
        <f t="shared" si="93"/>
        <v/>
      </c>
      <c r="T792" s="76" t="str">
        <f t="shared" si="94"/>
        <v>-- K266_疾患開始日</v>
      </c>
      <c r="U792" s="4" t="str">
        <f t="shared" si="72"/>
        <v>, CASE WHEN shikkan_disp_name = 'K266' THEN min_shikkan_start_date ::DATE ELSE NULL END AS shikkan774_start_date</v>
      </c>
      <c r="V792" s="25" t="str">
        <f t="shared" si="73"/>
        <v>, max(shikkan774_start_date)</v>
      </c>
      <c r="AA792" s="4"/>
      <c r="AB792" s="4"/>
      <c r="AC792" s="4"/>
      <c r="AD792" s="4"/>
      <c r="AE792" s="4"/>
      <c r="AF792" s="4"/>
      <c r="AG792" s="4"/>
      <c r="AH792" s="4"/>
      <c r="AI792" s="4"/>
      <c r="AJ792" s="76" t="str">
        <f>IF(E792="○",IF(COUNTA(E$13:E792)=1,"",",")&amp;D792,"")</f>
        <v/>
      </c>
      <c r="AK792" s="4"/>
      <c r="AL792" s="4"/>
      <c r="AM792" s="4"/>
      <c r="AN792" s="4"/>
      <c r="AO792" s="4"/>
      <c r="AP792" s="4"/>
      <c r="AQ792" s="4"/>
      <c r="AR792" s="4"/>
      <c r="AS792" s="76" t="str">
        <f>"COMMENT ON COLUMN "&amp;エンティティ一覧!$O$2&amp;"."&amp;D$8&amp;"."&amp;D792&amp;" IS '"&amp;C792&amp;"';"</f>
        <v>COMMENT ON COLUMN milscm_2023_009.sny_202310_annony_non_annony2.shikkan774_start_date IS 'K266_疾患開始日';</v>
      </c>
    </row>
    <row r="793" spans="1:45" s="25" customFormat="1">
      <c r="A793" s="4" t="s">
        <v>5852</v>
      </c>
      <c r="B793" s="21">
        <f t="shared" si="96"/>
        <v>781</v>
      </c>
      <c r="C793" s="13" t="str">
        <f t="shared" si="95"/>
        <v>K267_疾患開始日</v>
      </c>
      <c r="D793" s="13" t="s">
        <v>6435</v>
      </c>
      <c r="E793" s="8"/>
      <c r="F793" s="7" t="s">
        <v>4348</v>
      </c>
      <c r="G793" s="7" t="s">
        <v>25</v>
      </c>
      <c r="H793" s="58"/>
      <c r="I793" s="23"/>
      <c r="J793" s="24"/>
      <c r="M793" s="4"/>
      <c r="N793" s="76"/>
      <c r="O793" s="76"/>
      <c r="P793" s="76" t="str">
        <f t="shared" si="90"/>
        <v>,shikkan775_start_date</v>
      </c>
      <c r="Q793" s="76" t="str">
        <f t="shared" si="91"/>
        <v>DATE</v>
      </c>
      <c r="R793" s="76" t="str">
        <f t="shared" si="92"/>
        <v/>
      </c>
      <c r="S793" s="76" t="str">
        <f t="shared" si="93"/>
        <v/>
      </c>
      <c r="T793" s="76" t="str">
        <f t="shared" si="94"/>
        <v>-- K267_疾患開始日</v>
      </c>
      <c r="U793" s="4" t="str">
        <f t="shared" si="72"/>
        <v>, CASE WHEN shikkan_disp_name = 'K267' THEN min_shikkan_start_date ::DATE ELSE NULL END AS shikkan775_start_date</v>
      </c>
      <c r="V793" s="25" t="str">
        <f t="shared" si="73"/>
        <v>, max(shikkan775_start_date)</v>
      </c>
      <c r="AA793" s="4"/>
      <c r="AB793" s="4"/>
      <c r="AC793" s="4"/>
      <c r="AD793" s="4"/>
      <c r="AE793" s="4"/>
      <c r="AF793" s="4"/>
      <c r="AG793" s="4"/>
      <c r="AH793" s="4"/>
      <c r="AI793" s="4"/>
      <c r="AJ793" s="76" t="str">
        <f>IF(E793="○",IF(COUNTA(E$13:E793)=1,"",",")&amp;D793,"")</f>
        <v/>
      </c>
      <c r="AK793" s="4"/>
      <c r="AL793" s="4"/>
      <c r="AM793" s="4"/>
      <c r="AN793" s="4"/>
      <c r="AO793" s="4"/>
      <c r="AP793" s="4"/>
      <c r="AQ793" s="4"/>
      <c r="AR793" s="4"/>
      <c r="AS793" s="76" t="str">
        <f>"COMMENT ON COLUMN "&amp;エンティティ一覧!$O$2&amp;"."&amp;D$8&amp;"."&amp;D793&amp;" IS '"&amp;C793&amp;"';"</f>
        <v>COMMENT ON COLUMN milscm_2023_009.sny_202310_annony_non_annony2.shikkan775_start_date IS 'K267_疾患開始日';</v>
      </c>
    </row>
    <row r="794" spans="1:45" s="25" customFormat="1">
      <c r="A794" s="4" t="s">
        <v>5853</v>
      </c>
      <c r="B794" s="21">
        <f t="shared" si="96"/>
        <v>782</v>
      </c>
      <c r="C794" s="13" t="str">
        <f t="shared" si="95"/>
        <v>K269_疾患開始日</v>
      </c>
      <c r="D794" s="13" t="s">
        <v>6436</v>
      </c>
      <c r="E794" s="8"/>
      <c r="F794" s="7" t="s">
        <v>4348</v>
      </c>
      <c r="G794" s="7" t="s">
        <v>25</v>
      </c>
      <c r="H794" s="58"/>
      <c r="I794" s="23"/>
      <c r="J794" s="24"/>
      <c r="M794" s="4"/>
      <c r="N794" s="76"/>
      <c r="O794" s="76"/>
      <c r="P794" s="76" t="str">
        <f t="shared" si="90"/>
        <v>,shikkan776_start_date</v>
      </c>
      <c r="Q794" s="76" t="str">
        <f t="shared" si="91"/>
        <v>DATE</v>
      </c>
      <c r="R794" s="76" t="str">
        <f t="shared" si="92"/>
        <v/>
      </c>
      <c r="S794" s="76" t="str">
        <f t="shared" si="93"/>
        <v/>
      </c>
      <c r="T794" s="76" t="str">
        <f t="shared" si="94"/>
        <v>-- K269_疾患開始日</v>
      </c>
      <c r="U794" s="4" t="str">
        <f t="shared" si="72"/>
        <v>, CASE WHEN shikkan_disp_name = 'K269' THEN min_shikkan_start_date ::DATE ELSE NULL END AS shikkan776_start_date</v>
      </c>
      <c r="V794" s="25" t="str">
        <f t="shared" si="73"/>
        <v>, max(shikkan776_start_date)</v>
      </c>
      <c r="AA794" s="4"/>
      <c r="AB794" s="4"/>
      <c r="AC794" s="4"/>
      <c r="AD794" s="4"/>
      <c r="AE794" s="4"/>
      <c r="AF794" s="4"/>
      <c r="AG794" s="4"/>
      <c r="AH794" s="4"/>
      <c r="AI794" s="4"/>
      <c r="AJ794" s="76" t="str">
        <f>IF(E794="○",IF(COUNTA(E$13:E794)=1,"",",")&amp;D794,"")</f>
        <v/>
      </c>
      <c r="AK794" s="4"/>
      <c r="AL794" s="4"/>
      <c r="AM794" s="4"/>
      <c r="AN794" s="4"/>
      <c r="AO794" s="4"/>
      <c r="AP794" s="4"/>
      <c r="AQ794" s="4"/>
      <c r="AR794" s="4"/>
      <c r="AS794" s="76" t="str">
        <f>"COMMENT ON COLUMN "&amp;エンティティ一覧!$O$2&amp;"."&amp;D$8&amp;"."&amp;D794&amp;" IS '"&amp;C794&amp;"';"</f>
        <v>COMMENT ON COLUMN milscm_2023_009.sny_202310_annony_non_annony2.shikkan776_start_date IS 'K269_疾患開始日';</v>
      </c>
    </row>
    <row r="795" spans="1:45" s="25" customFormat="1">
      <c r="A795" s="4" t="s">
        <v>5854</v>
      </c>
      <c r="B795" s="21">
        <f t="shared" si="96"/>
        <v>783</v>
      </c>
      <c r="C795" s="13" t="str">
        <f t="shared" si="95"/>
        <v>K270_疾患開始日</v>
      </c>
      <c r="D795" s="13" t="s">
        <v>6437</v>
      </c>
      <c r="E795" s="8"/>
      <c r="F795" s="7" t="s">
        <v>4348</v>
      </c>
      <c r="G795" s="7" t="s">
        <v>25</v>
      </c>
      <c r="H795" s="58"/>
      <c r="I795" s="23"/>
      <c r="J795" s="24"/>
      <c r="M795" s="4"/>
      <c r="N795" s="76"/>
      <c r="O795" s="76"/>
      <c r="P795" s="76" t="str">
        <f t="shared" si="90"/>
        <v>,shikkan777_start_date</v>
      </c>
      <c r="Q795" s="76" t="str">
        <f t="shared" si="91"/>
        <v>DATE</v>
      </c>
      <c r="R795" s="76" t="str">
        <f t="shared" si="92"/>
        <v/>
      </c>
      <c r="S795" s="76" t="str">
        <f t="shared" si="93"/>
        <v/>
      </c>
      <c r="T795" s="76" t="str">
        <f t="shared" si="94"/>
        <v>-- K270_疾患開始日</v>
      </c>
      <c r="U795" s="4" t="str">
        <f t="shared" si="72"/>
        <v>, CASE WHEN shikkan_disp_name = 'K270' THEN min_shikkan_start_date ::DATE ELSE NULL END AS shikkan777_start_date</v>
      </c>
      <c r="V795" s="25" t="str">
        <f t="shared" si="73"/>
        <v>, max(shikkan777_start_date)</v>
      </c>
      <c r="AA795" s="4"/>
      <c r="AB795" s="4"/>
      <c r="AC795" s="4"/>
      <c r="AD795" s="4"/>
      <c r="AE795" s="4"/>
      <c r="AF795" s="4"/>
      <c r="AG795" s="4"/>
      <c r="AH795" s="4"/>
      <c r="AI795" s="4"/>
      <c r="AJ795" s="76" t="str">
        <f>IF(E795="○",IF(COUNTA(E$13:E795)=1,"",",")&amp;D795,"")</f>
        <v/>
      </c>
      <c r="AK795" s="4"/>
      <c r="AL795" s="4"/>
      <c r="AM795" s="4"/>
      <c r="AN795" s="4"/>
      <c r="AO795" s="4"/>
      <c r="AP795" s="4"/>
      <c r="AQ795" s="4"/>
      <c r="AR795" s="4"/>
      <c r="AS795" s="76" t="str">
        <f>"COMMENT ON COLUMN "&amp;エンティティ一覧!$O$2&amp;"."&amp;D$8&amp;"."&amp;D795&amp;" IS '"&amp;C795&amp;"';"</f>
        <v>COMMENT ON COLUMN milscm_2023_009.sny_202310_annony_non_annony2.shikkan777_start_date IS 'K270_疾患開始日';</v>
      </c>
    </row>
    <row r="796" spans="1:45" s="25" customFormat="1">
      <c r="A796" s="4" t="s">
        <v>5855</v>
      </c>
      <c r="B796" s="21">
        <f t="shared" si="96"/>
        <v>784</v>
      </c>
      <c r="C796" s="13" t="str">
        <f t="shared" si="95"/>
        <v>K271_疾患開始日</v>
      </c>
      <c r="D796" s="13" t="s">
        <v>6438</v>
      </c>
      <c r="E796" s="8"/>
      <c r="F796" s="7" t="s">
        <v>4348</v>
      </c>
      <c r="G796" s="7" t="s">
        <v>25</v>
      </c>
      <c r="H796" s="58"/>
      <c r="I796" s="23"/>
      <c r="J796" s="24"/>
      <c r="M796" s="4"/>
      <c r="N796" s="76"/>
      <c r="O796" s="76"/>
      <c r="P796" s="76" t="str">
        <f t="shared" si="90"/>
        <v>,shikkan778_start_date</v>
      </c>
      <c r="Q796" s="76" t="str">
        <f t="shared" si="91"/>
        <v>DATE</v>
      </c>
      <c r="R796" s="76" t="str">
        <f t="shared" si="92"/>
        <v/>
      </c>
      <c r="S796" s="76" t="str">
        <f t="shared" si="93"/>
        <v/>
      </c>
      <c r="T796" s="76" t="str">
        <f t="shared" si="94"/>
        <v>-- K271_疾患開始日</v>
      </c>
      <c r="U796" s="4" t="str">
        <f t="shared" si="72"/>
        <v>, CASE WHEN shikkan_disp_name = 'K271' THEN min_shikkan_start_date ::DATE ELSE NULL END AS shikkan778_start_date</v>
      </c>
      <c r="V796" s="25" t="str">
        <f t="shared" si="73"/>
        <v>, max(shikkan778_start_date)</v>
      </c>
      <c r="AA796" s="4"/>
      <c r="AB796" s="4"/>
      <c r="AC796" s="4"/>
      <c r="AD796" s="4"/>
      <c r="AE796" s="4"/>
      <c r="AF796" s="4"/>
      <c r="AG796" s="4"/>
      <c r="AH796" s="4"/>
      <c r="AI796" s="4"/>
      <c r="AJ796" s="76" t="str">
        <f>IF(E796="○",IF(COUNTA(E$13:E796)=1,"",",")&amp;D796,"")</f>
        <v/>
      </c>
      <c r="AK796" s="4"/>
      <c r="AL796" s="4"/>
      <c r="AM796" s="4"/>
      <c r="AN796" s="4"/>
      <c r="AO796" s="4"/>
      <c r="AP796" s="4"/>
      <c r="AQ796" s="4"/>
      <c r="AR796" s="4"/>
      <c r="AS796" s="76" t="str">
        <f>"COMMENT ON COLUMN "&amp;エンティティ一覧!$O$2&amp;"."&amp;D$8&amp;"."&amp;D796&amp;" IS '"&amp;C796&amp;"';"</f>
        <v>COMMENT ON COLUMN milscm_2023_009.sny_202310_annony_non_annony2.shikkan778_start_date IS 'K271_疾患開始日';</v>
      </c>
    </row>
    <row r="797" spans="1:45" s="25" customFormat="1">
      <c r="A797" s="4" t="s">
        <v>5856</v>
      </c>
      <c r="B797" s="21">
        <f t="shared" si="96"/>
        <v>785</v>
      </c>
      <c r="C797" s="13" t="str">
        <f t="shared" si="95"/>
        <v>K272_疾患開始日</v>
      </c>
      <c r="D797" s="13" t="s">
        <v>6439</v>
      </c>
      <c r="E797" s="8"/>
      <c r="F797" s="7" t="s">
        <v>4348</v>
      </c>
      <c r="G797" s="7" t="s">
        <v>25</v>
      </c>
      <c r="H797" s="58"/>
      <c r="I797" s="23"/>
      <c r="J797" s="24"/>
      <c r="M797" s="4"/>
      <c r="N797" s="76"/>
      <c r="O797" s="76"/>
      <c r="P797" s="76" t="str">
        <f t="shared" si="90"/>
        <v>,shikkan779_start_date</v>
      </c>
      <c r="Q797" s="76" t="str">
        <f t="shared" si="91"/>
        <v>DATE</v>
      </c>
      <c r="R797" s="76" t="str">
        <f t="shared" si="92"/>
        <v/>
      </c>
      <c r="S797" s="76" t="str">
        <f t="shared" si="93"/>
        <v/>
      </c>
      <c r="T797" s="76" t="str">
        <f t="shared" si="94"/>
        <v>-- K272_疾患開始日</v>
      </c>
      <c r="U797" s="4" t="str">
        <f t="shared" si="72"/>
        <v>, CASE WHEN shikkan_disp_name = 'K272' THEN min_shikkan_start_date ::DATE ELSE NULL END AS shikkan779_start_date</v>
      </c>
      <c r="V797" s="25" t="str">
        <f t="shared" si="73"/>
        <v>, max(shikkan779_start_date)</v>
      </c>
      <c r="AA797" s="4"/>
      <c r="AB797" s="4"/>
      <c r="AC797" s="4"/>
      <c r="AD797" s="4"/>
      <c r="AE797" s="4"/>
      <c r="AF797" s="4"/>
      <c r="AG797" s="4"/>
      <c r="AH797" s="4"/>
      <c r="AI797" s="4"/>
      <c r="AJ797" s="76" t="str">
        <f>IF(E797="○",IF(COUNTA(E$13:E797)=1,"",",")&amp;D797,"")</f>
        <v/>
      </c>
      <c r="AK797" s="4"/>
      <c r="AL797" s="4"/>
      <c r="AM797" s="4"/>
      <c r="AN797" s="4"/>
      <c r="AO797" s="4"/>
      <c r="AP797" s="4"/>
      <c r="AQ797" s="4"/>
      <c r="AR797" s="4"/>
      <c r="AS797" s="76" t="str">
        <f>"COMMENT ON COLUMN "&amp;エンティティ一覧!$O$2&amp;"."&amp;D$8&amp;"."&amp;D797&amp;" IS '"&amp;C797&amp;"';"</f>
        <v>COMMENT ON COLUMN milscm_2023_009.sny_202310_annony_non_annony2.shikkan779_start_date IS 'K272_疾患開始日';</v>
      </c>
    </row>
    <row r="798" spans="1:45" s="25" customFormat="1">
      <c r="A798" s="4" t="s">
        <v>5857</v>
      </c>
      <c r="B798" s="21">
        <f t="shared" si="96"/>
        <v>786</v>
      </c>
      <c r="C798" s="13" t="str">
        <f t="shared" si="95"/>
        <v>K273_疾患開始日</v>
      </c>
      <c r="D798" s="13" t="s">
        <v>6440</v>
      </c>
      <c r="E798" s="8"/>
      <c r="F798" s="7" t="s">
        <v>4348</v>
      </c>
      <c r="G798" s="7" t="s">
        <v>25</v>
      </c>
      <c r="H798" s="58"/>
      <c r="I798" s="23"/>
      <c r="J798" s="24"/>
      <c r="M798" s="4"/>
      <c r="N798" s="76"/>
      <c r="O798" s="76"/>
      <c r="P798" s="76" t="str">
        <f t="shared" si="90"/>
        <v>,shikkan780_start_date</v>
      </c>
      <c r="Q798" s="76" t="str">
        <f t="shared" si="91"/>
        <v>DATE</v>
      </c>
      <c r="R798" s="76" t="str">
        <f t="shared" si="92"/>
        <v/>
      </c>
      <c r="S798" s="76" t="str">
        <f t="shared" si="93"/>
        <v/>
      </c>
      <c r="T798" s="76" t="str">
        <f t="shared" si="94"/>
        <v>-- K273_疾患開始日</v>
      </c>
      <c r="U798" s="4" t="str">
        <f t="shared" si="72"/>
        <v>, CASE WHEN shikkan_disp_name = 'K273' THEN min_shikkan_start_date ::DATE ELSE NULL END AS shikkan780_start_date</v>
      </c>
      <c r="V798" s="25" t="str">
        <f t="shared" si="73"/>
        <v>, max(shikkan780_start_date)</v>
      </c>
      <c r="AA798" s="4"/>
      <c r="AB798" s="4"/>
      <c r="AC798" s="4"/>
      <c r="AD798" s="4"/>
      <c r="AE798" s="4"/>
      <c r="AF798" s="4"/>
      <c r="AG798" s="4"/>
      <c r="AH798" s="4"/>
      <c r="AI798" s="4"/>
      <c r="AJ798" s="76" t="str">
        <f>IF(E798="○",IF(COUNTA(E$13:E798)=1,"",",")&amp;D798,"")</f>
        <v/>
      </c>
      <c r="AK798" s="4"/>
      <c r="AL798" s="4"/>
      <c r="AM798" s="4"/>
      <c r="AN798" s="4"/>
      <c r="AO798" s="4"/>
      <c r="AP798" s="4"/>
      <c r="AQ798" s="4"/>
      <c r="AR798" s="4"/>
      <c r="AS798" s="76" t="str">
        <f>"COMMENT ON COLUMN "&amp;エンティティ一覧!$O$2&amp;"."&amp;D$8&amp;"."&amp;D798&amp;" IS '"&amp;C798&amp;"';"</f>
        <v>COMMENT ON COLUMN milscm_2023_009.sny_202310_annony_non_annony2.shikkan780_start_date IS 'K273_疾患開始日';</v>
      </c>
    </row>
    <row r="799" spans="1:45" s="25" customFormat="1">
      <c r="A799" s="4" t="s">
        <v>5858</v>
      </c>
      <c r="B799" s="21">
        <f t="shared" si="96"/>
        <v>787</v>
      </c>
      <c r="C799" s="13" t="str">
        <f t="shared" si="95"/>
        <v>K274_疾患開始日</v>
      </c>
      <c r="D799" s="13" t="s">
        <v>6441</v>
      </c>
      <c r="E799" s="8"/>
      <c r="F799" s="7" t="s">
        <v>4348</v>
      </c>
      <c r="G799" s="7" t="s">
        <v>25</v>
      </c>
      <c r="H799" s="58"/>
      <c r="I799" s="23"/>
      <c r="J799" s="24"/>
      <c r="M799" s="4"/>
      <c r="N799" s="76"/>
      <c r="O799" s="76"/>
      <c r="P799" s="76" t="str">
        <f t="shared" si="90"/>
        <v>,shikkan781_start_date</v>
      </c>
      <c r="Q799" s="76" t="str">
        <f t="shared" si="91"/>
        <v>DATE</v>
      </c>
      <c r="R799" s="76" t="str">
        <f t="shared" si="92"/>
        <v/>
      </c>
      <c r="S799" s="76" t="str">
        <f t="shared" si="93"/>
        <v/>
      </c>
      <c r="T799" s="76" t="str">
        <f t="shared" si="94"/>
        <v>-- K274_疾患開始日</v>
      </c>
      <c r="U799" s="4" t="str">
        <f t="shared" si="72"/>
        <v>, CASE WHEN shikkan_disp_name = 'K274' THEN min_shikkan_start_date ::DATE ELSE NULL END AS shikkan781_start_date</v>
      </c>
      <c r="V799" s="25" t="str">
        <f t="shared" si="73"/>
        <v>, max(shikkan781_start_date)</v>
      </c>
      <c r="AA799" s="4"/>
      <c r="AB799" s="4"/>
      <c r="AC799" s="4"/>
      <c r="AD799" s="4"/>
      <c r="AE799" s="4"/>
      <c r="AF799" s="4"/>
      <c r="AG799" s="4"/>
      <c r="AH799" s="4"/>
      <c r="AI799" s="4"/>
      <c r="AJ799" s="76" t="str">
        <f>IF(E799="○",IF(COUNTA(E$13:E799)=1,"",",")&amp;D799,"")</f>
        <v/>
      </c>
      <c r="AK799" s="4"/>
      <c r="AL799" s="4"/>
      <c r="AM799" s="4"/>
      <c r="AN799" s="4"/>
      <c r="AO799" s="4"/>
      <c r="AP799" s="4"/>
      <c r="AQ799" s="4"/>
      <c r="AR799" s="4"/>
      <c r="AS799" s="76" t="str">
        <f>"COMMENT ON COLUMN "&amp;エンティティ一覧!$O$2&amp;"."&amp;D$8&amp;"."&amp;D799&amp;" IS '"&amp;C799&amp;"';"</f>
        <v>COMMENT ON COLUMN milscm_2023_009.sny_202310_annony_non_annony2.shikkan781_start_date IS 'K274_疾患開始日';</v>
      </c>
    </row>
    <row r="800" spans="1:45" s="25" customFormat="1">
      <c r="A800" s="4" t="s">
        <v>5859</v>
      </c>
      <c r="B800" s="21">
        <f t="shared" si="96"/>
        <v>788</v>
      </c>
      <c r="C800" s="13" t="str">
        <f t="shared" si="95"/>
        <v>K275_疾患開始日</v>
      </c>
      <c r="D800" s="13" t="s">
        <v>6442</v>
      </c>
      <c r="E800" s="8"/>
      <c r="F800" s="7" t="s">
        <v>4348</v>
      </c>
      <c r="G800" s="7" t="s">
        <v>25</v>
      </c>
      <c r="H800" s="58"/>
      <c r="I800" s="23"/>
      <c r="J800" s="24"/>
      <c r="M800" s="4"/>
      <c r="N800" s="76"/>
      <c r="O800" s="76"/>
      <c r="P800" s="76" t="str">
        <f t="shared" si="90"/>
        <v>,shikkan782_start_date</v>
      </c>
      <c r="Q800" s="76" t="str">
        <f t="shared" si="91"/>
        <v>DATE</v>
      </c>
      <c r="R800" s="76" t="str">
        <f t="shared" si="92"/>
        <v/>
      </c>
      <c r="S800" s="76" t="str">
        <f t="shared" si="93"/>
        <v/>
      </c>
      <c r="T800" s="76" t="str">
        <f t="shared" si="94"/>
        <v>-- K275_疾患開始日</v>
      </c>
      <c r="U800" s="4" t="str">
        <f t="shared" si="72"/>
        <v>, CASE WHEN shikkan_disp_name = 'K275' THEN min_shikkan_start_date ::DATE ELSE NULL END AS shikkan782_start_date</v>
      </c>
      <c r="V800" s="25" t="str">
        <f t="shared" si="73"/>
        <v>, max(shikkan782_start_date)</v>
      </c>
      <c r="AA800" s="4"/>
      <c r="AB800" s="4"/>
      <c r="AC800" s="4"/>
      <c r="AD800" s="4"/>
      <c r="AE800" s="4"/>
      <c r="AF800" s="4"/>
      <c r="AG800" s="4"/>
      <c r="AH800" s="4"/>
      <c r="AI800" s="4"/>
      <c r="AJ800" s="76" t="str">
        <f>IF(E800="○",IF(COUNTA(E$13:E800)=1,"",",")&amp;D800,"")</f>
        <v/>
      </c>
      <c r="AK800" s="4"/>
      <c r="AL800" s="4"/>
      <c r="AM800" s="4"/>
      <c r="AN800" s="4"/>
      <c r="AO800" s="4"/>
      <c r="AP800" s="4"/>
      <c r="AQ800" s="4"/>
      <c r="AR800" s="4"/>
      <c r="AS800" s="76" t="str">
        <f>"COMMENT ON COLUMN "&amp;エンティティ一覧!$O$2&amp;"."&amp;D$8&amp;"."&amp;D800&amp;" IS '"&amp;C800&amp;"';"</f>
        <v>COMMENT ON COLUMN milscm_2023_009.sny_202310_annony_non_annony2.shikkan782_start_date IS 'K275_疾患開始日';</v>
      </c>
    </row>
    <row r="801" spans="1:45" s="25" customFormat="1">
      <c r="A801" s="4" t="s">
        <v>5860</v>
      </c>
      <c r="B801" s="21">
        <f t="shared" si="96"/>
        <v>789</v>
      </c>
      <c r="C801" s="13" t="str">
        <f t="shared" si="95"/>
        <v>K276_疾患開始日</v>
      </c>
      <c r="D801" s="13" t="s">
        <v>6443</v>
      </c>
      <c r="E801" s="8"/>
      <c r="F801" s="7" t="s">
        <v>4348</v>
      </c>
      <c r="G801" s="7" t="s">
        <v>99</v>
      </c>
      <c r="H801" s="58"/>
      <c r="I801" s="23"/>
      <c r="J801" s="24"/>
      <c r="M801" s="4"/>
      <c r="N801" s="76"/>
      <c r="O801" s="76"/>
      <c r="P801" s="76" t="str">
        <f t="shared" si="90"/>
        <v>,shikkan783_start_date</v>
      </c>
      <c r="Q801" s="76" t="str">
        <f t="shared" si="91"/>
        <v>DATE</v>
      </c>
      <c r="R801" s="76" t="str">
        <f t="shared" si="92"/>
        <v/>
      </c>
      <c r="S801" s="76" t="str">
        <f t="shared" si="93"/>
        <v/>
      </c>
      <c r="T801" s="76" t="str">
        <f t="shared" si="94"/>
        <v>-- K276_疾患開始日</v>
      </c>
      <c r="U801" s="4" t="str">
        <f t="shared" si="72"/>
        <v>, CASE WHEN shikkan_disp_name = 'K276' THEN min_shikkan_start_date ::DATE ELSE NULL END AS shikkan783_start_date</v>
      </c>
      <c r="V801" s="25" t="str">
        <f t="shared" si="73"/>
        <v>, max(shikkan783_start_date)</v>
      </c>
      <c r="AA801" s="4"/>
      <c r="AB801" s="4"/>
      <c r="AC801" s="4"/>
      <c r="AD801" s="4"/>
      <c r="AE801" s="4"/>
      <c r="AF801" s="4"/>
      <c r="AG801" s="4"/>
      <c r="AH801" s="4"/>
      <c r="AI801" s="4"/>
      <c r="AJ801" s="76" t="str">
        <f>IF(E801="○",IF(COUNTA(E$13:E801)=1,"",",")&amp;D801,"")</f>
        <v/>
      </c>
      <c r="AK801" s="4"/>
      <c r="AL801" s="4"/>
      <c r="AM801" s="4"/>
      <c r="AN801" s="4"/>
      <c r="AO801" s="4"/>
      <c r="AP801" s="4"/>
      <c r="AQ801" s="4"/>
      <c r="AR801" s="4"/>
      <c r="AS801" s="76" t="str">
        <f>"COMMENT ON COLUMN "&amp;エンティティ一覧!$O$2&amp;"."&amp;D$8&amp;"."&amp;D801&amp;" IS '"&amp;C801&amp;"';"</f>
        <v>COMMENT ON COLUMN milscm_2023_009.sny_202310_annony_non_annony2.shikkan783_start_date IS 'K276_疾患開始日';</v>
      </c>
    </row>
    <row r="802" spans="1:45" s="25" customFormat="1">
      <c r="A802" s="4" t="s">
        <v>5861</v>
      </c>
      <c r="B802" s="21">
        <f t="shared" si="96"/>
        <v>790</v>
      </c>
      <c r="C802" s="13" t="str">
        <f t="shared" si="95"/>
        <v>K277_疾患開始日</v>
      </c>
      <c r="D802" s="13" t="s">
        <v>6444</v>
      </c>
      <c r="E802" s="8"/>
      <c r="F802" s="7" t="s">
        <v>4348</v>
      </c>
      <c r="G802" s="7" t="s">
        <v>25</v>
      </c>
      <c r="H802" s="58"/>
      <c r="I802" s="23"/>
      <c r="J802" s="24"/>
      <c r="M802" s="4"/>
      <c r="N802" s="76"/>
      <c r="O802" s="76"/>
      <c r="P802" s="76" t="str">
        <f t="shared" si="90"/>
        <v>,shikkan784_start_date</v>
      </c>
      <c r="Q802" s="76" t="str">
        <f t="shared" si="91"/>
        <v>DATE</v>
      </c>
      <c r="R802" s="76" t="str">
        <f t="shared" si="92"/>
        <v/>
      </c>
      <c r="S802" s="76" t="str">
        <f t="shared" si="93"/>
        <v/>
      </c>
      <c r="T802" s="76" t="str">
        <f t="shared" si="94"/>
        <v>-- K277_疾患開始日</v>
      </c>
      <c r="U802" s="4" t="str">
        <f t="shared" si="72"/>
        <v>, CASE WHEN shikkan_disp_name = 'K277' THEN min_shikkan_start_date ::DATE ELSE NULL END AS shikkan784_start_date</v>
      </c>
      <c r="V802" s="25" t="str">
        <f t="shared" si="73"/>
        <v>, max(shikkan784_start_date)</v>
      </c>
      <c r="AA802" s="4"/>
      <c r="AB802" s="4"/>
      <c r="AC802" s="4"/>
      <c r="AD802" s="4"/>
      <c r="AE802" s="4"/>
      <c r="AF802" s="4"/>
      <c r="AG802" s="4"/>
      <c r="AH802" s="4"/>
      <c r="AI802" s="4"/>
      <c r="AJ802" s="76" t="str">
        <f>IF(E802="○",IF(COUNTA(E$13:E802)=1,"",",")&amp;D802,"")</f>
        <v/>
      </c>
      <c r="AK802" s="4"/>
      <c r="AL802" s="4"/>
      <c r="AM802" s="4"/>
      <c r="AN802" s="4"/>
      <c r="AO802" s="4"/>
      <c r="AP802" s="4"/>
      <c r="AQ802" s="4"/>
      <c r="AR802" s="4"/>
      <c r="AS802" s="76" t="str">
        <f>"COMMENT ON COLUMN "&amp;エンティティ一覧!$O$2&amp;"."&amp;D$8&amp;"."&amp;D802&amp;" IS '"&amp;C802&amp;"';"</f>
        <v>COMMENT ON COLUMN milscm_2023_009.sny_202310_annony_non_annony2.shikkan784_start_date IS 'K277_疾患開始日';</v>
      </c>
    </row>
    <row r="803" spans="1:45" s="25" customFormat="1">
      <c r="A803" s="4" t="s">
        <v>5862</v>
      </c>
      <c r="B803" s="21">
        <f t="shared" si="96"/>
        <v>791</v>
      </c>
      <c r="C803" s="13" t="str">
        <f t="shared" si="95"/>
        <v>K279_疾患開始日</v>
      </c>
      <c r="D803" s="13" t="s">
        <v>6445</v>
      </c>
      <c r="E803" s="8"/>
      <c r="F803" s="7" t="s">
        <v>4348</v>
      </c>
      <c r="G803" s="7" t="s">
        <v>25</v>
      </c>
      <c r="H803" s="58"/>
      <c r="I803" s="23"/>
      <c r="J803" s="24"/>
      <c r="M803" s="4"/>
      <c r="N803" s="76"/>
      <c r="O803" s="76"/>
      <c r="P803" s="76" t="str">
        <f t="shared" si="90"/>
        <v>,shikkan785_start_date</v>
      </c>
      <c r="Q803" s="76" t="str">
        <f t="shared" si="91"/>
        <v>DATE</v>
      </c>
      <c r="R803" s="76" t="str">
        <f t="shared" si="92"/>
        <v/>
      </c>
      <c r="S803" s="76" t="str">
        <f t="shared" si="93"/>
        <v/>
      </c>
      <c r="T803" s="76" t="str">
        <f t="shared" si="94"/>
        <v>-- K279_疾患開始日</v>
      </c>
      <c r="U803" s="4" t="str">
        <f t="shared" si="72"/>
        <v>, CASE WHEN shikkan_disp_name = 'K279' THEN min_shikkan_start_date ::DATE ELSE NULL END AS shikkan785_start_date</v>
      </c>
      <c r="V803" s="25" t="str">
        <f t="shared" si="73"/>
        <v>, max(shikkan785_start_date)</v>
      </c>
      <c r="AA803" s="4"/>
      <c r="AB803" s="4"/>
      <c r="AC803" s="4"/>
      <c r="AD803" s="4"/>
      <c r="AE803" s="4"/>
      <c r="AF803" s="4"/>
      <c r="AG803" s="4"/>
      <c r="AH803" s="4"/>
      <c r="AI803" s="4"/>
      <c r="AJ803" s="76" t="str">
        <f>IF(E803="○",IF(COUNTA(E$13:E803)=1,"",",")&amp;D803,"")</f>
        <v/>
      </c>
      <c r="AK803" s="4"/>
      <c r="AL803" s="4"/>
      <c r="AM803" s="4"/>
      <c r="AN803" s="4"/>
      <c r="AO803" s="4"/>
      <c r="AP803" s="4"/>
      <c r="AQ803" s="4"/>
      <c r="AR803" s="4"/>
      <c r="AS803" s="76" t="str">
        <f>"COMMENT ON COLUMN "&amp;エンティティ一覧!$O$2&amp;"."&amp;D$8&amp;"."&amp;D803&amp;" IS '"&amp;C803&amp;"';"</f>
        <v>COMMENT ON COLUMN milscm_2023_009.sny_202310_annony_non_annony2.shikkan785_start_date IS 'K279_疾患開始日';</v>
      </c>
    </row>
    <row r="804" spans="1:45" s="25" customFormat="1">
      <c r="A804" s="4" t="s">
        <v>5863</v>
      </c>
      <c r="B804" s="21">
        <f t="shared" si="96"/>
        <v>792</v>
      </c>
      <c r="C804" s="13" t="str">
        <f t="shared" si="95"/>
        <v>K280_疾患開始日</v>
      </c>
      <c r="D804" s="13" t="s">
        <v>6446</v>
      </c>
      <c r="E804" s="8"/>
      <c r="F804" s="7" t="s">
        <v>4348</v>
      </c>
      <c r="G804" s="7" t="s">
        <v>25</v>
      </c>
      <c r="H804" s="58"/>
      <c r="I804" s="23"/>
      <c r="J804" s="24"/>
      <c r="M804" s="4"/>
      <c r="N804" s="76"/>
      <c r="O804" s="76"/>
      <c r="P804" s="76" t="str">
        <f t="shared" si="90"/>
        <v>,shikkan786_start_date</v>
      </c>
      <c r="Q804" s="76" t="str">
        <f t="shared" si="91"/>
        <v>DATE</v>
      </c>
      <c r="R804" s="76" t="str">
        <f t="shared" si="92"/>
        <v/>
      </c>
      <c r="S804" s="76" t="str">
        <f t="shared" si="93"/>
        <v/>
      </c>
      <c r="T804" s="76" t="str">
        <f t="shared" si="94"/>
        <v>-- K280_疾患開始日</v>
      </c>
      <c r="U804" s="4" t="str">
        <f t="shared" si="72"/>
        <v>, CASE WHEN shikkan_disp_name = 'K280' THEN min_shikkan_start_date ::DATE ELSE NULL END AS shikkan786_start_date</v>
      </c>
      <c r="V804" s="25" t="str">
        <f t="shared" si="73"/>
        <v>, max(shikkan786_start_date)</v>
      </c>
      <c r="AA804" s="4"/>
      <c r="AB804" s="4"/>
      <c r="AC804" s="4"/>
      <c r="AD804" s="4"/>
      <c r="AE804" s="4"/>
      <c r="AF804" s="4"/>
      <c r="AG804" s="4"/>
      <c r="AH804" s="4"/>
      <c r="AI804" s="4"/>
      <c r="AJ804" s="76" t="str">
        <f>IF(E804="○",IF(COUNTA(E$13:E804)=1,"",",")&amp;D804,"")</f>
        <v/>
      </c>
      <c r="AK804" s="4"/>
      <c r="AL804" s="4"/>
      <c r="AM804" s="4"/>
      <c r="AN804" s="4"/>
      <c r="AO804" s="4"/>
      <c r="AP804" s="4"/>
      <c r="AQ804" s="4"/>
      <c r="AR804" s="4"/>
      <c r="AS804" s="76" t="str">
        <f>"COMMENT ON COLUMN "&amp;エンティティ一覧!$O$2&amp;"."&amp;D$8&amp;"."&amp;D804&amp;" IS '"&amp;C804&amp;"';"</f>
        <v>COMMENT ON COLUMN milscm_2023_009.sny_202310_annony_non_annony2.shikkan786_start_date IS 'K280_疾患開始日';</v>
      </c>
    </row>
    <row r="805" spans="1:45" s="25" customFormat="1">
      <c r="A805" s="4" t="s">
        <v>5864</v>
      </c>
      <c r="B805" s="21">
        <f t="shared" si="96"/>
        <v>793</v>
      </c>
      <c r="C805" s="13" t="str">
        <f t="shared" si="95"/>
        <v>K281_疾患開始日</v>
      </c>
      <c r="D805" s="13" t="s">
        <v>6447</v>
      </c>
      <c r="E805" s="8"/>
      <c r="F805" s="7" t="s">
        <v>4348</v>
      </c>
      <c r="G805" s="7" t="s">
        <v>25</v>
      </c>
      <c r="H805" s="58"/>
      <c r="I805" s="23"/>
      <c r="J805" s="24"/>
      <c r="M805" s="4"/>
      <c r="N805" s="76"/>
      <c r="O805" s="76"/>
      <c r="P805" s="76" t="str">
        <f t="shared" si="90"/>
        <v>,shikkan787_start_date</v>
      </c>
      <c r="Q805" s="76" t="str">
        <f t="shared" si="91"/>
        <v>DATE</v>
      </c>
      <c r="R805" s="76" t="str">
        <f t="shared" si="92"/>
        <v/>
      </c>
      <c r="S805" s="76" t="str">
        <f t="shared" si="93"/>
        <v/>
      </c>
      <c r="T805" s="76" t="str">
        <f t="shared" si="94"/>
        <v>-- K281_疾患開始日</v>
      </c>
      <c r="U805" s="4" t="str">
        <f t="shared" si="72"/>
        <v>, CASE WHEN shikkan_disp_name = 'K281' THEN min_shikkan_start_date ::DATE ELSE NULL END AS shikkan787_start_date</v>
      </c>
      <c r="V805" s="25" t="str">
        <f t="shared" si="73"/>
        <v>, max(shikkan787_start_date)</v>
      </c>
      <c r="AA805" s="4"/>
      <c r="AB805" s="4"/>
      <c r="AC805" s="4"/>
      <c r="AD805" s="4"/>
      <c r="AE805" s="4"/>
      <c r="AF805" s="4"/>
      <c r="AG805" s="4"/>
      <c r="AH805" s="4"/>
      <c r="AI805" s="4"/>
      <c r="AJ805" s="76" t="str">
        <f>IF(E805="○",IF(COUNTA(E$13:E805)=1,"",",")&amp;D805,"")</f>
        <v/>
      </c>
      <c r="AK805" s="4"/>
      <c r="AL805" s="4"/>
      <c r="AM805" s="4"/>
      <c r="AN805" s="4"/>
      <c r="AO805" s="4"/>
      <c r="AP805" s="4"/>
      <c r="AQ805" s="4"/>
      <c r="AR805" s="4"/>
      <c r="AS805" s="76" t="str">
        <f>"COMMENT ON COLUMN "&amp;エンティティ一覧!$O$2&amp;"."&amp;D$8&amp;"."&amp;D805&amp;" IS '"&amp;C805&amp;"';"</f>
        <v>COMMENT ON COLUMN milscm_2023_009.sny_202310_annony_non_annony2.shikkan787_start_date IS 'K281_疾患開始日';</v>
      </c>
    </row>
    <row r="806" spans="1:45" s="25" customFormat="1">
      <c r="A806" s="4" t="s">
        <v>5865</v>
      </c>
      <c r="B806" s="21">
        <f t="shared" si="96"/>
        <v>794</v>
      </c>
      <c r="C806" s="13" t="str">
        <f t="shared" si="95"/>
        <v>K282_疾患開始日</v>
      </c>
      <c r="D806" s="13" t="s">
        <v>6448</v>
      </c>
      <c r="E806" s="8"/>
      <c r="F806" s="7" t="s">
        <v>4348</v>
      </c>
      <c r="G806" s="7" t="s">
        <v>25</v>
      </c>
      <c r="H806" s="58"/>
      <c r="I806" s="23"/>
      <c r="J806" s="24"/>
      <c r="M806" s="4"/>
      <c r="N806" s="76"/>
      <c r="O806" s="76"/>
      <c r="P806" s="76" t="str">
        <f t="shared" si="90"/>
        <v>,shikkan788_start_date</v>
      </c>
      <c r="Q806" s="76" t="str">
        <f t="shared" si="91"/>
        <v>DATE</v>
      </c>
      <c r="R806" s="76" t="str">
        <f t="shared" si="92"/>
        <v/>
      </c>
      <c r="S806" s="76" t="str">
        <f t="shared" si="93"/>
        <v/>
      </c>
      <c r="T806" s="76" t="str">
        <f t="shared" si="94"/>
        <v>-- K282_疾患開始日</v>
      </c>
      <c r="U806" s="4" t="str">
        <f t="shared" si="72"/>
        <v>, CASE WHEN shikkan_disp_name = 'K282' THEN min_shikkan_start_date ::DATE ELSE NULL END AS shikkan788_start_date</v>
      </c>
      <c r="V806" s="25" t="str">
        <f t="shared" si="73"/>
        <v>, max(shikkan788_start_date)</v>
      </c>
      <c r="AA806" s="4"/>
      <c r="AB806" s="4"/>
      <c r="AC806" s="4"/>
      <c r="AD806" s="4"/>
      <c r="AE806" s="4"/>
      <c r="AF806" s="4"/>
      <c r="AG806" s="4"/>
      <c r="AH806" s="4"/>
      <c r="AI806" s="4"/>
      <c r="AJ806" s="76" t="str">
        <f>IF(E806="○",IF(COUNTA(E$13:E806)=1,"",",")&amp;D806,"")</f>
        <v/>
      </c>
      <c r="AK806" s="4"/>
      <c r="AL806" s="4"/>
      <c r="AM806" s="4"/>
      <c r="AN806" s="4"/>
      <c r="AO806" s="4"/>
      <c r="AP806" s="4"/>
      <c r="AQ806" s="4"/>
      <c r="AR806" s="4"/>
      <c r="AS806" s="76" t="str">
        <f>"COMMENT ON COLUMN "&amp;エンティティ一覧!$O$2&amp;"."&amp;D$8&amp;"."&amp;D806&amp;" IS '"&amp;C806&amp;"';"</f>
        <v>COMMENT ON COLUMN milscm_2023_009.sny_202310_annony_non_annony2.shikkan788_start_date IS 'K282_疾患開始日';</v>
      </c>
    </row>
    <row r="807" spans="1:45" s="25" customFormat="1">
      <c r="A807" s="4" t="s">
        <v>5866</v>
      </c>
      <c r="B807" s="21">
        <f t="shared" si="96"/>
        <v>795</v>
      </c>
      <c r="C807" s="13" t="str">
        <f t="shared" si="95"/>
        <v>K283_疾患開始日</v>
      </c>
      <c r="D807" s="13" t="s">
        <v>6449</v>
      </c>
      <c r="E807" s="8"/>
      <c r="F807" s="7" t="s">
        <v>4348</v>
      </c>
      <c r="G807" s="7" t="s">
        <v>25</v>
      </c>
      <c r="H807" s="58"/>
      <c r="I807" s="23"/>
      <c r="J807" s="24"/>
      <c r="M807" s="4"/>
      <c r="N807" s="76"/>
      <c r="O807" s="76"/>
      <c r="P807" s="76" t="str">
        <f t="shared" si="90"/>
        <v>,shikkan789_start_date</v>
      </c>
      <c r="Q807" s="76" t="str">
        <f t="shared" si="91"/>
        <v>DATE</v>
      </c>
      <c r="R807" s="76" t="str">
        <f t="shared" si="92"/>
        <v/>
      </c>
      <c r="S807" s="76" t="str">
        <f t="shared" si="93"/>
        <v/>
      </c>
      <c r="T807" s="76" t="str">
        <f t="shared" si="94"/>
        <v>-- K283_疾患開始日</v>
      </c>
      <c r="U807" s="4" t="str">
        <f t="shared" si="72"/>
        <v>, CASE WHEN shikkan_disp_name = 'K283' THEN min_shikkan_start_date ::DATE ELSE NULL END AS shikkan789_start_date</v>
      </c>
      <c r="V807" s="25" t="str">
        <f t="shared" si="73"/>
        <v>, max(shikkan789_start_date)</v>
      </c>
      <c r="AA807" s="4"/>
      <c r="AB807" s="4"/>
      <c r="AC807" s="4"/>
      <c r="AD807" s="4"/>
      <c r="AE807" s="4"/>
      <c r="AF807" s="4"/>
      <c r="AG807" s="4"/>
      <c r="AH807" s="4"/>
      <c r="AI807" s="4"/>
      <c r="AJ807" s="76" t="str">
        <f>IF(E807="○",IF(COUNTA(E$13:E807)=1,"",",")&amp;D807,"")</f>
        <v/>
      </c>
      <c r="AK807" s="4"/>
      <c r="AL807" s="4"/>
      <c r="AM807" s="4"/>
      <c r="AN807" s="4"/>
      <c r="AO807" s="4"/>
      <c r="AP807" s="4"/>
      <c r="AQ807" s="4"/>
      <c r="AR807" s="4"/>
      <c r="AS807" s="76" t="str">
        <f>"COMMENT ON COLUMN "&amp;エンティティ一覧!$O$2&amp;"."&amp;D$8&amp;"."&amp;D807&amp;" IS '"&amp;C807&amp;"';"</f>
        <v>COMMENT ON COLUMN milscm_2023_009.sny_202310_annony_non_annony2.shikkan789_start_date IS 'K283_疾患開始日';</v>
      </c>
    </row>
    <row r="808" spans="1:45" s="25" customFormat="1">
      <c r="A808" s="4" t="s">
        <v>5867</v>
      </c>
      <c r="B808" s="21">
        <f t="shared" si="96"/>
        <v>796</v>
      </c>
      <c r="C808" s="13" t="str">
        <f t="shared" si="95"/>
        <v>K284_疾患開始日</v>
      </c>
      <c r="D808" s="13" t="s">
        <v>6450</v>
      </c>
      <c r="E808" s="8"/>
      <c r="F808" s="7" t="s">
        <v>4348</v>
      </c>
      <c r="G808" s="7" t="s">
        <v>25</v>
      </c>
      <c r="H808" s="58"/>
      <c r="I808" s="23"/>
      <c r="J808" s="24"/>
      <c r="M808" s="4"/>
      <c r="N808" s="76"/>
      <c r="O808" s="76"/>
      <c r="P808" s="76" t="str">
        <f t="shared" si="90"/>
        <v>,shikkan790_start_date</v>
      </c>
      <c r="Q808" s="76" t="str">
        <f t="shared" si="91"/>
        <v>DATE</v>
      </c>
      <c r="R808" s="76" t="str">
        <f t="shared" si="92"/>
        <v/>
      </c>
      <c r="S808" s="76" t="str">
        <f t="shared" si="93"/>
        <v/>
      </c>
      <c r="T808" s="76" t="str">
        <f t="shared" si="94"/>
        <v>-- K284_疾患開始日</v>
      </c>
      <c r="U808" s="4" t="str">
        <f t="shared" si="72"/>
        <v>, CASE WHEN shikkan_disp_name = 'K284' THEN min_shikkan_start_date ::DATE ELSE NULL END AS shikkan790_start_date</v>
      </c>
      <c r="V808" s="25" t="str">
        <f t="shared" si="73"/>
        <v>, max(shikkan790_start_date)</v>
      </c>
      <c r="AA808" s="4"/>
      <c r="AB808" s="4"/>
      <c r="AC808" s="4"/>
      <c r="AD808" s="4"/>
      <c r="AE808" s="4"/>
      <c r="AF808" s="4"/>
      <c r="AG808" s="4"/>
      <c r="AH808" s="4"/>
      <c r="AI808" s="4"/>
      <c r="AJ808" s="76" t="str">
        <f>IF(E808="○",IF(COUNTA(E$13:E808)=1,"",",")&amp;D808,"")</f>
        <v/>
      </c>
      <c r="AK808" s="4"/>
      <c r="AL808" s="4"/>
      <c r="AM808" s="4"/>
      <c r="AN808" s="4"/>
      <c r="AO808" s="4"/>
      <c r="AP808" s="4"/>
      <c r="AQ808" s="4"/>
      <c r="AR808" s="4"/>
      <c r="AS808" s="76" t="str">
        <f>"COMMENT ON COLUMN "&amp;エンティティ一覧!$O$2&amp;"."&amp;D$8&amp;"."&amp;D808&amp;" IS '"&amp;C808&amp;"';"</f>
        <v>COMMENT ON COLUMN milscm_2023_009.sny_202310_annony_non_annony2.shikkan790_start_date IS 'K284_疾患開始日';</v>
      </c>
    </row>
    <row r="809" spans="1:45" s="25" customFormat="1">
      <c r="A809" s="4" t="s">
        <v>5868</v>
      </c>
      <c r="B809" s="21">
        <f t="shared" si="96"/>
        <v>797</v>
      </c>
      <c r="C809" s="13" t="str">
        <f t="shared" si="95"/>
        <v>K285_疾患開始日</v>
      </c>
      <c r="D809" s="13" t="s">
        <v>6451</v>
      </c>
      <c r="E809" s="8"/>
      <c r="F809" s="7" t="s">
        <v>4348</v>
      </c>
      <c r="G809" s="7" t="s">
        <v>25</v>
      </c>
      <c r="H809" s="58"/>
      <c r="I809" s="23"/>
      <c r="J809" s="24"/>
      <c r="M809" s="4"/>
      <c r="N809" s="76"/>
      <c r="O809" s="76"/>
      <c r="P809" s="76" t="str">
        <f t="shared" si="90"/>
        <v>,shikkan791_start_date</v>
      </c>
      <c r="Q809" s="76" t="str">
        <f t="shared" si="91"/>
        <v>DATE</v>
      </c>
      <c r="R809" s="76" t="str">
        <f t="shared" si="92"/>
        <v/>
      </c>
      <c r="S809" s="76" t="str">
        <f t="shared" si="93"/>
        <v/>
      </c>
      <c r="T809" s="76" t="str">
        <f t="shared" si="94"/>
        <v>-- K285_疾患開始日</v>
      </c>
      <c r="U809" s="4" t="str">
        <f t="shared" si="72"/>
        <v>, CASE WHEN shikkan_disp_name = 'K285' THEN min_shikkan_start_date ::DATE ELSE NULL END AS shikkan791_start_date</v>
      </c>
      <c r="V809" s="25" t="str">
        <f t="shared" si="73"/>
        <v>, max(shikkan791_start_date)</v>
      </c>
      <c r="AA809" s="4"/>
      <c r="AB809" s="4"/>
      <c r="AC809" s="4"/>
      <c r="AD809" s="4"/>
      <c r="AE809" s="4"/>
      <c r="AF809" s="4"/>
      <c r="AG809" s="4"/>
      <c r="AH809" s="4"/>
      <c r="AI809" s="4"/>
      <c r="AJ809" s="76" t="str">
        <f>IF(E809="○",IF(COUNTA(E$13:E809)=1,"",",")&amp;D809,"")</f>
        <v/>
      </c>
      <c r="AK809" s="4"/>
      <c r="AL809" s="4"/>
      <c r="AM809" s="4"/>
      <c r="AN809" s="4"/>
      <c r="AO809" s="4"/>
      <c r="AP809" s="4"/>
      <c r="AQ809" s="4"/>
      <c r="AR809" s="4"/>
      <c r="AS809" s="76" t="str">
        <f>"COMMENT ON COLUMN "&amp;エンティティ一覧!$O$2&amp;"."&amp;D$8&amp;"."&amp;D809&amp;" IS '"&amp;C809&amp;"';"</f>
        <v>COMMENT ON COLUMN milscm_2023_009.sny_202310_annony_non_annony2.shikkan791_start_date IS 'K285_疾患開始日';</v>
      </c>
    </row>
    <row r="810" spans="1:45" s="25" customFormat="1">
      <c r="A810" s="4" t="s">
        <v>5869</v>
      </c>
      <c r="B810" s="21">
        <f t="shared" si="96"/>
        <v>798</v>
      </c>
      <c r="C810" s="13" t="str">
        <f t="shared" si="95"/>
        <v>K286_疾患開始日</v>
      </c>
      <c r="D810" s="13" t="s">
        <v>6452</v>
      </c>
      <c r="E810" s="8"/>
      <c r="F810" s="7" t="s">
        <v>4348</v>
      </c>
      <c r="G810" s="7" t="s">
        <v>25</v>
      </c>
      <c r="H810" s="58"/>
      <c r="I810" s="23"/>
      <c r="J810" s="24"/>
      <c r="M810" s="4"/>
      <c r="N810" s="76"/>
      <c r="O810" s="76"/>
      <c r="P810" s="76" t="str">
        <f t="shared" si="90"/>
        <v>,shikkan792_start_date</v>
      </c>
      <c r="Q810" s="76" t="str">
        <f t="shared" si="91"/>
        <v>DATE</v>
      </c>
      <c r="R810" s="76" t="str">
        <f t="shared" si="92"/>
        <v/>
      </c>
      <c r="S810" s="76" t="str">
        <f t="shared" si="93"/>
        <v/>
      </c>
      <c r="T810" s="76" t="str">
        <f t="shared" si="94"/>
        <v>-- K286_疾患開始日</v>
      </c>
      <c r="U810" s="4" t="str">
        <f t="shared" si="72"/>
        <v>, CASE WHEN shikkan_disp_name = 'K286' THEN min_shikkan_start_date ::DATE ELSE NULL END AS shikkan792_start_date</v>
      </c>
      <c r="V810" s="25" t="str">
        <f t="shared" si="73"/>
        <v>, max(shikkan792_start_date)</v>
      </c>
      <c r="AA810" s="4"/>
      <c r="AB810" s="4"/>
      <c r="AC810" s="4"/>
      <c r="AD810" s="4"/>
      <c r="AE810" s="4"/>
      <c r="AF810" s="4"/>
      <c r="AG810" s="4"/>
      <c r="AH810" s="4"/>
      <c r="AI810" s="4"/>
      <c r="AJ810" s="76" t="str">
        <f>IF(E810="○",IF(COUNTA(E$13:E810)=1,"",",")&amp;D810,"")</f>
        <v/>
      </c>
      <c r="AK810" s="4"/>
      <c r="AL810" s="4"/>
      <c r="AM810" s="4"/>
      <c r="AN810" s="4"/>
      <c r="AO810" s="4"/>
      <c r="AP810" s="4"/>
      <c r="AQ810" s="4"/>
      <c r="AR810" s="4"/>
      <c r="AS810" s="76" t="str">
        <f>"COMMENT ON COLUMN "&amp;エンティティ一覧!$O$2&amp;"."&amp;D$8&amp;"."&amp;D810&amp;" IS '"&amp;C810&amp;"';"</f>
        <v>COMMENT ON COLUMN milscm_2023_009.sny_202310_annony_non_annony2.shikkan792_start_date IS 'K286_疾患開始日';</v>
      </c>
    </row>
    <row r="811" spans="1:45" s="25" customFormat="1">
      <c r="A811" s="4" t="s">
        <v>5870</v>
      </c>
      <c r="B811" s="21">
        <f t="shared" si="96"/>
        <v>799</v>
      </c>
      <c r="C811" s="13" t="str">
        <f t="shared" si="95"/>
        <v>K287_疾患開始日</v>
      </c>
      <c r="D811" s="13" t="s">
        <v>6453</v>
      </c>
      <c r="E811" s="8"/>
      <c r="F811" s="7" t="s">
        <v>4348</v>
      </c>
      <c r="G811" s="7" t="s">
        <v>25</v>
      </c>
      <c r="H811" s="58"/>
      <c r="I811" s="23"/>
      <c r="J811" s="24"/>
      <c r="M811" s="4"/>
      <c r="N811" s="76"/>
      <c r="O811" s="76"/>
      <c r="P811" s="76" t="str">
        <f t="shared" si="90"/>
        <v>,shikkan793_start_date</v>
      </c>
      <c r="Q811" s="76" t="str">
        <f t="shared" si="91"/>
        <v>DATE</v>
      </c>
      <c r="R811" s="76" t="str">
        <f t="shared" si="92"/>
        <v/>
      </c>
      <c r="S811" s="76" t="str">
        <f t="shared" si="93"/>
        <v/>
      </c>
      <c r="T811" s="76" t="str">
        <f t="shared" si="94"/>
        <v>-- K287_疾患開始日</v>
      </c>
      <c r="U811" s="4" t="str">
        <f t="shared" si="72"/>
        <v>, CASE WHEN shikkan_disp_name = 'K287' THEN min_shikkan_start_date ::DATE ELSE NULL END AS shikkan793_start_date</v>
      </c>
      <c r="V811" s="25" t="str">
        <f t="shared" si="73"/>
        <v>, max(shikkan793_start_date)</v>
      </c>
      <c r="AA811" s="4"/>
      <c r="AB811" s="4"/>
      <c r="AC811" s="4"/>
      <c r="AD811" s="4"/>
      <c r="AE811" s="4"/>
      <c r="AF811" s="4"/>
      <c r="AG811" s="4"/>
      <c r="AH811" s="4"/>
      <c r="AI811" s="4"/>
      <c r="AJ811" s="76" t="str">
        <f>IF(E811="○",IF(COUNTA(E$13:E811)=1,"",",")&amp;D811,"")</f>
        <v/>
      </c>
      <c r="AK811" s="4"/>
      <c r="AL811" s="4"/>
      <c r="AM811" s="4"/>
      <c r="AN811" s="4"/>
      <c r="AO811" s="4"/>
      <c r="AP811" s="4"/>
      <c r="AQ811" s="4"/>
      <c r="AR811" s="4"/>
      <c r="AS811" s="76" t="str">
        <f>"COMMENT ON COLUMN "&amp;エンティティ一覧!$O$2&amp;"."&amp;D$8&amp;"."&amp;D811&amp;" IS '"&amp;C811&amp;"';"</f>
        <v>COMMENT ON COLUMN milscm_2023_009.sny_202310_annony_non_annony2.shikkan793_start_date IS 'K287_疾患開始日';</v>
      </c>
    </row>
    <row r="812" spans="1:45" s="25" customFormat="1">
      <c r="A812" s="4" t="s">
        <v>5871</v>
      </c>
      <c r="B812" s="21">
        <f t="shared" si="96"/>
        <v>800</v>
      </c>
      <c r="C812" s="13" t="str">
        <f t="shared" si="95"/>
        <v>K289_疾患開始日</v>
      </c>
      <c r="D812" s="13" t="s">
        <v>6454</v>
      </c>
      <c r="E812" s="8"/>
      <c r="F812" s="7" t="s">
        <v>4348</v>
      </c>
      <c r="G812" s="7" t="s">
        <v>25</v>
      </c>
      <c r="H812" s="58"/>
      <c r="I812" s="23"/>
      <c r="J812" s="24"/>
      <c r="M812" s="4"/>
      <c r="N812" s="76"/>
      <c r="O812" s="76"/>
      <c r="P812" s="76" t="str">
        <f t="shared" si="90"/>
        <v>,shikkan794_start_date</v>
      </c>
      <c r="Q812" s="76" t="str">
        <f t="shared" si="91"/>
        <v>DATE</v>
      </c>
      <c r="R812" s="76" t="str">
        <f t="shared" si="92"/>
        <v/>
      </c>
      <c r="S812" s="76" t="str">
        <f t="shared" si="93"/>
        <v/>
      </c>
      <c r="T812" s="76" t="str">
        <f t="shared" si="94"/>
        <v>-- K289_疾患開始日</v>
      </c>
      <c r="U812" s="4" t="str">
        <f t="shared" si="72"/>
        <v>, CASE WHEN shikkan_disp_name = 'K289' THEN min_shikkan_start_date ::DATE ELSE NULL END AS shikkan794_start_date</v>
      </c>
      <c r="V812" s="25" t="str">
        <f t="shared" si="73"/>
        <v>, max(shikkan794_start_date)</v>
      </c>
      <c r="AA812" s="4"/>
      <c r="AB812" s="4"/>
      <c r="AC812" s="4"/>
      <c r="AD812" s="4"/>
      <c r="AE812" s="4"/>
      <c r="AF812" s="4"/>
      <c r="AG812" s="4"/>
      <c r="AH812" s="4"/>
      <c r="AI812" s="4"/>
      <c r="AJ812" s="76" t="str">
        <f>IF(E812="○",IF(COUNTA(E$13:E812)=1,"",",")&amp;D812,"")</f>
        <v/>
      </c>
      <c r="AK812" s="4"/>
      <c r="AL812" s="4"/>
      <c r="AM812" s="4"/>
      <c r="AN812" s="4"/>
      <c r="AO812" s="4"/>
      <c r="AP812" s="4"/>
      <c r="AQ812" s="4"/>
      <c r="AR812" s="4"/>
      <c r="AS812" s="76" t="str">
        <f>"COMMENT ON COLUMN "&amp;エンティティ一覧!$O$2&amp;"."&amp;D$8&amp;"."&amp;D812&amp;" IS '"&amp;C812&amp;"';"</f>
        <v>COMMENT ON COLUMN milscm_2023_009.sny_202310_annony_non_annony2.shikkan794_start_date IS 'K289_疾患開始日';</v>
      </c>
    </row>
    <row r="813" spans="1:45" s="25" customFormat="1">
      <c r="A813" s="4" t="s">
        <v>5872</v>
      </c>
      <c r="B813" s="21">
        <f t="shared" si="96"/>
        <v>801</v>
      </c>
      <c r="C813" s="13" t="str">
        <f t="shared" si="95"/>
        <v>K551_疾患開始日</v>
      </c>
      <c r="D813" s="13" t="s">
        <v>6455</v>
      </c>
      <c r="E813" s="8"/>
      <c r="F813" s="7" t="s">
        <v>4348</v>
      </c>
      <c r="G813" s="7" t="s">
        <v>25</v>
      </c>
      <c r="H813" s="58"/>
      <c r="I813" s="23"/>
      <c r="J813" s="24"/>
      <c r="M813" s="4"/>
      <c r="N813" s="76"/>
      <c r="O813" s="76"/>
      <c r="P813" s="76" t="str">
        <f t="shared" si="90"/>
        <v>,shikkan795_start_date</v>
      </c>
      <c r="Q813" s="76" t="str">
        <f t="shared" si="91"/>
        <v>DATE</v>
      </c>
      <c r="R813" s="76" t="str">
        <f t="shared" si="92"/>
        <v/>
      </c>
      <c r="S813" s="76" t="str">
        <f t="shared" si="93"/>
        <v/>
      </c>
      <c r="T813" s="76" t="str">
        <f t="shared" si="94"/>
        <v>-- K551_疾患開始日</v>
      </c>
      <c r="U813" s="4" t="str">
        <f t="shared" si="72"/>
        <v>, CASE WHEN shikkan_disp_name = 'K551' THEN min_shikkan_start_date ::DATE ELSE NULL END AS shikkan795_start_date</v>
      </c>
      <c r="V813" s="25" t="str">
        <f t="shared" si="73"/>
        <v>, max(shikkan795_start_date)</v>
      </c>
      <c r="AA813" s="4"/>
      <c r="AB813" s="4"/>
      <c r="AC813" s="4"/>
      <c r="AD813" s="4"/>
      <c r="AE813" s="4"/>
      <c r="AF813" s="4"/>
      <c r="AG813" s="4"/>
      <c r="AH813" s="4"/>
      <c r="AI813" s="4"/>
      <c r="AJ813" s="76" t="str">
        <f>IF(E813="○",IF(COUNTA(E$13:E813)=1,"",",")&amp;D813,"")</f>
        <v/>
      </c>
      <c r="AK813" s="4"/>
      <c r="AL813" s="4"/>
      <c r="AM813" s="4"/>
      <c r="AN813" s="4"/>
      <c r="AO813" s="4"/>
      <c r="AP813" s="4"/>
      <c r="AQ813" s="4"/>
      <c r="AR813" s="4"/>
      <c r="AS813" s="76" t="str">
        <f>"COMMENT ON COLUMN "&amp;エンティティ一覧!$O$2&amp;"."&amp;D$8&amp;"."&amp;D813&amp;" IS '"&amp;C813&amp;"';"</f>
        <v>COMMENT ON COLUMN milscm_2023_009.sny_202310_annony_non_annony2.shikkan795_start_date IS 'K551_疾患開始日';</v>
      </c>
    </row>
    <row r="814" spans="1:45" s="25" customFormat="1">
      <c r="A814" s="4" t="s">
        <v>5873</v>
      </c>
      <c r="B814" s="21">
        <f t="shared" si="96"/>
        <v>802</v>
      </c>
      <c r="C814" s="13" t="str">
        <f t="shared" si="95"/>
        <v>K558_疾患開始日</v>
      </c>
      <c r="D814" s="13" t="s">
        <v>6456</v>
      </c>
      <c r="E814" s="8"/>
      <c r="F814" s="7" t="s">
        <v>4348</v>
      </c>
      <c r="G814" s="7" t="s">
        <v>25</v>
      </c>
      <c r="H814" s="58"/>
      <c r="I814" s="23"/>
      <c r="J814" s="24"/>
      <c r="M814" s="4"/>
      <c r="N814" s="76"/>
      <c r="O814" s="76"/>
      <c r="P814" s="76" t="str">
        <f t="shared" si="90"/>
        <v>,shikkan796_start_date</v>
      </c>
      <c r="Q814" s="76" t="str">
        <f t="shared" si="91"/>
        <v>DATE</v>
      </c>
      <c r="R814" s="76" t="str">
        <f t="shared" si="92"/>
        <v/>
      </c>
      <c r="S814" s="76" t="str">
        <f t="shared" si="93"/>
        <v/>
      </c>
      <c r="T814" s="76" t="str">
        <f t="shared" si="94"/>
        <v>-- K558_疾患開始日</v>
      </c>
      <c r="U814" s="4" t="str">
        <f t="shared" si="72"/>
        <v>, CASE WHEN shikkan_disp_name = 'K558' THEN min_shikkan_start_date ::DATE ELSE NULL END AS shikkan796_start_date</v>
      </c>
      <c r="V814" s="25" t="str">
        <f t="shared" si="73"/>
        <v>, max(shikkan796_start_date)</v>
      </c>
      <c r="AA814" s="4"/>
      <c r="AB814" s="4"/>
      <c r="AC814" s="4"/>
      <c r="AD814" s="4"/>
      <c r="AE814" s="4"/>
      <c r="AF814" s="4"/>
      <c r="AG814" s="4"/>
      <c r="AH814" s="4"/>
      <c r="AI814" s="4"/>
      <c r="AJ814" s="76" t="str">
        <f>IF(E814="○",IF(COUNTA(E$13:E814)=1,"",",")&amp;D814,"")</f>
        <v/>
      </c>
      <c r="AK814" s="4"/>
      <c r="AL814" s="4"/>
      <c r="AM814" s="4"/>
      <c r="AN814" s="4"/>
      <c r="AO814" s="4"/>
      <c r="AP814" s="4"/>
      <c r="AQ814" s="4"/>
      <c r="AR814" s="4"/>
      <c r="AS814" s="76" t="str">
        <f>"COMMENT ON COLUMN "&amp;エンティティ一覧!$O$2&amp;"."&amp;D$8&amp;"."&amp;D814&amp;" IS '"&amp;C814&amp;"';"</f>
        <v>COMMENT ON COLUMN milscm_2023_009.sny_202310_annony_non_annony2.shikkan796_start_date IS 'K558_疾患開始日';</v>
      </c>
    </row>
    <row r="815" spans="1:45" s="25" customFormat="1">
      <c r="A815" s="4" t="s">
        <v>5874</v>
      </c>
      <c r="B815" s="21">
        <f t="shared" si="96"/>
        <v>803</v>
      </c>
      <c r="C815" s="13" t="str">
        <f t="shared" si="95"/>
        <v>K559_疾患開始日</v>
      </c>
      <c r="D815" s="13" t="s">
        <v>6457</v>
      </c>
      <c r="E815" s="8"/>
      <c r="F815" s="7" t="s">
        <v>4348</v>
      </c>
      <c r="G815" s="7" t="s">
        <v>25</v>
      </c>
      <c r="H815" s="58"/>
      <c r="I815" s="23"/>
      <c r="J815" s="24"/>
      <c r="M815" s="4"/>
      <c r="N815" s="76"/>
      <c r="O815" s="76"/>
      <c r="P815" s="76" t="str">
        <f t="shared" si="90"/>
        <v>,shikkan797_start_date</v>
      </c>
      <c r="Q815" s="76" t="str">
        <f t="shared" si="91"/>
        <v>DATE</v>
      </c>
      <c r="R815" s="76" t="str">
        <f t="shared" si="92"/>
        <v/>
      </c>
      <c r="S815" s="76" t="str">
        <f t="shared" si="93"/>
        <v/>
      </c>
      <c r="T815" s="76" t="str">
        <f t="shared" si="94"/>
        <v>-- K559_疾患開始日</v>
      </c>
      <c r="U815" s="4" t="str">
        <f t="shared" si="72"/>
        <v>, CASE WHEN shikkan_disp_name = 'K559' THEN min_shikkan_start_date ::DATE ELSE NULL END AS shikkan797_start_date</v>
      </c>
      <c r="V815" s="25" t="str">
        <f t="shared" si="73"/>
        <v>, max(shikkan797_start_date)</v>
      </c>
      <c r="AA815" s="4"/>
      <c r="AB815" s="4"/>
      <c r="AC815" s="4"/>
      <c r="AD815" s="4"/>
      <c r="AE815" s="4"/>
      <c r="AF815" s="4"/>
      <c r="AG815" s="4"/>
      <c r="AH815" s="4"/>
      <c r="AI815" s="4"/>
      <c r="AJ815" s="76" t="str">
        <f>IF(E815="○",IF(COUNTA(E$13:E815)=1,"",",")&amp;D815,"")</f>
        <v/>
      </c>
      <c r="AK815" s="4"/>
      <c r="AL815" s="4"/>
      <c r="AM815" s="4"/>
      <c r="AN815" s="4"/>
      <c r="AO815" s="4"/>
      <c r="AP815" s="4"/>
      <c r="AQ815" s="4"/>
      <c r="AR815" s="4"/>
      <c r="AS815" s="76" t="str">
        <f>"COMMENT ON COLUMN "&amp;エンティティ一覧!$O$2&amp;"."&amp;D$8&amp;"."&amp;D815&amp;" IS '"&amp;C815&amp;"';"</f>
        <v>COMMENT ON COLUMN milscm_2023_009.sny_202310_annony_non_annony2.shikkan797_start_date IS 'K559_疾患開始日';</v>
      </c>
    </row>
    <row r="816" spans="1:45" s="25" customFormat="1">
      <c r="A816" s="4" t="s">
        <v>5072</v>
      </c>
      <c r="B816" s="21">
        <f t="shared" si="96"/>
        <v>804</v>
      </c>
      <c r="C816" s="13" t="str">
        <f t="shared" si="95"/>
        <v>K700_疾患開始日</v>
      </c>
      <c r="D816" s="13" t="s">
        <v>6458</v>
      </c>
      <c r="E816" s="8"/>
      <c r="F816" s="7" t="s">
        <v>4348</v>
      </c>
      <c r="G816" s="7" t="s">
        <v>25</v>
      </c>
      <c r="H816" s="58"/>
      <c r="I816" s="23"/>
      <c r="J816" s="24"/>
      <c r="M816" s="4"/>
      <c r="N816" s="76"/>
      <c r="O816" s="76"/>
      <c r="P816" s="76" t="str">
        <f t="shared" si="90"/>
        <v>,shikkan798_start_date</v>
      </c>
      <c r="Q816" s="76" t="str">
        <f t="shared" si="91"/>
        <v>DATE</v>
      </c>
      <c r="R816" s="76" t="str">
        <f t="shared" si="92"/>
        <v/>
      </c>
      <c r="S816" s="76" t="str">
        <f t="shared" si="93"/>
        <v/>
      </c>
      <c r="T816" s="76" t="str">
        <f t="shared" si="94"/>
        <v>-- K700_疾患開始日</v>
      </c>
      <c r="U816" s="4" t="str">
        <f t="shared" si="72"/>
        <v>, CASE WHEN shikkan_disp_name = 'K700' THEN min_shikkan_start_date ::DATE ELSE NULL END AS shikkan798_start_date</v>
      </c>
      <c r="V816" s="25" t="str">
        <f t="shared" si="73"/>
        <v>, max(shikkan798_start_date)</v>
      </c>
      <c r="AA816" s="4"/>
      <c r="AB816" s="4"/>
      <c r="AC816" s="4"/>
      <c r="AD816" s="4"/>
      <c r="AE816" s="4"/>
      <c r="AF816" s="4"/>
      <c r="AG816" s="4"/>
      <c r="AH816" s="4"/>
      <c r="AI816" s="4"/>
      <c r="AJ816" s="76" t="str">
        <f>IF(E816="○",IF(COUNTA(E$13:E816)=1,"",",")&amp;D816,"")</f>
        <v/>
      </c>
      <c r="AK816" s="4"/>
      <c r="AL816" s="4"/>
      <c r="AM816" s="4"/>
      <c r="AN816" s="4"/>
      <c r="AO816" s="4"/>
      <c r="AP816" s="4"/>
      <c r="AQ816" s="4"/>
      <c r="AR816" s="4"/>
      <c r="AS816" s="76" t="str">
        <f>"COMMENT ON COLUMN "&amp;エンティティ一覧!$O$2&amp;"."&amp;D$8&amp;"."&amp;D816&amp;" IS '"&amp;C816&amp;"';"</f>
        <v>COMMENT ON COLUMN milscm_2023_009.sny_202310_annony_non_annony2.shikkan798_start_date IS 'K700_疾患開始日';</v>
      </c>
    </row>
    <row r="817" spans="1:45" s="25" customFormat="1">
      <c r="A817" s="4" t="s">
        <v>5073</v>
      </c>
      <c r="B817" s="21">
        <f t="shared" si="96"/>
        <v>805</v>
      </c>
      <c r="C817" s="13" t="str">
        <f t="shared" si="95"/>
        <v>K701_疾患開始日</v>
      </c>
      <c r="D817" s="13" t="s">
        <v>6459</v>
      </c>
      <c r="E817" s="8"/>
      <c r="F817" s="7" t="s">
        <v>4348</v>
      </c>
      <c r="G817" s="7" t="s">
        <v>99</v>
      </c>
      <c r="H817" s="58"/>
      <c r="I817" s="23"/>
      <c r="J817" s="24"/>
      <c r="M817" s="4"/>
      <c r="N817" s="76"/>
      <c r="O817" s="76"/>
      <c r="P817" s="76" t="str">
        <f t="shared" si="90"/>
        <v>,shikkan799_start_date</v>
      </c>
      <c r="Q817" s="76" t="str">
        <f t="shared" si="91"/>
        <v>DATE</v>
      </c>
      <c r="R817" s="76" t="str">
        <f t="shared" si="92"/>
        <v/>
      </c>
      <c r="S817" s="76" t="str">
        <f t="shared" si="93"/>
        <v/>
      </c>
      <c r="T817" s="76" t="str">
        <f t="shared" si="94"/>
        <v>-- K701_疾患開始日</v>
      </c>
      <c r="U817" s="4" t="str">
        <f t="shared" si="72"/>
        <v>, CASE WHEN shikkan_disp_name = 'K701' THEN min_shikkan_start_date ::DATE ELSE NULL END AS shikkan799_start_date</v>
      </c>
      <c r="V817" s="25" t="str">
        <f t="shared" si="73"/>
        <v>, max(shikkan799_start_date)</v>
      </c>
      <c r="AA817" s="4"/>
      <c r="AB817" s="4"/>
      <c r="AC817" s="4"/>
      <c r="AD817" s="4"/>
      <c r="AE817" s="4"/>
      <c r="AF817" s="4"/>
      <c r="AG817" s="4"/>
      <c r="AH817" s="4"/>
      <c r="AI817" s="4"/>
      <c r="AJ817" s="76" t="str">
        <f>IF(E817="○",IF(COUNTA(E$13:E817)=1,"",",")&amp;D817,"")</f>
        <v/>
      </c>
      <c r="AK817" s="4"/>
      <c r="AL817" s="4"/>
      <c r="AM817" s="4"/>
      <c r="AN817" s="4"/>
      <c r="AO817" s="4"/>
      <c r="AP817" s="4"/>
      <c r="AQ817" s="4"/>
      <c r="AR817" s="4"/>
      <c r="AS817" s="76" t="str">
        <f>"COMMENT ON COLUMN "&amp;エンティティ一覧!$O$2&amp;"."&amp;D$8&amp;"."&amp;D817&amp;" IS '"&amp;C817&amp;"';"</f>
        <v>COMMENT ON COLUMN milscm_2023_009.sny_202310_annony_non_annony2.shikkan799_start_date IS 'K701_疾患開始日';</v>
      </c>
    </row>
    <row r="818" spans="1:45" s="25" customFormat="1">
      <c r="A818" s="4" t="s">
        <v>5074</v>
      </c>
      <c r="B818" s="21">
        <f t="shared" si="96"/>
        <v>806</v>
      </c>
      <c r="C818" s="13" t="str">
        <f t="shared" si="95"/>
        <v>K702_疾患開始日</v>
      </c>
      <c r="D818" s="13" t="s">
        <v>6460</v>
      </c>
      <c r="E818" s="8"/>
      <c r="F818" s="7" t="s">
        <v>4348</v>
      </c>
      <c r="G818" s="7" t="s">
        <v>25</v>
      </c>
      <c r="H818" s="58"/>
      <c r="I818" s="23"/>
      <c r="J818" s="24"/>
      <c r="M818" s="4"/>
      <c r="N818" s="76"/>
      <c r="O818" s="76"/>
      <c r="P818" s="76" t="str">
        <f t="shared" si="90"/>
        <v>,shikkan800_start_date</v>
      </c>
      <c r="Q818" s="76" t="str">
        <f t="shared" si="91"/>
        <v>DATE</v>
      </c>
      <c r="R818" s="76" t="str">
        <f t="shared" si="92"/>
        <v/>
      </c>
      <c r="S818" s="76" t="str">
        <f t="shared" si="93"/>
        <v/>
      </c>
      <c r="T818" s="76" t="str">
        <f t="shared" si="94"/>
        <v>-- K702_疾患開始日</v>
      </c>
      <c r="U818" s="4" t="str">
        <f t="shared" si="72"/>
        <v>, CASE WHEN shikkan_disp_name = 'K702' THEN min_shikkan_start_date ::DATE ELSE NULL END AS shikkan800_start_date</v>
      </c>
      <c r="V818" s="25" t="str">
        <f t="shared" si="73"/>
        <v>, max(shikkan800_start_date)</v>
      </c>
      <c r="AA818" s="4"/>
      <c r="AB818" s="4"/>
      <c r="AC818" s="4"/>
      <c r="AD818" s="4"/>
      <c r="AE818" s="4"/>
      <c r="AF818" s="4"/>
      <c r="AG818" s="4"/>
      <c r="AH818" s="4"/>
      <c r="AI818" s="4"/>
      <c r="AJ818" s="76" t="str">
        <f>IF(E818="○",IF(COUNTA(E$13:E818)=1,"",",")&amp;D818,"")</f>
        <v/>
      </c>
      <c r="AK818" s="4"/>
      <c r="AL818" s="4"/>
      <c r="AM818" s="4"/>
      <c r="AN818" s="4"/>
      <c r="AO818" s="4"/>
      <c r="AP818" s="4"/>
      <c r="AQ818" s="4"/>
      <c r="AR818" s="4"/>
      <c r="AS818" s="76" t="str">
        <f>"COMMENT ON COLUMN "&amp;エンティティ一覧!$O$2&amp;"."&amp;D$8&amp;"."&amp;D818&amp;" IS '"&amp;C818&amp;"';"</f>
        <v>COMMENT ON COLUMN milscm_2023_009.sny_202310_annony_non_annony2.shikkan800_start_date IS 'K702_疾患開始日';</v>
      </c>
    </row>
    <row r="819" spans="1:45" s="25" customFormat="1">
      <c r="A819" s="4" t="s">
        <v>5075</v>
      </c>
      <c r="B819" s="21">
        <f t="shared" si="96"/>
        <v>807</v>
      </c>
      <c r="C819" s="13" t="str">
        <f t="shared" si="95"/>
        <v>K703_疾患開始日</v>
      </c>
      <c r="D819" s="13" t="s">
        <v>6461</v>
      </c>
      <c r="E819" s="8"/>
      <c r="F819" s="7" t="s">
        <v>4348</v>
      </c>
      <c r="G819" s="7" t="s">
        <v>25</v>
      </c>
      <c r="H819" s="58"/>
      <c r="I819" s="23"/>
      <c r="J819" s="24"/>
      <c r="M819" s="4"/>
      <c r="N819" s="76"/>
      <c r="O819" s="76"/>
      <c r="P819" s="76" t="str">
        <f t="shared" si="90"/>
        <v>,shikkan801_start_date</v>
      </c>
      <c r="Q819" s="76" t="str">
        <f t="shared" si="91"/>
        <v>DATE</v>
      </c>
      <c r="R819" s="76" t="str">
        <f t="shared" si="92"/>
        <v/>
      </c>
      <c r="S819" s="76" t="str">
        <f t="shared" si="93"/>
        <v/>
      </c>
      <c r="T819" s="76" t="str">
        <f t="shared" si="94"/>
        <v>-- K703_疾患開始日</v>
      </c>
      <c r="U819" s="4" t="str">
        <f t="shared" si="72"/>
        <v>, CASE WHEN shikkan_disp_name = 'K703' THEN min_shikkan_start_date ::DATE ELSE NULL END AS shikkan801_start_date</v>
      </c>
      <c r="V819" s="25" t="str">
        <f t="shared" si="73"/>
        <v>, max(shikkan801_start_date)</v>
      </c>
      <c r="AA819" s="4"/>
      <c r="AB819" s="4"/>
      <c r="AC819" s="4"/>
      <c r="AD819" s="4"/>
      <c r="AE819" s="4"/>
      <c r="AF819" s="4"/>
      <c r="AG819" s="4"/>
      <c r="AH819" s="4"/>
      <c r="AI819" s="4"/>
      <c r="AJ819" s="76" t="str">
        <f>IF(E819="○",IF(COUNTA(E$13:E819)=1,"",",")&amp;D819,"")</f>
        <v/>
      </c>
      <c r="AK819" s="4"/>
      <c r="AL819" s="4"/>
      <c r="AM819" s="4"/>
      <c r="AN819" s="4"/>
      <c r="AO819" s="4"/>
      <c r="AP819" s="4"/>
      <c r="AQ819" s="4"/>
      <c r="AR819" s="4"/>
      <c r="AS819" s="76" t="str">
        <f>"COMMENT ON COLUMN "&amp;エンティティ一覧!$O$2&amp;"."&amp;D$8&amp;"."&amp;D819&amp;" IS '"&amp;C819&amp;"';"</f>
        <v>COMMENT ON COLUMN milscm_2023_009.sny_202310_annony_non_annony2.shikkan801_start_date IS 'K703_疾患開始日';</v>
      </c>
    </row>
    <row r="820" spans="1:45" s="25" customFormat="1">
      <c r="A820" s="4" t="s">
        <v>5875</v>
      </c>
      <c r="B820" s="21">
        <f t="shared" si="96"/>
        <v>808</v>
      </c>
      <c r="C820" s="13" t="str">
        <f t="shared" si="95"/>
        <v>K704_疾患開始日</v>
      </c>
      <c r="D820" s="13" t="s">
        <v>6462</v>
      </c>
      <c r="E820" s="8"/>
      <c r="F820" s="7" t="s">
        <v>4348</v>
      </c>
      <c r="G820" s="7" t="s">
        <v>25</v>
      </c>
      <c r="H820" s="58"/>
      <c r="I820" s="23"/>
      <c r="J820" s="24"/>
      <c r="M820" s="4"/>
      <c r="N820" s="76"/>
      <c r="O820" s="76"/>
      <c r="P820" s="76" t="str">
        <f t="shared" si="90"/>
        <v>,shikkan802_start_date</v>
      </c>
      <c r="Q820" s="76" t="str">
        <f t="shared" si="91"/>
        <v>DATE</v>
      </c>
      <c r="R820" s="76" t="str">
        <f t="shared" si="92"/>
        <v/>
      </c>
      <c r="S820" s="76" t="str">
        <f t="shared" si="93"/>
        <v/>
      </c>
      <c r="T820" s="76" t="str">
        <f t="shared" si="94"/>
        <v>-- K704_疾患開始日</v>
      </c>
      <c r="U820" s="4" t="str">
        <f t="shared" si="72"/>
        <v>, CASE WHEN shikkan_disp_name = 'K704' THEN min_shikkan_start_date ::DATE ELSE NULL END AS shikkan802_start_date</v>
      </c>
      <c r="V820" s="25" t="str">
        <f t="shared" si="73"/>
        <v>, max(shikkan802_start_date)</v>
      </c>
      <c r="AA820" s="4"/>
      <c r="AB820" s="4"/>
      <c r="AC820" s="4"/>
      <c r="AD820" s="4"/>
      <c r="AE820" s="4"/>
      <c r="AF820" s="4"/>
      <c r="AG820" s="4"/>
      <c r="AH820" s="4"/>
      <c r="AI820" s="4"/>
      <c r="AJ820" s="76" t="str">
        <f>IF(E820="○",IF(COUNTA(E$13:E820)=1,"",",")&amp;D820,"")</f>
        <v/>
      </c>
      <c r="AK820" s="4"/>
      <c r="AL820" s="4"/>
      <c r="AM820" s="4"/>
      <c r="AN820" s="4"/>
      <c r="AO820" s="4"/>
      <c r="AP820" s="4"/>
      <c r="AQ820" s="4"/>
      <c r="AR820" s="4"/>
      <c r="AS820" s="76" t="str">
        <f>"COMMENT ON COLUMN "&amp;エンティティ一覧!$O$2&amp;"."&amp;D$8&amp;"."&amp;D820&amp;" IS '"&amp;C820&amp;"';"</f>
        <v>COMMENT ON COLUMN milscm_2023_009.sny_202310_annony_non_annony2.shikkan802_start_date IS 'K704_疾患開始日';</v>
      </c>
    </row>
    <row r="821" spans="1:45" s="25" customFormat="1">
      <c r="A821" s="4" t="s">
        <v>5076</v>
      </c>
      <c r="B821" s="21">
        <f t="shared" si="96"/>
        <v>809</v>
      </c>
      <c r="C821" s="13" t="str">
        <f t="shared" si="95"/>
        <v>K709_疾患開始日</v>
      </c>
      <c r="D821" s="13" t="s">
        <v>6463</v>
      </c>
      <c r="E821" s="8"/>
      <c r="F821" s="7" t="s">
        <v>4348</v>
      </c>
      <c r="G821" s="7" t="s">
        <v>25</v>
      </c>
      <c r="H821" s="58"/>
      <c r="I821" s="23"/>
      <c r="J821" s="24"/>
      <c r="M821" s="4"/>
      <c r="N821" s="76"/>
      <c r="O821" s="76"/>
      <c r="P821" s="76" t="str">
        <f t="shared" si="90"/>
        <v>,shikkan803_start_date</v>
      </c>
      <c r="Q821" s="76" t="str">
        <f t="shared" si="91"/>
        <v>DATE</v>
      </c>
      <c r="R821" s="76" t="str">
        <f t="shared" si="92"/>
        <v/>
      </c>
      <c r="S821" s="76" t="str">
        <f t="shared" si="93"/>
        <v/>
      </c>
      <c r="T821" s="76" t="str">
        <f t="shared" si="94"/>
        <v>-- K709_疾患開始日</v>
      </c>
      <c r="U821" s="4" t="str">
        <f t="shared" si="72"/>
        <v>, CASE WHEN shikkan_disp_name = 'K709' THEN min_shikkan_start_date ::DATE ELSE NULL END AS shikkan803_start_date</v>
      </c>
      <c r="V821" s="25" t="str">
        <f t="shared" si="73"/>
        <v>, max(shikkan803_start_date)</v>
      </c>
      <c r="AA821" s="4"/>
      <c r="AB821" s="4"/>
      <c r="AC821" s="4"/>
      <c r="AD821" s="4"/>
      <c r="AE821" s="4"/>
      <c r="AF821" s="4"/>
      <c r="AG821" s="4"/>
      <c r="AH821" s="4"/>
      <c r="AI821" s="4"/>
      <c r="AJ821" s="76" t="str">
        <f>IF(E821="○",IF(COUNTA(E$13:E821)=1,"",",")&amp;D821,"")</f>
        <v/>
      </c>
      <c r="AK821" s="4"/>
      <c r="AL821" s="4"/>
      <c r="AM821" s="4"/>
      <c r="AN821" s="4"/>
      <c r="AO821" s="4"/>
      <c r="AP821" s="4"/>
      <c r="AQ821" s="4"/>
      <c r="AR821" s="4"/>
      <c r="AS821" s="76" t="str">
        <f>"COMMENT ON COLUMN "&amp;エンティティ一覧!$O$2&amp;"."&amp;D$8&amp;"."&amp;D821&amp;" IS '"&amp;C821&amp;"';"</f>
        <v>COMMENT ON COLUMN milscm_2023_009.sny_202310_annony_non_annony2.shikkan803_start_date IS 'K709_疾患開始日';</v>
      </c>
    </row>
    <row r="822" spans="1:45" s="25" customFormat="1">
      <c r="A822" s="4" t="s">
        <v>5876</v>
      </c>
      <c r="B822" s="21">
        <f t="shared" si="96"/>
        <v>810</v>
      </c>
      <c r="C822" s="13" t="str">
        <f t="shared" si="95"/>
        <v>K711_疾患開始日</v>
      </c>
      <c r="D822" s="13" t="s">
        <v>6464</v>
      </c>
      <c r="E822" s="8"/>
      <c r="F822" s="7" t="s">
        <v>4348</v>
      </c>
      <c r="G822" s="7" t="s">
        <v>25</v>
      </c>
      <c r="H822" s="58"/>
      <c r="I822" s="23"/>
      <c r="J822" s="24"/>
      <c r="M822" s="4"/>
      <c r="N822" s="76"/>
      <c r="O822" s="76"/>
      <c r="P822" s="76" t="str">
        <f t="shared" si="90"/>
        <v>,shikkan804_start_date</v>
      </c>
      <c r="Q822" s="76" t="str">
        <f t="shared" si="91"/>
        <v>DATE</v>
      </c>
      <c r="R822" s="76" t="str">
        <f t="shared" si="92"/>
        <v/>
      </c>
      <c r="S822" s="76" t="str">
        <f t="shared" si="93"/>
        <v/>
      </c>
      <c r="T822" s="76" t="str">
        <f t="shared" si="94"/>
        <v>-- K711_疾患開始日</v>
      </c>
      <c r="U822" s="4" t="str">
        <f t="shared" si="72"/>
        <v>, CASE WHEN shikkan_disp_name = 'K711' THEN min_shikkan_start_date ::DATE ELSE NULL END AS shikkan804_start_date</v>
      </c>
      <c r="V822" s="25" t="str">
        <f t="shared" si="73"/>
        <v>, max(shikkan804_start_date)</v>
      </c>
      <c r="AA822" s="4"/>
      <c r="AB822" s="4"/>
      <c r="AC822" s="4"/>
      <c r="AD822" s="4"/>
      <c r="AE822" s="4"/>
      <c r="AF822" s="4"/>
      <c r="AG822" s="4"/>
      <c r="AH822" s="4"/>
      <c r="AI822" s="4"/>
      <c r="AJ822" s="76" t="str">
        <f>IF(E822="○",IF(COUNTA(E$13:E822)=1,"",",")&amp;D822,"")</f>
        <v/>
      </c>
      <c r="AK822" s="4"/>
      <c r="AL822" s="4"/>
      <c r="AM822" s="4"/>
      <c r="AN822" s="4"/>
      <c r="AO822" s="4"/>
      <c r="AP822" s="4"/>
      <c r="AQ822" s="4"/>
      <c r="AR822" s="4"/>
      <c r="AS822" s="76" t="str">
        <f>"COMMENT ON COLUMN "&amp;エンティティ一覧!$O$2&amp;"."&amp;D$8&amp;"."&amp;D822&amp;" IS '"&amp;C822&amp;"';"</f>
        <v>COMMENT ON COLUMN milscm_2023_009.sny_202310_annony_non_annony2.shikkan804_start_date IS 'K711_疾患開始日';</v>
      </c>
    </row>
    <row r="823" spans="1:45" s="25" customFormat="1">
      <c r="A823" s="4" t="s">
        <v>5077</v>
      </c>
      <c r="B823" s="21">
        <f t="shared" si="96"/>
        <v>811</v>
      </c>
      <c r="C823" s="13" t="str">
        <f t="shared" si="95"/>
        <v>K713_疾患開始日</v>
      </c>
      <c r="D823" s="13" t="s">
        <v>6465</v>
      </c>
      <c r="E823" s="8"/>
      <c r="F823" s="7" t="s">
        <v>4348</v>
      </c>
      <c r="G823" s="7" t="s">
        <v>25</v>
      </c>
      <c r="H823" s="58"/>
      <c r="I823" s="23"/>
      <c r="J823" s="24"/>
      <c r="M823" s="4"/>
      <c r="N823" s="76"/>
      <c r="O823" s="76"/>
      <c r="P823" s="76" t="str">
        <f t="shared" si="90"/>
        <v>,shikkan805_start_date</v>
      </c>
      <c r="Q823" s="76" t="str">
        <f t="shared" si="91"/>
        <v>DATE</v>
      </c>
      <c r="R823" s="76" t="str">
        <f t="shared" si="92"/>
        <v/>
      </c>
      <c r="S823" s="76" t="str">
        <f t="shared" si="93"/>
        <v/>
      </c>
      <c r="T823" s="76" t="str">
        <f t="shared" si="94"/>
        <v>-- K713_疾患開始日</v>
      </c>
      <c r="U823" s="4" t="str">
        <f t="shared" si="72"/>
        <v>, CASE WHEN shikkan_disp_name = 'K713' THEN min_shikkan_start_date ::DATE ELSE NULL END AS shikkan805_start_date</v>
      </c>
      <c r="V823" s="25" t="str">
        <f t="shared" si="73"/>
        <v>, max(shikkan805_start_date)</v>
      </c>
      <c r="AA823" s="4"/>
      <c r="AB823" s="4"/>
      <c r="AC823" s="4"/>
      <c r="AD823" s="4"/>
      <c r="AE823" s="4"/>
      <c r="AF823" s="4"/>
      <c r="AG823" s="4"/>
      <c r="AH823" s="4"/>
      <c r="AI823" s="4"/>
      <c r="AJ823" s="76" t="str">
        <f>IF(E823="○",IF(COUNTA(E$13:E823)=1,"",",")&amp;D823,"")</f>
        <v/>
      </c>
      <c r="AK823" s="4"/>
      <c r="AL823" s="4"/>
      <c r="AM823" s="4"/>
      <c r="AN823" s="4"/>
      <c r="AO823" s="4"/>
      <c r="AP823" s="4"/>
      <c r="AQ823" s="4"/>
      <c r="AR823" s="4"/>
      <c r="AS823" s="76" t="str">
        <f>"COMMENT ON COLUMN "&amp;エンティティ一覧!$O$2&amp;"."&amp;D$8&amp;"."&amp;D823&amp;" IS '"&amp;C823&amp;"';"</f>
        <v>COMMENT ON COLUMN milscm_2023_009.sny_202310_annony_non_annony2.shikkan805_start_date IS 'K713_疾患開始日';</v>
      </c>
    </row>
    <row r="824" spans="1:45" s="25" customFormat="1">
      <c r="A824" s="4" t="s">
        <v>5078</v>
      </c>
      <c r="B824" s="21">
        <f t="shared" si="96"/>
        <v>812</v>
      </c>
      <c r="C824" s="13" t="str">
        <f t="shared" si="95"/>
        <v>K714_疾患開始日</v>
      </c>
      <c r="D824" s="13" t="s">
        <v>6466</v>
      </c>
      <c r="E824" s="8"/>
      <c r="F824" s="7" t="s">
        <v>4348</v>
      </c>
      <c r="G824" s="7" t="s">
        <v>25</v>
      </c>
      <c r="H824" s="58"/>
      <c r="I824" s="23"/>
      <c r="J824" s="24"/>
      <c r="M824" s="4"/>
      <c r="N824" s="76"/>
      <c r="O824" s="76"/>
      <c r="P824" s="76" t="str">
        <f t="shared" si="90"/>
        <v>,shikkan806_start_date</v>
      </c>
      <c r="Q824" s="76" t="str">
        <f t="shared" si="91"/>
        <v>DATE</v>
      </c>
      <c r="R824" s="76" t="str">
        <f t="shared" si="92"/>
        <v/>
      </c>
      <c r="S824" s="76" t="str">
        <f t="shared" si="93"/>
        <v/>
      </c>
      <c r="T824" s="76" t="str">
        <f t="shared" si="94"/>
        <v>-- K714_疾患開始日</v>
      </c>
      <c r="U824" s="4" t="str">
        <f t="shared" si="72"/>
        <v>, CASE WHEN shikkan_disp_name = 'K714' THEN min_shikkan_start_date ::DATE ELSE NULL END AS shikkan806_start_date</v>
      </c>
      <c r="V824" s="25" t="str">
        <f t="shared" si="73"/>
        <v>, max(shikkan806_start_date)</v>
      </c>
      <c r="AA824" s="4"/>
      <c r="AB824" s="4"/>
      <c r="AC824" s="4"/>
      <c r="AD824" s="4"/>
      <c r="AE824" s="4"/>
      <c r="AF824" s="4"/>
      <c r="AG824" s="4"/>
      <c r="AH824" s="4"/>
      <c r="AI824" s="4"/>
      <c r="AJ824" s="76" t="str">
        <f>IF(E824="○",IF(COUNTA(E$13:E824)=1,"",",")&amp;D824,"")</f>
        <v/>
      </c>
      <c r="AK824" s="4"/>
      <c r="AL824" s="4"/>
      <c r="AM824" s="4"/>
      <c r="AN824" s="4"/>
      <c r="AO824" s="4"/>
      <c r="AP824" s="4"/>
      <c r="AQ824" s="4"/>
      <c r="AR824" s="4"/>
      <c r="AS824" s="76" t="str">
        <f>"COMMENT ON COLUMN "&amp;エンティティ一覧!$O$2&amp;"."&amp;D$8&amp;"."&amp;D824&amp;" IS '"&amp;C824&amp;"';"</f>
        <v>COMMENT ON COLUMN milscm_2023_009.sny_202310_annony_non_annony2.shikkan806_start_date IS 'K714_疾患開始日';</v>
      </c>
    </row>
    <row r="825" spans="1:45" s="25" customFormat="1">
      <c r="A825" s="4" t="s">
        <v>5079</v>
      </c>
      <c r="B825" s="21">
        <f t="shared" si="96"/>
        <v>813</v>
      </c>
      <c r="C825" s="13" t="str">
        <f t="shared" si="95"/>
        <v>K715_疾患開始日</v>
      </c>
      <c r="D825" s="13" t="s">
        <v>6467</v>
      </c>
      <c r="E825" s="8"/>
      <c r="F825" s="7" t="s">
        <v>4348</v>
      </c>
      <c r="G825" s="7" t="s">
        <v>25</v>
      </c>
      <c r="H825" s="58"/>
      <c r="I825" s="23"/>
      <c r="J825" s="24"/>
      <c r="M825" s="4"/>
      <c r="N825" s="76"/>
      <c r="O825" s="76"/>
      <c r="P825" s="76" t="str">
        <f t="shared" si="90"/>
        <v>,shikkan807_start_date</v>
      </c>
      <c r="Q825" s="76" t="str">
        <f t="shared" si="91"/>
        <v>DATE</v>
      </c>
      <c r="R825" s="76" t="str">
        <f t="shared" si="92"/>
        <v/>
      </c>
      <c r="S825" s="76" t="str">
        <f t="shared" si="93"/>
        <v/>
      </c>
      <c r="T825" s="76" t="str">
        <f t="shared" si="94"/>
        <v>-- K715_疾患開始日</v>
      </c>
      <c r="U825" s="4" t="str">
        <f t="shared" si="72"/>
        <v>, CASE WHEN shikkan_disp_name = 'K715' THEN min_shikkan_start_date ::DATE ELSE NULL END AS shikkan807_start_date</v>
      </c>
      <c r="V825" s="25" t="str">
        <f t="shared" si="73"/>
        <v>, max(shikkan807_start_date)</v>
      </c>
      <c r="AA825" s="4"/>
      <c r="AB825" s="4"/>
      <c r="AC825" s="4"/>
      <c r="AD825" s="4"/>
      <c r="AE825" s="4"/>
      <c r="AF825" s="4"/>
      <c r="AG825" s="4"/>
      <c r="AH825" s="4"/>
      <c r="AI825" s="4"/>
      <c r="AJ825" s="76" t="str">
        <f>IF(E825="○",IF(COUNTA(E$13:E825)=1,"",",")&amp;D825,"")</f>
        <v/>
      </c>
      <c r="AK825" s="4"/>
      <c r="AL825" s="4"/>
      <c r="AM825" s="4"/>
      <c r="AN825" s="4"/>
      <c r="AO825" s="4"/>
      <c r="AP825" s="4"/>
      <c r="AQ825" s="4"/>
      <c r="AR825" s="4"/>
      <c r="AS825" s="76" t="str">
        <f>"COMMENT ON COLUMN "&amp;エンティティ一覧!$O$2&amp;"."&amp;D$8&amp;"."&amp;D825&amp;" IS '"&amp;C825&amp;"';"</f>
        <v>COMMENT ON COLUMN milscm_2023_009.sny_202310_annony_non_annony2.shikkan807_start_date IS 'K715_疾患開始日';</v>
      </c>
    </row>
    <row r="826" spans="1:45" s="25" customFormat="1">
      <c r="A826" s="4" t="s">
        <v>5080</v>
      </c>
      <c r="B826" s="21">
        <f t="shared" si="96"/>
        <v>814</v>
      </c>
      <c r="C826" s="13" t="str">
        <f t="shared" si="95"/>
        <v>K717_疾患開始日</v>
      </c>
      <c r="D826" s="13" t="s">
        <v>6468</v>
      </c>
      <c r="E826" s="8"/>
      <c r="F826" s="7" t="s">
        <v>4348</v>
      </c>
      <c r="G826" s="7" t="s">
        <v>25</v>
      </c>
      <c r="H826" s="58"/>
      <c r="I826" s="23"/>
      <c r="J826" s="24"/>
      <c r="M826" s="4"/>
      <c r="N826" s="76"/>
      <c r="O826" s="76"/>
      <c r="P826" s="76" t="str">
        <f t="shared" si="90"/>
        <v>,shikkan808_start_date</v>
      </c>
      <c r="Q826" s="76" t="str">
        <f t="shared" si="91"/>
        <v>DATE</v>
      </c>
      <c r="R826" s="76" t="str">
        <f t="shared" si="92"/>
        <v/>
      </c>
      <c r="S826" s="76" t="str">
        <f t="shared" si="93"/>
        <v/>
      </c>
      <c r="T826" s="76" t="str">
        <f t="shared" si="94"/>
        <v>-- K717_疾患開始日</v>
      </c>
      <c r="U826" s="4" t="str">
        <f t="shared" si="72"/>
        <v>, CASE WHEN shikkan_disp_name = 'K717' THEN min_shikkan_start_date ::DATE ELSE NULL END AS shikkan808_start_date</v>
      </c>
      <c r="V826" s="25" t="str">
        <f t="shared" si="73"/>
        <v>, max(shikkan808_start_date)</v>
      </c>
      <c r="AA826" s="4"/>
      <c r="AB826" s="4"/>
      <c r="AC826" s="4"/>
      <c r="AD826" s="4"/>
      <c r="AE826" s="4"/>
      <c r="AF826" s="4"/>
      <c r="AG826" s="4"/>
      <c r="AH826" s="4"/>
      <c r="AI826" s="4"/>
      <c r="AJ826" s="76" t="str">
        <f>IF(E826="○",IF(COUNTA(E$13:E826)=1,"",",")&amp;D826,"")</f>
        <v/>
      </c>
      <c r="AK826" s="4"/>
      <c r="AL826" s="4"/>
      <c r="AM826" s="4"/>
      <c r="AN826" s="4"/>
      <c r="AO826" s="4"/>
      <c r="AP826" s="4"/>
      <c r="AQ826" s="4"/>
      <c r="AR826" s="4"/>
      <c r="AS826" s="76" t="str">
        <f>"COMMENT ON COLUMN "&amp;エンティティ一覧!$O$2&amp;"."&amp;D$8&amp;"."&amp;D826&amp;" IS '"&amp;C826&amp;"';"</f>
        <v>COMMENT ON COLUMN milscm_2023_009.sny_202310_annony_non_annony2.shikkan808_start_date IS 'K717_疾患開始日';</v>
      </c>
    </row>
    <row r="827" spans="1:45" s="25" customFormat="1">
      <c r="A827" s="4" t="s">
        <v>5877</v>
      </c>
      <c r="B827" s="21">
        <f t="shared" si="96"/>
        <v>815</v>
      </c>
      <c r="C827" s="13" t="str">
        <f t="shared" si="95"/>
        <v>K721_疾患開始日</v>
      </c>
      <c r="D827" s="13" t="s">
        <v>6469</v>
      </c>
      <c r="E827" s="8"/>
      <c r="F827" s="7" t="s">
        <v>4348</v>
      </c>
      <c r="G827" s="7" t="s">
        <v>25</v>
      </c>
      <c r="H827" s="58"/>
      <c r="I827" s="23"/>
      <c r="J827" s="24"/>
      <c r="M827" s="4"/>
      <c r="N827" s="76"/>
      <c r="O827" s="76"/>
      <c r="P827" s="76" t="str">
        <f t="shared" si="90"/>
        <v>,shikkan809_start_date</v>
      </c>
      <c r="Q827" s="76" t="str">
        <f t="shared" si="91"/>
        <v>DATE</v>
      </c>
      <c r="R827" s="76" t="str">
        <f t="shared" si="92"/>
        <v/>
      </c>
      <c r="S827" s="76" t="str">
        <f t="shared" si="93"/>
        <v/>
      </c>
      <c r="T827" s="76" t="str">
        <f t="shared" si="94"/>
        <v>-- K721_疾患開始日</v>
      </c>
      <c r="U827" s="4" t="str">
        <f t="shared" si="72"/>
        <v>, CASE WHEN shikkan_disp_name = 'K721' THEN min_shikkan_start_date ::DATE ELSE NULL END AS shikkan809_start_date</v>
      </c>
      <c r="V827" s="25" t="str">
        <f t="shared" si="73"/>
        <v>, max(shikkan809_start_date)</v>
      </c>
      <c r="AA827" s="4"/>
      <c r="AB827" s="4"/>
      <c r="AC827" s="4"/>
      <c r="AD827" s="4"/>
      <c r="AE827" s="4"/>
      <c r="AF827" s="4"/>
      <c r="AG827" s="4"/>
      <c r="AH827" s="4"/>
      <c r="AI827" s="4"/>
      <c r="AJ827" s="76" t="str">
        <f>IF(E827="○",IF(COUNTA(E$13:E827)=1,"",",")&amp;D827,"")</f>
        <v/>
      </c>
      <c r="AK827" s="4"/>
      <c r="AL827" s="4"/>
      <c r="AM827" s="4"/>
      <c r="AN827" s="4"/>
      <c r="AO827" s="4"/>
      <c r="AP827" s="4"/>
      <c r="AQ827" s="4"/>
      <c r="AR827" s="4"/>
      <c r="AS827" s="76" t="str">
        <f>"COMMENT ON COLUMN "&amp;エンティティ一覧!$O$2&amp;"."&amp;D$8&amp;"."&amp;D827&amp;" IS '"&amp;C827&amp;"';"</f>
        <v>COMMENT ON COLUMN milscm_2023_009.sny_202310_annony_non_annony2.shikkan809_start_date IS 'K721_疾患開始日';</v>
      </c>
    </row>
    <row r="828" spans="1:45" s="25" customFormat="1">
      <c r="A828" s="4" t="s">
        <v>5878</v>
      </c>
      <c r="B828" s="21">
        <f t="shared" si="96"/>
        <v>816</v>
      </c>
      <c r="C828" s="13" t="str">
        <f t="shared" si="95"/>
        <v>K729_疾患開始日</v>
      </c>
      <c r="D828" s="13" t="s">
        <v>6470</v>
      </c>
      <c r="E828" s="8"/>
      <c r="F828" s="7" t="s">
        <v>4348</v>
      </c>
      <c r="G828" s="7" t="s">
        <v>25</v>
      </c>
      <c r="H828" s="58"/>
      <c r="I828" s="23"/>
      <c r="J828" s="24"/>
      <c r="M828" s="4"/>
      <c r="N828" s="76"/>
      <c r="O828" s="76"/>
      <c r="P828" s="76" t="str">
        <f t="shared" si="90"/>
        <v>,shikkan810_start_date</v>
      </c>
      <c r="Q828" s="76" t="str">
        <f t="shared" si="91"/>
        <v>DATE</v>
      </c>
      <c r="R828" s="76" t="str">
        <f t="shared" si="92"/>
        <v/>
      </c>
      <c r="S828" s="76" t="str">
        <f t="shared" si="93"/>
        <v/>
      </c>
      <c r="T828" s="76" t="str">
        <f t="shared" si="94"/>
        <v>-- K729_疾患開始日</v>
      </c>
      <c r="U828" s="4" t="str">
        <f t="shared" si="72"/>
        <v>, CASE WHEN shikkan_disp_name = 'K729' THEN min_shikkan_start_date ::DATE ELSE NULL END AS shikkan810_start_date</v>
      </c>
      <c r="V828" s="25" t="str">
        <f t="shared" si="73"/>
        <v>, max(shikkan810_start_date)</v>
      </c>
      <c r="AA828" s="4"/>
      <c r="AB828" s="4"/>
      <c r="AC828" s="4"/>
      <c r="AD828" s="4"/>
      <c r="AE828" s="4"/>
      <c r="AF828" s="4"/>
      <c r="AG828" s="4"/>
      <c r="AH828" s="4"/>
      <c r="AI828" s="4"/>
      <c r="AJ828" s="76" t="str">
        <f>IF(E828="○",IF(COUNTA(E$13:E828)=1,"",",")&amp;D828,"")</f>
        <v/>
      </c>
      <c r="AK828" s="4"/>
      <c r="AL828" s="4"/>
      <c r="AM828" s="4"/>
      <c r="AN828" s="4"/>
      <c r="AO828" s="4"/>
      <c r="AP828" s="4"/>
      <c r="AQ828" s="4"/>
      <c r="AR828" s="4"/>
      <c r="AS828" s="76" t="str">
        <f>"COMMENT ON COLUMN "&amp;エンティティ一覧!$O$2&amp;"."&amp;D$8&amp;"."&amp;D828&amp;" IS '"&amp;C828&amp;"';"</f>
        <v>COMMENT ON COLUMN milscm_2023_009.sny_202310_annony_non_annony2.shikkan810_start_date IS 'K729_疾患開始日';</v>
      </c>
    </row>
    <row r="829" spans="1:45" s="25" customFormat="1">
      <c r="A829" s="4" t="s">
        <v>5879</v>
      </c>
      <c r="B829" s="21">
        <f t="shared" si="96"/>
        <v>817</v>
      </c>
      <c r="C829" s="13" t="str">
        <f t="shared" si="95"/>
        <v>K730_疾患開始日</v>
      </c>
      <c r="D829" s="13" t="s">
        <v>6471</v>
      </c>
      <c r="E829" s="8"/>
      <c r="F829" s="7" t="s">
        <v>4348</v>
      </c>
      <c r="G829" s="7" t="s">
        <v>25</v>
      </c>
      <c r="H829" s="58"/>
      <c r="I829" s="23"/>
      <c r="J829" s="24"/>
      <c r="M829" s="4"/>
      <c r="N829" s="76"/>
      <c r="O829" s="76"/>
      <c r="P829" s="76" t="str">
        <f t="shared" si="90"/>
        <v>,shikkan811_start_date</v>
      </c>
      <c r="Q829" s="76" t="str">
        <f t="shared" si="91"/>
        <v>DATE</v>
      </c>
      <c r="R829" s="76" t="str">
        <f t="shared" si="92"/>
        <v/>
      </c>
      <c r="S829" s="76" t="str">
        <f t="shared" si="93"/>
        <v/>
      </c>
      <c r="T829" s="76" t="str">
        <f t="shared" si="94"/>
        <v>-- K730_疾患開始日</v>
      </c>
      <c r="U829" s="4" t="str">
        <f t="shared" si="72"/>
        <v>, CASE WHEN shikkan_disp_name = 'K730' THEN min_shikkan_start_date ::DATE ELSE NULL END AS shikkan811_start_date</v>
      </c>
      <c r="V829" s="25" t="str">
        <f t="shared" si="73"/>
        <v>, max(shikkan811_start_date)</v>
      </c>
      <c r="AA829" s="4"/>
      <c r="AB829" s="4"/>
      <c r="AC829" s="4"/>
      <c r="AD829" s="4"/>
      <c r="AE829" s="4"/>
      <c r="AF829" s="4"/>
      <c r="AG829" s="4"/>
      <c r="AH829" s="4"/>
      <c r="AI829" s="4"/>
      <c r="AJ829" s="76" t="str">
        <f>IF(E829="○",IF(COUNTA(E$13:E829)=1,"",",")&amp;D829,"")</f>
        <v/>
      </c>
      <c r="AK829" s="4"/>
      <c r="AL829" s="4"/>
      <c r="AM829" s="4"/>
      <c r="AN829" s="4"/>
      <c r="AO829" s="4"/>
      <c r="AP829" s="4"/>
      <c r="AQ829" s="4"/>
      <c r="AR829" s="4"/>
      <c r="AS829" s="76" t="str">
        <f>"COMMENT ON COLUMN "&amp;エンティティ一覧!$O$2&amp;"."&amp;D$8&amp;"."&amp;D829&amp;" IS '"&amp;C829&amp;"';"</f>
        <v>COMMENT ON COLUMN milscm_2023_009.sny_202310_annony_non_annony2.shikkan811_start_date IS 'K730_疾患開始日';</v>
      </c>
    </row>
    <row r="830" spans="1:45" s="25" customFormat="1">
      <c r="A830" s="4" t="s">
        <v>5880</v>
      </c>
      <c r="B830" s="21">
        <f t="shared" si="96"/>
        <v>818</v>
      </c>
      <c r="C830" s="13" t="str">
        <f t="shared" si="95"/>
        <v>K731_疾患開始日</v>
      </c>
      <c r="D830" s="13" t="s">
        <v>6472</v>
      </c>
      <c r="E830" s="8"/>
      <c r="F830" s="7" t="s">
        <v>4348</v>
      </c>
      <c r="G830" s="7" t="s">
        <v>25</v>
      </c>
      <c r="H830" s="58"/>
      <c r="I830" s="23"/>
      <c r="J830" s="24"/>
      <c r="M830" s="4"/>
      <c r="N830" s="76"/>
      <c r="O830" s="76"/>
      <c r="P830" s="76" t="str">
        <f t="shared" si="90"/>
        <v>,shikkan812_start_date</v>
      </c>
      <c r="Q830" s="76" t="str">
        <f t="shared" si="91"/>
        <v>DATE</v>
      </c>
      <c r="R830" s="76" t="str">
        <f t="shared" si="92"/>
        <v/>
      </c>
      <c r="S830" s="76" t="str">
        <f t="shared" si="93"/>
        <v/>
      </c>
      <c r="T830" s="76" t="str">
        <f t="shared" si="94"/>
        <v>-- K731_疾患開始日</v>
      </c>
      <c r="U830" s="4" t="str">
        <f t="shared" si="72"/>
        <v>, CASE WHEN shikkan_disp_name = 'K731' THEN min_shikkan_start_date ::DATE ELSE NULL END AS shikkan812_start_date</v>
      </c>
      <c r="V830" s="25" t="str">
        <f t="shared" si="73"/>
        <v>, max(shikkan812_start_date)</v>
      </c>
      <c r="AA830" s="4"/>
      <c r="AB830" s="4"/>
      <c r="AC830" s="4"/>
      <c r="AD830" s="4"/>
      <c r="AE830" s="4"/>
      <c r="AF830" s="4"/>
      <c r="AG830" s="4"/>
      <c r="AH830" s="4"/>
      <c r="AI830" s="4"/>
      <c r="AJ830" s="76" t="str">
        <f>IF(E830="○",IF(COUNTA(E$13:E830)=1,"",",")&amp;D830,"")</f>
        <v/>
      </c>
      <c r="AK830" s="4"/>
      <c r="AL830" s="4"/>
      <c r="AM830" s="4"/>
      <c r="AN830" s="4"/>
      <c r="AO830" s="4"/>
      <c r="AP830" s="4"/>
      <c r="AQ830" s="4"/>
      <c r="AR830" s="4"/>
      <c r="AS830" s="76" t="str">
        <f>"COMMENT ON COLUMN "&amp;エンティティ一覧!$O$2&amp;"."&amp;D$8&amp;"."&amp;D830&amp;" IS '"&amp;C830&amp;"';"</f>
        <v>COMMENT ON COLUMN milscm_2023_009.sny_202310_annony_non_annony2.shikkan812_start_date IS 'K731_疾患開始日';</v>
      </c>
    </row>
    <row r="831" spans="1:45" s="25" customFormat="1">
      <c r="A831" s="4" t="s">
        <v>5881</v>
      </c>
      <c r="B831" s="21">
        <f t="shared" si="96"/>
        <v>819</v>
      </c>
      <c r="C831" s="13" t="str">
        <f t="shared" si="95"/>
        <v>K732_疾患開始日</v>
      </c>
      <c r="D831" s="13" t="s">
        <v>6473</v>
      </c>
      <c r="E831" s="8"/>
      <c r="F831" s="7" t="s">
        <v>4348</v>
      </c>
      <c r="G831" s="7" t="s">
        <v>25</v>
      </c>
      <c r="H831" s="58"/>
      <c r="I831" s="23"/>
      <c r="J831" s="24"/>
      <c r="M831" s="4"/>
      <c r="N831" s="76"/>
      <c r="O831" s="76"/>
      <c r="P831" s="76" t="str">
        <f t="shared" si="90"/>
        <v>,shikkan813_start_date</v>
      </c>
      <c r="Q831" s="76" t="str">
        <f t="shared" si="91"/>
        <v>DATE</v>
      </c>
      <c r="R831" s="76" t="str">
        <f t="shared" si="92"/>
        <v/>
      </c>
      <c r="S831" s="76" t="str">
        <f t="shared" si="93"/>
        <v/>
      </c>
      <c r="T831" s="76" t="str">
        <f t="shared" si="94"/>
        <v>-- K732_疾患開始日</v>
      </c>
      <c r="U831" s="4" t="str">
        <f t="shared" si="72"/>
        <v>, CASE WHEN shikkan_disp_name = 'K732' THEN min_shikkan_start_date ::DATE ELSE NULL END AS shikkan813_start_date</v>
      </c>
      <c r="V831" s="25" t="str">
        <f t="shared" si="73"/>
        <v>, max(shikkan813_start_date)</v>
      </c>
      <c r="AA831" s="4"/>
      <c r="AB831" s="4"/>
      <c r="AC831" s="4"/>
      <c r="AD831" s="4"/>
      <c r="AE831" s="4"/>
      <c r="AF831" s="4"/>
      <c r="AG831" s="4"/>
      <c r="AH831" s="4"/>
      <c r="AI831" s="4"/>
      <c r="AJ831" s="76" t="str">
        <f>IF(E831="○",IF(COUNTA(E$13:E831)=1,"",",")&amp;D831,"")</f>
        <v/>
      </c>
      <c r="AK831" s="4"/>
      <c r="AL831" s="4"/>
      <c r="AM831" s="4"/>
      <c r="AN831" s="4"/>
      <c r="AO831" s="4"/>
      <c r="AP831" s="4"/>
      <c r="AQ831" s="4"/>
      <c r="AR831" s="4"/>
      <c r="AS831" s="76" t="str">
        <f>"COMMENT ON COLUMN "&amp;エンティティ一覧!$O$2&amp;"."&amp;D$8&amp;"."&amp;D831&amp;" IS '"&amp;C831&amp;"';"</f>
        <v>COMMENT ON COLUMN milscm_2023_009.sny_202310_annony_non_annony2.shikkan813_start_date IS 'K732_疾患開始日';</v>
      </c>
    </row>
    <row r="832" spans="1:45" s="25" customFormat="1">
      <c r="A832" s="4" t="s">
        <v>5882</v>
      </c>
      <c r="B832" s="21">
        <f t="shared" si="96"/>
        <v>820</v>
      </c>
      <c r="C832" s="13" t="str">
        <f t="shared" si="95"/>
        <v>K738_疾患開始日</v>
      </c>
      <c r="D832" s="13" t="s">
        <v>6474</v>
      </c>
      <c r="E832" s="8"/>
      <c r="F832" s="7" t="s">
        <v>4348</v>
      </c>
      <c r="G832" s="7" t="s">
        <v>25</v>
      </c>
      <c r="H832" s="58"/>
      <c r="I832" s="23"/>
      <c r="J832" s="24"/>
      <c r="M832" s="4"/>
      <c r="N832" s="76"/>
      <c r="O832" s="76"/>
      <c r="P832" s="76" t="str">
        <f t="shared" si="90"/>
        <v>,shikkan814_start_date</v>
      </c>
      <c r="Q832" s="76" t="str">
        <f t="shared" si="91"/>
        <v>DATE</v>
      </c>
      <c r="R832" s="76" t="str">
        <f t="shared" si="92"/>
        <v/>
      </c>
      <c r="S832" s="76" t="str">
        <f t="shared" si="93"/>
        <v/>
      </c>
      <c r="T832" s="76" t="str">
        <f t="shared" si="94"/>
        <v>-- K738_疾患開始日</v>
      </c>
      <c r="U832" s="4" t="str">
        <f t="shared" si="72"/>
        <v>, CASE WHEN shikkan_disp_name = 'K738' THEN min_shikkan_start_date ::DATE ELSE NULL END AS shikkan814_start_date</v>
      </c>
      <c r="V832" s="25" t="str">
        <f t="shared" si="73"/>
        <v>, max(shikkan814_start_date)</v>
      </c>
      <c r="AA832" s="4"/>
      <c r="AB832" s="4"/>
      <c r="AC832" s="4"/>
      <c r="AD832" s="4"/>
      <c r="AE832" s="4"/>
      <c r="AF832" s="4"/>
      <c r="AG832" s="4"/>
      <c r="AH832" s="4"/>
      <c r="AI832" s="4"/>
      <c r="AJ832" s="76" t="str">
        <f>IF(E832="○",IF(COUNTA(E$13:E832)=1,"",",")&amp;D832,"")</f>
        <v/>
      </c>
      <c r="AK832" s="4"/>
      <c r="AL832" s="4"/>
      <c r="AM832" s="4"/>
      <c r="AN832" s="4"/>
      <c r="AO832" s="4"/>
      <c r="AP832" s="4"/>
      <c r="AQ832" s="4"/>
      <c r="AR832" s="4"/>
      <c r="AS832" s="76" t="str">
        <f>"COMMENT ON COLUMN "&amp;エンティティ一覧!$O$2&amp;"."&amp;D$8&amp;"."&amp;D832&amp;" IS '"&amp;C832&amp;"';"</f>
        <v>COMMENT ON COLUMN milscm_2023_009.sny_202310_annony_non_annony2.shikkan814_start_date IS 'K738_疾患開始日';</v>
      </c>
    </row>
    <row r="833" spans="1:45" s="25" customFormat="1">
      <c r="A833" s="4" t="s">
        <v>5883</v>
      </c>
      <c r="B833" s="21">
        <f t="shared" si="96"/>
        <v>821</v>
      </c>
      <c r="C833" s="13" t="str">
        <f t="shared" si="95"/>
        <v>K739_疾患開始日</v>
      </c>
      <c r="D833" s="13" t="s">
        <v>6475</v>
      </c>
      <c r="E833" s="8"/>
      <c r="F833" s="7" t="s">
        <v>4348</v>
      </c>
      <c r="G833" s="7" t="s">
        <v>99</v>
      </c>
      <c r="H833" s="58"/>
      <c r="I833" s="23"/>
      <c r="J833" s="24"/>
      <c r="M833" s="4"/>
      <c r="N833" s="76"/>
      <c r="O833" s="76"/>
      <c r="P833" s="76" t="str">
        <f t="shared" si="90"/>
        <v>,shikkan815_start_date</v>
      </c>
      <c r="Q833" s="76" t="str">
        <f t="shared" si="91"/>
        <v>DATE</v>
      </c>
      <c r="R833" s="76" t="str">
        <f t="shared" si="92"/>
        <v/>
      </c>
      <c r="S833" s="76" t="str">
        <f t="shared" si="93"/>
        <v/>
      </c>
      <c r="T833" s="76" t="str">
        <f t="shared" si="94"/>
        <v>-- K739_疾患開始日</v>
      </c>
      <c r="U833" s="4" t="str">
        <f t="shared" si="72"/>
        <v>, CASE WHEN shikkan_disp_name = 'K739' THEN min_shikkan_start_date ::DATE ELSE NULL END AS shikkan815_start_date</v>
      </c>
      <c r="V833" s="25" t="str">
        <f t="shared" si="73"/>
        <v>, max(shikkan815_start_date)</v>
      </c>
      <c r="AA833" s="4"/>
      <c r="AB833" s="4"/>
      <c r="AC833" s="4"/>
      <c r="AD833" s="4"/>
      <c r="AE833" s="4"/>
      <c r="AF833" s="4"/>
      <c r="AG833" s="4"/>
      <c r="AH833" s="4"/>
      <c r="AI833" s="4"/>
      <c r="AJ833" s="76" t="str">
        <f>IF(E833="○",IF(COUNTA(E$13:E833)=1,"",",")&amp;D833,"")</f>
        <v/>
      </c>
      <c r="AK833" s="4"/>
      <c r="AL833" s="4"/>
      <c r="AM833" s="4"/>
      <c r="AN833" s="4"/>
      <c r="AO833" s="4"/>
      <c r="AP833" s="4"/>
      <c r="AQ833" s="4"/>
      <c r="AR833" s="4"/>
      <c r="AS833" s="76" t="str">
        <f>"COMMENT ON COLUMN "&amp;エンティティ一覧!$O$2&amp;"."&amp;D$8&amp;"."&amp;D833&amp;" IS '"&amp;C833&amp;"';"</f>
        <v>COMMENT ON COLUMN milscm_2023_009.sny_202310_annony_non_annony2.shikkan815_start_date IS 'K739_疾患開始日';</v>
      </c>
    </row>
    <row r="834" spans="1:45" s="25" customFormat="1">
      <c r="A834" s="4" t="s">
        <v>5884</v>
      </c>
      <c r="B834" s="21">
        <f t="shared" si="96"/>
        <v>822</v>
      </c>
      <c r="C834" s="13" t="str">
        <f t="shared" si="95"/>
        <v>K740_疾患開始日</v>
      </c>
      <c r="D834" s="13" t="s">
        <v>6476</v>
      </c>
      <c r="E834" s="8"/>
      <c r="F834" s="7" t="s">
        <v>4348</v>
      </c>
      <c r="G834" s="7" t="s">
        <v>25</v>
      </c>
      <c r="H834" s="58"/>
      <c r="I834" s="23"/>
      <c r="J834" s="24"/>
      <c r="M834" s="4"/>
      <c r="N834" s="76"/>
      <c r="O834" s="76"/>
      <c r="P834" s="76" t="str">
        <f t="shared" si="90"/>
        <v>,shikkan816_start_date</v>
      </c>
      <c r="Q834" s="76" t="str">
        <f t="shared" si="91"/>
        <v>DATE</v>
      </c>
      <c r="R834" s="76" t="str">
        <f t="shared" si="92"/>
        <v/>
      </c>
      <c r="S834" s="76" t="str">
        <f t="shared" si="93"/>
        <v/>
      </c>
      <c r="T834" s="76" t="str">
        <f t="shared" si="94"/>
        <v>-- K740_疾患開始日</v>
      </c>
      <c r="U834" s="4" t="str">
        <f t="shared" si="72"/>
        <v>, CASE WHEN shikkan_disp_name = 'K740' THEN min_shikkan_start_date ::DATE ELSE NULL END AS shikkan816_start_date</v>
      </c>
      <c r="V834" s="25" t="str">
        <f t="shared" si="73"/>
        <v>, max(shikkan816_start_date)</v>
      </c>
      <c r="AA834" s="4"/>
      <c r="AB834" s="4"/>
      <c r="AC834" s="4"/>
      <c r="AD834" s="4"/>
      <c r="AE834" s="4"/>
      <c r="AF834" s="4"/>
      <c r="AG834" s="4"/>
      <c r="AH834" s="4"/>
      <c r="AI834" s="4"/>
      <c r="AJ834" s="76" t="str">
        <f>IF(E834="○",IF(COUNTA(E$13:E834)=1,"",",")&amp;D834,"")</f>
        <v/>
      </c>
      <c r="AK834" s="4"/>
      <c r="AL834" s="4"/>
      <c r="AM834" s="4"/>
      <c r="AN834" s="4"/>
      <c r="AO834" s="4"/>
      <c r="AP834" s="4"/>
      <c r="AQ834" s="4"/>
      <c r="AR834" s="4"/>
      <c r="AS834" s="76" t="str">
        <f>"COMMENT ON COLUMN "&amp;エンティティ一覧!$O$2&amp;"."&amp;D$8&amp;"."&amp;D834&amp;" IS '"&amp;C834&amp;"';"</f>
        <v>COMMENT ON COLUMN milscm_2023_009.sny_202310_annony_non_annony2.shikkan816_start_date IS 'K740_疾患開始日';</v>
      </c>
    </row>
    <row r="835" spans="1:45" s="25" customFormat="1">
      <c r="A835" s="4" t="s">
        <v>5885</v>
      </c>
      <c r="B835" s="21">
        <f t="shared" si="96"/>
        <v>823</v>
      </c>
      <c r="C835" s="13" t="str">
        <f t="shared" si="95"/>
        <v>K741_疾患開始日</v>
      </c>
      <c r="D835" s="13" t="s">
        <v>6477</v>
      </c>
      <c r="E835" s="8"/>
      <c r="F835" s="7" t="s">
        <v>4348</v>
      </c>
      <c r="G835" s="7" t="s">
        <v>25</v>
      </c>
      <c r="H835" s="58"/>
      <c r="I835" s="23"/>
      <c r="J835" s="24"/>
      <c r="M835" s="4"/>
      <c r="N835" s="76"/>
      <c r="O835" s="76"/>
      <c r="P835" s="76" t="str">
        <f t="shared" si="90"/>
        <v>,shikkan817_start_date</v>
      </c>
      <c r="Q835" s="76" t="str">
        <f t="shared" si="91"/>
        <v>DATE</v>
      </c>
      <c r="R835" s="76" t="str">
        <f t="shared" si="92"/>
        <v/>
      </c>
      <c r="S835" s="76" t="str">
        <f t="shared" si="93"/>
        <v/>
      </c>
      <c r="T835" s="76" t="str">
        <f t="shared" si="94"/>
        <v>-- K741_疾患開始日</v>
      </c>
      <c r="U835" s="4" t="str">
        <f t="shared" si="72"/>
        <v>, CASE WHEN shikkan_disp_name = 'K741' THEN min_shikkan_start_date ::DATE ELSE NULL END AS shikkan817_start_date</v>
      </c>
      <c r="V835" s="25" t="str">
        <f t="shared" si="73"/>
        <v>, max(shikkan817_start_date)</v>
      </c>
      <c r="AA835" s="4"/>
      <c r="AB835" s="4"/>
      <c r="AC835" s="4"/>
      <c r="AD835" s="4"/>
      <c r="AE835" s="4"/>
      <c r="AF835" s="4"/>
      <c r="AG835" s="4"/>
      <c r="AH835" s="4"/>
      <c r="AI835" s="4"/>
      <c r="AJ835" s="76" t="str">
        <f>IF(E835="○",IF(COUNTA(E$13:E835)=1,"",",")&amp;D835,"")</f>
        <v/>
      </c>
      <c r="AK835" s="4"/>
      <c r="AL835" s="4"/>
      <c r="AM835" s="4"/>
      <c r="AN835" s="4"/>
      <c r="AO835" s="4"/>
      <c r="AP835" s="4"/>
      <c r="AQ835" s="4"/>
      <c r="AR835" s="4"/>
      <c r="AS835" s="76" t="str">
        <f>"COMMENT ON COLUMN "&amp;エンティティ一覧!$O$2&amp;"."&amp;D$8&amp;"."&amp;D835&amp;" IS '"&amp;C835&amp;"';"</f>
        <v>COMMENT ON COLUMN milscm_2023_009.sny_202310_annony_non_annony2.shikkan817_start_date IS 'K741_疾患開始日';</v>
      </c>
    </row>
    <row r="836" spans="1:45" s="25" customFormat="1">
      <c r="A836" s="4" t="s">
        <v>5886</v>
      </c>
      <c r="B836" s="21">
        <f t="shared" si="96"/>
        <v>824</v>
      </c>
      <c r="C836" s="13" t="str">
        <f t="shared" si="95"/>
        <v>K742_疾患開始日</v>
      </c>
      <c r="D836" s="13" t="s">
        <v>6478</v>
      </c>
      <c r="E836" s="8"/>
      <c r="F836" s="7" t="s">
        <v>4348</v>
      </c>
      <c r="G836" s="7" t="s">
        <v>25</v>
      </c>
      <c r="H836" s="58"/>
      <c r="I836" s="23"/>
      <c r="J836" s="24"/>
      <c r="M836" s="4"/>
      <c r="N836" s="76"/>
      <c r="O836" s="76"/>
      <c r="P836" s="76" t="str">
        <f t="shared" si="90"/>
        <v>,shikkan818_start_date</v>
      </c>
      <c r="Q836" s="76" t="str">
        <f t="shared" si="91"/>
        <v>DATE</v>
      </c>
      <c r="R836" s="76" t="str">
        <f t="shared" si="92"/>
        <v/>
      </c>
      <c r="S836" s="76" t="str">
        <f t="shared" si="93"/>
        <v/>
      </c>
      <c r="T836" s="76" t="str">
        <f t="shared" si="94"/>
        <v>-- K742_疾患開始日</v>
      </c>
      <c r="U836" s="4" t="str">
        <f t="shared" si="72"/>
        <v>, CASE WHEN shikkan_disp_name = 'K742' THEN min_shikkan_start_date ::DATE ELSE NULL END AS shikkan818_start_date</v>
      </c>
      <c r="V836" s="25" t="str">
        <f t="shared" si="73"/>
        <v>, max(shikkan818_start_date)</v>
      </c>
      <c r="AA836" s="4"/>
      <c r="AB836" s="4"/>
      <c r="AC836" s="4"/>
      <c r="AD836" s="4"/>
      <c r="AE836" s="4"/>
      <c r="AF836" s="4"/>
      <c r="AG836" s="4"/>
      <c r="AH836" s="4"/>
      <c r="AI836" s="4"/>
      <c r="AJ836" s="76" t="str">
        <f>IF(E836="○",IF(COUNTA(E$13:E836)=1,"",",")&amp;D836,"")</f>
        <v/>
      </c>
      <c r="AK836" s="4"/>
      <c r="AL836" s="4"/>
      <c r="AM836" s="4"/>
      <c r="AN836" s="4"/>
      <c r="AO836" s="4"/>
      <c r="AP836" s="4"/>
      <c r="AQ836" s="4"/>
      <c r="AR836" s="4"/>
      <c r="AS836" s="76" t="str">
        <f>"COMMENT ON COLUMN "&amp;エンティティ一覧!$O$2&amp;"."&amp;D$8&amp;"."&amp;D836&amp;" IS '"&amp;C836&amp;"';"</f>
        <v>COMMENT ON COLUMN milscm_2023_009.sny_202310_annony_non_annony2.shikkan818_start_date IS 'K742_疾患開始日';</v>
      </c>
    </row>
    <row r="837" spans="1:45" s="25" customFormat="1">
      <c r="A837" s="4" t="s">
        <v>5887</v>
      </c>
      <c r="B837" s="21">
        <f t="shared" si="96"/>
        <v>825</v>
      </c>
      <c r="C837" s="13" t="str">
        <f t="shared" si="95"/>
        <v>K743_疾患開始日</v>
      </c>
      <c r="D837" s="13" t="s">
        <v>6479</v>
      </c>
      <c r="E837" s="8"/>
      <c r="F837" s="7" t="s">
        <v>4348</v>
      </c>
      <c r="G837" s="7" t="s">
        <v>25</v>
      </c>
      <c r="H837" s="58"/>
      <c r="I837" s="23"/>
      <c r="J837" s="24"/>
      <c r="M837" s="4"/>
      <c r="N837" s="76"/>
      <c r="O837" s="76"/>
      <c r="P837" s="76" t="str">
        <f t="shared" si="90"/>
        <v>,shikkan819_start_date</v>
      </c>
      <c r="Q837" s="76" t="str">
        <f t="shared" si="91"/>
        <v>DATE</v>
      </c>
      <c r="R837" s="76" t="str">
        <f t="shared" si="92"/>
        <v/>
      </c>
      <c r="S837" s="76" t="str">
        <f t="shared" si="93"/>
        <v/>
      </c>
      <c r="T837" s="76" t="str">
        <f t="shared" si="94"/>
        <v>-- K743_疾患開始日</v>
      </c>
      <c r="U837" s="4" t="str">
        <f t="shared" si="72"/>
        <v>, CASE WHEN shikkan_disp_name = 'K743' THEN min_shikkan_start_date ::DATE ELSE NULL END AS shikkan819_start_date</v>
      </c>
      <c r="V837" s="25" t="str">
        <f t="shared" si="73"/>
        <v>, max(shikkan819_start_date)</v>
      </c>
      <c r="AA837" s="4"/>
      <c r="AB837" s="4"/>
      <c r="AC837" s="4"/>
      <c r="AD837" s="4"/>
      <c r="AE837" s="4"/>
      <c r="AF837" s="4"/>
      <c r="AG837" s="4"/>
      <c r="AH837" s="4"/>
      <c r="AI837" s="4"/>
      <c r="AJ837" s="76" t="str">
        <f>IF(E837="○",IF(COUNTA(E$13:E837)=1,"",",")&amp;D837,"")</f>
        <v/>
      </c>
      <c r="AK837" s="4"/>
      <c r="AL837" s="4"/>
      <c r="AM837" s="4"/>
      <c r="AN837" s="4"/>
      <c r="AO837" s="4"/>
      <c r="AP837" s="4"/>
      <c r="AQ837" s="4"/>
      <c r="AR837" s="4"/>
      <c r="AS837" s="76" t="str">
        <f>"COMMENT ON COLUMN "&amp;エンティティ一覧!$O$2&amp;"."&amp;D$8&amp;"."&amp;D837&amp;" IS '"&amp;C837&amp;"';"</f>
        <v>COMMENT ON COLUMN milscm_2023_009.sny_202310_annony_non_annony2.shikkan819_start_date IS 'K743_疾患開始日';</v>
      </c>
    </row>
    <row r="838" spans="1:45" s="25" customFormat="1">
      <c r="A838" s="4" t="s">
        <v>5888</v>
      </c>
      <c r="B838" s="21">
        <f t="shared" si="96"/>
        <v>826</v>
      </c>
      <c r="C838" s="13" t="str">
        <f t="shared" si="95"/>
        <v>K744_疾患開始日</v>
      </c>
      <c r="D838" s="13" t="s">
        <v>6480</v>
      </c>
      <c r="E838" s="8"/>
      <c r="F838" s="7" t="s">
        <v>4348</v>
      </c>
      <c r="G838" s="7" t="s">
        <v>25</v>
      </c>
      <c r="H838" s="58"/>
      <c r="I838" s="23"/>
      <c r="J838" s="24"/>
      <c r="M838" s="4"/>
      <c r="N838" s="76"/>
      <c r="O838" s="76"/>
      <c r="P838" s="76" t="str">
        <f t="shared" si="90"/>
        <v>,shikkan820_start_date</v>
      </c>
      <c r="Q838" s="76" t="str">
        <f t="shared" si="91"/>
        <v>DATE</v>
      </c>
      <c r="R838" s="76" t="str">
        <f t="shared" si="92"/>
        <v/>
      </c>
      <c r="S838" s="76" t="str">
        <f t="shared" si="93"/>
        <v/>
      </c>
      <c r="T838" s="76" t="str">
        <f t="shared" si="94"/>
        <v>-- K744_疾患開始日</v>
      </c>
      <c r="U838" s="4" t="str">
        <f t="shared" si="72"/>
        <v>, CASE WHEN shikkan_disp_name = 'K744' THEN min_shikkan_start_date ::DATE ELSE NULL END AS shikkan820_start_date</v>
      </c>
      <c r="V838" s="25" t="str">
        <f t="shared" si="73"/>
        <v>, max(shikkan820_start_date)</v>
      </c>
      <c r="AA838" s="4"/>
      <c r="AB838" s="4"/>
      <c r="AC838" s="4"/>
      <c r="AD838" s="4"/>
      <c r="AE838" s="4"/>
      <c r="AF838" s="4"/>
      <c r="AG838" s="4"/>
      <c r="AH838" s="4"/>
      <c r="AI838" s="4"/>
      <c r="AJ838" s="76" t="str">
        <f>IF(E838="○",IF(COUNTA(E$13:E838)=1,"",",")&amp;D838,"")</f>
        <v/>
      </c>
      <c r="AK838" s="4"/>
      <c r="AL838" s="4"/>
      <c r="AM838" s="4"/>
      <c r="AN838" s="4"/>
      <c r="AO838" s="4"/>
      <c r="AP838" s="4"/>
      <c r="AQ838" s="4"/>
      <c r="AR838" s="4"/>
      <c r="AS838" s="76" t="str">
        <f>"COMMENT ON COLUMN "&amp;エンティティ一覧!$O$2&amp;"."&amp;D$8&amp;"."&amp;D838&amp;" IS '"&amp;C838&amp;"';"</f>
        <v>COMMENT ON COLUMN milscm_2023_009.sny_202310_annony_non_annony2.shikkan820_start_date IS 'K744_疾患開始日';</v>
      </c>
    </row>
    <row r="839" spans="1:45" s="25" customFormat="1">
      <c r="A839" s="4" t="s">
        <v>5889</v>
      </c>
      <c r="B839" s="21">
        <f t="shared" si="96"/>
        <v>827</v>
      </c>
      <c r="C839" s="13" t="str">
        <f t="shared" si="95"/>
        <v>K745_疾患開始日</v>
      </c>
      <c r="D839" s="13" t="s">
        <v>6481</v>
      </c>
      <c r="E839" s="8"/>
      <c r="F839" s="7" t="s">
        <v>4348</v>
      </c>
      <c r="G839" s="7" t="s">
        <v>25</v>
      </c>
      <c r="H839" s="58"/>
      <c r="I839" s="23"/>
      <c r="J839" s="24"/>
      <c r="M839" s="4"/>
      <c r="N839" s="76"/>
      <c r="O839" s="76"/>
      <c r="P839" s="76" t="str">
        <f t="shared" si="90"/>
        <v>,shikkan821_start_date</v>
      </c>
      <c r="Q839" s="76" t="str">
        <f t="shared" si="91"/>
        <v>DATE</v>
      </c>
      <c r="R839" s="76" t="str">
        <f t="shared" si="92"/>
        <v/>
      </c>
      <c r="S839" s="76" t="str">
        <f t="shared" si="93"/>
        <v/>
      </c>
      <c r="T839" s="76" t="str">
        <f t="shared" si="94"/>
        <v>-- K745_疾患開始日</v>
      </c>
      <c r="U839" s="4" t="str">
        <f t="shared" si="72"/>
        <v>, CASE WHEN shikkan_disp_name = 'K745' THEN min_shikkan_start_date ::DATE ELSE NULL END AS shikkan821_start_date</v>
      </c>
      <c r="V839" s="25" t="str">
        <f t="shared" si="73"/>
        <v>, max(shikkan821_start_date)</v>
      </c>
      <c r="AA839" s="4"/>
      <c r="AB839" s="4"/>
      <c r="AC839" s="4"/>
      <c r="AD839" s="4"/>
      <c r="AE839" s="4"/>
      <c r="AF839" s="4"/>
      <c r="AG839" s="4"/>
      <c r="AH839" s="4"/>
      <c r="AI839" s="4"/>
      <c r="AJ839" s="76" t="str">
        <f>IF(E839="○",IF(COUNTA(E$13:E839)=1,"",",")&amp;D839,"")</f>
        <v/>
      </c>
      <c r="AK839" s="4"/>
      <c r="AL839" s="4"/>
      <c r="AM839" s="4"/>
      <c r="AN839" s="4"/>
      <c r="AO839" s="4"/>
      <c r="AP839" s="4"/>
      <c r="AQ839" s="4"/>
      <c r="AR839" s="4"/>
      <c r="AS839" s="76" t="str">
        <f>"COMMENT ON COLUMN "&amp;エンティティ一覧!$O$2&amp;"."&amp;D$8&amp;"."&amp;D839&amp;" IS '"&amp;C839&amp;"';"</f>
        <v>COMMENT ON COLUMN milscm_2023_009.sny_202310_annony_non_annony2.shikkan821_start_date IS 'K745_疾患開始日';</v>
      </c>
    </row>
    <row r="840" spans="1:45" s="25" customFormat="1">
      <c r="A840" s="4" t="s">
        <v>5890</v>
      </c>
      <c r="B840" s="21">
        <f t="shared" si="96"/>
        <v>828</v>
      </c>
      <c r="C840" s="13" t="str">
        <f t="shared" si="95"/>
        <v>K746_疾患開始日</v>
      </c>
      <c r="D840" s="13" t="s">
        <v>6482</v>
      </c>
      <c r="E840" s="8"/>
      <c r="F840" s="7" t="s">
        <v>4348</v>
      </c>
      <c r="G840" s="7" t="s">
        <v>25</v>
      </c>
      <c r="H840" s="58"/>
      <c r="I840" s="23"/>
      <c r="J840" s="24"/>
      <c r="M840" s="4"/>
      <c r="N840" s="76"/>
      <c r="O840" s="76"/>
      <c r="P840" s="76" t="str">
        <f t="shared" si="90"/>
        <v>,shikkan822_start_date</v>
      </c>
      <c r="Q840" s="76" t="str">
        <f t="shared" si="91"/>
        <v>DATE</v>
      </c>
      <c r="R840" s="76" t="str">
        <f t="shared" si="92"/>
        <v/>
      </c>
      <c r="S840" s="76" t="str">
        <f t="shared" si="93"/>
        <v/>
      </c>
      <c r="T840" s="76" t="str">
        <f t="shared" si="94"/>
        <v>-- K746_疾患開始日</v>
      </c>
      <c r="U840" s="4" t="str">
        <f t="shared" si="72"/>
        <v>, CASE WHEN shikkan_disp_name = 'K746' THEN min_shikkan_start_date ::DATE ELSE NULL END AS shikkan822_start_date</v>
      </c>
      <c r="V840" s="25" t="str">
        <f t="shared" si="73"/>
        <v>, max(shikkan822_start_date)</v>
      </c>
      <c r="AA840" s="4"/>
      <c r="AB840" s="4"/>
      <c r="AC840" s="4"/>
      <c r="AD840" s="4"/>
      <c r="AE840" s="4"/>
      <c r="AF840" s="4"/>
      <c r="AG840" s="4"/>
      <c r="AH840" s="4"/>
      <c r="AI840" s="4"/>
      <c r="AJ840" s="76" t="str">
        <f>IF(E840="○",IF(COUNTA(E$13:E840)=1,"",",")&amp;D840,"")</f>
        <v/>
      </c>
      <c r="AK840" s="4"/>
      <c r="AL840" s="4"/>
      <c r="AM840" s="4"/>
      <c r="AN840" s="4"/>
      <c r="AO840" s="4"/>
      <c r="AP840" s="4"/>
      <c r="AQ840" s="4"/>
      <c r="AR840" s="4"/>
      <c r="AS840" s="76" t="str">
        <f>"COMMENT ON COLUMN "&amp;エンティティ一覧!$O$2&amp;"."&amp;D$8&amp;"."&amp;D840&amp;" IS '"&amp;C840&amp;"';"</f>
        <v>COMMENT ON COLUMN milscm_2023_009.sny_202310_annony_non_annony2.shikkan822_start_date IS 'K746_疾患開始日';</v>
      </c>
    </row>
    <row r="841" spans="1:45" s="25" customFormat="1">
      <c r="A841" s="4" t="s">
        <v>5081</v>
      </c>
      <c r="B841" s="21">
        <f t="shared" si="96"/>
        <v>829</v>
      </c>
      <c r="C841" s="13" t="str">
        <f t="shared" si="95"/>
        <v>K760_疾患開始日</v>
      </c>
      <c r="D841" s="13" t="s">
        <v>6483</v>
      </c>
      <c r="E841" s="8"/>
      <c r="F841" s="7" t="s">
        <v>4348</v>
      </c>
      <c r="G841" s="7" t="s">
        <v>25</v>
      </c>
      <c r="H841" s="58"/>
      <c r="I841" s="23"/>
      <c r="J841" s="24"/>
      <c r="M841" s="4"/>
      <c r="N841" s="76"/>
      <c r="O841" s="76"/>
      <c r="P841" s="76" t="str">
        <f t="shared" si="90"/>
        <v>,shikkan823_start_date</v>
      </c>
      <c r="Q841" s="76" t="str">
        <f t="shared" si="91"/>
        <v>DATE</v>
      </c>
      <c r="R841" s="76" t="str">
        <f t="shared" si="92"/>
        <v/>
      </c>
      <c r="S841" s="76" t="str">
        <f t="shared" si="93"/>
        <v/>
      </c>
      <c r="T841" s="76" t="str">
        <f t="shared" si="94"/>
        <v>-- K760_疾患開始日</v>
      </c>
      <c r="U841" s="4" t="str">
        <f t="shared" si="72"/>
        <v>, CASE WHEN shikkan_disp_name = 'K760' THEN min_shikkan_start_date ::DATE ELSE NULL END AS shikkan823_start_date</v>
      </c>
      <c r="V841" s="25" t="str">
        <f t="shared" si="73"/>
        <v>, max(shikkan823_start_date)</v>
      </c>
      <c r="AA841" s="4"/>
      <c r="AB841" s="4"/>
      <c r="AC841" s="4"/>
      <c r="AD841" s="4"/>
      <c r="AE841" s="4"/>
      <c r="AF841" s="4"/>
      <c r="AG841" s="4"/>
      <c r="AH841" s="4"/>
      <c r="AI841" s="4"/>
      <c r="AJ841" s="76" t="str">
        <f>IF(E841="○",IF(COUNTA(E$13:E841)=1,"",",")&amp;D841,"")</f>
        <v/>
      </c>
      <c r="AK841" s="4"/>
      <c r="AL841" s="4"/>
      <c r="AM841" s="4"/>
      <c r="AN841" s="4"/>
      <c r="AO841" s="4"/>
      <c r="AP841" s="4"/>
      <c r="AQ841" s="4"/>
      <c r="AR841" s="4"/>
      <c r="AS841" s="76" t="str">
        <f>"COMMENT ON COLUMN "&amp;エンティティ一覧!$O$2&amp;"."&amp;D$8&amp;"."&amp;D841&amp;" IS '"&amp;C841&amp;"';"</f>
        <v>COMMENT ON COLUMN milscm_2023_009.sny_202310_annony_non_annony2.shikkan823_start_date IS 'K760_疾患開始日';</v>
      </c>
    </row>
    <row r="842" spans="1:45" s="25" customFormat="1">
      <c r="A842" s="4" t="s">
        <v>5082</v>
      </c>
      <c r="B842" s="21">
        <f t="shared" si="96"/>
        <v>830</v>
      </c>
      <c r="C842" s="13" t="str">
        <f t="shared" si="95"/>
        <v>K762_疾患開始日</v>
      </c>
      <c r="D842" s="13" t="s">
        <v>6484</v>
      </c>
      <c r="E842" s="8"/>
      <c r="F842" s="7" t="s">
        <v>4348</v>
      </c>
      <c r="G842" s="7" t="s">
        <v>25</v>
      </c>
      <c r="H842" s="58"/>
      <c r="I842" s="23"/>
      <c r="J842" s="24"/>
      <c r="M842" s="4"/>
      <c r="N842" s="76"/>
      <c r="O842" s="76"/>
      <c r="P842" s="76" t="str">
        <f t="shared" si="90"/>
        <v>,shikkan824_start_date</v>
      </c>
      <c r="Q842" s="76" t="str">
        <f t="shared" si="91"/>
        <v>DATE</v>
      </c>
      <c r="R842" s="76" t="str">
        <f t="shared" si="92"/>
        <v/>
      </c>
      <c r="S842" s="76" t="str">
        <f t="shared" si="93"/>
        <v/>
      </c>
      <c r="T842" s="76" t="str">
        <f t="shared" si="94"/>
        <v>-- K762_疾患開始日</v>
      </c>
      <c r="U842" s="4" t="str">
        <f t="shared" si="72"/>
        <v>, CASE WHEN shikkan_disp_name = 'K762' THEN min_shikkan_start_date ::DATE ELSE NULL END AS shikkan824_start_date</v>
      </c>
      <c r="V842" s="25" t="str">
        <f t="shared" si="73"/>
        <v>, max(shikkan824_start_date)</v>
      </c>
      <c r="AA842" s="4"/>
      <c r="AB842" s="4"/>
      <c r="AC842" s="4"/>
      <c r="AD842" s="4"/>
      <c r="AE842" s="4"/>
      <c r="AF842" s="4"/>
      <c r="AG842" s="4"/>
      <c r="AH842" s="4"/>
      <c r="AI842" s="4"/>
      <c r="AJ842" s="76" t="str">
        <f>IF(E842="○",IF(COUNTA(E$13:E842)=1,"",",")&amp;D842,"")</f>
        <v/>
      </c>
      <c r="AK842" s="4"/>
      <c r="AL842" s="4"/>
      <c r="AM842" s="4"/>
      <c r="AN842" s="4"/>
      <c r="AO842" s="4"/>
      <c r="AP842" s="4"/>
      <c r="AQ842" s="4"/>
      <c r="AR842" s="4"/>
      <c r="AS842" s="76" t="str">
        <f>"COMMENT ON COLUMN "&amp;エンティティ一覧!$O$2&amp;"."&amp;D$8&amp;"."&amp;D842&amp;" IS '"&amp;C842&amp;"';"</f>
        <v>COMMENT ON COLUMN milscm_2023_009.sny_202310_annony_non_annony2.shikkan824_start_date IS 'K762_疾患開始日';</v>
      </c>
    </row>
    <row r="843" spans="1:45" s="25" customFormat="1">
      <c r="A843" s="4" t="s">
        <v>5083</v>
      </c>
      <c r="B843" s="21">
        <f t="shared" si="96"/>
        <v>831</v>
      </c>
      <c r="C843" s="13" t="str">
        <f t="shared" si="95"/>
        <v>K763_疾患開始日</v>
      </c>
      <c r="D843" s="13" t="s">
        <v>6485</v>
      </c>
      <c r="E843" s="8"/>
      <c r="F843" s="7" t="s">
        <v>4348</v>
      </c>
      <c r="G843" s="7" t="s">
        <v>25</v>
      </c>
      <c r="H843" s="58"/>
      <c r="I843" s="23"/>
      <c r="J843" s="24"/>
      <c r="M843" s="4"/>
      <c r="N843" s="76"/>
      <c r="O843" s="76"/>
      <c r="P843" s="76" t="str">
        <f t="shared" si="90"/>
        <v>,shikkan825_start_date</v>
      </c>
      <c r="Q843" s="76" t="str">
        <f t="shared" si="91"/>
        <v>DATE</v>
      </c>
      <c r="R843" s="76" t="str">
        <f t="shared" si="92"/>
        <v/>
      </c>
      <c r="S843" s="76" t="str">
        <f t="shared" si="93"/>
        <v/>
      </c>
      <c r="T843" s="76" t="str">
        <f t="shared" si="94"/>
        <v>-- K763_疾患開始日</v>
      </c>
      <c r="U843" s="4" t="str">
        <f t="shared" si="72"/>
        <v>, CASE WHEN shikkan_disp_name = 'K763' THEN min_shikkan_start_date ::DATE ELSE NULL END AS shikkan825_start_date</v>
      </c>
      <c r="V843" s="25" t="str">
        <f t="shared" si="73"/>
        <v>, max(shikkan825_start_date)</v>
      </c>
      <c r="AA843" s="4"/>
      <c r="AB843" s="4"/>
      <c r="AC843" s="4"/>
      <c r="AD843" s="4"/>
      <c r="AE843" s="4"/>
      <c r="AF843" s="4"/>
      <c r="AG843" s="4"/>
      <c r="AH843" s="4"/>
      <c r="AI843" s="4"/>
      <c r="AJ843" s="76" t="str">
        <f>IF(E843="○",IF(COUNTA(E$13:E843)=1,"",",")&amp;D843,"")</f>
        <v/>
      </c>
      <c r="AK843" s="4"/>
      <c r="AL843" s="4"/>
      <c r="AM843" s="4"/>
      <c r="AN843" s="4"/>
      <c r="AO843" s="4"/>
      <c r="AP843" s="4"/>
      <c r="AQ843" s="4"/>
      <c r="AR843" s="4"/>
      <c r="AS843" s="76" t="str">
        <f>"COMMENT ON COLUMN "&amp;エンティティ一覧!$O$2&amp;"."&amp;D$8&amp;"."&amp;D843&amp;" IS '"&amp;C843&amp;"';"</f>
        <v>COMMENT ON COLUMN milscm_2023_009.sny_202310_annony_non_annony2.shikkan825_start_date IS 'K763_疾患開始日';</v>
      </c>
    </row>
    <row r="844" spans="1:45" s="25" customFormat="1">
      <c r="A844" s="4" t="s">
        <v>5084</v>
      </c>
      <c r="B844" s="21">
        <f t="shared" si="96"/>
        <v>832</v>
      </c>
      <c r="C844" s="13" t="str">
        <f t="shared" si="95"/>
        <v>K764_疾患開始日</v>
      </c>
      <c r="D844" s="13" t="s">
        <v>6486</v>
      </c>
      <c r="E844" s="8"/>
      <c r="F844" s="7" t="s">
        <v>4348</v>
      </c>
      <c r="G844" s="7" t="s">
        <v>25</v>
      </c>
      <c r="H844" s="58"/>
      <c r="I844" s="23"/>
      <c r="J844" s="24"/>
      <c r="M844" s="4"/>
      <c r="N844" s="76"/>
      <c r="O844" s="76"/>
      <c r="P844" s="76" t="str">
        <f t="shared" si="90"/>
        <v>,shikkan826_start_date</v>
      </c>
      <c r="Q844" s="76" t="str">
        <f t="shared" si="91"/>
        <v>DATE</v>
      </c>
      <c r="R844" s="76" t="str">
        <f t="shared" si="92"/>
        <v/>
      </c>
      <c r="S844" s="76" t="str">
        <f t="shared" si="93"/>
        <v/>
      </c>
      <c r="T844" s="76" t="str">
        <f t="shared" si="94"/>
        <v>-- K764_疾患開始日</v>
      </c>
      <c r="U844" s="4" t="str">
        <f t="shared" si="72"/>
        <v>, CASE WHEN shikkan_disp_name = 'K764' THEN min_shikkan_start_date ::DATE ELSE NULL END AS shikkan826_start_date</v>
      </c>
      <c r="V844" s="25" t="str">
        <f t="shared" si="73"/>
        <v>, max(shikkan826_start_date)</v>
      </c>
      <c r="AA844" s="4"/>
      <c r="AB844" s="4"/>
      <c r="AC844" s="4"/>
      <c r="AD844" s="4"/>
      <c r="AE844" s="4"/>
      <c r="AF844" s="4"/>
      <c r="AG844" s="4"/>
      <c r="AH844" s="4"/>
      <c r="AI844" s="4"/>
      <c r="AJ844" s="76" t="str">
        <f>IF(E844="○",IF(COUNTA(E$13:E844)=1,"",",")&amp;D844,"")</f>
        <v/>
      </c>
      <c r="AK844" s="4"/>
      <c r="AL844" s="4"/>
      <c r="AM844" s="4"/>
      <c r="AN844" s="4"/>
      <c r="AO844" s="4"/>
      <c r="AP844" s="4"/>
      <c r="AQ844" s="4"/>
      <c r="AR844" s="4"/>
      <c r="AS844" s="76" t="str">
        <f>"COMMENT ON COLUMN "&amp;エンティティ一覧!$O$2&amp;"."&amp;D$8&amp;"."&amp;D844&amp;" IS '"&amp;C844&amp;"';"</f>
        <v>COMMENT ON COLUMN milscm_2023_009.sny_202310_annony_non_annony2.shikkan826_start_date IS 'K764_疾患開始日';</v>
      </c>
    </row>
    <row r="845" spans="1:45" s="25" customFormat="1">
      <c r="A845" s="4" t="s">
        <v>5891</v>
      </c>
      <c r="B845" s="21">
        <f t="shared" si="96"/>
        <v>833</v>
      </c>
      <c r="C845" s="13" t="str">
        <f t="shared" si="95"/>
        <v>K765_疾患開始日</v>
      </c>
      <c r="D845" s="13" t="s">
        <v>6487</v>
      </c>
      <c r="E845" s="8"/>
      <c r="F845" s="7" t="s">
        <v>4348</v>
      </c>
      <c r="G845" s="7" t="s">
        <v>25</v>
      </c>
      <c r="H845" s="58"/>
      <c r="I845" s="23"/>
      <c r="J845" s="24"/>
      <c r="M845" s="4"/>
      <c r="N845" s="76"/>
      <c r="O845" s="76"/>
      <c r="P845" s="76" t="str">
        <f t="shared" si="90"/>
        <v>,shikkan827_start_date</v>
      </c>
      <c r="Q845" s="76" t="str">
        <f t="shared" si="91"/>
        <v>DATE</v>
      </c>
      <c r="R845" s="76" t="str">
        <f t="shared" si="92"/>
        <v/>
      </c>
      <c r="S845" s="76" t="str">
        <f t="shared" si="93"/>
        <v/>
      </c>
      <c r="T845" s="76" t="str">
        <f t="shared" si="94"/>
        <v>-- K765_疾患開始日</v>
      </c>
      <c r="U845" s="4" t="str">
        <f t="shared" si="72"/>
        <v>, CASE WHEN shikkan_disp_name = 'K765' THEN min_shikkan_start_date ::DATE ELSE NULL END AS shikkan827_start_date</v>
      </c>
      <c r="V845" s="25" t="str">
        <f t="shared" si="73"/>
        <v>, max(shikkan827_start_date)</v>
      </c>
      <c r="AA845" s="4"/>
      <c r="AB845" s="4"/>
      <c r="AC845" s="4"/>
      <c r="AD845" s="4"/>
      <c r="AE845" s="4"/>
      <c r="AF845" s="4"/>
      <c r="AG845" s="4"/>
      <c r="AH845" s="4"/>
      <c r="AI845" s="4"/>
      <c r="AJ845" s="76" t="str">
        <f>IF(E845="○",IF(COUNTA(E$13:E845)=1,"",",")&amp;D845,"")</f>
        <v/>
      </c>
      <c r="AK845" s="4"/>
      <c r="AL845" s="4"/>
      <c r="AM845" s="4"/>
      <c r="AN845" s="4"/>
      <c r="AO845" s="4"/>
      <c r="AP845" s="4"/>
      <c r="AQ845" s="4"/>
      <c r="AR845" s="4"/>
      <c r="AS845" s="76" t="str">
        <f>"COMMENT ON COLUMN "&amp;エンティティ一覧!$O$2&amp;"."&amp;D$8&amp;"."&amp;D845&amp;" IS '"&amp;C845&amp;"';"</f>
        <v>COMMENT ON COLUMN milscm_2023_009.sny_202310_annony_non_annony2.shikkan827_start_date IS 'K765_疾患開始日';</v>
      </c>
    </row>
    <row r="846" spans="1:45" s="25" customFormat="1">
      <c r="A846" s="4" t="s">
        <v>5892</v>
      </c>
      <c r="B846" s="21">
        <f t="shared" si="96"/>
        <v>834</v>
      </c>
      <c r="C846" s="13" t="str">
        <f t="shared" si="95"/>
        <v>K766_疾患開始日</v>
      </c>
      <c r="D846" s="13" t="s">
        <v>6488</v>
      </c>
      <c r="E846" s="8"/>
      <c r="F846" s="7" t="s">
        <v>4348</v>
      </c>
      <c r="G846" s="7" t="s">
        <v>25</v>
      </c>
      <c r="H846" s="58"/>
      <c r="I846" s="23"/>
      <c r="J846" s="24"/>
      <c r="M846" s="4"/>
      <c r="N846" s="76"/>
      <c r="O846" s="76"/>
      <c r="P846" s="76" t="str">
        <f t="shared" si="90"/>
        <v>,shikkan828_start_date</v>
      </c>
      <c r="Q846" s="76" t="str">
        <f t="shared" si="91"/>
        <v>DATE</v>
      </c>
      <c r="R846" s="76" t="str">
        <f t="shared" si="92"/>
        <v/>
      </c>
      <c r="S846" s="76" t="str">
        <f t="shared" si="93"/>
        <v/>
      </c>
      <c r="T846" s="76" t="str">
        <f t="shared" si="94"/>
        <v>-- K766_疾患開始日</v>
      </c>
      <c r="U846" s="4" t="str">
        <f t="shared" si="72"/>
        <v>, CASE WHEN shikkan_disp_name = 'K766' THEN min_shikkan_start_date ::DATE ELSE NULL END AS shikkan828_start_date</v>
      </c>
      <c r="V846" s="25" t="str">
        <f t="shared" si="73"/>
        <v>, max(shikkan828_start_date)</v>
      </c>
      <c r="AA846" s="4"/>
      <c r="AB846" s="4"/>
      <c r="AC846" s="4"/>
      <c r="AD846" s="4"/>
      <c r="AE846" s="4"/>
      <c r="AF846" s="4"/>
      <c r="AG846" s="4"/>
      <c r="AH846" s="4"/>
      <c r="AI846" s="4"/>
      <c r="AJ846" s="76" t="str">
        <f>IF(E846="○",IF(COUNTA(E$13:E846)=1,"",",")&amp;D846,"")</f>
        <v/>
      </c>
      <c r="AK846" s="4"/>
      <c r="AL846" s="4"/>
      <c r="AM846" s="4"/>
      <c r="AN846" s="4"/>
      <c r="AO846" s="4"/>
      <c r="AP846" s="4"/>
      <c r="AQ846" s="4"/>
      <c r="AR846" s="4"/>
      <c r="AS846" s="76" t="str">
        <f>"COMMENT ON COLUMN "&amp;エンティティ一覧!$O$2&amp;"."&amp;D$8&amp;"."&amp;D846&amp;" IS '"&amp;C846&amp;"';"</f>
        <v>COMMENT ON COLUMN milscm_2023_009.sny_202310_annony_non_annony2.shikkan828_start_date IS 'K766_疾患開始日';</v>
      </c>
    </row>
    <row r="847" spans="1:45" s="25" customFormat="1">
      <c r="A847" s="4" t="s">
        <v>5893</v>
      </c>
      <c r="B847" s="21">
        <f t="shared" si="96"/>
        <v>835</v>
      </c>
      <c r="C847" s="13" t="str">
        <f t="shared" si="95"/>
        <v>K767_疾患開始日</v>
      </c>
      <c r="D847" s="13" t="s">
        <v>6489</v>
      </c>
      <c r="E847" s="8"/>
      <c r="F847" s="7" t="s">
        <v>4348</v>
      </c>
      <c r="G847" s="7" t="s">
        <v>25</v>
      </c>
      <c r="H847" s="58"/>
      <c r="I847" s="23"/>
      <c r="J847" s="24"/>
      <c r="M847" s="4"/>
      <c r="N847" s="76"/>
      <c r="O847" s="76"/>
      <c r="P847" s="76" t="str">
        <f t="shared" si="90"/>
        <v>,shikkan829_start_date</v>
      </c>
      <c r="Q847" s="76" t="str">
        <f t="shared" si="91"/>
        <v>DATE</v>
      </c>
      <c r="R847" s="76" t="str">
        <f t="shared" si="92"/>
        <v/>
      </c>
      <c r="S847" s="76" t="str">
        <f t="shared" si="93"/>
        <v/>
      </c>
      <c r="T847" s="76" t="str">
        <f t="shared" si="94"/>
        <v>-- K767_疾患開始日</v>
      </c>
      <c r="U847" s="4" t="str">
        <f t="shared" si="72"/>
        <v>, CASE WHEN shikkan_disp_name = 'K767' THEN min_shikkan_start_date ::DATE ELSE NULL END AS shikkan829_start_date</v>
      </c>
      <c r="V847" s="25" t="str">
        <f t="shared" si="73"/>
        <v>, max(shikkan829_start_date)</v>
      </c>
      <c r="AA847" s="4"/>
      <c r="AB847" s="4"/>
      <c r="AC847" s="4"/>
      <c r="AD847" s="4"/>
      <c r="AE847" s="4"/>
      <c r="AF847" s="4"/>
      <c r="AG847" s="4"/>
      <c r="AH847" s="4"/>
      <c r="AI847" s="4"/>
      <c r="AJ847" s="76" t="str">
        <f>IF(E847="○",IF(COUNTA(E$13:E847)=1,"",",")&amp;D847,"")</f>
        <v/>
      </c>
      <c r="AK847" s="4"/>
      <c r="AL847" s="4"/>
      <c r="AM847" s="4"/>
      <c r="AN847" s="4"/>
      <c r="AO847" s="4"/>
      <c r="AP847" s="4"/>
      <c r="AQ847" s="4"/>
      <c r="AR847" s="4"/>
      <c r="AS847" s="76" t="str">
        <f>"COMMENT ON COLUMN "&amp;エンティティ一覧!$O$2&amp;"."&amp;D$8&amp;"."&amp;D847&amp;" IS '"&amp;C847&amp;"';"</f>
        <v>COMMENT ON COLUMN milscm_2023_009.sny_202310_annony_non_annony2.shikkan829_start_date IS 'K767_疾患開始日';</v>
      </c>
    </row>
    <row r="848" spans="1:45" s="25" customFormat="1">
      <c r="A848" s="4" t="s">
        <v>5085</v>
      </c>
      <c r="B848" s="21">
        <f t="shared" si="96"/>
        <v>836</v>
      </c>
      <c r="C848" s="13" t="str">
        <f t="shared" si="95"/>
        <v>K768_疾患開始日</v>
      </c>
      <c r="D848" s="13" t="s">
        <v>6490</v>
      </c>
      <c r="E848" s="8"/>
      <c r="F848" s="7" t="s">
        <v>4348</v>
      </c>
      <c r="G848" s="7" t="s">
        <v>25</v>
      </c>
      <c r="H848" s="58"/>
      <c r="I848" s="23"/>
      <c r="J848" s="24"/>
      <c r="M848" s="4"/>
      <c r="N848" s="76"/>
      <c r="O848" s="76"/>
      <c r="P848" s="76" t="str">
        <f t="shared" si="90"/>
        <v>,shikkan830_start_date</v>
      </c>
      <c r="Q848" s="76" t="str">
        <f t="shared" si="91"/>
        <v>DATE</v>
      </c>
      <c r="R848" s="76" t="str">
        <f t="shared" si="92"/>
        <v/>
      </c>
      <c r="S848" s="76" t="str">
        <f t="shared" si="93"/>
        <v/>
      </c>
      <c r="T848" s="76" t="str">
        <f t="shared" si="94"/>
        <v>-- K768_疾患開始日</v>
      </c>
      <c r="U848" s="4" t="str">
        <f t="shared" si="72"/>
        <v>, CASE WHEN shikkan_disp_name = 'K768' THEN min_shikkan_start_date ::DATE ELSE NULL END AS shikkan830_start_date</v>
      </c>
      <c r="V848" s="25" t="str">
        <f t="shared" si="73"/>
        <v>, max(shikkan830_start_date)</v>
      </c>
      <c r="AA848" s="4"/>
      <c r="AB848" s="4"/>
      <c r="AC848" s="4"/>
      <c r="AD848" s="4"/>
      <c r="AE848" s="4"/>
      <c r="AF848" s="4"/>
      <c r="AG848" s="4"/>
      <c r="AH848" s="4"/>
      <c r="AI848" s="4"/>
      <c r="AJ848" s="76" t="str">
        <f>IF(E848="○",IF(COUNTA(E$13:E848)=1,"",",")&amp;D848,"")</f>
        <v/>
      </c>
      <c r="AK848" s="4"/>
      <c r="AL848" s="4"/>
      <c r="AM848" s="4"/>
      <c r="AN848" s="4"/>
      <c r="AO848" s="4"/>
      <c r="AP848" s="4"/>
      <c r="AQ848" s="4"/>
      <c r="AR848" s="4"/>
      <c r="AS848" s="76" t="str">
        <f>"COMMENT ON COLUMN "&amp;エンティティ一覧!$O$2&amp;"."&amp;D$8&amp;"."&amp;D848&amp;" IS '"&amp;C848&amp;"';"</f>
        <v>COMMENT ON COLUMN milscm_2023_009.sny_202310_annony_non_annony2.shikkan830_start_date IS 'K768_疾患開始日';</v>
      </c>
    </row>
    <row r="849" spans="1:45" s="25" customFormat="1">
      <c r="A849" s="4" t="s">
        <v>5086</v>
      </c>
      <c r="B849" s="21">
        <f t="shared" si="96"/>
        <v>837</v>
      </c>
      <c r="C849" s="13" t="str">
        <f t="shared" si="95"/>
        <v>K769_疾患開始日</v>
      </c>
      <c r="D849" s="13" t="s">
        <v>6491</v>
      </c>
      <c r="E849" s="8"/>
      <c r="F849" s="7" t="s">
        <v>4348</v>
      </c>
      <c r="G849" s="7" t="s">
        <v>25</v>
      </c>
      <c r="H849" s="58"/>
      <c r="I849" s="23"/>
      <c r="J849" s="24"/>
      <c r="M849" s="4"/>
      <c r="N849" s="76"/>
      <c r="O849" s="76"/>
      <c r="P849" s="76" t="str">
        <f t="shared" si="90"/>
        <v>,shikkan831_start_date</v>
      </c>
      <c r="Q849" s="76" t="str">
        <f t="shared" si="91"/>
        <v>DATE</v>
      </c>
      <c r="R849" s="76" t="str">
        <f t="shared" si="92"/>
        <v/>
      </c>
      <c r="S849" s="76" t="str">
        <f t="shared" si="93"/>
        <v/>
      </c>
      <c r="T849" s="76" t="str">
        <f t="shared" si="94"/>
        <v>-- K769_疾患開始日</v>
      </c>
      <c r="U849" s="4" t="str">
        <f t="shared" si="72"/>
        <v>, CASE WHEN shikkan_disp_name = 'K769' THEN min_shikkan_start_date ::DATE ELSE NULL END AS shikkan831_start_date</v>
      </c>
      <c r="V849" s="25" t="str">
        <f t="shared" si="73"/>
        <v>, max(shikkan831_start_date)</v>
      </c>
      <c r="AA849" s="4"/>
      <c r="AB849" s="4"/>
      <c r="AC849" s="4"/>
      <c r="AD849" s="4"/>
      <c r="AE849" s="4"/>
      <c r="AF849" s="4"/>
      <c r="AG849" s="4"/>
      <c r="AH849" s="4"/>
      <c r="AI849" s="4"/>
      <c r="AJ849" s="76" t="str">
        <f>IF(E849="○",IF(COUNTA(E$13:E849)=1,"",",")&amp;D849,"")</f>
        <v/>
      </c>
      <c r="AK849" s="4"/>
      <c r="AL849" s="4"/>
      <c r="AM849" s="4"/>
      <c r="AN849" s="4"/>
      <c r="AO849" s="4"/>
      <c r="AP849" s="4"/>
      <c r="AQ849" s="4"/>
      <c r="AR849" s="4"/>
      <c r="AS849" s="76" t="str">
        <f>"COMMENT ON COLUMN "&amp;エンティティ一覧!$O$2&amp;"."&amp;D$8&amp;"."&amp;D849&amp;" IS '"&amp;C849&amp;"';"</f>
        <v>COMMENT ON COLUMN milscm_2023_009.sny_202310_annony_non_annony2.shikkan831_start_date IS 'K769_疾患開始日';</v>
      </c>
    </row>
    <row r="850" spans="1:45" s="25" customFormat="1">
      <c r="A850" s="4" t="s">
        <v>5894</v>
      </c>
      <c r="B850" s="21">
        <f t="shared" si="96"/>
        <v>838</v>
      </c>
      <c r="C850" s="13" t="str">
        <f t="shared" si="95"/>
        <v>M050_疾患開始日</v>
      </c>
      <c r="D850" s="13" t="s">
        <v>6492</v>
      </c>
      <c r="E850" s="8"/>
      <c r="F850" s="7" t="s">
        <v>4348</v>
      </c>
      <c r="G850" s="7" t="s">
        <v>25</v>
      </c>
      <c r="H850" s="58"/>
      <c r="I850" s="23"/>
      <c r="J850" s="24"/>
      <c r="M850" s="4"/>
      <c r="N850" s="76"/>
      <c r="O850" s="76"/>
      <c r="P850" s="76" t="str">
        <f t="shared" ref="P850:P908" si="97">IF(B850&lt;&gt;1,","&amp;D850,D850)</f>
        <v>,shikkan832_start_date</v>
      </c>
      <c r="Q850" s="76" t="str">
        <f t="shared" ref="Q850:Q908" si="98">UPPER(G850)</f>
        <v>DATE</v>
      </c>
      <c r="R850" s="76" t="str">
        <f t="shared" ref="R850:R908" si="99">IF(H850&lt;&gt;"","default "&amp;IF(G850="text","'"&amp;H850&amp;"'",H850),"")</f>
        <v/>
      </c>
      <c r="S850" s="76" t="str">
        <f t="shared" ref="S850:S908" si="100">IF(I850="○","NOT NULL","")</f>
        <v/>
      </c>
      <c r="T850" s="76" t="str">
        <f t="shared" ref="T850:T908" si="101">"-- "&amp;C850</f>
        <v>-- M050_疾患開始日</v>
      </c>
      <c r="U850" s="4" t="str">
        <f t="shared" ref="U850:U908" si="102">", CASE WHEN shikkan_disp_name = '"&amp;A850&amp;"' THEN min_shikkan_start_date ::DATE ELSE NULL END AS "&amp;D850</f>
        <v>, CASE WHEN shikkan_disp_name = 'M050' THEN min_shikkan_start_date ::DATE ELSE NULL END AS shikkan832_start_date</v>
      </c>
      <c r="V850" s="25" t="str">
        <f t="shared" ref="V850:V908" si="103">", max("&amp;D850&amp;")"</f>
        <v>, max(shikkan832_start_date)</v>
      </c>
      <c r="AA850" s="4"/>
      <c r="AB850" s="4"/>
      <c r="AC850" s="4"/>
      <c r="AD850" s="4"/>
      <c r="AE850" s="4"/>
      <c r="AF850" s="4"/>
      <c r="AG850" s="4"/>
      <c r="AH850" s="4"/>
      <c r="AI850" s="4"/>
      <c r="AJ850" s="76" t="str">
        <f>IF(E850="○",IF(COUNTA(E$13:E850)=1,"",",")&amp;D850,"")</f>
        <v/>
      </c>
      <c r="AK850" s="4"/>
      <c r="AL850" s="4"/>
      <c r="AM850" s="4"/>
      <c r="AN850" s="4"/>
      <c r="AO850" s="4"/>
      <c r="AP850" s="4"/>
      <c r="AQ850" s="4"/>
      <c r="AR850" s="4"/>
      <c r="AS850" s="76" t="str">
        <f>"COMMENT ON COLUMN "&amp;エンティティ一覧!$O$2&amp;"."&amp;D$8&amp;"."&amp;D850&amp;" IS '"&amp;C850&amp;"';"</f>
        <v>COMMENT ON COLUMN milscm_2023_009.sny_202310_annony_non_annony2.shikkan832_start_date IS 'M050_疾患開始日';</v>
      </c>
    </row>
    <row r="851" spans="1:45" s="25" customFormat="1">
      <c r="A851" s="4" t="s">
        <v>5895</v>
      </c>
      <c r="B851" s="21">
        <f t="shared" si="96"/>
        <v>839</v>
      </c>
      <c r="C851" s="13" t="str">
        <f t="shared" si="95"/>
        <v>M051_疾患開始日</v>
      </c>
      <c r="D851" s="13" t="s">
        <v>6493</v>
      </c>
      <c r="E851" s="8"/>
      <c r="F851" s="7" t="s">
        <v>4348</v>
      </c>
      <c r="G851" s="7" t="s">
        <v>25</v>
      </c>
      <c r="H851" s="58"/>
      <c r="I851" s="23"/>
      <c r="J851" s="24"/>
      <c r="M851" s="4"/>
      <c r="N851" s="76"/>
      <c r="O851" s="76"/>
      <c r="P851" s="76" t="str">
        <f t="shared" si="97"/>
        <v>,shikkan833_start_date</v>
      </c>
      <c r="Q851" s="76" t="str">
        <f t="shared" si="98"/>
        <v>DATE</v>
      </c>
      <c r="R851" s="76" t="str">
        <f t="shared" si="99"/>
        <v/>
      </c>
      <c r="S851" s="76" t="str">
        <f t="shared" si="100"/>
        <v/>
      </c>
      <c r="T851" s="76" t="str">
        <f t="shared" si="101"/>
        <v>-- M051_疾患開始日</v>
      </c>
      <c r="U851" s="4" t="str">
        <f t="shared" si="102"/>
        <v>, CASE WHEN shikkan_disp_name = 'M051' THEN min_shikkan_start_date ::DATE ELSE NULL END AS shikkan833_start_date</v>
      </c>
      <c r="V851" s="25" t="str">
        <f t="shared" si="103"/>
        <v>, max(shikkan833_start_date)</v>
      </c>
      <c r="AA851" s="4"/>
      <c r="AB851" s="4"/>
      <c r="AC851" s="4"/>
      <c r="AD851" s="4"/>
      <c r="AE851" s="4"/>
      <c r="AF851" s="4"/>
      <c r="AG851" s="4"/>
      <c r="AH851" s="4"/>
      <c r="AI851" s="4"/>
      <c r="AJ851" s="76" t="str">
        <f>IF(E851="○",IF(COUNTA(E$13:E851)=1,"",",")&amp;D851,"")</f>
        <v/>
      </c>
      <c r="AK851" s="4"/>
      <c r="AL851" s="4"/>
      <c r="AM851" s="4"/>
      <c r="AN851" s="4"/>
      <c r="AO851" s="4"/>
      <c r="AP851" s="4"/>
      <c r="AQ851" s="4"/>
      <c r="AR851" s="4"/>
      <c r="AS851" s="76" t="str">
        <f>"COMMENT ON COLUMN "&amp;エンティティ一覧!$O$2&amp;"."&amp;D$8&amp;"."&amp;D851&amp;" IS '"&amp;C851&amp;"';"</f>
        <v>COMMENT ON COLUMN milscm_2023_009.sny_202310_annony_non_annony2.shikkan833_start_date IS 'M051_疾患開始日';</v>
      </c>
    </row>
    <row r="852" spans="1:45" s="25" customFormat="1">
      <c r="A852" s="4" t="s">
        <v>5896</v>
      </c>
      <c r="B852" s="21">
        <f t="shared" si="96"/>
        <v>840</v>
      </c>
      <c r="C852" s="13" t="str">
        <f t="shared" ref="C852:C908" si="104">A852&amp;"_疾患開始日"</f>
        <v>M052_疾患開始日</v>
      </c>
      <c r="D852" s="13" t="s">
        <v>6494</v>
      </c>
      <c r="E852" s="8"/>
      <c r="F852" s="7" t="s">
        <v>4348</v>
      </c>
      <c r="G852" s="7" t="s">
        <v>25</v>
      </c>
      <c r="H852" s="58"/>
      <c r="I852" s="23"/>
      <c r="J852" s="24"/>
      <c r="M852" s="4"/>
      <c r="N852" s="76"/>
      <c r="O852" s="76"/>
      <c r="P852" s="76" t="str">
        <f t="shared" si="97"/>
        <v>,shikkan834_start_date</v>
      </c>
      <c r="Q852" s="76" t="str">
        <f t="shared" si="98"/>
        <v>DATE</v>
      </c>
      <c r="R852" s="76" t="str">
        <f t="shared" si="99"/>
        <v/>
      </c>
      <c r="S852" s="76" t="str">
        <f t="shared" si="100"/>
        <v/>
      </c>
      <c r="T852" s="76" t="str">
        <f t="shared" si="101"/>
        <v>-- M052_疾患開始日</v>
      </c>
      <c r="U852" s="4" t="str">
        <f t="shared" si="102"/>
        <v>, CASE WHEN shikkan_disp_name = 'M052' THEN min_shikkan_start_date ::DATE ELSE NULL END AS shikkan834_start_date</v>
      </c>
      <c r="V852" s="25" t="str">
        <f t="shared" si="103"/>
        <v>, max(shikkan834_start_date)</v>
      </c>
      <c r="AA852" s="4"/>
      <c r="AB852" s="4"/>
      <c r="AC852" s="4"/>
      <c r="AD852" s="4"/>
      <c r="AE852" s="4"/>
      <c r="AF852" s="4"/>
      <c r="AG852" s="4"/>
      <c r="AH852" s="4"/>
      <c r="AI852" s="4"/>
      <c r="AJ852" s="76" t="str">
        <f>IF(E852="○",IF(COUNTA(E$13:E852)=1,"",",")&amp;D852,"")</f>
        <v/>
      </c>
      <c r="AK852" s="4"/>
      <c r="AL852" s="4"/>
      <c r="AM852" s="4"/>
      <c r="AN852" s="4"/>
      <c r="AO852" s="4"/>
      <c r="AP852" s="4"/>
      <c r="AQ852" s="4"/>
      <c r="AR852" s="4"/>
      <c r="AS852" s="76" t="str">
        <f>"COMMENT ON COLUMN "&amp;エンティティ一覧!$O$2&amp;"."&amp;D$8&amp;"."&amp;D852&amp;" IS '"&amp;C852&amp;"';"</f>
        <v>COMMENT ON COLUMN milscm_2023_009.sny_202310_annony_non_annony2.shikkan834_start_date IS 'M052_疾患開始日';</v>
      </c>
    </row>
    <row r="853" spans="1:45" s="25" customFormat="1">
      <c r="A853" s="4" t="s">
        <v>5897</v>
      </c>
      <c r="B853" s="21">
        <f t="shared" si="96"/>
        <v>841</v>
      </c>
      <c r="C853" s="13" t="str">
        <f t="shared" si="104"/>
        <v>M053_疾患開始日</v>
      </c>
      <c r="D853" s="13" t="s">
        <v>6495</v>
      </c>
      <c r="E853" s="8"/>
      <c r="F853" s="7" t="s">
        <v>4348</v>
      </c>
      <c r="G853" s="7" t="s">
        <v>25</v>
      </c>
      <c r="H853" s="58"/>
      <c r="I853" s="23"/>
      <c r="J853" s="24"/>
      <c r="M853" s="4"/>
      <c r="N853" s="76"/>
      <c r="O853" s="76"/>
      <c r="P853" s="76" t="str">
        <f t="shared" si="97"/>
        <v>,shikkan835_start_date</v>
      </c>
      <c r="Q853" s="76" t="str">
        <f t="shared" si="98"/>
        <v>DATE</v>
      </c>
      <c r="R853" s="76" t="str">
        <f t="shared" si="99"/>
        <v/>
      </c>
      <c r="S853" s="76" t="str">
        <f t="shared" si="100"/>
        <v/>
      </c>
      <c r="T853" s="76" t="str">
        <f t="shared" si="101"/>
        <v>-- M053_疾患開始日</v>
      </c>
      <c r="U853" s="4" t="str">
        <f t="shared" si="102"/>
        <v>, CASE WHEN shikkan_disp_name = 'M053' THEN min_shikkan_start_date ::DATE ELSE NULL END AS shikkan835_start_date</v>
      </c>
      <c r="V853" s="25" t="str">
        <f t="shared" si="103"/>
        <v>, max(shikkan835_start_date)</v>
      </c>
      <c r="AA853" s="4"/>
      <c r="AB853" s="4"/>
      <c r="AC853" s="4"/>
      <c r="AD853" s="4"/>
      <c r="AE853" s="4"/>
      <c r="AF853" s="4"/>
      <c r="AG853" s="4"/>
      <c r="AH853" s="4"/>
      <c r="AI853" s="4"/>
      <c r="AJ853" s="76" t="str">
        <f>IF(E853="○",IF(COUNTA(E$13:E853)=1,"",",")&amp;D853,"")</f>
        <v/>
      </c>
      <c r="AK853" s="4"/>
      <c r="AL853" s="4"/>
      <c r="AM853" s="4"/>
      <c r="AN853" s="4"/>
      <c r="AO853" s="4"/>
      <c r="AP853" s="4"/>
      <c r="AQ853" s="4"/>
      <c r="AR853" s="4"/>
      <c r="AS853" s="76" t="str">
        <f>"COMMENT ON COLUMN "&amp;エンティティ一覧!$O$2&amp;"."&amp;D$8&amp;"."&amp;D853&amp;" IS '"&amp;C853&amp;"';"</f>
        <v>COMMENT ON COLUMN milscm_2023_009.sny_202310_annony_non_annony2.shikkan835_start_date IS 'M053_疾患開始日';</v>
      </c>
    </row>
    <row r="854" spans="1:45" s="25" customFormat="1">
      <c r="A854" s="4" t="s">
        <v>5898</v>
      </c>
      <c r="B854" s="21">
        <f t="shared" ref="B854:B907" si="105">ROW()-12</f>
        <v>842</v>
      </c>
      <c r="C854" s="13" t="str">
        <f t="shared" si="104"/>
        <v>M058_疾患開始日</v>
      </c>
      <c r="D854" s="13" t="s">
        <v>6496</v>
      </c>
      <c r="E854" s="8"/>
      <c r="F854" s="7" t="s">
        <v>4348</v>
      </c>
      <c r="G854" s="7" t="s">
        <v>25</v>
      </c>
      <c r="H854" s="58"/>
      <c r="I854" s="23"/>
      <c r="J854" s="24"/>
      <c r="M854" s="4"/>
      <c r="N854" s="76"/>
      <c r="O854" s="76"/>
      <c r="P854" s="76" t="str">
        <f t="shared" si="97"/>
        <v>,shikkan836_start_date</v>
      </c>
      <c r="Q854" s="76" t="str">
        <f t="shared" si="98"/>
        <v>DATE</v>
      </c>
      <c r="R854" s="76" t="str">
        <f t="shared" si="99"/>
        <v/>
      </c>
      <c r="S854" s="76" t="str">
        <f t="shared" si="100"/>
        <v/>
      </c>
      <c r="T854" s="76" t="str">
        <f t="shared" si="101"/>
        <v>-- M058_疾患開始日</v>
      </c>
      <c r="U854" s="4" t="str">
        <f t="shared" si="102"/>
        <v>, CASE WHEN shikkan_disp_name = 'M058' THEN min_shikkan_start_date ::DATE ELSE NULL END AS shikkan836_start_date</v>
      </c>
      <c r="V854" s="25" t="str">
        <f t="shared" si="103"/>
        <v>, max(shikkan836_start_date)</v>
      </c>
      <c r="AA854" s="4"/>
      <c r="AB854" s="4"/>
      <c r="AC854" s="4"/>
      <c r="AD854" s="4"/>
      <c r="AE854" s="4"/>
      <c r="AF854" s="4"/>
      <c r="AG854" s="4"/>
      <c r="AH854" s="4"/>
      <c r="AI854" s="4"/>
      <c r="AJ854" s="76" t="str">
        <f>IF(E854="○",IF(COUNTA(E$13:E854)=1,"",",")&amp;D854,"")</f>
        <v/>
      </c>
      <c r="AK854" s="4"/>
      <c r="AL854" s="4"/>
      <c r="AM854" s="4"/>
      <c r="AN854" s="4"/>
      <c r="AO854" s="4"/>
      <c r="AP854" s="4"/>
      <c r="AQ854" s="4"/>
      <c r="AR854" s="4"/>
      <c r="AS854" s="76" t="str">
        <f>"COMMENT ON COLUMN "&amp;エンティティ一覧!$O$2&amp;"."&amp;D$8&amp;"."&amp;D854&amp;" IS '"&amp;C854&amp;"';"</f>
        <v>COMMENT ON COLUMN milscm_2023_009.sny_202310_annony_non_annony2.shikkan836_start_date IS 'M058_疾患開始日';</v>
      </c>
    </row>
    <row r="855" spans="1:45" s="25" customFormat="1">
      <c r="A855" s="4" t="s">
        <v>5899</v>
      </c>
      <c r="B855" s="21">
        <f t="shared" si="105"/>
        <v>843</v>
      </c>
      <c r="C855" s="13" t="str">
        <f t="shared" si="104"/>
        <v>M059_疾患開始日</v>
      </c>
      <c r="D855" s="13" t="s">
        <v>6497</v>
      </c>
      <c r="E855" s="8"/>
      <c r="F855" s="7" t="s">
        <v>4348</v>
      </c>
      <c r="G855" s="7" t="s">
        <v>25</v>
      </c>
      <c r="H855" s="58"/>
      <c r="I855" s="23"/>
      <c r="J855" s="24"/>
      <c r="M855" s="4"/>
      <c r="N855" s="76"/>
      <c r="O855" s="76"/>
      <c r="P855" s="76" t="str">
        <f t="shared" si="97"/>
        <v>,shikkan837_start_date</v>
      </c>
      <c r="Q855" s="76" t="str">
        <f t="shared" si="98"/>
        <v>DATE</v>
      </c>
      <c r="R855" s="76" t="str">
        <f t="shared" si="99"/>
        <v/>
      </c>
      <c r="S855" s="76" t="str">
        <f t="shared" si="100"/>
        <v/>
      </c>
      <c r="T855" s="76" t="str">
        <f t="shared" si="101"/>
        <v>-- M059_疾患開始日</v>
      </c>
      <c r="U855" s="4" t="str">
        <f t="shared" si="102"/>
        <v>, CASE WHEN shikkan_disp_name = 'M059' THEN min_shikkan_start_date ::DATE ELSE NULL END AS shikkan837_start_date</v>
      </c>
      <c r="V855" s="25" t="str">
        <f t="shared" si="103"/>
        <v>, max(shikkan837_start_date)</v>
      </c>
      <c r="AA855" s="4"/>
      <c r="AB855" s="4"/>
      <c r="AC855" s="4"/>
      <c r="AD855" s="4"/>
      <c r="AE855" s="4"/>
      <c r="AF855" s="4"/>
      <c r="AG855" s="4"/>
      <c r="AH855" s="4"/>
      <c r="AI855" s="4"/>
      <c r="AJ855" s="76" t="str">
        <f>IF(E855="○",IF(COUNTA(E$13:E855)=1,"",",")&amp;D855,"")</f>
        <v/>
      </c>
      <c r="AK855" s="4"/>
      <c r="AL855" s="4"/>
      <c r="AM855" s="4"/>
      <c r="AN855" s="4"/>
      <c r="AO855" s="4"/>
      <c r="AP855" s="4"/>
      <c r="AQ855" s="4"/>
      <c r="AR855" s="4"/>
      <c r="AS855" s="76" t="str">
        <f>"COMMENT ON COLUMN "&amp;エンティティ一覧!$O$2&amp;"."&amp;D$8&amp;"."&amp;D855&amp;" IS '"&amp;C855&amp;"';"</f>
        <v>COMMENT ON COLUMN milscm_2023_009.sny_202310_annony_non_annony2.shikkan837_start_date IS 'M059_疾患開始日';</v>
      </c>
    </row>
    <row r="856" spans="1:45" s="25" customFormat="1">
      <c r="A856" s="4" t="s">
        <v>5900</v>
      </c>
      <c r="B856" s="21">
        <f t="shared" si="105"/>
        <v>844</v>
      </c>
      <c r="C856" s="13" t="str">
        <f t="shared" si="104"/>
        <v>M060_疾患開始日</v>
      </c>
      <c r="D856" s="13" t="s">
        <v>6498</v>
      </c>
      <c r="E856" s="8"/>
      <c r="F856" s="7" t="s">
        <v>4348</v>
      </c>
      <c r="G856" s="7" t="s">
        <v>25</v>
      </c>
      <c r="H856" s="58"/>
      <c r="I856" s="23"/>
      <c r="J856" s="24"/>
      <c r="M856" s="4"/>
      <c r="N856" s="76"/>
      <c r="O856" s="76"/>
      <c r="P856" s="76" t="str">
        <f t="shared" si="97"/>
        <v>,shikkan838_start_date</v>
      </c>
      <c r="Q856" s="76" t="str">
        <f t="shared" si="98"/>
        <v>DATE</v>
      </c>
      <c r="R856" s="76" t="str">
        <f t="shared" si="99"/>
        <v/>
      </c>
      <c r="S856" s="76" t="str">
        <f t="shared" si="100"/>
        <v/>
      </c>
      <c r="T856" s="76" t="str">
        <f t="shared" si="101"/>
        <v>-- M060_疾患開始日</v>
      </c>
      <c r="U856" s="4" t="str">
        <f t="shared" si="102"/>
        <v>, CASE WHEN shikkan_disp_name = 'M060' THEN min_shikkan_start_date ::DATE ELSE NULL END AS shikkan838_start_date</v>
      </c>
      <c r="V856" s="25" t="str">
        <f t="shared" si="103"/>
        <v>, max(shikkan838_start_date)</v>
      </c>
      <c r="AA856" s="4"/>
      <c r="AB856" s="4"/>
      <c r="AC856" s="4"/>
      <c r="AD856" s="4"/>
      <c r="AE856" s="4"/>
      <c r="AF856" s="4"/>
      <c r="AG856" s="4"/>
      <c r="AH856" s="4"/>
      <c r="AI856" s="4"/>
      <c r="AJ856" s="76" t="str">
        <f>IF(E856="○",IF(COUNTA(E$13:E856)=1,"",",")&amp;D856,"")</f>
        <v/>
      </c>
      <c r="AK856" s="4"/>
      <c r="AL856" s="4"/>
      <c r="AM856" s="4"/>
      <c r="AN856" s="4"/>
      <c r="AO856" s="4"/>
      <c r="AP856" s="4"/>
      <c r="AQ856" s="4"/>
      <c r="AR856" s="4"/>
      <c r="AS856" s="76" t="str">
        <f>"COMMENT ON COLUMN "&amp;エンティティ一覧!$O$2&amp;"."&amp;D$8&amp;"."&amp;D856&amp;" IS '"&amp;C856&amp;"';"</f>
        <v>COMMENT ON COLUMN milscm_2023_009.sny_202310_annony_non_annony2.shikkan838_start_date IS 'M060_疾患開始日';</v>
      </c>
    </row>
    <row r="857" spans="1:45" s="25" customFormat="1">
      <c r="A857" s="4" t="s">
        <v>5901</v>
      </c>
      <c r="B857" s="21">
        <f t="shared" si="105"/>
        <v>845</v>
      </c>
      <c r="C857" s="13" t="str">
        <f t="shared" si="104"/>
        <v>M061_疾患開始日</v>
      </c>
      <c r="D857" s="13" t="s">
        <v>6499</v>
      </c>
      <c r="E857" s="8"/>
      <c r="F857" s="7" t="s">
        <v>4348</v>
      </c>
      <c r="G857" s="7" t="s">
        <v>25</v>
      </c>
      <c r="H857" s="58"/>
      <c r="I857" s="23"/>
      <c r="J857" s="24"/>
      <c r="M857" s="4"/>
      <c r="N857" s="76"/>
      <c r="O857" s="76"/>
      <c r="P857" s="76" t="str">
        <f t="shared" si="97"/>
        <v>,shikkan839_start_date</v>
      </c>
      <c r="Q857" s="76" t="str">
        <f t="shared" si="98"/>
        <v>DATE</v>
      </c>
      <c r="R857" s="76" t="str">
        <f t="shared" si="99"/>
        <v/>
      </c>
      <c r="S857" s="76" t="str">
        <f t="shared" si="100"/>
        <v/>
      </c>
      <c r="T857" s="76" t="str">
        <f t="shared" si="101"/>
        <v>-- M061_疾患開始日</v>
      </c>
      <c r="U857" s="4" t="str">
        <f t="shared" si="102"/>
        <v>, CASE WHEN shikkan_disp_name = 'M061' THEN min_shikkan_start_date ::DATE ELSE NULL END AS shikkan839_start_date</v>
      </c>
      <c r="V857" s="25" t="str">
        <f t="shared" si="103"/>
        <v>, max(shikkan839_start_date)</v>
      </c>
      <c r="AA857" s="4"/>
      <c r="AB857" s="4"/>
      <c r="AC857" s="4"/>
      <c r="AD857" s="4"/>
      <c r="AE857" s="4"/>
      <c r="AF857" s="4"/>
      <c r="AG857" s="4"/>
      <c r="AH857" s="4"/>
      <c r="AI857" s="4"/>
      <c r="AJ857" s="76" t="str">
        <f>IF(E857="○",IF(COUNTA(E$13:E857)=1,"",",")&amp;D857,"")</f>
        <v/>
      </c>
      <c r="AK857" s="4"/>
      <c r="AL857" s="4"/>
      <c r="AM857" s="4"/>
      <c r="AN857" s="4"/>
      <c r="AO857" s="4"/>
      <c r="AP857" s="4"/>
      <c r="AQ857" s="4"/>
      <c r="AR857" s="4"/>
      <c r="AS857" s="76" t="str">
        <f>"COMMENT ON COLUMN "&amp;エンティティ一覧!$O$2&amp;"."&amp;D$8&amp;"."&amp;D857&amp;" IS '"&amp;C857&amp;"';"</f>
        <v>COMMENT ON COLUMN milscm_2023_009.sny_202310_annony_non_annony2.shikkan839_start_date IS 'M061_疾患開始日';</v>
      </c>
    </row>
    <row r="858" spans="1:45" s="25" customFormat="1">
      <c r="A858" s="4" t="s">
        <v>5902</v>
      </c>
      <c r="B858" s="21">
        <f t="shared" si="105"/>
        <v>846</v>
      </c>
      <c r="C858" s="13" t="str">
        <f t="shared" si="104"/>
        <v>M062_疾患開始日</v>
      </c>
      <c r="D858" s="13" t="s">
        <v>6500</v>
      </c>
      <c r="E858" s="8"/>
      <c r="F858" s="7" t="s">
        <v>4348</v>
      </c>
      <c r="G858" s="7" t="s">
        <v>25</v>
      </c>
      <c r="H858" s="58"/>
      <c r="I858" s="23"/>
      <c r="J858" s="24"/>
      <c r="M858" s="4"/>
      <c r="N858" s="76"/>
      <c r="O858" s="76"/>
      <c r="P858" s="76" t="str">
        <f t="shared" si="97"/>
        <v>,shikkan840_start_date</v>
      </c>
      <c r="Q858" s="76" t="str">
        <f t="shared" si="98"/>
        <v>DATE</v>
      </c>
      <c r="R858" s="76" t="str">
        <f t="shared" si="99"/>
        <v/>
      </c>
      <c r="S858" s="76" t="str">
        <f t="shared" si="100"/>
        <v/>
      </c>
      <c r="T858" s="76" t="str">
        <f t="shared" si="101"/>
        <v>-- M062_疾患開始日</v>
      </c>
      <c r="U858" s="4" t="str">
        <f t="shared" si="102"/>
        <v>, CASE WHEN shikkan_disp_name = 'M062' THEN min_shikkan_start_date ::DATE ELSE NULL END AS shikkan840_start_date</v>
      </c>
      <c r="V858" s="25" t="str">
        <f t="shared" si="103"/>
        <v>, max(shikkan840_start_date)</v>
      </c>
      <c r="AA858" s="4"/>
      <c r="AB858" s="4"/>
      <c r="AC858" s="4"/>
      <c r="AD858" s="4"/>
      <c r="AE858" s="4"/>
      <c r="AF858" s="4"/>
      <c r="AG858" s="4"/>
      <c r="AH858" s="4"/>
      <c r="AI858" s="4"/>
      <c r="AJ858" s="76" t="str">
        <f>IF(E858="○",IF(COUNTA(E$13:E858)=1,"",",")&amp;D858,"")</f>
        <v/>
      </c>
      <c r="AK858" s="4"/>
      <c r="AL858" s="4"/>
      <c r="AM858" s="4"/>
      <c r="AN858" s="4"/>
      <c r="AO858" s="4"/>
      <c r="AP858" s="4"/>
      <c r="AQ858" s="4"/>
      <c r="AR858" s="4"/>
      <c r="AS858" s="76" t="str">
        <f>"COMMENT ON COLUMN "&amp;エンティティ一覧!$O$2&amp;"."&amp;D$8&amp;"."&amp;D858&amp;" IS '"&amp;C858&amp;"';"</f>
        <v>COMMENT ON COLUMN milscm_2023_009.sny_202310_annony_non_annony2.shikkan840_start_date IS 'M062_疾患開始日';</v>
      </c>
    </row>
    <row r="859" spans="1:45" s="25" customFormat="1">
      <c r="A859" s="4" t="s">
        <v>5903</v>
      </c>
      <c r="B859" s="21">
        <f t="shared" si="105"/>
        <v>847</v>
      </c>
      <c r="C859" s="13" t="str">
        <f t="shared" si="104"/>
        <v>M063_疾患開始日</v>
      </c>
      <c r="D859" s="13" t="s">
        <v>6501</v>
      </c>
      <c r="E859" s="8"/>
      <c r="F859" s="7" t="s">
        <v>4348</v>
      </c>
      <c r="G859" s="7" t="s">
        <v>25</v>
      </c>
      <c r="H859" s="58"/>
      <c r="I859" s="23"/>
      <c r="J859" s="24"/>
      <c r="M859" s="4"/>
      <c r="N859" s="76"/>
      <c r="O859" s="76"/>
      <c r="P859" s="76" t="str">
        <f t="shared" si="97"/>
        <v>,shikkan841_start_date</v>
      </c>
      <c r="Q859" s="76" t="str">
        <f t="shared" si="98"/>
        <v>DATE</v>
      </c>
      <c r="R859" s="76" t="str">
        <f t="shared" si="99"/>
        <v/>
      </c>
      <c r="S859" s="76" t="str">
        <f t="shared" si="100"/>
        <v/>
      </c>
      <c r="T859" s="76" t="str">
        <f t="shared" si="101"/>
        <v>-- M063_疾患開始日</v>
      </c>
      <c r="U859" s="4" t="str">
        <f t="shared" si="102"/>
        <v>, CASE WHEN shikkan_disp_name = 'M063' THEN min_shikkan_start_date ::DATE ELSE NULL END AS shikkan841_start_date</v>
      </c>
      <c r="V859" s="25" t="str">
        <f t="shared" si="103"/>
        <v>, max(shikkan841_start_date)</v>
      </c>
      <c r="AA859" s="4"/>
      <c r="AB859" s="4"/>
      <c r="AC859" s="4"/>
      <c r="AD859" s="4"/>
      <c r="AE859" s="4"/>
      <c r="AF859" s="4"/>
      <c r="AG859" s="4"/>
      <c r="AH859" s="4"/>
      <c r="AI859" s="4"/>
      <c r="AJ859" s="76" t="str">
        <f>IF(E859="○",IF(COUNTA(E$13:E859)=1,"",",")&amp;D859,"")</f>
        <v/>
      </c>
      <c r="AK859" s="4"/>
      <c r="AL859" s="4"/>
      <c r="AM859" s="4"/>
      <c r="AN859" s="4"/>
      <c r="AO859" s="4"/>
      <c r="AP859" s="4"/>
      <c r="AQ859" s="4"/>
      <c r="AR859" s="4"/>
      <c r="AS859" s="76" t="str">
        <f>"COMMENT ON COLUMN "&amp;エンティティ一覧!$O$2&amp;"."&amp;D$8&amp;"."&amp;D859&amp;" IS '"&amp;C859&amp;"';"</f>
        <v>COMMENT ON COLUMN milscm_2023_009.sny_202310_annony_non_annony2.shikkan841_start_date IS 'M063_疾患開始日';</v>
      </c>
    </row>
    <row r="860" spans="1:45" s="25" customFormat="1">
      <c r="A860" s="4" t="s">
        <v>5904</v>
      </c>
      <c r="B860" s="21">
        <f t="shared" si="105"/>
        <v>848</v>
      </c>
      <c r="C860" s="13" t="str">
        <f t="shared" si="104"/>
        <v>M064_疾患開始日</v>
      </c>
      <c r="D860" s="13" t="s">
        <v>6502</v>
      </c>
      <c r="E860" s="8"/>
      <c r="F860" s="7" t="s">
        <v>4348</v>
      </c>
      <c r="G860" s="7" t="s">
        <v>25</v>
      </c>
      <c r="H860" s="58"/>
      <c r="I860" s="23"/>
      <c r="J860" s="24"/>
      <c r="M860" s="4"/>
      <c r="N860" s="76"/>
      <c r="O860" s="76"/>
      <c r="P860" s="76" t="str">
        <f t="shared" si="97"/>
        <v>,shikkan842_start_date</v>
      </c>
      <c r="Q860" s="76" t="str">
        <f t="shared" si="98"/>
        <v>DATE</v>
      </c>
      <c r="R860" s="76" t="str">
        <f t="shared" si="99"/>
        <v/>
      </c>
      <c r="S860" s="76" t="str">
        <f t="shared" si="100"/>
        <v/>
      </c>
      <c r="T860" s="76" t="str">
        <f t="shared" si="101"/>
        <v>-- M064_疾患開始日</v>
      </c>
      <c r="U860" s="4" t="str">
        <f t="shared" si="102"/>
        <v>, CASE WHEN shikkan_disp_name = 'M064' THEN min_shikkan_start_date ::DATE ELSE NULL END AS shikkan842_start_date</v>
      </c>
      <c r="V860" s="25" t="str">
        <f t="shared" si="103"/>
        <v>, max(shikkan842_start_date)</v>
      </c>
      <c r="AA860" s="4"/>
      <c r="AB860" s="4"/>
      <c r="AC860" s="4"/>
      <c r="AD860" s="4"/>
      <c r="AE860" s="4"/>
      <c r="AF860" s="4"/>
      <c r="AG860" s="4"/>
      <c r="AH860" s="4"/>
      <c r="AI860" s="4"/>
      <c r="AJ860" s="76" t="str">
        <f>IF(E860="○",IF(COUNTA(E$13:E860)=1,"",",")&amp;D860,"")</f>
        <v/>
      </c>
      <c r="AK860" s="4"/>
      <c r="AL860" s="4"/>
      <c r="AM860" s="4"/>
      <c r="AN860" s="4"/>
      <c r="AO860" s="4"/>
      <c r="AP860" s="4"/>
      <c r="AQ860" s="4"/>
      <c r="AR860" s="4"/>
      <c r="AS860" s="76" t="str">
        <f>"COMMENT ON COLUMN "&amp;エンティティ一覧!$O$2&amp;"."&amp;D$8&amp;"."&amp;D860&amp;" IS '"&amp;C860&amp;"';"</f>
        <v>COMMENT ON COLUMN milscm_2023_009.sny_202310_annony_non_annony2.shikkan842_start_date IS 'M064_疾患開始日';</v>
      </c>
    </row>
    <row r="861" spans="1:45" s="25" customFormat="1">
      <c r="A861" s="4" t="s">
        <v>5905</v>
      </c>
      <c r="B861" s="21">
        <f t="shared" si="105"/>
        <v>849</v>
      </c>
      <c r="C861" s="13" t="str">
        <f t="shared" si="104"/>
        <v>M068_疾患開始日</v>
      </c>
      <c r="D861" s="13" t="s">
        <v>6503</v>
      </c>
      <c r="E861" s="8"/>
      <c r="F861" s="7" t="s">
        <v>4348</v>
      </c>
      <c r="G861" s="7" t="s">
        <v>25</v>
      </c>
      <c r="H861" s="58"/>
      <c r="I861" s="23"/>
      <c r="J861" s="24"/>
      <c r="M861" s="4"/>
      <c r="N861" s="76"/>
      <c r="O861" s="76"/>
      <c r="P861" s="76" t="str">
        <f t="shared" si="97"/>
        <v>,shikkan843_start_date</v>
      </c>
      <c r="Q861" s="76" t="str">
        <f t="shared" si="98"/>
        <v>DATE</v>
      </c>
      <c r="R861" s="76" t="str">
        <f t="shared" si="99"/>
        <v/>
      </c>
      <c r="S861" s="76" t="str">
        <f t="shared" si="100"/>
        <v/>
      </c>
      <c r="T861" s="76" t="str">
        <f t="shared" si="101"/>
        <v>-- M068_疾患開始日</v>
      </c>
      <c r="U861" s="4" t="str">
        <f t="shared" si="102"/>
        <v>, CASE WHEN shikkan_disp_name = 'M068' THEN min_shikkan_start_date ::DATE ELSE NULL END AS shikkan843_start_date</v>
      </c>
      <c r="V861" s="25" t="str">
        <f t="shared" si="103"/>
        <v>, max(shikkan843_start_date)</v>
      </c>
      <c r="AA861" s="4"/>
      <c r="AB861" s="4"/>
      <c r="AC861" s="4"/>
      <c r="AD861" s="4"/>
      <c r="AE861" s="4"/>
      <c r="AF861" s="4"/>
      <c r="AG861" s="4"/>
      <c r="AH861" s="4"/>
      <c r="AI861" s="4"/>
      <c r="AJ861" s="76" t="str">
        <f>IF(E861="○",IF(COUNTA(E$13:E861)=1,"",",")&amp;D861,"")</f>
        <v/>
      </c>
      <c r="AK861" s="4"/>
      <c r="AL861" s="4"/>
      <c r="AM861" s="4"/>
      <c r="AN861" s="4"/>
      <c r="AO861" s="4"/>
      <c r="AP861" s="4"/>
      <c r="AQ861" s="4"/>
      <c r="AR861" s="4"/>
      <c r="AS861" s="76" t="str">
        <f>"COMMENT ON COLUMN "&amp;エンティティ一覧!$O$2&amp;"."&amp;D$8&amp;"."&amp;D861&amp;" IS '"&amp;C861&amp;"';"</f>
        <v>COMMENT ON COLUMN milscm_2023_009.sny_202310_annony_non_annony2.shikkan843_start_date IS 'M068_疾患開始日';</v>
      </c>
    </row>
    <row r="862" spans="1:45" s="25" customFormat="1">
      <c r="A862" s="4" t="s">
        <v>5906</v>
      </c>
      <c r="B862" s="21">
        <f t="shared" si="105"/>
        <v>850</v>
      </c>
      <c r="C862" s="13" t="str">
        <f t="shared" si="104"/>
        <v>M069_疾患開始日</v>
      </c>
      <c r="D862" s="13" t="s">
        <v>6504</v>
      </c>
      <c r="E862" s="8"/>
      <c r="F862" s="7" t="s">
        <v>4348</v>
      </c>
      <c r="G862" s="7" t="s">
        <v>25</v>
      </c>
      <c r="H862" s="58"/>
      <c r="I862" s="23"/>
      <c r="J862" s="24"/>
      <c r="M862" s="4"/>
      <c r="N862" s="76"/>
      <c r="O862" s="76"/>
      <c r="P862" s="76" t="str">
        <f t="shared" si="97"/>
        <v>,shikkan844_start_date</v>
      </c>
      <c r="Q862" s="76" t="str">
        <f t="shared" si="98"/>
        <v>DATE</v>
      </c>
      <c r="R862" s="76" t="str">
        <f t="shared" si="99"/>
        <v/>
      </c>
      <c r="S862" s="76" t="str">
        <f t="shared" si="100"/>
        <v/>
      </c>
      <c r="T862" s="76" t="str">
        <f t="shared" si="101"/>
        <v>-- M069_疾患開始日</v>
      </c>
      <c r="U862" s="4" t="str">
        <f t="shared" si="102"/>
        <v>, CASE WHEN shikkan_disp_name = 'M069' THEN min_shikkan_start_date ::DATE ELSE NULL END AS shikkan844_start_date</v>
      </c>
      <c r="V862" s="25" t="str">
        <f t="shared" si="103"/>
        <v>, max(shikkan844_start_date)</v>
      </c>
      <c r="AA862" s="4"/>
      <c r="AB862" s="4"/>
      <c r="AC862" s="4"/>
      <c r="AD862" s="4"/>
      <c r="AE862" s="4"/>
      <c r="AF862" s="4"/>
      <c r="AG862" s="4"/>
      <c r="AH862" s="4"/>
      <c r="AI862" s="4"/>
      <c r="AJ862" s="76" t="str">
        <f>IF(E862="○",IF(COUNTA(E$13:E862)=1,"",",")&amp;D862,"")</f>
        <v/>
      </c>
      <c r="AK862" s="4"/>
      <c r="AL862" s="4"/>
      <c r="AM862" s="4"/>
      <c r="AN862" s="4"/>
      <c r="AO862" s="4"/>
      <c r="AP862" s="4"/>
      <c r="AQ862" s="4"/>
      <c r="AR862" s="4"/>
      <c r="AS862" s="76" t="str">
        <f>"COMMENT ON COLUMN "&amp;エンティティ一覧!$O$2&amp;"."&amp;D$8&amp;"."&amp;D862&amp;" IS '"&amp;C862&amp;"';"</f>
        <v>COMMENT ON COLUMN milscm_2023_009.sny_202310_annony_non_annony2.shikkan844_start_date IS 'M069_疾患開始日';</v>
      </c>
    </row>
    <row r="863" spans="1:45" s="25" customFormat="1">
      <c r="A863" s="4" t="s">
        <v>5907</v>
      </c>
      <c r="B863" s="21">
        <f t="shared" si="105"/>
        <v>851</v>
      </c>
      <c r="C863" s="13" t="str">
        <f t="shared" si="104"/>
        <v>M315_疾患開始日</v>
      </c>
      <c r="D863" s="13" t="s">
        <v>6505</v>
      </c>
      <c r="E863" s="8"/>
      <c r="F863" s="7" t="s">
        <v>4348</v>
      </c>
      <c r="G863" s="7" t="s">
        <v>25</v>
      </c>
      <c r="H863" s="58"/>
      <c r="I863" s="23"/>
      <c r="J863" s="24"/>
      <c r="M863" s="4"/>
      <c r="N863" s="76"/>
      <c r="O863" s="76"/>
      <c r="P863" s="76" t="str">
        <f t="shared" si="97"/>
        <v>,shikkan845_start_date</v>
      </c>
      <c r="Q863" s="76" t="str">
        <f t="shared" si="98"/>
        <v>DATE</v>
      </c>
      <c r="R863" s="76" t="str">
        <f t="shared" si="99"/>
        <v/>
      </c>
      <c r="S863" s="76" t="str">
        <f t="shared" si="100"/>
        <v/>
      </c>
      <c r="T863" s="76" t="str">
        <f t="shared" si="101"/>
        <v>-- M315_疾患開始日</v>
      </c>
      <c r="U863" s="4" t="str">
        <f t="shared" si="102"/>
        <v>, CASE WHEN shikkan_disp_name = 'M315' THEN min_shikkan_start_date ::DATE ELSE NULL END AS shikkan845_start_date</v>
      </c>
      <c r="V863" s="25" t="str">
        <f t="shared" si="103"/>
        <v>, max(shikkan845_start_date)</v>
      </c>
      <c r="AA863" s="4"/>
      <c r="AB863" s="4"/>
      <c r="AC863" s="4"/>
      <c r="AD863" s="4"/>
      <c r="AE863" s="4"/>
      <c r="AF863" s="4"/>
      <c r="AG863" s="4"/>
      <c r="AH863" s="4"/>
      <c r="AI863" s="4"/>
      <c r="AJ863" s="76" t="str">
        <f>IF(E863="○",IF(COUNTA(E$13:E863)=1,"",",")&amp;D863,"")</f>
        <v/>
      </c>
      <c r="AK863" s="4"/>
      <c r="AL863" s="4"/>
      <c r="AM863" s="4"/>
      <c r="AN863" s="4"/>
      <c r="AO863" s="4"/>
      <c r="AP863" s="4"/>
      <c r="AQ863" s="4"/>
      <c r="AR863" s="4"/>
      <c r="AS863" s="76" t="str">
        <f>"COMMENT ON COLUMN "&amp;エンティティ一覧!$O$2&amp;"."&amp;D$8&amp;"."&amp;D863&amp;" IS '"&amp;C863&amp;"';"</f>
        <v>COMMENT ON COLUMN milscm_2023_009.sny_202310_annony_non_annony2.shikkan845_start_date IS 'M315_疾患開始日';</v>
      </c>
    </row>
    <row r="864" spans="1:45" s="25" customFormat="1">
      <c r="A864" s="4" t="s">
        <v>5908</v>
      </c>
      <c r="B864" s="21">
        <f t="shared" si="105"/>
        <v>852</v>
      </c>
      <c r="C864" s="13" t="str">
        <f t="shared" si="104"/>
        <v>M320_疾患開始日</v>
      </c>
      <c r="D864" s="13" t="s">
        <v>6506</v>
      </c>
      <c r="E864" s="8"/>
      <c r="F864" s="7" t="s">
        <v>4348</v>
      </c>
      <c r="G864" s="7" t="s">
        <v>25</v>
      </c>
      <c r="H864" s="58"/>
      <c r="I864" s="23"/>
      <c r="J864" s="24"/>
      <c r="M864" s="4"/>
      <c r="N864" s="76"/>
      <c r="O864" s="76"/>
      <c r="P864" s="76" t="str">
        <f t="shared" si="97"/>
        <v>,shikkan846_start_date</v>
      </c>
      <c r="Q864" s="76" t="str">
        <f t="shared" si="98"/>
        <v>DATE</v>
      </c>
      <c r="R864" s="76" t="str">
        <f t="shared" si="99"/>
        <v/>
      </c>
      <c r="S864" s="76" t="str">
        <f t="shared" si="100"/>
        <v/>
      </c>
      <c r="T864" s="76" t="str">
        <f t="shared" si="101"/>
        <v>-- M320_疾患開始日</v>
      </c>
      <c r="U864" s="4" t="str">
        <f t="shared" si="102"/>
        <v>, CASE WHEN shikkan_disp_name = 'M320' THEN min_shikkan_start_date ::DATE ELSE NULL END AS shikkan846_start_date</v>
      </c>
      <c r="V864" s="25" t="str">
        <f t="shared" si="103"/>
        <v>, max(shikkan846_start_date)</v>
      </c>
      <c r="AA864" s="4"/>
      <c r="AB864" s="4"/>
      <c r="AC864" s="4"/>
      <c r="AD864" s="4"/>
      <c r="AE864" s="4"/>
      <c r="AF864" s="4"/>
      <c r="AG864" s="4"/>
      <c r="AH864" s="4"/>
      <c r="AI864" s="4"/>
      <c r="AJ864" s="76" t="str">
        <f>IF(E864="○",IF(COUNTA(E$13:E864)=1,"",",")&amp;D864,"")</f>
        <v/>
      </c>
      <c r="AK864" s="4"/>
      <c r="AL864" s="4"/>
      <c r="AM864" s="4"/>
      <c r="AN864" s="4"/>
      <c r="AO864" s="4"/>
      <c r="AP864" s="4"/>
      <c r="AQ864" s="4"/>
      <c r="AR864" s="4"/>
      <c r="AS864" s="76" t="str">
        <f>"COMMENT ON COLUMN "&amp;エンティティ一覧!$O$2&amp;"."&amp;D$8&amp;"."&amp;D864&amp;" IS '"&amp;C864&amp;"';"</f>
        <v>COMMENT ON COLUMN milscm_2023_009.sny_202310_annony_non_annony2.shikkan846_start_date IS 'M320_疾患開始日';</v>
      </c>
    </row>
    <row r="865" spans="1:45" s="25" customFormat="1">
      <c r="A865" s="4" t="s">
        <v>5909</v>
      </c>
      <c r="B865" s="21">
        <f t="shared" si="105"/>
        <v>853</v>
      </c>
      <c r="C865" s="13" t="str">
        <f t="shared" si="104"/>
        <v>M321_疾患開始日</v>
      </c>
      <c r="D865" s="13" t="s">
        <v>6507</v>
      </c>
      <c r="E865" s="8"/>
      <c r="F865" s="7" t="s">
        <v>4348</v>
      </c>
      <c r="G865" s="7" t="s">
        <v>25</v>
      </c>
      <c r="H865" s="58"/>
      <c r="I865" s="23"/>
      <c r="J865" s="24"/>
      <c r="M865" s="4"/>
      <c r="N865" s="76"/>
      <c r="O865" s="76"/>
      <c r="P865" s="76" t="str">
        <f t="shared" si="97"/>
        <v>,shikkan847_start_date</v>
      </c>
      <c r="Q865" s="76" t="str">
        <f t="shared" si="98"/>
        <v>DATE</v>
      </c>
      <c r="R865" s="76" t="str">
        <f t="shared" si="99"/>
        <v/>
      </c>
      <c r="S865" s="76" t="str">
        <f t="shared" si="100"/>
        <v/>
      </c>
      <c r="T865" s="76" t="str">
        <f t="shared" si="101"/>
        <v>-- M321_疾患開始日</v>
      </c>
      <c r="U865" s="4" t="str">
        <f t="shared" si="102"/>
        <v>, CASE WHEN shikkan_disp_name = 'M321' THEN min_shikkan_start_date ::DATE ELSE NULL END AS shikkan847_start_date</v>
      </c>
      <c r="V865" s="25" t="str">
        <f t="shared" si="103"/>
        <v>, max(shikkan847_start_date)</v>
      </c>
      <c r="AA865" s="4"/>
      <c r="AB865" s="4"/>
      <c r="AC865" s="4"/>
      <c r="AD865" s="4"/>
      <c r="AE865" s="4"/>
      <c r="AF865" s="4"/>
      <c r="AG865" s="4"/>
      <c r="AH865" s="4"/>
      <c r="AI865" s="4"/>
      <c r="AJ865" s="76" t="str">
        <f>IF(E865="○",IF(COUNTA(E$13:E865)=1,"",",")&amp;D865,"")</f>
        <v/>
      </c>
      <c r="AK865" s="4"/>
      <c r="AL865" s="4"/>
      <c r="AM865" s="4"/>
      <c r="AN865" s="4"/>
      <c r="AO865" s="4"/>
      <c r="AP865" s="4"/>
      <c r="AQ865" s="4"/>
      <c r="AR865" s="4"/>
      <c r="AS865" s="76" t="str">
        <f>"COMMENT ON COLUMN "&amp;エンティティ一覧!$O$2&amp;"."&amp;D$8&amp;"."&amp;D865&amp;" IS '"&amp;C865&amp;"';"</f>
        <v>COMMENT ON COLUMN milscm_2023_009.sny_202310_annony_non_annony2.shikkan847_start_date IS 'M321_疾患開始日';</v>
      </c>
    </row>
    <row r="866" spans="1:45" s="25" customFormat="1">
      <c r="A866" s="4" t="s">
        <v>5910</v>
      </c>
      <c r="B866" s="21">
        <f t="shared" si="105"/>
        <v>854</v>
      </c>
      <c r="C866" s="13" t="str">
        <f t="shared" si="104"/>
        <v>M328_疾患開始日</v>
      </c>
      <c r="D866" s="13" t="s">
        <v>6508</v>
      </c>
      <c r="E866" s="8"/>
      <c r="F866" s="7" t="s">
        <v>4348</v>
      </c>
      <c r="G866" s="7" t="s">
        <v>25</v>
      </c>
      <c r="H866" s="58"/>
      <c r="I866" s="23"/>
      <c r="J866" s="24"/>
      <c r="M866" s="4"/>
      <c r="N866" s="76"/>
      <c r="O866" s="76"/>
      <c r="P866" s="76" t="str">
        <f t="shared" si="97"/>
        <v>,shikkan848_start_date</v>
      </c>
      <c r="Q866" s="76" t="str">
        <f t="shared" si="98"/>
        <v>DATE</v>
      </c>
      <c r="R866" s="76" t="str">
        <f t="shared" si="99"/>
        <v/>
      </c>
      <c r="S866" s="76" t="str">
        <f t="shared" si="100"/>
        <v/>
      </c>
      <c r="T866" s="76" t="str">
        <f t="shared" si="101"/>
        <v>-- M328_疾患開始日</v>
      </c>
      <c r="U866" s="4" t="str">
        <f t="shared" si="102"/>
        <v>, CASE WHEN shikkan_disp_name = 'M328' THEN min_shikkan_start_date ::DATE ELSE NULL END AS shikkan848_start_date</v>
      </c>
      <c r="V866" s="25" t="str">
        <f t="shared" si="103"/>
        <v>, max(shikkan848_start_date)</v>
      </c>
      <c r="AA866" s="4"/>
      <c r="AB866" s="4"/>
      <c r="AC866" s="4"/>
      <c r="AD866" s="4"/>
      <c r="AE866" s="4"/>
      <c r="AF866" s="4"/>
      <c r="AG866" s="4"/>
      <c r="AH866" s="4"/>
      <c r="AI866" s="4"/>
      <c r="AJ866" s="76" t="str">
        <f>IF(E866="○",IF(COUNTA(E$13:E866)=1,"",",")&amp;D866,"")</f>
        <v/>
      </c>
      <c r="AK866" s="4"/>
      <c r="AL866" s="4"/>
      <c r="AM866" s="4"/>
      <c r="AN866" s="4"/>
      <c r="AO866" s="4"/>
      <c r="AP866" s="4"/>
      <c r="AQ866" s="4"/>
      <c r="AR866" s="4"/>
      <c r="AS866" s="76" t="str">
        <f>"COMMENT ON COLUMN "&amp;エンティティ一覧!$O$2&amp;"."&amp;D$8&amp;"."&amp;D866&amp;" IS '"&amp;C866&amp;"';"</f>
        <v>COMMENT ON COLUMN milscm_2023_009.sny_202310_annony_non_annony2.shikkan848_start_date IS 'M328_疾患開始日';</v>
      </c>
    </row>
    <row r="867" spans="1:45" s="25" customFormat="1">
      <c r="A867" s="4" t="s">
        <v>5911</v>
      </c>
      <c r="B867" s="21">
        <f t="shared" si="105"/>
        <v>855</v>
      </c>
      <c r="C867" s="13" t="str">
        <f t="shared" si="104"/>
        <v>M329_疾患開始日</v>
      </c>
      <c r="D867" s="13" t="s">
        <v>6509</v>
      </c>
      <c r="E867" s="8"/>
      <c r="F867" s="7" t="s">
        <v>4348</v>
      </c>
      <c r="G867" s="7" t="s">
        <v>25</v>
      </c>
      <c r="H867" s="58"/>
      <c r="I867" s="23"/>
      <c r="J867" s="24"/>
      <c r="M867" s="4"/>
      <c r="N867" s="76"/>
      <c r="O867" s="76"/>
      <c r="P867" s="76" t="str">
        <f t="shared" si="97"/>
        <v>,shikkan849_start_date</v>
      </c>
      <c r="Q867" s="76" t="str">
        <f t="shared" si="98"/>
        <v>DATE</v>
      </c>
      <c r="R867" s="76" t="str">
        <f t="shared" si="99"/>
        <v/>
      </c>
      <c r="S867" s="76" t="str">
        <f t="shared" si="100"/>
        <v/>
      </c>
      <c r="T867" s="76" t="str">
        <f t="shared" si="101"/>
        <v>-- M329_疾患開始日</v>
      </c>
      <c r="U867" s="4" t="str">
        <f t="shared" si="102"/>
        <v>, CASE WHEN shikkan_disp_name = 'M329' THEN min_shikkan_start_date ::DATE ELSE NULL END AS shikkan849_start_date</v>
      </c>
      <c r="V867" s="25" t="str">
        <f t="shared" si="103"/>
        <v>, max(shikkan849_start_date)</v>
      </c>
      <c r="AA867" s="4"/>
      <c r="AB867" s="4"/>
      <c r="AC867" s="4"/>
      <c r="AD867" s="4"/>
      <c r="AE867" s="4"/>
      <c r="AF867" s="4"/>
      <c r="AG867" s="4"/>
      <c r="AH867" s="4"/>
      <c r="AI867" s="4"/>
      <c r="AJ867" s="76" t="str">
        <f>IF(E867="○",IF(COUNTA(E$13:E867)=1,"",",")&amp;D867,"")</f>
        <v/>
      </c>
      <c r="AK867" s="4"/>
      <c r="AL867" s="4"/>
      <c r="AM867" s="4"/>
      <c r="AN867" s="4"/>
      <c r="AO867" s="4"/>
      <c r="AP867" s="4"/>
      <c r="AQ867" s="4"/>
      <c r="AR867" s="4"/>
      <c r="AS867" s="76" t="str">
        <f>"COMMENT ON COLUMN "&amp;エンティティ一覧!$O$2&amp;"."&amp;D$8&amp;"."&amp;D867&amp;" IS '"&amp;C867&amp;"';"</f>
        <v>COMMENT ON COLUMN milscm_2023_009.sny_202310_annony_non_annony2.shikkan849_start_date IS 'M329_疾患開始日';</v>
      </c>
    </row>
    <row r="868" spans="1:45" s="25" customFormat="1">
      <c r="A868" s="4" t="s">
        <v>5912</v>
      </c>
      <c r="B868" s="21">
        <f t="shared" si="105"/>
        <v>856</v>
      </c>
      <c r="C868" s="13" t="str">
        <f t="shared" si="104"/>
        <v>M330_疾患開始日</v>
      </c>
      <c r="D868" s="13" t="s">
        <v>6510</v>
      </c>
      <c r="E868" s="8"/>
      <c r="F868" s="7" t="s">
        <v>4348</v>
      </c>
      <c r="G868" s="7" t="s">
        <v>25</v>
      </c>
      <c r="H868" s="58"/>
      <c r="I868" s="23"/>
      <c r="J868" s="24"/>
      <c r="M868" s="4"/>
      <c r="N868" s="76"/>
      <c r="O868" s="76"/>
      <c r="P868" s="76" t="str">
        <f t="shared" si="97"/>
        <v>,shikkan850_start_date</v>
      </c>
      <c r="Q868" s="76" t="str">
        <f t="shared" si="98"/>
        <v>DATE</v>
      </c>
      <c r="R868" s="76" t="str">
        <f t="shared" si="99"/>
        <v/>
      </c>
      <c r="S868" s="76" t="str">
        <f t="shared" si="100"/>
        <v/>
      </c>
      <c r="T868" s="76" t="str">
        <f t="shared" si="101"/>
        <v>-- M330_疾患開始日</v>
      </c>
      <c r="U868" s="4" t="str">
        <f t="shared" si="102"/>
        <v>, CASE WHEN shikkan_disp_name = 'M330' THEN min_shikkan_start_date ::DATE ELSE NULL END AS shikkan850_start_date</v>
      </c>
      <c r="V868" s="25" t="str">
        <f t="shared" si="103"/>
        <v>, max(shikkan850_start_date)</v>
      </c>
      <c r="AA868" s="4"/>
      <c r="AB868" s="4"/>
      <c r="AC868" s="4"/>
      <c r="AD868" s="4"/>
      <c r="AE868" s="4"/>
      <c r="AF868" s="4"/>
      <c r="AG868" s="4"/>
      <c r="AH868" s="4"/>
      <c r="AI868" s="4"/>
      <c r="AJ868" s="76" t="str">
        <f>IF(E868="○",IF(COUNTA(E$13:E868)=1,"",",")&amp;D868,"")</f>
        <v/>
      </c>
      <c r="AK868" s="4"/>
      <c r="AL868" s="4"/>
      <c r="AM868" s="4"/>
      <c r="AN868" s="4"/>
      <c r="AO868" s="4"/>
      <c r="AP868" s="4"/>
      <c r="AQ868" s="4"/>
      <c r="AR868" s="4"/>
      <c r="AS868" s="76" t="str">
        <f>"COMMENT ON COLUMN "&amp;エンティティ一覧!$O$2&amp;"."&amp;D$8&amp;"."&amp;D868&amp;" IS '"&amp;C868&amp;"';"</f>
        <v>COMMENT ON COLUMN milscm_2023_009.sny_202310_annony_non_annony2.shikkan850_start_date IS 'M330_疾患開始日';</v>
      </c>
    </row>
    <row r="869" spans="1:45" s="25" customFormat="1">
      <c r="A869" s="4" t="s">
        <v>5913</v>
      </c>
      <c r="B869" s="21">
        <f t="shared" si="105"/>
        <v>857</v>
      </c>
      <c r="C869" s="13" t="str">
        <f t="shared" si="104"/>
        <v>M331_疾患開始日</v>
      </c>
      <c r="D869" s="13" t="s">
        <v>6511</v>
      </c>
      <c r="E869" s="8"/>
      <c r="F869" s="7" t="s">
        <v>4348</v>
      </c>
      <c r="G869" s="7" t="s">
        <v>25</v>
      </c>
      <c r="H869" s="58"/>
      <c r="I869" s="23"/>
      <c r="J869" s="24"/>
      <c r="M869" s="4"/>
      <c r="N869" s="76"/>
      <c r="O869" s="76"/>
      <c r="P869" s="76" t="str">
        <f t="shared" si="97"/>
        <v>,shikkan851_start_date</v>
      </c>
      <c r="Q869" s="76" t="str">
        <f t="shared" si="98"/>
        <v>DATE</v>
      </c>
      <c r="R869" s="76" t="str">
        <f t="shared" si="99"/>
        <v/>
      </c>
      <c r="S869" s="76" t="str">
        <f t="shared" si="100"/>
        <v/>
      </c>
      <c r="T869" s="76" t="str">
        <f t="shared" si="101"/>
        <v>-- M331_疾患開始日</v>
      </c>
      <c r="U869" s="4" t="str">
        <f t="shared" si="102"/>
        <v>, CASE WHEN shikkan_disp_name = 'M331' THEN min_shikkan_start_date ::DATE ELSE NULL END AS shikkan851_start_date</v>
      </c>
      <c r="V869" s="25" t="str">
        <f t="shared" si="103"/>
        <v>, max(shikkan851_start_date)</v>
      </c>
      <c r="AA869" s="4"/>
      <c r="AB869" s="4"/>
      <c r="AC869" s="4"/>
      <c r="AD869" s="4"/>
      <c r="AE869" s="4"/>
      <c r="AF869" s="4"/>
      <c r="AG869" s="4"/>
      <c r="AH869" s="4"/>
      <c r="AI869" s="4"/>
      <c r="AJ869" s="76" t="str">
        <f>IF(E869="○",IF(COUNTA(E$13:E869)=1,"",",")&amp;D869,"")</f>
        <v/>
      </c>
      <c r="AK869" s="4"/>
      <c r="AL869" s="4"/>
      <c r="AM869" s="4"/>
      <c r="AN869" s="4"/>
      <c r="AO869" s="4"/>
      <c r="AP869" s="4"/>
      <c r="AQ869" s="4"/>
      <c r="AR869" s="4"/>
      <c r="AS869" s="76" t="str">
        <f>"COMMENT ON COLUMN "&amp;エンティティ一覧!$O$2&amp;"."&amp;D$8&amp;"."&amp;D869&amp;" IS '"&amp;C869&amp;"';"</f>
        <v>COMMENT ON COLUMN milscm_2023_009.sny_202310_annony_non_annony2.shikkan851_start_date IS 'M331_疾患開始日';</v>
      </c>
    </row>
    <row r="870" spans="1:45" s="25" customFormat="1">
      <c r="A870" s="4" t="s">
        <v>5914</v>
      </c>
      <c r="B870" s="21">
        <f t="shared" si="105"/>
        <v>858</v>
      </c>
      <c r="C870" s="13" t="str">
        <f t="shared" si="104"/>
        <v>M332_疾患開始日</v>
      </c>
      <c r="D870" s="13" t="s">
        <v>6512</v>
      </c>
      <c r="E870" s="8"/>
      <c r="F870" s="7" t="s">
        <v>4348</v>
      </c>
      <c r="G870" s="7" t="s">
        <v>25</v>
      </c>
      <c r="H870" s="58"/>
      <c r="I870" s="23"/>
      <c r="J870" s="24"/>
      <c r="M870" s="4"/>
      <c r="N870" s="76"/>
      <c r="O870" s="76"/>
      <c r="P870" s="76" t="str">
        <f t="shared" si="97"/>
        <v>,shikkan852_start_date</v>
      </c>
      <c r="Q870" s="76" t="str">
        <f t="shared" si="98"/>
        <v>DATE</v>
      </c>
      <c r="R870" s="76" t="str">
        <f t="shared" si="99"/>
        <v/>
      </c>
      <c r="S870" s="76" t="str">
        <f t="shared" si="100"/>
        <v/>
      </c>
      <c r="T870" s="76" t="str">
        <f t="shared" si="101"/>
        <v>-- M332_疾患開始日</v>
      </c>
      <c r="U870" s="4" t="str">
        <f t="shared" si="102"/>
        <v>, CASE WHEN shikkan_disp_name = 'M332' THEN min_shikkan_start_date ::DATE ELSE NULL END AS shikkan852_start_date</v>
      </c>
      <c r="V870" s="25" t="str">
        <f t="shared" si="103"/>
        <v>, max(shikkan852_start_date)</v>
      </c>
      <c r="AA870" s="4"/>
      <c r="AB870" s="4"/>
      <c r="AC870" s="4"/>
      <c r="AD870" s="4"/>
      <c r="AE870" s="4"/>
      <c r="AF870" s="4"/>
      <c r="AG870" s="4"/>
      <c r="AH870" s="4"/>
      <c r="AI870" s="4"/>
      <c r="AJ870" s="76" t="str">
        <f>IF(E870="○",IF(COUNTA(E$13:E870)=1,"",",")&amp;D870,"")</f>
        <v/>
      </c>
      <c r="AK870" s="4"/>
      <c r="AL870" s="4"/>
      <c r="AM870" s="4"/>
      <c r="AN870" s="4"/>
      <c r="AO870" s="4"/>
      <c r="AP870" s="4"/>
      <c r="AQ870" s="4"/>
      <c r="AR870" s="4"/>
      <c r="AS870" s="76" t="str">
        <f>"COMMENT ON COLUMN "&amp;エンティティ一覧!$O$2&amp;"."&amp;D$8&amp;"."&amp;D870&amp;" IS '"&amp;C870&amp;"';"</f>
        <v>COMMENT ON COLUMN milscm_2023_009.sny_202310_annony_non_annony2.shikkan852_start_date IS 'M332_疾患開始日';</v>
      </c>
    </row>
    <row r="871" spans="1:45" s="25" customFormat="1">
      <c r="A871" s="4" t="s">
        <v>5915</v>
      </c>
      <c r="B871" s="21">
        <f t="shared" si="105"/>
        <v>859</v>
      </c>
      <c r="C871" s="13" t="str">
        <f t="shared" si="104"/>
        <v>M339_疾患開始日</v>
      </c>
      <c r="D871" s="13" t="s">
        <v>6513</v>
      </c>
      <c r="E871" s="8"/>
      <c r="F871" s="7" t="s">
        <v>4348</v>
      </c>
      <c r="G871" s="7" t="s">
        <v>25</v>
      </c>
      <c r="H871" s="58"/>
      <c r="I871" s="23"/>
      <c r="J871" s="24"/>
      <c r="M871" s="4"/>
      <c r="N871" s="76"/>
      <c r="O871" s="76"/>
      <c r="P871" s="76" t="str">
        <f t="shared" si="97"/>
        <v>,shikkan853_start_date</v>
      </c>
      <c r="Q871" s="76" t="str">
        <f t="shared" si="98"/>
        <v>DATE</v>
      </c>
      <c r="R871" s="76" t="str">
        <f t="shared" si="99"/>
        <v/>
      </c>
      <c r="S871" s="76" t="str">
        <f t="shared" si="100"/>
        <v/>
      </c>
      <c r="T871" s="76" t="str">
        <f t="shared" si="101"/>
        <v>-- M339_疾患開始日</v>
      </c>
      <c r="U871" s="4" t="str">
        <f t="shared" si="102"/>
        <v>, CASE WHEN shikkan_disp_name = 'M339' THEN min_shikkan_start_date ::DATE ELSE NULL END AS shikkan853_start_date</v>
      </c>
      <c r="V871" s="25" t="str">
        <f t="shared" si="103"/>
        <v>, max(shikkan853_start_date)</v>
      </c>
      <c r="AA871" s="4"/>
      <c r="AB871" s="4"/>
      <c r="AC871" s="4"/>
      <c r="AD871" s="4"/>
      <c r="AE871" s="4"/>
      <c r="AF871" s="4"/>
      <c r="AG871" s="4"/>
      <c r="AH871" s="4"/>
      <c r="AI871" s="4"/>
      <c r="AJ871" s="76" t="str">
        <f>IF(E871="○",IF(COUNTA(E$13:E871)=1,"",",")&amp;D871,"")</f>
        <v/>
      </c>
      <c r="AK871" s="4"/>
      <c r="AL871" s="4"/>
      <c r="AM871" s="4"/>
      <c r="AN871" s="4"/>
      <c r="AO871" s="4"/>
      <c r="AP871" s="4"/>
      <c r="AQ871" s="4"/>
      <c r="AR871" s="4"/>
      <c r="AS871" s="76" t="str">
        <f>"COMMENT ON COLUMN "&amp;エンティティ一覧!$O$2&amp;"."&amp;D$8&amp;"."&amp;D871&amp;" IS '"&amp;C871&amp;"';"</f>
        <v>COMMENT ON COLUMN milscm_2023_009.sny_202310_annony_non_annony2.shikkan853_start_date IS 'M339_疾患開始日';</v>
      </c>
    </row>
    <row r="872" spans="1:45" s="25" customFormat="1">
      <c r="A872" s="4" t="s">
        <v>5916</v>
      </c>
      <c r="B872" s="21">
        <f t="shared" si="105"/>
        <v>860</v>
      </c>
      <c r="C872" s="13" t="str">
        <f t="shared" si="104"/>
        <v>M340_疾患開始日</v>
      </c>
      <c r="D872" s="13" t="s">
        <v>6514</v>
      </c>
      <c r="E872" s="8"/>
      <c r="F872" s="7" t="s">
        <v>4348</v>
      </c>
      <c r="G872" s="7" t="s">
        <v>25</v>
      </c>
      <c r="H872" s="58"/>
      <c r="I872" s="23"/>
      <c r="J872" s="24"/>
      <c r="M872" s="4"/>
      <c r="N872" s="76"/>
      <c r="O872" s="76"/>
      <c r="P872" s="76" t="str">
        <f t="shared" si="97"/>
        <v>,shikkan854_start_date</v>
      </c>
      <c r="Q872" s="76" t="str">
        <f t="shared" si="98"/>
        <v>DATE</v>
      </c>
      <c r="R872" s="76" t="str">
        <f t="shared" si="99"/>
        <v/>
      </c>
      <c r="S872" s="76" t="str">
        <f t="shared" si="100"/>
        <v/>
      </c>
      <c r="T872" s="76" t="str">
        <f t="shared" si="101"/>
        <v>-- M340_疾患開始日</v>
      </c>
      <c r="U872" s="4" t="str">
        <f t="shared" si="102"/>
        <v>, CASE WHEN shikkan_disp_name = 'M340' THEN min_shikkan_start_date ::DATE ELSE NULL END AS shikkan854_start_date</v>
      </c>
      <c r="V872" s="25" t="str">
        <f t="shared" si="103"/>
        <v>, max(shikkan854_start_date)</v>
      </c>
      <c r="AA872" s="4"/>
      <c r="AB872" s="4"/>
      <c r="AC872" s="4"/>
      <c r="AD872" s="4"/>
      <c r="AE872" s="4"/>
      <c r="AF872" s="4"/>
      <c r="AG872" s="4"/>
      <c r="AH872" s="4"/>
      <c r="AI872" s="4"/>
      <c r="AJ872" s="76" t="str">
        <f>IF(E872="○",IF(COUNTA(E$13:E872)=1,"",",")&amp;D872,"")</f>
        <v/>
      </c>
      <c r="AK872" s="4"/>
      <c r="AL872" s="4"/>
      <c r="AM872" s="4"/>
      <c r="AN872" s="4"/>
      <c r="AO872" s="4"/>
      <c r="AP872" s="4"/>
      <c r="AQ872" s="4"/>
      <c r="AR872" s="4"/>
      <c r="AS872" s="76" t="str">
        <f>"COMMENT ON COLUMN "&amp;エンティティ一覧!$O$2&amp;"."&amp;D$8&amp;"."&amp;D872&amp;" IS '"&amp;C872&amp;"';"</f>
        <v>COMMENT ON COLUMN milscm_2023_009.sny_202310_annony_non_annony2.shikkan854_start_date IS 'M340_疾患開始日';</v>
      </c>
    </row>
    <row r="873" spans="1:45" s="25" customFormat="1">
      <c r="A873" s="4" t="s">
        <v>5917</v>
      </c>
      <c r="B873" s="21">
        <f t="shared" si="105"/>
        <v>861</v>
      </c>
      <c r="C873" s="13" t="str">
        <f t="shared" si="104"/>
        <v>M341_疾患開始日</v>
      </c>
      <c r="D873" s="13" t="s">
        <v>6515</v>
      </c>
      <c r="E873" s="8"/>
      <c r="F873" s="7" t="s">
        <v>4348</v>
      </c>
      <c r="G873" s="7" t="s">
        <v>25</v>
      </c>
      <c r="H873" s="58"/>
      <c r="I873" s="23"/>
      <c r="J873" s="24"/>
      <c r="M873" s="4"/>
      <c r="N873" s="76"/>
      <c r="O873" s="76"/>
      <c r="P873" s="76" t="str">
        <f t="shared" si="97"/>
        <v>,shikkan855_start_date</v>
      </c>
      <c r="Q873" s="76" t="str">
        <f t="shared" si="98"/>
        <v>DATE</v>
      </c>
      <c r="R873" s="76" t="str">
        <f t="shared" si="99"/>
        <v/>
      </c>
      <c r="S873" s="76" t="str">
        <f t="shared" si="100"/>
        <v/>
      </c>
      <c r="T873" s="76" t="str">
        <f t="shared" si="101"/>
        <v>-- M341_疾患開始日</v>
      </c>
      <c r="U873" s="4" t="str">
        <f t="shared" si="102"/>
        <v>, CASE WHEN shikkan_disp_name = 'M341' THEN min_shikkan_start_date ::DATE ELSE NULL END AS shikkan855_start_date</v>
      </c>
      <c r="V873" s="25" t="str">
        <f t="shared" si="103"/>
        <v>, max(shikkan855_start_date)</v>
      </c>
      <c r="AA873" s="4"/>
      <c r="AB873" s="4"/>
      <c r="AC873" s="4"/>
      <c r="AD873" s="4"/>
      <c r="AE873" s="4"/>
      <c r="AF873" s="4"/>
      <c r="AG873" s="4"/>
      <c r="AH873" s="4"/>
      <c r="AI873" s="4"/>
      <c r="AJ873" s="76" t="str">
        <f>IF(E873="○",IF(COUNTA(E$13:E873)=1,"",",")&amp;D873,"")</f>
        <v/>
      </c>
      <c r="AK873" s="4"/>
      <c r="AL873" s="4"/>
      <c r="AM873" s="4"/>
      <c r="AN873" s="4"/>
      <c r="AO873" s="4"/>
      <c r="AP873" s="4"/>
      <c r="AQ873" s="4"/>
      <c r="AR873" s="4"/>
      <c r="AS873" s="76" t="str">
        <f>"COMMENT ON COLUMN "&amp;エンティティ一覧!$O$2&amp;"."&amp;D$8&amp;"."&amp;D873&amp;" IS '"&amp;C873&amp;"';"</f>
        <v>COMMENT ON COLUMN milscm_2023_009.sny_202310_annony_non_annony2.shikkan855_start_date IS 'M341_疾患開始日';</v>
      </c>
    </row>
    <row r="874" spans="1:45" s="25" customFormat="1">
      <c r="A874" s="4" t="s">
        <v>5918</v>
      </c>
      <c r="B874" s="21">
        <f t="shared" si="105"/>
        <v>862</v>
      </c>
      <c r="C874" s="13" t="str">
        <f t="shared" si="104"/>
        <v>M342_疾患開始日</v>
      </c>
      <c r="D874" s="13" t="s">
        <v>6516</v>
      </c>
      <c r="E874" s="8"/>
      <c r="F874" s="7" t="s">
        <v>4348</v>
      </c>
      <c r="G874" s="7" t="s">
        <v>25</v>
      </c>
      <c r="H874" s="58"/>
      <c r="I874" s="23"/>
      <c r="J874" s="24"/>
      <c r="M874" s="4"/>
      <c r="N874" s="76"/>
      <c r="O874" s="76"/>
      <c r="P874" s="76" t="str">
        <f t="shared" si="97"/>
        <v>,shikkan856_start_date</v>
      </c>
      <c r="Q874" s="76" t="str">
        <f t="shared" si="98"/>
        <v>DATE</v>
      </c>
      <c r="R874" s="76" t="str">
        <f t="shared" si="99"/>
        <v/>
      </c>
      <c r="S874" s="76" t="str">
        <f t="shared" si="100"/>
        <v/>
      </c>
      <c r="T874" s="76" t="str">
        <f t="shared" si="101"/>
        <v>-- M342_疾患開始日</v>
      </c>
      <c r="U874" s="4" t="str">
        <f t="shared" si="102"/>
        <v>, CASE WHEN shikkan_disp_name = 'M342' THEN min_shikkan_start_date ::DATE ELSE NULL END AS shikkan856_start_date</v>
      </c>
      <c r="V874" s="25" t="str">
        <f t="shared" si="103"/>
        <v>, max(shikkan856_start_date)</v>
      </c>
      <c r="AA874" s="4"/>
      <c r="AB874" s="4"/>
      <c r="AC874" s="4"/>
      <c r="AD874" s="4"/>
      <c r="AE874" s="4"/>
      <c r="AF874" s="4"/>
      <c r="AG874" s="4"/>
      <c r="AH874" s="4"/>
      <c r="AI874" s="4"/>
      <c r="AJ874" s="76" t="str">
        <f>IF(E874="○",IF(COUNTA(E$13:E874)=1,"",",")&amp;D874,"")</f>
        <v/>
      </c>
      <c r="AK874" s="4"/>
      <c r="AL874" s="4"/>
      <c r="AM874" s="4"/>
      <c r="AN874" s="4"/>
      <c r="AO874" s="4"/>
      <c r="AP874" s="4"/>
      <c r="AQ874" s="4"/>
      <c r="AR874" s="4"/>
      <c r="AS874" s="76" t="str">
        <f>"COMMENT ON COLUMN "&amp;エンティティ一覧!$O$2&amp;"."&amp;D$8&amp;"."&amp;D874&amp;" IS '"&amp;C874&amp;"';"</f>
        <v>COMMENT ON COLUMN milscm_2023_009.sny_202310_annony_non_annony2.shikkan856_start_date IS 'M342_疾患開始日';</v>
      </c>
    </row>
    <row r="875" spans="1:45" s="25" customFormat="1">
      <c r="A875" s="4" t="s">
        <v>5919</v>
      </c>
      <c r="B875" s="21">
        <f t="shared" si="105"/>
        <v>863</v>
      </c>
      <c r="C875" s="13" t="str">
        <f t="shared" si="104"/>
        <v>M348_疾患開始日</v>
      </c>
      <c r="D875" s="13" t="s">
        <v>6517</v>
      </c>
      <c r="E875" s="8"/>
      <c r="F875" s="7" t="s">
        <v>4348</v>
      </c>
      <c r="G875" s="7" t="s">
        <v>25</v>
      </c>
      <c r="H875" s="58"/>
      <c r="I875" s="23"/>
      <c r="J875" s="24"/>
      <c r="M875" s="4"/>
      <c r="N875" s="76"/>
      <c r="O875" s="76"/>
      <c r="P875" s="76" t="str">
        <f t="shared" si="97"/>
        <v>,shikkan857_start_date</v>
      </c>
      <c r="Q875" s="76" t="str">
        <f t="shared" si="98"/>
        <v>DATE</v>
      </c>
      <c r="R875" s="76" t="str">
        <f t="shared" si="99"/>
        <v/>
      </c>
      <c r="S875" s="76" t="str">
        <f t="shared" si="100"/>
        <v/>
      </c>
      <c r="T875" s="76" t="str">
        <f t="shared" si="101"/>
        <v>-- M348_疾患開始日</v>
      </c>
      <c r="U875" s="4" t="str">
        <f t="shared" si="102"/>
        <v>, CASE WHEN shikkan_disp_name = 'M348' THEN min_shikkan_start_date ::DATE ELSE NULL END AS shikkan857_start_date</v>
      </c>
      <c r="V875" s="25" t="str">
        <f t="shared" si="103"/>
        <v>, max(shikkan857_start_date)</v>
      </c>
      <c r="AA875" s="4"/>
      <c r="AB875" s="4"/>
      <c r="AC875" s="4"/>
      <c r="AD875" s="4"/>
      <c r="AE875" s="4"/>
      <c r="AF875" s="4"/>
      <c r="AG875" s="4"/>
      <c r="AH875" s="4"/>
      <c r="AI875" s="4"/>
      <c r="AJ875" s="76" t="str">
        <f>IF(E875="○",IF(COUNTA(E$13:E875)=1,"",",")&amp;D875,"")</f>
        <v/>
      </c>
      <c r="AK875" s="4"/>
      <c r="AL875" s="4"/>
      <c r="AM875" s="4"/>
      <c r="AN875" s="4"/>
      <c r="AO875" s="4"/>
      <c r="AP875" s="4"/>
      <c r="AQ875" s="4"/>
      <c r="AR875" s="4"/>
      <c r="AS875" s="76" t="str">
        <f>"COMMENT ON COLUMN "&amp;エンティティ一覧!$O$2&amp;"."&amp;D$8&amp;"."&amp;D875&amp;" IS '"&amp;C875&amp;"';"</f>
        <v>COMMENT ON COLUMN milscm_2023_009.sny_202310_annony_non_annony2.shikkan857_start_date IS 'M348_疾患開始日';</v>
      </c>
    </row>
    <row r="876" spans="1:45" s="25" customFormat="1">
      <c r="A876" s="4" t="s">
        <v>5920</v>
      </c>
      <c r="B876" s="21">
        <f t="shared" si="105"/>
        <v>864</v>
      </c>
      <c r="C876" s="13" t="str">
        <f t="shared" si="104"/>
        <v>M349_疾患開始日</v>
      </c>
      <c r="D876" s="13" t="s">
        <v>6518</v>
      </c>
      <c r="E876" s="8"/>
      <c r="F876" s="7" t="s">
        <v>4348</v>
      </c>
      <c r="G876" s="7" t="s">
        <v>25</v>
      </c>
      <c r="H876" s="58"/>
      <c r="I876" s="23"/>
      <c r="J876" s="24"/>
      <c r="M876" s="4"/>
      <c r="N876" s="76"/>
      <c r="O876" s="76"/>
      <c r="P876" s="76" t="str">
        <f t="shared" si="97"/>
        <v>,shikkan858_start_date</v>
      </c>
      <c r="Q876" s="76" t="str">
        <f t="shared" si="98"/>
        <v>DATE</v>
      </c>
      <c r="R876" s="76" t="str">
        <f t="shared" si="99"/>
        <v/>
      </c>
      <c r="S876" s="76" t="str">
        <f t="shared" si="100"/>
        <v/>
      </c>
      <c r="T876" s="76" t="str">
        <f t="shared" si="101"/>
        <v>-- M349_疾患開始日</v>
      </c>
      <c r="U876" s="4" t="str">
        <f t="shared" si="102"/>
        <v>, CASE WHEN shikkan_disp_name = 'M349' THEN min_shikkan_start_date ::DATE ELSE NULL END AS shikkan858_start_date</v>
      </c>
      <c r="V876" s="25" t="str">
        <f t="shared" si="103"/>
        <v>, max(shikkan858_start_date)</v>
      </c>
      <c r="AA876" s="4"/>
      <c r="AB876" s="4"/>
      <c r="AC876" s="4"/>
      <c r="AD876" s="4"/>
      <c r="AE876" s="4"/>
      <c r="AF876" s="4"/>
      <c r="AG876" s="4"/>
      <c r="AH876" s="4"/>
      <c r="AI876" s="4"/>
      <c r="AJ876" s="76" t="str">
        <f>IF(E876="○",IF(COUNTA(E$13:E876)=1,"",",")&amp;D876,"")</f>
        <v/>
      </c>
      <c r="AK876" s="4"/>
      <c r="AL876" s="4"/>
      <c r="AM876" s="4"/>
      <c r="AN876" s="4"/>
      <c r="AO876" s="4"/>
      <c r="AP876" s="4"/>
      <c r="AQ876" s="4"/>
      <c r="AR876" s="4"/>
      <c r="AS876" s="76" t="str">
        <f>"COMMENT ON COLUMN "&amp;エンティティ一覧!$O$2&amp;"."&amp;D$8&amp;"."&amp;D876&amp;" IS '"&amp;C876&amp;"';"</f>
        <v>COMMENT ON COLUMN milscm_2023_009.sny_202310_annony_non_annony2.shikkan858_start_date IS 'M349_疾患開始日';</v>
      </c>
    </row>
    <row r="877" spans="1:45" s="25" customFormat="1">
      <c r="A877" s="4" t="s">
        <v>5921</v>
      </c>
      <c r="B877" s="21">
        <f t="shared" si="105"/>
        <v>865</v>
      </c>
      <c r="C877" s="13" t="str">
        <f t="shared" si="104"/>
        <v>M351_疾患開始日</v>
      </c>
      <c r="D877" s="13" t="s">
        <v>6519</v>
      </c>
      <c r="E877" s="8"/>
      <c r="F877" s="7" t="s">
        <v>4348</v>
      </c>
      <c r="G877" s="7" t="s">
        <v>25</v>
      </c>
      <c r="H877" s="58"/>
      <c r="I877" s="23"/>
      <c r="J877" s="24"/>
      <c r="M877" s="4"/>
      <c r="N877" s="76"/>
      <c r="O877" s="76"/>
      <c r="P877" s="76" t="str">
        <f t="shared" si="97"/>
        <v>,shikkan859_start_date</v>
      </c>
      <c r="Q877" s="76" t="str">
        <f t="shared" si="98"/>
        <v>DATE</v>
      </c>
      <c r="R877" s="76" t="str">
        <f t="shared" si="99"/>
        <v/>
      </c>
      <c r="S877" s="76" t="str">
        <f t="shared" si="100"/>
        <v/>
      </c>
      <c r="T877" s="76" t="str">
        <f t="shared" si="101"/>
        <v>-- M351_疾患開始日</v>
      </c>
      <c r="U877" s="4" t="str">
        <f t="shared" si="102"/>
        <v>, CASE WHEN shikkan_disp_name = 'M351' THEN min_shikkan_start_date ::DATE ELSE NULL END AS shikkan859_start_date</v>
      </c>
      <c r="V877" s="25" t="str">
        <f t="shared" si="103"/>
        <v>, max(shikkan859_start_date)</v>
      </c>
      <c r="AA877" s="4"/>
      <c r="AB877" s="4"/>
      <c r="AC877" s="4"/>
      <c r="AD877" s="4"/>
      <c r="AE877" s="4"/>
      <c r="AF877" s="4"/>
      <c r="AG877" s="4"/>
      <c r="AH877" s="4"/>
      <c r="AI877" s="4"/>
      <c r="AJ877" s="76" t="str">
        <f>IF(E877="○",IF(COUNTA(E$13:E877)=1,"",",")&amp;D877,"")</f>
        <v/>
      </c>
      <c r="AK877" s="4"/>
      <c r="AL877" s="4"/>
      <c r="AM877" s="4"/>
      <c r="AN877" s="4"/>
      <c r="AO877" s="4"/>
      <c r="AP877" s="4"/>
      <c r="AQ877" s="4"/>
      <c r="AR877" s="4"/>
      <c r="AS877" s="76" t="str">
        <f>"COMMENT ON COLUMN "&amp;エンティティ一覧!$O$2&amp;"."&amp;D$8&amp;"."&amp;D877&amp;" IS '"&amp;C877&amp;"';"</f>
        <v>COMMENT ON COLUMN milscm_2023_009.sny_202310_annony_non_annony2.shikkan859_start_date IS 'M351_疾患開始日';</v>
      </c>
    </row>
    <row r="878" spans="1:45" s="25" customFormat="1">
      <c r="A878" s="4" t="s">
        <v>5922</v>
      </c>
      <c r="B878" s="21">
        <f t="shared" si="105"/>
        <v>866</v>
      </c>
      <c r="C878" s="13" t="str">
        <f t="shared" si="104"/>
        <v>M353_疾患開始日</v>
      </c>
      <c r="D878" s="13" t="s">
        <v>6520</v>
      </c>
      <c r="E878" s="8"/>
      <c r="F878" s="7" t="s">
        <v>4348</v>
      </c>
      <c r="G878" s="7" t="s">
        <v>25</v>
      </c>
      <c r="H878" s="58"/>
      <c r="I878" s="23"/>
      <c r="J878" s="24"/>
      <c r="M878" s="4"/>
      <c r="N878" s="76"/>
      <c r="O878" s="76"/>
      <c r="P878" s="76" t="str">
        <f t="shared" si="97"/>
        <v>,shikkan860_start_date</v>
      </c>
      <c r="Q878" s="76" t="str">
        <f t="shared" si="98"/>
        <v>DATE</v>
      </c>
      <c r="R878" s="76" t="str">
        <f t="shared" si="99"/>
        <v/>
      </c>
      <c r="S878" s="76" t="str">
        <f t="shared" si="100"/>
        <v/>
      </c>
      <c r="T878" s="76" t="str">
        <f t="shared" si="101"/>
        <v>-- M353_疾患開始日</v>
      </c>
      <c r="U878" s="4" t="str">
        <f t="shared" si="102"/>
        <v>, CASE WHEN shikkan_disp_name = 'M353' THEN min_shikkan_start_date ::DATE ELSE NULL END AS shikkan860_start_date</v>
      </c>
      <c r="V878" s="25" t="str">
        <f t="shared" si="103"/>
        <v>, max(shikkan860_start_date)</v>
      </c>
      <c r="AA878" s="4"/>
      <c r="AB878" s="4"/>
      <c r="AC878" s="4"/>
      <c r="AD878" s="4"/>
      <c r="AE878" s="4"/>
      <c r="AF878" s="4"/>
      <c r="AG878" s="4"/>
      <c r="AH878" s="4"/>
      <c r="AI878" s="4"/>
      <c r="AJ878" s="76" t="str">
        <f>IF(E878="○",IF(COUNTA(E$13:E878)=1,"",",")&amp;D878,"")</f>
        <v/>
      </c>
      <c r="AK878" s="4"/>
      <c r="AL878" s="4"/>
      <c r="AM878" s="4"/>
      <c r="AN878" s="4"/>
      <c r="AO878" s="4"/>
      <c r="AP878" s="4"/>
      <c r="AQ878" s="4"/>
      <c r="AR878" s="4"/>
      <c r="AS878" s="76" t="str">
        <f>"COMMENT ON COLUMN "&amp;エンティティ一覧!$O$2&amp;"."&amp;D$8&amp;"."&amp;D878&amp;" IS '"&amp;C878&amp;"';"</f>
        <v>COMMENT ON COLUMN milscm_2023_009.sny_202310_annony_non_annony2.shikkan860_start_date IS 'M353_疾患開始日';</v>
      </c>
    </row>
    <row r="879" spans="1:45" s="25" customFormat="1">
      <c r="A879" s="4" t="s">
        <v>5923</v>
      </c>
      <c r="B879" s="21">
        <f t="shared" si="105"/>
        <v>867</v>
      </c>
      <c r="C879" s="13" t="str">
        <f t="shared" si="104"/>
        <v>M360_疾患開始日</v>
      </c>
      <c r="D879" s="13" t="s">
        <v>6521</v>
      </c>
      <c r="E879" s="8"/>
      <c r="F879" s="7" t="s">
        <v>4348</v>
      </c>
      <c r="G879" s="7" t="s">
        <v>25</v>
      </c>
      <c r="H879" s="58"/>
      <c r="I879" s="23"/>
      <c r="J879" s="24"/>
      <c r="M879" s="4"/>
      <c r="N879" s="76"/>
      <c r="O879" s="76"/>
      <c r="P879" s="76" t="str">
        <f t="shared" si="97"/>
        <v>,shikkan861_start_date</v>
      </c>
      <c r="Q879" s="76" t="str">
        <f t="shared" si="98"/>
        <v>DATE</v>
      </c>
      <c r="R879" s="76" t="str">
        <f t="shared" si="99"/>
        <v/>
      </c>
      <c r="S879" s="76" t="str">
        <f t="shared" si="100"/>
        <v/>
      </c>
      <c r="T879" s="76" t="str">
        <f t="shared" si="101"/>
        <v>-- M360_疾患開始日</v>
      </c>
      <c r="U879" s="4" t="str">
        <f t="shared" si="102"/>
        <v>, CASE WHEN shikkan_disp_name = 'M360' THEN min_shikkan_start_date ::DATE ELSE NULL END AS shikkan861_start_date</v>
      </c>
      <c r="V879" s="25" t="str">
        <f t="shared" si="103"/>
        <v>, max(shikkan861_start_date)</v>
      </c>
      <c r="AA879" s="4"/>
      <c r="AB879" s="4"/>
      <c r="AC879" s="4"/>
      <c r="AD879" s="4"/>
      <c r="AE879" s="4"/>
      <c r="AF879" s="4"/>
      <c r="AG879" s="4"/>
      <c r="AH879" s="4"/>
      <c r="AI879" s="4"/>
      <c r="AJ879" s="76" t="str">
        <f>IF(E879="○",IF(COUNTA(E$13:E879)=1,"",",")&amp;D879,"")</f>
        <v/>
      </c>
      <c r="AK879" s="4"/>
      <c r="AL879" s="4"/>
      <c r="AM879" s="4"/>
      <c r="AN879" s="4"/>
      <c r="AO879" s="4"/>
      <c r="AP879" s="4"/>
      <c r="AQ879" s="4"/>
      <c r="AR879" s="4"/>
      <c r="AS879" s="76" t="str">
        <f>"COMMENT ON COLUMN "&amp;エンティティ一覧!$O$2&amp;"."&amp;D$8&amp;"."&amp;D879&amp;" IS '"&amp;C879&amp;"';"</f>
        <v>COMMENT ON COLUMN milscm_2023_009.sny_202310_annony_non_annony2.shikkan861_start_date IS 'M360_疾患開始日';</v>
      </c>
    </row>
    <row r="880" spans="1:45" s="25" customFormat="1">
      <c r="A880" s="4" t="s">
        <v>5924</v>
      </c>
      <c r="B880" s="21">
        <f t="shared" si="105"/>
        <v>868</v>
      </c>
      <c r="C880" s="13" t="str">
        <f t="shared" si="104"/>
        <v>N032_疾患開始日</v>
      </c>
      <c r="D880" s="13" t="s">
        <v>6522</v>
      </c>
      <c r="E880" s="8"/>
      <c r="F880" s="7" t="s">
        <v>4348</v>
      </c>
      <c r="G880" s="7" t="s">
        <v>25</v>
      </c>
      <c r="H880" s="58"/>
      <c r="I880" s="23"/>
      <c r="J880" s="24"/>
      <c r="M880" s="4"/>
      <c r="N880" s="76"/>
      <c r="O880" s="76"/>
      <c r="P880" s="76" t="str">
        <f t="shared" si="97"/>
        <v>,shikkan862_start_date</v>
      </c>
      <c r="Q880" s="76" t="str">
        <f t="shared" si="98"/>
        <v>DATE</v>
      </c>
      <c r="R880" s="76" t="str">
        <f t="shared" si="99"/>
        <v/>
      </c>
      <c r="S880" s="76" t="str">
        <f t="shared" si="100"/>
        <v/>
      </c>
      <c r="T880" s="76" t="str">
        <f t="shared" si="101"/>
        <v>-- N032_疾患開始日</v>
      </c>
      <c r="U880" s="4" t="str">
        <f t="shared" si="102"/>
        <v>, CASE WHEN shikkan_disp_name = 'N032' THEN min_shikkan_start_date ::DATE ELSE NULL END AS shikkan862_start_date</v>
      </c>
      <c r="V880" s="25" t="str">
        <f t="shared" si="103"/>
        <v>, max(shikkan862_start_date)</v>
      </c>
      <c r="AA880" s="4"/>
      <c r="AB880" s="4"/>
      <c r="AC880" s="4"/>
      <c r="AD880" s="4"/>
      <c r="AE880" s="4"/>
      <c r="AF880" s="4"/>
      <c r="AG880" s="4"/>
      <c r="AH880" s="4"/>
      <c r="AI880" s="4"/>
      <c r="AJ880" s="76" t="str">
        <f>IF(E880="○",IF(COUNTA(E$13:E880)=1,"",",")&amp;D880,"")</f>
        <v/>
      </c>
      <c r="AK880" s="4"/>
      <c r="AL880" s="4"/>
      <c r="AM880" s="4"/>
      <c r="AN880" s="4"/>
      <c r="AO880" s="4"/>
      <c r="AP880" s="4"/>
      <c r="AQ880" s="4"/>
      <c r="AR880" s="4"/>
      <c r="AS880" s="76" t="str">
        <f>"COMMENT ON COLUMN "&amp;エンティティ一覧!$O$2&amp;"."&amp;D$8&amp;"."&amp;D880&amp;" IS '"&amp;C880&amp;"';"</f>
        <v>COMMENT ON COLUMN milscm_2023_009.sny_202310_annony_non_annony2.shikkan862_start_date IS 'N032_疾患開始日';</v>
      </c>
    </row>
    <row r="881" spans="1:45" s="25" customFormat="1">
      <c r="A881" s="4" t="s">
        <v>5925</v>
      </c>
      <c r="B881" s="21">
        <f t="shared" si="105"/>
        <v>869</v>
      </c>
      <c r="C881" s="13" t="str">
        <f t="shared" si="104"/>
        <v>N033_疾患開始日</v>
      </c>
      <c r="D881" s="13" t="s">
        <v>6523</v>
      </c>
      <c r="E881" s="8"/>
      <c r="F881" s="7" t="s">
        <v>4348</v>
      </c>
      <c r="G881" s="7" t="s">
        <v>25</v>
      </c>
      <c r="H881" s="58"/>
      <c r="I881" s="23"/>
      <c r="J881" s="24"/>
      <c r="M881" s="4"/>
      <c r="N881" s="76"/>
      <c r="O881" s="76"/>
      <c r="P881" s="76" t="str">
        <f t="shared" si="97"/>
        <v>,shikkan863_start_date</v>
      </c>
      <c r="Q881" s="76" t="str">
        <f t="shared" si="98"/>
        <v>DATE</v>
      </c>
      <c r="R881" s="76" t="str">
        <f t="shared" si="99"/>
        <v/>
      </c>
      <c r="S881" s="76" t="str">
        <f t="shared" si="100"/>
        <v/>
      </c>
      <c r="T881" s="76" t="str">
        <f t="shared" si="101"/>
        <v>-- N033_疾患開始日</v>
      </c>
      <c r="U881" s="4" t="str">
        <f t="shared" si="102"/>
        <v>, CASE WHEN shikkan_disp_name = 'N033' THEN min_shikkan_start_date ::DATE ELSE NULL END AS shikkan863_start_date</v>
      </c>
      <c r="V881" s="25" t="str">
        <f t="shared" si="103"/>
        <v>, max(shikkan863_start_date)</v>
      </c>
      <c r="AA881" s="4"/>
      <c r="AB881" s="4"/>
      <c r="AC881" s="4"/>
      <c r="AD881" s="4"/>
      <c r="AE881" s="4"/>
      <c r="AF881" s="4"/>
      <c r="AG881" s="4"/>
      <c r="AH881" s="4"/>
      <c r="AI881" s="4"/>
      <c r="AJ881" s="76" t="str">
        <f>IF(E881="○",IF(COUNTA(E$13:E881)=1,"",",")&amp;D881,"")</f>
        <v/>
      </c>
      <c r="AK881" s="4"/>
      <c r="AL881" s="4"/>
      <c r="AM881" s="4"/>
      <c r="AN881" s="4"/>
      <c r="AO881" s="4"/>
      <c r="AP881" s="4"/>
      <c r="AQ881" s="4"/>
      <c r="AR881" s="4"/>
      <c r="AS881" s="76" t="str">
        <f>"COMMENT ON COLUMN "&amp;エンティティ一覧!$O$2&amp;"."&amp;D$8&amp;"."&amp;D881&amp;" IS '"&amp;C881&amp;"';"</f>
        <v>COMMENT ON COLUMN milscm_2023_009.sny_202310_annony_non_annony2.shikkan863_start_date IS 'N033_疾患開始日';</v>
      </c>
    </row>
    <row r="882" spans="1:45" s="25" customFormat="1">
      <c r="A882" s="4" t="s">
        <v>5926</v>
      </c>
      <c r="B882" s="21">
        <f t="shared" si="105"/>
        <v>870</v>
      </c>
      <c r="C882" s="13" t="str">
        <f t="shared" si="104"/>
        <v>N034_疾患開始日</v>
      </c>
      <c r="D882" s="13" t="s">
        <v>6524</v>
      </c>
      <c r="E882" s="8"/>
      <c r="F882" s="7" t="s">
        <v>4348</v>
      </c>
      <c r="G882" s="7" t="s">
        <v>25</v>
      </c>
      <c r="H882" s="58"/>
      <c r="I882" s="23"/>
      <c r="J882" s="24"/>
      <c r="M882" s="4"/>
      <c r="N882" s="76"/>
      <c r="O882" s="76"/>
      <c r="P882" s="76" t="str">
        <f t="shared" si="97"/>
        <v>,shikkan864_start_date</v>
      </c>
      <c r="Q882" s="76" t="str">
        <f t="shared" si="98"/>
        <v>DATE</v>
      </c>
      <c r="R882" s="76" t="str">
        <f t="shared" si="99"/>
        <v/>
      </c>
      <c r="S882" s="76" t="str">
        <f t="shared" si="100"/>
        <v/>
      </c>
      <c r="T882" s="76" t="str">
        <f t="shared" si="101"/>
        <v>-- N034_疾患開始日</v>
      </c>
      <c r="U882" s="4" t="str">
        <f t="shared" si="102"/>
        <v>, CASE WHEN shikkan_disp_name = 'N034' THEN min_shikkan_start_date ::DATE ELSE NULL END AS shikkan864_start_date</v>
      </c>
      <c r="V882" s="25" t="str">
        <f t="shared" si="103"/>
        <v>, max(shikkan864_start_date)</v>
      </c>
      <c r="AA882" s="4"/>
      <c r="AB882" s="4"/>
      <c r="AC882" s="4"/>
      <c r="AD882" s="4"/>
      <c r="AE882" s="4"/>
      <c r="AF882" s="4"/>
      <c r="AG882" s="4"/>
      <c r="AH882" s="4"/>
      <c r="AI882" s="4"/>
      <c r="AJ882" s="76" t="str">
        <f>IF(E882="○",IF(COUNTA(E$13:E882)=1,"",",")&amp;D882,"")</f>
        <v/>
      </c>
      <c r="AK882" s="4"/>
      <c r="AL882" s="4"/>
      <c r="AM882" s="4"/>
      <c r="AN882" s="4"/>
      <c r="AO882" s="4"/>
      <c r="AP882" s="4"/>
      <c r="AQ882" s="4"/>
      <c r="AR882" s="4"/>
      <c r="AS882" s="76" t="str">
        <f>"COMMENT ON COLUMN "&amp;エンティティ一覧!$O$2&amp;"."&amp;D$8&amp;"."&amp;D882&amp;" IS '"&amp;C882&amp;"';"</f>
        <v>COMMENT ON COLUMN milscm_2023_009.sny_202310_annony_non_annony2.shikkan864_start_date IS 'N034_疾患開始日';</v>
      </c>
    </row>
    <row r="883" spans="1:45" s="25" customFormat="1">
      <c r="A883" s="4" t="s">
        <v>5927</v>
      </c>
      <c r="B883" s="21">
        <f t="shared" si="105"/>
        <v>871</v>
      </c>
      <c r="C883" s="13" t="str">
        <f t="shared" si="104"/>
        <v>N035_疾患開始日</v>
      </c>
      <c r="D883" s="13" t="s">
        <v>6525</v>
      </c>
      <c r="E883" s="8"/>
      <c r="F883" s="7" t="s">
        <v>4348</v>
      </c>
      <c r="G883" s="7" t="s">
        <v>25</v>
      </c>
      <c r="H883" s="58"/>
      <c r="I883" s="23"/>
      <c r="J883" s="24"/>
      <c r="M883" s="4"/>
      <c r="N883" s="76"/>
      <c r="O883" s="76"/>
      <c r="P883" s="76" t="str">
        <f t="shared" si="97"/>
        <v>,shikkan865_start_date</v>
      </c>
      <c r="Q883" s="76" t="str">
        <f t="shared" si="98"/>
        <v>DATE</v>
      </c>
      <c r="R883" s="76" t="str">
        <f t="shared" si="99"/>
        <v/>
      </c>
      <c r="S883" s="76" t="str">
        <f t="shared" si="100"/>
        <v/>
      </c>
      <c r="T883" s="76" t="str">
        <f t="shared" si="101"/>
        <v>-- N035_疾患開始日</v>
      </c>
      <c r="U883" s="4" t="str">
        <f t="shared" si="102"/>
        <v>, CASE WHEN shikkan_disp_name = 'N035' THEN min_shikkan_start_date ::DATE ELSE NULL END AS shikkan865_start_date</v>
      </c>
      <c r="V883" s="25" t="str">
        <f t="shared" si="103"/>
        <v>, max(shikkan865_start_date)</v>
      </c>
      <c r="AA883" s="4"/>
      <c r="AB883" s="4"/>
      <c r="AC883" s="4"/>
      <c r="AD883" s="4"/>
      <c r="AE883" s="4"/>
      <c r="AF883" s="4"/>
      <c r="AG883" s="4"/>
      <c r="AH883" s="4"/>
      <c r="AI883" s="4"/>
      <c r="AJ883" s="76" t="str">
        <f>IF(E883="○",IF(COUNTA(E$13:E883)=1,"",",")&amp;D883,"")</f>
        <v/>
      </c>
      <c r="AK883" s="4"/>
      <c r="AL883" s="4"/>
      <c r="AM883" s="4"/>
      <c r="AN883" s="4"/>
      <c r="AO883" s="4"/>
      <c r="AP883" s="4"/>
      <c r="AQ883" s="4"/>
      <c r="AR883" s="4"/>
      <c r="AS883" s="76" t="str">
        <f>"COMMENT ON COLUMN "&amp;エンティティ一覧!$O$2&amp;"."&amp;D$8&amp;"."&amp;D883&amp;" IS '"&amp;C883&amp;"';"</f>
        <v>COMMENT ON COLUMN milscm_2023_009.sny_202310_annony_non_annony2.shikkan865_start_date IS 'N035_疾患開始日';</v>
      </c>
    </row>
    <row r="884" spans="1:45" s="25" customFormat="1">
      <c r="A884" s="4" t="s">
        <v>5928</v>
      </c>
      <c r="B884" s="21">
        <f t="shared" si="105"/>
        <v>872</v>
      </c>
      <c r="C884" s="13" t="str">
        <f t="shared" si="104"/>
        <v>N036_疾患開始日</v>
      </c>
      <c r="D884" s="13" t="s">
        <v>6526</v>
      </c>
      <c r="E884" s="8"/>
      <c r="F884" s="7" t="s">
        <v>4348</v>
      </c>
      <c r="G884" s="7" t="s">
        <v>25</v>
      </c>
      <c r="H884" s="58"/>
      <c r="I884" s="23"/>
      <c r="J884" s="24"/>
      <c r="M884" s="4"/>
      <c r="N884" s="76"/>
      <c r="O884" s="76"/>
      <c r="P884" s="76" t="str">
        <f t="shared" si="97"/>
        <v>,shikkan866_start_date</v>
      </c>
      <c r="Q884" s="76" t="str">
        <f t="shared" si="98"/>
        <v>DATE</v>
      </c>
      <c r="R884" s="76" t="str">
        <f t="shared" si="99"/>
        <v/>
      </c>
      <c r="S884" s="76" t="str">
        <f t="shared" si="100"/>
        <v/>
      </c>
      <c r="T884" s="76" t="str">
        <f t="shared" si="101"/>
        <v>-- N036_疾患開始日</v>
      </c>
      <c r="U884" s="4" t="str">
        <f t="shared" si="102"/>
        <v>, CASE WHEN shikkan_disp_name = 'N036' THEN min_shikkan_start_date ::DATE ELSE NULL END AS shikkan866_start_date</v>
      </c>
      <c r="V884" s="25" t="str">
        <f t="shared" si="103"/>
        <v>, max(shikkan866_start_date)</v>
      </c>
      <c r="AA884" s="4"/>
      <c r="AB884" s="4"/>
      <c r="AC884" s="4"/>
      <c r="AD884" s="4"/>
      <c r="AE884" s="4"/>
      <c r="AF884" s="4"/>
      <c r="AG884" s="4"/>
      <c r="AH884" s="4"/>
      <c r="AI884" s="4"/>
      <c r="AJ884" s="76" t="str">
        <f>IF(E884="○",IF(COUNTA(E$13:E884)=1,"",",")&amp;D884,"")</f>
        <v/>
      </c>
      <c r="AK884" s="4"/>
      <c r="AL884" s="4"/>
      <c r="AM884" s="4"/>
      <c r="AN884" s="4"/>
      <c r="AO884" s="4"/>
      <c r="AP884" s="4"/>
      <c r="AQ884" s="4"/>
      <c r="AR884" s="4"/>
      <c r="AS884" s="76" t="str">
        <f>"COMMENT ON COLUMN "&amp;エンティティ一覧!$O$2&amp;"."&amp;D$8&amp;"."&amp;D884&amp;" IS '"&amp;C884&amp;"';"</f>
        <v>COMMENT ON COLUMN milscm_2023_009.sny_202310_annony_non_annony2.shikkan866_start_date IS 'N036_疾患開始日';</v>
      </c>
    </row>
    <row r="885" spans="1:45" s="25" customFormat="1">
      <c r="A885" s="4" t="s">
        <v>5929</v>
      </c>
      <c r="B885" s="21">
        <f t="shared" si="105"/>
        <v>873</v>
      </c>
      <c r="C885" s="13" t="str">
        <f t="shared" si="104"/>
        <v>N037_疾患開始日</v>
      </c>
      <c r="D885" s="13" t="s">
        <v>6527</v>
      </c>
      <c r="E885" s="8"/>
      <c r="F885" s="7" t="s">
        <v>4348</v>
      </c>
      <c r="G885" s="7" t="s">
        <v>25</v>
      </c>
      <c r="H885" s="58"/>
      <c r="I885" s="23"/>
      <c r="J885" s="24"/>
      <c r="M885" s="4"/>
      <c r="N885" s="76"/>
      <c r="O885" s="76"/>
      <c r="P885" s="76" t="str">
        <f t="shared" si="97"/>
        <v>,shikkan867_start_date</v>
      </c>
      <c r="Q885" s="76" t="str">
        <f t="shared" si="98"/>
        <v>DATE</v>
      </c>
      <c r="R885" s="76" t="str">
        <f t="shared" si="99"/>
        <v/>
      </c>
      <c r="S885" s="76" t="str">
        <f t="shared" si="100"/>
        <v/>
      </c>
      <c r="T885" s="76" t="str">
        <f t="shared" si="101"/>
        <v>-- N037_疾患開始日</v>
      </c>
      <c r="U885" s="4" t="str">
        <f t="shared" si="102"/>
        <v>, CASE WHEN shikkan_disp_name = 'N037' THEN min_shikkan_start_date ::DATE ELSE NULL END AS shikkan867_start_date</v>
      </c>
      <c r="V885" s="25" t="str">
        <f t="shared" si="103"/>
        <v>, max(shikkan867_start_date)</v>
      </c>
      <c r="AA885" s="4"/>
      <c r="AB885" s="4"/>
      <c r="AC885" s="4"/>
      <c r="AD885" s="4"/>
      <c r="AE885" s="4"/>
      <c r="AF885" s="4"/>
      <c r="AG885" s="4"/>
      <c r="AH885" s="4"/>
      <c r="AI885" s="4"/>
      <c r="AJ885" s="76" t="str">
        <f>IF(E885="○",IF(COUNTA(E$13:E885)=1,"",",")&amp;D885,"")</f>
        <v/>
      </c>
      <c r="AK885" s="4"/>
      <c r="AL885" s="4"/>
      <c r="AM885" s="4"/>
      <c r="AN885" s="4"/>
      <c r="AO885" s="4"/>
      <c r="AP885" s="4"/>
      <c r="AQ885" s="4"/>
      <c r="AR885" s="4"/>
      <c r="AS885" s="76" t="str">
        <f>"COMMENT ON COLUMN "&amp;エンティティ一覧!$O$2&amp;"."&amp;D$8&amp;"."&amp;D885&amp;" IS '"&amp;C885&amp;"';"</f>
        <v>COMMENT ON COLUMN milscm_2023_009.sny_202310_annony_non_annony2.shikkan867_start_date IS 'N037_疾患開始日';</v>
      </c>
    </row>
    <row r="886" spans="1:45" s="25" customFormat="1">
      <c r="A886" s="4" t="s">
        <v>5930</v>
      </c>
      <c r="B886" s="21">
        <f t="shared" si="105"/>
        <v>874</v>
      </c>
      <c r="C886" s="13" t="str">
        <f t="shared" si="104"/>
        <v>N052_疾患開始日</v>
      </c>
      <c r="D886" s="13" t="s">
        <v>6528</v>
      </c>
      <c r="E886" s="8"/>
      <c r="F886" s="7" t="s">
        <v>4348</v>
      </c>
      <c r="G886" s="7" t="s">
        <v>25</v>
      </c>
      <c r="H886" s="58"/>
      <c r="I886" s="23"/>
      <c r="J886" s="24"/>
      <c r="M886" s="4"/>
      <c r="N886" s="76"/>
      <c r="O886" s="76"/>
      <c r="P886" s="76" t="str">
        <f t="shared" si="97"/>
        <v>,shikkan868_start_date</v>
      </c>
      <c r="Q886" s="76" t="str">
        <f t="shared" si="98"/>
        <v>DATE</v>
      </c>
      <c r="R886" s="76" t="str">
        <f t="shared" si="99"/>
        <v/>
      </c>
      <c r="S886" s="76" t="str">
        <f t="shared" si="100"/>
        <v/>
      </c>
      <c r="T886" s="76" t="str">
        <f t="shared" si="101"/>
        <v>-- N052_疾患開始日</v>
      </c>
      <c r="U886" s="4" t="str">
        <f t="shared" si="102"/>
        <v>, CASE WHEN shikkan_disp_name = 'N052' THEN min_shikkan_start_date ::DATE ELSE NULL END AS shikkan868_start_date</v>
      </c>
      <c r="V886" s="25" t="str">
        <f t="shared" si="103"/>
        <v>, max(shikkan868_start_date)</v>
      </c>
      <c r="AA886" s="4"/>
      <c r="AB886" s="4"/>
      <c r="AC886" s="4"/>
      <c r="AD886" s="4"/>
      <c r="AE886" s="4"/>
      <c r="AF886" s="4"/>
      <c r="AG886" s="4"/>
      <c r="AH886" s="4"/>
      <c r="AI886" s="4"/>
      <c r="AJ886" s="76" t="str">
        <f>IF(E886="○",IF(COUNTA(E$13:E886)=1,"",",")&amp;D886,"")</f>
        <v/>
      </c>
      <c r="AK886" s="4"/>
      <c r="AL886" s="4"/>
      <c r="AM886" s="4"/>
      <c r="AN886" s="4"/>
      <c r="AO886" s="4"/>
      <c r="AP886" s="4"/>
      <c r="AQ886" s="4"/>
      <c r="AR886" s="4"/>
      <c r="AS886" s="76" t="str">
        <f>"COMMENT ON COLUMN "&amp;エンティティ一覧!$O$2&amp;"."&amp;D$8&amp;"."&amp;D886&amp;" IS '"&amp;C886&amp;"';"</f>
        <v>COMMENT ON COLUMN milscm_2023_009.sny_202310_annony_non_annony2.shikkan868_start_date IS 'N052_疾患開始日';</v>
      </c>
    </row>
    <row r="887" spans="1:45" s="25" customFormat="1">
      <c r="A887" s="4" t="s">
        <v>5931</v>
      </c>
      <c r="B887" s="21">
        <f t="shared" si="105"/>
        <v>875</v>
      </c>
      <c r="C887" s="13" t="str">
        <f t="shared" si="104"/>
        <v>N053_疾患開始日</v>
      </c>
      <c r="D887" s="13" t="s">
        <v>6529</v>
      </c>
      <c r="E887" s="8"/>
      <c r="F887" s="7" t="s">
        <v>4348</v>
      </c>
      <c r="G887" s="7" t="s">
        <v>25</v>
      </c>
      <c r="H887" s="58"/>
      <c r="I887" s="23"/>
      <c r="J887" s="24"/>
      <c r="M887" s="4"/>
      <c r="N887" s="76"/>
      <c r="O887" s="76"/>
      <c r="P887" s="76" t="str">
        <f t="shared" si="97"/>
        <v>,shikkan869_start_date</v>
      </c>
      <c r="Q887" s="76" t="str">
        <f t="shared" si="98"/>
        <v>DATE</v>
      </c>
      <c r="R887" s="76" t="str">
        <f t="shared" si="99"/>
        <v/>
      </c>
      <c r="S887" s="76" t="str">
        <f t="shared" si="100"/>
        <v/>
      </c>
      <c r="T887" s="76" t="str">
        <f t="shared" si="101"/>
        <v>-- N053_疾患開始日</v>
      </c>
      <c r="U887" s="4" t="str">
        <f t="shared" si="102"/>
        <v>, CASE WHEN shikkan_disp_name = 'N053' THEN min_shikkan_start_date ::DATE ELSE NULL END AS shikkan869_start_date</v>
      </c>
      <c r="V887" s="25" t="str">
        <f t="shared" si="103"/>
        <v>, max(shikkan869_start_date)</v>
      </c>
      <c r="AA887" s="4"/>
      <c r="AB887" s="4"/>
      <c r="AC887" s="4"/>
      <c r="AD887" s="4"/>
      <c r="AE887" s="4"/>
      <c r="AF887" s="4"/>
      <c r="AG887" s="4"/>
      <c r="AH887" s="4"/>
      <c r="AI887" s="4"/>
      <c r="AJ887" s="76" t="str">
        <f>IF(E887="○",IF(COUNTA(E$13:E887)=1,"",",")&amp;D887,"")</f>
        <v/>
      </c>
      <c r="AK887" s="4"/>
      <c r="AL887" s="4"/>
      <c r="AM887" s="4"/>
      <c r="AN887" s="4"/>
      <c r="AO887" s="4"/>
      <c r="AP887" s="4"/>
      <c r="AQ887" s="4"/>
      <c r="AR887" s="4"/>
      <c r="AS887" s="76" t="str">
        <f>"COMMENT ON COLUMN "&amp;エンティティ一覧!$O$2&amp;"."&amp;D$8&amp;"."&amp;D887&amp;" IS '"&amp;C887&amp;"';"</f>
        <v>COMMENT ON COLUMN milscm_2023_009.sny_202310_annony_non_annony2.shikkan869_start_date IS 'N053_疾患開始日';</v>
      </c>
    </row>
    <row r="888" spans="1:45" s="25" customFormat="1">
      <c r="A888" s="4" t="s">
        <v>5932</v>
      </c>
      <c r="B888" s="21">
        <f t="shared" si="105"/>
        <v>876</v>
      </c>
      <c r="C888" s="13" t="str">
        <f t="shared" si="104"/>
        <v>N054_疾患開始日</v>
      </c>
      <c r="D888" s="13" t="s">
        <v>6530</v>
      </c>
      <c r="E888" s="8"/>
      <c r="F888" s="7" t="s">
        <v>4348</v>
      </c>
      <c r="G888" s="7" t="s">
        <v>25</v>
      </c>
      <c r="H888" s="58"/>
      <c r="I888" s="23"/>
      <c r="J888" s="24"/>
      <c r="M888" s="4"/>
      <c r="N888" s="76"/>
      <c r="O888" s="76"/>
      <c r="P888" s="76" t="str">
        <f t="shared" si="97"/>
        <v>,shikkan870_start_date</v>
      </c>
      <c r="Q888" s="76" t="str">
        <f t="shared" si="98"/>
        <v>DATE</v>
      </c>
      <c r="R888" s="76" t="str">
        <f t="shared" si="99"/>
        <v/>
      </c>
      <c r="S888" s="76" t="str">
        <f t="shared" si="100"/>
        <v/>
      </c>
      <c r="T888" s="76" t="str">
        <f t="shared" si="101"/>
        <v>-- N054_疾患開始日</v>
      </c>
      <c r="U888" s="4" t="str">
        <f t="shared" si="102"/>
        <v>, CASE WHEN shikkan_disp_name = 'N054' THEN min_shikkan_start_date ::DATE ELSE NULL END AS shikkan870_start_date</v>
      </c>
      <c r="V888" s="25" t="str">
        <f t="shared" si="103"/>
        <v>, max(shikkan870_start_date)</v>
      </c>
      <c r="AA888" s="4"/>
      <c r="AB888" s="4"/>
      <c r="AC888" s="4"/>
      <c r="AD888" s="4"/>
      <c r="AE888" s="4"/>
      <c r="AF888" s="4"/>
      <c r="AG888" s="4"/>
      <c r="AH888" s="4"/>
      <c r="AI888" s="4"/>
      <c r="AJ888" s="76" t="str">
        <f>IF(E888="○",IF(COUNTA(E$13:E888)=1,"",",")&amp;D888,"")</f>
        <v/>
      </c>
      <c r="AK888" s="4"/>
      <c r="AL888" s="4"/>
      <c r="AM888" s="4"/>
      <c r="AN888" s="4"/>
      <c r="AO888" s="4"/>
      <c r="AP888" s="4"/>
      <c r="AQ888" s="4"/>
      <c r="AR888" s="4"/>
      <c r="AS888" s="76" t="str">
        <f>"COMMENT ON COLUMN "&amp;エンティティ一覧!$O$2&amp;"."&amp;D$8&amp;"."&amp;D888&amp;" IS '"&amp;C888&amp;"';"</f>
        <v>COMMENT ON COLUMN milscm_2023_009.sny_202310_annony_non_annony2.shikkan870_start_date IS 'N054_疾患開始日';</v>
      </c>
    </row>
    <row r="889" spans="1:45" s="25" customFormat="1">
      <c r="A889" s="4" t="s">
        <v>5933</v>
      </c>
      <c r="B889" s="21">
        <f t="shared" si="105"/>
        <v>877</v>
      </c>
      <c r="C889" s="13" t="str">
        <f t="shared" si="104"/>
        <v>N055_疾患開始日</v>
      </c>
      <c r="D889" s="13" t="s">
        <v>6531</v>
      </c>
      <c r="E889" s="8"/>
      <c r="F889" s="7" t="s">
        <v>4348</v>
      </c>
      <c r="G889" s="7" t="s">
        <v>25</v>
      </c>
      <c r="H889" s="58"/>
      <c r="I889" s="23"/>
      <c r="J889" s="24"/>
      <c r="M889" s="4"/>
      <c r="N889" s="76"/>
      <c r="O889" s="76"/>
      <c r="P889" s="76" t="str">
        <f t="shared" si="97"/>
        <v>,shikkan871_start_date</v>
      </c>
      <c r="Q889" s="76" t="str">
        <f t="shared" si="98"/>
        <v>DATE</v>
      </c>
      <c r="R889" s="76" t="str">
        <f t="shared" si="99"/>
        <v/>
      </c>
      <c r="S889" s="76" t="str">
        <f t="shared" si="100"/>
        <v/>
      </c>
      <c r="T889" s="76" t="str">
        <f t="shared" si="101"/>
        <v>-- N055_疾患開始日</v>
      </c>
      <c r="U889" s="4" t="str">
        <f t="shared" si="102"/>
        <v>, CASE WHEN shikkan_disp_name = 'N055' THEN min_shikkan_start_date ::DATE ELSE NULL END AS shikkan871_start_date</v>
      </c>
      <c r="V889" s="25" t="str">
        <f t="shared" si="103"/>
        <v>, max(shikkan871_start_date)</v>
      </c>
      <c r="AA889" s="4"/>
      <c r="AB889" s="4"/>
      <c r="AC889" s="4"/>
      <c r="AD889" s="4"/>
      <c r="AE889" s="4"/>
      <c r="AF889" s="4"/>
      <c r="AG889" s="4"/>
      <c r="AH889" s="4"/>
      <c r="AI889" s="4"/>
      <c r="AJ889" s="76" t="str">
        <f>IF(E889="○",IF(COUNTA(E$13:E889)=1,"",",")&amp;D889,"")</f>
        <v/>
      </c>
      <c r="AK889" s="4"/>
      <c r="AL889" s="4"/>
      <c r="AM889" s="4"/>
      <c r="AN889" s="4"/>
      <c r="AO889" s="4"/>
      <c r="AP889" s="4"/>
      <c r="AQ889" s="4"/>
      <c r="AR889" s="4"/>
      <c r="AS889" s="76" t="str">
        <f>"COMMENT ON COLUMN "&amp;エンティティ一覧!$O$2&amp;"."&amp;D$8&amp;"."&amp;D889&amp;" IS '"&amp;C889&amp;"';"</f>
        <v>COMMENT ON COLUMN milscm_2023_009.sny_202310_annony_non_annony2.shikkan871_start_date IS 'N055_疾患開始日';</v>
      </c>
    </row>
    <row r="890" spans="1:45" s="25" customFormat="1">
      <c r="A890" s="4" t="s">
        <v>5934</v>
      </c>
      <c r="B890" s="21">
        <f t="shared" si="105"/>
        <v>878</v>
      </c>
      <c r="C890" s="13" t="str">
        <f t="shared" si="104"/>
        <v>N056_疾患開始日</v>
      </c>
      <c r="D890" s="13" t="s">
        <v>6532</v>
      </c>
      <c r="E890" s="8"/>
      <c r="F890" s="7" t="s">
        <v>4348</v>
      </c>
      <c r="G890" s="7" t="s">
        <v>25</v>
      </c>
      <c r="H890" s="58"/>
      <c r="I890" s="23"/>
      <c r="J890" s="24"/>
      <c r="M890" s="4"/>
      <c r="N890" s="76"/>
      <c r="O890" s="76"/>
      <c r="P890" s="76" t="str">
        <f t="shared" si="97"/>
        <v>,shikkan872_start_date</v>
      </c>
      <c r="Q890" s="76" t="str">
        <f t="shared" si="98"/>
        <v>DATE</v>
      </c>
      <c r="R890" s="76" t="str">
        <f t="shared" si="99"/>
        <v/>
      </c>
      <c r="S890" s="76" t="str">
        <f t="shared" si="100"/>
        <v/>
      </c>
      <c r="T890" s="76" t="str">
        <f t="shared" si="101"/>
        <v>-- N056_疾患開始日</v>
      </c>
      <c r="U890" s="4" t="str">
        <f t="shared" si="102"/>
        <v>, CASE WHEN shikkan_disp_name = 'N056' THEN min_shikkan_start_date ::DATE ELSE NULL END AS shikkan872_start_date</v>
      </c>
      <c r="V890" s="25" t="str">
        <f t="shared" si="103"/>
        <v>, max(shikkan872_start_date)</v>
      </c>
      <c r="AA890" s="4"/>
      <c r="AB890" s="4"/>
      <c r="AC890" s="4"/>
      <c r="AD890" s="4"/>
      <c r="AE890" s="4"/>
      <c r="AF890" s="4"/>
      <c r="AG890" s="4"/>
      <c r="AH890" s="4"/>
      <c r="AI890" s="4"/>
      <c r="AJ890" s="76" t="str">
        <f>IF(E890="○",IF(COUNTA(E$13:E890)=1,"",",")&amp;D890,"")</f>
        <v/>
      </c>
      <c r="AK890" s="4"/>
      <c r="AL890" s="4"/>
      <c r="AM890" s="4"/>
      <c r="AN890" s="4"/>
      <c r="AO890" s="4"/>
      <c r="AP890" s="4"/>
      <c r="AQ890" s="4"/>
      <c r="AR890" s="4"/>
      <c r="AS890" s="76" t="str">
        <f>"COMMENT ON COLUMN "&amp;エンティティ一覧!$O$2&amp;"."&amp;D$8&amp;"."&amp;D890&amp;" IS '"&amp;C890&amp;"';"</f>
        <v>COMMENT ON COLUMN milscm_2023_009.sny_202310_annony_non_annony2.shikkan872_start_date IS 'N056_疾患開始日';</v>
      </c>
    </row>
    <row r="891" spans="1:45" s="25" customFormat="1">
      <c r="A891" s="4" t="s">
        <v>5935</v>
      </c>
      <c r="B891" s="21">
        <f t="shared" si="105"/>
        <v>879</v>
      </c>
      <c r="C891" s="13" t="str">
        <f t="shared" si="104"/>
        <v>N057_疾患開始日</v>
      </c>
      <c r="D891" s="13" t="s">
        <v>6533</v>
      </c>
      <c r="E891" s="8"/>
      <c r="F891" s="7" t="s">
        <v>4348</v>
      </c>
      <c r="G891" s="7" t="s">
        <v>25</v>
      </c>
      <c r="H891" s="58"/>
      <c r="I891" s="23"/>
      <c r="J891" s="24"/>
      <c r="M891" s="4"/>
      <c r="N891" s="76"/>
      <c r="O891" s="76"/>
      <c r="P891" s="76" t="str">
        <f t="shared" si="97"/>
        <v>,shikkan873_start_date</v>
      </c>
      <c r="Q891" s="76" t="str">
        <f t="shared" si="98"/>
        <v>DATE</v>
      </c>
      <c r="R891" s="76" t="str">
        <f t="shared" si="99"/>
        <v/>
      </c>
      <c r="S891" s="76" t="str">
        <f t="shared" si="100"/>
        <v/>
      </c>
      <c r="T891" s="76" t="str">
        <f t="shared" si="101"/>
        <v>-- N057_疾患開始日</v>
      </c>
      <c r="U891" s="4" t="str">
        <f t="shared" si="102"/>
        <v>, CASE WHEN shikkan_disp_name = 'N057' THEN min_shikkan_start_date ::DATE ELSE NULL END AS shikkan873_start_date</v>
      </c>
      <c r="V891" s="25" t="str">
        <f t="shared" si="103"/>
        <v>, max(shikkan873_start_date)</v>
      </c>
      <c r="AA891" s="4"/>
      <c r="AB891" s="4"/>
      <c r="AC891" s="4"/>
      <c r="AD891" s="4"/>
      <c r="AE891" s="4"/>
      <c r="AF891" s="4"/>
      <c r="AG891" s="4"/>
      <c r="AH891" s="4"/>
      <c r="AI891" s="4"/>
      <c r="AJ891" s="76" t="str">
        <f>IF(E891="○",IF(COUNTA(E$13:E891)=1,"",",")&amp;D891,"")</f>
        <v/>
      </c>
      <c r="AK891" s="4"/>
      <c r="AL891" s="4"/>
      <c r="AM891" s="4"/>
      <c r="AN891" s="4"/>
      <c r="AO891" s="4"/>
      <c r="AP891" s="4"/>
      <c r="AQ891" s="4"/>
      <c r="AR891" s="4"/>
      <c r="AS891" s="76" t="str">
        <f>"COMMENT ON COLUMN "&amp;エンティティ一覧!$O$2&amp;"."&amp;D$8&amp;"."&amp;D891&amp;" IS '"&amp;C891&amp;"';"</f>
        <v>COMMENT ON COLUMN milscm_2023_009.sny_202310_annony_non_annony2.shikkan873_start_date IS 'N057_疾患開始日';</v>
      </c>
    </row>
    <row r="892" spans="1:45" s="25" customFormat="1">
      <c r="A892" s="4" t="s">
        <v>5936</v>
      </c>
      <c r="B892" s="21">
        <f t="shared" si="105"/>
        <v>880</v>
      </c>
      <c r="C892" s="13" t="str">
        <f t="shared" si="104"/>
        <v>N181_疾患開始日</v>
      </c>
      <c r="D892" s="13" t="s">
        <v>6534</v>
      </c>
      <c r="E892" s="8"/>
      <c r="F892" s="7" t="s">
        <v>4348</v>
      </c>
      <c r="G892" s="7" t="s">
        <v>25</v>
      </c>
      <c r="H892" s="58"/>
      <c r="I892" s="23"/>
      <c r="J892" s="24"/>
      <c r="M892" s="4"/>
      <c r="N892" s="76"/>
      <c r="O892" s="76"/>
      <c r="P892" s="76" t="str">
        <f t="shared" si="97"/>
        <v>,shikkan874_start_date</v>
      </c>
      <c r="Q892" s="76" t="str">
        <f t="shared" si="98"/>
        <v>DATE</v>
      </c>
      <c r="R892" s="76" t="str">
        <f t="shared" si="99"/>
        <v/>
      </c>
      <c r="S892" s="76" t="str">
        <f t="shared" si="100"/>
        <v/>
      </c>
      <c r="T892" s="76" t="str">
        <f t="shared" si="101"/>
        <v>-- N181_疾患開始日</v>
      </c>
      <c r="U892" s="4" t="str">
        <f t="shared" si="102"/>
        <v>, CASE WHEN shikkan_disp_name = 'N181' THEN min_shikkan_start_date ::DATE ELSE NULL END AS shikkan874_start_date</v>
      </c>
      <c r="V892" s="25" t="str">
        <f t="shared" si="103"/>
        <v>, max(shikkan874_start_date)</v>
      </c>
      <c r="AA892" s="4"/>
      <c r="AB892" s="4"/>
      <c r="AC892" s="4"/>
      <c r="AD892" s="4"/>
      <c r="AE892" s="4"/>
      <c r="AF892" s="4"/>
      <c r="AG892" s="4"/>
      <c r="AH892" s="4"/>
      <c r="AI892" s="4"/>
      <c r="AJ892" s="76" t="str">
        <f>IF(E892="○",IF(COUNTA(E$13:E892)=1,"",",")&amp;D892,"")</f>
        <v/>
      </c>
      <c r="AK892" s="4"/>
      <c r="AL892" s="4"/>
      <c r="AM892" s="4"/>
      <c r="AN892" s="4"/>
      <c r="AO892" s="4"/>
      <c r="AP892" s="4"/>
      <c r="AQ892" s="4"/>
      <c r="AR892" s="4"/>
      <c r="AS892" s="76" t="str">
        <f>"COMMENT ON COLUMN "&amp;エンティティ一覧!$O$2&amp;"."&amp;D$8&amp;"."&amp;D892&amp;" IS '"&amp;C892&amp;"';"</f>
        <v>COMMENT ON COLUMN milscm_2023_009.sny_202310_annony_non_annony2.shikkan874_start_date IS 'N181_疾患開始日';</v>
      </c>
    </row>
    <row r="893" spans="1:45" s="25" customFormat="1">
      <c r="A893" s="4" t="s">
        <v>5937</v>
      </c>
      <c r="B893" s="21">
        <f t="shared" si="105"/>
        <v>881</v>
      </c>
      <c r="C893" s="13" t="str">
        <f t="shared" si="104"/>
        <v>N182_疾患開始日</v>
      </c>
      <c r="D893" s="13" t="s">
        <v>6535</v>
      </c>
      <c r="E893" s="8"/>
      <c r="F893" s="7" t="s">
        <v>4348</v>
      </c>
      <c r="G893" s="7" t="s">
        <v>25</v>
      </c>
      <c r="H893" s="58"/>
      <c r="I893" s="23"/>
      <c r="J893" s="24"/>
      <c r="M893" s="4"/>
      <c r="N893" s="76"/>
      <c r="O893" s="76"/>
      <c r="P893" s="76" t="str">
        <f t="shared" si="97"/>
        <v>,shikkan875_start_date</v>
      </c>
      <c r="Q893" s="76" t="str">
        <f t="shared" si="98"/>
        <v>DATE</v>
      </c>
      <c r="R893" s="76" t="str">
        <f t="shared" si="99"/>
        <v/>
      </c>
      <c r="S893" s="76" t="str">
        <f t="shared" si="100"/>
        <v/>
      </c>
      <c r="T893" s="76" t="str">
        <f t="shared" si="101"/>
        <v>-- N182_疾患開始日</v>
      </c>
      <c r="U893" s="4" t="str">
        <f t="shared" si="102"/>
        <v>, CASE WHEN shikkan_disp_name = 'N182' THEN min_shikkan_start_date ::DATE ELSE NULL END AS shikkan875_start_date</v>
      </c>
      <c r="V893" s="25" t="str">
        <f t="shared" si="103"/>
        <v>, max(shikkan875_start_date)</v>
      </c>
      <c r="AA893" s="4"/>
      <c r="AB893" s="4"/>
      <c r="AC893" s="4"/>
      <c r="AD893" s="4"/>
      <c r="AE893" s="4"/>
      <c r="AF893" s="4"/>
      <c r="AG893" s="4"/>
      <c r="AH893" s="4"/>
      <c r="AI893" s="4"/>
      <c r="AJ893" s="76" t="str">
        <f>IF(E893="○",IF(COUNTA(E$13:E893)=1,"",",")&amp;D893,"")</f>
        <v/>
      </c>
      <c r="AK893" s="4"/>
      <c r="AL893" s="4"/>
      <c r="AM893" s="4"/>
      <c r="AN893" s="4"/>
      <c r="AO893" s="4"/>
      <c r="AP893" s="4"/>
      <c r="AQ893" s="4"/>
      <c r="AR893" s="4"/>
      <c r="AS893" s="76" t="str">
        <f>"COMMENT ON COLUMN "&amp;エンティティ一覧!$O$2&amp;"."&amp;D$8&amp;"."&amp;D893&amp;" IS '"&amp;C893&amp;"';"</f>
        <v>COMMENT ON COLUMN milscm_2023_009.sny_202310_annony_non_annony2.shikkan875_start_date IS 'N182_疾患開始日';</v>
      </c>
    </row>
    <row r="894" spans="1:45" s="25" customFormat="1">
      <c r="A894" s="4" t="s">
        <v>5938</v>
      </c>
      <c r="B894" s="21">
        <f t="shared" si="105"/>
        <v>882</v>
      </c>
      <c r="C894" s="13" t="str">
        <f t="shared" si="104"/>
        <v>N183_疾患開始日</v>
      </c>
      <c r="D894" s="13" t="s">
        <v>6536</v>
      </c>
      <c r="E894" s="8"/>
      <c r="F894" s="7" t="s">
        <v>4348</v>
      </c>
      <c r="G894" s="7" t="s">
        <v>25</v>
      </c>
      <c r="H894" s="58"/>
      <c r="I894" s="23"/>
      <c r="J894" s="24"/>
      <c r="M894" s="4"/>
      <c r="N894" s="76"/>
      <c r="O894" s="76"/>
      <c r="P894" s="76" t="str">
        <f t="shared" si="97"/>
        <v>,shikkan876_start_date</v>
      </c>
      <c r="Q894" s="76" t="str">
        <f t="shared" si="98"/>
        <v>DATE</v>
      </c>
      <c r="R894" s="76" t="str">
        <f t="shared" si="99"/>
        <v/>
      </c>
      <c r="S894" s="76" t="str">
        <f t="shared" si="100"/>
        <v/>
      </c>
      <c r="T894" s="76" t="str">
        <f t="shared" si="101"/>
        <v>-- N183_疾患開始日</v>
      </c>
      <c r="U894" s="4" t="str">
        <f t="shared" si="102"/>
        <v>, CASE WHEN shikkan_disp_name = 'N183' THEN min_shikkan_start_date ::DATE ELSE NULL END AS shikkan876_start_date</v>
      </c>
      <c r="V894" s="25" t="str">
        <f t="shared" si="103"/>
        <v>, max(shikkan876_start_date)</v>
      </c>
      <c r="AA894" s="4"/>
      <c r="AB894" s="4"/>
      <c r="AC894" s="4"/>
      <c r="AD894" s="4"/>
      <c r="AE894" s="4"/>
      <c r="AF894" s="4"/>
      <c r="AG894" s="4"/>
      <c r="AH894" s="4"/>
      <c r="AI894" s="4"/>
      <c r="AJ894" s="76" t="str">
        <f>IF(E894="○",IF(COUNTA(E$13:E894)=1,"",",")&amp;D894,"")</f>
        <v/>
      </c>
      <c r="AK894" s="4"/>
      <c r="AL894" s="4"/>
      <c r="AM894" s="4"/>
      <c r="AN894" s="4"/>
      <c r="AO894" s="4"/>
      <c r="AP894" s="4"/>
      <c r="AQ894" s="4"/>
      <c r="AR894" s="4"/>
      <c r="AS894" s="76" t="str">
        <f>"COMMENT ON COLUMN "&amp;エンティティ一覧!$O$2&amp;"."&amp;D$8&amp;"."&amp;D894&amp;" IS '"&amp;C894&amp;"';"</f>
        <v>COMMENT ON COLUMN milscm_2023_009.sny_202310_annony_non_annony2.shikkan876_start_date IS 'N183_疾患開始日';</v>
      </c>
    </row>
    <row r="895" spans="1:45" s="25" customFormat="1">
      <c r="A895" s="4" t="s">
        <v>5939</v>
      </c>
      <c r="B895" s="21">
        <f t="shared" si="105"/>
        <v>883</v>
      </c>
      <c r="C895" s="13" t="str">
        <f t="shared" si="104"/>
        <v>N184_疾患開始日</v>
      </c>
      <c r="D895" s="13" t="s">
        <v>6537</v>
      </c>
      <c r="E895" s="8"/>
      <c r="F895" s="7" t="s">
        <v>4348</v>
      </c>
      <c r="G895" s="7" t="s">
        <v>25</v>
      </c>
      <c r="H895" s="58"/>
      <c r="I895" s="23"/>
      <c r="J895" s="24"/>
      <c r="M895" s="4"/>
      <c r="N895" s="76"/>
      <c r="O895" s="76"/>
      <c r="P895" s="76" t="str">
        <f t="shared" si="97"/>
        <v>,shikkan877_start_date</v>
      </c>
      <c r="Q895" s="76" t="str">
        <f t="shared" si="98"/>
        <v>DATE</v>
      </c>
      <c r="R895" s="76" t="str">
        <f t="shared" si="99"/>
        <v/>
      </c>
      <c r="S895" s="76" t="str">
        <f t="shared" si="100"/>
        <v/>
      </c>
      <c r="T895" s="76" t="str">
        <f t="shared" si="101"/>
        <v>-- N184_疾患開始日</v>
      </c>
      <c r="U895" s="4" t="str">
        <f t="shared" si="102"/>
        <v>, CASE WHEN shikkan_disp_name = 'N184' THEN min_shikkan_start_date ::DATE ELSE NULL END AS shikkan877_start_date</v>
      </c>
      <c r="V895" s="25" t="str">
        <f t="shared" si="103"/>
        <v>, max(shikkan877_start_date)</v>
      </c>
      <c r="AA895" s="4"/>
      <c r="AB895" s="4"/>
      <c r="AC895" s="4"/>
      <c r="AD895" s="4"/>
      <c r="AE895" s="4"/>
      <c r="AF895" s="4"/>
      <c r="AG895" s="4"/>
      <c r="AH895" s="4"/>
      <c r="AI895" s="4"/>
      <c r="AJ895" s="76" t="str">
        <f>IF(E895="○",IF(COUNTA(E$13:E895)=1,"",",")&amp;D895,"")</f>
        <v/>
      </c>
      <c r="AK895" s="4"/>
      <c r="AL895" s="4"/>
      <c r="AM895" s="4"/>
      <c r="AN895" s="4"/>
      <c r="AO895" s="4"/>
      <c r="AP895" s="4"/>
      <c r="AQ895" s="4"/>
      <c r="AR895" s="4"/>
      <c r="AS895" s="76" t="str">
        <f>"COMMENT ON COLUMN "&amp;エンティティ一覧!$O$2&amp;"."&amp;D$8&amp;"."&amp;D895&amp;" IS '"&amp;C895&amp;"';"</f>
        <v>COMMENT ON COLUMN milscm_2023_009.sny_202310_annony_non_annony2.shikkan877_start_date IS 'N184_疾患開始日';</v>
      </c>
    </row>
    <row r="896" spans="1:45" s="25" customFormat="1">
      <c r="A896" s="4" t="s">
        <v>5940</v>
      </c>
      <c r="B896" s="21">
        <f t="shared" si="105"/>
        <v>884</v>
      </c>
      <c r="C896" s="13" t="str">
        <f t="shared" si="104"/>
        <v>N185_疾患開始日</v>
      </c>
      <c r="D896" s="13" t="s">
        <v>6538</v>
      </c>
      <c r="E896" s="8"/>
      <c r="F896" s="7" t="s">
        <v>4348</v>
      </c>
      <c r="G896" s="7" t="s">
        <v>25</v>
      </c>
      <c r="H896" s="58"/>
      <c r="I896" s="23"/>
      <c r="J896" s="24"/>
      <c r="M896" s="4"/>
      <c r="N896" s="76"/>
      <c r="O896" s="76"/>
      <c r="P896" s="76" t="str">
        <f t="shared" si="97"/>
        <v>,shikkan878_start_date</v>
      </c>
      <c r="Q896" s="76" t="str">
        <f t="shared" si="98"/>
        <v>DATE</v>
      </c>
      <c r="R896" s="76" t="str">
        <f t="shared" si="99"/>
        <v/>
      </c>
      <c r="S896" s="76" t="str">
        <f t="shared" si="100"/>
        <v/>
      </c>
      <c r="T896" s="76" t="str">
        <f t="shared" si="101"/>
        <v>-- N185_疾患開始日</v>
      </c>
      <c r="U896" s="4" t="str">
        <f t="shared" si="102"/>
        <v>, CASE WHEN shikkan_disp_name = 'N185' THEN min_shikkan_start_date ::DATE ELSE NULL END AS shikkan878_start_date</v>
      </c>
      <c r="V896" s="25" t="str">
        <f t="shared" si="103"/>
        <v>, max(shikkan878_start_date)</v>
      </c>
      <c r="AA896" s="4"/>
      <c r="AB896" s="4"/>
      <c r="AC896" s="4"/>
      <c r="AD896" s="4"/>
      <c r="AE896" s="4"/>
      <c r="AF896" s="4"/>
      <c r="AG896" s="4"/>
      <c r="AH896" s="4"/>
      <c r="AI896" s="4"/>
      <c r="AJ896" s="76" t="str">
        <f>IF(E896="○",IF(COUNTA(E$13:E896)=1,"",",")&amp;D896,"")</f>
        <v/>
      </c>
      <c r="AK896" s="4"/>
      <c r="AL896" s="4"/>
      <c r="AM896" s="4"/>
      <c r="AN896" s="4"/>
      <c r="AO896" s="4"/>
      <c r="AP896" s="4"/>
      <c r="AQ896" s="4"/>
      <c r="AR896" s="4"/>
      <c r="AS896" s="76" t="str">
        <f>"COMMENT ON COLUMN "&amp;エンティティ一覧!$O$2&amp;"."&amp;D$8&amp;"."&amp;D896&amp;" IS '"&amp;C896&amp;"';"</f>
        <v>COMMENT ON COLUMN milscm_2023_009.sny_202310_annony_non_annony2.shikkan878_start_date IS 'N185_疾患開始日';</v>
      </c>
    </row>
    <row r="897" spans="1:45" s="25" customFormat="1">
      <c r="A897" s="4" t="s">
        <v>5941</v>
      </c>
      <c r="B897" s="21">
        <f t="shared" si="105"/>
        <v>885</v>
      </c>
      <c r="C897" s="13" t="str">
        <f t="shared" si="104"/>
        <v>N189_疾患開始日</v>
      </c>
      <c r="D897" s="13" t="s">
        <v>6539</v>
      </c>
      <c r="E897" s="8"/>
      <c r="F897" s="7" t="s">
        <v>4348</v>
      </c>
      <c r="G897" s="7" t="s">
        <v>25</v>
      </c>
      <c r="H897" s="58"/>
      <c r="I897" s="23"/>
      <c r="J897" s="24"/>
      <c r="M897" s="4"/>
      <c r="N897" s="76"/>
      <c r="O897" s="76"/>
      <c r="P897" s="76" t="str">
        <f t="shared" si="97"/>
        <v>,shikkan879_start_date</v>
      </c>
      <c r="Q897" s="76" t="str">
        <f t="shared" si="98"/>
        <v>DATE</v>
      </c>
      <c r="R897" s="76" t="str">
        <f t="shared" si="99"/>
        <v/>
      </c>
      <c r="S897" s="76" t="str">
        <f t="shared" si="100"/>
        <v/>
      </c>
      <c r="T897" s="76" t="str">
        <f t="shared" si="101"/>
        <v>-- N189_疾患開始日</v>
      </c>
      <c r="U897" s="4" t="str">
        <f t="shared" si="102"/>
        <v>, CASE WHEN shikkan_disp_name = 'N189' THEN min_shikkan_start_date ::DATE ELSE NULL END AS shikkan879_start_date</v>
      </c>
      <c r="V897" s="25" t="str">
        <f t="shared" si="103"/>
        <v>, max(shikkan879_start_date)</v>
      </c>
      <c r="AA897" s="4"/>
      <c r="AB897" s="4"/>
      <c r="AC897" s="4"/>
      <c r="AD897" s="4"/>
      <c r="AE897" s="4"/>
      <c r="AF897" s="4"/>
      <c r="AG897" s="4"/>
      <c r="AH897" s="4"/>
      <c r="AI897" s="4"/>
      <c r="AJ897" s="76" t="str">
        <f>IF(E897="○",IF(COUNTA(E$13:E897)=1,"",",")&amp;D897,"")</f>
        <v/>
      </c>
      <c r="AK897" s="4"/>
      <c r="AL897" s="4"/>
      <c r="AM897" s="4"/>
      <c r="AN897" s="4"/>
      <c r="AO897" s="4"/>
      <c r="AP897" s="4"/>
      <c r="AQ897" s="4"/>
      <c r="AR897" s="4"/>
      <c r="AS897" s="76" t="str">
        <f>"COMMENT ON COLUMN "&amp;エンティティ一覧!$O$2&amp;"."&amp;D$8&amp;"."&amp;D897&amp;" IS '"&amp;C897&amp;"';"</f>
        <v>COMMENT ON COLUMN milscm_2023_009.sny_202310_annony_non_annony2.shikkan879_start_date IS 'N189_疾患開始日';</v>
      </c>
    </row>
    <row r="898" spans="1:45" s="25" customFormat="1">
      <c r="A898" s="4" t="s">
        <v>5138</v>
      </c>
      <c r="B898" s="21">
        <f t="shared" si="105"/>
        <v>886</v>
      </c>
      <c r="C898" s="13" t="str">
        <f t="shared" si="104"/>
        <v>N19_疾患開始日</v>
      </c>
      <c r="D898" s="13" t="s">
        <v>6540</v>
      </c>
      <c r="E898" s="8"/>
      <c r="F898" s="7" t="s">
        <v>4348</v>
      </c>
      <c r="G898" s="7" t="s">
        <v>25</v>
      </c>
      <c r="H898" s="58"/>
      <c r="I898" s="23"/>
      <c r="J898" s="24"/>
      <c r="M898" s="4"/>
      <c r="N898" s="76"/>
      <c r="O898" s="76"/>
      <c r="P898" s="76" t="str">
        <f t="shared" si="97"/>
        <v>,shikkan880_start_date</v>
      </c>
      <c r="Q898" s="76" t="str">
        <f t="shared" si="98"/>
        <v>DATE</v>
      </c>
      <c r="R898" s="76" t="str">
        <f t="shared" si="99"/>
        <v/>
      </c>
      <c r="S898" s="76" t="str">
        <f t="shared" si="100"/>
        <v/>
      </c>
      <c r="T898" s="76" t="str">
        <f t="shared" si="101"/>
        <v>-- N19_疾患開始日</v>
      </c>
      <c r="U898" s="4" t="str">
        <f t="shared" si="102"/>
        <v>, CASE WHEN shikkan_disp_name = 'N19' THEN min_shikkan_start_date ::DATE ELSE NULL END AS shikkan880_start_date</v>
      </c>
      <c r="V898" s="25" t="str">
        <f t="shared" si="103"/>
        <v>, max(shikkan880_start_date)</v>
      </c>
      <c r="AA898" s="4"/>
      <c r="AB898" s="4"/>
      <c r="AC898" s="4"/>
      <c r="AD898" s="4"/>
      <c r="AE898" s="4"/>
      <c r="AF898" s="4"/>
      <c r="AG898" s="4"/>
      <c r="AH898" s="4"/>
      <c r="AI898" s="4"/>
      <c r="AJ898" s="76" t="str">
        <f>IF(E898="○",IF(COUNTA(E$13:E898)=1,"",",")&amp;D898,"")</f>
        <v/>
      </c>
      <c r="AK898" s="4"/>
      <c r="AL898" s="4"/>
      <c r="AM898" s="4"/>
      <c r="AN898" s="4"/>
      <c r="AO898" s="4"/>
      <c r="AP898" s="4"/>
      <c r="AQ898" s="4"/>
      <c r="AR898" s="4"/>
      <c r="AS898" s="76" t="str">
        <f>"COMMENT ON COLUMN "&amp;エンティティ一覧!$O$2&amp;"."&amp;D$8&amp;"."&amp;D898&amp;" IS '"&amp;C898&amp;"';"</f>
        <v>COMMENT ON COLUMN milscm_2023_009.sny_202310_annony_non_annony2.shikkan880_start_date IS 'N19_疾患開始日';</v>
      </c>
    </row>
    <row r="899" spans="1:45" s="25" customFormat="1">
      <c r="A899" s="4" t="s">
        <v>5942</v>
      </c>
      <c r="B899" s="21">
        <f t="shared" si="105"/>
        <v>887</v>
      </c>
      <c r="C899" s="13" t="str">
        <f t="shared" si="104"/>
        <v>N250_疾患開始日</v>
      </c>
      <c r="D899" s="13" t="s">
        <v>6541</v>
      </c>
      <c r="E899" s="8"/>
      <c r="F899" s="7" t="s">
        <v>4348</v>
      </c>
      <c r="G899" s="7" t="s">
        <v>25</v>
      </c>
      <c r="H899" s="58"/>
      <c r="I899" s="23"/>
      <c r="J899" s="24"/>
      <c r="M899" s="4"/>
      <c r="N899" s="76"/>
      <c r="O899" s="76"/>
      <c r="P899" s="76" t="str">
        <f t="shared" si="97"/>
        <v>,shikkan881_start_date</v>
      </c>
      <c r="Q899" s="76" t="str">
        <f t="shared" si="98"/>
        <v>DATE</v>
      </c>
      <c r="R899" s="76" t="str">
        <f t="shared" si="99"/>
        <v/>
      </c>
      <c r="S899" s="76" t="str">
        <f t="shared" si="100"/>
        <v/>
      </c>
      <c r="T899" s="76" t="str">
        <f t="shared" si="101"/>
        <v>-- N250_疾患開始日</v>
      </c>
      <c r="U899" s="4" t="str">
        <f t="shared" si="102"/>
        <v>, CASE WHEN shikkan_disp_name = 'N250' THEN min_shikkan_start_date ::DATE ELSE NULL END AS shikkan881_start_date</v>
      </c>
      <c r="V899" s="25" t="str">
        <f t="shared" si="103"/>
        <v>, max(shikkan881_start_date)</v>
      </c>
      <c r="AA899" s="4"/>
      <c r="AB899" s="4"/>
      <c r="AC899" s="4"/>
      <c r="AD899" s="4"/>
      <c r="AE899" s="4"/>
      <c r="AF899" s="4"/>
      <c r="AG899" s="4"/>
      <c r="AH899" s="4"/>
      <c r="AI899" s="4"/>
      <c r="AJ899" s="76" t="str">
        <f>IF(E899="○",IF(COUNTA(E$13:E899)=1,"",",")&amp;D899,"")</f>
        <v/>
      </c>
      <c r="AK899" s="4"/>
      <c r="AL899" s="4"/>
      <c r="AM899" s="4"/>
      <c r="AN899" s="4"/>
      <c r="AO899" s="4"/>
      <c r="AP899" s="4"/>
      <c r="AQ899" s="4"/>
      <c r="AR899" s="4"/>
      <c r="AS899" s="76" t="str">
        <f>"COMMENT ON COLUMN "&amp;エンティティ一覧!$O$2&amp;"."&amp;D$8&amp;"."&amp;D899&amp;" IS '"&amp;C899&amp;"';"</f>
        <v>COMMENT ON COLUMN milscm_2023_009.sny_202310_annony_non_annony2.shikkan881_start_date IS 'N250_疾患開始日';</v>
      </c>
    </row>
    <row r="900" spans="1:45" s="25" customFormat="1">
      <c r="A900" s="4" t="s">
        <v>5943</v>
      </c>
      <c r="B900" s="21">
        <f t="shared" si="105"/>
        <v>888</v>
      </c>
      <c r="C900" s="13" t="str">
        <f t="shared" si="104"/>
        <v>P290_疾患開始日</v>
      </c>
      <c r="D900" s="13" t="s">
        <v>6542</v>
      </c>
      <c r="E900" s="8"/>
      <c r="F900" s="7" t="s">
        <v>4348</v>
      </c>
      <c r="G900" s="7" t="s">
        <v>25</v>
      </c>
      <c r="H900" s="58"/>
      <c r="I900" s="23"/>
      <c r="J900" s="24"/>
      <c r="M900" s="4"/>
      <c r="N900" s="76"/>
      <c r="O900" s="76"/>
      <c r="P900" s="76" t="str">
        <f t="shared" si="97"/>
        <v>,shikkan882_start_date</v>
      </c>
      <c r="Q900" s="76" t="str">
        <f t="shared" si="98"/>
        <v>DATE</v>
      </c>
      <c r="R900" s="76" t="str">
        <f t="shared" si="99"/>
        <v/>
      </c>
      <c r="S900" s="76" t="str">
        <f t="shared" si="100"/>
        <v/>
      </c>
      <c r="T900" s="76" t="str">
        <f t="shared" si="101"/>
        <v>-- P290_疾患開始日</v>
      </c>
      <c r="U900" s="4" t="str">
        <f t="shared" si="102"/>
        <v>, CASE WHEN shikkan_disp_name = 'P290' THEN min_shikkan_start_date ::DATE ELSE NULL END AS shikkan882_start_date</v>
      </c>
      <c r="V900" s="25" t="str">
        <f t="shared" si="103"/>
        <v>, max(shikkan882_start_date)</v>
      </c>
      <c r="AA900" s="4"/>
      <c r="AB900" s="4"/>
      <c r="AC900" s="4"/>
      <c r="AD900" s="4"/>
      <c r="AE900" s="4"/>
      <c r="AF900" s="4"/>
      <c r="AG900" s="4"/>
      <c r="AH900" s="4"/>
      <c r="AI900" s="4"/>
      <c r="AJ900" s="76" t="str">
        <f>IF(E900="○",IF(COUNTA(E$13:E900)=1,"",",")&amp;D900,"")</f>
        <v/>
      </c>
      <c r="AK900" s="4"/>
      <c r="AL900" s="4"/>
      <c r="AM900" s="4"/>
      <c r="AN900" s="4"/>
      <c r="AO900" s="4"/>
      <c r="AP900" s="4"/>
      <c r="AQ900" s="4"/>
      <c r="AR900" s="4"/>
      <c r="AS900" s="76" t="str">
        <f>"COMMENT ON COLUMN "&amp;エンティティ一覧!$O$2&amp;"."&amp;D$8&amp;"."&amp;D900&amp;" IS '"&amp;C900&amp;"';"</f>
        <v>COMMENT ON COLUMN milscm_2023_009.sny_202310_annony_non_annony2.shikkan882_start_date IS 'P290_疾患開始日';</v>
      </c>
    </row>
    <row r="901" spans="1:45" s="25" customFormat="1">
      <c r="A901" s="4" t="s">
        <v>5944</v>
      </c>
      <c r="B901" s="21">
        <f t="shared" si="105"/>
        <v>889</v>
      </c>
      <c r="C901" s="13" t="str">
        <f t="shared" si="104"/>
        <v>Z490_疾患開始日</v>
      </c>
      <c r="D901" s="13" t="s">
        <v>6543</v>
      </c>
      <c r="E901" s="8"/>
      <c r="F901" s="7" t="s">
        <v>4348</v>
      </c>
      <c r="G901" s="7" t="s">
        <v>25</v>
      </c>
      <c r="H901" s="58"/>
      <c r="I901" s="23"/>
      <c r="J901" s="24"/>
      <c r="M901" s="4"/>
      <c r="N901" s="76"/>
      <c r="O901" s="76"/>
      <c r="P901" s="76" t="str">
        <f t="shared" si="97"/>
        <v>,shikkan883_start_date</v>
      </c>
      <c r="Q901" s="76" t="str">
        <f t="shared" si="98"/>
        <v>DATE</v>
      </c>
      <c r="R901" s="76" t="str">
        <f t="shared" si="99"/>
        <v/>
      </c>
      <c r="S901" s="76" t="str">
        <f t="shared" si="100"/>
        <v/>
      </c>
      <c r="T901" s="76" t="str">
        <f t="shared" si="101"/>
        <v>-- Z490_疾患開始日</v>
      </c>
      <c r="U901" s="4" t="str">
        <f t="shared" si="102"/>
        <v>, CASE WHEN shikkan_disp_name = 'Z490' THEN min_shikkan_start_date ::DATE ELSE NULL END AS shikkan883_start_date</v>
      </c>
      <c r="V901" s="25" t="str">
        <f t="shared" si="103"/>
        <v>, max(shikkan883_start_date)</v>
      </c>
      <c r="AA901" s="4"/>
      <c r="AB901" s="4"/>
      <c r="AC901" s="4"/>
      <c r="AD901" s="4"/>
      <c r="AE901" s="4"/>
      <c r="AF901" s="4"/>
      <c r="AG901" s="4"/>
      <c r="AH901" s="4"/>
      <c r="AI901" s="4"/>
      <c r="AJ901" s="76" t="str">
        <f>IF(E901="○",IF(COUNTA(E$13:E901)=1,"",",")&amp;D901,"")</f>
        <v/>
      </c>
      <c r="AK901" s="4"/>
      <c r="AL901" s="4"/>
      <c r="AM901" s="4"/>
      <c r="AN901" s="4"/>
      <c r="AO901" s="4"/>
      <c r="AP901" s="4"/>
      <c r="AQ901" s="4"/>
      <c r="AR901" s="4"/>
      <c r="AS901" s="76" t="str">
        <f>"COMMENT ON COLUMN "&amp;エンティティ一覧!$O$2&amp;"."&amp;D$8&amp;"."&amp;D901&amp;" IS '"&amp;C901&amp;"';"</f>
        <v>COMMENT ON COLUMN milscm_2023_009.sny_202310_annony_non_annony2.shikkan883_start_date IS 'Z490_疾患開始日';</v>
      </c>
    </row>
    <row r="902" spans="1:45" s="25" customFormat="1">
      <c r="A902" s="4" t="s">
        <v>5945</v>
      </c>
      <c r="B902" s="21">
        <f t="shared" si="105"/>
        <v>890</v>
      </c>
      <c r="C902" s="13" t="str">
        <f t="shared" si="104"/>
        <v>Z491_疾患開始日</v>
      </c>
      <c r="D902" s="13" t="s">
        <v>6544</v>
      </c>
      <c r="E902" s="8"/>
      <c r="F902" s="7" t="s">
        <v>4348</v>
      </c>
      <c r="G902" s="7" t="s">
        <v>25</v>
      </c>
      <c r="H902" s="58"/>
      <c r="I902" s="23"/>
      <c r="J902" s="24"/>
      <c r="M902" s="4"/>
      <c r="N902" s="76"/>
      <c r="O902" s="76"/>
      <c r="P902" s="76" t="str">
        <f t="shared" si="97"/>
        <v>,shikkan884_start_date</v>
      </c>
      <c r="Q902" s="76" t="str">
        <f t="shared" si="98"/>
        <v>DATE</v>
      </c>
      <c r="R902" s="76" t="str">
        <f t="shared" si="99"/>
        <v/>
      </c>
      <c r="S902" s="76" t="str">
        <f t="shared" si="100"/>
        <v/>
      </c>
      <c r="T902" s="76" t="str">
        <f t="shared" si="101"/>
        <v>-- Z491_疾患開始日</v>
      </c>
      <c r="U902" s="4" t="str">
        <f t="shared" si="102"/>
        <v>, CASE WHEN shikkan_disp_name = 'Z491' THEN min_shikkan_start_date ::DATE ELSE NULL END AS shikkan884_start_date</v>
      </c>
      <c r="V902" s="25" t="str">
        <f t="shared" si="103"/>
        <v>, max(shikkan884_start_date)</v>
      </c>
      <c r="AA902" s="4"/>
      <c r="AB902" s="4"/>
      <c r="AC902" s="4"/>
      <c r="AD902" s="4"/>
      <c r="AE902" s="4"/>
      <c r="AF902" s="4"/>
      <c r="AG902" s="4"/>
      <c r="AH902" s="4"/>
      <c r="AI902" s="4"/>
      <c r="AJ902" s="76" t="str">
        <f>IF(E902="○",IF(COUNTA(E$13:E902)=1,"",",")&amp;D902,"")</f>
        <v/>
      </c>
      <c r="AK902" s="4"/>
      <c r="AL902" s="4"/>
      <c r="AM902" s="4"/>
      <c r="AN902" s="4"/>
      <c r="AO902" s="4"/>
      <c r="AP902" s="4"/>
      <c r="AQ902" s="4"/>
      <c r="AR902" s="4"/>
      <c r="AS902" s="76" t="str">
        <f>"COMMENT ON COLUMN "&amp;エンティティ一覧!$O$2&amp;"."&amp;D$8&amp;"."&amp;D902&amp;" IS '"&amp;C902&amp;"';"</f>
        <v>COMMENT ON COLUMN milscm_2023_009.sny_202310_annony_non_annony2.shikkan884_start_date IS 'Z491_疾患開始日';</v>
      </c>
    </row>
    <row r="903" spans="1:45" s="25" customFormat="1">
      <c r="A903" s="4" t="s">
        <v>5946</v>
      </c>
      <c r="B903" s="21">
        <f t="shared" si="105"/>
        <v>891</v>
      </c>
      <c r="C903" s="13" t="str">
        <f t="shared" si="104"/>
        <v>Z492_疾患開始日</v>
      </c>
      <c r="D903" s="13" t="s">
        <v>6545</v>
      </c>
      <c r="E903" s="8"/>
      <c r="F903" s="7" t="s">
        <v>4348</v>
      </c>
      <c r="G903" s="7" t="s">
        <v>25</v>
      </c>
      <c r="H903" s="58"/>
      <c r="I903" s="23"/>
      <c r="J903" s="24"/>
      <c r="M903" s="4"/>
      <c r="N903" s="76"/>
      <c r="O903" s="76"/>
      <c r="P903" s="76" t="str">
        <f t="shared" si="97"/>
        <v>,shikkan885_start_date</v>
      </c>
      <c r="Q903" s="76" t="str">
        <f t="shared" si="98"/>
        <v>DATE</v>
      </c>
      <c r="R903" s="76" t="str">
        <f t="shared" si="99"/>
        <v/>
      </c>
      <c r="S903" s="76" t="str">
        <f t="shared" si="100"/>
        <v/>
      </c>
      <c r="T903" s="76" t="str">
        <f t="shared" si="101"/>
        <v>-- Z492_疾患開始日</v>
      </c>
      <c r="U903" s="4" t="str">
        <f t="shared" si="102"/>
        <v>, CASE WHEN shikkan_disp_name = 'Z492' THEN min_shikkan_start_date ::DATE ELSE NULL END AS shikkan885_start_date</v>
      </c>
      <c r="V903" s="25" t="str">
        <f t="shared" si="103"/>
        <v>, max(shikkan885_start_date)</v>
      </c>
      <c r="AA903" s="4"/>
      <c r="AB903" s="4"/>
      <c r="AC903" s="4"/>
      <c r="AD903" s="4"/>
      <c r="AE903" s="4"/>
      <c r="AF903" s="4"/>
      <c r="AG903" s="4"/>
      <c r="AH903" s="4"/>
      <c r="AI903" s="4"/>
      <c r="AJ903" s="76" t="str">
        <f>IF(E903="○",IF(COUNTA(E$13:E903)=1,"",",")&amp;D903,"")</f>
        <v/>
      </c>
      <c r="AK903" s="4"/>
      <c r="AL903" s="4"/>
      <c r="AM903" s="4"/>
      <c r="AN903" s="4"/>
      <c r="AO903" s="4"/>
      <c r="AP903" s="4"/>
      <c r="AQ903" s="4"/>
      <c r="AR903" s="4"/>
      <c r="AS903" s="76" t="str">
        <f>"COMMENT ON COLUMN "&amp;エンティティ一覧!$O$2&amp;"."&amp;D$8&amp;"."&amp;D903&amp;" IS '"&amp;C903&amp;"';"</f>
        <v>COMMENT ON COLUMN milscm_2023_009.sny_202310_annony_non_annony2.shikkan885_start_date IS 'Z492_疾患開始日';</v>
      </c>
    </row>
    <row r="904" spans="1:45" s="25" customFormat="1">
      <c r="A904" s="4" t="s">
        <v>5139</v>
      </c>
      <c r="B904" s="21">
        <f t="shared" si="105"/>
        <v>892</v>
      </c>
      <c r="C904" s="13" t="str">
        <f t="shared" si="104"/>
        <v>Z940_疾患開始日</v>
      </c>
      <c r="D904" s="13" t="s">
        <v>6546</v>
      </c>
      <c r="E904" s="8"/>
      <c r="F904" s="7" t="s">
        <v>4348</v>
      </c>
      <c r="G904" s="7" t="s">
        <v>25</v>
      </c>
      <c r="H904" s="58"/>
      <c r="I904" s="23"/>
      <c r="J904" s="24"/>
      <c r="M904" s="4"/>
      <c r="N904" s="76"/>
      <c r="O904" s="76"/>
      <c r="P904" s="76" t="str">
        <f t="shared" si="97"/>
        <v>,shikkan886_start_date</v>
      </c>
      <c r="Q904" s="76" t="str">
        <f t="shared" si="98"/>
        <v>DATE</v>
      </c>
      <c r="R904" s="76" t="str">
        <f t="shared" si="99"/>
        <v/>
      </c>
      <c r="S904" s="76" t="str">
        <f t="shared" si="100"/>
        <v/>
      </c>
      <c r="T904" s="76" t="str">
        <f t="shared" si="101"/>
        <v>-- Z940_疾患開始日</v>
      </c>
      <c r="U904" s="4" t="str">
        <f t="shared" si="102"/>
        <v>, CASE WHEN shikkan_disp_name = 'Z940' THEN min_shikkan_start_date ::DATE ELSE NULL END AS shikkan886_start_date</v>
      </c>
      <c r="V904" s="25" t="str">
        <f t="shared" si="103"/>
        <v>, max(shikkan886_start_date)</v>
      </c>
      <c r="AA904" s="4"/>
      <c r="AB904" s="4"/>
      <c r="AC904" s="4"/>
      <c r="AD904" s="4"/>
      <c r="AE904" s="4"/>
      <c r="AF904" s="4"/>
      <c r="AG904" s="4"/>
      <c r="AH904" s="4"/>
      <c r="AI904" s="4"/>
      <c r="AJ904" s="76" t="str">
        <f>IF(E904="○",IF(COUNTA(E$13:E904)=1,"",",")&amp;D904,"")</f>
        <v/>
      </c>
      <c r="AK904" s="4"/>
      <c r="AL904" s="4"/>
      <c r="AM904" s="4"/>
      <c r="AN904" s="4"/>
      <c r="AO904" s="4"/>
      <c r="AP904" s="4"/>
      <c r="AQ904" s="4"/>
      <c r="AR904" s="4"/>
      <c r="AS904" s="76" t="str">
        <f>"COMMENT ON COLUMN "&amp;エンティティ一覧!$O$2&amp;"."&amp;D$8&amp;"."&amp;D904&amp;" IS '"&amp;C904&amp;"';"</f>
        <v>COMMENT ON COLUMN milscm_2023_009.sny_202310_annony_non_annony2.shikkan886_start_date IS 'Z940_疾患開始日';</v>
      </c>
    </row>
    <row r="905" spans="1:45" s="25" customFormat="1">
      <c r="A905" s="4" t="s">
        <v>5087</v>
      </c>
      <c r="B905" s="21">
        <f t="shared" si="105"/>
        <v>893</v>
      </c>
      <c r="C905" s="13" t="str">
        <f t="shared" si="104"/>
        <v>Z944_疾患開始日</v>
      </c>
      <c r="D905" s="13" t="s">
        <v>6547</v>
      </c>
      <c r="E905" s="8"/>
      <c r="F905" s="7" t="s">
        <v>4348</v>
      </c>
      <c r="G905" s="7" t="s">
        <v>25</v>
      </c>
      <c r="H905" s="58"/>
      <c r="I905" s="23"/>
      <c r="J905" s="24"/>
      <c r="M905" s="4"/>
      <c r="N905" s="76"/>
      <c r="O905" s="76"/>
      <c r="P905" s="76" t="str">
        <f t="shared" si="97"/>
        <v>,shikkan887_start_date</v>
      </c>
      <c r="Q905" s="76" t="str">
        <f t="shared" si="98"/>
        <v>DATE</v>
      </c>
      <c r="R905" s="76" t="str">
        <f t="shared" si="99"/>
        <v/>
      </c>
      <c r="S905" s="76" t="str">
        <f t="shared" si="100"/>
        <v/>
      </c>
      <c r="T905" s="76" t="str">
        <f t="shared" si="101"/>
        <v>-- Z944_疾患開始日</v>
      </c>
      <c r="U905" s="4" t="str">
        <f t="shared" si="102"/>
        <v>, CASE WHEN shikkan_disp_name = 'Z944' THEN min_shikkan_start_date ::DATE ELSE NULL END AS shikkan887_start_date</v>
      </c>
      <c r="V905" s="25" t="str">
        <f t="shared" si="103"/>
        <v>, max(shikkan887_start_date)</v>
      </c>
      <c r="AA905" s="4"/>
      <c r="AB905" s="4"/>
      <c r="AC905" s="4"/>
      <c r="AD905" s="4"/>
      <c r="AE905" s="4"/>
      <c r="AF905" s="4"/>
      <c r="AG905" s="4"/>
      <c r="AH905" s="4"/>
      <c r="AI905" s="4"/>
      <c r="AJ905" s="76" t="str">
        <f>IF(E905="○",IF(COUNTA(E$13:E905)=1,"",",")&amp;D905,"")</f>
        <v/>
      </c>
      <c r="AK905" s="4"/>
      <c r="AL905" s="4"/>
      <c r="AM905" s="4"/>
      <c r="AN905" s="4"/>
      <c r="AO905" s="4"/>
      <c r="AP905" s="4"/>
      <c r="AQ905" s="4"/>
      <c r="AR905" s="4"/>
      <c r="AS905" s="76" t="str">
        <f>"COMMENT ON COLUMN "&amp;エンティティ一覧!$O$2&amp;"."&amp;D$8&amp;"."&amp;D905&amp;" IS '"&amp;C905&amp;"';"</f>
        <v>COMMENT ON COLUMN milscm_2023_009.sny_202310_annony_non_annony2.shikkan887_start_date IS 'Z944_疾患開始日';</v>
      </c>
    </row>
    <row r="906" spans="1:45" s="25" customFormat="1">
      <c r="A906" s="4" t="s">
        <v>5947</v>
      </c>
      <c r="B906" s="21">
        <f t="shared" si="105"/>
        <v>894</v>
      </c>
      <c r="C906" s="13" t="str">
        <f t="shared" si="104"/>
        <v>Z958_疾患開始日</v>
      </c>
      <c r="D906" s="13" t="s">
        <v>6548</v>
      </c>
      <c r="E906" s="8"/>
      <c r="F906" s="7" t="s">
        <v>4348</v>
      </c>
      <c r="G906" s="7" t="s">
        <v>25</v>
      </c>
      <c r="H906" s="58"/>
      <c r="I906" s="23"/>
      <c r="J906" s="24"/>
      <c r="M906" s="4"/>
      <c r="N906" s="76"/>
      <c r="O906" s="76"/>
      <c r="P906" s="76" t="str">
        <f t="shared" si="97"/>
        <v>,shikkan888_start_date</v>
      </c>
      <c r="Q906" s="76" t="str">
        <f t="shared" si="98"/>
        <v>DATE</v>
      </c>
      <c r="R906" s="76" t="str">
        <f t="shared" si="99"/>
        <v/>
      </c>
      <c r="S906" s="76" t="str">
        <f t="shared" si="100"/>
        <v/>
      </c>
      <c r="T906" s="76" t="str">
        <f t="shared" si="101"/>
        <v>-- Z958_疾患開始日</v>
      </c>
      <c r="U906" s="4" t="str">
        <f t="shared" si="102"/>
        <v>, CASE WHEN shikkan_disp_name = 'Z958' THEN min_shikkan_start_date ::DATE ELSE NULL END AS shikkan888_start_date</v>
      </c>
      <c r="V906" s="25" t="str">
        <f t="shared" si="103"/>
        <v>, max(shikkan888_start_date)</v>
      </c>
      <c r="AA906" s="4"/>
      <c r="AB906" s="4"/>
      <c r="AC906" s="4"/>
      <c r="AD906" s="4"/>
      <c r="AE906" s="4"/>
      <c r="AF906" s="4"/>
      <c r="AG906" s="4"/>
      <c r="AH906" s="4"/>
      <c r="AI906" s="4"/>
      <c r="AJ906" s="76" t="str">
        <f>IF(E906="○",IF(COUNTA(E$13:E906)=1,"",",")&amp;D906,"")</f>
        <v/>
      </c>
      <c r="AK906" s="4"/>
      <c r="AL906" s="4"/>
      <c r="AM906" s="4"/>
      <c r="AN906" s="4"/>
      <c r="AO906" s="4"/>
      <c r="AP906" s="4"/>
      <c r="AQ906" s="4"/>
      <c r="AR906" s="4"/>
      <c r="AS906" s="76" t="str">
        <f>"COMMENT ON COLUMN "&amp;エンティティ一覧!$O$2&amp;"."&amp;D$8&amp;"."&amp;D906&amp;" IS '"&amp;C906&amp;"';"</f>
        <v>COMMENT ON COLUMN milscm_2023_009.sny_202310_annony_non_annony2.shikkan888_start_date IS 'Z958_疾患開始日';</v>
      </c>
    </row>
    <row r="907" spans="1:45" s="25" customFormat="1">
      <c r="A907" s="4" t="s">
        <v>5948</v>
      </c>
      <c r="B907" s="21">
        <f t="shared" si="105"/>
        <v>895</v>
      </c>
      <c r="C907" s="13" t="str">
        <f t="shared" si="104"/>
        <v>Z959_疾患開始日</v>
      </c>
      <c r="D907" s="13" t="s">
        <v>6549</v>
      </c>
      <c r="E907" s="8"/>
      <c r="F907" s="7" t="s">
        <v>4348</v>
      </c>
      <c r="G907" s="7" t="s">
        <v>25</v>
      </c>
      <c r="H907" s="58"/>
      <c r="I907" s="23"/>
      <c r="J907" s="24"/>
      <c r="M907" s="4"/>
      <c r="N907" s="76"/>
      <c r="O907" s="76"/>
      <c r="P907" s="76" t="str">
        <f t="shared" si="97"/>
        <v>,shikkan889_start_date</v>
      </c>
      <c r="Q907" s="76" t="str">
        <f t="shared" si="98"/>
        <v>DATE</v>
      </c>
      <c r="R907" s="76" t="str">
        <f t="shared" si="99"/>
        <v/>
      </c>
      <c r="S907" s="76" t="str">
        <f t="shared" si="100"/>
        <v/>
      </c>
      <c r="T907" s="76" t="str">
        <f t="shared" si="101"/>
        <v>-- Z959_疾患開始日</v>
      </c>
      <c r="U907" s="4" t="str">
        <f t="shared" si="102"/>
        <v>, CASE WHEN shikkan_disp_name = 'Z959' THEN min_shikkan_start_date ::DATE ELSE NULL END AS shikkan889_start_date</v>
      </c>
      <c r="V907" s="25" t="str">
        <f t="shared" si="103"/>
        <v>, max(shikkan889_start_date)</v>
      </c>
      <c r="AA907" s="4"/>
      <c r="AB907" s="4"/>
      <c r="AC907" s="4"/>
      <c r="AD907" s="4"/>
      <c r="AE907" s="4"/>
      <c r="AF907" s="4"/>
      <c r="AG907" s="4"/>
      <c r="AH907" s="4"/>
      <c r="AI907" s="4"/>
      <c r="AJ907" s="76" t="str">
        <f>IF(E907="○",IF(COUNTA(E$13:E907)=1,"",",")&amp;D907,"")</f>
        <v/>
      </c>
      <c r="AK907" s="4"/>
      <c r="AL907" s="4"/>
      <c r="AM907" s="4"/>
      <c r="AN907" s="4"/>
      <c r="AO907" s="4"/>
      <c r="AP907" s="4"/>
      <c r="AQ907" s="4"/>
      <c r="AR907" s="4"/>
      <c r="AS907" s="76" t="str">
        <f>"COMMENT ON COLUMN "&amp;エンティティ一覧!$O$2&amp;"."&amp;D$8&amp;"."&amp;D907&amp;" IS '"&amp;C907&amp;"';"</f>
        <v>COMMENT ON COLUMN milscm_2023_009.sny_202310_annony_non_annony2.shikkan889_start_date IS 'Z959_疾患開始日';</v>
      </c>
    </row>
    <row r="908" spans="1:45" s="25" customFormat="1">
      <c r="A908" s="4" t="s">
        <v>5949</v>
      </c>
      <c r="B908" s="21">
        <f>ROW()-12</f>
        <v>896</v>
      </c>
      <c r="C908" s="13" t="str">
        <f t="shared" si="104"/>
        <v>Z992_疾患開始日</v>
      </c>
      <c r="D908" s="13" t="s">
        <v>6550</v>
      </c>
      <c r="E908" s="8"/>
      <c r="F908" s="7" t="s">
        <v>4348</v>
      </c>
      <c r="G908" s="7" t="s">
        <v>25</v>
      </c>
      <c r="H908" s="58"/>
      <c r="I908" s="23"/>
      <c r="J908" s="24"/>
      <c r="N908" s="76"/>
      <c r="O908" s="76"/>
      <c r="P908" s="76" t="str">
        <f t="shared" si="97"/>
        <v>,shikkan890_start_date</v>
      </c>
      <c r="Q908" s="76" t="str">
        <f t="shared" si="98"/>
        <v>DATE</v>
      </c>
      <c r="R908" s="76" t="str">
        <f t="shared" si="99"/>
        <v/>
      </c>
      <c r="S908" s="76" t="str">
        <f t="shared" si="100"/>
        <v/>
      </c>
      <c r="T908" s="76" t="str">
        <f t="shared" si="101"/>
        <v>-- Z992_疾患開始日</v>
      </c>
      <c r="U908" s="4" t="str">
        <f t="shared" si="102"/>
        <v>, CASE WHEN shikkan_disp_name = 'Z992' THEN min_shikkan_start_date ::DATE ELSE NULL END AS shikkan890_start_date</v>
      </c>
      <c r="V908" s="25" t="str">
        <f t="shared" si="103"/>
        <v>, max(shikkan890_start_date)</v>
      </c>
      <c r="AA908" s="4"/>
      <c r="AB908" s="4"/>
      <c r="AC908" s="4"/>
      <c r="AD908" s="4"/>
      <c r="AE908" s="4"/>
      <c r="AF908" s="4"/>
      <c r="AG908" s="4"/>
      <c r="AH908" s="4"/>
      <c r="AI908" s="4"/>
      <c r="AJ908" s="76" t="str">
        <f>IF(E908="○",IF(COUNTA(E$13:E908)=1,"",",")&amp;D908,"")</f>
        <v/>
      </c>
      <c r="AK908" s="4"/>
      <c r="AL908" s="4"/>
      <c r="AM908" s="4"/>
      <c r="AN908" s="4"/>
      <c r="AO908" s="4"/>
      <c r="AP908" s="4"/>
      <c r="AQ908" s="4"/>
      <c r="AR908" s="4"/>
      <c r="AS908" s="76" t="str">
        <f>"COMMENT ON COLUMN "&amp;エンティティ一覧!$O$2&amp;"."&amp;D$8&amp;"."&amp;D908&amp;" IS '"&amp;C908&amp;"';"</f>
        <v>COMMENT ON COLUMN milscm_2023_009.sny_202310_annony_non_annony2.shikkan890_start_date IS 'Z992_疾患開始日';</v>
      </c>
    </row>
    <row r="909" spans="1:45" s="25" customFormat="1">
      <c r="A909" s="4"/>
      <c r="B909" s="21">
        <f t="shared" ref="B909:B910" si="106">ROW()-12</f>
        <v>897</v>
      </c>
      <c r="C909" s="13" t="s">
        <v>4608</v>
      </c>
      <c r="D909" s="13" t="s">
        <v>4432</v>
      </c>
      <c r="E909" s="8"/>
      <c r="F909" s="7" t="s">
        <v>7340</v>
      </c>
      <c r="G909" s="7" t="str">
        <f t="shared" ref="G909" si="107">IF(F909="フラグ","boolean",IF(F909="文字列","text",IF(F909="整数","integer",IF(F909="実数","numeric",""))))</f>
        <v>text</v>
      </c>
      <c r="H909" s="58"/>
      <c r="I909" s="23" t="s">
        <v>127</v>
      </c>
      <c r="J909" s="24" t="s">
        <v>4637</v>
      </c>
      <c r="M909" s="4"/>
      <c r="N909" s="76"/>
      <c r="O909" s="76"/>
      <c r="P909" s="76" t="str">
        <f t="shared" ref="P909:P920" si="108">IF(B909&lt;&gt;1,","&amp;D909,D909)</f>
        <v>,nyu_gai_kubun</v>
      </c>
      <c r="Q909" s="76" t="str">
        <f t="shared" ref="Q909:Q920" si="109">UPPER(G909)</f>
        <v>TEXT</v>
      </c>
      <c r="R909" s="76" t="str">
        <f t="shared" ref="R909:R920" si="110">IF(H909&lt;&gt;"","default "&amp;IF(G909="text","'"&amp;H909&amp;"'",H909),"")</f>
        <v/>
      </c>
      <c r="S909" s="76" t="str">
        <f t="shared" ref="S909:S920" si="111">IF(I909="○","NOT NULL","")</f>
        <v>NOT NULL</v>
      </c>
      <c r="T909" s="76" t="str">
        <f t="shared" ref="T909:T920" si="112">"-- "&amp;C909</f>
        <v>-- 入外区分</v>
      </c>
      <c r="U909" s="4"/>
      <c r="AA909" s="4"/>
      <c r="AB909" s="4"/>
      <c r="AC909" s="4"/>
      <c r="AD909" s="4"/>
      <c r="AE909" s="4"/>
      <c r="AF909" s="4"/>
      <c r="AG909" s="4"/>
      <c r="AH909" s="4"/>
      <c r="AI909" s="4"/>
      <c r="AJ909" s="76" t="str">
        <f>IF(E909="○",IF(COUNTA(E$13:E909)=1,"",",")&amp;D909,"")</f>
        <v/>
      </c>
      <c r="AK909" s="4"/>
      <c r="AL909" s="4"/>
      <c r="AM909" s="4"/>
      <c r="AN909" s="4"/>
      <c r="AO909" s="4"/>
      <c r="AP909" s="4"/>
      <c r="AQ909" s="4"/>
      <c r="AR909" s="4"/>
      <c r="AS909" s="76" t="str">
        <f>"COMMENT ON COLUMN "&amp;エンティティ一覧!$O$2&amp;"."&amp;D$8&amp;"."&amp;D909&amp;" IS '"&amp;C909&amp;"';"</f>
        <v>COMMENT ON COLUMN milscm_2023_009.sny_202310_annony_non_annony2.nyu_gai_kubun IS '入外区分';</v>
      </c>
    </row>
    <row r="910" spans="1:45" s="25" customFormat="1">
      <c r="A910" s="4"/>
      <c r="B910" s="21">
        <f t="shared" si="106"/>
        <v>898</v>
      </c>
      <c r="C910" s="13" t="s">
        <v>4610</v>
      </c>
      <c r="D910" s="13" t="s">
        <v>4433</v>
      </c>
      <c r="E910" s="7"/>
      <c r="F910" s="7" t="s">
        <v>4216</v>
      </c>
      <c r="G910" s="7" t="s">
        <v>25</v>
      </c>
      <c r="H910" s="58"/>
      <c r="I910" s="23"/>
      <c r="J910" s="24"/>
      <c r="M910" s="4"/>
      <c r="N910" s="76"/>
      <c r="O910" s="76"/>
      <c r="P910" s="76" t="str">
        <f t="shared" si="108"/>
        <v>,raiin_ymd</v>
      </c>
      <c r="Q910" s="76" t="str">
        <f t="shared" si="109"/>
        <v>DATE</v>
      </c>
      <c r="R910" s="76" t="str">
        <f t="shared" si="110"/>
        <v/>
      </c>
      <c r="S910" s="76" t="str">
        <f t="shared" si="111"/>
        <v/>
      </c>
      <c r="T910" s="76" t="str">
        <f t="shared" si="112"/>
        <v>-- 来院年月日</v>
      </c>
      <c r="U910" s="4"/>
      <c r="AA910" s="4"/>
      <c r="AB910" s="4"/>
      <c r="AC910" s="4"/>
      <c r="AD910" s="4"/>
      <c r="AE910" s="4"/>
      <c r="AF910" s="4"/>
      <c r="AG910" s="4"/>
      <c r="AH910" s="4"/>
      <c r="AI910" s="4"/>
      <c r="AJ910" s="76" t="str">
        <f>IF(E910="○",IF(COUNTA(E$13:E910)=1,"",",")&amp;D910,"")</f>
        <v/>
      </c>
      <c r="AK910" s="4"/>
      <c r="AL910" s="4"/>
      <c r="AM910" s="4"/>
      <c r="AN910" s="4"/>
      <c r="AO910" s="4"/>
      <c r="AP910" s="4"/>
      <c r="AQ910" s="4"/>
      <c r="AR910" s="4"/>
      <c r="AS910" s="76" t="str">
        <f>"COMMENT ON COLUMN "&amp;エンティティ一覧!$O$2&amp;"."&amp;D$8&amp;"."&amp;D910&amp;" IS '"&amp;C910&amp;"';"</f>
        <v>COMMENT ON COLUMN milscm_2023_009.sny_202310_annony_non_annony2.raiin_ymd IS '来院年月日';</v>
      </c>
    </row>
    <row r="911" spans="1:45" s="25" customFormat="1">
      <c r="A911" s="4"/>
      <c r="B911" s="21">
        <f>ROW()-12</f>
        <v>899</v>
      </c>
      <c r="C911" s="13" t="s">
        <v>4611</v>
      </c>
      <c r="D911" s="13" t="s">
        <v>212</v>
      </c>
      <c r="E911" s="7"/>
      <c r="F911" s="7" t="s">
        <v>4216</v>
      </c>
      <c r="G911" s="7" t="s">
        <v>25</v>
      </c>
      <c r="H911" s="58"/>
      <c r="I911" s="23"/>
      <c r="J911" s="24"/>
      <c r="N911" s="76"/>
      <c r="O911" s="76"/>
      <c r="P911" s="76" t="str">
        <f t="shared" si="108"/>
        <v>,taiin_ymd</v>
      </c>
      <c r="Q911" s="76" t="str">
        <f t="shared" si="109"/>
        <v>DATE</v>
      </c>
      <c r="R911" s="76" t="str">
        <f t="shared" si="110"/>
        <v/>
      </c>
      <c r="S911" s="76" t="str">
        <f t="shared" si="111"/>
        <v/>
      </c>
      <c r="T911" s="76" t="str">
        <f t="shared" si="112"/>
        <v>-- 退院年月日</v>
      </c>
      <c r="U911" s="4"/>
      <c r="AA911" s="4"/>
      <c r="AB911" s="4"/>
      <c r="AC911" s="4"/>
      <c r="AD911" s="4"/>
      <c r="AE911" s="4"/>
      <c r="AF911" s="4"/>
      <c r="AG911" s="4"/>
      <c r="AH911" s="4"/>
      <c r="AI911" s="4"/>
      <c r="AJ911" s="76" t="str">
        <f>IF(E911="○",IF(COUNTA(E$13:E911)=1,"",",")&amp;D911,"")</f>
        <v/>
      </c>
      <c r="AK911" s="4"/>
      <c r="AL911" s="4"/>
      <c r="AM911" s="4"/>
      <c r="AN911" s="4"/>
      <c r="AO911" s="4"/>
      <c r="AP911" s="4"/>
      <c r="AQ911" s="4"/>
      <c r="AR911" s="4"/>
      <c r="AS911" s="76" t="str">
        <f>"COMMENT ON COLUMN "&amp;エンティティ一覧!$O$2&amp;"."&amp;D$8&amp;"."&amp;D911&amp;" IS '"&amp;C911&amp;"';"</f>
        <v>COMMENT ON COLUMN milscm_2023_009.sny_202310_annony_non_annony2.taiin_ymd IS '退院年月日';</v>
      </c>
    </row>
    <row r="912" spans="1:45" s="25" customFormat="1">
      <c r="A912" s="4"/>
      <c r="B912" s="21">
        <f t="shared" ref="B912:B916" si="113">ROW()-12</f>
        <v>900</v>
      </c>
      <c r="C912" s="13" t="s">
        <v>4612</v>
      </c>
      <c r="D912" s="13" t="s">
        <v>4500</v>
      </c>
      <c r="E912" s="7" t="s">
        <v>127</v>
      </c>
      <c r="F912" s="7" t="s">
        <v>4216</v>
      </c>
      <c r="G912" s="7" t="s">
        <v>99</v>
      </c>
      <c r="H912" s="58"/>
      <c r="I912" s="23" t="s">
        <v>127</v>
      </c>
      <c r="J912" s="24"/>
      <c r="M912" s="4"/>
      <c r="N912" s="76"/>
      <c r="O912" s="76"/>
      <c r="P912" s="76" t="str">
        <f t="shared" si="108"/>
        <v>,event_date</v>
      </c>
      <c r="Q912" s="76" t="str">
        <f t="shared" si="109"/>
        <v>DATE</v>
      </c>
      <c r="R912" s="76" t="str">
        <f t="shared" si="110"/>
        <v/>
      </c>
      <c r="S912" s="76" t="str">
        <f t="shared" si="111"/>
        <v>NOT NULL</v>
      </c>
      <c r="T912" s="76" t="str">
        <f t="shared" si="112"/>
        <v>-- イベント日付</v>
      </c>
      <c r="U912" s="4"/>
      <c r="AA912" s="4"/>
      <c r="AB912" s="4"/>
      <c r="AC912" s="4"/>
      <c r="AD912" s="4"/>
      <c r="AE912" s="4"/>
      <c r="AF912" s="4"/>
      <c r="AG912" s="4"/>
      <c r="AH912" s="4"/>
      <c r="AI912" s="4"/>
      <c r="AJ912" s="76" t="str">
        <f>IF(E912="○",IF(COUNTA(E$13:E912)=1,"",",")&amp;D912,"")</f>
        <v>,event_date</v>
      </c>
      <c r="AK912" s="4"/>
      <c r="AL912" s="4"/>
      <c r="AM912" s="4"/>
      <c r="AN912" s="4"/>
      <c r="AO912" s="4"/>
      <c r="AP912" s="4"/>
      <c r="AQ912" s="4"/>
      <c r="AR912" s="4"/>
      <c r="AS912" s="76" t="str">
        <f>"COMMENT ON COLUMN "&amp;エンティティ一覧!$O$2&amp;"."&amp;D$8&amp;"."&amp;D912&amp;" IS '"&amp;C912&amp;"';"</f>
        <v>COMMENT ON COLUMN milscm_2023_009.sny_202310_annony_non_annony2.event_date IS 'イベント日付';</v>
      </c>
    </row>
    <row r="913" spans="1:45" s="25" customFormat="1">
      <c r="A913" s="4"/>
      <c r="B913" s="21">
        <f t="shared" si="113"/>
        <v>901</v>
      </c>
      <c r="C913" s="13" t="s">
        <v>4301</v>
      </c>
      <c r="D913" s="13" t="s">
        <v>4300</v>
      </c>
      <c r="E913" s="8" t="s">
        <v>127</v>
      </c>
      <c r="F913" s="7" t="s">
        <v>1990</v>
      </c>
      <c r="G913" s="7" t="str">
        <f t="shared" ref="G913:G920" si="114">IF(F913="フラグ","boolean",IF(F913="文字列","text",IF(F913="整数","integer",IF(F913="実数","numeric",""))))</f>
        <v>integer</v>
      </c>
      <c r="H913" s="58"/>
      <c r="I913" s="23" t="s">
        <v>127</v>
      </c>
      <c r="J913" s="24"/>
      <c r="M913" s="4"/>
      <c r="N913" s="76"/>
      <c r="O913" s="76"/>
      <c r="P913" s="76" t="str">
        <f t="shared" si="108"/>
        <v>,row_no</v>
      </c>
      <c r="Q913" s="76" t="str">
        <f t="shared" si="109"/>
        <v>INTEGER</v>
      </c>
      <c r="R913" s="76" t="str">
        <f t="shared" si="110"/>
        <v/>
      </c>
      <c r="S913" s="76" t="str">
        <f t="shared" si="111"/>
        <v>NOT NULL</v>
      </c>
      <c r="T913" s="76" t="str">
        <f t="shared" si="112"/>
        <v>-- 行番号</v>
      </c>
      <c r="U913" s="4"/>
      <c r="AA913" s="4"/>
      <c r="AB913" s="4"/>
      <c r="AC913" s="4"/>
      <c r="AD913" s="4"/>
      <c r="AE913" s="4"/>
      <c r="AF913" s="4"/>
      <c r="AG913" s="4"/>
      <c r="AH913" s="4"/>
      <c r="AI913" s="4"/>
      <c r="AJ913" s="76" t="str">
        <f>IF(E913="○",IF(COUNTA(E$13:E913)=1,"",",")&amp;D913,"")</f>
        <v>,row_no</v>
      </c>
      <c r="AK913" s="4"/>
      <c r="AL913" s="4"/>
      <c r="AM913" s="4"/>
      <c r="AN913" s="4"/>
      <c r="AO913" s="4"/>
      <c r="AP913" s="4"/>
      <c r="AQ913" s="4"/>
      <c r="AR913" s="4"/>
      <c r="AS913" s="76" t="str">
        <f>"COMMENT ON COLUMN "&amp;エンティティ一覧!$O$2&amp;"."&amp;D$8&amp;"."&amp;D913&amp;" IS '"&amp;C913&amp;"';"</f>
        <v>COMMENT ON COLUMN milscm_2023_009.sny_202310_annony_non_annony2.row_no IS '行番号';</v>
      </c>
    </row>
    <row r="914" spans="1:45" s="25" customFormat="1">
      <c r="A914" s="4"/>
      <c r="B914" s="21">
        <f t="shared" si="113"/>
        <v>902</v>
      </c>
      <c r="C914" s="13" t="s">
        <v>4613</v>
      </c>
      <c r="D914" s="13" t="s">
        <v>4509</v>
      </c>
      <c r="E914" s="7"/>
      <c r="F914" s="7" t="s">
        <v>4609</v>
      </c>
      <c r="G914" s="7" t="str">
        <f t="shared" si="114"/>
        <v>text</v>
      </c>
      <c r="H914" s="58"/>
      <c r="I914" s="23"/>
      <c r="J914" s="24" t="s">
        <v>4582</v>
      </c>
      <c r="M914" s="4"/>
      <c r="N914" s="76"/>
      <c r="O914" s="76"/>
      <c r="P914" s="76" t="str">
        <f t="shared" si="108"/>
        <v>,tp53</v>
      </c>
      <c r="Q914" s="76" t="str">
        <f t="shared" si="109"/>
        <v>TEXT</v>
      </c>
      <c r="R914" s="76" t="str">
        <f t="shared" si="110"/>
        <v/>
      </c>
      <c r="S914" s="76" t="str">
        <f t="shared" si="111"/>
        <v/>
      </c>
      <c r="T914" s="76" t="str">
        <f t="shared" si="112"/>
        <v>-- del（１７ｐ）</v>
      </c>
      <c r="U914" s="4"/>
      <c r="AA914" s="4"/>
      <c r="AB914" s="4"/>
      <c r="AC914" s="4"/>
      <c r="AD914" s="4"/>
      <c r="AE914" s="4"/>
      <c r="AF914" s="4"/>
      <c r="AG914" s="4"/>
      <c r="AH914" s="4"/>
      <c r="AI914" s="4"/>
      <c r="AJ914" s="76" t="str">
        <f>IF(E914="○",IF(COUNTA(E$13:E914)=1,"",",")&amp;D914,"")</f>
        <v/>
      </c>
      <c r="AK914" s="4"/>
      <c r="AL914" s="4"/>
      <c r="AM914" s="4"/>
      <c r="AN914" s="4"/>
      <c r="AO914" s="4"/>
      <c r="AP914" s="4"/>
      <c r="AQ914" s="4"/>
      <c r="AR914" s="4"/>
      <c r="AS914" s="76" t="str">
        <f>"COMMENT ON COLUMN "&amp;エンティティ一覧!$O$2&amp;"."&amp;D$8&amp;"."&amp;D914&amp;" IS '"&amp;C914&amp;"';"</f>
        <v>COMMENT ON COLUMN milscm_2023_009.sny_202310_annony_non_annony2.tp53 IS 'del（１７ｐ）';</v>
      </c>
    </row>
    <row r="915" spans="1:45" s="25" customFormat="1">
      <c r="A915" s="4"/>
      <c r="B915" s="21">
        <f t="shared" si="113"/>
        <v>903</v>
      </c>
      <c r="C915" s="13" t="s">
        <v>4614</v>
      </c>
      <c r="D915" s="13" t="s">
        <v>4508</v>
      </c>
      <c r="E915" s="7"/>
      <c r="F915" s="7" t="s">
        <v>4609</v>
      </c>
      <c r="G915" s="7" t="str">
        <f t="shared" si="114"/>
        <v>text</v>
      </c>
      <c r="H915" s="58"/>
      <c r="I915" s="23"/>
      <c r="J915" s="24" t="s">
        <v>4582</v>
      </c>
      <c r="M915" s="4"/>
      <c r="N915" s="76"/>
      <c r="O915" s="76"/>
      <c r="P915" s="76" t="str">
        <f t="shared" si="108"/>
        <v>,igh_fgfr3</v>
      </c>
      <c r="Q915" s="76" t="str">
        <f t="shared" si="109"/>
        <v>TEXT</v>
      </c>
      <c r="R915" s="76" t="str">
        <f t="shared" si="110"/>
        <v/>
      </c>
      <c r="S915" s="76" t="str">
        <f t="shared" si="111"/>
        <v/>
      </c>
      <c r="T915" s="76" t="str">
        <f t="shared" si="112"/>
        <v>-- t（４；１４）</v>
      </c>
      <c r="U915" s="4"/>
      <c r="AA915" s="4"/>
      <c r="AB915" s="4"/>
      <c r="AC915" s="4"/>
      <c r="AD915" s="4"/>
      <c r="AE915" s="4"/>
      <c r="AF915" s="4"/>
      <c r="AG915" s="4"/>
      <c r="AH915" s="4"/>
      <c r="AI915" s="4"/>
      <c r="AJ915" s="76" t="str">
        <f>IF(E915="○",IF(COUNTA(E$13:E915)=1,"",",")&amp;D915,"")</f>
        <v/>
      </c>
      <c r="AK915" s="4"/>
      <c r="AL915" s="4"/>
      <c r="AM915" s="4"/>
      <c r="AN915" s="4"/>
      <c r="AO915" s="4"/>
      <c r="AP915" s="4"/>
      <c r="AQ915" s="4"/>
      <c r="AR915" s="4"/>
      <c r="AS915" s="76" t="str">
        <f>"COMMENT ON COLUMN "&amp;エンティティ一覧!$O$2&amp;"."&amp;D$8&amp;"."&amp;D915&amp;" IS '"&amp;C915&amp;"';"</f>
        <v>COMMENT ON COLUMN milscm_2023_009.sny_202310_annony_non_annony2.igh_fgfr3 IS 't（４；１４）';</v>
      </c>
    </row>
    <row r="916" spans="1:45" s="25" customFormat="1">
      <c r="A916" s="4"/>
      <c r="B916" s="21">
        <f t="shared" si="113"/>
        <v>904</v>
      </c>
      <c r="C916" s="13" t="s">
        <v>4615</v>
      </c>
      <c r="D916" s="13" t="s">
        <v>4581</v>
      </c>
      <c r="E916" s="7"/>
      <c r="F916" s="7" t="s">
        <v>4609</v>
      </c>
      <c r="G916" s="7" t="str">
        <f t="shared" si="114"/>
        <v>text</v>
      </c>
      <c r="H916" s="58"/>
      <c r="I916" s="23"/>
      <c r="J916" s="24" t="s">
        <v>4582</v>
      </c>
      <c r="M916" s="4"/>
      <c r="N916" s="76"/>
      <c r="O916" s="76"/>
      <c r="P916" s="76" t="str">
        <f t="shared" si="108"/>
        <v>,igh_maf</v>
      </c>
      <c r="Q916" s="76" t="str">
        <f t="shared" si="109"/>
        <v>TEXT</v>
      </c>
      <c r="R916" s="76" t="str">
        <f t="shared" si="110"/>
        <v/>
      </c>
      <c r="S916" s="76" t="str">
        <f t="shared" si="111"/>
        <v/>
      </c>
      <c r="T916" s="76" t="str">
        <f t="shared" si="112"/>
        <v>-- t（１４；１６）</v>
      </c>
      <c r="U916" s="4"/>
      <c r="AA916" s="4"/>
      <c r="AB916" s="4"/>
      <c r="AC916" s="4"/>
      <c r="AD916" s="4"/>
      <c r="AE916" s="4"/>
      <c r="AF916" s="4"/>
      <c r="AG916" s="4"/>
      <c r="AH916" s="4"/>
      <c r="AI916" s="4"/>
      <c r="AJ916" s="76" t="str">
        <f>IF(E916="○",IF(COUNTA(E$13:E916)=1,"",",")&amp;D916,"")</f>
        <v/>
      </c>
      <c r="AK916" s="4"/>
      <c r="AL916" s="4"/>
      <c r="AM916" s="4"/>
      <c r="AN916" s="4"/>
      <c r="AO916" s="4"/>
      <c r="AP916" s="4"/>
      <c r="AQ916" s="4"/>
      <c r="AR916" s="4"/>
      <c r="AS916" s="76" t="str">
        <f>"COMMENT ON COLUMN "&amp;エンティティ一覧!$O$2&amp;"."&amp;D$8&amp;"."&amp;D916&amp;" IS '"&amp;C916&amp;"';"</f>
        <v>COMMENT ON COLUMN milscm_2023_009.sny_202310_annony_non_annony2.igh_maf IS 't（１４；１６）';</v>
      </c>
    </row>
    <row r="917" spans="1:45" s="25" customFormat="1">
      <c r="A917" s="4"/>
      <c r="B917" s="21">
        <f>ROW()-12</f>
        <v>905</v>
      </c>
      <c r="C917" s="13" t="s">
        <v>4616</v>
      </c>
      <c r="D917" s="13" t="s">
        <v>4579</v>
      </c>
      <c r="E917" s="7"/>
      <c r="F917" s="7" t="s">
        <v>4609</v>
      </c>
      <c r="G917" s="7" t="str">
        <f t="shared" si="114"/>
        <v>text</v>
      </c>
      <c r="H917" s="58"/>
      <c r="I917" s="23"/>
      <c r="J917" s="24" t="s">
        <v>4582</v>
      </c>
      <c r="N917" s="76"/>
      <c r="O917" s="76"/>
      <c r="P917" s="76" t="str">
        <f t="shared" si="108"/>
        <v>,gain_1q21</v>
      </c>
      <c r="Q917" s="76" t="str">
        <f t="shared" si="109"/>
        <v>TEXT</v>
      </c>
      <c r="R917" s="76" t="str">
        <f t="shared" si="110"/>
        <v/>
      </c>
      <c r="S917" s="76" t="str">
        <f t="shared" si="111"/>
        <v/>
      </c>
      <c r="T917" s="76" t="str">
        <f t="shared" si="112"/>
        <v>-- 1q21＋</v>
      </c>
      <c r="U917" s="4"/>
      <c r="AA917" s="4"/>
      <c r="AB917" s="4"/>
      <c r="AC917" s="4"/>
      <c r="AD917" s="4"/>
      <c r="AE917" s="4"/>
      <c r="AF917" s="4"/>
      <c r="AG917" s="4"/>
      <c r="AH917" s="4"/>
      <c r="AI917" s="4"/>
      <c r="AJ917" s="76" t="str">
        <f>IF(E917="○",IF(COUNTA(E$13:E917)=1,"",",")&amp;D917,"")</f>
        <v/>
      </c>
      <c r="AK917" s="4"/>
      <c r="AL917" s="4"/>
      <c r="AM917" s="4"/>
      <c r="AN917" s="4"/>
      <c r="AO917" s="4"/>
      <c r="AP917" s="4"/>
      <c r="AQ917" s="4"/>
      <c r="AR917" s="4"/>
      <c r="AS917" s="76" t="str">
        <f>"COMMENT ON COLUMN "&amp;エンティティ一覧!$O$2&amp;"."&amp;D$8&amp;"."&amp;D917&amp;" IS '"&amp;C917&amp;"';"</f>
        <v>COMMENT ON COLUMN milscm_2023_009.sny_202310_annony_non_annony2.gain_1q21 IS '1q21＋';</v>
      </c>
    </row>
    <row r="918" spans="1:45" s="25" customFormat="1" ht="37.5">
      <c r="A918" s="4"/>
      <c r="B918" s="21">
        <f t="shared" ref="B918:B937" si="115">ROW()-12</f>
        <v>906</v>
      </c>
      <c r="C918" s="13" t="s">
        <v>4617</v>
      </c>
      <c r="D918" s="13" t="s">
        <v>4344</v>
      </c>
      <c r="E918" s="7"/>
      <c r="F918" s="7" t="s">
        <v>4609</v>
      </c>
      <c r="G918" s="7" t="str">
        <f t="shared" si="114"/>
        <v>text</v>
      </c>
      <c r="H918" s="58"/>
      <c r="I918" s="23"/>
      <c r="J918" s="24" t="s">
        <v>4657</v>
      </c>
      <c r="M918" s="4"/>
      <c r="N918" s="76"/>
      <c r="O918" s="76"/>
      <c r="P918" s="76" t="str">
        <f t="shared" si="108"/>
        <v>,iyakuhin_ippan_name</v>
      </c>
      <c r="Q918" s="76" t="str">
        <f t="shared" si="109"/>
        <v>TEXT</v>
      </c>
      <c r="R918" s="76" t="str">
        <f t="shared" si="110"/>
        <v/>
      </c>
      <c r="S918" s="76" t="str">
        <f t="shared" si="111"/>
        <v/>
      </c>
      <c r="T918" s="76" t="str">
        <f t="shared" si="112"/>
        <v>-- 薬剤表示名</v>
      </c>
      <c r="U918" s="4"/>
      <c r="AA918" s="4"/>
      <c r="AB918" s="4"/>
      <c r="AC918" s="4"/>
      <c r="AD918" s="4"/>
      <c r="AE918" s="4"/>
      <c r="AF918" s="4"/>
      <c r="AG918" s="4"/>
      <c r="AH918" s="4"/>
      <c r="AI918" s="4"/>
      <c r="AJ918" s="76" t="str">
        <f>IF(E918="○",IF(COUNTA(E$13:E918)=1,"",",")&amp;D918,"")</f>
        <v/>
      </c>
      <c r="AK918" s="4"/>
      <c r="AL918" s="4"/>
      <c r="AM918" s="4"/>
      <c r="AN918" s="4"/>
      <c r="AO918" s="4"/>
      <c r="AP918" s="4"/>
      <c r="AQ918" s="4"/>
      <c r="AR918" s="4"/>
      <c r="AS918" s="76" t="str">
        <f>"COMMENT ON COLUMN "&amp;エンティティ一覧!$O$2&amp;"."&amp;D$8&amp;"."&amp;D918&amp;" IS '"&amp;C918&amp;"';"</f>
        <v>COMMENT ON COLUMN milscm_2023_009.sny_202310_annony_non_annony2.iyakuhin_ippan_name IS '薬剤表示名';</v>
      </c>
    </row>
    <row r="919" spans="1:45" s="25" customFormat="1">
      <c r="A919" s="4"/>
      <c r="B919" s="21">
        <f t="shared" si="115"/>
        <v>907</v>
      </c>
      <c r="C919" s="13" t="s">
        <v>4619</v>
      </c>
      <c r="D919" s="13" t="s">
        <v>4338</v>
      </c>
      <c r="E919" s="7"/>
      <c r="F919" s="7" t="s">
        <v>4200</v>
      </c>
      <c r="G919" s="7" t="str">
        <f t="shared" si="114"/>
        <v>numeric</v>
      </c>
      <c r="H919" s="58"/>
      <c r="I919" s="23"/>
      <c r="J919" s="24"/>
      <c r="M919" s="4"/>
      <c r="N919" s="76"/>
      <c r="O919" s="76"/>
      <c r="P919" s="76" t="str">
        <f t="shared" si="108"/>
        <v>,toyoryo</v>
      </c>
      <c r="Q919" s="76" t="str">
        <f t="shared" si="109"/>
        <v>NUMERIC</v>
      </c>
      <c r="R919" s="76" t="str">
        <f t="shared" si="110"/>
        <v/>
      </c>
      <c r="S919" s="76" t="str">
        <f t="shared" si="111"/>
        <v/>
      </c>
      <c r="T919" s="76" t="str">
        <f t="shared" si="112"/>
        <v>-- 投与量</v>
      </c>
      <c r="U919" s="4"/>
      <c r="AA919" s="4"/>
      <c r="AB919" s="4"/>
      <c r="AC919" s="4"/>
      <c r="AD919" s="4"/>
      <c r="AE919" s="4"/>
      <c r="AF919" s="4"/>
      <c r="AG919" s="4"/>
      <c r="AH919" s="4"/>
      <c r="AI919" s="4"/>
      <c r="AJ919" s="76" t="str">
        <f>IF(E919="○",IF(COUNTA(E$13:E919)=1,"",",")&amp;D919,"")</f>
        <v/>
      </c>
      <c r="AK919" s="4"/>
      <c r="AL919" s="4"/>
      <c r="AM919" s="4"/>
      <c r="AN919" s="4"/>
      <c r="AO919" s="4"/>
      <c r="AP919" s="4"/>
      <c r="AQ919" s="4"/>
      <c r="AR919" s="4"/>
      <c r="AS919" s="76" t="str">
        <f>"COMMENT ON COLUMN "&amp;エンティティ一覧!$O$2&amp;"."&amp;D$8&amp;"."&amp;D919&amp;" IS '"&amp;C919&amp;"';"</f>
        <v>COMMENT ON COLUMN milscm_2023_009.sny_202310_annony_non_annony2.toyoryo IS '投与量';</v>
      </c>
    </row>
    <row r="920" spans="1:45" s="25" customFormat="1">
      <c r="A920" s="4"/>
      <c r="B920" s="21">
        <f>ROW()-12</f>
        <v>908</v>
      </c>
      <c r="C920" s="13" t="s">
        <v>4620</v>
      </c>
      <c r="D920" s="13" t="s">
        <v>4339</v>
      </c>
      <c r="E920" s="7"/>
      <c r="F920" s="7" t="s">
        <v>1780</v>
      </c>
      <c r="G920" s="7" t="str">
        <f t="shared" si="114"/>
        <v>text</v>
      </c>
      <c r="H920" s="58"/>
      <c r="I920" s="23"/>
      <c r="J920" s="24"/>
      <c r="N920" s="76"/>
      <c r="O920" s="76"/>
      <c r="P920" s="76" t="str">
        <f t="shared" si="108"/>
        <v>,seibun_unit_name</v>
      </c>
      <c r="Q920" s="76" t="str">
        <f t="shared" si="109"/>
        <v>TEXT</v>
      </c>
      <c r="R920" s="76" t="str">
        <f t="shared" si="110"/>
        <v/>
      </c>
      <c r="S920" s="76" t="str">
        <f t="shared" si="111"/>
        <v/>
      </c>
      <c r="T920" s="76" t="str">
        <f t="shared" si="112"/>
        <v>-- 成分単位名称</v>
      </c>
      <c r="U920" s="4"/>
      <c r="AA920" s="4"/>
      <c r="AB920" s="4"/>
      <c r="AC920" s="4"/>
      <c r="AD920" s="4"/>
      <c r="AE920" s="4"/>
      <c r="AF920" s="4"/>
      <c r="AG920" s="4"/>
      <c r="AH920" s="4"/>
      <c r="AI920" s="4"/>
      <c r="AJ920" s="76" t="str">
        <f>IF(E920="○",IF(COUNTA(E$13:E920)=1,"",",")&amp;D920,"")</f>
        <v/>
      </c>
      <c r="AK920" s="4"/>
      <c r="AL920" s="4"/>
      <c r="AM920" s="4"/>
      <c r="AN920" s="4"/>
      <c r="AO920" s="4"/>
      <c r="AP920" s="4"/>
      <c r="AQ920" s="4"/>
      <c r="AR920" s="4"/>
      <c r="AS920" s="76" t="str">
        <f>"COMMENT ON COLUMN "&amp;エンティティ一覧!$O$2&amp;"."&amp;D$8&amp;"."&amp;D920&amp;" IS '"&amp;C920&amp;"';"</f>
        <v>COMMENT ON COLUMN milscm_2023_009.sny_202310_annony_non_annony2.seibun_unit_name IS '成分単位名称';</v>
      </c>
    </row>
    <row r="921" spans="1:45" s="25" customFormat="1">
      <c r="A921" s="4"/>
      <c r="B921" s="21">
        <f t="shared" si="115"/>
        <v>909</v>
      </c>
      <c r="C921" s="13" t="s">
        <v>4202</v>
      </c>
      <c r="D921" s="13" t="s">
        <v>4587</v>
      </c>
      <c r="E921" s="7"/>
      <c r="F921" s="7" t="s">
        <v>4302</v>
      </c>
      <c r="G921" s="7" t="str">
        <f>IF(F921="フラグ","boolean",IF(F921="文字列","text",IF(F921="整数","integer",IF(F921="実数","numeric",""))))</f>
        <v>integer</v>
      </c>
      <c r="H921" s="58"/>
      <c r="I921" s="23"/>
      <c r="J921" s="24"/>
      <c r="M921" s="4"/>
      <c r="N921" s="76"/>
      <c r="O921" s="76"/>
      <c r="P921" s="76" t="str">
        <f>IF(B921&lt;&gt;1,","&amp;D921,D921)</f>
        <v>,koi_times</v>
      </c>
      <c r="Q921" s="76" t="str">
        <f>UPPER(G921)</f>
        <v>INTEGER</v>
      </c>
      <c r="R921" s="76" t="str">
        <f>IF(H921&lt;&gt;"","default "&amp;IF(G921="text","'"&amp;H921&amp;"'",H921),"")</f>
        <v/>
      </c>
      <c r="S921" s="76" t="str">
        <f>IF(I921="○","NOT NULL","")</f>
        <v/>
      </c>
      <c r="T921" s="76" t="str">
        <f>"-- "&amp;C921</f>
        <v>-- 行為回数</v>
      </c>
      <c r="U921" s="4"/>
      <c r="AA921" s="4"/>
      <c r="AB921" s="4"/>
      <c r="AC921" s="4"/>
      <c r="AD921" s="4"/>
      <c r="AE921" s="4"/>
      <c r="AF921" s="4"/>
      <c r="AG921" s="4"/>
      <c r="AH921" s="4"/>
      <c r="AI921" s="4"/>
      <c r="AJ921" s="76" t="str">
        <f>IF(E921="○",IF(COUNTA(E$13:E921)=1,"",",")&amp;D921,"")</f>
        <v/>
      </c>
      <c r="AK921" s="4"/>
      <c r="AL921" s="4"/>
      <c r="AM921" s="4"/>
      <c r="AN921" s="4"/>
      <c r="AO921" s="4"/>
      <c r="AP921" s="4"/>
      <c r="AQ921" s="4"/>
      <c r="AR921" s="4"/>
      <c r="AS921" s="76" t="str">
        <f>"COMMENT ON COLUMN "&amp;エンティティ一覧!$O$2&amp;"."&amp;D$8&amp;"."&amp;D921&amp;" IS '"&amp;C921&amp;"';"</f>
        <v>COMMENT ON COLUMN milscm_2023_009.sny_202310_annony_non_annony2.koi_times IS '行為回数';</v>
      </c>
    </row>
    <row r="922" spans="1:45" s="25" customFormat="1">
      <c r="A922" s="4"/>
      <c r="B922" s="21">
        <f t="shared" si="115"/>
        <v>910</v>
      </c>
      <c r="C922" s="13" t="s">
        <v>4621</v>
      </c>
      <c r="D922" s="13" t="s">
        <v>4511</v>
      </c>
      <c r="E922" s="7"/>
      <c r="F922" s="7" t="s">
        <v>4200</v>
      </c>
      <c r="G922" s="7" t="str">
        <f>IF(F922="フラグ","boolean",IF(F922="文字列","text",IF(F922="整数","integer",IF(F922="実数","numeric",""))))</f>
        <v>numeric</v>
      </c>
      <c r="H922" s="58"/>
      <c r="I922" s="23"/>
      <c r="J922" s="24"/>
      <c r="M922" s="4"/>
      <c r="N922" s="76"/>
      <c r="O922" s="76"/>
      <c r="P922" s="76" t="str">
        <f>IF(B922&lt;&gt;1,","&amp;D922,D922)</f>
        <v>,ldh_value</v>
      </c>
      <c r="Q922" s="76" t="str">
        <f t="shared" ref="Q922:Q938" si="116">UPPER(G922)</f>
        <v>NUMERIC</v>
      </c>
      <c r="R922" s="76" t="str">
        <f t="shared" ref="R922:R938" si="117">IF(H922&lt;&gt;"","default "&amp;IF(G922="text","'"&amp;H922&amp;"'",H922),"")</f>
        <v/>
      </c>
      <c r="S922" s="76" t="str">
        <f t="shared" ref="S922:S938" si="118">IF(I922="○","NOT NULL","")</f>
        <v/>
      </c>
      <c r="T922" s="76" t="str">
        <f t="shared" ref="T922:T938" si="119">"-- "&amp;C922</f>
        <v>-- LDH_検査値</v>
      </c>
      <c r="U922" s="4"/>
      <c r="V922" s="25" t="str">
        <f>",max("&amp;D922&amp;")"</f>
        <v>,max(ldh_value)</v>
      </c>
      <c r="AA922" s="4"/>
      <c r="AB922" s="4"/>
      <c r="AC922" s="4"/>
      <c r="AD922" s="4"/>
      <c r="AE922" s="4"/>
      <c r="AF922" s="4"/>
      <c r="AG922" s="4"/>
      <c r="AH922" s="4"/>
      <c r="AI922" s="4"/>
      <c r="AJ922" s="76" t="str">
        <f>IF(E922="○",IF(COUNTA(E$13:E922)=1,"",",")&amp;D922,"")</f>
        <v/>
      </c>
      <c r="AK922" s="4"/>
      <c r="AL922" s="4"/>
      <c r="AM922" s="4"/>
      <c r="AN922" s="4"/>
      <c r="AO922" s="4"/>
      <c r="AP922" s="4"/>
      <c r="AQ922" s="4"/>
      <c r="AR922" s="4"/>
      <c r="AS922" s="76" t="str">
        <f>"COMMENT ON COLUMN "&amp;エンティティ一覧!$O$2&amp;"."&amp;D$8&amp;"."&amp;D922&amp;" IS '"&amp;C922&amp;"';"</f>
        <v>COMMENT ON COLUMN milscm_2023_009.sny_202310_annony_non_annony2.ldh_value IS 'LDH_検査値';</v>
      </c>
    </row>
    <row r="923" spans="1:45" s="25" customFormat="1">
      <c r="A923" s="4"/>
      <c r="B923" s="21">
        <f t="shared" si="115"/>
        <v>911</v>
      </c>
      <c r="C923" s="13" t="s">
        <v>4622</v>
      </c>
      <c r="D923" s="13" t="s">
        <v>4513</v>
      </c>
      <c r="E923" s="7"/>
      <c r="F923" s="7" t="s">
        <v>4200</v>
      </c>
      <c r="G923" s="7" t="str">
        <f t="shared" ref="G923:G930" si="120">IF(F923="フラグ","boolean",IF(F923="文字列","text",IF(F923="整数","integer",IF(F923="実数","numeric",""))))</f>
        <v>numeric</v>
      </c>
      <c r="H923" s="58"/>
      <c r="I923" s="23"/>
      <c r="J923" s="24"/>
      <c r="M923" s="4"/>
      <c r="N923" s="76"/>
      <c r="O923" s="76"/>
      <c r="P923" s="76" t="str">
        <f t="shared" ref="P923:P938" si="121">IF(B923&lt;&gt;1,","&amp;D923,D923)</f>
        <v>,albumin_value</v>
      </c>
      <c r="Q923" s="76" t="str">
        <f t="shared" si="116"/>
        <v>NUMERIC</v>
      </c>
      <c r="R923" s="76" t="str">
        <f t="shared" si="117"/>
        <v/>
      </c>
      <c r="S923" s="76" t="str">
        <f t="shared" si="118"/>
        <v/>
      </c>
      <c r="T923" s="76" t="str">
        <f t="shared" si="119"/>
        <v>-- アルブミン_検査値</v>
      </c>
      <c r="U923" s="4"/>
      <c r="V923" s="25" t="str">
        <f t="shared" ref="V923:V930" si="122">",max("&amp;D923&amp;")"</f>
        <v>,max(albumin_value)</v>
      </c>
      <c r="AA923" s="4"/>
      <c r="AB923" s="4"/>
      <c r="AC923" s="4"/>
      <c r="AD923" s="4"/>
      <c r="AE923" s="4"/>
      <c r="AF923" s="4"/>
      <c r="AG923" s="4"/>
      <c r="AH923" s="4"/>
      <c r="AI923" s="4"/>
      <c r="AJ923" s="76" t="str">
        <f>IF(E923="○",IF(COUNTA(E$13:E923)=1,"",",")&amp;D923,"")</f>
        <v/>
      </c>
      <c r="AK923" s="4"/>
      <c r="AL923" s="4"/>
      <c r="AM923" s="4"/>
      <c r="AN923" s="4"/>
      <c r="AO923" s="4"/>
      <c r="AP923" s="4"/>
      <c r="AQ923" s="4"/>
      <c r="AR923" s="4"/>
      <c r="AS923" s="76" t="str">
        <f>"COMMENT ON COLUMN "&amp;エンティティ一覧!$O$2&amp;"."&amp;D$8&amp;"."&amp;D923&amp;" IS '"&amp;C923&amp;"';"</f>
        <v>COMMENT ON COLUMN milscm_2023_009.sny_202310_annony_non_annony2.albumin_value IS 'アルブミン_検査値';</v>
      </c>
    </row>
    <row r="924" spans="1:45" s="25" customFormat="1">
      <c r="A924" s="4"/>
      <c r="B924" s="21">
        <f t="shared" si="115"/>
        <v>912</v>
      </c>
      <c r="C924" s="13" t="s">
        <v>4623</v>
      </c>
      <c r="D924" s="13" t="s">
        <v>4546</v>
      </c>
      <c r="E924" s="7"/>
      <c r="F924" s="7" t="s">
        <v>4200</v>
      </c>
      <c r="G924" s="7" t="str">
        <f t="shared" si="120"/>
        <v>numeric</v>
      </c>
      <c r="H924" s="58"/>
      <c r="I924" s="23"/>
      <c r="J924" s="24"/>
      <c r="M924" s="4"/>
      <c r="N924" s="76"/>
      <c r="O924" s="76"/>
      <c r="P924" s="76" t="str">
        <f t="shared" si="121"/>
        <v>,b2_microglobulin_value</v>
      </c>
      <c r="Q924" s="76" t="str">
        <f t="shared" si="116"/>
        <v>NUMERIC</v>
      </c>
      <c r="R924" s="76" t="str">
        <f t="shared" si="117"/>
        <v/>
      </c>
      <c r="S924" s="76" t="str">
        <f t="shared" si="118"/>
        <v/>
      </c>
      <c r="T924" s="76" t="str">
        <f t="shared" si="119"/>
        <v>-- β2ミクログロブリン_検査値</v>
      </c>
      <c r="U924" s="4"/>
      <c r="V924" s="25" t="str">
        <f t="shared" si="122"/>
        <v>,max(b2_microglobulin_value)</v>
      </c>
      <c r="AA924" s="4"/>
      <c r="AB924" s="4"/>
      <c r="AC924" s="4"/>
      <c r="AD924" s="4"/>
      <c r="AE924" s="4"/>
      <c r="AF924" s="4"/>
      <c r="AG924" s="4"/>
      <c r="AH924" s="4"/>
      <c r="AI924" s="4"/>
      <c r="AJ924" s="76" t="str">
        <f>IF(E924="○",IF(COUNTA(E$13:E924)=1,"",",")&amp;D924,"")</f>
        <v/>
      </c>
      <c r="AK924" s="4"/>
      <c r="AL924" s="4"/>
      <c r="AM924" s="4"/>
      <c r="AN924" s="4"/>
      <c r="AO924" s="4"/>
      <c r="AP924" s="4"/>
      <c r="AQ924" s="4"/>
      <c r="AR924" s="4"/>
      <c r="AS924" s="76" t="str">
        <f>"COMMENT ON COLUMN "&amp;エンティティ一覧!$O$2&amp;"."&amp;D$8&amp;"."&amp;D924&amp;" IS '"&amp;C924&amp;"';"</f>
        <v>COMMENT ON COLUMN milscm_2023_009.sny_202310_annony_non_annony2.b2_microglobulin_value IS 'β2ミクログロブリン_検査値';</v>
      </c>
    </row>
    <row r="925" spans="1:45" s="25" customFormat="1">
      <c r="A925" s="4"/>
      <c r="B925" s="21">
        <f t="shared" si="115"/>
        <v>913</v>
      </c>
      <c r="C925" s="13" t="s">
        <v>4624</v>
      </c>
      <c r="D925" s="13" t="s">
        <v>4516</v>
      </c>
      <c r="E925" s="7"/>
      <c r="F925" s="7" t="s">
        <v>4200</v>
      </c>
      <c r="G925" s="7" t="str">
        <f t="shared" si="120"/>
        <v>numeric</v>
      </c>
      <c r="H925" s="58"/>
      <c r="I925" s="23"/>
      <c r="J925" s="24"/>
      <c r="M925" s="4"/>
      <c r="N925" s="76"/>
      <c r="O925" s="76"/>
      <c r="P925" s="76" t="str">
        <f t="shared" si="121"/>
        <v>,ast_value</v>
      </c>
      <c r="Q925" s="76" t="str">
        <f t="shared" si="116"/>
        <v>NUMERIC</v>
      </c>
      <c r="R925" s="76" t="str">
        <f t="shared" si="117"/>
        <v/>
      </c>
      <c r="S925" s="76" t="str">
        <f t="shared" si="118"/>
        <v/>
      </c>
      <c r="T925" s="76" t="str">
        <f t="shared" si="119"/>
        <v>-- AST_検査値</v>
      </c>
      <c r="U925" s="4"/>
      <c r="V925" s="25" t="str">
        <f t="shared" si="122"/>
        <v>,max(ast_value)</v>
      </c>
      <c r="AA925" s="4"/>
      <c r="AB925" s="4"/>
      <c r="AC925" s="4"/>
      <c r="AD925" s="4"/>
      <c r="AE925" s="4"/>
      <c r="AF925" s="4"/>
      <c r="AG925" s="4"/>
      <c r="AH925" s="4"/>
      <c r="AI925" s="4"/>
      <c r="AJ925" s="76" t="str">
        <f>IF(E925="○",IF(COUNTA(E$13:E925)=1,"",",")&amp;D925,"")</f>
        <v/>
      </c>
      <c r="AK925" s="4"/>
      <c r="AL925" s="4"/>
      <c r="AM925" s="4"/>
      <c r="AN925" s="4"/>
      <c r="AO925" s="4"/>
      <c r="AP925" s="4"/>
      <c r="AQ925" s="4"/>
      <c r="AR925" s="4"/>
      <c r="AS925" s="76" t="str">
        <f>"COMMENT ON COLUMN "&amp;エンティティ一覧!$O$2&amp;"."&amp;D$8&amp;"."&amp;D925&amp;" IS '"&amp;C925&amp;"';"</f>
        <v>COMMENT ON COLUMN milscm_2023_009.sny_202310_annony_non_annony2.ast_value IS 'AST_検査値';</v>
      </c>
    </row>
    <row r="926" spans="1:45" s="25" customFormat="1">
      <c r="A926" s="4"/>
      <c r="B926" s="21">
        <f t="shared" si="115"/>
        <v>914</v>
      </c>
      <c r="C926" s="13" t="s">
        <v>4625</v>
      </c>
      <c r="D926" s="13" t="s">
        <v>4518</v>
      </c>
      <c r="E926" s="7"/>
      <c r="F926" s="7" t="s">
        <v>4200</v>
      </c>
      <c r="G926" s="7" t="str">
        <f t="shared" si="120"/>
        <v>numeric</v>
      </c>
      <c r="H926" s="58"/>
      <c r="I926" s="23"/>
      <c r="J926" s="24"/>
      <c r="M926" s="4"/>
      <c r="N926" s="76"/>
      <c r="O926" s="76"/>
      <c r="P926" s="76" t="str">
        <f t="shared" si="121"/>
        <v>,alt_value</v>
      </c>
      <c r="Q926" s="76" t="str">
        <f t="shared" si="116"/>
        <v>NUMERIC</v>
      </c>
      <c r="R926" s="76" t="str">
        <f t="shared" si="117"/>
        <v/>
      </c>
      <c r="S926" s="76" t="str">
        <f t="shared" si="118"/>
        <v/>
      </c>
      <c r="T926" s="76" t="str">
        <f t="shared" si="119"/>
        <v>-- ALT_検査値</v>
      </c>
      <c r="U926" s="4"/>
      <c r="V926" s="25" t="str">
        <f t="shared" si="122"/>
        <v>,max(alt_value)</v>
      </c>
      <c r="AA926" s="4"/>
      <c r="AB926" s="4"/>
      <c r="AC926" s="4"/>
      <c r="AD926" s="4"/>
      <c r="AE926" s="4"/>
      <c r="AF926" s="4"/>
      <c r="AG926" s="4"/>
      <c r="AH926" s="4"/>
      <c r="AI926" s="4"/>
      <c r="AJ926" s="76" t="str">
        <f>IF(E926="○",IF(COUNTA(E$13:E926)=1,"",",")&amp;D926,"")</f>
        <v/>
      </c>
      <c r="AK926" s="4"/>
      <c r="AL926" s="4"/>
      <c r="AM926" s="4"/>
      <c r="AN926" s="4"/>
      <c r="AO926" s="4"/>
      <c r="AP926" s="4"/>
      <c r="AQ926" s="4"/>
      <c r="AR926" s="4"/>
      <c r="AS926" s="76" t="str">
        <f>"COMMENT ON COLUMN "&amp;エンティティ一覧!$O$2&amp;"."&amp;D$8&amp;"."&amp;D926&amp;" IS '"&amp;C926&amp;"';"</f>
        <v>COMMENT ON COLUMN milscm_2023_009.sny_202310_annony_non_annony2.alt_value IS 'ALT_検査値';</v>
      </c>
    </row>
    <row r="927" spans="1:45" s="25" customFormat="1">
      <c r="A927" s="4"/>
      <c r="B927" s="21">
        <f t="shared" si="115"/>
        <v>915</v>
      </c>
      <c r="C927" s="13" t="s">
        <v>4647</v>
      </c>
      <c r="D927" s="13" t="s">
        <v>4651</v>
      </c>
      <c r="E927" s="7"/>
      <c r="F927" s="7" t="s">
        <v>4200</v>
      </c>
      <c r="G927" s="7" t="str">
        <f t="shared" si="120"/>
        <v>numeric</v>
      </c>
      <c r="H927" s="58"/>
      <c r="I927" s="23"/>
      <c r="J927" s="24"/>
      <c r="M927" s="4"/>
      <c r="N927" s="76"/>
      <c r="O927" s="76"/>
      <c r="P927" s="76" t="str">
        <f t="shared" si="121"/>
        <v>,all_bilirubin_value</v>
      </c>
      <c r="Q927" s="76" t="str">
        <f t="shared" si="116"/>
        <v>NUMERIC</v>
      </c>
      <c r="R927" s="76" t="str">
        <f t="shared" si="117"/>
        <v/>
      </c>
      <c r="S927" s="76" t="str">
        <f t="shared" si="118"/>
        <v/>
      </c>
      <c r="T927" s="76" t="str">
        <f t="shared" si="119"/>
        <v>-- 総ビリルビン_検査値</v>
      </c>
      <c r="U927" s="4"/>
      <c r="V927" s="25" t="str">
        <f t="shared" si="122"/>
        <v>,max(all_bilirubin_value)</v>
      </c>
      <c r="AA927" s="4"/>
      <c r="AB927" s="4"/>
      <c r="AC927" s="4"/>
      <c r="AD927" s="4"/>
      <c r="AE927" s="4"/>
      <c r="AF927" s="4"/>
      <c r="AG927" s="4"/>
      <c r="AH927" s="4"/>
      <c r="AI927" s="4"/>
      <c r="AJ927" s="76" t="str">
        <f>IF(E927="○",IF(COUNTA(E$13:E927)=1,"",",")&amp;D927,"")</f>
        <v/>
      </c>
      <c r="AK927" s="4"/>
      <c r="AL927" s="4"/>
      <c r="AM927" s="4"/>
      <c r="AN927" s="4"/>
      <c r="AO927" s="4"/>
      <c r="AP927" s="4"/>
      <c r="AQ927" s="4"/>
      <c r="AR927" s="4"/>
      <c r="AS927" s="76" t="str">
        <f>"COMMENT ON COLUMN "&amp;エンティティ一覧!$O$2&amp;"."&amp;D$8&amp;"."&amp;D927&amp;" IS '"&amp;C927&amp;"';"</f>
        <v>COMMENT ON COLUMN milscm_2023_009.sny_202310_annony_non_annony2.all_bilirubin_value IS '総ビリルビン_検査値';</v>
      </c>
    </row>
    <row r="928" spans="1:45" s="25" customFormat="1">
      <c r="A928" s="4"/>
      <c r="B928" s="21">
        <f t="shared" si="115"/>
        <v>916</v>
      </c>
      <c r="C928" s="13" t="s">
        <v>4648</v>
      </c>
      <c r="D928" s="13" t="s">
        <v>4652</v>
      </c>
      <c r="E928" s="7"/>
      <c r="F928" s="7" t="s">
        <v>4200</v>
      </c>
      <c r="G928" s="7" t="str">
        <f t="shared" si="120"/>
        <v>numeric</v>
      </c>
      <c r="H928" s="58"/>
      <c r="I928" s="23"/>
      <c r="J928" s="24"/>
      <c r="M928" s="4"/>
      <c r="N928" s="76"/>
      <c r="O928" s="76"/>
      <c r="P928" s="76" t="str">
        <f t="shared" si="121"/>
        <v>,direct_bilirubin_value</v>
      </c>
      <c r="Q928" s="76" t="str">
        <f t="shared" si="116"/>
        <v>NUMERIC</v>
      </c>
      <c r="R928" s="76" t="str">
        <f t="shared" si="117"/>
        <v/>
      </c>
      <c r="S928" s="76" t="str">
        <f t="shared" si="118"/>
        <v/>
      </c>
      <c r="T928" s="76" t="str">
        <f t="shared" si="119"/>
        <v>-- 直接ビリルビン_検査値</v>
      </c>
      <c r="U928" s="4"/>
      <c r="V928" s="25" t="str">
        <f t="shared" si="122"/>
        <v>,max(direct_bilirubin_value)</v>
      </c>
      <c r="AA928" s="4"/>
      <c r="AB928" s="4"/>
      <c r="AC928" s="4"/>
      <c r="AD928" s="4"/>
      <c r="AE928" s="4"/>
      <c r="AF928" s="4"/>
      <c r="AG928" s="4"/>
      <c r="AH928" s="4"/>
      <c r="AI928" s="4"/>
      <c r="AJ928" s="76" t="str">
        <f>IF(E928="○",IF(COUNTA(E$13:E928)=1,"",",")&amp;D928,"")</f>
        <v/>
      </c>
      <c r="AK928" s="4"/>
      <c r="AL928" s="4"/>
      <c r="AM928" s="4"/>
      <c r="AN928" s="4"/>
      <c r="AO928" s="4"/>
      <c r="AP928" s="4"/>
      <c r="AQ928" s="4"/>
      <c r="AR928" s="4"/>
      <c r="AS928" s="76" t="str">
        <f>"COMMENT ON COLUMN "&amp;エンティティ一覧!$O$2&amp;"."&amp;D$8&amp;"."&amp;D928&amp;" IS '"&amp;C928&amp;"';"</f>
        <v>COMMENT ON COLUMN milscm_2023_009.sny_202310_annony_non_annony2.direct_bilirubin_value IS '直接ビリルビン_検査値';</v>
      </c>
    </row>
    <row r="929" spans="1:52" s="25" customFormat="1">
      <c r="A929" s="4"/>
      <c r="B929" s="21">
        <f t="shared" si="115"/>
        <v>917</v>
      </c>
      <c r="C929" s="13" t="s">
        <v>4626</v>
      </c>
      <c r="D929" s="13" t="s">
        <v>4520</v>
      </c>
      <c r="E929" s="7"/>
      <c r="F929" s="7" t="s">
        <v>4200</v>
      </c>
      <c r="G929" s="7" t="str">
        <f t="shared" si="120"/>
        <v>numeric</v>
      </c>
      <c r="H929" s="58"/>
      <c r="I929" s="23"/>
      <c r="J929" s="24"/>
      <c r="M929" s="4"/>
      <c r="N929" s="76"/>
      <c r="O929" s="76"/>
      <c r="P929" s="76" t="str">
        <f t="shared" si="121"/>
        <v>,bun_value</v>
      </c>
      <c r="Q929" s="76" t="str">
        <f t="shared" si="116"/>
        <v>NUMERIC</v>
      </c>
      <c r="R929" s="76" t="str">
        <f t="shared" si="117"/>
        <v/>
      </c>
      <c r="S929" s="76" t="str">
        <f t="shared" si="118"/>
        <v/>
      </c>
      <c r="T929" s="76" t="str">
        <f t="shared" si="119"/>
        <v>-- BUN_検査値</v>
      </c>
      <c r="U929" s="4"/>
      <c r="V929" s="25" t="str">
        <f t="shared" si="122"/>
        <v>,max(bun_value)</v>
      </c>
      <c r="AA929" s="4"/>
      <c r="AB929" s="4"/>
      <c r="AC929" s="4"/>
      <c r="AD929" s="4"/>
      <c r="AE929" s="4"/>
      <c r="AF929" s="4"/>
      <c r="AG929" s="4"/>
      <c r="AH929" s="4"/>
      <c r="AI929" s="4"/>
      <c r="AJ929" s="76" t="str">
        <f>IF(E929="○",IF(COUNTA(E$13:E929)=1,"",",")&amp;D929,"")</f>
        <v/>
      </c>
      <c r="AK929" s="4"/>
      <c r="AL929" s="4"/>
      <c r="AM929" s="4"/>
      <c r="AN929" s="4"/>
      <c r="AO929" s="4"/>
      <c r="AP929" s="4"/>
      <c r="AQ929" s="4"/>
      <c r="AR929" s="4"/>
      <c r="AS929" s="76" t="str">
        <f>"COMMENT ON COLUMN "&amp;エンティティ一覧!$O$2&amp;"."&amp;D$8&amp;"."&amp;D929&amp;" IS '"&amp;C929&amp;"';"</f>
        <v>COMMENT ON COLUMN milscm_2023_009.sny_202310_annony_non_annony2.bun_value IS 'BUN_検査値';</v>
      </c>
    </row>
    <row r="930" spans="1:52" s="25" customFormat="1">
      <c r="A930" s="4"/>
      <c r="B930" s="21">
        <f t="shared" si="115"/>
        <v>918</v>
      </c>
      <c r="C930" s="13" t="s">
        <v>4627</v>
      </c>
      <c r="D930" s="13" t="s">
        <v>4522</v>
      </c>
      <c r="E930" s="7"/>
      <c r="F930" s="7" t="s">
        <v>4200</v>
      </c>
      <c r="G930" s="7" t="str">
        <f t="shared" si="120"/>
        <v>numeric</v>
      </c>
      <c r="H930" s="58"/>
      <c r="I930" s="23"/>
      <c r="J930" s="24"/>
      <c r="M930" s="4"/>
      <c r="N930" s="76"/>
      <c r="O930" s="76"/>
      <c r="P930" s="76" t="str">
        <f t="shared" si="121"/>
        <v>,egfr_value</v>
      </c>
      <c r="Q930" s="76" t="str">
        <f t="shared" si="116"/>
        <v>NUMERIC</v>
      </c>
      <c r="R930" s="76" t="str">
        <f t="shared" si="117"/>
        <v/>
      </c>
      <c r="S930" s="76" t="str">
        <f t="shared" si="118"/>
        <v/>
      </c>
      <c r="T930" s="76" t="str">
        <f t="shared" si="119"/>
        <v>-- eGFR_検査値</v>
      </c>
      <c r="U930" s="4"/>
      <c r="V930" s="25" t="str">
        <f t="shared" si="122"/>
        <v>,max(egfr_value)</v>
      </c>
      <c r="AA930" s="4"/>
      <c r="AB930" s="4"/>
      <c r="AC930" s="4"/>
      <c r="AD930" s="4"/>
      <c r="AE930" s="4"/>
      <c r="AF930" s="4"/>
      <c r="AG930" s="4"/>
      <c r="AH930" s="4"/>
      <c r="AI930" s="4"/>
      <c r="AJ930" s="76" t="str">
        <f>IF(E930="○",IF(COUNTA(E$13:E930)=1,"",",")&amp;D930,"")</f>
        <v/>
      </c>
      <c r="AK930" s="4"/>
      <c r="AL930" s="4"/>
      <c r="AM930" s="4"/>
      <c r="AN930" s="4"/>
      <c r="AO930" s="4"/>
      <c r="AP930" s="4"/>
      <c r="AQ930" s="4"/>
      <c r="AR930" s="4"/>
      <c r="AS930" s="76" t="str">
        <f>"COMMENT ON COLUMN "&amp;エンティティ一覧!$O$2&amp;"."&amp;D$8&amp;"."&amp;D930&amp;" IS '"&amp;C930&amp;"';"</f>
        <v>COMMENT ON COLUMN milscm_2023_009.sny_202310_annony_non_annony2.egfr_value IS 'eGFR_検査値';</v>
      </c>
    </row>
    <row r="931" spans="1:52" s="25" customFormat="1" ht="31.5">
      <c r="A931" s="4"/>
      <c r="B931" s="21">
        <f t="shared" si="115"/>
        <v>919</v>
      </c>
      <c r="C931" s="13" t="s">
        <v>4628</v>
      </c>
      <c r="D931" s="13" t="s">
        <v>4539</v>
      </c>
      <c r="E931" s="7"/>
      <c r="F931" s="7" t="s">
        <v>4176</v>
      </c>
      <c r="G931" s="7" t="str">
        <f>IF(F931="フラグ","boolean",IF(F931="文字列","text",IF(F931="整数","integer",IF(F931="実数","numeric",""))))</f>
        <v>text</v>
      </c>
      <c r="H931" s="58"/>
      <c r="I931" s="23"/>
      <c r="J931" s="24"/>
      <c r="M931" s="4"/>
      <c r="N931" s="76"/>
      <c r="O931" s="76"/>
      <c r="P931" s="76" t="str">
        <f t="shared" si="121"/>
        <v>,ct_fish_flg</v>
      </c>
      <c r="Q931" s="76" t="str">
        <f t="shared" si="116"/>
        <v>TEXT</v>
      </c>
      <c r="R931" s="76" t="str">
        <f t="shared" si="117"/>
        <v/>
      </c>
      <c r="S931" s="76" t="str">
        <f t="shared" si="118"/>
        <v/>
      </c>
      <c r="T931" s="76" t="str">
        <f t="shared" si="119"/>
        <v>-- 染色体検査（ＦＩＳＨ法）_実施有無</v>
      </c>
      <c r="U931" s="4"/>
      <c r="AA931" s="4"/>
      <c r="AB931" s="4"/>
      <c r="AC931" s="4"/>
      <c r="AD931" s="4"/>
      <c r="AE931" s="4"/>
      <c r="AF931" s="4"/>
      <c r="AG931" s="4"/>
      <c r="AH931" s="4"/>
      <c r="AI931" s="4"/>
      <c r="AJ931" s="76" t="str">
        <f>IF(E931="○",IF(COUNTA(E$13:E931)=1,"",",")&amp;D931,"")</f>
        <v/>
      </c>
      <c r="AK931" s="4"/>
      <c r="AL931" s="4"/>
      <c r="AM931" s="4"/>
      <c r="AN931" s="4"/>
      <c r="AO931" s="4"/>
      <c r="AP931" s="4"/>
      <c r="AQ931" s="4"/>
      <c r="AR931" s="4"/>
      <c r="AS931" s="76" t="str">
        <f>"COMMENT ON COLUMN "&amp;エンティティ一覧!$O$2&amp;"."&amp;D$8&amp;"."&amp;D931&amp;" IS '"&amp;C931&amp;"';"</f>
        <v>COMMENT ON COLUMN milscm_2023_009.sny_202310_annony_non_annony2.ct_fish_flg IS '染色体検査（ＦＩＳＨ法）_実施有無';</v>
      </c>
    </row>
    <row r="932" spans="1:52" s="25" customFormat="1">
      <c r="A932" s="4"/>
      <c r="B932" s="21">
        <f t="shared" si="115"/>
        <v>920</v>
      </c>
      <c r="C932" s="13" t="s">
        <v>4629</v>
      </c>
      <c r="D932" s="13" t="s">
        <v>4540</v>
      </c>
      <c r="E932" s="7"/>
      <c r="F932" s="7" t="s">
        <v>4176</v>
      </c>
      <c r="G932" s="7" t="str">
        <f t="shared" ref="G932:G938" si="123">IF(F932="フラグ","boolean",IF(F932="文字列","text",IF(F932="整数","integer",IF(F932="実数","numeric",""))))</f>
        <v>text</v>
      </c>
      <c r="H932" s="58"/>
      <c r="I932" s="23"/>
      <c r="J932" s="24"/>
      <c r="M932" s="4"/>
      <c r="N932" s="76"/>
      <c r="O932" s="76"/>
      <c r="P932" s="76" t="str">
        <f t="shared" si="121"/>
        <v>,ct_etc_flg</v>
      </c>
      <c r="Q932" s="76" t="str">
        <f t="shared" si="116"/>
        <v>TEXT</v>
      </c>
      <c r="R932" s="76" t="str">
        <f t="shared" si="117"/>
        <v/>
      </c>
      <c r="S932" s="76" t="str">
        <f t="shared" si="118"/>
        <v/>
      </c>
      <c r="T932" s="76" t="str">
        <f t="shared" si="119"/>
        <v>-- 染色体検査（その他）_実施有無</v>
      </c>
      <c r="U932" s="4"/>
      <c r="AA932" s="4"/>
      <c r="AB932" s="4"/>
      <c r="AC932" s="4"/>
      <c r="AD932" s="4"/>
      <c r="AE932" s="4"/>
      <c r="AF932" s="4"/>
      <c r="AG932" s="4"/>
      <c r="AH932" s="4"/>
      <c r="AI932" s="4"/>
      <c r="AJ932" s="76" t="str">
        <f>IF(E932="○",IF(COUNTA(E$13:E932)=1,"",",")&amp;D932,"")</f>
        <v/>
      </c>
      <c r="AK932" s="4"/>
      <c r="AL932" s="4"/>
      <c r="AM932" s="4"/>
      <c r="AN932" s="4"/>
      <c r="AO932" s="4"/>
      <c r="AP932" s="4"/>
      <c r="AQ932" s="4"/>
      <c r="AR932" s="4"/>
      <c r="AS932" s="76" t="str">
        <f>"COMMENT ON COLUMN "&amp;エンティティ一覧!$O$2&amp;"."&amp;D$8&amp;"."&amp;D932&amp;" IS '"&amp;C932&amp;"';"</f>
        <v>COMMENT ON COLUMN milscm_2023_009.sny_202310_annony_non_annony2.ct_etc_flg IS '染色体検査（その他）_実施有無';</v>
      </c>
    </row>
    <row r="933" spans="1:52" s="25" customFormat="1" ht="31.5">
      <c r="A933" s="4"/>
      <c r="B933" s="21">
        <f t="shared" si="115"/>
        <v>921</v>
      </c>
      <c r="C933" s="13" t="s">
        <v>4630</v>
      </c>
      <c r="D933" s="13" t="s">
        <v>4541</v>
      </c>
      <c r="E933" s="7"/>
      <c r="F933" s="7" t="s">
        <v>4176</v>
      </c>
      <c r="G933" s="7" t="str">
        <f t="shared" si="123"/>
        <v>text</v>
      </c>
      <c r="H933" s="58"/>
      <c r="I933" s="23"/>
      <c r="J933" s="24"/>
      <c r="M933" s="4"/>
      <c r="N933" s="76"/>
      <c r="O933" s="76"/>
      <c r="P933" s="76" t="str">
        <f t="shared" si="121"/>
        <v>,pma_ct_flg</v>
      </c>
      <c r="Q933" s="76" t="str">
        <f t="shared" si="116"/>
        <v>TEXT</v>
      </c>
      <c r="R933" s="76" t="str">
        <f t="shared" si="117"/>
        <v/>
      </c>
      <c r="S933" s="76" t="str">
        <f t="shared" si="118"/>
        <v/>
      </c>
      <c r="T933" s="76" t="str">
        <f t="shared" si="119"/>
        <v>-- 分染法加算（染色体検査）_実施有無</v>
      </c>
      <c r="U933" s="4"/>
      <c r="AA933" s="4"/>
      <c r="AB933" s="4"/>
      <c r="AC933" s="4"/>
      <c r="AD933" s="4"/>
      <c r="AE933" s="4"/>
      <c r="AF933" s="4"/>
      <c r="AG933" s="4"/>
      <c r="AH933" s="4"/>
      <c r="AI933" s="4"/>
      <c r="AJ933" s="76" t="str">
        <f>IF(E933="○",IF(COUNTA(E$13:E933)=1,"",",")&amp;D933,"")</f>
        <v/>
      </c>
      <c r="AK933" s="4"/>
      <c r="AL933" s="4"/>
      <c r="AM933" s="4"/>
      <c r="AN933" s="4"/>
      <c r="AO933" s="4"/>
      <c r="AP933" s="4"/>
      <c r="AQ933" s="4"/>
      <c r="AR933" s="4"/>
      <c r="AS933" s="76" t="str">
        <f>"COMMENT ON COLUMN "&amp;エンティティ一覧!$O$2&amp;"."&amp;D$8&amp;"."&amp;D933&amp;" IS '"&amp;C933&amp;"';"</f>
        <v>COMMENT ON COLUMN milscm_2023_009.sny_202310_annony_non_annony2.pma_ct_flg IS '分染法加算（染色体検査）_実施有無';</v>
      </c>
    </row>
    <row r="934" spans="1:52" s="25" customFormat="1" ht="31.5">
      <c r="A934" s="4"/>
      <c r="B934" s="21">
        <f t="shared" si="115"/>
        <v>922</v>
      </c>
      <c r="C934" s="13" t="s">
        <v>4631</v>
      </c>
      <c r="D934" s="13" t="s">
        <v>4544</v>
      </c>
      <c r="E934" s="7"/>
      <c r="F934" s="7" t="s">
        <v>4176</v>
      </c>
      <c r="G934" s="7" t="str">
        <f t="shared" si="123"/>
        <v>text</v>
      </c>
      <c r="H934" s="58"/>
      <c r="I934" s="23"/>
      <c r="J934" s="24"/>
      <c r="M934" s="4"/>
      <c r="N934" s="76"/>
      <c r="O934" s="76"/>
      <c r="P934" s="76" t="str">
        <f t="shared" si="121"/>
        <v>,bmt_allogeneic_flg</v>
      </c>
      <c r="Q934" s="76" t="str">
        <f t="shared" si="116"/>
        <v>TEXT</v>
      </c>
      <c r="R934" s="76" t="str">
        <f t="shared" si="117"/>
        <v/>
      </c>
      <c r="S934" s="76" t="str">
        <f t="shared" si="118"/>
        <v/>
      </c>
      <c r="T934" s="76" t="str">
        <f t="shared" si="119"/>
        <v>-- 造血幹細胞移植（骨髄移植）（同種移植）_実施有無</v>
      </c>
      <c r="U934" s="4"/>
      <c r="AA934" s="4"/>
      <c r="AB934" s="4"/>
      <c r="AC934" s="4"/>
      <c r="AD934" s="4"/>
      <c r="AE934" s="4"/>
      <c r="AF934" s="4"/>
      <c r="AG934" s="4"/>
      <c r="AH934" s="4"/>
      <c r="AI934" s="4"/>
      <c r="AJ934" s="76" t="str">
        <f>IF(E934="○",IF(COUNTA(E$13:E934)=1,"",",")&amp;D934,"")</f>
        <v/>
      </c>
      <c r="AK934" s="4"/>
      <c r="AL934" s="4"/>
      <c r="AM934" s="4"/>
      <c r="AN934" s="4"/>
      <c r="AO934" s="4"/>
      <c r="AP934" s="4"/>
      <c r="AQ934" s="4"/>
      <c r="AR934" s="4"/>
      <c r="AS934" s="76" t="str">
        <f>"COMMENT ON COLUMN "&amp;エンティティ一覧!$O$2&amp;"."&amp;D$8&amp;"."&amp;D934&amp;" IS '"&amp;C934&amp;"';"</f>
        <v>COMMENT ON COLUMN milscm_2023_009.sny_202310_annony_non_annony2.bmt_allogeneic_flg IS '造血幹細胞移植（骨髄移植）（同種移植）_実施有無';</v>
      </c>
    </row>
    <row r="935" spans="1:52" s="25" customFormat="1" ht="31.5">
      <c r="A935" s="4"/>
      <c r="B935" s="21">
        <f t="shared" si="115"/>
        <v>923</v>
      </c>
      <c r="C935" s="13" t="s">
        <v>4632</v>
      </c>
      <c r="D935" s="13" t="s">
        <v>4547</v>
      </c>
      <c r="E935" s="7"/>
      <c r="F935" s="7" t="s">
        <v>4176</v>
      </c>
      <c r="G935" s="7" t="str">
        <f t="shared" si="123"/>
        <v>text</v>
      </c>
      <c r="H935" s="58"/>
      <c r="I935" s="23"/>
      <c r="J935" s="24"/>
      <c r="M935" s="4"/>
      <c r="N935" s="76"/>
      <c r="O935" s="76"/>
      <c r="P935" s="76" t="str">
        <f t="shared" si="121"/>
        <v>,bmt_autologous_flg</v>
      </c>
      <c r="Q935" s="76" t="str">
        <f t="shared" si="116"/>
        <v>TEXT</v>
      </c>
      <c r="R935" s="76" t="str">
        <f t="shared" si="117"/>
        <v/>
      </c>
      <c r="S935" s="76" t="str">
        <f t="shared" si="118"/>
        <v/>
      </c>
      <c r="T935" s="76" t="str">
        <f t="shared" si="119"/>
        <v>-- 造血幹細胞移植（骨髄移植）（自家移植）_実施有無</v>
      </c>
      <c r="U935" s="4"/>
      <c r="AA935" s="4"/>
      <c r="AB935" s="4"/>
      <c r="AC935" s="4"/>
      <c r="AD935" s="4"/>
      <c r="AE935" s="4"/>
      <c r="AF935" s="4"/>
      <c r="AG935" s="4"/>
      <c r="AH935" s="4"/>
      <c r="AI935" s="4"/>
      <c r="AJ935" s="76" t="str">
        <f>IF(E935="○",IF(COUNTA(E$13:E935)=1,"",",")&amp;D935,"")</f>
        <v/>
      </c>
      <c r="AK935" s="4"/>
      <c r="AL935" s="4"/>
      <c r="AM935" s="4"/>
      <c r="AN935" s="4"/>
      <c r="AO935" s="4"/>
      <c r="AP935" s="4"/>
      <c r="AQ935" s="4"/>
      <c r="AR935" s="4"/>
      <c r="AS935" s="76" t="str">
        <f>"COMMENT ON COLUMN "&amp;エンティティ一覧!$O$2&amp;"."&amp;D$8&amp;"."&amp;D935&amp;" IS '"&amp;C935&amp;"';"</f>
        <v>COMMENT ON COLUMN milscm_2023_009.sny_202310_annony_non_annony2.bmt_autologous_flg IS '造血幹細胞移植（骨髄移植）（自家移植）_実施有無';</v>
      </c>
    </row>
    <row r="936" spans="1:52" s="25" customFormat="1" ht="31.5">
      <c r="A936" s="4"/>
      <c r="B936" s="21">
        <f t="shared" si="115"/>
        <v>924</v>
      </c>
      <c r="C936" s="13" t="s">
        <v>4633</v>
      </c>
      <c r="D936" s="13" t="s">
        <v>4548</v>
      </c>
      <c r="E936" s="7"/>
      <c r="F936" s="7" t="s">
        <v>4176</v>
      </c>
      <c r="G936" s="7" t="str">
        <f t="shared" si="123"/>
        <v>text</v>
      </c>
      <c r="H936" s="58"/>
      <c r="I936" s="23"/>
      <c r="J936" s="24"/>
      <c r="M936" s="4"/>
      <c r="N936" s="76"/>
      <c r="O936" s="76"/>
      <c r="P936" s="76" t="str">
        <f t="shared" si="121"/>
        <v>,pbsct_autologous_flg</v>
      </c>
      <c r="Q936" s="76" t="str">
        <f t="shared" si="116"/>
        <v>TEXT</v>
      </c>
      <c r="R936" s="76" t="str">
        <f t="shared" si="117"/>
        <v/>
      </c>
      <c r="S936" s="76" t="str">
        <f t="shared" si="118"/>
        <v/>
      </c>
      <c r="T936" s="76" t="str">
        <f t="shared" si="119"/>
        <v>-- 造血幹細胞移植（末梢血幹細胞移植）（自家移植）_実施有無</v>
      </c>
      <c r="U936" s="4"/>
      <c r="AA936" s="4"/>
      <c r="AB936" s="4"/>
      <c r="AC936" s="4"/>
      <c r="AD936" s="4"/>
      <c r="AE936" s="4"/>
      <c r="AF936" s="4"/>
      <c r="AG936" s="4"/>
      <c r="AH936" s="4"/>
      <c r="AI936" s="4"/>
      <c r="AJ936" s="76" t="str">
        <f>IF(E936="○",IF(COUNTA(E$13:E936)=1,"",",")&amp;D936,"")</f>
        <v/>
      </c>
      <c r="AK936" s="4"/>
      <c r="AL936" s="4"/>
      <c r="AM936" s="4"/>
      <c r="AN936" s="4"/>
      <c r="AO936" s="4"/>
      <c r="AP936" s="4"/>
      <c r="AQ936" s="4"/>
      <c r="AR936" s="4"/>
      <c r="AS936" s="76" t="str">
        <f>"COMMENT ON COLUMN "&amp;エンティティ一覧!$O$2&amp;"."&amp;D$8&amp;"."&amp;D936&amp;" IS '"&amp;C936&amp;"';"</f>
        <v>COMMENT ON COLUMN milscm_2023_009.sny_202310_annony_non_annony2.pbsct_autologous_flg IS '造血幹細胞移植（末梢血幹細胞移植）（自家移植）_実施有無';</v>
      </c>
    </row>
    <row r="937" spans="1:52" s="25" customFormat="1" ht="31.5">
      <c r="A937" s="4"/>
      <c r="B937" s="21">
        <f t="shared" si="115"/>
        <v>925</v>
      </c>
      <c r="C937" s="13" t="s">
        <v>4634</v>
      </c>
      <c r="D937" s="13" t="s">
        <v>4559</v>
      </c>
      <c r="E937" s="7"/>
      <c r="F937" s="7" t="s">
        <v>4176</v>
      </c>
      <c r="G937" s="7" t="str">
        <f t="shared" si="123"/>
        <v>text</v>
      </c>
      <c r="H937" s="58"/>
      <c r="I937" s="23"/>
      <c r="J937" s="24"/>
      <c r="M937" s="4"/>
      <c r="N937" s="76"/>
      <c r="O937" s="76"/>
      <c r="P937" s="76" t="str">
        <f t="shared" si="121"/>
        <v>,pbsct_allogeneic_flg</v>
      </c>
      <c r="Q937" s="76" t="str">
        <f t="shared" si="116"/>
        <v>TEXT</v>
      </c>
      <c r="R937" s="76" t="str">
        <f t="shared" si="117"/>
        <v/>
      </c>
      <c r="S937" s="76" t="str">
        <f t="shared" si="118"/>
        <v/>
      </c>
      <c r="T937" s="76" t="str">
        <f t="shared" si="119"/>
        <v>-- 造血幹細胞移植（末梢血幹細胞移植）（同種移植）_実施有無</v>
      </c>
      <c r="U937" s="4"/>
      <c r="AA937" s="4"/>
      <c r="AB937" s="4"/>
      <c r="AC937" s="4"/>
      <c r="AD937" s="4"/>
      <c r="AE937" s="4"/>
      <c r="AF937" s="4"/>
      <c r="AG937" s="4"/>
      <c r="AH937" s="4"/>
      <c r="AI937" s="4"/>
      <c r="AJ937" s="76" t="str">
        <f>IF(E937="○",IF(COUNTA(E$13:E937)=1,"",",")&amp;D937,"")</f>
        <v/>
      </c>
      <c r="AK937" s="4"/>
      <c r="AL937" s="4"/>
      <c r="AM937" s="4"/>
      <c r="AN937" s="4"/>
      <c r="AO937" s="4"/>
      <c r="AP937" s="4"/>
      <c r="AQ937" s="4"/>
      <c r="AR937" s="4"/>
      <c r="AS937" s="76" t="str">
        <f>"COMMENT ON COLUMN "&amp;エンティティ一覧!$O$2&amp;"."&amp;D$8&amp;"."&amp;D937&amp;" IS '"&amp;C937&amp;"';"</f>
        <v>COMMENT ON COLUMN milscm_2023_009.sny_202310_annony_non_annony2.pbsct_allogeneic_flg IS '造血幹細胞移植（末梢血幹細胞移植）（同種移植）_実施有無';</v>
      </c>
    </row>
    <row r="938" spans="1:52" s="25" customFormat="1" ht="32.25" thickBot="1">
      <c r="A938" s="4"/>
      <c r="B938" s="27">
        <f>ROW()-12</f>
        <v>926</v>
      </c>
      <c r="C938" s="57" t="s">
        <v>4537</v>
      </c>
      <c r="D938" s="57" t="s">
        <v>4543</v>
      </c>
      <c r="E938" s="56"/>
      <c r="F938" s="56" t="s">
        <v>4176</v>
      </c>
      <c r="G938" s="56" t="str">
        <f t="shared" si="123"/>
        <v>text</v>
      </c>
      <c r="H938" s="59"/>
      <c r="I938" s="60"/>
      <c r="J938" s="64"/>
      <c r="N938" s="76"/>
      <c r="O938" s="76"/>
      <c r="P938" s="76" t="str">
        <f t="shared" si="121"/>
        <v>,ucbt_flg</v>
      </c>
      <c r="Q938" s="76" t="str">
        <f t="shared" si="116"/>
        <v>TEXT</v>
      </c>
      <c r="R938" s="76" t="str">
        <f t="shared" si="117"/>
        <v/>
      </c>
      <c r="S938" s="76" t="str">
        <f t="shared" si="118"/>
        <v/>
      </c>
      <c r="T938" s="76" t="str">
        <f t="shared" si="119"/>
        <v>-- 造血幹細胞移植（臍帯血移植）_実施有無</v>
      </c>
      <c r="U938" s="4"/>
      <c r="AA938" s="4"/>
      <c r="AB938" s="4"/>
      <c r="AC938" s="4"/>
      <c r="AD938" s="4"/>
      <c r="AE938" s="4"/>
      <c r="AF938" s="4"/>
      <c r="AG938" s="4"/>
      <c r="AH938" s="4"/>
      <c r="AI938" s="4"/>
      <c r="AJ938" s="76" t="str">
        <f>IF(E938="○",IF(COUNTA(E$13:E938)=1,"",",")&amp;D938,"")</f>
        <v/>
      </c>
      <c r="AK938" s="4"/>
      <c r="AL938" s="4"/>
      <c r="AM938" s="4"/>
      <c r="AN938" s="4"/>
      <c r="AO938" s="4"/>
      <c r="AP938" s="4"/>
      <c r="AQ938" s="4"/>
      <c r="AR938" s="4"/>
      <c r="AS938" s="76" t="str">
        <f>"COMMENT ON COLUMN "&amp;エンティティ一覧!$O$2&amp;"."&amp;D$8&amp;"."&amp;D938&amp;" IS '"&amp;C938&amp;"';"</f>
        <v>COMMENT ON COLUMN milscm_2023_009.sny_202310_annony_non_annony2.ucbt_flg IS '造血幹細胞移植（臍帯血移植）_実施有無';</v>
      </c>
    </row>
    <row r="939" spans="1:52">
      <c r="L939" s="25"/>
      <c r="M939" s="25"/>
      <c r="N939" s="76" t="s">
        <v>142</v>
      </c>
      <c r="O939" s="76"/>
      <c r="P939" s="76"/>
      <c r="Q939" s="76"/>
      <c r="R939" s="76"/>
      <c r="S939" s="76"/>
      <c r="T939" s="76"/>
      <c r="V939" s="25"/>
      <c r="W939" s="25"/>
      <c r="X939" s="25"/>
      <c r="Y939" s="25"/>
      <c r="Z939" s="25"/>
      <c r="AJ939" s="76" t="s">
        <v>142</v>
      </c>
      <c r="AT939" s="25"/>
      <c r="AU939" s="25"/>
      <c r="AV939" s="25"/>
      <c r="AW939" s="25"/>
      <c r="AX939" s="25"/>
      <c r="AY939" s="25"/>
      <c r="AZ939" s="25"/>
    </row>
    <row r="940" spans="1:52">
      <c r="L940" s="25"/>
      <c r="M940" s="25"/>
      <c r="AT940" s="25"/>
      <c r="AU940" s="25"/>
      <c r="AV940" s="25"/>
      <c r="AW940" s="25"/>
      <c r="AX940" s="25"/>
      <c r="AY940" s="25"/>
      <c r="AZ940" s="25"/>
    </row>
    <row r="941" spans="1:52">
      <c r="L941" s="25"/>
      <c r="M941" s="25"/>
      <c r="AT941" s="25"/>
      <c r="AU941" s="25"/>
      <c r="AV941" s="25"/>
      <c r="AW941" s="25"/>
      <c r="AX941" s="25"/>
      <c r="AY941" s="25"/>
      <c r="AZ941" s="25"/>
    </row>
    <row r="942" spans="1:52">
      <c r="L942" s="25"/>
      <c r="M942" s="25"/>
      <c r="AT942" s="25"/>
      <c r="AU942" s="25"/>
      <c r="AV942" s="25"/>
      <c r="AW942" s="25"/>
      <c r="AX942" s="25"/>
      <c r="AY942" s="25"/>
      <c r="AZ942" s="25"/>
    </row>
    <row r="943" spans="1:52">
      <c r="L943" s="25"/>
      <c r="M943" s="25"/>
      <c r="AT943" s="25"/>
      <c r="AU943" s="25"/>
      <c r="AV943" s="25"/>
      <c r="AW943" s="25"/>
      <c r="AX943" s="25"/>
      <c r="AY943" s="25"/>
      <c r="AZ943" s="25"/>
    </row>
    <row r="944" spans="1:52">
      <c r="L944" s="25"/>
      <c r="M944" s="25"/>
      <c r="AT944" s="25"/>
      <c r="AU944" s="25"/>
      <c r="AV944" s="25"/>
      <c r="AW944" s="25"/>
      <c r="AX944" s="25"/>
      <c r="AY944" s="25"/>
      <c r="AZ944" s="25"/>
    </row>
    <row r="945" spans="12:52">
      <c r="L945" s="25"/>
      <c r="M945" s="25"/>
      <c r="AT945" s="25"/>
      <c r="AU945" s="25"/>
      <c r="AV945" s="25"/>
      <c r="AW945" s="25"/>
      <c r="AX945" s="25"/>
      <c r="AY945" s="25"/>
      <c r="AZ945" s="25"/>
    </row>
    <row r="946" spans="12:52">
      <c r="L946" s="25"/>
      <c r="M946" s="25"/>
      <c r="AT946" s="25"/>
      <c r="AU946" s="25"/>
      <c r="AV946" s="25"/>
      <c r="AW946" s="25"/>
      <c r="AX946" s="25"/>
      <c r="AY946" s="25"/>
      <c r="AZ946" s="25"/>
    </row>
    <row r="947" spans="12:52">
      <c r="L947" s="25"/>
      <c r="M947" s="25"/>
      <c r="AT947" s="25"/>
      <c r="AU947" s="25"/>
      <c r="AV947" s="25"/>
      <c r="AW947" s="25"/>
      <c r="AX947" s="25"/>
      <c r="AY947" s="25"/>
      <c r="AZ947" s="25"/>
    </row>
    <row r="948" spans="12:52">
      <c r="L948" s="25"/>
      <c r="M948" s="25"/>
      <c r="AT948" s="25"/>
      <c r="AU948" s="25"/>
      <c r="AV948" s="25"/>
      <c r="AW948" s="25"/>
      <c r="AX948" s="25"/>
      <c r="AY948" s="25"/>
      <c r="AZ948" s="25"/>
    </row>
    <row r="949" spans="12:52">
      <c r="L949" s="25"/>
      <c r="M949" s="25"/>
      <c r="AV949" s="25"/>
      <c r="AW949" s="25"/>
      <c r="AX949" s="25"/>
      <c r="AY949" s="25"/>
      <c r="AZ949" s="25"/>
    </row>
    <row r="950" spans="12:52">
      <c r="M950" s="25"/>
    </row>
    <row r="951" spans="12:52">
      <c r="M951" s="25"/>
    </row>
    <row r="952" spans="12:52">
      <c r="M952" s="25"/>
    </row>
    <row r="953" spans="12:52">
      <c r="M953" s="25"/>
    </row>
    <row r="954" spans="12:52">
      <c r="M954" s="25"/>
    </row>
    <row r="955" spans="12:52">
      <c r="M9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45"/>
  <sheetViews>
    <sheetView showGridLines="0" tabSelected="1" topLeftCell="D878" zoomScale="85" zoomScaleNormal="85" workbookViewId="0">
      <selection activeCell="V9" sqref="V9:V89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23" width="2.625" style="4"/>
    <col min="24" max="24" width="2.875" style="4" bestFit="1" customWidth="1"/>
    <col min="25" max="35" width="2.625" style="4"/>
    <col min="36" max="36" width="2.875" style="4" bestFit="1" customWidth="1"/>
    <col min="37" max="16384" width="2.625" style="4"/>
  </cols>
  <sheetData>
    <row r="1" spans="1:45" ht="19.5" thickBot="1">
      <c r="B1" s="20" t="s">
        <v>118</v>
      </c>
      <c r="C1" s="19"/>
      <c r="D1" s="5"/>
      <c r="E1" s="5"/>
      <c r="F1" s="5"/>
      <c r="G1" s="5"/>
      <c r="H1" s="5"/>
      <c r="I1" s="5"/>
      <c r="J1" s="18"/>
      <c r="N1" s="76" t="e">
        <f>"CREATE TABLE  "&amp;エンティティ一覧!$O$2&amp;"."&amp;#REF!</f>
        <v>#REF!</v>
      </c>
      <c r="O1" s="76"/>
      <c r="P1" s="76"/>
      <c r="Q1" s="76"/>
      <c r="R1" s="76"/>
      <c r="S1" s="76"/>
      <c r="T1" s="76"/>
      <c r="AJ1" s="76" t="e">
        <f>"ADD CONSTRAINT "&amp;#REF!&amp;"_pkey PRIMARY KEY"</f>
        <v>#REF!</v>
      </c>
      <c r="AS1" s="76"/>
    </row>
    <row r="2" spans="1:45">
      <c r="B2" s="47" t="s">
        <v>119</v>
      </c>
      <c r="C2" s="48" t="s">
        <v>120</v>
      </c>
      <c r="D2" s="46" t="s">
        <v>121</v>
      </c>
      <c r="E2" s="44" t="s">
        <v>161</v>
      </c>
      <c r="F2" s="49" t="s">
        <v>122</v>
      </c>
      <c r="G2" s="49" t="s">
        <v>123</v>
      </c>
      <c r="H2" s="44" t="s">
        <v>124</v>
      </c>
      <c r="I2" s="44" t="s">
        <v>125</v>
      </c>
      <c r="J2" s="45" t="s">
        <v>126</v>
      </c>
      <c r="N2" s="76" t="s">
        <v>141</v>
      </c>
      <c r="O2" s="76"/>
      <c r="P2" s="76"/>
      <c r="Q2" s="76"/>
      <c r="R2" s="76"/>
      <c r="S2" s="76"/>
      <c r="T2" s="76"/>
      <c r="W2" s="4" t="s">
        <v>4658</v>
      </c>
      <c r="X2" s="4" t="s">
        <v>4659</v>
      </c>
      <c r="Y2" s="4" t="s">
        <v>4660</v>
      </c>
      <c r="AJ2" s="76" t="s">
        <v>141</v>
      </c>
      <c r="AS2" s="76" t="e">
        <f>"COMMENT ON TABLE "&amp;エンティティ一覧!$O$2&amp;"."&amp;#REF!&amp;" IS '"&amp;#REF!&amp;"';"</f>
        <v>#REF!</v>
      </c>
    </row>
    <row r="3" spans="1:45" s="25" customFormat="1">
      <c r="A3" s="4"/>
      <c r="B3" s="21">
        <f>ROW()-2</f>
        <v>1</v>
      </c>
      <c r="C3" s="6" t="s">
        <v>4071</v>
      </c>
      <c r="D3" s="6" t="s">
        <v>4072</v>
      </c>
      <c r="E3" s="8" t="s">
        <v>127</v>
      </c>
      <c r="F3" s="8" t="s">
        <v>4176</v>
      </c>
      <c r="G3" s="7" t="str">
        <f>IF(F3="フラグ","boolean",IF(F3="文字列","text",IF(F3="整数","integer",IF(F3="実数","numeric",""))))</f>
        <v>text</v>
      </c>
      <c r="H3" s="9"/>
      <c r="I3" s="10" t="s">
        <v>127</v>
      </c>
      <c r="J3" s="11"/>
      <c r="M3" s="4"/>
      <c r="N3" s="76"/>
      <c r="O3" s="76"/>
      <c r="P3" s="76" t="str">
        <f>IF(B3&lt;&gt;1,","&amp;D3,D3)</f>
        <v>mask_id</v>
      </c>
      <c r="Q3" s="76" t="str">
        <f t="shared" ref="Q3:Q8" si="0">UPPER(G3)</f>
        <v>TEXT</v>
      </c>
      <c r="R3" s="76" t="str">
        <f t="shared" ref="R3:R8" si="1">IF(H3&lt;&gt;"","default "&amp;IF(G3="text","'"&amp;H3&amp;"'",H3),"")</f>
        <v/>
      </c>
      <c r="S3" s="76" t="str">
        <f>IF(I3="○","NOT NULL","")</f>
        <v>NOT NULL</v>
      </c>
      <c r="T3" s="76" t="str">
        <f>"-- "&amp;C3</f>
        <v>-- マスクID</v>
      </c>
      <c r="U3" s="4" t="str">
        <f>IF(B3&lt;&gt;1,",","")&amp;"'"&amp;D3&amp;"'"</f>
        <v>'mask_id'</v>
      </c>
      <c r="V3" s="25" t="str">
        <f>U3&amp;" : '"&amp;C3&amp;"'"</f>
        <v>'mask_id' : 'マスクID'</v>
      </c>
      <c r="W3" s="25">
        <v>1</v>
      </c>
      <c r="X3" s="25">
        <v>1</v>
      </c>
      <c r="Y3" s="25">
        <v>1</v>
      </c>
      <c r="AA3" s="4"/>
      <c r="AB3" s="4"/>
      <c r="AC3" s="4"/>
      <c r="AD3" s="4"/>
      <c r="AE3" s="4"/>
      <c r="AF3" s="4"/>
      <c r="AG3" s="4"/>
      <c r="AH3" s="4"/>
      <c r="AI3" s="4"/>
      <c r="AJ3" s="76" t="str">
        <f>IF(E3="○",IF(COUNTA(E$3:E3)=1,"",",")&amp;D3,"")</f>
        <v>mask_id</v>
      </c>
      <c r="AK3" s="4"/>
      <c r="AL3" s="4"/>
      <c r="AM3" s="4"/>
      <c r="AN3" s="4"/>
      <c r="AO3" s="4"/>
      <c r="AP3" s="4"/>
      <c r="AQ3" s="4"/>
      <c r="AR3" s="4"/>
      <c r="AS3" s="76" t="e">
        <f>"COMMENT ON COLUMN "&amp;エンティティ一覧!$O$2&amp;"."&amp;#REF!&amp;"."&amp;D3&amp;" IS '"&amp;C3&amp;"';"</f>
        <v>#REF!</v>
      </c>
    </row>
    <row r="4" spans="1:45" s="25" customFormat="1">
      <c r="A4" s="4"/>
      <c r="B4" s="21">
        <f t="shared" ref="B4:B67" si="2">ROW()-2</f>
        <v>2</v>
      </c>
      <c r="C4" s="13" t="s">
        <v>4177</v>
      </c>
      <c r="D4" s="13" t="s">
        <v>945</v>
      </c>
      <c r="E4" s="7"/>
      <c r="F4" s="7" t="s">
        <v>1780</v>
      </c>
      <c r="G4" s="7" t="str">
        <f t="shared" ref="G4:G5" si="3">IF(F4="フラグ","boolean",IF(F4="文字列","text",IF(F4="整数","integer",IF(F4="実数","numeric",""))))</f>
        <v>text</v>
      </c>
      <c r="H4" s="58"/>
      <c r="I4" s="23" t="s">
        <v>127</v>
      </c>
      <c r="J4" s="24" t="s">
        <v>4635</v>
      </c>
      <c r="M4" s="4"/>
      <c r="N4" s="76"/>
      <c r="O4" s="76"/>
      <c r="P4" s="76" t="str">
        <f t="shared" ref="P4:P8" si="4">IF(B4&lt;&gt;1,","&amp;D4,D4)</f>
        <v>,sex_kubun</v>
      </c>
      <c r="Q4" s="76" t="str">
        <f t="shared" si="0"/>
        <v>TEXT</v>
      </c>
      <c r="R4" s="76" t="str">
        <f t="shared" si="1"/>
        <v/>
      </c>
      <c r="S4" s="76" t="str">
        <f t="shared" ref="S4:S8" si="5">IF(I4="○","NOT NULL","")</f>
        <v>NOT NULL</v>
      </c>
      <c r="T4" s="76" t="str">
        <f t="shared" ref="T4:T8" si="6">"-- "&amp;C4</f>
        <v>-- 男女区分</v>
      </c>
      <c r="U4" s="4" t="str">
        <f t="shared" ref="U4:U8" si="7">IF(B4&lt;&gt;1,",","")&amp;"'"&amp;D4&amp;"'"</f>
        <v>,'sex_kubun'</v>
      </c>
      <c r="V4" s="25" t="str">
        <f t="shared" ref="V4:V200" si="8">U4&amp;" : '"&amp;C4&amp;"'"</f>
        <v>,'sex_kubun' : '男女区分'</v>
      </c>
      <c r="W4" s="25">
        <v>1</v>
      </c>
      <c r="X4" s="25">
        <v>1</v>
      </c>
      <c r="Y4" s="25">
        <v>1</v>
      </c>
      <c r="AA4" s="4"/>
      <c r="AB4" s="4"/>
      <c r="AC4" s="4"/>
      <c r="AD4" s="4"/>
      <c r="AE4" s="4"/>
      <c r="AF4" s="4"/>
      <c r="AG4" s="4"/>
      <c r="AH4" s="4"/>
      <c r="AI4" s="4"/>
      <c r="AJ4" s="76" t="str">
        <f>IF(E4="○",IF(COUNTA(E$3:E4)=1,"",",")&amp;D4,"")</f>
        <v/>
      </c>
      <c r="AK4" s="4"/>
      <c r="AL4" s="4"/>
      <c r="AM4" s="4"/>
      <c r="AN4" s="4"/>
      <c r="AO4" s="4"/>
      <c r="AP4" s="4"/>
      <c r="AQ4" s="4"/>
      <c r="AR4" s="4"/>
      <c r="AS4" s="76" t="e">
        <f>"COMMENT ON COLUMN "&amp;エンティティ一覧!$O$2&amp;"."&amp;#REF!&amp;"."&amp;D4&amp;" IS '"&amp;C4&amp;"';"</f>
        <v>#REF!</v>
      </c>
    </row>
    <row r="5" spans="1:45" s="25" customFormat="1" ht="75">
      <c r="A5" s="4"/>
      <c r="B5" s="21">
        <f t="shared" si="2"/>
        <v>3</v>
      </c>
      <c r="C5" s="13" t="s">
        <v>4316</v>
      </c>
      <c r="D5" s="13" t="s">
        <v>4315</v>
      </c>
      <c r="E5" s="7"/>
      <c r="F5" s="7" t="s">
        <v>1780</v>
      </c>
      <c r="G5" s="7" t="str">
        <f t="shared" si="3"/>
        <v>text</v>
      </c>
      <c r="H5" s="58"/>
      <c r="I5" s="23" t="s">
        <v>127</v>
      </c>
      <c r="J5" s="24" t="s">
        <v>4636</v>
      </c>
      <c r="M5" s="4"/>
      <c r="N5" s="76"/>
      <c r="O5" s="76"/>
      <c r="P5" s="76" t="str">
        <f t="shared" si="4"/>
        <v>,age</v>
      </c>
      <c r="Q5" s="76" t="str">
        <f t="shared" si="0"/>
        <v>TEXT</v>
      </c>
      <c r="R5" s="76" t="str">
        <f t="shared" si="1"/>
        <v/>
      </c>
      <c r="S5" s="76" t="str">
        <f t="shared" si="5"/>
        <v>NOT NULL</v>
      </c>
      <c r="T5" s="76" t="str">
        <f t="shared" si="6"/>
        <v>-- 年齢</v>
      </c>
      <c r="U5" s="4" t="str">
        <f t="shared" si="7"/>
        <v>,'age'</v>
      </c>
      <c r="V5" s="25" t="str">
        <f t="shared" si="8"/>
        <v>,'age' : '年齢'</v>
      </c>
      <c r="W5" s="25">
        <v>1</v>
      </c>
      <c r="X5" s="25">
        <v>1</v>
      </c>
      <c r="Y5" s="25">
        <v>1</v>
      </c>
      <c r="AA5" s="4"/>
      <c r="AB5" s="4"/>
      <c r="AC5" s="4"/>
      <c r="AD5" s="4"/>
      <c r="AE5" s="4"/>
      <c r="AF5" s="4"/>
      <c r="AG5" s="4"/>
      <c r="AH5" s="4"/>
      <c r="AI5" s="4"/>
      <c r="AJ5" s="76" t="str">
        <f>IF(E5="○",IF(COUNTA(E$3:E5)=1,"",",")&amp;D5,"")</f>
        <v/>
      </c>
      <c r="AK5" s="4"/>
      <c r="AL5" s="4"/>
      <c r="AM5" s="4"/>
      <c r="AN5" s="4"/>
      <c r="AO5" s="4"/>
      <c r="AP5" s="4"/>
      <c r="AQ5" s="4"/>
      <c r="AR5" s="4"/>
      <c r="AS5" s="76" t="e">
        <f>"COMMENT ON COLUMN "&amp;エンティティ一覧!$O$2&amp;"."&amp;#REF!&amp;"."&amp;D5&amp;" IS '"&amp;C5&amp;"';"</f>
        <v>#REF!</v>
      </c>
    </row>
    <row r="6" spans="1:45" s="25" customFormat="1">
      <c r="A6" s="4"/>
      <c r="B6" s="21">
        <f t="shared" si="2"/>
        <v>4</v>
      </c>
      <c r="C6" s="13" t="s">
        <v>4588</v>
      </c>
      <c r="D6" s="13" t="s">
        <v>4297</v>
      </c>
      <c r="E6" s="7"/>
      <c r="F6" s="7" t="s">
        <v>4216</v>
      </c>
      <c r="G6" s="7" t="s">
        <v>4443</v>
      </c>
      <c r="H6" s="58"/>
      <c r="I6" s="23" t="s">
        <v>127</v>
      </c>
      <c r="J6" s="24"/>
      <c r="M6" s="4"/>
      <c r="N6" s="76"/>
      <c r="O6" s="76"/>
      <c r="P6" s="76" t="str">
        <f t="shared" si="4"/>
        <v>,kansatsu_start_date</v>
      </c>
      <c r="Q6" s="76" t="str">
        <f t="shared" si="0"/>
        <v>DATE</v>
      </c>
      <c r="R6" s="76" t="str">
        <f t="shared" si="1"/>
        <v/>
      </c>
      <c r="S6" s="76" t="str">
        <f t="shared" si="5"/>
        <v>NOT NULL</v>
      </c>
      <c r="T6" s="76" t="str">
        <f t="shared" si="6"/>
        <v>-- 観察開始日</v>
      </c>
      <c r="U6" s="4" t="str">
        <f t="shared" si="7"/>
        <v>,'kansatsu_start_date'</v>
      </c>
      <c r="V6" s="25" t="str">
        <f t="shared" si="8"/>
        <v>,'kansatsu_start_date' : '観察開始日'</v>
      </c>
      <c r="X6" s="25">
        <v>1</v>
      </c>
      <c r="AA6" s="4"/>
      <c r="AB6" s="4"/>
      <c r="AC6" s="4"/>
      <c r="AD6" s="4"/>
      <c r="AE6" s="4"/>
      <c r="AF6" s="4"/>
      <c r="AG6" s="4"/>
      <c r="AH6" s="4"/>
      <c r="AI6" s="4"/>
      <c r="AJ6" s="76" t="str">
        <f>IF(E6="○",IF(COUNTA(E$3:E6)=1,"",",")&amp;D6,"")</f>
        <v/>
      </c>
      <c r="AK6" s="4"/>
      <c r="AL6" s="4"/>
      <c r="AM6" s="4"/>
      <c r="AN6" s="4"/>
      <c r="AO6" s="4"/>
      <c r="AP6" s="4"/>
      <c r="AQ6" s="4"/>
      <c r="AR6" s="4"/>
      <c r="AS6" s="76" t="e">
        <f>"COMMENT ON COLUMN "&amp;エンティティ一覧!$O$2&amp;"."&amp;#REF!&amp;"."&amp;D6&amp;" IS '"&amp;C6&amp;"';"</f>
        <v>#REF!</v>
      </c>
    </row>
    <row r="7" spans="1:45" s="25" customFormat="1">
      <c r="A7" s="4"/>
      <c r="B7" s="21">
        <f t="shared" si="2"/>
        <v>5</v>
      </c>
      <c r="C7" s="13" t="s">
        <v>4589</v>
      </c>
      <c r="D7" s="13" t="s">
        <v>4298</v>
      </c>
      <c r="E7" s="7"/>
      <c r="F7" s="7" t="s">
        <v>4216</v>
      </c>
      <c r="G7" s="7" t="s">
        <v>25</v>
      </c>
      <c r="H7" s="58"/>
      <c r="I7" s="23" t="s">
        <v>127</v>
      </c>
      <c r="J7" s="24"/>
      <c r="M7" s="4"/>
      <c r="N7" s="76"/>
      <c r="O7" s="76"/>
      <c r="P7" s="76" t="str">
        <f t="shared" si="4"/>
        <v>,kansatsu_end_date</v>
      </c>
      <c r="Q7" s="76" t="str">
        <f t="shared" si="0"/>
        <v>DATE</v>
      </c>
      <c r="R7" s="76" t="str">
        <f t="shared" si="1"/>
        <v/>
      </c>
      <c r="S7" s="76" t="str">
        <f t="shared" si="5"/>
        <v>NOT NULL</v>
      </c>
      <c r="T7" s="76" t="str">
        <f t="shared" si="6"/>
        <v>-- 観察終了日</v>
      </c>
      <c r="U7" s="4" t="str">
        <f t="shared" si="7"/>
        <v>,'kansatsu_end_date'</v>
      </c>
      <c r="V7" s="25" t="str">
        <f t="shared" si="8"/>
        <v>,'kansatsu_end_date' : '観察終了日'</v>
      </c>
      <c r="X7" s="25">
        <v>1</v>
      </c>
      <c r="AA7" s="4"/>
      <c r="AB7" s="4"/>
      <c r="AC7" s="4"/>
      <c r="AD7" s="4"/>
      <c r="AE7" s="4"/>
      <c r="AF7" s="4"/>
      <c r="AG7" s="4"/>
      <c r="AH7" s="4"/>
      <c r="AI7" s="4"/>
      <c r="AJ7" s="76" t="str">
        <f>IF(E7="○",IF(COUNTA(E$3:E7)=1,"",",")&amp;D7,"")</f>
        <v/>
      </c>
      <c r="AK7" s="4"/>
      <c r="AL7" s="4"/>
      <c r="AM7" s="4"/>
      <c r="AN7" s="4"/>
      <c r="AO7" s="4"/>
      <c r="AP7" s="4"/>
      <c r="AQ7" s="4"/>
      <c r="AR7" s="4"/>
      <c r="AS7" s="76" t="e">
        <f>"COMMENT ON COLUMN "&amp;エンティティ一覧!$O$2&amp;"."&amp;#REF!&amp;"."&amp;D7&amp;" IS '"&amp;C7&amp;"';"</f>
        <v>#REF!</v>
      </c>
    </row>
    <row r="8" spans="1:45" s="25" customFormat="1" ht="31.5">
      <c r="A8" s="4"/>
      <c r="B8" s="21">
        <f t="shared" si="2"/>
        <v>6</v>
      </c>
      <c r="C8" s="13" t="s">
        <v>4590</v>
      </c>
      <c r="D8" s="13" t="s">
        <v>4320</v>
      </c>
      <c r="E8" s="7"/>
      <c r="F8" s="7" t="s">
        <v>4216</v>
      </c>
      <c r="G8" s="7" t="s">
        <v>25</v>
      </c>
      <c r="H8" s="58"/>
      <c r="I8" s="23" t="s">
        <v>127</v>
      </c>
      <c r="J8" s="24"/>
      <c r="N8" s="76"/>
      <c r="O8" s="76"/>
      <c r="P8" s="76" t="str">
        <f t="shared" si="4"/>
        <v>,main_diagnosis_start_date</v>
      </c>
      <c r="Q8" s="76" t="str">
        <f t="shared" si="0"/>
        <v>DATE</v>
      </c>
      <c r="R8" s="76" t="str">
        <f t="shared" si="1"/>
        <v/>
      </c>
      <c r="S8" s="76" t="str">
        <f t="shared" si="5"/>
        <v>NOT NULL</v>
      </c>
      <c r="T8" s="76" t="str">
        <f t="shared" si="6"/>
        <v>-- 主傷病開始日</v>
      </c>
      <c r="U8" s="4" t="str">
        <f t="shared" si="7"/>
        <v>,'main_diagnosis_start_date'</v>
      </c>
      <c r="V8" s="25" t="str">
        <f t="shared" si="8"/>
        <v>,'main_diagnosis_start_date' : '主傷病開始日'</v>
      </c>
      <c r="X8" s="25">
        <v>1</v>
      </c>
      <c r="AA8" s="4"/>
      <c r="AB8" s="4"/>
      <c r="AC8" s="4"/>
      <c r="AD8" s="4"/>
      <c r="AE8" s="4"/>
      <c r="AF8" s="4"/>
      <c r="AG8" s="4"/>
      <c r="AH8" s="4"/>
      <c r="AI8" s="4"/>
      <c r="AJ8" s="76" t="str">
        <f>IF(E8="○",IF(COUNTA(E$3:E8)=1,"",",")&amp;D8,"")</f>
        <v/>
      </c>
      <c r="AK8" s="4"/>
      <c r="AL8" s="4"/>
      <c r="AM8" s="4"/>
      <c r="AN8" s="4"/>
      <c r="AO8" s="4"/>
      <c r="AP8" s="4"/>
      <c r="AQ8" s="4"/>
      <c r="AR8" s="4"/>
      <c r="AS8" s="76" t="e">
        <f>"COMMENT ON COLUMN "&amp;エンティティ一覧!$O$2&amp;"."&amp;#REF!&amp;"."&amp;D8&amp;" IS '"&amp;C8&amp;"';"</f>
        <v>#REF!</v>
      </c>
    </row>
    <row r="9" spans="1:45" s="25" customFormat="1">
      <c r="A9" s="4" t="s">
        <v>5161</v>
      </c>
      <c r="B9" s="21">
        <f t="shared" si="2"/>
        <v>7</v>
      </c>
      <c r="C9" s="13" t="str">
        <f>A9&amp;"_疾患開始日"</f>
        <v>B180_疾患開始日</v>
      </c>
      <c r="D9" s="13" t="s">
        <v>4769</v>
      </c>
      <c r="E9" s="8"/>
      <c r="F9" s="7" t="s">
        <v>4348</v>
      </c>
      <c r="G9" s="7" t="s">
        <v>99</v>
      </c>
      <c r="H9" s="58"/>
      <c r="I9" s="23"/>
      <c r="J9" s="24"/>
      <c r="M9" s="4"/>
      <c r="N9" s="76"/>
      <c r="O9" s="76"/>
      <c r="P9" s="76" t="str">
        <f t="shared" ref="P9:P898" si="9">IF(B9&lt;&gt;1,","&amp;D9,D9)</f>
        <v>,shikkan1_start_date</v>
      </c>
      <c r="Q9" s="76" t="str">
        <f t="shared" ref="Q9:Q898" si="10">UPPER(G9)</f>
        <v>DATE</v>
      </c>
      <c r="R9" s="76" t="str">
        <f t="shared" ref="R9:R898" si="11">IF(H9&lt;&gt;"","default "&amp;IF(G9="text","'"&amp;H9&amp;"'",H9),"")</f>
        <v/>
      </c>
      <c r="S9" s="76" t="str">
        <f t="shared" ref="S9:S898" si="12">IF(I9="○","NOT NULL","")</f>
        <v/>
      </c>
      <c r="T9" s="76" t="str">
        <f t="shared" ref="T9:T898" si="13">"-- "&amp;C9</f>
        <v>-- B180_疾患開始日</v>
      </c>
      <c r="U9" s="4" t="str">
        <f t="shared" ref="U9:U72" si="14">IF(B9&lt;&gt;1,",","")&amp;"'"&amp;D9&amp;"'"</f>
        <v>,'shikkan1_start_date'</v>
      </c>
      <c r="V9" s="25" t="str">
        <f t="shared" si="8"/>
        <v>,'shikkan1_start_date' : 'B180_疾患開始日'</v>
      </c>
      <c r="X9" s="25">
        <v>1</v>
      </c>
      <c r="AA9" s="4"/>
      <c r="AB9" s="4"/>
      <c r="AC9" s="4"/>
      <c r="AD9" s="4"/>
      <c r="AE9" s="4"/>
      <c r="AF9" s="4"/>
      <c r="AG9" s="4"/>
      <c r="AH9" s="4"/>
      <c r="AI9" s="4"/>
      <c r="AJ9" s="76" t="str">
        <f>IF(E9="○",IF(COUNTA(E9:E$13)=1,"",",")&amp;D9,"")</f>
        <v/>
      </c>
      <c r="AK9" s="4"/>
      <c r="AL9" s="4"/>
      <c r="AM9" s="4"/>
      <c r="AN9" s="4"/>
      <c r="AO9" s="4"/>
      <c r="AP9" s="4"/>
      <c r="AQ9" s="4"/>
      <c r="AR9" s="4"/>
      <c r="AS9" s="76" t="str">
        <f>"COMMENT ON COLUMN "&amp;エンティティ一覧!$O$2&amp;"."&amp;D$8&amp;"."&amp;D9&amp;" IS '"&amp;C9&amp;"';"</f>
        <v>COMMENT ON COLUMN milscm_2023_009.main_diagnosis_start_date.shikkan1_start_date IS 'B180_疾患開始日';</v>
      </c>
    </row>
    <row r="10" spans="1:45" s="25" customFormat="1">
      <c r="A10" s="4" t="s">
        <v>5162</v>
      </c>
      <c r="B10" s="21">
        <f t="shared" si="2"/>
        <v>8</v>
      </c>
      <c r="C10" s="13" t="str">
        <f t="shared" ref="C10:C73" si="15">A10&amp;"_疾患開始日"</f>
        <v>B181_疾患開始日</v>
      </c>
      <c r="D10" s="13" t="s">
        <v>4770</v>
      </c>
      <c r="E10" s="8"/>
      <c r="F10" s="7" t="s">
        <v>4348</v>
      </c>
      <c r="G10" s="7" t="s">
        <v>25</v>
      </c>
      <c r="H10" s="58"/>
      <c r="I10" s="23"/>
      <c r="J10" s="24"/>
      <c r="M10" s="4"/>
      <c r="N10" s="76"/>
      <c r="O10" s="76"/>
      <c r="P10" s="76" t="str">
        <f t="shared" si="9"/>
        <v>,shikkan2_start_date</v>
      </c>
      <c r="Q10" s="76" t="str">
        <f t="shared" si="10"/>
        <v>DATE</v>
      </c>
      <c r="R10" s="76" t="str">
        <f t="shared" si="11"/>
        <v/>
      </c>
      <c r="S10" s="76" t="str">
        <f t="shared" si="12"/>
        <v/>
      </c>
      <c r="T10" s="76" t="str">
        <f t="shared" si="13"/>
        <v>-- B181_疾患開始日</v>
      </c>
      <c r="U10" s="4" t="str">
        <f t="shared" si="14"/>
        <v>,'shikkan2_start_date'</v>
      </c>
      <c r="V10" s="25" t="str">
        <f t="shared" si="8"/>
        <v>,'shikkan2_start_date' : 'B181_疾患開始日'</v>
      </c>
      <c r="X10" s="25">
        <v>1</v>
      </c>
      <c r="AA10" s="4"/>
      <c r="AB10" s="4"/>
      <c r="AC10" s="4"/>
      <c r="AD10" s="4"/>
      <c r="AE10" s="4"/>
      <c r="AF10" s="4"/>
      <c r="AG10" s="4"/>
      <c r="AH10" s="4"/>
      <c r="AI10" s="4"/>
      <c r="AJ10" s="76" t="str">
        <f>IF(E10="○",IF(COUNTA(E10:E$13)=1,"",",")&amp;D10,"")</f>
        <v/>
      </c>
      <c r="AK10" s="4"/>
      <c r="AL10" s="4"/>
      <c r="AM10" s="4"/>
      <c r="AN10" s="4"/>
      <c r="AO10" s="4"/>
      <c r="AP10" s="4"/>
      <c r="AQ10" s="4"/>
      <c r="AR10" s="4"/>
      <c r="AS10" s="76" t="str">
        <f>"COMMENT ON COLUMN "&amp;エンティティ一覧!$O$2&amp;"."&amp;D$8&amp;"."&amp;D10&amp;" IS '"&amp;C10&amp;"';"</f>
        <v>COMMENT ON COLUMN milscm_2023_009.main_diagnosis_start_date.shikkan2_start_date IS 'B181_疾患開始日';</v>
      </c>
    </row>
    <row r="11" spans="1:45" s="25" customFormat="1">
      <c r="A11" s="4" t="s">
        <v>5163</v>
      </c>
      <c r="B11" s="21">
        <f t="shared" si="2"/>
        <v>9</v>
      </c>
      <c r="C11" s="13" t="str">
        <f t="shared" si="15"/>
        <v>B182_疾患開始日</v>
      </c>
      <c r="D11" s="13" t="s">
        <v>4771</v>
      </c>
      <c r="E11" s="8"/>
      <c r="F11" s="7" t="s">
        <v>4348</v>
      </c>
      <c r="G11" s="7" t="s">
        <v>25</v>
      </c>
      <c r="H11" s="58"/>
      <c r="I11" s="23"/>
      <c r="J11" s="24"/>
      <c r="M11" s="4"/>
      <c r="N11" s="76"/>
      <c r="O11" s="76"/>
      <c r="P11" s="76" t="str">
        <f t="shared" si="9"/>
        <v>,shikkan3_start_date</v>
      </c>
      <c r="Q11" s="76" t="str">
        <f t="shared" si="10"/>
        <v>DATE</v>
      </c>
      <c r="R11" s="76" t="str">
        <f t="shared" si="11"/>
        <v/>
      </c>
      <c r="S11" s="76" t="str">
        <f t="shared" si="12"/>
        <v/>
      </c>
      <c r="T11" s="76" t="str">
        <f t="shared" si="13"/>
        <v>-- B182_疾患開始日</v>
      </c>
      <c r="U11" s="4" t="str">
        <f t="shared" si="14"/>
        <v>,'shikkan3_start_date'</v>
      </c>
      <c r="V11" s="25" t="str">
        <f t="shared" si="8"/>
        <v>,'shikkan3_start_date' : 'B182_疾患開始日'</v>
      </c>
      <c r="X11" s="25">
        <v>1</v>
      </c>
      <c r="AA11" s="4"/>
      <c r="AB11" s="4"/>
      <c r="AC11" s="4"/>
      <c r="AD11" s="4"/>
      <c r="AE11" s="4"/>
      <c r="AF11" s="4"/>
      <c r="AG11" s="4"/>
      <c r="AH11" s="4"/>
      <c r="AI11" s="4"/>
      <c r="AJ11" s="76" t="str">
        <f>IF(E11="○",IF(COUNTA(E11:E$13)=1,"",",")&amp;D11,"")</f>
        <v/>
      </c>
      <c r="AK11" s="4"/>
      <c r="AL11" s="4"/>
      <c r="AM11" s="4"/>
      <c r="AN11" s="4"/>
      <c r="AO11" s="4"/>
      <c r="AP11" s="4"/>
      <c r="AQ11" s="4"/>
      <c r="AR11" s="4"/>
      <c r="AS11" s="76" t="str">
        <f>"COMMENT ON COLUMN "&amp;エンティティ一覧!$O$2&amp;"."&amp;D$8&amp;"."&amp;D11&amp;" IS '"&amp;C11&amp;"';"</f>
        <v>COMMENT ON COLUMN milscm_2023_009.main_diagnosis_start_date.shikkan3_start_date IS 'B182_疾患開始日';</v>
      </c>
    </row>
    <row r="12" spans="1:45" s="25" customFormat="1">
      <c r="A12" s="4" t="s">
        <v>5164</v>
      </c>
      <c r="B12" s="21">
        <f t="shared" si="2"/>
        <v>10</v>
      </c>
      <c r="C12" s="13" t="str">
        <f t="shared" si="15"/>
        <v>B188_疾患開始日</v>
      </c>
      <c r="D12" s="13" t="s">
        <v>4772</v>
      </c>
      <c r="E12" s="8"/>
      <c r="F12" s="7" t="s">
        <v>4348</v>
      </c>
      <c r="G12" s="7" t="s">
        <v>25</v>
      </c>
      <c r="H12" s="58"/>
      <c r="I12" s="23"/>
      <c r="J12" s="24"/>
      <c r="M12" s="4"/>
      <c r="N12" s="76"/>
      <c r="O12" s="76"/>
      <c r="P12" s="76" t="str">
        <f t="shared" si="9"/>
        <v>,shikkan4_start_date</v>
      </c>
      <c r="Q12" s="76" t="str">
        <f t="shared" si="10"/>
        <v>DATE</v>
      </c>
      <c r="R12" s="76" t="str">
        <f t="shared" si="11"/>
        <v/>
      </c>
      <c r="S12" s="76" t="str">
        <f t="shared" si="12"/>
        <v/>
      </c>
      <c r="T12" s="76" t="str">
        <f t="shared" si="13"/>
        <v>-- B188_疾患開始日</v>
      </c>
      <c r="U12" s="4" t="str">
        <f t="shared" si="14"/>
        <v>,'shikkan4_start_date'</v>
      </c>
      <c r="V12" s="25" t="str">
        <f t="shared" si="8"/>
        <v>,'shikkan4_start_date' : 'B188_疾患開始日'</v>
      </c>
      <c r="X12" s="25">
        <v>1</v>
      </c>
      <c r="AA12" s="4"/>
      <c r="AB12" s="4"/>
      <c r="AC12" s="4"/>
      <c r="AD12" s="4"/>
      <c r="AE12" s="4"/>
      <c r="AF12" s="4"/>
      <c r="AG12" s="4"/>
      <c r="AH12" s="4"/>
      <c r="AI12" s="4"/>
      <c r="AJ12" s="76" t="str">
        <f>IF(E12="○",IF(COUNTA(E12:E$13)=1,"",",")&amp;D12,"")</f>
        <v/>
      </c>
      <c r="AK12" s="4"/>
      <c r="AL12" s="4"/>
      <c r="AM12" s="4"/>
      <c r="AN12" s="4"/>
      <c r="AO12" s="4"/>
      <c r="AP12" s="4"/>
      <c r="AQ12" s="4"/>
      <c r="AR12" s="4"/>
      <c r="AS12" s="76" t="str">
        <f>"COMMENT ON COLUMN "&amp;エンティティ一覧!$O$2&amp;"."&amp;D$8&amp;"."&amp;D12&amp;" IS '"&amp;C12&amp;"';"</f>
        <v>COMMENT ON COLUMN milscm_2023_009.main_diagnosis_start_date.shikkan4_start_date IS 'B188_疾患開始日';</v>
      </c>
    </row>
    <row r="13" spans="1:45" s="25" customFormat="1">
      <c r="A13" s="4" t="s">
        <v>5165</v>
      </c>
      <c r="B13" s="21">
        <f t="shared" si="2"/>
        <v>11</v>
      </c>
      <c r="C13" s="13" t="str">
        <f t="shared" si="15"/>
        <v>B189_疾患開始日</v>
      </c>
      <c r="D13" s="13" t="s">
        <v>4773</v>
      </c>
      <c r="E13" s="8"/>
      <c r="F13" s="7" t="s">
        <v>4348</v>
      </c>
      <c r="G13" s="7" t="s">
        <v>25</v>
      </c>
      <c r="H13" s="58"/>
      <c r="I13" s="23"/>
      <c r="J13" s="24"/>
      <c r="M13" s="4"/>
      <c r="N13" s="76"/>
      <c r="O13" s="76"/>
      <c r="P13" s="76" t="str">
        <f t="shared" si="9"/>
        <v>,shikkan5_start_date</v>
      </c>
      <c r="Q13" s="76" t="str">
        <f t="shared" si="10"/>
        <v>DATE</v>
      </c>
      <c r="R13" s="76" t="str">
        <f t="shared" si="11"/>
        <v/>
      </c>
      <c r="S13" s="76" t="str">
        <f t="shared" si="12"/>
        <v/>
      </c>
      <c r="T13" s="76" t="str">
        <f t="shared" si="13"/>
        <v>-- B189_疾患開始日</v>
      </c>
      <c r="U13" s="4" t="str">
        <f t="shared" si="14"/>
        <v>,'shikkan5_start_date'</v>
      </c>
      <c r="V13" s="25" t="str">
        <f t="shared" si="8"/>
        <v>,'shikkan5_start_date' : 'B189_疾患開始日'</v>
      </c>
      <c r="X13" s="25">
        <v>1</v>
      </c>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milscm_2023_009.main_diagnosis_start_date.shikkan5_start_date IS 'B189_疾患開始日';</v>
      </c>
    </row>
    <row r="14" spans="1:45" s="25" customFormat="1">
      <c r="A14" s="4" t="s">
        <v>5166</v>
      </c>
      <c r="B14" s="21">
        <f t="shared" si="2"/>
        <v>12</v>
      </c>
      <c r="C14" s="13" t="str">
        <f t="shared" si="15"/>
        <v>B200_疾患開始日</v>
      </c>
      <c r="D14" s="13" t="s">
        <v>4774</v>
      </c>
      <c r="E14" s="8"/>
      <c r="F14" s="7" t="s">
        <v>4348</v>
      </c>
      <c r="G14" s="7" t="s">
        <v>25</v>
      </c>
      <c r="H14" s="58"/>
      <c r="I14" s="23"/>
      <c r="J14" s="24"/>
      <c r="M14" s="4"/>
      <c r="N14" s="76"/>
      <c r="O14" s="76"/>
      <c r="P14" s="76" t="str">
        <f t="shared" si="9"/>
        <v>,shikkan6_start_date</v>
      </c>
      <c r="Q14" s="76" t="str">
        <f t="shared" si="10"/>
        <v>DATE</v>
      </c>
      <c r="R14" s="76" t="str">
        <f t="shared" si="11"/>
        <v/>
      </c>
      <c r="S14" s="76" t="str">
        <f t="shared" si="12"/>
        <v/>
      </c>
      <c r="T14" s="76" t="str">
        <f t="shared" si="13"/>
        <v>-- B200_疾患開始日</v>
      </c>
      <c r="U14" s="4" t="str">
        <f t="shared" si="14"/>
        <v>,'shikkan6_start_date'</v>
      </c>
      <c r="V14" s="25" t="str">
        <f t="shared" si="8"/>
        <v>,'shikkan6_start_date' : 'B200_疾患開始日'</v>
      </c>
      <c r="X14" s="25">
        <v>1</v>
      </c>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milscm_2023_009.main_diagnosis_start_date.shikkan6_start_date IS 'B200_疾患開始日';</v>
      </c>
    </row>
    <row r="15" spans="1:45" s="25" customFormat="1">
      <c r="A15" s="4" t="s">
        <v>5167</v>
      </c>
      <c r="B15" s="21">
        <f t="shared" si="2"/>
        <v>13</v>
      </c>
      <c r="C15" s="13" t="str">
        <f t="shared" si="15"/>
        <v>B201_疾患開始日</v>
      </c>
      <c r="D15" s="13" t="s">
        <v>4775</v>
      </c>
      <c r="E15" s="8"/>
      <c r="F15" s="7" t="s">
        <v>4348</v>
      </c>
      <c r="G15" s="7" t="s">
        <v>25</v>
      </c>
      <c r="H15" s="58"/>
      <c r="I15" s="23"/>
      <c r="J15" s="24"/>
      <c r="M15" s="4"/>
      <c r="N15" s="76"/>
      <c r="O15" s="76"/>
      <c r="P15" s="76" t="str">
        <f t="shared" si="9"/>
        <v>,shikkan7_start_date</v>
      </c>
      <c r="Q15" s="76" t="str">
        <f t="shared" si="10"/>
        <v>DATE</v>
      </c>
      <c r="R15" s="76" t="str">
        <f t="shared" si="11"/>
        <v/>
      </c>
      <c r="S15" s="76" t="str">
        <f t="shared" si="12"/>
        <v/>
      </c>
      <c r="T15" s="76" t="str">
        <f t="shared" si="13"/>
        <v>-- B201_疾患開始日</v>
      </c>
      <c r="U15" s="4" t="str">
        <f t="shared" si="14"/>
        <v>,'shikkan7_start_date'</v>
      </c>
      <c r="V15" s="25" t="str">
        <f t="shared" si="8"/>
        <v>,'shikkan7_start_date' : 'B201_疾患開始日'</v>
      </c>
      <c r="X15" s="25">
        <v>1</v>
      </c>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milscm_2023_009.main_diagnosis_start_date.shikkan7_start_date IS 'B201_疾患開始日';</v>
      </c>
    </row>
    <row r="16" spans="1:45" s="25" customFormat="1">
      <c r="A16" s="4" t="s">
        <v>5168</v>
      </c>
      <c r="B16" s="21">
        <f t="shared" si="2"/>
        <v>14</v>
      </c>
      <c r="C16" s="13" t="str">
        <f t="shared" si="15"/>
        <v>B202_疾患開始日</v>
      </c>
      <c r="D16" s="13" t="s">
        <v>4776</v>
      </c>
      <c r="E16" s="8"/>
      <c r="F16" s="7" t="s">
        <v>4348</v>
      </c>
      <c r="G16" s="7" t="s">
        <v>25</v>
      </c>
      <c r="H16" s="58"/>
      <c r="I16" s="23"/>
      <c r="J16" s="24"/>
      <c r="M16" s="4"/>
      <c r="N16" s="76"/>
      <c r="O16" s="76"/>
      <c r="P16" s="76" t="str">
        <f t="shared" si="9"/>
        <v>,shikkan8_start_date</v>
      </c>
      <c r="Q16" s="76" t="str">
        <f t="shared" si="10"/>
        <v>DATE</v>
      </c>
      <c r="R16" s="76" t="str">
        <f t="shared" si="11"/>
        <v/>
      </c>
      <c r="S16" s="76" t="str">
        <f t="shared" si="12"/>
        <v/>
      </c>
      <c r="T16" s="76" t="str">
        <f t="shared" si="13"/>
        <v>-- B202_疾患開始日</v>
      </c>
      <c r="U16" s="4" t="str">
        <f t="shared" si="14"/>
        <v>,'shikkan8_start_date'</v>
      </c>
      <c r="V16" s="25" t="str">
        <f t="shared" si="8"/>
        <v>,'shikkan8_start_date' : 'B202_疾患開始日'</v>
      </c>
      <c r="X16" s="25">
        <v>1</v>
      </c>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milscm_2023_009.main_diagnosis_start_date.shikkan8_start_date IS 'B202_疾患開始日';</v>
      </c>
    </row>
    <row r="17" spans="1:45" s="25" customFormat="1">
      <c r="A17" s="4" t="s">
        <v>5169</v>
      </c>
      <c r="B17" s="21">
        <f t="shared" si="2"/>
        <v>15</v>
      </c>
      <c r="C17" s="13" t="str">
        <f t="shared" si="15"/>
        <v>B203_疾患開始日</v>
      </c>
      <c r="D17" s="13" t="s">
        <v>4777</v>
      </c>
      <c r="E17" s="8"/>
      <c r="F17" s="7" t="s">
        <v>4348</v>
      </c>
      <c r="G17" s="7" t="s">
        <v>25</v>
      </c>
      <c r="H17" s="58"/>
      <c r="I17" s="23"/>
      <c r="J17" s="24"/>
      <c r="M17" s="4"/>
      <c r="N17" s="76"/>
      <c r="O17" s="76"/>
      <c r="P17" s="76" t="str">
        <f t="shared" si="9"/>
        <v>,shikkan9_start_date</v>
      </c>
      <c r="Q17" s="76" t="str">
        <f t="shared" si="10"/>
        <v>DATE</v>
      </c>
      <c r="R17" s="76" t="str">
        <f t="shared" si="11"/>
        <v/>
      </c>
      <c r="S17" s="76" t="str">
        <f t="shared" si="12"/>
        <v/>
      </c>
      <c r="T17" s="76" t="str">
        <f t="shared" si="13"/>
        <v>-- B203_疾患開始日</v>
      </c>
      <c r="U17" s="4" t="str">
        <f t="shared" si="14"/>
        <v>,'shikkan9_start_date'</v>
      </c>
      <c r="V17" s="25" t="str">
        <f t="shared" si="8"/>
        <v>,'shikkan9_start_date' : 'B203_疾患開始日'</v>
      </c>
      <c r="X17" s="25">
        <v>1</v>
      </c>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milscm_2023_009.main_diagnosis_start_date.shikkan9_start_date IS 'B203_疾患開始日';</v>
      </c>
    </row>
    <row r="18" spans="1:45" s="25" customFormat="1">
      <c r="A18" s="4" t="s">
        <v>5170</v>
      </c>
      <c r="B18" s="21">
        <f t="shared" si="2"/>
        <v>16</v>
      </c>
      <c r="C18" s="13" t="str">
        <f t="shared" si="15"/>
        <v>B204_疾患開始日</v>
      </c>
      <c r="D18" s="13" t="s">
        <v>4778</v>
      </c>
      <c r="E18" s="8"/>
      <c r="F18" s="7" t="s">
        <v>4348</v>
      </c>
      <c r="G18" s="7" t="s">
        <v>25</v>
      </c>
      <c r="H18" s="58"/>
      <c r="I18" s="23"/>
      <c r="J18" s="24"/>
      <c r="M18" s="4"/>
      <c r="N18" s="76"/>
      <c r="O18" s="76"/>
      <c r="P18" s="76" t="str">
        <f t="shared" si="9"/>
        <v>,shikkan10_start_date</v>
      </c>
      <c r="Q18" s="76" t="str">
        <f t="shared" si="10"/>
        <v>DATE</v>
      </c>
      <c r="R18" s="76" t="str">
        <f t="shared" si="11"/>
        <v/>
      </c>
      <c r="S18" s="76" t="str">
        <f t="shared" si="12"/>
        <v/>
      </c>
      <c r="T18" s="76" t="str">
        <f t="shared" si="13"/>
        <v>-- B204_疾患開始日</v>
      </c>
      <c r="U18" s="4" t="str">
        <f t="shared" si="14"/>
        <v>,'shikkan10_start_date'</v>
      </c>
      <c r="V18" s="25" t="str">
        <f t="shared" si="8"/>
        <v>,'shikkan10_start_date' : 'B204_疾患開始日'</v>
      </c>
      <c r="X18" s="25">
        <v>1</v>
      </c>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milscm_2023_009.main_diagnosis_start_date.shikkan10_start_date IS 'B204_疾患開始日';</v>
      </c>
    </row>
    <row r="19" spans="1:45" s="25" customFormat="1">
      <c r="A19" s="4" t="s">
        <v>5171</v>
      </c>
      <c r="B19" s="21">
        <f t="shared" si="2"/>
        <v>17</v>
      </c>
      <c r="C19" s="13" t="str">
        <f t="shared" si="15"/>
        <v>B205_疾患開始日</v>
      </c>
      <c r="D19" s="13" t="s">
        <v>4779</v>
      </c>
      <c r="E19" s="8"/>
      <c r="F19" s="7" t="s">
        <v>4348</v>
      </c>
      <c r="G19" s="7" t="s">
        <v>25</v>
      </c>
      <c r="H19" s="58"/>
      <c r="I19" s="23"/>
      <c r="J19" s="24"/>
      <c r="M19" s="4"/>
      <c r="N19" s="76"/>
      <c r="O19" s="76"/>
      <c r="P19" s="76" t="str">
        <f t="shared" si="9"/>
        <v>,shikkan11_start_date</v>
      </c>
      <c r="Q19" s="76" t="str">
        <f t="shared" si="10"/>
        <v>DATE</v>
      </c>
      <c r="R19" s="76" t="str">
        <f t="shared" si="11"/>
        <v/>
      </c>
      <c r="S19" s="76" t="str">
        <f t="shared" si="12"/>
        <v/>
      </c>
      <c r="T19" s="76" t="str">
        <f t="shared" si="13"/>
        <v>-- B205_疾患開始日</v>
      </c>
      <c r="U19" s="4" t="str">
        <f t="shared" si="14"/>
        <v>,'shikkan11_start_date'</v>
      </c>
      <c r="V19" s="25" t="str">
        <f t="shared" si="8"/>
        <v>,'shikkan11_start_date' : 'B205_疾患開始日'</v>
      </c>
      <c r="X19" s="25">
        <v>1</v>
      </c>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milscm_2023_009.main_diagnosis_start_date.shikkan11_start_date IS 'B205_疾患開始日';</v>
      </c>
    </row>
    <row r="20" spans="1:45" s="25" customFormat="1">
      <c r="A20" s="4" t="s">
        <v>5172</v>
      </c>
      <c r="B20" s="21">
        <f t="shared" si="2"/>
        <v>18</v>
      </c>
      <c r="C20" s="13" t="str">
        <f t="shared" si="15"/>
        <v>B206_疾患開始日</v>
      </c>
      <c r="D20" s="13" t="s">
        <v>4780</v>
      </c>
      <c r="E20" s="8"/>
      <c r="F20" s="7" t="s">
        <v>4348</v>
      </c>
      <c r="G20" s="7" t="s">
        <v>25</v>
      </c>
      <c r="H20" s="58"/>
      <c r="I20" s="23"/>
      <c r="J20" s="24"/>
      <c r="M20" s="4"/>
      <c r="N20" s="76"/>
      <c r="O20" s="76"/>
      <c r="P20" s="76" t="str">
        <f t="shared" si="9"/>
        <v>,shikkan12_start_date</v>
      </c>
      <c r="Q20" s="76" t="str">
        <f t="shared" si="10"/>
        <v>DATE</v>
      </c>
      <c r="R20" s="76" t="str">
        <f t="shared" si="11"/>
        <v/>
      </c>
      <c r="S20" s="76" t="str">
        <f t="shared" si="12"/>
        <v/>
      </c>
      <c r="T20" s="76" t="str">
        <f t="shared" si="13"/>
        <v>-- B206_疾患開始日</v>
      </c>
      <c r="U20" s="4" t="str">
        <f t="shared" si="14"/>
        <v>,'shikkan12_start_date'</v>
      </c>
      <c r="V20" s="25" t="str">
        <f t="shared" si="8"/>
        <v>,'shikkan12_start_date' : 'B206_疾患開始日'</v>
      </c>
      <c r="X20" s="25">
        <v>1</v>
      </c>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milscm_2023_009.main_diagnosis_start_date.shikkan12_start_date IS 'B206_疾患開始日';</v>
      </c>
    </row>
    <row r="21" spans="1:45" s="25" customFormat="1">
      <c r="A21" s="4" t="s">
        <v>5173</v>
      </c>
      <c r="B21" s="21">
        <f t="shared" si="2"/>
        <v>19</v>
      </c>
      <c r="C21" s="13" t="str">
        <f t="shared" si="15"/>
        <v>B207_疾患開始日</v>
      </c>
      <c r="D21" s="13" t="s">
        <v>4781</v>
      </c>
      <c r="E21" s="8"/>
      <c r="F21" s="7" t="s">
        <v>4348</v>
      </c>
      <c r="G21" s="7" t="s">
        <v>25</v>
      </c>
      <c r="H21" s="58"/>
      <c r="I21" s="23"/>
      <c r="J21" s="24"/>
      <c r="M21" s="4"/>
      <c r="N21" s="76"/>
      <c r="O21" s="76"/>
      <c r="P21" s="76" t="str">
        <f t="shared" si="9"/>
        <v>,shikkan13_start_date</v>
      </c>
      <c r="Q21" s="76" t="str">
        <f t="shared" si="10"/>
        <v>DATE</v>
      </c>
      <c r="R21" s="76" t="str">
        <f t="shared" si="11"/>
        <v/>
      </c>
      <c r="S21" s="76" t="str">
        <f t="shared" si="12"/>
        <v/>
      </c>
      <c r="T21" s="76" t="str">
        <f t="shared" si="13"/>
        <v>-- B207_疾患開始日</v>
      </c>
      <c r="U21" s="4" t="str">
        <f t="shared" si="14"/>
        <v>,'shikkan13_start_date'</v>
      </c>
      <c r="V21" s="25" t="str">
        <f t="shared" si="8"/>
        <v>,'shikkan13_start_date' : 'B207_疾患開始日'</v>
      </c>
      <c r="X21" s="25">
        <v>1</v>
      </c>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milscm_2023_009.main_diagnosis_start_date.shikkan13_start_date IS 'B207_疾患開始日';</v>
      </c>
    </row>
    <row r="22" spans="1:45" s="25" customFormat="1">
      <c r="A22" s="4" t="s">
        <v>5174</v>
      </c>
      <c r="B22" s="21">
        <f t="shared" si="2"/>
        <v>20</v>
      </c>
      <c r="C22" s="13" t="str">
        <f t="shared" si="15"/>
        <v>B208_疾患開始日</v>
      </c>
      <c r="D22" s="13" t="s">
        <v>4782</v>
      </c>
      <c r="E22" s="8"/>
      <c r="F22" s="7" t="s">
        <v>4348</v>
      </c>
      <c r="G22" s="7" t="s">
        <v>25</v>
      </c>
      <c r="H22" s="58"/>
      <c r="I22" s="23"/>
      <c r="J22" s="24"/>
      <c r="M22" s="4"/>
      <c r="N22" s="76"/>
      <c r="O22" s="76"/>
      <c r="P22" s="76" t="str">
        <f t="shared" si="9"/>
        <v>,shikkan14_start_date</v>
      </c>
      <c r="Q22" s="76" t="str">
        <f t="shared" si="10"/>
        <v>DATE</v>
      </c>
      <c r="R22" s="76" t="str">
        <f t="shared" si="11"/>
        <v/>
      </c>
      <c r="S22" s="76" t="str">
        <f t="shared" si="12"/>
        <v/>
      </c>
      <c r="T22" s="76" t="str">
        <f t="shared" si="13"/>
        <v>-- B208_疾患開始日</v>
      </c>
      <c r="U22" s="4" t="str">
        <f t="shared" si="14"/>
        <v>,'shikkan14_start_date'</v>
      </c>
      <c r="V22" s="25" t="str">
        <f t="shared" si="8"/>
        <v>,'shikkan14_start_date' : 'B208_疾患開始日'</v>
      </c>
      <c r="X22" s="25">
        <v>1</v>
      </c>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milscm_2023_009.main_diagnosis_start_date.shikkan14_start_date IS 'B208_疾患開始日';</v>
      </c>
    </row>
    <row r="23" spans="1:45" s="25" customFormat="1">
      <c r="A23" s="4" t="s">
        <v>5175</v>
      </c>
      <c r="B23" s="21">
        <f t="shared" si="2"/>
        <v>21</v>
      </c>
      <c r="C23" s="13" t="str">
        <f t="shared" si="15"/>
        <v>B209_疾患開始日</v>
      </c>
      <c r="D23" s="13" t="s">
        <v>4783</v>
      </c>
      <c r="E23" s="8"/>
      <c r="F23" s="7" t="s">
        <v>4348</v>
      </c>
      <c r="G23" s="7" t="s">
        <v>25</v>
      </c>
      <c r="H23" s="58"/>
      <c r="I23" s="23"/>
      <c r="J23" s="24"/>
      <c r="M23" s="4"/>
      <c r="N23" s="76"/>
      <c r="O23" s="76"/>
      <c r="P23" s="76" t="str">
        <f t="shared" si="9"/>
        <v>,shikkan15_start_date</v>
      </c>
      <c r="Q23" s="76" t="str">
        <f t="shared" si="10"/>
        <v>DATE</v>
      </c>
      <c r="R23" s="76" t="str">
        <f t="shared" si="11"/>
        <v/>
      </c>
      <c r="S23" s="76" t="str">
        <f t="shared" si="12"/>
        <v/>
      </c>
      <c r="T23" s="76" t="str">
        <f t="shared" si="13"/>
        <v>-- B209_疾患開始日</v>
      </c>
      <c r="U23" s="4" t="str">
        <f t="shared" si="14"/>
        <v>,'shikkan15_start_date'</v>
      </c>
      <c r="V23" s="25" t="str">
        <f t="shared" si="8"/>
        <v>,'shikkan15_start_date' : 'B209_疾患開始日'</v>
      </c>
      <c r="X23" s="25">
        <v>1</v>
      </c>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milscm_2023_009.main_diagnosis_start_date.shikkan15_start_date IS 'B209_疾患開始日';</v>
      </c>
    </row>
    <row r="24" spans="1:45" s="25" customFormat="1">
      <c r="A24" s="4" t="s">
        <v>5176</v>
      </c>
      <c r="B24" s="21">
        <f t="shared" si="2"/>
        <v>22</v>
      </c>
      <c r="C24" s="13" t="str">
        <f t="shared" si="15"/>
        <v>B210_疾患開始日</v>
      </c>
      <c r="D24" s="13" t="s">
        <v>4784</v>
      </c>
      <c r="E24" s="8"/>
      <c r="F24" s="7" t="s">
        <v>4348</v>
      </c>
      <c r="G24" s="7" t="s">
        <v>25</v>
      </c>
      <c r="H24" s="58"/>
      <c r="I24" s="23"/>
      <c r="J24" s="24"/>
      <c r="M24" s="4"/>
      <c r="N24" s="76"/>
      <c r="O24" s="76"/>
      <c r="P24" s="76" t="str">
        <f t="shared" si="9"/>
        <v>,shikkan16_start_date</v>
      </c>
      <c r="Q24" s="76" t="str">
        <f t="shared" si="10"/>
        <v>DATE</v>
      </c>
      <c r="R24" s="76" t="str">
        <f t="shared" si="11"/>
        <v/>
      </c>
      <c r="S24" s="76" t="str">
        <f t="shared" si="12"/>
        <v/>
      </c>
      <c r="T24" s="76" t="str">
        <f t="shared" si="13"/>
        <v>-- B210_疾患開始日</v>
      </c>
      <c r="U24" s="4" t="str">
        <f t="shared" si="14"/>
        <v>,'shikkan16_start_date'</v>
      </c>
      <c r="V24" s="25" t="str">
        <f t="shared" si="8"/>
        <v>,'shikkan16_start_date' : 'B210_疾患開始日'</v>
      </c>
      <c r="X24" s="25">
        <v>1</v>
      </c>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milscm_2023_009.main_diagnosis_start_date.shikkan16_start_date IS 'B210_疾患開始日';</v>
      </c>
    </row>
    <row r="25" spans="1:45" s="25" customFormat="1">
      <c r="A25" s="4" t="s">
        <v>5177</v>
      </c>
      <c r="B25" s="21">
        <f t="shared" si="2"/>
        <v>23</v>
      </c>
      <c r="C25" s="13" t="str">
        <f t="shared" si="15"/>
        <v>B211_疾患開始日</v>
      </c>
      <c r="D25" s="13" t="s">
        <v>4785</v>
      </c>
      <c r="E25" s="8"/>
      <c r="F25" s="7" t="s">
        <v>4348</v>
      </c>
      <c r="G25" s="7" t="s">
        <v>99</v>
      </c>
      <c r="H25" s="58"/>
      <c r="I25" s="23"/>
      <c r="J25" s="24"/>
      <c r="M25" s="4"/>
      <c r="N25" s="76"/>
      <c r="O25" s="76"/>
      <c r="P25" s="76" t="str">
        <f t="shared" si="9"/>
        <v>,shikkan17_start_date</v>
      </c>
      <c r="Q25" s="76" t="str">
        <f t="shared" si="10"/>
        <v>DATE</v>
      </c>
      <c r="R25" s="76" t="str">
        <f t="shared" si="11"/>
        <v/>
      </c>
      <c r="S25" s="76" t="str">
        <f t="shared" si="12"/>
        <v/>
      </c>
      <c r="T25" s="76" t="str">
        <f t="shared" si="13"/>
        <v>-- B211_疾患開始日</v>
      </c>
      <c r="U25" s="4" t="str">
        <f t="shared" si="14"/>
        <v>,'shikkan17_start_date'</v>
      </c>
      <c r="V25" s="25" t="str">
        <f t="shared" si="8"/>
        <v>,'shikkan17_start_date' : 'B211_疾患開始日'</v>
      </c>
      <c r="X25" s="25">
        <v>1</v>
      </c>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milscm_2023_009.main_diagnosis_start_date.shikkan17_start_date IS 'B211_疾患開始日';</v>
      </c>
    </row>
    <row r="26" spans="1:45" s="25" customFormat="1">
      <c r="A26" s="4" t="s">
        <v>5178</v>
      </c>
      <c r="B26" s="21">
        <f t="shared" si="2"/>
        <v>24</v>
      </c>
      <c r="C26" s="13" t="str">
        <f t="shared" si="15"/>
        <v>B212_疾患開始日</v>
      </c>
      <c r="D26" s="13" t="s">
        <v>4786</v>
      </c>
      <c r="E26" s="8"/>
      <c r="F26" s="7" t="s">
        <v>4348</v>
      </c>
      <c r="G26" s="7" t="s">
        <v>25</v>
      </c>
      <c r="H26" s="58"/>
      <c r="I26" s="23"/>
      <c r="J26" s="24"/>
      <c r="M26" s="4"/>
      <c r="N26" s="76"/>
      <c r="O26" s="76"/>
      <c r="P26" s="76" t="str">
        <f t="shared" si="9"/>
        <v>,shikkan18_start_date</v>
      </c>
      <c r="Q26" s="76" t="str">
        <f t="shared" si="10"/>
        <v>DATE</v>
      </c>
      <c r="R26" s="76" t="str">
        <f t="shared" si="11"/>
        <v/>
      </c>
      <c r="S26" s="76" t="str">
        <f t="shared" si="12"/>
        <v/>
      </c>
      <c r="T26" s="76" t="str">
        <f t="shared" si="13"/>
        <v>-- B212_疾患開始日</v>
      </c>
      <c r="U26" s="4" t="str">
        <f t="shared" si="14"/>
        <v>,'shikkan18_start_date'</v>
      </c>
      <c r="V26" s="25" t="str">
        <f t="shared" si="8"/>
        <v>,'shikkan18_start_date' : 'B212_疾患開始日'</v>
      </c>
      <c r="X26" s="25">
        <v>1</v>
      </c>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milscm_2023_009.main_diagnosis_start_date.shikkan18_start_date IS 'B212_疾患開始日';</v>
      </c>
    </row>
    <row r="27" spans="1:45" s="25" customFormat="1">
      <c r="A27" s="4" t="s">
        <v>5179</v>
      </c>
      <c r="B27" s="21">
        <f t="shared" si="2"/>
        <v>25</v>
      </c>
      <c r="C27" s="13" t="str">
        <f t="shared" si="15"/>
        <v>B213_疾患開始日</v>
      </c>
      <c r="D27" s="13" t="s">
        <v>4787</v>
      </c>
      <c r="E27" s="8"/>
      <c r="F27" s="7" t="s">
        <v>4348</v>
      </c>
      <c r="G27" s="7" t="s">
        <v>25</v>
      </c>
      <c r="H27" s="58"/>
      <c r="I27" s="23"/>
      <c r="J27" s="24"/>
      <c r="M27" s="4"/>
      <c r="N27" s="76"/>
      <c r="O27" s="76"/>
      <c r="P27" s="76" t="str">
        <f t="shared" si="9"/>
        <v>,shikkan19_start_date</v>
      </c>
      <c r="Q27" s="76" t="str">
        <f t="shared" si="10"/>
        <v>DATE</v>
      </c>
      <c r="R27" s="76" t="str">
        <f t="shared" si="11"/>
        <v/>
      </c>
      <c r="S27" s="76" t="str">
        <f t="shared" si="12"/>
        <v/>
      </c>
      <c r="T27" s="76" t="str">
        <f t="shared" si="13"/>
        <v>-- B213_疾患開始日</v>
      </c>
      <c r="U27" s="4" t="str">
        <f t="shared" si="14"/>
        <v>,'shikkan19_start_date'</v>
      </c>
      <c r="V27" s="25" t="str">
        <f t="shared" si="8"/>
        <v>,'shikkan19_start_date' : 'B213_疾患開始日'</v>
      </c>
      <c r="X27" s="25">
        <v>1</v>
      </c>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milscm_2023_009.main_diagnosis_start_date.shikkan19_start_date IS 'B213_疾患開始日';</v>
      </c>
    </row>
    <row r="28" spans="1:45" s="25" customFormat="1">
      <c r="A28" s="4" t="s">
        <v>5180</v>
      </c>
      <c r="B28" s="21">
        <f t="shared" si="2"/>
        <v>26</v>
      </c>
      <c r="C28" s="13" t="str">
        <f t="shared" si="15"/>
        <v>B217_疾患開始日</v>
      </c>
      <c r="D28" s="13" t="s">
        <v>4788</v>
      </c>
      <c r="E28" s="8"/>
      <c r="F28" s="7" t="s">
        <v>4348</v>
      </c>
      <c r="G28" s="7" t="s">
        <v>25</v>
      </c>
      <c r="H28" s="58"/>
      <c r="I28" s="23"/>
      <c r="J28" s="24"/>
      <c r="M28" s="4"/>
      <c r="N28" s="76"/>
      <c r="O28" s="76"/>
      <c r="P28" s="76" t="str">
        <f t="shared" si="9"/>
        <v>,shikkan20_start_date</v>
      </c>
      <c r="Q28" s="76" t="str">
        <f t="shared" si="10"/>
        <v>DATE</v>
      </c>
      <c r="R28" s="76" t="str">
        <f t="shared" si="11"/>
        <v/>
      </c>
      <c r="S28" s="76" t="str">
        <f t="shared" si="12"/>
        <v/>
      </c>
      <c r="T28" s="76" t="str">
        <f t="shared" si="13"/>
        <v>-- B217_疾患開始日</v>
      </c>
      <c r="U28" s="4" t="str">
        <f t="shared" si="14"/>
        <v>,'shikkan20_start_date'</v>
      </c>
      <c r="V28" s="25" t="str">
        <f t="shared" si="8"/>
        <v>,'shikkan20_start_date' : 'B217_疾患開始日'</v>
      </c>
      <c r="X28" s="25">
        <v>1</v>
      </c>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milscm_2023_009.main_diagnosis_start_date.shikkan20_start_date IS 'B217_疾患開始日';</v>
      </c>
    </row>
    <row r="29" spans="1:45" s="25" customFormat="1">
      <c r="A29" s="4" t="s">
        <v>5181</v>
      </c>
      <c r="B29" s="21">
        <f t="shared" si="2"/>
        <v>27</v>
      </c>
      <c r="C29" s="13" t="str">
        <f t="shared" si="15"/>
        <v>B218_疾患開始日</v>
      </c>
      <c r="D29" s="13" t="s">
        <v>4789</v>
      </c>
      <c r="E29" s="8"/>
      <c r="F29" s="7" t="s">
        <v>4348</v>
      </c>
      <c r="G29" s="7" t="s">
        <v>25</v>
      </c>
      <c r="H29" s="58"/>
      <c r="I29" s="23"/>
      <c r="J29" s="24"/>
      <c r="M29" s="4"/>
      <c r="N29" s="76"/>
      <c r="O29" s="76"/>
      <c r="P29" s="76" t="str">
        <f t="shared" si="9"/>
        <v>,shikkan21_start_date</v>
      </c>
      <c r="Q29" s="76" t="str">
        <f t="shared" si="10"/>
        <v>DATE</v>
      </c>
      <c r="R29" s="76" t="str">
        <f t="shared" si="11"/>
        <v/>
      </c>
      <c r="S29" s="76" t="str">
        <f t="shared" si="12"/>
        <v/>
      </c>
      <c r="T29" s="76" t="str">
        <f t="shared" si="13"/>
        <v>-- B218_疾患開始日</v>
      </c>
      <c r="U29" s="4" t="str">
        <f t="shared" si="14"/>
        <v>,'shikkan21_start_date'</v>
      </c>
      <c r="V29" s="25" t="str">
        <f t="shared" si="8"/>
        <v>,'shikkan21_start_date' : 'B218_疾患開始日'</v>
      </c>
      <c r="X29" s="25">
        <v>1</v>
      </c>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milscm_2023_009.main_diagnosis_start_date.shikkan21_start_date IS 'B218_疾患開始日';</v>
      </c>
    </row>
    <row r="30" spans="1:45" s="25" customFormat="1">
      <c r="A30" s="4" t="s">
        <v>5182</v>
      </c>
      <c r="B30" s="21">
        <f t="shared" si="2"/>
        <v>28</v>
      </c>
      <c r="C30" s="13" t="str">
        <f t="shared" si="15"/>
        <v>B219_疾患開始日</v>
      </c>
      <c r="D30" s="13" t="s">
        <v>4790</v>
      </c>
      <c r="E30" s="8"/>
      <c r="F30" s="7" t="s">
        <v>4348</v>
      </c>
      <c r="G30" s="7" t="s">
        <v>25</v>
      </c>
      <c r="H30" s="58"/>
      <c r="I30" s="23"/>
      <c r="J30" s="24"/>
      <c r="M30" s="4"/>
      <c r="N30" s="76"/>
      <c r="O30" s="76"/>
      <c r="P30" s="76" t="str">
        <f t="shared" si="9"/>
        <v>,shikkan22_start_date</v>
      </c>
      <c r="Q30" s="76" t="str">
        <f t="shared" si="10"/>
        <v>DATE</v>
      </c>
      <c r="R30" s="76" t="str">
        <f t="shared" si="11"/>
        <v/>
      </c>
      <c r="S30" s="76" t="str">
        <f t="shared" si="12"/>
        <v/>
      </c>
      <c r="T30" s="76" t="str">
        <f t="shared" si="13"/>
        <v>-- B219_疾患開始日</v>
      </c>
      <c r="U30" s="4" t="str">
        <f t="shared" si="14"/>
        <v>,'shikkan22_start_date'</v>
      </c>
      <c r="V30" s="25" t="str">
        <f t="shared" si="8"/>
        <v>,'shikkan22_start_date' : 'B219_疾患開始日'</v>
      </c>
      <c r="X30" s="25">
        <v>1</v>
      </c>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milscm_2023_009.main_diagnosis_start_date.shikkan22_start_date IS 'B219_疾患開始日';</v>
      </c>
    </row>
    <row r="31" spans="1:45" s="25" customFormat="1">
      <c r="A31" s="4" t="s">
        <v>5183</v>
      </c>
      <c r="B31" s="21">
        <f t="shared" si="2"/>
        <v>29</v>
      </c>
      <c r="C31" s="13" t="str">
        <f t="shared" si="15"/>
        <v>B220_疾患開始日</v>
      </c>
      <c r="D31" s="13" t="s">
        <v>4791</v>
      </c>
      <c r="E31" s="8"/>
      <c r="F31" s="7" t="s">
        <v>4348</v>
      </c>
      <c r="G31" s="7" t="s">
        <v>25</v>
      </c>
      <c r="H31" s="58"/>
      <c r="I31" s="23"/>
      <c r="J31" s="24"/>
      <c r="M31" s="4"/>
      <c r="N31" s="76"/>
      <c r="O31" s="76"/>
      <c r="P31" s="76" t="str">
        <f t="shared" si="9"/>
        <v>,shikkan23_start_date</v>
      </c>
      <c r="Q31" s="76" t="str">
        <f t="shared" si="10"/>
        <v>DATE</v>
      </c>
      <c r="R31" s="76" t="str">
        <f t="shared" si="11"/>
        <v/>
      </c>
      <c r="S31" s="76" t="str">
        <f t="shared" si="12"/>
        <v/>
      </c>
      <c r="T31" s="76" t="str">
        <f t="shared" si="13"/>
        <v>-- B220_疾患開始日</v>
      </c>
      <c r="U31" s="4" t="str">
        <f t="shared" si="14"/>
        <v>,'shikkan23_start_date'</v>
      </c>
      <c r="V31" s="25" t="str">
        <f t="shared" si="8"/>
        <v>,'shikkan23_start_date' : 'B220_疾患開始日'</v>
      </c>
      <c r="X31" s="25">
        <v>1</v>
      </c>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milscm_2023_009.main_diagnosis_start_date.shikkan23_start_date IS 'B220_疾患開始日';</v>
      </c>
    </row>
    <row r="32" spans="1:45" s="25" customFormat="1">
      <c r="A32" s="4" t="s">
        <v>5184</v>
      </c>
      <c r="B32" s="21">
        <f t="shared" si="2"/>
        <v>30</v>
      </c>
      <c r="C32" s="13" t="str">
        <f t="shared" si="15"/>
        <v>B221_疾患開始日</v>
      </c>
      <c r="D32" s="13" t="s">
        <v>4792</v>
      </c>
      <c r="E32" s="8"/>
      <c r="F32" s="7" t="s">
        <v>4348</v>
      </c>
      <c r="G32" s="7" t="s">
        <v>25</v>
      </c>
      <c r="H32" s="58"/>
      <c r="I32" s="23"/>
      <c r="J32" s="24"/>
      <c r="M32" s="4"/>
      <c r="N32" s="76"/>
      <c r="O32" s="76"/>
      <c r="P32" s="76" t="str">
        <f t="shared" si="9"/>
        <v>,shikkan24_start_date</v>
      </c>
      <c r="Q32" s="76" t="str">
        <f t="shared" si="10"/>
        <v>DATE</v>
      </c>
      <c r="R32" s="76" t="str">
        <f t="shared" si="11"/>
        <v/>
      </c>
      <c r="S32" s="76" t="str">
        <f t="shared" si="12"/>
        <v/>
      </c>
      <c r="T32" s="76" t="str">
        <f t="shared" si="13"/>
        <v>-- B221_疾患開始日</v>
      </c>
      <c r="U32" s="4" t="str">
        <f t="shared" si="14"/>
        <v>,'shikkan24_start_date'</v>
      </c>
      <c r="V32" s="25" t="str">
        <f t="shared" si="8"/>
        <v>,'shikkan24_start_date' : 'B221_疾患開始日'</v>
      </c>
      <c r="X32" s="25">
        <v>1</v>
      </c>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milscm_2023_009.main_diagnosis_start_date.shikkan24_start_date IS 'B221_疾患開始日';</v>
      </c>
    </row>
    <row r="33" spans="1:45" s="25" customFormat="1">
      <c r="A33" s="4" t="s">
        <v>5185</v>
      </c>
      <c r="B33" s="21">
        <f t="shared" si="2"/>
        <v>31</v>
      </c>
      <c r="C33" s="13" t="str">
        <f t="shared" si="15"/>
        <v>B222_疾患開始日</v>
      </c>
      <c r="D33" s="13" t="s">
        <v>4793</v>
      </c>
      <c r="E33" s="8"/>
      <c r="F33" s="7" t="s">
        <v>4348</v>
      </c>
      <c r="G33" s="7" t="s">
        <v>25</v>
      </c>
      <c r="H33" s="58"/>
      <c r="I33" s="23"/>
      <c r="J33" s="24"/>
      <c r="M33" s="4"/>
      <c r="N33" s="76"/>
      <c r="O33" s="76"/>
      <c r="P33" s="76" t="str">
        <f t="shared" si="9"/>
        <v>,shikkan25_start_date</v>
      </c>
      <c r="Q33" s="76" t="str">
        <f t="shared" si="10"/>
        <v>DATE</v>
      </c>
      <c r="R33" s="76" t="str">
        <f t="shared" si="11"/>
        <v/>
      </c>
      <c r="S33" s="76" t="str">
        <f t="shared" si="12"/>
        <v/>
      </c>
      <c r="T33" s="76" t="str">
        <f t="shared" si="13"/>
        <v>-- B222_疾患開始日</v>
      </c>
      <c r="U33" s="4" t="str">
        <f t="shared" si="14"/>
        <v>,'shikkan25_start_date'</v>
      </c>
      <c r="V33" s="25" t="str">
        <f t="shared" si="8"/>
        <v>,'shikkan25_start_date' : 'B222_疾患開始日'</v>
      </c>
      <c r="X33" s="25">
        <v>1</v>
      </c>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milscm_2023_009.main_diagnosis_start_date.shikkan25_start_date IS 'B222_疾患開始日';</v>
      </c>
    </row>
    <row r="34" spans="1:45" s="25" customFormat="1">
      <c r="A34" s="4" t="s">
        <v>5186</v>
      </c>
      <c r="B34" s="21">
        <f t="shared" si="2"/>
        <v>32</v>
      </c>
      <c r="C34" s="13" t="str">
        <f t="shared" si="15"/>
        <v>B227_疾患開始日</v>
      </c>
      <c r="D34" s="13" t="s">
        <v>4794</v>
      </c>
      <c r="E34" s="8"/>
      <c r="F34" s="7" t="s">
        <v>4348</v>
      </c>
      <c r="G34" s="7" t="s">
        <v>25</v>
      </c>
      <c r="H34" s="58"/>
      <c r="I34" s="23"/>
      <c r="J34" s="24"/>
      <c r="M34" s="4"/>
      <c r="N34" s="76"/>
      <c r="O34" s="76"/>
      <c r="P34" s="76" t="str">
        <f t="shared" si="9"/>
        <v>,shikkan26_start_date</v>
      </c>
      <c r="Q34" s="76" t="str">
        <f t="shared" si="10"/>
        <v>DATE</v>
      </c>
      <c r="R34" s="76" t="str">
        <f t="shared" si="11"/>
        <v/>
      </c>
      <c r="S34" s="76" t="str">
        <f t="shared" si="12"/>
        <v/>
      </c>
      <c r="T34" s="76" t="str">
        <f t="shared" si="13"/>
        <v>-- B227_疾患開始日</v>
      </c>
      <c r="U34" s="4" t="str">
        <f t="shared" si="14"/>
        <v>,'shikkan26_start_date'</v>
      </c>
      <c r="V34" s="25" t="str">
        <f t="shared" si="8"/>
        <v>,'shikkan26_start_date' : 'B227_疾患開始日'</v>
      </c>
      <c r="X34" s="25">
        <v>1</v>
      </c>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milscm_2023_009.main_diagnosis_start_date.shikkan26_start_date IS 'B227_疾患開始日';</v>
      </c>
    </row>
    <row r="35" spans="1:45" s="25" customFormat="1">
      <c r="A35" s="4" t="s">
        <v>5158</v>
      </c>
      <c r="B35" s="21">
        <f t="shared" si="2"/>
        <v>33</v>
      </c>
      <c r="C35" s="13" t="str">
        <f t="shared" si="15"/>
        <v>B24_疾患開始日</v>
      </c>
      <c r="D35" s="13" t="s">
        <v>4795</v>
      </c>
      <c r="E35" s="8"/>
      <c r="F35" s="7" t="s">
        <v>4348</v>
      </c>
      <c r="G35" s="7" t="s">
        <v>25</v>
      </c>
      <c r="H35" s="58"/>
      <c r="I35" s="23"/>
      <c r="J35" s="24"/>
      <c r="M35" s="4"/>
      <c r="N35" s="76"/>
      <c r="O35" s="76"/>
      <c r="P35" s="76" t="str">
        <f t="shared" si="9"/>
        <v>,shikkan27_start_date</v>
      </c>
      <c r="Q35" s="76" t="str">
        <f t="shared" si="10"/>
        <v>DATE</v>
      </c>
      <c r="R35" s="76" t="str">
        <f t="shared" si="11"/>
        <v/>
      </c>
      <c r="S35" s="76" t="str">
        <f t="shared" si="12"/>
        <v/>
      </c>
      <c r="T35" s="76" t="str">
        <f t="shared" si="13"/>
        <v>-- B24_疾患開始日</v>
      </c>
      <c r="U35" s="4" t="str">
        <f t="shared" si="14"/>
        <v>,'shikkan27_start_date'</v>
      </c>
      <c r="V35" s="25" t="str">
        <f t="shared" si="8"/>
        <v>,'shikkan27_start_date' : 'B24_疾患開始日'</v>
      </c>
      <c r="X35" s="25">
        <v>1</v>
      </c>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milscm_2023_009.main_diagnosis_start_date.shikkan27_start_date IS 'B24_疾患開始日';</v>
      </c>
    </row>
    <row r="36" spans="1:45" s="25" customFormat="1">
      <c r="A36" s="4" t="s">
        <v>5187</v>
      </c>
      <c r="B36" s="21">
        <f t="shared" si="2"/>
        <v>34</v>
      </c>
      <c r="C36" s="13" t="str">
        <f t="shared" si="15"/>
        <v>C000_疾患開始日</v>
      </c>
      <c r="D36" s="13" t="s">
        <v>4796</v>
      </c>
      <c r="E36" s="8"/>
      <c r="F36" s="7" t="s">
        <v>4348</v>
      </c>
      <c r="G36" s="7" t="s">
        <v>25</v>
      </c>
      <c r="H36" s="58"/>
      <c r="I36" s="23"/>
      <c r="J36" s="24"/>
      <c r="M36" s="4"/>
      <c r="N36" s="76"/>
      <c r="O36" s="76"/>
      <c r="P36" s="76" t="str">
        <f t="shared" si="9"/>
        <v>,shikkan28_start_date</v>
      </c>
      <c r="Q36" s="76" t="str">
        <f t="shared" si="10"/>
        <v>DATE</v>
      </c>
      <c r="R36" s="76" t="str">
        <f t="shared" si="11"/>
        <v/>
      </c>
      <c r="S36" s="76" t="str">
        <f t="shared" si="12"/>
        <v/>
      </c>
      <c r="T36" s="76" t="str">
        <f t="shared" si="13"/>
        <v>-- C000_疾患開始日</v>
      </c>
      <c r="U36" s="4" t="str">
        <f t="shared" si="14"/>
        <v>,'shikkan28_start_date'</v>
      </c>
      <c r="V36" s="25" t="str">
        <f t="shared" si="8"/>
        <v>,'shikkan28_start_date' : 'C000_疾患開始日'</v>
      </c>
      <c r="X36" s="25">
        <v>1</v>
      </c>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milscm_2023_009.main_diagnosis_start_date.shikkan28_start_date IS 'C000_疾患開始日';</v>
      </c>
    </row>
    <row r="37" spans="1:45" s="25" customFormat="1">
      <c r="A37" s="4" t="s">
        <v>5188</v>
      </c>
      <c r="B37" s="21">
        <f t="shared" si="2"/>
        <v>35</v>
      </c>
      <c r="C37" s="13" t="str">
        <f t="shared" si="15"/>
        <v>C001_疾患開始日</v>
      </c>
      <c r="D37" s="13" t="s">
        <v>4797</v>
      </c>
      <c r="E37" s="8"/>
      <c r="F37" s="7" t="s">
        <v>4348</v>
      </c>
      <c r="G37" s="7" t="s">
        <v>25</v>
      </c>
      <c r="H37" s="58"/>
      <c r="I37" s="23"/>
      <c r="J37" s="24"/>
      <c r="M37" s="4"/>
      <c r="N37" s="76"/>
      <c r="O37" s="76"/>
      <c r="P37" s="76" t="str">
        <f t="shared" si="9"/>
        <v>,shikkan29_start_date</v>
      </c>
      <c r="Q37" s="76" t="str">
        <f t="shared" si="10"/>
        <v>DATE</v>
      </c>
      <c r="R37" s="76" t="str">
        <f t="shared" si="11"/>
        <v/>
      </c>
      <c r="S37" s="76" t="str">
        <f t="shared" si="12"/>
        <v/>
      </c>
      <c r="T37" s="76" t="str">
        <f t="shared" si="13"/>
        <v>-- C001_疾患開始日</v>
      </c>
      <c r="U37" s="4" t="str">
        <f t="shared" si="14"/>
        <v>,'shikkan29_start_date'</v>
      </c>
      <c r="V37" s="25" t="str">
        <f t="shared" si="8"/>
        <v>,'shikkan29_start_date' : 'C001_疾患開始日'</v>
      </c>
      <c r="X37" s="25">
        <v>1</v>
      </c>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milscm_2023_009.main_diagnosis_start_date.shikkan29_start_date IS 'C001_疾患開始日';</v>
      </c>
    </row>
    <row r="38" spans="1:45" s="25" customFormat="1">
      <c r="A38" s="4" t="s">
        <v>5189</v>
      </c>
      <c r="B38" s="21">
        <f t="shared" si="2"/>
        <v>36</v>
      </c>
      <c r="C38" s="13" t="str">
        <f t="shared" si="15"/>
        <v>C002_疾患開始日</v>
      </c>
      <c r="D38" s="13" t="s">
        <v>4798</v>
      </c>
      <c r="E38" s="8"/>
      <c r="F38" s="7" t="s">
        <v>4348</v>
      </c>
      <c r="G38" s="7" t="s">
        <v>25</v>
      </c>
      <c r="H38" s="58"/>
      <c r="I38" s="23"/>
      <c r="J38" s="24"/>
      <c r="M38" s="4"/>
      <c r="N38" s="76"/>
      <c r="O38" s="76"/>
      <c r="P38" s="76" t="str">
        <f t="shared" si="9"/>
        <v>,shikkan30_start_date</v>
      </c>
      <c r="Q38" s="76" t="str">
        <f t="shared" si="10"/>
        <v>DATE</v>
      </c>
      <c r="R38" s="76" t="str">
        <f t="shared" si="11"/>
        <v/>
      </c>
      <c r="S38" s="76" t="str">
        <f t="shared" si="12"/>
        <v/>
      </c>
      <c r="T38" s="76" t="str">
        <f t="shared" si="13"/>
        <v>-- C002_疾患開始日</v>
      </c>
      <c r="U38" s="4" t="str">
        <f t="shared" si="14"/>
        <v>,'shikkan30_start_date'</v>
      </c>
      <c r="V38" s="25" t="str">
        <f t="shared" si="8"/>
        <v>,'shikkan30_start_date' : 'C002_疾患開始日'</v>
      </c>
      <c r="X38" s="25">
        <v>1</v>
      </c>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milscm_2023_009.main_diagnosis_start_date.shikkan30_start_date IS 'C002_疾患開始日';</v>
      </c>
    </row>
    <row r="39" spans="1:45" s="25" customFormat="1">
      <c r="A39" s="4" t="s">
        <v>5190</v>
      </c>
      <c r="B39" s="21">
        <f t="shared" si="2"/>
        <v>37</v>
      </c>
      <c r="C39" s="13" t="str">
        <f t="shared" si="15"/>
        <v>C003_疾患開始日</v>
      </c>
      <c r="D39" s="13" t="s">
        <v>4799</v>
      </c>
      <c r="E39" s="8"/>
      <c r="F39" s="7" t="s">
        <v>4348</v>
      </c>
      <c r="G39" s="7" t="s">
        <v>25</v>
      </c>
      <c r="H39" s="58"/>
      <c r="I39" s="23"/>
      <c r="J39" s="24"/>
      <c r="M39" s="4"/>
      <c r="N39" s="76"/>
      <c r="O39" s="76"/>
      <c r="P39" s="76" t="str">
        <f t="shared" si="9"/>
        <v>,shikkan31_start_date</v>
      </c>
      <c r="Q39" s="76" t="str">
        <f t="shared" si="10"/>
        <v>DATE</v>
      </c>
      <c r="R39" s="76" t="str">
        <f t="shared" si="11"/>
        <v/>
      </c>
      <c r="S39" s="76" t="str">
        <f t="shared" si="12"/>
        <v/>
      </c>
      <c r="T39" s="76" t="str">
        <f t="shared" si="13"/>
        <v>-- C003_疾患開始日</v>
      </c>
      <c r="U39" s="4" t="str">
        <f t="shared" si="14"/>
        <v>,'shikkan31_start_date'</v>
      </c>
      <c r="V39" s="25" t="str">
        <f t="shared" si="8"/>
        <v>,'shikkan31_start_date' : 'C003_疾患開始日'</v>
      </c>
      <c r="X39" s="25">
        <v>1</v>
      </c>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milscm_2023_009.main_diagnosis_start_date.shikkan31_start_date IS 'C003_疾患開始日';</v>
      </c>
    </row>
    <row r="40" spans="1:45" s="25" customFormat="1">
      <c r="A40" s="4" t="s">
        <v>5191</v>
      </c>
      <c r="B40" s="21">
        <f t="shared" si="2"/>
        <v>38</v>
      </c>
      <c r="C40" s="13" t="str">
        <f t="shared" si="15"/>
        <v>C004_疾患開始日</v>
      </c>
      <c r="D40" s="13" t="s">
        <v>4800</v>
      </c>
      <c r="E40" s="8"/>
      <c r="F40" s="7" t="s">
        <v>4348</v>
      </c>
      <c r="G40" s="7" t="s">
        <v>25</v>
      </c>
      <c r="H40" s="58"/>
      <c r="I40" s="23"/>
      <c r="J40" s="24"/>
      <c r="M40" s="4"/>
      <c r="N40" s="76"/>
      <c r="O40" s="76"/>
      <c r="P40" s="76" t="str">
        <f t="shared" si="9"/>
        <v>,shikkan32_start_date</v>
      </c>
      <c r="Q40" s="76" t="str">
        <f t="shared" si="10"/>
        <v>DATE</v>
      </c>
      <c r="R40" s="76" t="str">
        <f t="shared" si="11"/>
        <v/>
      </c>
      <c r="S40" s="76" t="str">
        <f t="shared" si="12"/>
        <v/>
      </c>
      <c r="T40" s="76" t="str">
        <f t="shared" si="13"/>
        <v>-- C004_疾患開始日</v>
      </c>
      <c r="U40" s="4" t="str">
        <f t="shared" si="14"/>
        <v>,'shikkan32_start_date'</v>
      </c>
      <c r="V40" s="25" t="str">
        <f t="shared" si="8"/>
        <v>,'shikkan32_start_date' : 'C004_疾患開始日'</v>
      </c>
      <c r="X40" s="25">
        <v>1</v>
      </c>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milscm_2023_009.main_diagnosis_start_date.shikkan32_start_date IS 'C004_疾患開始日';</v>
      </c>
    </row>
    <row r="41" spans="1:45" s="25" customFormat="1">
      <c r="A41" s="4" t="s">
        <v>5192</v>
      </c>
      <c r="B41" s="21">
        <f t="shared" si="2"/>
        <v>39</v>
      </c>
      <c r="C41" s="13" t="str">
        <f t="shared" si="15"/>
        <v>C005_疾患開始日</v>
      </c>
      <c r="D41" s="13" t="s">
        <v>4801</v>
      </c>
      <c r="E41" s="8"/>
      <c r="F41" s="7" t="s">
        <v>4348</v>
      </c>
      <c r="G41" s="7" t="s">
        <v>99</v>
      </c>
      <c r="H41" s="58"/>
      <c r="I41" s="23"/>
      <c r="J41" s="24"/>
      <c r="M41" s="4"/>
      <c r="N41" s="76"/>
      <c r="O41" s="76"/>
      <c r="P41" s="76" t="str">
        <f t="shared" si="9"/>
        <v>,shikkan33_start_date</v>
      </c>
      <c r="Q41" s="76" t="str">
        <f t="shared" si="10"/>
        <v>DATE</v>
      </c>
      <c r="R41" s="76" t="str">
        <f t="shared" si="11"/>
        <v/>
      </c>
      <c r="S41" s="76" t="str">
        <f t="shared" si="12"/>
        <v/>
      </c>
      <c r="T41" s="76" t="str">
        <f t="shared" si="13"/>
        <v>-- C005_疾患開始日</v>
      </c>
      <c r="U41" s="4" t="str">
        <f t="shared" si="14"/>
        <v>,'shikkan33_start_date'</v>
      </c>
      <c r="V41" s="25" t="str">
        <f t="shared" si="8"/>
        <v>,'shikkan33_start_date' : 'C005_疾患開始日'</v>
      </c>
      <c r="X41" s="25">
        <v>1</v>
      </c>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milscm_2023_009.main_diagnosis_start_date.shikkan33_start_date IS 'C005_疾患開始日';</v>
      </c>
    </row>
    <row r="42" spans="1:45" s="25" customFormat="1">
      <c r="A42" s="4" t="s">
        <v>5193</v>
      </c>
      <c r="B42" s="21">
        <f t="shared" si="2"/>
        <v>40</v>
      </c>
      <c r="C42" s="13" t="str">
        <f t="shared" si="15"/>
        <v>C006_疾患開始日</v>
      </c>
      <c r="D42" s="13" t="s">
        <v>4802</v>
      </c>
      <c r="E42" s="8"/>
      <c r="F42" s="7" t="s">
        <v>4348</v>
      </c>
      <c r="G42" s="7" t="s">
        <v>25</v>
      </c>
      <c r="H42" s="58"/>
      <c r="I42" s="23"/>
      <c r="J42" s="24"/>
      <c r="M42" s="4"/>
      <c r="N42" s="76"/>
      <c r="O42" s="76"/>
      <c r="P42" s="76" t="str">
        <f t="shared" si="9"/>
        <v>,shikkan34_start_date</v>
      </c>
      <c r="Q42" s="76" t="str">
        <f t="shared" si="10"/>
        <v>DATE</v>
      </c>
      <c r="R42" s="76" t="str">
        <f t="shared" si="11"/>
        <v/>
      </c>
      <c r="S42" s="76" t="str">
        <f t="shared" si="12"/>
        <v/>
      </c>
      <c r="T42" s="76" t="str">
        <f t="shared" si="13"/>
        <v>-- C006_疾患開始日</v>
      </c>
      <c r="U42" s="4" t="str">
        <f t="shared" si="14"/>
        <v>,'shikkan34_start_date'</v>
      </c>
      <c r="V42" s="25" t="str">
        <f t="shared" si="8"/>
        <v>,'shikkan34_start_date' : 'C006_疾患開始日'</v>
      </c>
      <c r="X42" s="25">
        <v>1</v>
      </c>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milscm_2023_009.main_diagnosis_start_date.shikkan34_start_date IS 'C006_疾患開始日';</v>
      </c>
    </row>
    <row r="43" spans="1:45" s="25" customFormat="1">
      <c r="A43" s="4" t="s">
        <v>5194</v>
      </c>
      <c r="B43" s="21">
        <f t="shared" si="2"/>
        <v>41</v>
      </c>
      <c r="C43" s="13" t="str">
        <f t="shared" si="15"/>
        <v>C008_疾患開始日</v>
      </c>
      <c r="D43" s="13" t="s">
        <v>4803</v>
      </c>
      <c r="E43" s="8"/>
      <c r="F43" s="7" t="s">
        <v>4348</v>
      </c>
      <c r="G43" s="7" t="s">
        <v>25</v>
      </c>
      <c r="H43" s="58"/>
      <c r="I43" s="23"/>
      <c r="J43" s="24"/>
      <c r="M43" s="4"/>
      <c r="N43" s="76"/>
      <c r="O43" s="76"/>
      <c r="P43" s="76" t="str">
        <f t="shared" si="9"/>
        <v>,shikkan35_start_date</v>
      </c>
      <c r="Q43" s="76" t="str">
        <f t="shared" si="10"/>
        <v>DATE</v>
      </c>
      <c r="R43" s="76" t="str">
        <f t="shared" si="11"/>
        <v/>
      </c>
      <c r="S43" s="76" t="str">
        <f t="shared" si="12"/>
        <v/>
      </c>
      <c r="T43" s="76" t="str">
        <f t="shared" si="13"/>
        <v>-- C008_疾患開始日</v>
      </c>
      <c r="U43" s="4" t="str">
        <f t="shared" si="14"/>
        <v>,'shikkan35_start_date'</v>
      </c>
      <c r="V43" s="25" t="str">
        <f t="shared" si="8"/>
        <v>,'shikkan35_start_date' : 'C008_疾患開始日'</v>
      </c>
      <c r="X43" s="25">
        <v>1</v>
      </c>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milscm_2023_009.main_diagnosis_start_date.shikkan35_start_date IS 'C008_疾患開始日';</v>
      </c>
    </row>
    <row r="44" spans="1:45" s="25" customFormat="1">
      <c r="A44" s="4" t="s">
        <v>5195</v>
      </c>
      <c r="B44" s="21">
        <f t="shared" si="2"/>
        <v>42</v>
      </c>
      <c r="C44" s="13" t="str">
        <f t="shared" si="15"/>
        <v>C009_疾患開始日</v>
      </c>
      <c r="D44" s="13" t="s">
        <v>4804</v>
      </c>
      <c r="E44" s="8"/>
      <c r="F44" s="7" t="s">
        <v>4348</v>
      </c>
      <c r="G44" s="7" t="s">
        <v>25</v>
      </c>
      <c r="H44" s="58"/>
      <c r="I44" s="23"/>
      <c r="J44" s="24"/>
      <c r="M44" s="4"/>
      <c r="N44" s="76"/>
      <c r="O44" s="76"/>
      <c r="P44" s="76" t="str">
        <f t="shared" si="9"/>
        <v>,shikkan36_start_date</v>
      </c>
      <c r="Q44" s="76" t="str">
        <f t="shared" si="10"/>
        <v>DATE</v>
      </c>
      <c r="R44" s="76" t="str">
        <f t="shared" si="11"/>
        <v/>
      </c>
      <c r="S44" s="76" t="str">
        <f t="shared" si="12"/>
        <v/>
      </c>
      <c r="T44" s="76" t="str">
        <f t="shared" si="13"/>
        <v>-- C009_疾患開始日</v>
      </c>
      <c r="U44" s="4" t="str">
        <f t="shared" si="14"/>
        <v>,'shikkan36_start_date'</v>
      </c>
      <c r="V44" s="25" t="str">
        <f t="shared" si="8"/>
        <v>,'shikkan36_start_date' : 'C009_疾患開始日'</v>
      </c>
      <c r="X44" s="25">
        <v>1</v>
      </c>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milscm_2023_009.main_diagnosis_start_date.shikkan36_start_date IS 'C009_疾患開始日';</v>
      </c>
    </row>
    <row r="45" spans="1:45" s="25" customFormat="1">
      <c r="A45" s="4" t="s">
        <v>5140</v>
      </c>
      <c r="B45" s="21">
        <f t="shared" si="2"/>
        <v>43</v>
      </c>
      <c r="C45" s="13" t="str">
        <f t="shared" si="15"/>
        <v>C01_疾患開始日</v>
      </c>
      <c r="D45" s="13" t="s">
        <v>4805</v>
      </c>
      <c r="E45" s="8"/>
      <c r="F45" s="7" t="s">
        <v>4348</v>
      </c>
      <c r="G45" s="7" t="s">
        <v>25</v>
      </c>
      <c r="H45" s="58"/>
      <c r="I45" s="23"/>
      <c r="J45" s="24"/>
      <c r="M45" s="4"/>
      <c r="N45" s="76"/>
      <c r="O45" s="76"/>
      <c r="P45" s="76" t="str">
        <f t="shared" si="9"/>
        <v>,shikkan37_start_date</v>
      </c>
      <c r="Q45" s="76" t="str">
        <f t="shared" si="10"/>
        <v>DATE</v>
      </c>
      <c r="R45" s="76" t="str">
        <f t="shared" si="11"/>
        <v/>
      </c>
      <c r="S45" s="76" t="str">
        <f t="shared" si="12"/>
        <v/>
      </c>
      <c r="T45" s="76" t="str">
        <f t="shared" si="13"/>
        <v>-- C01_疾患開始日</v>
      </c>
      <c r="U45" s="4" t="str">
        <f t="shared" si="14"/>
        <v>,'shikkan37_start_date'</v>
      </c>
      <c r="V45" s="25" t="str">
        <f t="shared" si="8"/>
        <v>,'shikkan37_start_date' : 'C01_疾患開始日'</v>
      </c>
      <c r="X45" s="25">
        <v>1</v>
      </c>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milscm_2023_009.main_diagnosis_start_date.shikkan37_start_date IS 'C01_疾患開始日';</v>
      </c>
    </row>
    <row r="46" spans="1:45" s="25" customFormat="1">
      <c r="A46" s="4" t="s">
        <v>5196</v>
      </c>
      <c r="B46" s="21">
        <f t="shared" si="2"/>
        <v>44</v>
      </c>
      <c r="C46" s="13" t="str">
        <f t="shared" si="15"/>
        <v>C020_疾患開始日</v>
      </c>
      <c r="D46" s="13" t="s">
        <v>4806</v>
      </c>
      <c r="E46" s="8"/>
      <c r="F46" s="7" t="s">
        <v>4348</v>
      </c>
      <c r="G46" s="7" t="s">
        <v>25</v>
      </c>
      <c r="H46" s="58"/>
      <c r="I46" s="23"/>
      <c r="J46" s="24"/>
      <c r="M46" s="4"/>
      <c r="N46" s="76"/>
      <c r="O46" s="76"/>
      <c r="P46" s="76" t="str">
        <f t="shared" si="9"/>
        <v>,shikkan38_start_date</v>
      </c>
      <c r="Q46" s="76" t="str">
        <f t="shared" si="10"/>
        <v>DATE</v>
      </c>
      <c r="R46" s="76" t="str">
        <f t="shared" si="11"/>
        <v/>
      </c>
      <c r="S46" s="76" t="str">
        <f t="shared" si="12"/>
        <v/>
      </c>
      <c r="T46" s="76" t="str">
        <f t="shared" si="13"/>
        <v>-- C020_疾患開始日</v>
      </c>
      <c r="U46" s="4" t="str">
        <f t="shared" si="14"/>
        <v>,'shikkan38_start_date'</v>
      </c>
      <c r="V46" s="25" t="str">
        <f t="shared" si="8"/>
        <v>,'shikkan38_start_date' : 'C020_疾患開始日'</v>
      </c>
      <c r="X46" s="25">
        <v>1</v>
      </c>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milscm_2023_009.main_diagnosis_start_date.shikkan38_start_date IS 'C020_疾患開始日';</v>
      </c>
    </row>
    <row r="47" spans="1:45" s="25" customFormat="1">
      <c r="A47" s="4" t="s">
        <v>5197</v>
      </c>
      <c r="B47" s="21">
        <f t="shared" si="2"/>
        <v>45</v>
      </c>
      <c r="C47" s="13" t="str">
        <f t="shared" si="15"/>
        <v>C021_疾患開始日</v>
      </c>
      <c r="D47" s="13" t="s">
        <v>4807</v>
      </c>
      <c r="E47" s="8"/>
      <c r="F47" s="7" t="s">
        <v>4348</v>
      </c>
      <c r="G47" s="7" t="s">
        <v>25</v>
      </c>
      <c r="H47" s="58"/>
      <c r="I47" s="23"/>
      <c r="J47" s="24"/>
      <c r="M47" s="4"/>
      <c r="N47" s="76"/>
      <c r="O47" s="76"/>
      <c r="P47" s="76" t="str">
        <f t="shared" si="9"/>
        <v>,shikkan39_start_date</v>
      </c>
      <c r="Q47" s="76" t="str">
        <f t="shared" si="10"/>
        <v>DATE</v>
      </c>
      <c r="R47" s="76" t="str">
        <f t="shared" si="11"/>
        <v/>
      </c>
      <c r="S47" s="76" t="str">
        <f t="shared" si="12"/>
        <v/>
      </c>
      <c r="T47" s="76" t="str">
        <f t="shared" si="13"/>
        <v>-- C021_疾患開始日</v>
      </c>
      <c r="U47" s="4" t="str">
        <f t="shared" si="14"/>
        <v>,'shikkan39_start_date'</v>
      </c>
      <c r="V47" s="25" t="str">
        <f t="shared" si="8"/>
        <v>,'shikkan39_start_date' : 'C021_疾患開始日'</v>
      </c>
      <c r="X47" s="25">
        <v>1</v>
      </c>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milscm_2023_009.main_diagnosis_start_date.shikkan39_start_date IS 'C021_疾患開始日';</v>
      </c>
    </row>
    <row r="48" spans="1:45" s="25" customFormat="1">
      <c r="A48" s="4" t="s">
        <v>5198</v>
      </c>
      <c r="B48" s="21">
        <f t="shared" si="2"/>
        <v>46</v>
      </c>
      <c r="C48" s="13" t="str">
        <f t="shared" si="15"/>
        <v>C022_疾患開始日</v>
      </c>
      <c r="D48" s="13" t="s">
        <v>4808</v>
      </c>
      <c r="E48" s="8"/>
      <c r="F48" s="7" t="s">
        <v>4348</v>
      </c>
      <c r="G48" s="7" t="s">
        <v>25</v>
      </c>
      <c r="H48" s="58"/>
      <c r="I48" s="23"/>
      <c r="J48" s="24"/>
      <c r="M48" s="4"/>
      <c r="N48" s="76"/>
      <c r="O48" s="76"/>
      <c r="P48" s="76" t="str">
        <f t="shared" si="9"/>
        <v>,shikkan40_start_date</v>
      </c>
      <c r="Q48" s="76" t="str">
        <f t="shared" si="10"/>
        <v>DATE</v>
      </c>
      <c r="R48" s="76" t="str">
        <f t="shared" si="11"/>
        <v/>
      </c>
      <c r="S48" s="76" t="str">
        <f t="shared" si="12"/>
        <v/>
      </c>
      <c r="T48" s="76" t="str">
        <f t="shared" si="13"/>
        <v>-- C022_疾患開始日</v>
      </c>
      <c r="U48" s="4" t="str">
        <f t="shared" si="14"/>
        <v>,'shikkan40_start_date'</v>
      </c>
      <c r="V48" s="25" t="str">
        <f t="shared" si="8"/>
        <v>,'shikkan40_start_date' : 'C022_疾患開始日'</v>
      </c>
      <c r="X48" s="25">
        <v>1</v>
      </c>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milscm_2023_009.main_diagnosis_start_date.shikkan40_start_date IS 'C022_疾患開始日';</v>
      </c>
    </row>
    <row r="49" spans="1:45" s="25" customFormat="1">
      <c r="A49" s="4" t="s">
        <v>5199</v>
      </c>
      <c r="B49" s="21">
        <f t="shared" si="2"/>
        <v>47</v>
      </c>
      <c r="C49" s="13" t="str">
        <f t="shared" si="15"/>
        <v>C023_疾患開始日</v>
      </c>
      <c r="D49" s="13" t="s">
        <v>4809</v>
      </c>
      <c r="E49" s="8"/>
      <c r="F49" s="7" t="s">
        <v>4348</v>
      </c>
      <c r="G49" s="7" t="s">
        <v>25</v>
      </c>
      <c r="H49" s="58"/>
      <c r="I49" s="23"/>
      <c r="J49" s="24"/>
      <c r="M49" s="4"/>
      <c r="N49" s="76"/>
      <c r="O49" s="76"/>
      <c r="P49" s="76" t="str">
        <f t="shared" si="9"/>
        <v>,shikkan41_start_date</v>
      </c>
      <c r="Q49" s="76" t="str">
        <f t="shared" si="10"/>
        <v>DATE</v>
      </c>
      <c r="R49" s="76" t="str">
        <f t="shared" si="11"/>
        <v/>
      </c>
      <c r="S49" s="76" t="str">
        <f t="shared" si="12"/>
        <v/>
      </c>
      <c r="T49" s="76" t="str">
        <f t="shared" si="13"/>
        <v>-- C023_疾患開始日</v>
      </c>
      <c r="U49" s="4" t="str">
        <f t="shared" si="14"/>
        <v>,'shikkan41_start_date'</v>
      </c>
      <c r="V49" s="25" t="str">
        <f t="shared" si="8"/>
        <v>,'shikkan41_start_date' : 'C023_疾患開始日'</v>
      </c>
      <c r="X49" s="25">
        <v>1</v>
      </c>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milscm_2023_009.main_diagnosis_start_date.shikkan41_start_date IS 'C023_疾患開始日';</v>
      </c>
    </row>
    <row r="50" spans="1:45" s="25" customFormat="1">
      <c r="A50" s="4" t="s">
        <v>5200</v>
      </c>
      <c r="B50" s="21">
        <f t="shared" si="2"/>
        <v>48</v>
      </c>
      <c r="C50" s="13" t="str">
        <f t="shared" si="15"/>
        <v>C024_疾患開始日</v>
      </c>
      <c r="D50" s="13" t="s">
        <v>4810</v>
      </c>
      <c r="E50" s="8"/>
      <c r="F50" s="7" t="s">
        <v>4348</v>
      </c>
      <c r="G50" s="7" t="s">
        <v>25</v>
      </c>
      <c r="H50" s="58"/>
      <c r="I50" s="23"/>
      <c r="J50" s="24"/>
      <c r="M50" s="4"/>
      <c r="N50" s="76"/>
      <c r="O50" s="76"/>
      <c r="P50" s="76" t="str">
        <f t="shared" si="9"/>
        <v>,shikkan42_start_date</v>
      </c>
      <c r="Q50" s="76" t="str">
        <f t="shared" si="10"/>
        <v>DATE</v>
      </c>
      <c r="R50" s="76" t="str">
        <f t="shared" si="11"/>
        <v/>
      </c>
      <c r="S50" s="76" t="str">
        <f t="shared" si="12"/>
        <v/>
      </c>
      <c r="T50" s="76" t="str">
        <f t="shared" si="13"/>
        <v>-- C024_疾患開始日</v>
      </c>
      <c r="U50" s="4" t="str">
        <f t="shared" si="14"/>
        <v>,'shikkan42_start_date'</v>
      </c>
      <c r="V50" s="25" t="str">
        <f t="shared" si="8"/>
        <v>,'shikkan42_start_date' : 'C024_疾患開始日'</v>
      </c>
      <c r="X50" s="25">
        <v>1</v>
      </c>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milscm_2023_009.main_diagnosis_start_date.shikkan42_start_date IS 'C024_疾患開始日';</v>
      </c>
    </row>
    <row r="51" spans="1:45" s="25" customFormat="1">
      <c r="A51" s="4" t="s">
        <v>5201</v>
      </c>
      <c r="B51" s="21">
        <f t="shared" si="2"/>
        <v>49</v>
      </c>
      <c r="C51" s="13" t="str">
        <f t="shared" si="15"/>
        <v>C028_疾患開始日</v>
      </c>
      <c r="D51" s="13" t="s">
        <v>4811</v>
      </c>
      <c r="E51" s="8"/>
      <c r="F51" s="7" t="s">
        <v>4348</v>
      </c>
      <c r="G51" s="7" t="s">
        <v>25</v>
      </c>
      <c r="H51" s="58"/>
      <c r="I51" s="23"/>
      <c r="J51" s="24"/>
      <c r="M51" s="4"/>
      <c r="N51" s="76"/>
      <c r="O51" s="76"/>
      <c r="P51" s="76" t="str">
        <f t="shared" si="9"/>
        <v>,shikkan43_start_date</v>
      </c>
      <c r="Q51" s="76" t="str">
        <f t="shared" si="10"/>
        <v>DATE</v>
      </c>
      <c r="R51" s="76" t="str">
        <f t="shared" si="11"/>
        <v/>
      </c>
      <c r="S51" s="76" t="str">
        <f t="shared" si="12"/>
        <v/>
      </c>
      <c r="T51" s="76" t="str">
        <f t="shared" si="13"/>
        <v>-- C028_疾患開始日</v>
      </c>
      <c r="U51" s="4" t="str">
        <f t="shared" si="14"/>
        <v>,'shikkan43_start_date'</v>
      </c>
      <c r="V51" s="25" t="str">
        <f t="shared" si="8"/>
        <v>,'shikkan43_start_date' : 'C028_疾患開始日'</v>
      </c>
      <c r="X51" s="25">
        <v>1</v>
      </c>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milscm_2023_009.main_diagnosis_start_date.shikkan43_start_date IS 'C028_疾患開始日';</v>
      </c>
    </row>
    <row r="52" spans="1:45" s="25" customFormat="1">
      <c r="A52" s="4" t="s">
        <v>5202</v>
      </c>
      <c r="B52" s="21">
        <f t="shared" si="2"/>
        <v>50</v>
      </c>
      <c r="C52" s="13" t="str">
        <f t="shared" si="15"/>
        <v>C029_疾患開始日</v>
      </c>
      <c r="D52" s="13" t="s">
        <v>4812</v>
      </c>
      <c r="E52" s="8"/>
      <c r="F52" s="7" t="s">
        <v>4348</v>
      </c>
      <c r="G52" s="7" t="s">
        <v>25</v>
      </c>
      <c r="H52" s="58"/>
      <c r="I52" s="23"/>
      <c r="J52" s="24"/>
      <c r="M52" s="4"/>
      <c r="N52" s="76"/>
      <c r="O52" s="76"/>
      <c r="P52" s="76" t="str">
        <f t="shared" si="9"/>
        <v>,shikkan44_start_date</v>
      </c>
      <c r="Q52" s="76" t="str">
        <f t="shared" si="10"/>
        <v>DATE</v>
      </c>
      <c r="R52" s="76" t="str">
        <f t="shared" si="11"/>
        <v/>
      </c>
      <c r="S52" s="76" t="str">
        <f t="shared" si="12"/>
        <v/>
      </c>
      <c r="T52" s="76" t="str">
        <f t="shared" si="13"/>
        <v>-- C029_疾患開始日</v>
      </c>
      <c r="U52" s="4" t="str">
        <f t="shared" si="14"/>
        <v>,'shikkan44_start_date'</v>
      </c>
      <c r="V52" s="25" t="str">
        <f t="shared" si="8"/>
        <v>,'shikkan44_start_date' : 'C029_疾患開始日'</v>
      </c>
      <c r="X52" s="25">
        <v>1</v>
      </c>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milscm_2023_009.main_diagnosis_start_date.shikkan44_start_date IS 'C029_疾患開始日';</v>
      </c>
    </row>
    <row r="53" spans="1:45" s="25" customFormat="1">
      <c r="A53" s="4" t="s">
        <v>5203</v>
      </c>
      <c r="B53" s="21">
        <f t="shared" si="2"/>
        <v>51</v>
      </c>
      <c r="C53" s="13" t="str">
        <f t="shared" si="15"/>
        <v>C030_疾患開始日</v>
      </c>
      <c r="D53" s="13" t="s">
        <v>4813</v>
      </c>
      <c r="E53" s="8"/>
      <c r="F53" s="7" t="s">
        <v>4348</v>
      </c>
      <c r="G53" s="7" t="s">
        <v>25</v>
      </c>
      <c r="H53" s="58"/>
      <c r="I53" s="23"/>
      <c r="J53" s="24"/>
      <c r="M53" s="4"/>
      <c r="N53" s="76"/>
      <c r="O53" s="76"/>
      <c r="P53" s="76" t="str">
        <f t="shared" si="9"/>
        <v>,shikkan45_start_date</v>
      </c>
      <c r="Q53" s="76" t="str">
        <f t="shared" si="10"/>
        <v>DATE</v>
      </c>
      <c r="R53" s="76" t="str">
        <f t="shared" si="11"/>
        <v/>
      </c>
      <c r="S53" s="76" t="str">
        <f t="shared" si="12"/>
        <v/>
      </c>
      <c r="T53" s="76" t="str">
        <f t="shared" si="13"/>
        <v>-- C030_疾患開始日</v>
      </c>
      <c r="U53" s="4" t="str">
        <f t="shared" si="14"/>
        <v>,'shikkan45_start_date'</v>
      </c>
      <c r="V53" s="25" t="str">
        <f t="shared" si="8"/>
        <v>,'shikkan45_start_date' : 'C030_疾患開始日'</v>
      </c>
      <c r="X53" s="25">
        <v>1</v>
      </c>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milscm_2023_009.main_diagnosis_start_date.shikkan45_start_date IS 'C030_疾患開始日';</v>
      </c>
    </row>
    <row r="54" spans="1:45" s="25" customFormat="1">
      <c r="A54" s="4" t="s">
        <v>5204</v>
      </c>
      <c r="B54" s="21">
        <f t="shared" si="2"/>
        <v>52</v>
      </c>
      <c r="C54" s="13" t="str">
        <f t="shared" si="15"/>
        <v>C031_疾患開始日</v>
      </c>
      <c r="D54" s="13" t="s">
        <v>4814</v>
      </c>
      <c r="E54" s="8"/>
      <c r="F54" s="7" t="s">
        <v>4348</v>
      </c>
      <c r="G54" s="7" t="s">
        <v>25</v>
      </c>
      <c r="H54" s="58"/>
      <c r="I54" s="23"/>
      <c r="J54" s="24"/>
      <c r="M54" s="4"/>
      <c r="N54" s="76"/>
      <c r="O54" s="76"/>
      <c r="P54" s="76" t="str">
        <f t="shared" si="9"/>
        <v>,shikkan46_start_date</v>
      </c>
      <c r="Q54" s="76" t="str">
        <f t="shared" si="10"/>
        <v>DATE</v>
      </c>
      <c r="R54" s="76" t="str">
        <f t="shared" si="11"/>
        <v/>
      </c>
      <c r="S54" s="76" t="str">
        <f t="shared" si="12"/>
        <v/>
      </c>
      <c r="T54" s="76" t="str">
        <f t="shared" si="13"/>
        <v>-- C031_疾患開始日</v>
      </c>
      <c r="U54" s="4" t="str">
        <f t="shared" si="14"/>
        <v>,'shikkan46_start_date'</v>
      </c>
      <c r="V54" s="25" t="str">
        <f t="shared" si="8"/>
        <v>,'shikkan46_start_date' : 'C031_疾患開始日'</v>
      </c>
      <c r="X54" s="25">
        <v>1</v>
      </c>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milscm_2023_009.main_diagnosis_start_date.shikkan46_start_date IS 'C031_疾患開始日';</v>
      </c>
    </row>
    <row r="55" spans="1:45" s="25" customFormat="1">
      <c r="A55" s="4" t="s">
        <v>5205</v>
      </c>
      <c r="B55" s="21">
        <f t="shared" si="2"/>
        <v>53</v>
      </c>
      <c r="C55" s="13" t="str">
        <f t="shared" si="15"/>
        <v>C039_疾患開始日</v>
      </c>
      <c r="D55" s="13" t="s">
        <v>4815</v>
      </c>
      <c r="E55" s="8"/>
      <c r="F55" s="7" t="s">
        <v>4348</v>
      </c>
      <c r="G55" s="7" t="s">
        <v>25</v>
      </c>
      <c r="H55" s="58"/>
      <c r="I55" s="23"/>
      <c r="J55" s="24"/>
      <c r="M55" s="4"/>
      <c r="N55" s="76"/>
      <c r="O55" s="76"/>
      <c r="P55" s="76" t="str">
        <f t="shared" si="9"/>
        <v>,shikkan47_start_date</v>
      </c>
      <c r="Q55" s="76" t="str">
        <f t="shared" si="10"/>
        <v>DATE</v>
      </c>
      <c r="R55" s="76" t="str">
        <f t="shared" si="11"/>
        <v/>
      </c>
      <c r="S55" s="76" t="str">
        <f t="shared" si="12"/>
        <v/>
      </c>
      <c r="T55" s="76" t="str">
        <f t="shared" si="13"/>
        <v>-- C039_疾患開始日</v>
      </c>
      <c r="U55" s="4" t="str">
        <f t="shared" si="14"/>
        <v>,'shikkan47_start_date'</v>
      </c>
      <c r="V55" s="25" t="str">
        <f t="shared" si="8"/>
        <v>,'shikkan47_start_date' : 'C039_疾患開始日'</v>
      </c>
      <c r="X55" s="25">
        <v>1</v>
      </c>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milscm_2023_009.main_diagnosis_start_date.shikkan47_start_date IS 'C039_疾患開始日';</v>
      </c>
    </row>
    <row r="56" spans="1:45" s="25" customFormat="1">
      <c r="A56" s="4" t="s">
        <v>5206</v>
      </c>
      <c r="B56" s="21">
        <f t="shared" si="2"/>
        <v>54</v>
      </c>
      <c r="C56" s="13" t="str">
        <f t="shared" si="15"/>
        <v>C040_疾患開始日</v>
      </c>
      <c r="D56" s="13" t="s">
        <v>4816</v>
      </c>
      <c r="E56" s="8"/>
      <c r="F56" s="7" t="s">
        <v>4348</v>
      </c>
      <c r="G56" s="7" t="s">
        <v>25</v>
      </c>
      <c r="H56" s="58"/>
      <c r="I56" s="23"/>
      <c r="J56" s="24"/>
      <c r="M56" s="4"/>
      <c r="N56" s="76"/>
      <c r="O56" s="76"/>
      <c r="P56" s="76" t="str">
        <f t="shared" si="9"/>
        <v>,shikkan48_start_date</v>
      </c>
      <c r="Q56" s="76" t="str">
        <f t="shared" si="10"/>
        <v>DATE</v>
      </c>
      <c r="R56" s="76" t="str">
        <f t="shared" si="11"/>
        <v/>
      </c>
      <c r="S56" s="76" t="str">
        <f t="shared" si="12"/>
        <v/>
      </c>
      <c r="T56" s="76" t="str">
        <f t="shared" si="13"/>
        <v>-- C040_疾患開始日</v>
      </c>
      <c r="U56" s="4" t="str">
        <f t="shared" si="14"/>
        <v>,'shikkan48_start_date'</v>
      </c>
      <c r="V56" s="25" t="str">
        <f t="shared" si="8"/>
        <v>,'shikkan48_start_date' : 'C040_疾患開始日'</v>
      </c>
      <c r="X56" s="25">
        <v>1</v>
      </c>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milscm_2023_009.main_diagnosis_start_date.shikkan48_start_date IS 'C040_疾患開始日';</v>
      </c>
    </row>
    <row r="57" spans="1:45" s="25" customFormat="1">
      <c r="A57" s="4" t="s">
        <v>5207</v>
      </c>
      <c r="B57" s="21">
        <f t="shared" si="2"/>
        <v>55</v>
      </c>
      <c r="C57" s="13" t="str">
        <f t="shared" si="15"/>
        <v>C041_疾患開始日</v>
      </c>
      <c r="D57" s="13" t="s">
        <v>4817</v>
      </c>
      <c r="E57" s="8"/>
      <c r="F57" s="7" t="s">
        <v>4348</v>
      </c>
      <c r="G57" s="7" t="s">
        <v>99</v>
      </c>
      <c r="H57" s="58"/>
      <c r="I57" s="23"/>
      <c r="J57" s="24"/>
      <c r="M57" s="4"/>
      <c r="N57" s="76"/>
      <c r="O57" s="76"/>
      <c r="P57" s="76" t="str">
        <f t="shared" si="9"/>
        <v>,shikkan49_start_date</v>
      </c>
      <c r="Q57" s="76" t="str">
        <f t="shared" si="10"/>
        <v>DATE</v>
      </c>
      <c r="R57" s="76" t="str">
        <f t="shared" si="11"/>
        <v/>
      </c>
      <c r="S57" s="76" t="str">
        <f t="shared" si="12"/>
        <v/>
      </c>
      <c r="T57" s="76" t="str">
        <f t="shared" si="13"/>
        <v>-- C041_疾患開始日</v>
      </c>
      <c r="U57" s="4" t="str">
        <f t="shared" si="14"/>
        <v>,'shikkan49_start_date'</v>
      </c>
      <c r="V57" s="25" t="str">
        <f t="shared" si="8"/>
        <v>,'shikkan49_start_date' : 'C041_疾患開始日'</v>
      </c>
      <c r="X57" s="25">
        <v>1</v>
      </c>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milscm_2023_009.main_diagnosis_start_date.shikkan49_start_date IS 'C041_疾患開始日';</v>
      </c>
    </row>
    <row r="58" spans="1:45" s="25" customFormat="1">
      <c r="A58" s="4" t="s">
        <v>5208</v>
      </c>
      <c r="B58" s="21">
        <f t="shared" si="2"/>
        <v>56</v>
      </c>
      <c r="C58" s="13" t="str">
        <f t="shared" si="15"/>
        <v>C048_疾患開始日</v>
      </c>
      <c r="D58" s="13" t="s">
        <v>4818</v>
      </c>
      <c r="E58" s="8"/>
      <c r="F58" s="7" t="s">
        <v>4348</v>
      </c>
      <c r="G58" s="7" t="s">
        <v>25</v>
      </c>
      <c r="H58" s="58"/>
      <c r="I58" s="23"/>
      <c r="J58" s="24"/>
      <c r="M58" s="4"/>
      <c r="N58" s="76"/>
      <c r="O58" s="76"/>
      <c r="P58" s="76" t="str">
        <f t="shared" si="9"/>
        <v>,shikkan50_start_date</v>
      </c>
      <c r="Q58" s="76" t="str">
        <f t="shared" si="10"/>
        <v>DATE</v>
      </c>
      <c r="R58" s="76" t="str">
        <f t="shared" si="11"/>
        <v/>
      </c>
      <c r="S58" s="76" t="str">
        <f t="shared" si="12"/>
        <v/>
      </c>
      <c r="T58" s="76" t="str">
        <f t="shared" si="13"/>
        <v>-- C048_疾患開始日</v>
      </c>
      <c r="U58" s="4" t="str">
        <f t="shared" si="14"/>
        <v>,'shikkan50_start_date'</v>
      </c>
      <c r="V58" s="25" t="str">
        <f t="shared" si="8"/>
        <v>,'shikkan50_start_date' : 'C048_疾患開始日'</v>
      </c>
      <c r="X58" s="25">
        <v>1</v>
      </c>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milscm_2023_009.main_diagnosis_start_date.shikkan50_start_date IS 'C048_疾患開始日';</v>
      </c>
    </row>
    <row r="59" spans="1:45" s="25" customFormat="1">
      <c r="A59" s="4" t="s">
        <v>5209</v>
      </c>
      <c r="B59" s="21">
        <f t="shared" si="2"/>
        <v>57</v>
      </c>
      <c r="C59" s="13" t="str">
        <f t="shared" si="15"/>
        <v>C049_疾患開始日</v>
      </c>
      <c r="D59" s="13" t="s">
        <v>4819</v>
      </c>
      <c r="E59" s="8"/>
      <c r="F59" s="7" t="s">
        <v>4348</v>
      </c>
      <c r="G59" s="7" t="s">
        <v>25</v>
      </c>
      <c r="H59" s="58"/>
      <c r="I59" s="23"/>
      <c r="J59" s="24"/>
      <c r="M59" s="4"/>
      <c r="N59" s="76"/>
      <c r="O59" s="76"/>
      <c r="P59" s="76" t="str">
        <f t="shared" si="9"/>
        <v>,shikkan51_start_date</v>
      </c>
      <c r="Q59" s="76" t="str">
        <f t="shared" si="10"/>
        <v>DATE</v>
      </c>
      <c r="R59" s="76" t="str">
        <f t="shared" si="11"/>
        <v/>
      </c>
      <c r="S59" s="76" t="str">
        <f t="shared" si="12"/>
        <v/>
      </c>
      <c r="T59" s="76" t="str">
        <f t="shared" si="13"/>
        <v>-- C049_疾患開始日</v>
      </c>
      <c r="U59" s="4" t="str">
        <f t="shared" si="14"/>
        <v>,'shikkan51_start_date'</v>
      </c>
      <c r="V59" s="25" t="str">
        <f t="shared" si="8"/>
        <v>,'shikkan51_start_date' : 'C049_疾患開始日'</v>
      </c>
      <c r="X59" s="25">
        <v>1</v>
      </c>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milscm_2023_009.main_diagnosis_start_date.shikkan51_start_date IS 'C049_疾患開始日';</v>
      </c>
    </row>
    <row r="60" spans="1:45" s="25" customFormat="1">
      <c r="A60" s="4" t="s">
        <v>5210</v>
      </c>
      <c r="B60" s="21">
        <f t="shared" si="2"/>
        <v>58</v>
      </c>
      <c r="C60" s="13" t="str">
        <f t="shared" si="15"/>
        <v>C050_疾患開始日</v>
      </c>
      <c r="D60" s="13" t="s">
        <v>4820</v>
      </c>
      <c r="E60" s="8"/>
      <c r="F60" s="7" t="s">
        <v>4348</v>
      </c>
      <c r="G60" s="7" t="s">
        <v>25</v>
      </c>
      <c r="H60" s="58"/>
      <c r="I60" s="23"/>
      <c r="J60" s="24"/>
      <c r="M60" s="4"/>
      <c r="N60" s="76"/>
      <c r="O60" s="76"/>
      <c r="P60" s="76" t="str">
        <f t="shared" si="9"/>
        <v>,shikkan52_start_date</v>
      </c>
      <c r="Q60" s="76" t="str">
        <f t="shared" si="10"/>
        <v>DATE</v>
      </c>
      <c r="R60" s="76" t="str">
        <f t="shared" si="11"/>
        <v/>
      </c>
      <c r="S60" s="76" t="str">
        <f t="shared" si="12"/>
        <v/>
      </c>
      <c r="T60" s="76" t="str">
        <f t="shared" si="13"/>
        <v>-- C050_疾患開始日</v>
      </c>
      <c r="U60" s="4" t="str">
        <f t="shared" si="14"/>
        <v>,'shikkan52_start_date'</v>
      </c>
      <c r="V60" s="25" t="str">
        <f t="shared" si="8"/>
        <v>,'shikkan52_start_date' : 'C050_疾患開始日'</v>
      </c>
      <c r="X60" s="25">
        <v>1</v>
      </c>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milscm_2023_009.main_diagnosis_start_date.shikkan52_start_date IS 'C050_疾患開始日';</v>
      </c>
    </row>
    <row r="61" spans="1:45" s="25" customFormat="1">
      <c r="A61" s="4" t="s">
        <v>5211</v>
      </c>
      <c r="B61" s="21">
        <f t="shared" si="2"/>
        <v>59</v>
      </c>
      <c r="C61" s="13" t="str">
        <f t="shared" si="15"/>
        <v>C051_疾患開始日</v>
      </c>
      <c r="D61" s="13" t="s">
        <v>4821</v>
      </c>
      <c r="E61" s="8"/>
      <c r="F61" s="7" t="s">
        <v>4348</v>
      </c>
      <c r="G61" s="7" t="s">
        <v>25</v>
      </c>
      <c r="H61" s="58"/>
      <c r="I61" s="23"/>
      <c r="J61" s="24"/>
      <c r="M61" s="4"/>
      <c r="N61" s="76"/>
      <c r="O61" s="76"/>
      <c r="P61" s="76" t="str">
        <f t="shared" si="9"/>
        <v>,shikkan53_start_date</v>
      </c>
      <c r="Q61" s="76" t="str">
        <f t="shared" si="10"/>
        <v>DATE</v>
      </c>
      <c r="R61" s="76" t="str">
        <f t="shared" si="11"/>
        <v/>
      </c>
      <c r="S61" s="76" t="str">
        <f t="shared" si="12"/>
        <v/>
      </c>
      <c r="T61" s="76" t="str">
        <f t="shared" si="13"/>
        <v>-- C051_疾患開始日</v>
      </c>
      <c r="U61" s="4" t="str">
        <f t="shared" si="14"/>
        <v>,'shikkan53_start_date'</v>
      </c>
      <c r="V61" s="25" t="str">
        <f t="shared" si="8"/>
        <v>,'shikkan53_start_date' : 'C051_疾患開始日'</v>
      </c>
      <c r="X61" s="25">
        <v>1</v>
      </c>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milscm_2023_009.main_diagnosis_start_date.shikkan53_start_date IS 'C051_疾患開始日';</v>
      </c>
    </row>
    <row r="62" spans="1:45" s="25" customFormat="1">
      <c r="A62" s="4" t="s">
        <v>5212</v>
      </c>
      <c r="B62" s="21">
        <f t="shared" si="2"/>
        <v>60</v>
      </c>
      <c r="C62" s="13" t="str">
        <f t="shared" si="15"/>
        <v>C052_疾患開始日</v>
      </c>
      <c r="D62" s="13" t="s">
        <v>4822</v>
      </c>
      <c r="E62" s="8"/>
      <c r="F62" s="7" t="s">
        <v>4348</v>
      </c>
      <c r="G62" s="7" t="s">
        <v>25</v>
      </c>
      <c r="H62" s="58"/>
      <c r="I62" s="23"/>
      <c r="J62" s="24"/>
      <c r="M62" s="4"/>
      <c r="N62" s="76"/>
      <c r="O62" s="76"/>
      <c r="P62" s="76" t="str">
        <f t="shared" si="9"/>
        <v>,shikkan54_start_date</v>
      </c>
      <c r="Q62" s="76" t="str">
        <f t="shared" si="10"/>
        <v>DATE</v>
      </c>
      <c r="R62" s="76" t="str">
        <f t="shared" si="11"/>
        <v/>
      </c>
      <c r="S62" s="76" t="str">
        <f t="shared" si="12"/>
        <v/>
      </c>
      <c r="T62" s="76" t="str">
        <f t="shared" si="13"/>
        <v>-- C052_疾患開始日</v>
      </c>
      <c r="U62" s="4" t="str">
        <f t="shared" si="14"/>
        <v>,'shikkan54_start_date'</v>
      </c>
      <c r="V62" s="25" t="str">
        <f t="shared" si="8"/>
        <v>,'shikkan54_start_date' : 'C052_疾患開始日'</v>
      </c>
      <c r="X62" s="25">
        <v>1</v>
      </c>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milscm_2023_009.main_diagnosis_start_date.shikkan54_start_date IS 'C052_疾患開始日';</v>
      </c>
    </row>
    <row r="63" spans="1:45" s="25" customFormat="1">
      <c r="A63" s="4" t="s">
        <v>5213</v>
      </c>
      <c r="B63" s="21">
        <f t="shared" si="2"/>
        <v>61</v>
      </c>
      <c r="C63" s="13" t="str">
        <f t="shared" si="15"/>
        <v>C058_疾患開始日</v>
      </c>
      <c r="D63" s="13" t="s">
        <v>4823</v>
      </c>
      <c r="E63" s="8"/>
      <c r="F63" s="7" t="s">
        <v>4348</v>
      </c>
      <c r="G63" s="7" t="s">
        <v>25</v>
      </c>
      <c r="H63" s="58"/>
      <c r="I63" s="23"/>
      <c r="J63" s="24"/>
      <c r="M63" s="4"/>
      <c r="N63" s="76"/>
      <c r="O63" s="76"/>
      <c r="P63" s="76" t="str">
        <f t="shared" si="9"/>
        <v>,shikkan55_start_date</v>
      </c>
      <c r="Q63" s="76" t="str">
        <f t="shared" si="10"/>
        <v>DATE</v>
      </c>
      <c r="R63" s="76" t="str">
        <f t="shared" si="11"/>
        <v/>
      </c>
      <c r="S63" s="76" t="str">
        <f t="shared" si="12"/>
        <v/>
      </c>
      <c r="T63" s="76" t="str">
        <f t="shared" si="13"/>
        <v>-- C058_疾患開始日</v>
      </c>
      <c r="U63" s="4" t="str">
        <f t="shared" si="14"/>
        <v>,'shikkan55_start_date'</v>
      </c>
      <c r="V63" s="25" t="str">
        <f t="shared" si="8"/>
        <v>,'shikkan55_start_date' : 'C058_疾患開始日'</v>
      </c>
      <c r="X63" s="25">
        <v>1</v>
      </c>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milscm_2023_009.main_diagnosis_start_date.shikkan55_start_date IS 'C058_疾患開始日';</v>
      </c>
    </row>
    <row r="64" spans="1:45" s="25" customFormat="1">
      <c r="A64" s="4" t="s">
        <v>5214</v>
      </c>
      <c r="B64" s="21">
        <f t="shared" si="2"/>
        <v>62</v>
      </c>
      <c r="C64" s="13" t="str">
        <f t="shared" si="15"/>
        <v>C059_疾患開始日</v>
      </c>
      <c r="D64" s="13" t="s">
        <v>4824</v>
      </c>
      <c r="E64" s="8"/>
      <c r="F64" s="7" t="s">
        <v>4348</v>
      </c>
      <c r="G64" s="7" t="s">
        <v>25</v>
      </c>
      <c r="H64" s="58"/>
      <c r="I64" s="23"/>
      <c r="J64" s="24"/>
      <c r="M64" s="4"/>
      <c r="N64" s="76"/>
      <c r="O64" s="76"/>
      <c r="P64" s="76" t="str">
        <f t="shared" si="9"/>
        <v>,shikkan56_start_date</v>
      </c>
      <c r="Q64" s="76" t="str">
        <f t="shared" si="10"/>
        <v>DATE</v>
      </c>
      <c r="R64" s="76" t="str">
        <f t="shared" si="11"/>
        <v/>
      </c>
      <c r="S64" s="76" t="str">
        <f t="shared" si="12"/>
        <v/>
      </c>
      <c r="T64" s="76" t="str">
        <f t="shared" si="13"/>
        <v>-- C059_疾患開始日</v>
      </c>
      <c r="U64" s="4" t="str">
        <f t="shared" si="14"/>
        <v>,'shikkan56_start_date'</v>
      </c>
      <c r="V64" s="25" t="str">
        <f t="shared" si="8"/>
        <v>,'shikkan56_start_date' : 'C059_疾患開始日'</v>
      </c>
      <c r="X64" s="25">
        <v>1</v>
      </c>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milscm_2023_009.main_diagnosis_start_date.shikkan56_start_date IS 'C059_疾患開始日';</v>
      </c>
    </row>
    <row r="65" spans="1:45" s="25" customFormat="1">
      <c r="A65" s="4" t="s">
        <v>5215</v>
      </c>
      <c r="B65" s="21">
        <f t="shared" si="2"/>
        <v>63</v>
      </c>
      <c r="C65" s="13" t="str">
        <f t="shared" si="15"/>
        <v>C060_疾患開始日</v>
      </c>
      <c r="D65" s="13" t="s">
        <v>4825</v>
      </c>
      <c r="E65" s="8"/>
      <c r="F65" s="7" t="s">
        <v>4348</v>
      </c>
      <c r="G65" s="7" t="s">
        <v>25</v>
      </c>
      <c r="H65" s="58"/>
      <c r="I65" s="23"/>
      <c r="J65" s="24"/>
      <c r="M65" s="4"/>
      <c r="N65" s="76"/>
      <c r="O65" s="76"/>
      <c r="P65" s="76" t="str">
        <f t="shared" si="9"/>
        <v>,shikkan57_start_date</v>
      </c>
      <c r="Q65" s="76" t="str">
        <f t="shared" si="10"/>
        <v>DATE</v>
      </c>
      <c r="R65" s="76" t="str">
        <f t="shared" si="11"/>
        <v/>
      </c>
      <c r="S65" s="76" t="str">
        <f t="shared" si="12"/>
        <v/>
      </c>
      <c r="T65" s="76" t="str">
        <f t="shared" si="13"/>
        <v>-- C060_疾患開始日</v>
      </c>
      <c r="U65" s="4" t="str">
        <f t="shared" si="14"/>
        <v>,'shikkan57_start_date'</v>
      </c>
      <c r="V65" s="25" t="str">
        <f t="shared" si="8"/>
        <v>,'shikkan57_start_date' : 'C060_疾患開始日'</v>
      </c>
      <c r="X65" s="25">
        <v>1</v>
      </c>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milscm_2023_009.main_diagnosis_start_date.shikkan57_start_date IS 'C060_疾患開始日';</v>
      </c>
    </row>
    <row r="66" spans="1:45" s="25" customFormat="1">
      <c r="A66" s="4" t="s">
        <v>5216</v>
      </c>
      <c r="B66" s="21">
        <f t="shared" si="2"/>
        <v>64</v>
      </c>
      <c r="C66" s="13" t="str">
        <f t="shared" si="15"/>
        <v>C061_疾患開始日</v>
      </c>
      <c r="D66" s="13" t="s">
        <v>4826</v>
      </c>
      <c r="E66" s="8"/>
      <c r="F66" s="7" t="s">
        <v>4348</v>
      </c>
      <c r="G66" s="7" t="s">
        <v>25</v>
      </c>
      <c r="H66" s="58"/>
      <c r="I66" s="23"/>
      <c r="J66" s="24"/>
      <c r="M66" s="4"/>
      <c r="N66" s="76"/>
      <c r="O66" s="76"/>
      <c r="P66" s="76" t="str">
        <f t="shared" si="9"/>
        <v>,shikkan58_start_date</v>
      </c>
      <c r="Q66" s="76" t="str">
        <f t="shared" si="10"/>
        <v>DATE</v>
      </c>
      <c r="R66" s="76" t="str">
        <f t="shared" si="11"/>
        <v/>
      </c>
      <c r="S66" s="76" t="str">
        <f t="shared" si="12"/>
        <v/>
      </c>
      <c r="T66" s="76" t="str">
        <f t="shared" si="13"/>
        <v>-- C061_疾患開始日</v>
      </c>
      <c r="U66" s="4" t="str">
        <f t="shared" si="14"/>
        <v>,'shikkan58_start_date'</v>
      </c>
      <c r="V66" s="25" t="str">
        <f t="shared" si="8"/>
        <v>,'shikkan58_start_date' : 'C061_疾患開始日'</v>
      </c>
      <c r="X66" s="25">
        <v>1</v>
      </c>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milscm_2023_009.main_diagnosis_start_date.shikkan58_start_date IS 'C061_疾患開始日';</v>
      </c>
    </row>
    <row r="67" spans="1:45" s="25" customFormat="1">
      <c r="A67" s="4" t="s">
        <v>5217</v>
      </c>
      <c r="B67" s="21">
        <f t="shared" si="2"/>
        <v>65</v>
      </c>
      <c r="C67" s="13" t="str">
        <f t="shared" si="15"/>
        <v>C062_疾患開始日</v>
      </c>
      <c r="D67" s="13" t="s">
        <v>4827</v>
      </c>
      <c r="E67" s="8"/>
      <c r="F67" s="7" t="s">
        <v>4348</v>
      </c>
      <c r="G67" s="7" t="s">
        <v>25</v>
      </c>
      <c r="H67" s="58"/>
      <c r="I67" s="23"/>
      <c r="J67" s="24"/>
      <c r="M67" s="4"/>
      <c r="N67" s="76"/>
      <c r="O67" s="76"/>
      <c r="P67" s="76" t="str">
        <f t="shared" si="9"/>
        <v>,shikkan59_start_date</v>
      </c>
      <c r="Q67" s="76" t="str">
        <f t="shared" si="10"/>
        <v>DATE</v>
      </c>
      <c r="R67" s="76" t="str">
        <f t="shared" si="11"/>
        <v/>
      </c>
      <c r="S67" s="76" t="str">
        <f t="shared" si="12"/>
        <v/>
      </c>
      <c r="T67" s="76" t="str">
        <f t="shared" si="13"/>
        <v>-- C062_疾患開始日</v>
      </c>
      <c r="U67" s="4" t="str">
        <f t="shared" si="14"/>
        <v>,'shikkan59_start_date'</v>
      </c>
      <c r="V67" s="25" t="str">
        <f t="shared" si="8"/>
        <v>,'shikkan59_start_date' : 'C062_疾患開始日'</v>
      </c>
      <c r="X67" s="25">
        <v>1</v>
      </c>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milscm_2023_009.main_diagnosis_start_date.shikkan59_start_date IS 'C062_疾患開始日';</v>
      </c>
    </row>
    <row r="68" spans="1:45" s="25" customFormat="1">
      <c r="A68" s="4" t="s">
        <v>5218</v>
      </c>
      <c r="B68" s="21">
        <f t="shared" ref="B68:B131" si="16">ROW()-2</f>
        <v>66</v>
      </c>
      <c r="C68" s="13" t="str">
        <f t="shared" si="15"/>
        <v>C068_疾患開始日</v>
      </c>
      <c r="D68" s="13" t="s">
        <v>4828</v>
      </c>
      <c r="E68" s="8"/>
      <c r="F68" s="7" t="s">
        <v>4348</v>
      </c>
      <c r="G68" s="7" t="s">
        <v>25</v>
      </c>
      <c r="H68" s="58"/>
      <c r="I68" s="23"/>
      <c r="J68" s="24"/>
      <c r="M68" s="4"/>
      <c r="N68" s="76"/>
      <c r="O68" s="76"/>
      <c r="P68" s="76" t="str">
        <f t="shared" si="9"/>
        <v>,shikkan60_start_date</v>
      </c>
      <c r="Q68" s="76" t="str">
        <f t="shared" si="10"/>
        <v>DATE</v>
      </c>
      <c r="R68" s="76" t="str">
        <f t="shared" si="11"/>
        <v/>
      </c>
      <c r="S68" s="76" t="str">
        <f t="shared" si="12"/>
        <v/>
      </c>
      <c r="T68" s="76" t="str">
        <f t="shared" si="13"/>
        <v>-- C068_疾患開始日</v>
      </c>
      <c r="U68" s="4" t="str">
        <f t="shared" si="14"/>
        <v>,'shikkan60_start_date'</v>
      </c>
      <c r="V68" s="25" t="str">
        <f t="shared" si="8"/>
        <v>,'shikkan60_start_date' : 'C068_疾患開始日'</v>
      </c>
      <c r="X68" s="25">
        <v>1</v>
      </c>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milscm_2023_009.main_diagnosis_start_date.shikkan60_start_date IS 'C068_疾患開始日';</v>
      </c>
    </row>
    <row r="69" spans="1:45" s="25" customFormat="1">
      <c r="A69" s="4" t="s">
        <v>5219</v>
      </c>
      <c r="B69" s="21">
        <f t="shared" si="16"/>
        <v>67</v>
      </c>
      <c r="C69" s="13" t="str">
        <f t="shared" si="15"/>
        <v>C069_疾患開始日</v>
      </c>
      <c r="D69" s="13" t="s">
        <v>4829</v>
      </c>
      <c r="E69" s="8"/>
      <c r="F69" s="7" t="s">
        <v>4348</v>
      </c>
      <c r="G69" s="7" t="s">
        <v>25</v>
      </c>
      <c r="H69" s="58"/>
      <c r="I69" s="23"/>
      <c r="J69" s="24"/>
      <c r="M69" s="4"/>
      <c r="N69" s="76"/>
      <c r="O69" s="76"/>
      <c r="P69" s="76" t="str">
        <f t="shared" si="9"/>
        <v>,shikkan61_start_date</v>
      </c>
      <c r="Q69" s="76" t="str">
        <f t="shared" si="10"/>
        <v>DATE</v>
      </c>
      <c r="R69" s="76" t="str">
        <f t="shared" si="11"/>
        <v/>
      </c>
      <c r="S69" s="76" t="str">
        <f t="shared" si="12"/>
        <v/>
      </c>
      <c r="T69" s="76" t="str">
        <f t="shared" si="13"/>
        <v>-- C069_疾患開始日</v>
      </c>
      <c r="U69" s="4" t="str">
        <f t="shared" si="14"/>
        <v>,'shikkan61_start_date'</v>
      </c>
      <c r="V69" s="25" t="str">
        <f t="shared" si="8"/>
        <v>,'shikkan61_start_date' : 'C069_疾患開始日'</v>
      </c>
      <c r="X69" s="25">
        <v>1</v>
      </c>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milscm_2023_009.main_diagnosis_start_date.shikkan61_start_date IS 'C069_疾患開始日';</v>
      </c>
    </row>
    <row r="70" spans="1:45" s="25" customFormat="1">
      <c r="A70" s="4" t="s">
        <v>5141</v>
      </c>
      <c r="B70" s="21">
        <f t="shared" si="16"/>
        <v>68</v>
      </c>
      <c r="C70" s="13" t="str">
        <f t="shared" si="15"/>
        <v>C07_疾患開始日</v>
      </c>
      <c r="D70" s="13" t="s">
        <v>4830</v>
      </c>
      <c r="E70" s="8"/>
      <c r="F70" s="7" t="s">
        <v>4348</v>
      </c>
      <c r="G70" s="7" t="s">
        <v>25</v>
      </c>
      <c r="H70" s="58"/>
      <c r="I70" s="23"/>
      <c r="J70" s="24"/>
      <c r="M70" s="4"/>
      <c r="N70" s="76"/>
      <c r="O70" s="76"/>
      <c r="P70" s="76" t="str">
        <f t="shared" si="9"/>
        <v>,shikkan62_start_date</v>
      </c>
      <c r="Q70" s="76" t="str">
        <f t="shared" si="10"/>
        <v>DATE</v>
      </c>
      <c r="R70" s="76" t="str">
        <f t="shared" si="11"/>
        <v/>
      </c>
      <c r="S70" s="76" t="str">
        <f t="shared" si="12"/>
        <v/>
      </c>
      <c r="T70" s="76" t="str">
        <f t="shared" si="13"/>
        <v>-- C07_疾患開始日</v>
      </c>
      <c r="U70" s="4" t="str">
        <f t="shared" si="14"/>
        <v>,'shikkan62_start_date'</v>
      </c>
      <c r="V70" s="25" t="str">
        <f t="shared" si="8"/>
        <v>,'shikkan62_start_date' : 'C07_疾患開始日'</v>
      </c>
      <c r="X70" s="25">
        <v>1</v>
      </c>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milscm_2023_009.main_diagnosis_start_date.shikkan62_start_date IS 'C07_疾患開始日';</v>
      </c>
    </row>
    <row r="71" spans="1:45" s="25" customFormat="1">
      <c r="A71" s="4" t="s">
        <v>5220</v>
      </c>
      <c r="B71" s="21">
        <f t="shared" si="16"/>
        <v>69</v>
      </c>
      <c r="C71" s="13" t="str">
        <f t="shared" si="15"/>
        <v>C080_疾患開始日</v>
      </c>
      <c r="D71" s="13" t="s">
        <v>4831</v>
      </c>
      <c r="E71" s="8"/>
      <c r="F71" s="7" t="s">
        <v>4348</v>
      </c>
      <c r="G71" s="7" t="s">
        <v>25</v>
      </c>
      <c r="H71" s="58"/>
      <c r="I71" s="23"/>
      <c r="J71" s="24"/>
      <c r="M71" s="4"/>
      <c r="N71" s="76"/>
      <c r="O71" s="76"/>
      <c r="P71" s="76" t="str">
        <f t="shared" si="9"/>
        <v>,shikkan63_start_date</v>
      </c>
      <c r="Q71" s="76" t="str">
        <f t="shared" si="10"/>
        <v>DATE</v>
      </c>
      <c r="R71" s="76" t="str">
        <f t="shared" si="11"/>
        <v/>
      </c>
      <c r="S71" s="76" t="str">
        <f t="shared" si="12"/>
        <v/>
      </c>
      <c r="T71" s="76" t="str">
        <f t="shared" si="13"/>
        <v>-- C080_疾患開始日</v>
      </c>
      <c r="U71" s="4" t="str">
        <f t="shared" si="14"/>
        <v>,'shikkan63_start_date'</v>
      </c>
      <c r="V71" s="25" t="str">
        <f t="shared" si="8"/>
        <v>,'shikkan63_start_date' : 'C080_疾患開始日'</v>
      </c>
      <c r="X71" s="25">
        <v>1</v>
      </c>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milscm_2023_009.main_diagnosis_start_date.shikkan63_start_date IS 'C080_疾患開始日';</v>
      </c>
    </row>
    <row r="72" spans="1:45" s="25" customFormat="1">
      <c r="A72" s="4" t="s">
        <v>5221</v>
      </c>
      <c r="B72" s="21">
        <f t="shared" si="16"/>
        <v>70</v>
      </c>
      <c r="C72" s="13" t="str">
        <f t="shared" si="15"/>
        <v>C081_疾患開始日</v>
      </c>
      <c r="D72" s="13" t="s">
        <v>4832</v>
      </c>
      <c r="E72" s="8"/>
      <c r="F72" s="7" t="s">
        <v>4348</v>
      </c>
      <c r="G72" s="7" t="s">
        <v>25</v>
      </c>
      <c r="H72" s="58"/>
      <c r="I72" s="23"/>
      <c r="J72" s="24"/>
      <c r="M72" s="4"/>
      <c r="N72" s="76"/>
      <c r="O72" s="76"/>
      <c r="P72" s="76" t="str">
        <f t="shared" si="9"/>
        <v>,shikkan64_start_date</v>
      </c>
      <c r="Q72" s="76" t="str">
        <f t="shared" si="10"/>
        <v>DATE</v>
      </c>
      <c r="R72" s="76" t="str">
        <f t="shared" si="11"/>
        <v/>
      </c>
      <c r="S72" s="76" t="str">
        <f t="shared" si="12"/>
        <v/>
      </c>
      <c r="T72" s="76" t="str">
        <f t="shared" si="13"/>
        <v>-- C081_疾患開始日</v>
      </c>
      <c r="U72" s="4" t="str">
        <f t="shared" si="14"/>
        <v>,'shikkan64_start_date'</v>
      </c>
      <c r="V72" s="25" t="str">
        <f t="shared" si="8"/>
        <v>,'shikkan64_start_date' : 'C081_疾患開始日'</v>
      </c>
      <c r="X72" s="25">
        <v>1</v>
      </c>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milscm_2023_009.main_diagnosis_start_date.shikkan64_start_date IS 'C081_疾患開始日';</v>
      </c>
    </row>
    <row r="73" spans="1:45" s="25" customFormat="1">
      <c r="A73" s="4" t="s">
        <v>5222</v>
      </c>
      <c r="B73" s="21">
        <f t="shared" si="16"/>
        <v>71</v>
      </c>
      <c r="C73" s="13" t="str">
        <f t="shared" si="15"/>
        <v>C088_疾患開始日</v>
      </c>
      <c r="D73" s="13" t="s">
        <v>4833</v>
      </c>
      <c r="E73" s="8"/>
      <c r="F73" s="7" t="s">
        <v>4348</v>
      </c>
      <c r="G73" s="7" t="s">
        <v>99</v>
      </c>
      <c r="H73" s="58"/>
      <c r="I73" s="23"/>
      <c r="J73" s="24"/>
      <c r="M73" s="4"/>
      <c r="N73" s="76"/>
      <c r="O73" s="76"/>
      <c r="P73" s="76" t="str">
        <f t="shared" si="9"/>
        <v>,shikkan65_start_date</v>
      </c>
      <c r="Q73" s="76" t="str">
        <f t="shared" si="10"/>
        <v>DATE</v>
      </c>
      <c r="R73" s="76" t="str">
        <f t="shared" si="11"/>
        <v/>
      </c>
      <c r="S73" s="76" t="str">
        <f t="shared" si="12"/>
        <v/>
      </c>
      <c r="T73" s="76" t="str">
        <f t="shared" si="13"/>
        <v>-- C088_疾患開始日</v>
      </c>
      <c r="U73" s="4" t="str">
        <f t="shared" ref="U73:U136" si="17">IF(B73&lt;&gt;1,",","")&amp;"'"&amp;D73&amp;"'"</f>
        <v>,'shikkan65_start_date'</v>
      </c>
      <c r="V73" s="25" t="str">
        <f t="shared" si="8"/>
        <v>,'shikkan65_start_date' : 'C088_疾患開始日'</v>
      </c>
      <c r="X73" s="25">
        <v>1</v>
      </c>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milscm_2023_009.main_diagnosis_start_date.shikkan65_start_date IS 'C088_疾患開始日';</v>
      </c>
    </row>
    <row r="74" spans="1:45" s="25" customFormat="1">
      <c r="A74" s="4" t="s">
        <v>5223</v>
      </c>
      <c r="B74" s="21">
        <f t="shared" si="16"/>
        <v>72</v>
      </c>
      <c r="C74" s="13" t="str">
        <f t="shared" ref="C74:C137" si="18">A74&amp;"_疾患開始日"</f>
        <v>C089_疾患開始日</v>
      </c>
      <c r="D74" s="13" t="s">
        <v>4834</v>
      </c>
      <c r="E74" s="8"/>
      <c r="F74" s="7" t="s">
        <v>4348</v>
      </c>
      <c r="G74" s="7" t="s">
        <v>25</v>
      </c>
      <c r="H74" s="58"/>
      <c r="I74" s="23"/>
      <c r="J74" s="24"/>
      <c r="M74" s="4"/>
      <c r="N74" s="76"/>
      <c r="O74" s="76"/>
      <c r="P74" s="76" t="str">
        <f t="shared" si="9"/>
        <v>,shikkan66_start_date</v>
      </c>
      <c r="Q74" s="76" t="str">
        <f t="shared" si="10"/>
        <v>DATE</v>
      </c>
      <c r="R74" s="76" t="str">
        <f t="shared" si="11"/>
        <v/>
      </c>
      <c r="S74" s="76" t="str">
        <f t="shared" si="12"/>
        <v/>
      </c>
      <c r="T74" s="76" t="str">
        <f t="shared" si="13"/>
        <v>-- C089_疾患開始日</v>
      </c>
      <c r="U74" s="4" t="str">
        <f t="shared" si="17"/>
        <v>,'shikkan66_start_date'</v>
      </c>
      <c r="V74" s="25" t="str">
        <f t="shared" si="8"/>
        <v>,'shikkan66_start_date' : 'C089_疾患開始日'</v>
      </c>
      <c r="X74" s="25">
        <v>1</v>
      </c>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milscm_2023_009.main_diagnosis_start_date.shikkan66_start_date IS 'C089_疾患開始日';</v>
      </c>
    </row>
    <row r="75" spans="1:45" s="25" customFormat="1">
      <c r="A75" s="4" t="s">
        <v>5224</v>
      </c>
      <c r="B75" s="21">
        <f t="shared" si="16"/>
        <v>73</v>
      </c>
      <c r="C75" s="13" t="str">
        <f t="shared" si="18"/>
        <v>C090_疾患開始日</v>
      </c>
      <c r="D75" s="13" t="s">
        <v>4835</v>
      </c>
      <c r="E75" s="8"/>
      <c r="F75" s="7" t="s">
        <v>4348</v>
      </c>
      <c r="G75" s="7" t="s">
        <v>25</v>
      </c>
      <c r="H75" s="58"/>
      <c r="I75" s="23"/>
      <c r="J75" s="24"/>
      <c r="M75" s="4"/>
      <c r="N75" s="76"/>
      <c r="O75" s="76"/>
      <c r="P75" s="76" t="str">
        <f t="shared" si="9"/>
        <v>,shikkan67_start_date</v>
      </c>
      <c r="Q75" s="76" t="str">
        <f t="shared" si="10"/>
        <v>DATE</v>
      </c>
      <c r="R75" s="76" t="str">
        <f t="shared" si="11"/>
        <v/>
      </c>
      <c r="S75" s="76" t="str">
        <f t="shared" si="12"/>
        <v/>
      </c>
      <c r="T75" s="76" t="str">
        <f t="shared" si="13"/>
        <v>-- C090_疾患開始日</v>
      </c>
      <c r="U75" s="4" t="str">
        <f t="shared" si="17"/>
        <v>,'shikkan67_start_date'</v>
      </c>
      <c r="V75" s="25" t="str">
        <f t="shared" si="8"/>
        <v>,'shikkan67_start_date' : 'C090_疾患開始日'</v>
      </c>
      <c r="X75" s="25">
        <v>1</v>
      </c>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milscm_2023_009.main_diagnosis_start_date.shikkan67_start_date IS 'C090_疾患開始日';</v>
      </c>
    </row>
    <row r="76" spans="1:45" s="25" customFormat="1">
      <c r="A76" s="4" t="s">
        <v>5225</v>
      </c>
      <c r="B76" s="21">
        <f t="shared" si="16"/>
        <v>74</v>
      </c>
      <c r="C76" s="13" t="str">
        <f t="shared" si="18"/>
        <v>C091_疾患開始日</v>
      </c>
      <c r="D76" s="13" t="s">
        <v>4836</v>
      </c>
      <c r="E76" s="8"/>
      <c r="F76" s="7" t="s">
        <v>4348</v>
      </c>
      <c r="G76" s="7" t="s">
        <v>25</v>
      </c>
      <c r="H76" s="58"/>
      <c r="I76" s="23"/>
      <c r="J76" s="24"/>
      <c r="M76" s="4"/>
      <c r="N76" s="76"/>
      <c r="O76" s="76"/>
      <c r="P76" s="76" t="str">
        <f t="shared" si="9"/>
        <v>,shikkan68_start_date</v>
      </c>
      <c r="Q76" s="76" t="str">
        <f t="shared" si="10"/>
        <v>DATE</v>
      </c>
      <c r="R76" s="76" t="str">
        <f t="shared" si="11"/>
        <v/>
      </c>
      <c r="S76" s="76" t="str">
        <f t="shared" si="12"/>
        <v/>
      </c>
      <c r="T76" s="76" t="str">
        <f t="shared" si="13"/>
        <v>-- C091_疾患開始日</v>
      </c>
      <c r="U76" s="4" t="str">
        <f t="shared" si="17"/>
        <v>,'shikkan68_start_date'</v>
      </c>
      <c r="V76" s="25" t="str">
        <f t="shared" si="8"/>
        <v>,'shikkan68_start_date' : 'C091_疾患開始日'</v>
      </c>
      <c r="X76" s="25">
        <v>1</v>
      </c>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milscm_2023_009.main_diagnosis_start_date.shikkan68_start_date IS 'C091_疾患開始日';</v>
      </c>
    </row>
    <row r="77" spans="1:45" s="25" customFormat="1">
      <c r="A77" s="4" t="s">
        <v>5226</v>
      </c>
      <c r="B77" s="21">
        <f t="shared" si="16"/>
        <v>75</v>
      </c>
      <c r="C77" s="13" t="str">
        <f t="shared" si="18"/>
        <v>C098_疾患開始日</v>
      </c>
      <c r="D77" s="13" t="s">
        <v>4837</v>
      </c>
      <c r="E77" s="8"/>
      <c r="F77" s="7" t="s">
        <v>4348</v>
      </c>
      <c r="G77" s="7" t="s">
        <v>25</v>
      </c>
      <c r="H77" s="58"/>
      <c r="I77" s="23"/>
      <c r="J77" s="24"/>
      <c r="M77" s="4"/>
      <c r="N77" s="76"/>
      <c r="O77" s="76"/>
      <c r="P77" s="76" t="str">
        <f t="shared" si="9"/>
        <v>,shikkan69_start_date</v>
      </c>
      <c r="Q77" s="76" t="str">
        <f t="shared" si="10"/>
        <v>DATE</v>
      </c>
      <c r="R77" s="76" t="str">
        <f t="shared" si="11"/>
        <v/>
      </c>
      <c r="S77" s="76" t="str">
        <f t="shared" si="12"/>
        <v/>
      </c>
      <c r="T77" s="76" t="str">
        <f t="shared" si="13"/>
        <v>-- C098_疾患開始日</v>
      </c>
      <c r="U77" s="4" t="str">
        <f t="shared" si="17"/>
        <v>,'shikkan69_start_date'</v>
      </c>
      <c r="V77" s="25" t="str">
        <f t="shared" si="8"/>
        <v>,'shikkan69_start_date' : 'C098_疾患開始日'</v>
      </c>
      <c r="X77" s="25">
        <v>1</v>
      </c>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milscm_2023_009.main_diagnosis_start_date.shikkan69_start_date IS 'C098_疾患開始日';</v>
      </c>
    </row>
    <row r="78" spans="1:45" s="25" customFormat="1">
      <c r="A78" s="4" t="s">
        <v>5227</v>
      </c>
      <c r="B78" s="21">
        <f t="shared" si="16"/>
        <v>76</v>
      </c>
      <c r="C78" s="13" t="str">
        <f t="shared" si="18"/>
        <v>C099_疾患開始日</v>
      </c>
      <c r="D78" s="13" t="s">
        <v>4838</v>
      </c>
      <c r="E78" s="8"/>
      <c r="F78" s="7" t="s">
        <v>4348</v>
      </c>
      <c r="G78" s="7" t="s">
        <v>25</v>
      </c>
      <c r="H78" s="58"/>
      <c r="I78" s="23"/>
      <c r="J78" s="24"/>
      <c r="M78" s="4"/>
      <c r="N78" s="76"/>
      <c r="O78" s="76"/>
      <c r="P78" s="76" t="str">
        <f t="shared" si="9"/>
        <v>,shikkan70_start_date</v>
      </c>
      <c r="Q78" s="76" t="str">
        <f t="shared" si="10"/>
        <v>DATE</v>
      </c>
      <c r="R78" s="76" t="str">
        <f t="shared" si="11"/>
        <v/>
      </c>
      <c r="S78" s="76" t="str">
        <f t="shared" si="12"/>
        <v/>
      </c>
      <c r="T78" s="76" t="str">
        <f t="shared" si="13"/>
        <v>-- C099_疾患開始日</v>
      </c>
      <c r="U78" s="4" t="str">
        <f t="shared" si="17"/>
        <v>,'shikkan70_start_date'</v>
      </c>
      <c r="V78" s="25" t="str">
        <f t="shared" si="8"/>
        <v>,'shikkan70_start_date' : 'C099_疾患開始日'</v>
      </c>
      <c r="X78" s="25">
        <v>1</v>
      </c>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milscm_2023_009.main_diagnosis_start_date.shikkan70_start_date IS 'C099_疾患開始日';</v>
      </c>
    </row>
    <row r="79" spans="1:45" s="25" customFormat="1">
      <c r="A79" s="4" t="s">
        <v>5228</v>
      </c>
      <c r="B79" s="21">
        <f t="shared" si="16"/>
        <v>77</v>
      </c>
      <c r="C79" s="13" t="str">
        <f t="shared" si="18"/>
        <v>C100_疾患開始日</v>
      </c>
      <c r="D79" s="13" t="s">
        <v>4839</v>
      </c>
      <c r="E79" s="8"/>
      <c r="F79" s="7" t="s">
        <v>4348</v>
      </c>
      <c r="G79" s="7" t="s">
        <v>25</v>
      </c>
      <c r="H79" s="58"/>
      <c r="I79" s="23"/>
      <c r="J79" s="24"/>
      <c r="M79" s="4"/>
      <c r="N79" s="76"/>
      <c r="O79" s="76"/>
      <c r="P79" s="76" t="str">
        <f t="shared" si="9"/>
        <v>,shikkan71_start_date</v>
      </c>
      <c r="Q79" s="76" t="str">
        <f t="shared" si="10"/>
        <v>DATE</v>
      </c>
      <c r="R79" s="76" t="str">
        <f t="shared" si="11"/>
        <v/>
      </c>
      <c r="S79" s="76" t="str">
        <f t="shared" si="12"/>
        <v/>
      </c>
      <c r="T79" s="76" t="str">
        <f t="shared" si="13"/>
        <v>-- C100_疾患開始日</v>
      </c>
      <c r="U79" s="4" t="str">
        <f t="shared" si="17"/>
        <v>,'shikkan71_start_date'</v>
      </c>
      <c r="V79" s="25" t="str">
        <f t="shared" si="8"/>
        <v>,'shikkan71_start_date' : 'C100_疾患開始日'</v>
      </c>
      <c r="X79" s="25">
        <v>1</v>
      </c>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milscm_2023_009.main_diagnosis_start_date.shikkan71_start_date IS 'C100_疾患開始日';</v>
      </c>
    </row>
    <row r="80" spans="1:45" s="25" customFormat="1">
      <c r="A80" s="4" t="s">
        <v>5229</v>
      </c>
      <c r="B80" s="21">
        <f t="shared" si="16"/>
        <v>78</v>
      </c>
      <c r="C80" s="13" t="str">
        <f t="shared" si="18"/>
        <v>C101_疾患開始日</v>
      </c>
      <c r="D80" s="13" t="s">
        <v>4840</v>
      </c>
      <c r="E80" s="8"/>
      <c r="F80" s="7" t="s">
        <v>4348</v>
      </c>
      <c r="G80" s="7" t="s">
        <v>25</v>
      </c>
      <c r="H80" s="58"/>
      <c r="I80" s="23"/>
      <c r="J80" s="24"/>
      <c r="M80" s="4"/>
      <c r="N80" s="76"/>
      <c r="O80" s="76"/>
      <c r="P80" s="76" t="str">
        <f t="shared" si="9"/>
        <v>,shikkan72_start_date</v>
      </c>
      <c r="Q80" s="76" t="str">
        <f t="shared" si="10"/>
        <v>DATE</v>
      </c>
      <c r="R80" s="76" t="str">
        <f t="shared" si="11"/>
        <v/>
      </c>
      <c r="S80" s="76" t="str">
        <f t="shared" si="12"/>
        <v/>
      </c>
      <c r="T80" s="76" t="str">
        <f t="shared" si="13"/>
        <v>-- C101_疾患開始日</v>
      </c>
      <c r="U80" s="4" t="str">
        <f t="shared" si="17"/>
        <v>,'shikkan72_start_date'</v>
      </c>
      <c r="V80" s="25" t="str">
        <f t="shared" si="8"/>
        <v>,'shikkan72_start_date' : 'C101_疾患開始日'</v>
      </c>
      <c r="X80" s="25">
        <v>1</v>
      </c>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milscm_2023_009.main_diagnosis_start_date.shikkan72_start_date IS 'C101_疾患開始日';</v>
      </c>
    </row>
    <row r="81" spans="1:45" s="25" customFormat="1">
      <c r="A81" s="4" t="s">
        <v>5230</v>
      </c>
      <c r="B81" s="21">
        <f t="shared" si="16"/>
        <v>79</v>
      </c>
      <c r="C81" s="13" t="str">
        <f t="shared" si="18"/>
        <v>C102_疾患開始日</v>
      </c>
      <c r="D81" s="13" t="s">
        <v>4841</v>
      </c>
      <c r="E81" s="8"/>
      <c r="F81" s="7" t="s">
        <v>4348</v>
      </c>
      <c r="G81" s="7" t="s">
        <v>25</v>
      </c>
      <c r="H81" s="58"/>
      <c r="I81" s="23"/>
      <c r="J81" s="24"/>
      <c r="M81" s="4"/>
      <c r="N81" s="76"/>
      <c r="O81" s="76"/>
      <c r="P81" s="76" t="str">
        <f t="shared" si="9"/>
        <v>,shikkan73_start_date</v>
      </c>
      <c r="Q81" s="76" t="str">
        <f t="shared" si="10"/>
        <v>DATE</v>
      </c>
      <c r="R81" s="76" t="str">
        <f t="shared" si="11"/>
        <v/>
      </c>
      <c r="S81" s="76" t="str">
        <f t="shared" si="12"/>
        <v/>
      </c>
      <c r="T81" s="76" t="str">
        <f t="shared" si="13"/>
        <v>-- C102_疾患開始日</v>
      </c>
      <c r="U81" s="4" t="str">
        <f t="shared" si="17"/>
        <v>,'shikkan73_start_date'</v>
      </c>
      <c r="V81" s="25" t="str">
        <f t="shared" si="8"/>
        <v>,'shikkan73_start_date' : 'C102_疾患開始日'</v>
      </c>
      <c r="X81" s="25">
        <v>1</v>
      </c>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milscm_2023_009.main_diagnosis_start_date.shikkan73_start_date IS 'C102_疾患開始日';</v>
      </c>
    </row>
    <row r="82" spans="1:45" s="25" customFormat="1">
      <c r="A82" s="4" t="s">
        <v>5231</v>
      </c>
      <c r="B82" s="21">
        <f t="shared" si="16"/>
        <v>80</v>
      </c>
      <c r="C82" s="13" t="str">
        <f t="shared" si="18"/>
        <v>C103_疾患開始日</v>
      </c>
      <c r="D82" s="13" t="s">
        <v>4842</v>
      </c>
      <c r="E82" s="8"/>
      <c r="F82" s="7" t="s">
        <v>4348</v>
      </c>
      <c r="G82" s="7" t="s">
        <v>25</v>
      </c>
      <c r="H82" s="58"/>
      <c r="I82" s="23"/>
      <c r="J82" s="24"/>
      <c r="M82" s="4"/>
      <c r="N82" s="76"/>
      <c r="O82" s="76"/>
      <c r="P82" s="76" t="str">
        <f t="shared" si="9"/>
        <v>,shikkan74_start_date</v>
      </c>
      <c r="Q82" s="76" t="str">
        <f t="shared" si="10"/>
        <v>DATE</v>
      </c>
      <c r="R82" s="76" t="str">
        <f t="shared" si="11"/>
        <v/>
      </c>
      <c r="S82" s="76" t="str">
        <f t="shared" si="12"/>
        <v/>
      </c>
      <c r="T82" s="76" t="str">
        <f t="shared" si="13"/>
        <v>-- C103_疾患開始日</v>
      </c>
      <c r="U82" s="4" t="str">
        <f t="shared" si="17"/>
        <v>,'shikkan74_start_date'</v>
      </c>
      <c r="V82" s="25" t="str">
        <f t="shared" si="8"/>
        <v>,'shikkan74_start_date' : 'C103_疾患開始日'</v>
      </c>
      <c r="X82" s="25">
        <v>1</v>
      </c>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milscm_2023_009.main_diagnosis_start_date.shikkan74_start_date IS 'C103_疾患開始日';</v>
      </c>
    </row>
    <row r="83" spans="1:45" s="25" customFormat="1">
      <c r="A83" s="4" t="s">
        <v>5232</v>
      </c>
      <c r="B83" s="21">
        <f t="shared" si="16"/>
        <v>81</v>
      </c>
      <c r="C83" s="13" t="str">
        <f t="shared" si="18"/>
        <v>C104_疾患開始日</v>
      </c>
      <c r="D83" s="13" t="s">
        <v>4843</v>
      </c>
      <c r="E83" s="8"/>
      <c r="F83" s="7" t="s">
        <v>4348</v>
      </c>
      <c r="G83" s="7" t="s">
        <v>25</v>
      </c>
      <c r="H83" s="58"/>
      <c r="I83" s="23"/>
      <c r="J83" s="24"/>
      <c r="M83" s="4"/>
      <c r="N83" s="76"/>
      <c r="O83" s="76"/>
      <c r="P83" s="76" t="str">
        <f t="shared" si="9"/>
        <v>,shikkan75_start_date</v>
      </c>
      <c r="Q83" s="76" t="str">
        <f t="shared" si="10"/>
        <v>DATE</v>
      </c>
      <c r="R83" s="76" t="str">
        <f t="shared" si="11"/>
        <v/>
      </c>
      <c r="S83" s="76" t="str">
        <f t="shared" si="12"/>
        <v/>
      </c>
      <c r="T83" s="76" t="str">
        <f t="shared" si="13"/>
        <v>-- C104_疾患開始日</v>
      </c>
      <c r="U83" s="4" t="str">
        <f t="shared" si="17"/>
        <v>,'shikkan75_start_date'</v>
      </c>
      <c r="V83" s="25" t="str">
        <f t="shared" si="8"/>
        <v>,'shikkan75_start_date' : 'C104_疾患開始日'</v>
      </c>
      <c r="X83" s="25">
        <v>1</v>
      </c>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milscm_2023_009.main_diagnosis_start_date.shikkan75_start_date IS 'C104_疾患開始日';</v>
      </c>
    </row>
    <row r="84" spans="1:45" s="25" customFormat="1">
      <c r="A84" s="4" t="s">
        <v>5233</v>
      </c>
      <c r="B84" s="21">
        <f t="shared" si="16"/>
        <v>82</v>
      </c>
      <c r="C84" s="13" t="str">
        <f t="shared" si="18"/>
        <v>C108_疾患開始日</v>
      </c>
      <c r="D84" s="13" t="s">
        <v>4844</v>
      </c>
      <c r="E84" s="8"/>
      <c r="F84" s="7" t="s">
        <v>4348</v>
      </c>
      <c r="G84" s="7" t="s">
        <v>25</v>
      </c>
      <c r="H84" s="58"/>
      <c r="I84" s="23"/>
      <c r="J84" s="24"/>
      <c r="M84" s="4"/>
      <c r="N84" s="76"/>
      <c r="O84" s="76"/>
      <c r="P84" s="76" t="str">
        <f t="shared" si="9"/>
        <v>,shikkan76_start_date</v>
      </c>
      <c r="Q84" s="76" t="str">
        <f t="shared" si="10"/>
        <v>DATE</v>
      </c>
      <c r="R84" s="76" t="str">
        <f t="shared" si="11"/>
        <v/>
      </c>
      <c r="S84" s="76" t="str">
        <f t="shared" si="12"/>
        <v/>
      </c>
      <c r="T84" s="76" t="str">
        <f t="shared" si="13"/>
        <v>-- C108_疾患開始日</v>
      </c>
      <c r="U84" s="4" t="str">
        <f t="shared" si="17"/>
        <v>,'shikkan76_start_date'</v>
      </c>
      <c r="V84" s="25" t="str">
        <f t="shared" si="8"/>
        <v>,'shikkan76_start_date' : 'C108_疾患開始日'</v>
      </c>
      <c r="X84" s="25">
        <v>1</v>
      </c>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milscm_2023_009.main_diagnosis_start_date.shikkan76_start_date IS 'C108_疾患開始日';</v>
      </c>
    </row>
    <row r="85" spans="1:45" s="25" customFormat="1">
      <c r="A85" s="4" t="s">
        <v>5234</v>
      </c>
      <c r="B85" s="21">
        <f t="shared" si="16"/>
        <v>83</v>
      </c>
      <c r="C85" s="13" t="str">
        <f t="shared" si="18"/>
        <v>C109_疾患開始日</v>
      </c>
      <c r="D85" s="13" t="s">
        <v>4845</v>
      </c>
      <c r="E85" s="8"/>
      <c r="F85" s="7" t="s">
        <v>4348</v>
      </c>
      <c r="G85" s="7" t="s">
        <v>25</v>
      </c>
      <c r="H85" s="58"/>
      <c r="I85" s="23"/>
      <c r="J85" s="24"/>
      <c r="M85" s="4"/>
      <c r="N85" s="76"/>
      <c r="O85" s="76"/>
      <c r="P85" s="76" t="str">
        <f t="shared" si="9"/>
        <v>,shikkan77_start_date</v>
      </c>
      <c r="Q85" s="76" t="str">
        <f t="shared" si="10"/>
        <v>DATE</v>
      </c>
      <c r="R85" s="76" t="str">
        <f t="shared" si="11"/>
        <v/>
      </c>
      <c r="S85" s="76" t="str">
        <f t="shared" si="12"/>
        <v/>
      </c>
      <c r="T85" s="76" t="str">
        <f t="shared" si="13"/>
        <v>-- C109_疾患開始日</v>
      </c>
      <c r="U85" s="4" t="str">
        <f t="shared" si="17"/>
        <v>,'shikkan77_start_date'</v>
      </c>
      <c r="V85" s="25" t="str">
        <f t="shared" si="8"/>
        <v>,'shikkan77_start_date' : 'C109_疾患開始日'</v>
      </c>
      <c r="X85" s="25">
        <v>1</v>
      </c>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milscm_2023_009.main_diagnosis_start_date.shikkan77_start_date IS 'C109_疾患開始日';</v>
      </c>
    </row>
    <row r="86" spans="1:45" s="25" customFormat="1">
      <c r="A86" s="4" t="s">
        <v>5235</v>
      </c>
      <c r="B86" s="21">
        <f t="shared" si="16"/>
        <v>84</v>
      </c>
      <c r="C86" s="13" t="str">
        <f t="shared" si="18"/>
        <v>C110_疾患開始日</v>
      </c>
      <c r="D86" s="13" t="s">
        <v>4846</v>
      </c>
      <c r="E86" s="8"/>
      <c r="F86" s="7" t="s">
        <v>4348</v>
      </c>
      <c r="G86" s="7" t="s">
        <v>25</v>
      </c>
      <c r="H86" s="58"/>
      <c r="I86" s="23"/>
      <c r="J86" s="24"/>
      <c r="M86" s="4"/>
      <c r="N86" s="76"/>
      <c r="O86" s="76"/>
      <c r="P86" s="76" t="str">
        <f t="shared" si="9"/>
        <v>,shikkan78_start_date</v>
      </c>
      <c r="Q86" s="76" t="str">
        <f t="shared" si="10"/>
        <v>DATE</v>
      </c>
      <c r="R86" s="76" t="str">
        <f t="shared" si="11"/>
        <v/>
      </c>
      <c r="S86" s="76" t="str">
        <f t="shared" si="12"/>
        <v/>
      </c>
      <c r="T86" s="76" t="str">
        <f t="shared" si="13"/>
        <v>-- C110_疾患開始日</v>
      </c>
      <c r="U86" s="4" t="str">
        <f t="shared" si="17"/>
        <v>,'shikkan78_start_date'</v>
      </c>
      <c r="V86" s="25" t="str">
        <f t="shared" si="8"/>
        <v>,'shikkan78_start_date' : 'C110_疾患開始日'</v>
      </c>
      <c r="X86" s="25">
        <v>1</v>
      </c>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milscm_2023_009.main_diagnosis_start_date.shikkan78_start_date IS 'C110_疾患開始日';</v>
      </c>
    </row>
    <row r="87" spans="1:45" s="25" customFormat="1">
      <c r="A87" s="4" t="s">
        <v>5236</v>
      </c>
      <c r="B87" s="21">
        <f t="shared" si="16"/>
        <v>85</v>
      </c>
      <c r="C87" s="13" t="str">
        <f t="shared" si="18"/>
        <v>C111_疾患開始日</v>
      </c>
      <c r="D87" s="13" t="s">
        <v>4847</v>
      </c>
      <c r="E87" s="8"/>
      <c r="F87" s="7" t="s">
        <v>4348</v>
      </c>
      <c r="G87" s="7" t="s">
        <v>25</v>
      </c>
      <c r="H87" s="58"/>
      <c r="I87" s="23"/>
      <c r="J87" s="24"/>
      <c r="M87" s="4"/>
      <c r="N87" s="76"/>
      <c r="O87" s="76"/>
      <c r="P87" s="76" t="str">
        <f t="shared" si="9"/>
        <v>,shikkan79_start_date</v>
      </c>
      <c r="Q87" s="76" t="str">
        <f t="shared" si="10"/>
        <v>DATE</v>
      </c>
      <c r="R87" s="76" t="str">
        <f t="shared" si="11"/>
        <v/>
      </c>
      <c r="S87" s="76" t="str">
        <f t="shared" si="12"/>
        <v/>
      </c>
      <c r="T87" s="76" t="str">
        <f t="shared" si="13"/>
        <v>-- C111_疾患開始日</v>
      </c>
      <c r="U87" s="4" t="str">
        <f t="shared" si="17"/>
        <v>,'shikkan79_start_date'</v>
      </c>
      <c r="V87" s="25" t="str">
        <f t="shared" si="8"/>
        <v>,'shikkan79_start_date' : 'C111_疾患開始日'</v>
      </c>
      <c r="X87" s="25">
        <v>1</v>
      </c>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milscm_2023_009.main_diagnosis_start_date.shikkan79_start_date IS 'C111_疾患開始日';</v>
      </c>
    </row>
    <row r="88" spans="1:45" s="25" customFormat="1">
      <c r="A88" s="4" t="s">
        <v>5237</v>
      </c>
      <c r="B88" s="21">
        <f t="shared" si="16"/>
        <v>86</v>
      </c>
      <c r="C88" s="13" t="str">
        <f t="shared" si="18"/>
        <v>C112_疾患開始日</v>
      </c>
      <c r="D88" s="13" t="s">
        <v>4848</v>
      </c>
      <c r="E88" s="8"/>
      <c r="F88" s="7" t="s">
        <v>4348</v>
      </c>
      <c r="G88" s="7" t="s">
        <v>25</v>
      </c>
      <c r="H88" s="58"/>
      <c r="I88" s="23"/>
      <c r="J88" s="24"/>
      <c r="M88" s="4"/>
      <c r="N88" s="76"/>
      <c r="O88" s="76"/>
      <c r="P88" s="76" t="str">
        <f t="shared" si="9"/>
        <v>,shikkan80_start_date</v>
      </c>
      <c r="Q88" s="76" t="str">
        <f t="shared" si="10"/>
        <v>DATE</v>
      </c>
      <c r="R88" s="76" t="str">
        <f t="shared" si="11"/>
        <v/>
      </c>
      <c r="S88" s="76" t="str">
        <f t="shared" si="12"/>
        <v/>
      </c>
      <c r="T88" s="76" t="str">
        <f t="shared" si="13"/>
        <v>-- C112_疾患開始日</v>
      </c>
      <c r="U88" s="4" t="str">
        <f t="shared" si="17"/>
        <v>,'shikkan80_start_date'</v>
      </c>
      <c r="V88" s="25" t="str">
        <f t="shared" si="8"/>
        <v>,'shikkan80_start_date' : 'C112_疾患開始日'</v>
      </c>
      <c r="X88" s="25">
        <v>1</v>
      </c>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milscm_2023_009.main_diagnosis_start_date.shikkan80_start_date IS 'C112_疾患開始日';</v>
      </c>
    </row>
    <row r="89" spans="1:45" s="25" customFormat="1">
      <c r="A89" s="4" t="s">
        <v>5238</v>
      </c>
      <c r="B89" s="21">
        <f t="shared" si="16"/>
        <v>87</v>
      </c>
      <c r="C89" s="13" t="str">
        <f t="shared" si="18"/>
        <v>C113_疾患開始日</v>
      </c>
      <c r="D89" s="13" t="s">
        <v>4849</v>
      </c>
      <c r="E89" s="8"/>
      <c r="F89" s="7" t="s">
        <v>4348</v>
      </c>
      <c r="G89" s="7" t="s">
        <v>99</v>
      </c>
      <c r="H89" s="58"/>
      <c r="I89" s="23"/>
      <c r="J89" s="24"/>
      <c r="M89" s="4"/>
      <c r="N89" s="76"/>
      <c r="O89" s="76"/>
      <c r="P89" s="76" t="str">
        <f t="shared" si="9"/>
        <v>,shikkan81_start_date</v>
      </c>
      <c r="Q89" s="76" t="str">
        <f t="shared" si="10"/>
        <v>DATE</v>
      </c>
      <c r="R89" s="76" t="str">
        <f t="shared" si="11"/>
        <v/>
      </c>
      <c r="S89" s="76" t="str">
        <f t="shared" si="12"/>
        <v/>
      </c>
      <c r="T89" s="76" t="str">
        <f t="shared" si="13"/>
        <v>-- C113_疾患開始日</v>
      </c>
      <c r="U89" s="4" t="str">
        <f t="shared" si="17"/>
        <v>,'shikkan81_start_date'</v>
      </c>
      <c r="V89" s="25" t="str">
        <f t="shared" si="8"/>
        <v>,'shikkan81_start_date' : 'C113_疾患開始日'</v>
      </c>
      <c r="X89" s="25">
        <v>1</v>
      </c>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milscm_2023_009.main_diagnosis_start_date.shikkan81_start_date IS 'C113_疾患開始日';</v>
      </c>
    </row>
    <row r="90" spans="1:45" s="25" customFormat="1">
      <c r="A90" s="4" t="s">
        <v>5239</v>
      </c>
      <c r="B90" s="21">
        <f t="shared" si="16"/>
        <v>88</v>
      </c>
      <c r="C90" s="13" t="str">
        <f t="shared" si="18"/>
        <v>C118_疾患開始日</v>
      </c>
      <c r="D90" s="13" t="s">
        <v>4850</v>
      </c>
      <c r="E90" s="8"/>
      <c r="F90" s="7" t="s">
        <v>4348</v>
      </c>
      <c r="G90" s="7" t="s">
        <v>25</v>
      </c>
      <c r="H90" s="58"/>
      <c r="I90" s="23"/>
      <c r="J90" s="24"/>
      <c r="M90" s="4"/>
      <c r="N90" s="76"/>
      <c r="O90" s="76"/>
      <c r="P90" s="76" t="str">
        <f t="shared" si="9"/>
        <v>,shikkan82_start_date</v>
      </c>
      <c r="Q90" s="76" t="str">
        <f t="shared" si="10"/>
        <v>DATE</v>
      </c>
      <c r="R90" s="76" t="str">
        <f t="shared" si="11"/>
        <v/>
      </c>
      <c r="S90" s="76" t="str">
        <f t="shared" si="12"/>
        <v/>
      </c>
      <c r="T90" s="76" t="str">
        <f t="shared" si="13"/>
        <v>-- C118_疾患開始日</v>
      </c>
      <c r="U90" s="4" t="str">
        <f t="shared" si="17"/>
        <v>,'shikkan82_start_date'</v>
      </c>
      <c r="V90" s="25" t="str">
        <f t="shared" si="8"/>
        <v>,'shikkan82_start_date' : 'C118_疾患開始日'</v>
      </c>
      <c r="X90" s="25">
        <v>1</v>
      </c>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milscm_2023_009.main_diagnosis_start_date.shikkan82_start_date IS 'C118_疾患開始日';</v>
      </c>
    </row>
    <row r="91" spans="1:45" s="25" customFormat="1">
      <c r="A91" s="4" t="s">
        <v>5240</v>
      </c>
      <c r="B91" s="21">
        <f t="shared" si="16"/>
        <v>89</v>
      </c>
      <c r="C91" s="13" t="str">
        <f t="shared" si="18"/>
        <v>C119_疾患開始日</v>
      </c>
      <c r="D91" s="13" t="s">
        <v>4851</v>
      </c>
      <c r="E91" s="8"/>
      <c r="F91" s="7" t="s">
        <v>4348</v>
      </c>
      <c r="G91" s="7" t="s">
        <v>25</v>
      </c>
      <c r="H91" s="58"/>
      <c r="I91" s="23"/>
      <c r="J91" s="24"/>
      <c r="M91" s="4"/>
      <c r="N91" s="76"/>
      <c r="O91" s="76"/>
      <c r="P91" s="76" t="str">
        <f t="shared" si="9"/>
        <v>,shikkan83_start_date</v>
      </c>
      <c r="Q91" s="76" t="str">
        <f t="shared" si="10"/>
        <v>DATE</v>
      </c>
      <c r="R91" s="76" t="str">
        <f t="shared" si="11"/>
        <v/>
      </c>
      <c r="S91" s="76" t="str">
        <f t="shared" si="12"/>
        <v/>
      </c>
      <c r="T91" s="76" t="str">
        <f t="shared" si="13"/>
        <v>-- C119_疾患開始日</v>
      </c>
      <c r="U91" s="4" t="str">
        <f t="shared" si="17"/>
        <v>,'shikkan83_start_date'</v>
      </c>
      <c r="V91" s="25" t="str">
        <f t="shared" si="8"/>
        <v>,'shikkan83_start_date' : 'C119_疾患開始日'</v>
      </c>
      <c r="X91" s="25">
        <v>1</v>
      </c>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milscm_2023_009.main_diagnosis_start_date.shikkan83_start_date IS 'C119_疾患開始日';</v>
      </c>
    </row>
    <row r="92" spans="1:45" s="25" customFormat="1">
      <c r="A92" s="4" t="s">
        <v>5142</v>
      </c>
      <c r="B92" s="21">
        <f t="shared" si="16"/>
        <v>90</v>
      </c>
      <c r="C92" s="13" t="str">
        <f t="shared" si="18"/>
        <v>C12_疾患開始日</v>
      </c>
      <c r="D92" s="13" t="s">
        <v>4852</v>
      </c>
      <c r="E92" s="8"/>
      <c r="F92" s="7" t="s">
        <v>4348</v>
      </c>
      <c r="G92" s="7" t="s">
        <v>25</v>
      </c>
      <c r="H92" s="58"/>
      <c r="I92" s="23"/>
      <c r="J92" s="24"/>
      <c r="M92" s="4"/>
      <c r="N92" s="76"/>
      <c r="O92" s="76"/>
      <c r="P92" s="76" t="str">
        <f t="shared" si="9"/>
        <v>,shikkan84_start_date</v>
      </c>
      <c r="Q92" s="76" t="str">
        <f t="shared" si="10"/>
        <v>DATE</v>
      </c>
      <c r="R92" s="76" t="str">
        <f t="shared" si="11"/>
        <v/>
      </c>
      <c r="S92" s="76" t="str">
        <f t="shared" si="12"/>
        <v/>
      </c>
      <c r="T92" s="76" t="str">
        <f t="shared" si="13"/>
        <v>-- C12_疾患開始日</v>
      </c>
      <c r="U92" s="4" t="str">
        <f t="shared" si="17"/>
        <v>,'shikkan84_start_date'</v>
      </c>
      <c r="V92" s="25" t="str">
        <f t="shared" si="8"/>
        <v>,'shikkan84_start_date' : 'C12_疾患開始日'</v>
      </c>
      <c r="X92" s="25">
        <v>1</v>
      </c>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milscm_2023_009.main_diagnosis_start_date.shikkan84_start_date IS 'C12_疾患開始日';</v>
      </c>
    </row>
    <row r="93" spans="1:45" s="25" customFormat="1">
      <c r="A93" s="4" t="s">
        <v>5241</v>
      </c>
      <c r="B93" s="21">
        <f t="shared" si="16"/>
        <v>91</v>
      </c>
      <c r="C93" s="13" t="str">
        <f t="shared" si="18"/>
        <v>C130_疾患開始日</v>
      </c>
      <c r="D93" s="13" t="s">
        <v>4853</v>
      </c>
      <c r="E93" s="8"/>
      <c r="F93" s="7" t="s">
        <v>4348</v>
      </c>
      <c r="G93" s="7" t="s">
        <v>25</v>
      </c>
      <c r="H93" s="58"/>
      <c r="I93" s="23"/>
      <c r="J93" s="24"/>
      <c r="M93" s="4"/>
      <c r="N93" s="76"/>
      <c r="O93" s="76"/>
      <c r="P93" s="76" t="str">
        <f t="shared" si="9"/>
        <v>,shikkan85_start_date</v>
      </c>
      <c r="Q93" s="76" t="str">
        <f t="shared" si="10"/>
        <v>DATE</v>
      </c>
      <c r="R93" s="76" t="str">
        <f t="shared" si="11"/>
        <v/>
      </c>
      <c r="S93" s="76" t="str">
        <f t="shared" si="12"/>
        <v/>
      </c>
      <c r="T93" s="76" t="str">
        <f t="shared" si="13"/>
        <v>-- C130_疾患開始日</v>
      </c>
      <c r="U93" s="4" t="str">
        <f t="shared" si="17"/>
        <v>,'shikkan85_start_date'</v>
      </c>
      <c r="V93" s="25" t="str">
        <f t="shared" si="8"/>
        <v>,'shikkan85_start_date' : 'C130_疾患開始日'</v>
      </c>
      <c r="X93" s="25">
        <v>1</v>
      </c>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milscm_2023_009.main_diagnosis_start_date.shikkan85_start_date IS 'C130_疾患開始日';</v>
      </c>
    </row>
    <row r="94" spans="1:45" s="25" customFormat="1">
      <c r="A94" s="4" t="s">
        <v>5242</v>
      </c>
      <c r="B94" s="21">
        <f t="shared" si="16"/>
        <v>92</v>
      </c>
      <c r="C94" s="13" t="str">
        <f t="shared" si="18"/>
        <v>C131_疾患開始日</v>
      </c>
      <c r="D94" s="13" t="s">
        <v>4854</v>
      </c>
      <c r="E94" s="8"/>
      <c r="F94" s="7" t="s">
        <v>4348</v>
      </c>
      <c r="G94" s="7" t="s">
        <v>25</v>
      </c>
      <c r="H94" s="58"/>
      <c r="I94" s="23"/>
      <c r="J94" s="24"/>
      <c r="M94" s="4"/>
      <c r="N94" s="76"/>
      <c r="O94" s="76"/>
      <c r="P94" s="76" t="str">
        <f t="shared" si="9"/>
        <v>,shikkan86_start_date</v>
      </c>
      <c r="Q94" s="76" t="str">
        <f t="shared" si="10"/>
        <v>DATE</v>
      </c>
      <c r="R94" s="76" t="str">
        <f t="shared" si="11"/>
        <v/>
      </c>
      <c r="S94" s="76" t="str">
        <f t="shared" si="12"/>
        <v/>
      </c>
      <c r="T94" s="76" t="str">
        <f t="shared" si="13"/>
        <v>-- C131_疾患開始日</v>
      </c>
      <c r="U94" s="4" t="str">
        <f t="shared" si="17"/>
        <v>,'shikkan86_start_date'</v>
      </c>
      <c r="V94" s="25" t="str">
        <f t="shared" si="8"/>
        <v>,'shikkan86_start_date' : 'C131_疾患開始日'</v>
      </c>
      <c r="X94" s="25">
        <v>1</v>
      </c>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milscm_2023_009.main_diagnosis_start_date.shikkan86_start_date IS 'C131_疾患開始日';</v>
      </c>
    </row>
    <row r="95" spans="1:45" s="25" customFormat="1">
      <c r="A95" s="4" t="s">
        <v>5243</v>
      </c>
      <c r="B95" s="21">
        <f t="shared" si="16"/>
        <v>93</v>
      </c>
      <c r="C95" s="13" t="str">
        <f t="shared" si="18"/>
        <v>C132_疾患開始日</v>
      </c>
      <c r="D95" s="13" t="s">
        <v>4855</v>
      </c>
      <c r="E95" s="8"/>
      <c r="F95" s="7" t="s">
        <v>4348</v>
      </c>
      <c r="G95" s="7" t="s">
        <v>25</v>
      </c>
      <c r="H95" s="58"/>
      <c r="I95" s="23"/>
      <c r="J95" s="24"/>
      <c r="M95" s="4"/>
      <c r="N95" s="76"/>
      <c r="O95" s="76"/>
      <c r="P95" s="76" t="str">
        <f t="shared" si="9"/>
        <v>,shikkan87_start_date</v>
      </c>
      <c r="Q95" s="76" t="str">
        <f t="shared" si="10"/>
        <v>DATE</v>
      </c>
      <c r="R95" s="76" t="str">
        <f t="shared" si="11"/>
        <v/>
      </c>
      <c r="S95" s="76" t="str">
        <f t="shared" si="12"/>
        <v/>
      </c>
      <c r="T95" s="76" t="str">
        <f t="shared" si="13"/>
        <v>-- C132_疾患開始日</v>
      </c>
      <c r="U95" s="4" t="str">
        <f t="shared" si="17"/>
        <v>,'shikkan87_start_date'</v>
      </c>
      <c r="V95" s="25" t="str">
        <f t="shared" si="8"/>
        <v>,'shikkan87_start_date' : 'C132_疾患開始日'</v>
      </c>
      <c r="X95" s="25">
        <v>1</v>
      </c>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milscm_2023_009.main_diagnosis_start_date.shikkan87_start_date IS 'C132_疾患開始日';</v>
      </c>
    </row>
    <row r="96" spans="1:45" s="25" customFormat="1">
      <c r="A96" s="4" t="s">
        <v>5244</v>
      </c>
      <c r="B96" s="21">
        <f t="shared" si="16"/>
        <v>94</v>
      </c>
      <c r="C96" s="13" t="str">
        <f t="shared" si="18"/>
        <v>C138_疾患開始日</v>
      </c>
      <c r="D96" s="13" t="s">
        <v>4856</v>
      </c>
      <c r="E96" s="8"/>
      <c r="F96" s="7" t="s">
        <v>4348</v>
      </c>
      <c r="G96" s="7" t="s">
        <v>25</v>
      </c>
      <c r="H96" s="58"/>
      <c r="I96" s="23"/>
      <c r="J96" s="24"/>
      <c r="M96" s="4"/>
      <c r="N96" s="76"/>
      <c r="O96" s="76"/>
      <c r="P96" s="76" t="str">
        <f t="shared" si="9"/>
        <v>,shikkan88_start_date</v>
      </c>
      <c r="Q96" s="76" t="str">
        <f t="shared" si="10"/>
        <v>DATE</v>
      </c>
      <c r="R96" s="76" t="str">
        <f t="shared" si="11"/>
        <v/>
      </c>
      <c r="S96" s="76" t="str">
        <f t="shared" si="12"/>
        <v/>
      </c>
      <c r="T96" s="76" t="str">
        <f t="shared" si="13"/>
        <v>-- C138_疾患開始日</v>
      </c>
      <c r="U96" s="4" t="str">
        <f t="shared" si="17"/>
        <v>,'shikkan88_start_date'</v>
      </c>
      <c r="V96" s="25" t="str">
        <f t="shared" si="8"/>
        <v>,'shikkan88_start_date' : 'C138_疾患開始日'</v>
      </c>
      <c r="X96" s="25">
        <v>1</v>
      </c>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milscm_2023_009.main_diagnosis_start_date.shikkan88_start_date IS 'C138_疾患開始日';</v>
      </c>
    </row>
    <row r="97" spans="1:45" s="25" customFormat="1">
      <c r="A97" s="4" t="s">
        <v>5245</v>
      </c>
      <c r="B97" s="21">
        <f t="shared" si="16"/>
        <v>95</v>
      </c>
      <c r="C97" s="13" t="str">
        <f t="shared" si="18"/>
        <v>C139_疾患開始日</v>
      </c>
      <c r="D97" s="13" t="s">
        <v>4857</v>
      </c>
      <c r="E97" s="8"/>
      <c r="F97" s="7" t="s">
        <v>4348</v>
      </c>
      <c r="G97" s="7" t="s">
        <v>25</v>
      </c>
      <c r="H97" s="58"/>
      <c r="I97" s="23"/>
      <c r="J97" s="24"/>
      <c r="M97" s="4"/>
      <c r="N97" s="76"/>
      <c r="O97" s="76"/>
      <c r="P97" s="76" t="str">
        <f t="shared" si="9"/>
        <v>,shikkan89_start_date</v>
      </c>
      <c r="Q97" s="76" t="str">
        <f t="shared" si="10"/>
        <v>DATE</v>
      </c>
      <c r="R97" s="76" t="str">
        <f t="shared" si="11"/>
        <v/>
      </c>
      <c r="S97" s="76" t="str">
        <f t="shared" si="12"/>
        <v/>
      </c>
      <c r="T97" s="76" t="str">
        <f t="shared" si="13"/>
        <v>-- C139_疾患開始日</v>
      </c>
      <c r="U97" s="4" t="str">
        <f t="shared" si="17"/>
        <v>,'shikkan89_start_date'</v>
      </c>
      <c r="V97" s="25" t="str">
        <f t="shared" si="8"/>
        <v>,'shikkan89_start_date' : 'C139_疾患開始日'</v>
      </c>
      <c r="X97" s="25">
        <v>1</v>
      </c>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milscm_2023_009.main_diagnosis_start_date.shikkan89_start_date IS 'C139_疾患開始日';</v>
      </c>
    </row>
    <row r="98" spans="1:45" s="25" customFormat="1">
      <c r="A98" s="4" t="s">
        <v>5246</v>
      </c>
      <c r="B98" s="21">
        <f t="shared" si="16"/>
        <v>96</v>
      </c>
      <c r="C98" s="13" t="str">
        <f t="shared" si="18"/>
        <v>C140_疾患開始日</v>
      </c>
      <c r="D98" s="13" t="s">
        <v>4858</v>
      </c>
      <c r="E98" s="8"/>
      <c r="F98" s="7" t="s">
        <v>4348</v>
      </c>
      <c r="G98" s="7" t="s">
        <v>25</v>
      </c>
      <c r="H98" s="58"/>
      <c r="I98" s="23"/>
      <c r="J98" s="24"/>
      <c r="M98" s="4"/>
      <c r="N98" s="76"/>
      <c r="O98" s="76"/>
      <c r="P98" s="76" t="str">
        <f t="shared" si="9"/>
        <v>,shikkan90_start_date</v>
      </c>
      <c r="Q98" s="76" t="str">
        <f t="shared" si="10"/>
        <v>DATE</v>
      </c>
      <c r="R98" s="76" t="str">
        <f t="shared" si="11"/>
        <v/>
      </c>
      <c r="S98" s="76" t="str">
        <f t="shared" si="12"/>
        <v/>
      </c>
      <c r="T98" s="76" t="str">
        <f t="shared" si="13"/>
        <v>-- C140_疾患開始日</v>
      </c>
      <c r="U98" s="4" t="str">
        <f t="shared" si="17"/>
        <v>,'shikkan90_start_date'</v>
      </c>
      <c r="V98" s="25" t="str">
        <f t="shared" si="8"/>
        <v>,'shikkan90_start_date' : 'C140_疾患開始日'</v>
      </c>
      <c r="X98" s="25">
        <v>1</v>
      </c>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milscm_2023_009.main_diagnosis_start_date.shikkan90_start_date IS 'C140_疾患開始日';</v>
      </c>
    </row>
    <row r="99" spans="1:45" s="25" customFormat="1">
      <c r="A99" s="4" t="s">
        <v>5247</v>
      </c>
      <c r="B99" s="21">
        <f t="shared" si="16"/>
        <v>97</v>
      </c>
      <c r="C99" s="13" t="str">
        <f t="shared" si="18"/>
        <v>C142_疾患開始日</v>
      </c>
      <c r="D99" s="13" t="s">
        <v>4859</v>
      </c>
      <c r="E99" s="8"/>
      <c r="F99" s="7" t="s">
        <v>4348</v>
      </c>
      <c r="G99" s="7" t="s">
        <v>25</v>
      </c>
      <c r="H99" s="58"/>
      <c r="I99" s="23"/>
      <c r="J99" s="24"/>
      <c r="M99" s="4"/>
      <c r="N99" s="76"/>
      <c r="O99" s="76"/>
      <c r="P99" s="76" t="str">
        <f t="shared" si="9"/>
        <v>,shikkan91_start_date</v>
      </c>
      <c r="Q99" s="76" t="str">
        <f t="shared" si="10"/>
        <v>DATE</v>
      </c>
      <c r="R99" s="76" t="str">
        <f t="shared" si="11"/>
        <v/>
      </c>
      <c r="S99" s="76" t="str">
        <f t="shared" si="12"/>
        <v/>
      </c>
      <c r="T99" s="76" t="str">
        <f t="shared" si="13"/>
        <v>-- C142_疾患開始日</v>
      </c>
      <c r="U99" s="4" t="str">
        <f t="shared" si="17"/>
        <v>,'shikkan91_start_date'</v>
      </c>
      <c r="V99" s="25" t="str">
        <f t="shared" si="8"/>
        <v>,'shikkan91_start_date' : 'C142_疾患開始日'</v>
      </c>
      <c r="X99" s="25">
        <v>1</v>
      </c>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milscm_2023_009.main_diagnosis_start_date.shikkan91_start_date IS 'C142_疾患開始日';</v>
      </c>
    </row>
    <row r="100" spans="1:45" s="25" customFormat="1">
      <c r="A100" s="4" t="s">
        <v>5248</v>
      </c>
      <c r="B100" s="21">
        <f t="shared" si="16"/>
        <v>98</v>
      </c>
      <c r="C100" s="13" t="str">
        <f t="shared" si="18"/>
        <v>C148_疾患開始日</v>
      </c>
      <c r="D100" s="13" t="s">
        <v>4860</v>
      </c>
      <c r="E100" s="8"/>
      <c r="F100" s="7" t="s">
        <v>4348</v>
      </c>
      <c r="G100" s="7" t="s">
        <v>25</v>
      </c>
      <c r="H100" s="58"/>
      <c r="I100" s="23"/>
      <c r="J100" s="24"/>
      <c r="M100" s="4"/>
      <c r="N100" s="76"/>
      <c r="O100" s="76"/>
      <c r="P100" s="76" t="str">
        <f t="shared" si="9"/>
        <v>,shikkan92_start_date</v>
      </c>
      <c r="Q100" s="76" t="str">
        <f t="shared" si="10"/>
        <v>DATE</v>
      </c>
      <c r="R100" s="76" t="str">
        <f t="shared" si="11"/>
        <v/>
      </c>
      <c r="S100" s="76" t="str">
        <f t="shared" si="12"/>
        <v/>
      </c>
      <c r="T100" s="76" t="str">
        <f t="shared" si="13"/>
        <v>-- C148_疾患開始日</v>
      </c>
      <c r="U100" s="4" t="str">
        <f t="shared" si="17"/>
        <v>,'shikkan92_start_date'</v>
      </c>
      <c r="V100" s="25" t="str">
        <f t="shared" si="8"/>
        <v>,'shikkan92_start_date' : 'C148_疾患開始日'</v>
      </c>
      <c r="X100" s="25">
        <v>1</v>
      </c>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milscm_2023_009.main_diagnosis_start_date.shikkan92_start_date IS 'C148_疾患開始日';</v>
      </c>
    </row>
    <row r="101" spans="1:45" s="25" customFormat="1">
      <c r="A101" s="4" t="s">
        <v>5249</v>
      </c>
      <c r="B101" s="21">
        <f t="shared" si="16"/>
        <v>99</v>
      </c>
      <c r="C101" s="13" t="str">
        <f t="shared" si="18"/>
        <v>C150_疾患開始日</v>
      </c>
      <c r="D101" s="13" t="s">
        <v>4861</v>
      </c>
      <c r="E101" s="8"/>
      <c r="F101" s="7" t="s">
        <v>4348</v>
      </c>
      <c r="G101" s="7" t="s">
        <v>25</v>
      </c>
      <c r="H101" s="58"/>
      <c r="I101" s="23"/>
      <c r="J101" s="24"/>
      <c r="M101" s="4"/>
      <c r="N101" s="76"/>
      <c r="O101" s="76"/>
      <c r="P101" s="76" t="str">
        <f t="shared" si="9"/>
        <v>,shikkan93_start_date</v>
      </c>
      <c r="Q101" s="76" t="str">
        <f t="shared" si="10"/>
        <v>DATE</v>
      </c>
      <c r="R101" s="76" t="str">
        <f t="shared" si="11"/>
        <v/>
      </c>
      <c r="S101" s="76" t="str">
        <f t="shared" si="12"/>
        <v/>
      </c>
      <c r="T101" s="76" t="str">
        <f t="shared" si="13"/>
        <v>-- C150_疾患開始日</v>
      </c>
      <c r="U101" s="4" t="str">
        <f t="shared" si="17"/>
        <v>,'shikkan93_start_date'</v>
      </c>
      <c r="V101" s="25" t="str">
        <f t="shared" si="8"/>
        <v>,'shikkan93_start_date' : 'C150_疾患開始日'</v>
      </c>
      <c r="X101" s="25">
        <v>1</v>
      </c>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milscm_2023_009.main_diagnosis_start_date.shikkan93_start_date IS 'C150_疾患開始日';</v>
      </c>
    </row>
    <row r="102" spans="1:45" s="25" customFormat="1">
      <c r="A102" s="4" t="s">
        <v>5250</v>
      </c>
      <c r="B102" s="21">
        <f t="shared" si="16"/>
        <v>100</v>
      </c>
      <c r="C102" s="13" t="str">
        <f t="shared" si="18"/>
        <v>C151_疾患開始日</v>
      </c>
      <c r="D102" s="13" t="s">
        <v>4862</v>
      </c>
      <c r="E102" s="8"/>
      <c r="F102" s="7" t="s">
        <v>4348</v>
      </c>
      <c r="G102" s="7" t="s">
        <v>25</v>
      </c>
      <c r="H102" s="58"/>
      <c r="I102" s="23"/>
      <c r="J102" s="24"/>
      <c r="M102" s="4"/>
      <c r="N102" s="76"/>
      <c r="O102" s="76"/>
      <c r="P102" s="76" t="str">
        <f t="shared" si="9"/>
        <v>,shikkan94_start_date</v>
      </c>
      <c r="Q102" s="76" t="str">
        <f t="shared" si="10"/>
        <v>DATE</v>
      </c>
      <c r="R102" s="76" t="str">
        <f t="shared" si="11"/>
        <v/>
      </c>
      <c r="S102" s="76" t="str">
        <f t="shared" si="12"/>
        <v/>
      </c>
      <c r="T102" s="76" t="str">
        <f t="shared" si="13"/>
        <v>-- C151_疾患開始日</v>
      </c>
      <c r="U102" s="4" t="str">
        <f t="shared" si="17"/>
        <v>,'shikkan94_start_date'</v>
      </c>
      <c r="V102" s="25" t="str">
        <f t="shared" si="8"/>
        <v>,'shikkan94_start_date' : 'C151_疾患開始日'</v>
      </c>
      <c r="X102" s="25">
        <v>1</v>
      </c>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milscm_2023_009.main_diagnosis_start_date.shikkan94_start_date IS 'C151_疾患開始日';</v>
      </c>
    </row>
    <row r="103" spans="1:45" s="25" customFormat="1">
      <c r="A103" s="4" t="s">
        <v>5251</v>
      </c>
      <c r="B103" s="21">
        <f t="shared" si="16"/>
        <v>101</v>
      </c>
      <c r="C103" s="13" t="str">
        <f t="shared" si="18"/>
        <v>C152_疾患開始日</v>
      </c>
      <c r="D103" s="13" t="s">
        <v>4863</v>
      </c>
      <c r="E103" s="8"/>
      <c r="F103" s="7" t="s">
        <v>4348</v>
      </c>
      <c r="G103" s="7" t="s">
        <v>25</v>
      </c>
      <c r="H103" s="58"/>
      <c r="I103" s="23"/>
      <c r="J103" s="24"/>
      <c r="M103" s="4"/>
      <c r="N103" s="76"/>
      <c r="O103" s="76"/>
      <c r="P103" s="76" t="str">
        <f t="shared" si="9"/>
        <v>,shikkan95_start_date</v>
      </c>
      <c r="Q103" s="76" t="str">
        <f t="shared" si="10"/>
        <v>DATE</v>
      </c>
      <c r="R103" s="76" t="str">
        <f t="shared" si="11"/>
        <v/>
      </c>
      <c r="S103" s="76" t="str">
        <f t="shared" si="12"/>
        <v/>
      </c>
      <c r="T103" s="76" t="str">
        <f t="shared" si="13"/>
        <v>-- C152_疾患開始日</v>
      </c>
      <c r="U103" s="4" t="str">
        <f t="shared" si="17"/>
        <v>,'shikkan95_start_date'</v>
      </c>
      <c r="V103" s="25" t="str">
        <f t="shared" si="8"/>
        <v>,'shikkan95_start_date' : 'C152_疾患開始日'</v>
      </c>
      <c r="X103" s="25">
        <v>1</v>
      </c>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milscm_2023_009.main_diagnosis_start_date.shikkan95_start_date IS 'C152_疾患開始日';</v>
      </c>
    </row>
    <row r="104" spans="1:45" s="25" customFormat="1">
      <c r="A104" s="4" t="s">
        <v>5252</v>
      </c>
      <c r="B104" s="21">
        <f t="shared" si="16"/>
        <v>102</v>
      </c>
      <c r="C104" s="13" t="str">
        <f t="shared" si="18"/>
        <v>C153_疾患開始日</v>
      </c>
      <c r="D104" s="13" t="s">
        <v>4864</v>
      </c>
      <c r="E104" s="8"/>
      <c r="F104" s="7" t="s">
        <v>4348</v>
      </c>
      <c r="G104" s="7" t="s">
        <v>25</v>
      </c>
      <c r="H104" s="58"/>
      <c r="I104" s="23"/>
      <c r="J104" s="24"/>
      <c r="M104" s="4"/>
      <c r="N104" s="76"/>
      <c r="O104" s="76"/>
      <c r="P104" s="76" t="str">
        <f t="shared" si="9"/>
        <v>,shikkan96_start_date</v>
      </c>
      <c r="Q104" s="76" t="str">
        <f t="shared" si="10"/>
        <v>DATE</v>
      </c>
      <c r="R104" s="76" t="str">
        <f t="shared" si="11"/>
        <v/>
      </c>
      <c r="S104" s="76" t="str">
        <f t="shared" si="12"/>
        <v/>
      </c>
      <c r="T104" s="76" t="str">
        <f t="shared" si="13"/>
        <v>-- C153_疾患開始日</v>
      </c>
      <c r="U104" s="4" t="str">
        <f t="shared" si="17"/>
        <v>,'shikkan96_start_date'</v>
      </c>
      <c r="V104" s="25" t="str">
        <f t="shared" si="8"/>
        <v>,'shikkan96_start_date' : 'C153_疾患開始日'</v>
      </c>
      <c r="X104" s="25">
        <v>1</v>
      </c>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milscm_2023_009.main_diagnosis_start_date.shikkan96_start_date IS 'C153_疾患開始日';</v>
      </c>
    </row>
    <row r="105" spans="1:45" s="25" customFormat="1">
      <c r="A105" s="4" t="s">
        <v>5253</v>
      </c>
      <c r="B105" s="21">
        <f t="shared" si="16"/>
        <v>103</v>
      </c>
      <c r="C105" s="13" t="str">
        <f t="shared" si="18"/>
        <v>C154_疾患開始日</v>
      </c>
      <c r="D105" s="13" t="s">
        <v>4865</v>
      </c>
      <c r="E105" s="8"/>
      <c r="F105" s="7" t="s">
        <v>4348</v>
      </c>
      <c r="G105" s="7" t="s">
        <v>99</v>
      </c>
      <c r="H105" s="58"/>
      <c r="I105" s="23"/>
      <c r="J105" s="24"/>
      <c r="M105" s="4"/>
      <c r="N105" s="76"/>
      <c r="O105" s="76"/>
      <c r="P105" s="76" t="str">
        <f t="shared" si="9"/>
        <v>,shikkan97_start_date</v>
      </c>
      <c r="Q105" s="76" t="str">
        <f t="shared" si="10"/>
        <v>DATE</v>
      </c>
      <c r="R105" s="76" t="str">
        <f t="shared" si="11"/>
        <v/>
      </c>
      <c r="S105" s="76" t="str">
        <f t="shared" si="12"/>
        <v/>
      </c>
      <c r="T105" s="76" t="str">
        <f t="shared" si="13"/>
        <v>-- C154_疾患開始日</v>
      </c>
      <c r="U105" s="4" t="str">
        <f t="shared" si="17"/>
        <v>,'shikkan97_start_date'</v>
      </c>
      <c r="V105" s="25" t="str">
        <f t="shared" si="8"/>
        <v>,'shikkan97_start_date' : 'C154_疾患開始日'</v>
      </c>
      <c r="X105" s="25">
        <v>1</v>
      </c>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milscm_2023_009.main_diagnosis_start_date.shikkan97_start_date IS 'C154_疾患開始日';</v>
      </c>
    </row>
    <row r="106" spans="1:45" s="25" customFormat="1">
      <c r="A106" s="4" t="s">
        <v>5254</v>
      </c>
      <c r="B106" s="21">
        <f t="shared" si="16"/>
        <v>104</v>
      </c>
      <c r="C106" s="13" t="str">
        <f t="shared" si="18"/>
        <v>C155_疾患開始日</v>
      </c>
      <c r="D106" s="13" t="s">
        <v>4866</v>
      </c>
      <c r="E106" s="8"/>
      <c r="F106" s="7" t="s">
        <v>4348</v>
      </c>
      <c r="G106" s="7" t="s">
        <v>25</v>
      </c>
      <c r="H106" s="58"/>
      <c r="I106" s="23"/>
      <c r="J106" s="24"/>
      <c r="M106" s="4"/>
      <c r="N106" s="76"/>
      <c r="O106" s="76"/>
      <c r="P106" s="76" t="str">
        <f t="shared" si="9"/>
        <v>,shikkan98_start_date</v>
      </c>
      <c r="Q106" s="76" t="str">
        <f t="shared" si="10"/>
        <v>DATE</v>
      </c>
      <c r="R106" s="76" t="str">
        <f t="shared" si="11"/>
        <v/>
      </c>
      <c r="S106" s="76" t="str">
        <f t="shared" si="12"/>
        <v/>
      </c>
      <c r="T106" s="76" t="str">
        <f t="shared" si="13"/>
        <v>-- C155_疾患開始日</v>
      </c>
      <c r="U106" s="4" t="str">
        <f t="shared" si="17"/>
        <v>,'shikkan98_start_date'</v>
      </c>
      <c r="V106" s="25" t="str">
        <f t="shared" si="8"/>
        <v>,'shikkan98_start_date' : 'C155_疾患開始日'</v>
      </c>
      <c r="X106" s="25">
        <v>1</v>
      </c>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milscm_2023_009.main_diagnosis_start_date.shikkan98_start_date IS 'C155_疾患開始日';</v>
      </c>
    </row>
    <row r="107" spans="1:45" s="25" customFormat="1">
      <c r="A107" s="4" t="s">
        <v>5255</v>
      </c>
      <c r="B107" s="21">
        <f t="shared" si="16"/>
        <v>105</v>
      </c>
      <c r="C107" s="13" t="str">
        <f t="shared" si="18"/>
        <v>C158_疾患開始日</v>
      </c>
      <c r="D107" s="13" t="s">
        <v>4867</v>
      </c>
      <c r="E107" s="8"/>
      <c r="F107" s="7" t="s">
        <v>4348</v>
      </c>
      <c r="G107" s="7" t="s">
        <v>25</v>
      </c>
      <c r="H107" s="58"/>
      <c r="I107" s="23"/>
      <c r="J107" s="24"/>
      <c r="M107" s="4"/>
      <c r="N107" s="76"/>
      <c r="O107" s="76"/>
      <c r="P107" s="76" t="str">
        <f t="shared" si="9"/>
        <v>,shikkan99_start_date</v>
      </c>
      <c r="Q107" s="76" t="str">
        <f t="shared" si="10"/>
        <v>DATE</v>
      </c>
      <c r="R107" s="76" t="str">
        <f t="shared" si="11"/>
        <v/>
      </c>
      <c r="S107" s="76" t="str">
        <f t="shared" si="12"/>
        <v/>
      </c>
      <c r="T107" s="76" t="str">
        <f t="shared" si="13"/>
        <v>-- C158_疾患開始日</v>
      </c>
      <c r="U107" s="4" t="str">
        <f t="shared" si="17"/>
        <v>,'shikkan99_start_date'</v>
      </c>
      <c r="V107" s="25" t="str">
        <f t="shared" si="8"/>
        <v>,'shikkan99_start_date' : 'C158_疾患開始日'</v>
      </c>
      <c r="X107" s="25">
        <v>1</v>
      </c>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milscm_2023_009.main_diagnosis_start_date.shikkan99_start_date IS 'C158_疾患開始日';</v>
      </c>
    </row>
    <row r="108" spans="1:45" s="25" customFormat="1">
      <c r="A108" s="4" t="s">
        <v>5256</v>
      </c>
      <c r="B108" s="21">
        <f t="shared" si="16"/>
        <v>106</v>
      </c>
      <c r="C108" s="13" t="str">
        <f t="shared" si="18"/>
        <v>C159_疾患開始日</v>
      </c>
      <c r="D108" s="13" t="s">
        <v>4868</v>
      </c>
      <c r="E108" s="8"/>
      <c r="F108" s="7" t="s">
        <v>4348</v>
      </c>
      <c r="G108" s="7" t="s">
        <v>25</v>
      </c>
      <c r="H108" s="58"/>
      <c r="I108" s="23"/>
      <c r="J108" s="24"/>
      <c r="M108" s="4"/>
      <c r="N108" s="76"/>
      <c r="O108" s="76"/>
      <c r="P108" s="76" t="str">
        <f t="shared" si="9"/>
        <v>,shikkan100_start_date</v>
      </c>
      <c r="Q108" s="76" t="str">
        <f t="shared" si="10"/>
        <v>DATE</v>
      </c>
      <c r="R108" s="76" t="str">
        <f t="shared" si="11"/>
        <v/>
      </c>
      <c r="S108" s="76" t="str">
        <f t="shared" si="12"/>
        <v/>
      </c>
      <c r="T108" s="76" t="str">
        <f t="shared" si="13"/>
        <v>-- C159_疾患開始日</v>
      </c>
      <c r="U108" s="4" t="str">
        <f t="shared" si="17"/>
        <v>,'shikkan100_start_date'</v>
      </c>
      <c r="V108" s="25" t="str">
        <f t="shared" si="8"/>
        <v>,'shikkan100_start_date' : 'C159_疾患開始日'</v>
      </c>
      <c r="X108" s="25">
        <v>1</v>
      </c>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milscm_2023_009.main_diagnosis_start_date.shikkan100_start_date IS 'C159_疾患開始日';</v>
      </c>
    </row>
    <row r="109" spans="1:45" s="25" customFormat="1">
      <c r="A109" s="4" t="s">
        <v>5257</v>
      </c>
      <c r="B109" s="21">
        <f t="shared" si="16"/>
        <v>107</v>
      </c>
      <c r="C109" s="13" t="str">
        <f t="shared" si="18"/>
        <v>C160_疾患開始日</v>
      </c>
      <c r="D109" s="13" t="s">
        <v>4869</v>
      </c>
      <c r="E109" s="8"/>
      <c r="F109" s="7" t="s">
        <v>4348</v>
      </c>
      <c r="G109" s="7" t="s">
        <v>25</v>
      </c>
      <c r="H109" s="58"/>
      <c r="I109" s="23"/>
      <c r="J109" s="24"/>
      <c r="M109" s="4"/>
      <c r="N109" s="76"/>
      <c r="O109" s="76"/>
      <c r="P109" s="76" t="str">
        <f t="shared" si="9"/>
        <v>,shikkan101_start_date</v>
      </c>
      <c r="Q109" s="76" t="str">
        <f t="shared" si="10"/>
        <v>DATE</v>
      </c>
      <c r="R109" s="76" t="str">
        <f t="shared" si="11"/>
        <v/>
      </c>
      <c r="S109" s="76" t="str">
        <f t="shared" si="12"/>
        <v/>
      </c>
      <c r="T109" s="76" t="str">
        <f t="shared" si="13"/>
        <v>-- C160_疾患開始日</v>
      </c>
      <c r="U109" s="4" t="str">
        <f t="shared" si="17"/>
        <v>,'shikkan101_start_date'</v>
      </c>
      <c r="V109" s="25" t="str">
        <f t="shared" si="8"/>
        <v>,'shikkan101_start_date' : 'C160_疾患開始日'</v>
      </c>
      <c r="X109" s="25">
        <v>1</v>
      </c>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milscm_2023_009.main_diagnosis_start_date.shikkan101_start_date IS 'C160_疾患開始日';</v>
      </c>
    </row>
    <row r="110" spans="1:45" s="25" customFormat="1">
      <c r="A110" s="4" t="s">
        <v>5258</v>
      </c>
      <c r="B110" s="21">
        <f t="shared" si="16"/>
        <v>108</v>
      </c>
      <c r="C110" s="13" t="str">
        <f t="shared" si="18"/>
        <v>C161_疾患開始日</v>
      </c>
      <c r="D110" s="13" t="s">
        <v>4870</v>
      </c>
      <c r="E110" s="8"/>
      <c r="F110" s="7" t="s">
        <v>4348</v>
      </c>
      <c r="G110" s="7" t="s">
        <v>25</v>
      </c>
      <c r="H110" s="58"/>
      <c r="I110" s="23"/>
      <c r="J110" s="24"/>
      <c r="M110" s="4"/>
      <c r="N110" s="76"/>
      <c r="O110" s="76"/>
      <c r="P110" s="76" t="str">
        <f t="shared" si="9"/>
        <v>,shikkan102_start_date</v>
      </c>
      <c r="Q110" s="76" t="str">
        <f t="shared" si="10"/>
        <v>DATE</v>
      </c>
      <c r="R110" s="76" t="str">
        <f t="shared" si="11"/>
        <v/>
      </c>
      <c r="S110" s="76" t="str">
        <f t="shared" si="12"/>
        <v/>
      </c>
      <c r="T110" s="76" t="str">
        <f t="shared" si="13"/>
        <v>-- C161_疾患開始日</v>
      </c>
      <c r="U110" s="4" t="str">
        <f t="shared" si="17"/>
        <v>,'shikkan102_start_date'</v>
      </c>
      <c r="V110" s="25" t="str">
        <f t="shared" si="8"/>
        <v>,'shikkan102_start_date' : 'C161_疾患開始日'</v>
      </c>
      <c r="X110" s="25">
        <v>1</v>
      </c>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milscm_2023_009.main_diagnosis_start_date.shikkan102_start_date IS 'C161_疾患開始日';</v>
      </c>
    </row>
    <row r="111" spans="1:45" s="25" customFormat="1">
      <c r="A111" s="4" t="s">
        <v>5259</v>
      </c>
      <c r="B111" s="21">
        <f t="shared" si="16"/>
        <v>109</v>
      </c>
      <c r="C111" s="13" t="str">
        <f t="shared" si="18"/>
        <v>C162_疾患開始日</v>
      </c>
      <c r="D111" s="13" t="s">
        <v>4871</v>
      </c>
      <c r="E111" s="8"/>
      <c r="F111" s="7" t="s">
        <v>4348</v>
      </c>
      <c r="G111" s="7" t="s">
        <v>25</v>
      </c>
      <c r="H111" s="58"/>
      <c r="I111" s="23"/>
      <c r="J111" s="24"/>
      <c r="M111" s="4"/>
      <c r="N111" s="76"/>
      <c r="O111" s="76"/>
      <c r="P111" s="76" t="str">
        <f t="shared" si="9"/>
        <v>,shikkan103_start_date</v>
      </c>
      <c r="Q111" s="76" t="str">
        <f t="shared" si="10"/>
        <v>DATE</v>
      </c>
      <c r="R111" s="76" t="str">
        <f t="shared" si="11"/>
        <v/>
      </c>
      <c r="S111" s="76" t="str">
        <f t="shared" si="12"/>
        <v/>
      </c>
      <c r="T111" s="76" t="str">
        <f t="shared" si="13"/>
        <v>-- C162_疾患開始日</v>
      </c>
      <c r="U111" s="4" t="str">
        <f t="shared" si="17"/>
        <v>,'shikkan103_start_date'</v>
      </c>
      <c r="V111" s="25" t="str">
        <f t="shared" si="8"/>
        <v>,'shikkan103_start_date' : 'C162_疾患開始日'</v>
      </c>
      <c r="X111" s="25">
        <v>1</v>
      </c>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milscm_2023_009.main_diagnosis_start_date.shikkan103_start_date IS 'C162_疾患開始日';</v>
      </c>
    </row>
    <row r="112" spans="1:45" s="25" customFormat="1">
      <c r="A112" s="4" t="s">
        <v>5260</v>
      </c>
      <c r="B112" s="21">
        <f t="shared" si="16"/>
        <v>110</v>
      </c>
      <c r="C112" s="13" t="str">
        <f t="shared" si="18"/>
        <v>C163_疾患開始日</v>
      </c>
      <c r="D112" s="13" t="s">
        <v>4872</v>
      </c>
      <c r="E112" s="8"/>
      <c r="F112" s="7" t="s">
        <v>4348</v>
      </c>
      <c r="G112" s="7" t="s">
        <v>25</v>
      </c>
      <c r="H112" s="58"/>
      <c r="I112" s="23"/>
      <c r="J112" s="24"/>
      <c r="M112" s="4"/>
      <c r="N112" s="76"/>
      <c r="O112" s="76"/>
      <c r="P112" s="76" t="str">
        <f t="shared" si="9"/>
        <v>,shikkan104_start_date</v>
      </c>
      <c r="Q112" s="76" t="str">
        <f t="shared" si="10"/>
        <v>DATE</v>
      </c>
      <c r="R112" s="76" t="str">
        <f t="shared" si="11"/>
        <v/>
      </c>
      <c r="S112" s="76" t="str">
        <f t="shared" si="12"/>
        <v/>
      </c>
      <c r="T112" s="76" t="str">
        <f t="shared" si="13"/>
        <v>-- C163_疾患開始日</v>
      </c>
      <c r="U112" s="4" t="str">
        <f t="shared" si="17"/>
        <v>,'shikkan104_start_date'</v>
      </c>
      <c r="V112" s="25" t="str">
        <f t="shared" si="8"/>
        <v>,'shikkan104_start_date' : 'C163_疾患開始日'</v>
      </c>
      <c r="X112" s="25">
        <v>1</v>
      </c>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milscm_2023_009.main_diagnosis_start_date.shikkan104_start_date IS 'C163_疾患開始日';</v>
      </c>
    </row>
    <row r="113" spans="1:45" s="25" customFormat="1">
      <c r="A113" s="4" t="s">
        <v>5261</v>
      </c>
      <c r="B113" s="21">
        <f t="shared" si="16"/>
        <v>111</v>
      </c>
      <c r="C113" s="13" t="str">
        <f t="shared" si="18"/>
        <v>C164_疾患開始日</v>
      </c>
      <c r="D113" s="13" t="s">
        <v>4873</v>
      </c>
      <c r="E113" s="8"/>
      <c r="F113" s="7" t="s">
        <v>4348</v>
      </c>
      <c r="G113" s="7" t="s">
        <v>25</v>
      </c>
      <c r="H113" s="58"/>
      <c r="I113" s="23"/>
      <c r="J113" s="24"/>
      <c r="M113" s="4"/>
      <c r="N113" s="76"/>
      <c r="O113" s="76"/>
      <c r="P113" s="76" t="str">
        <f t="shared" si="9"/>
        <v>,shikkan105_start_date</v>
      </c>
      <c r="Q113" s="76" t="str">
        <f t="shared" si="10"/>
        <v>DATE</v>
      </c>
      <c r="R113" s="76" t="str">
        <f t="shared" si="11"/>
        <v/>
      </c>
      <c r="S113" s="76" t="str">
        <f t="shared" si="12"/>
        <v/>
      </c>
      <c r="T113" s="76" t="str">
        <f t="shared" si="13"/>
        <v>-- C164_疾患開始日</v>
      </c>
      <c r="U113" s="4" t="str">
        <f t="shared" si="17"/>
        <v>,'shikkan105_start_date'</v>
      </c>
      <c r="V113" s="25" t="str">
        <f t="shared" si="8"/>
        <v>,'shikkan105_start_date' : 'C164_疾患開始日'</v>
      </c>
      <c r="X113" s="25">
        <v>1</v>
      </c>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milscm_2023_009.main_diagnosis_start_date.shikkan105_start_date IS 'C164_疾患開始日';</v>
      </c>
    </row>
    <row r="114" spans="1:45" s="25" customFormat="1">
      <c r="A114" s="4" t="s">
        <v>5262</v>
      </c>
      <c r="B114" s="21">
        <f t="shared" si="16"/>
        <v>112</v>
      </c>
      <c r="C114" s="13" t="str">
        <f t="shared" si="18"/>
        <v>C165_疾患開始日</v>
      </c>
      <c r="D114" s="13" t="s">
        <v>4874</v>
      </c>
      <c r="E114" s="8"/>
      <c r="F114" s="7" t="s">
        <v>4348</v>
      </c>
      <c r="G114" s="7" t="s">
        <v>25</v>
      </c>
      <c r="H114" s="58"/>
      <c r="I114" s="23"/>
      <c r="J114" s="24"/>
      <c r="M114" s="4"/>
      <c r="N114" s="76"/>
      <c r="O114" s="76"/>
      <c r="P114" s="76" t="str">
        <f t="shared" si="9"/>
        <v>,shikkan106_start_date</v>
      </c>
      <c r="Q114" s="76" t="str">
        <f t="shared" si="10"/>
        <v>DATE</v>
      </c>
      <c r="R114" s="76" t="str">
        <f t="shared" si="11"/>
        <v/>
      </c>
      <c r="S114" s="76" t="str">
        <f t="shared" si="12"/>
        <v/>
      </c>
      <c r="T114" s="76" t="str">
        <f t="shared" si="13"/>
        <v>-- C165_疾患開始日</v>
      </c>
      <c r="U114" s="4" t="str">
        <f t="shared" si="17"/>
        <v>,'shikkan106_start_date'</v>
      </c>
      <c r="V114" s="25" t="str">
        <f t="shared" si="8"/>
        <v>,'shikkan106_start_date' : 'C165_疾患開始日'</v>
      </c>
      <c r="X114" s="25">
        <v>1</v>
      </c>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milscm_2023_009.main_diagnosis_start_date.shikkan106_start_date IS 'C165_疾患開始日';</v>
      </c>
    </row>
    <row r="115" spans="1:45" s="25" customFormat="1">
      <c r="A115" s="4" t="s">
        <v>5263</v>
      </c>
      <c r="B115" s="21">
        <f t="shared" si="16"/>
        <v>113</v>
      </c>
      <c r="C115" s="13" t="str">
        <f t="shared" si="18"/>
        <v>C166_疾患開始日</v>
      </c>
      <c r="D115" s="13" t="s">
        <v>4875</v>
      </c>
      <c r="E115" s="8"/>
      <c r="F115" s="7" t="s">
        <v>4348</v>
      </c>
      <c r="G115" s="7" t="s">
        <v>25</v>
      </c>
      <c r="H115" s="58"/>
      <c r="I115" s="23"/>
      <c r="J115" s="24"/>
      <c r="M115" s="4"/>
      <c r="N115" s="76"/>
      <c r="O115" s="76"/>
      <c r="P115" s="76" t="str">
        <f t="shared" si="9"/>
        <v>,shikkan107_start_date</v>
      </c>
      <c r="Q115" s="76" t="str">
        <f t="shared" si="10"/>
        <v>DATE</v>
      </c>
      <c r="R115" s="76" t="str">
        <f t="shared" si="11"/>
        <v/>
      </c>
      <c r="S115" s="76" t="str">
        <f t="shared" si="12"/>
        <v/>
      </c>
      <c r="T115" s="76" t="str">
        <f t="shared" si="13"/>
        <v>-- C166_疾患開始日</v>
      </c>
      <c r="U115" s="4" t="str">
        <f t="shared" si="17"/>
        <v>,'shikkan107_start_date'</v>
      </c>
      <c r="V115" s="25" t="str">
        <f t="shared" si="8"/>
        <v>,'shikkan107_start_date' : 'C166_疾患開始日'</v>
      </c>
      <c r="X115" s="25">
        <v>1</v>
      </c>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milscm_2023_009.main_diagnosis_start_date.shikkan107_start_date IS 'C166_疾患開始日';</v>
      </c>
    </row>
    <row r="116" spans="1:45" s="25" customFormat="1">
      <c r="A116" s="4" t="s">
        <v>5264</v>
      </c>
      <c r="B116" s="21">
        <f t="shared" si="16"/>
        <v>114</v>
      </c>
      <c r="C116" s="13" t="str">
        <f t="shared" si="18"/>
        <v>C168_疾患開始日</v>
      </c>
      <c r="D116" s="13" t="s">
        <v>4876</v>
      </c>
      <c r="E116" s="8"/>
      <c r="F116" s="7" t="s">
        <v>4348</v>
      </c>
      <c r="G116" s="7" t="s">
        <v>25</v>
      </c>
      <c r="H116" s="58"/>
      <c r="I116" s="23"/>
      <c r="J116" s="24"/>
      <c r="M116" s="4"/>
      <c r="N116" s="76"/>
      <c r="O116" s="76"/>
      <c r="P116" s="76" t="str">
        <f t="shared" si="9"/>
        <v>,shikkan108_start_date</v>
      </c>
      <c r="Q116" s="76" t="str">
        <f t="shared" si="10"/>
        <v>DATE</v>
      </c>
      <c r="R116" s="76" t="str">
        <f t="shared" si="11"/>
        <v/>
      </c>
      <c r="S116" s="76" t="str">
        <f t="shared" si="12"/>
        <v/>
      </c>
      <c r="T116" s="76" t="str">
        <f t="shared" si="13"/>
        <v>-- C168_疾患開始日</v>
      </c>
      <c r="U116" s="4" t="str">
        <f t="shared" si="17"/>
        <v>,'shikkan108_start_date'</v>
      </c>
      <c r="V116" s="25" t="str">
        <f t="shared" si="8"/>
        <v>,'shikkan108_start_date' : 'C168_疾患開始日'</v>
      </c>
      <c r="X116" s="25">
        <v>1</v>
      </c>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milscm_2023_009.main_diagnosis_start_date.shikkan108_start_date IS 'C168_疾患開始日';</v>
      </c>
    </row>
    <row r="117" spans="1:45" s="25" customFormat="1">
      <c r="A117" s="4" t="s">
        <v>5265</v>
      </c>
      <c r="B117" s="21">
        <f t="shared" si="16"/>
        <v>115</v>
      </c>
      <c r="C117" s="13" t="str">
        <f t="shared" si="18"/>
        <v>C169_疾患開始日</v>
      </c>
      <c r="D117" s="13" t="s">
        <v>4877</v>
      </c>
      <c r="E117" s="8"/>
      <c r="F117" s="7" t="s">
        <v>4348</v>
      </c>
      <c r="G117" s="7" t="s">
        <v>25</v>
      </c>
      <c r="H117" s="58"/>
      <c r="I117" s="23"/>
      <c r="J117" s="24"/>
      <c r="M117" s="4"/>
      <c r="N117" s="76"/>
      <c r="O117" s="76"/>
      <c r="P117" s="76" t="str">
        <f t="shared" si="9"/>
        <v>,shikkan109_start_date</v>
      </c>
      <c r="Q117" s="76" t="str">
        <f t="shared" si="10"/>
        <v>DATE</v>
      </c>
      <c r="R117" s="76" t="str">
        <f t="shared" si="11"/>
        <v/>
      </c>
      <c r="S117" s="76" t="str">
        <f t="shared" si="12"/>
        <v/>
      </c>
      <c r="T117" s="76" t="str">
        <f t="shared" si="13"/>
        <v>-- C169_疾患開始日</v>
      </c>
      <c r="U117" s="4" t="str">
        <f t="shared" si="17"/>
        <v>,'shikkan109_start_date'</v>
      </c>
      <c r="V117" s="25" t="str">
        <f t="shared" si="8"/>
        <v>,'shikkan109_start_date' : 'C169_疾患開始日'</v>
      </c>
      <c r="X117" s="25">
        <v>1</v>
      </c>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milscm_2023_009.main_diagnosis_start_date.shikkan109_start_date IS 'C169_疾患開始日';</v>
      </c>
    </row>
    <row r="118" spans="1:45" s="25" customFormat="1">
      <c r="A118" s="4" t="s">
        <v>5266</v>
      </c>
      <c r="B118" s="21">
        <f t="shared" si="16"/>
        <v>116</v>
      </c>
      <c r="C118" s="13" t="str">
        <f t="shared" si="18"/>
        <v>C170_疾患開始日</v>
      </c>
      <c r="D118" s="13" t="s">
        <v>4878</v>
      </c>
      <c r="E118" s="8"/>
      <c r="F118" s="7" t="s">
        <v>4348</v>
      </c>
      <c r="G118" s="7" t="s">
        <v>25</v>
      </c>
      <c r="H118" s="58"/>
      <c r="I118" s="23"/>
      <c r="J118" s="24"/>
      <c r="M118" s="4"/>
      <c r="N118" s="76"/>
      <c r="O118" s="76"/>
      <c r="P118" s="76" t="str">
        <f t="shared" si="9"/>
        <v>,shikkan110_start_date</v>
      </c>
      <c r="Q118" s="76" t="str">
        <f t="shared" si="10"/>
        <v>DATE</v>
      </c>
      <c r="R118" s="76" t="str">
        <f t="shared" si="11"/>
        <v/>
      </c>
      <c r="S118" s="76" t="str">
        <f t="shared" si="12"/>
        <v/>
      </c>
      <c r="T118" s="76" t="str">
        <f t="shared" si="13"/>
        <v>-- C170_疾患開始日</v>
      </c>
      <c r="U118" s="4" t="str">
        <f t="shared" si="17"/>
        <v>,'shikkan110_start_date'</v>
      </c>
      <c r="V118" s="25" t="str">
        <f t="shared" si="8"/>
        <v>,'shikkan110_start_date' : 'C170_疾患開始日'</v>
      </c>
      <c r="X118" s="25">
        <v>1</v>
      </c>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milscm_2023_009.main_diagnosis_start_date.shikkan110_start_date IS 'C170_疾患開始日';</v>
      </c>
    </row>
    <row r="119" spans="1:45" s="25" customFormat="1">
      <c r="A119" s="4" t="s">
        <v>5267</v>
      </c>
      <c r="B119" s="21">
        <f t="shared" si="16"/>
        <v>117</v>
      </c>
      <c r="C119" s="13" t="str">
        <f t="shared" si="18"/>
        <v>C171_疾患開始日</v>
      </c>
      <c r="D119" s="13" t="s">
        <v>4879</v>
      </c>
      <c r="E119" s="8"/>
      <c r="F119" s="7" t="s">
        <v>4348</v>
      </c>
      <c r="G119" s="7" t="s">
        <v>25</v>
      </c>
      <c r="H119" s="58"/>
      <c r="I119" s="23"/>
      <c r="J119" s="24"/>
      <c r="M119" s="4"/>
      <c r="N119" s="76"/>
      <c r="O119" s="76"/>
      <c r="P119" s="76" t="str">
        <f t="shared" si="9"/>
        <v>,shikkan111_start_date</v>
      </c>
      <c r="Q119" s="76" t="str">
        <f t="shared" si="10"/>
        <v>DATE</v>
      </c>
      <c r="R119" s="76" t="str">
        <f t="shared" si="11"/>
        <v/>
      </c>
      <c r="S119" s="76" t="str">
        <f t="shared" si="12"/>
        <v/>
      </c>
      <c r="T119" s="76" t="str">
        <f t="shared" si="13"/>
        <v>-- C171_疾患開始日</v>
      </c>
      <c r="U119" s="4" t="str">
        <f t="shared" si="17"/>
        <v>,'shikkan111_start_date'</v>
      </c>
      <c r="V119" s="25" t="str">
        <f t="shared" si="8"/>
        <v>,'shikkan111_start_date' : 'C171_疾患開始日'</v>
      </c>
      <c r="X119" s="25">
        <v>1</v>
      </c>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milscm_2023_009.main_diagnosis_start_date.shikkan111_start_date IS 'C171_疾患開始日';</v>
      </c>
    </row>
    <row r="120" spans="1:45" s="25" customFormat="1">
      <c r="A120" s="4" t="s">
        <v>5268</v>
      </c>
      <c r="B120" s="21">
        <f t="shared" si="16"/>
        <v>118</v>
      </c>
      <c r="C120" s="13" t="str">
        <f t="shared" si="18"/>
        <v>C172_疾患開始日</v>
      </c>
      <c r="D120" s="13" t="s">
        <v>4880</v>
      </c>
      <c r="E120" s="8"/>
      <c r="F120" s="7" t="s">
        <v>4348</v>
      </c>
      <c r="G120" s="7" t="s">
        <v>25</v>
      </c>
      <c r="H120" s="58"/>
      <c r="I120" s="23"/>
      <c r="J120" s="24"/>
      <c r="M120" s="4"/>
      <c r="N120" s="76"/>
      <c r="O120" s="76"/>
      <c r="P120" s="76" t="str">
        <f t="shared" si="9"/>
        <v>,shikkan112_start_date</v>
      </c>
      <c r="Q120" s="76" t="str">
        <f t="shared" si="10"/>
        <v>DATE</v>
      </c>
      <c r="R120" s="76" t="str">
        <f t="shared" si="11"/>
        <v/>
      </c>
      <c r="S120" s="76" t="str">
        <f t="shared" si="12"/>
        <v/>
      </c>
      <c r="T120" s="76" t="str">
        <f t="shared" si="13"/>
        <v>-- C172_疾患開始日</v>
      </c>
      <c r="U120" s="4" t="str">
        <f t="shared" si="17"/>
        <v>,'shikkan112_start_date'</v>
      </c>
      <c r="V120" s="25" t="str">
        <f t="shared" si="8"/>
        <v>,'shikkan112_start_date' : 'C172_疾患開始日'</v>
      </c>
      <c r="X120" s="25">
        <v>1</v>
      </c>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milscm_2023_009.main_diagnosis_start_date.shikkan112_start_date IS 'C172_疾患開始日';</v>
      </c>
    </row>
    <row r="121" spans="1:45" s="25" customFormat="1">
      <c r="A121" s="4" t="s">
        <v>5269</v>
      </c>
      <c r="B121" s="21">
        <f t="shared" si="16"/>
        <v>119</v>
      </c>
      <c r="C121" s="13" t="str">
        <f t="shared" si="18"/>
        <v>C173_疾患開始日</v>
      </c>
      <c r="D121" s="13" t="s">
        <v>4881</v>
      </c>
      <c r="E121" s="8"/>
      <c r="F121" s="7" t="s">
        <v>4348</v>
      </c>
      <c r="G121" s="7" t="s">
        <v>99</v>
      </c>
      <c r="H121" s="58"/>
      <c r="I121" s="23"/>
      <c r="J121" s="24"/>
      <c r="M121" s="4"/>
      <c r="N121" s="76"/>
      <c r="O121" s="76"/>
      <c r="P121" s="76" t="str">
        <f t="shared" si="9"/>
        <v>,shikkan113_start_date</v>
      </c>
      <c r="Q121" s="76" t="str">
        <f t="shared" si="10"/>
        <v>DATE</v>
      </c>
      <c r="R121" s="76" t="str">
        <f t="shared" si="11"/>
        <v/>
      </c>
      <c r="S121" s="76" t="str">
        <f t="shared" si="12"/>
        <v/>
      </c>
      <c r="T121" s="76" t="str">
        <f t="shared" si="13"/>
        <v>-- C173_疾患開始日</v>
      </c>
      <c r="U121" s="4" t="str">
        <f t="shared" si="17"/>
        <v>,'shikkan113_start_date'</v>
      </c>
      <c r="V121" s="25" t="str">
        <f t="shared" si="8"/>
        <v>,'shikkan113_start_date' : 'C173_疾患開始日'</v>
      </c>
      <c r="X121" s="25">
        <v>1</v>
      </c>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milscm_2023_009.main_diagnosis_start_date.shikkan113_start_date IS 'C173_疾患開始日';</v>
      </c>
    </row>
    <row r="122" spans="1:45" s="25" customFormat="1">
      <c r="A122" s="4" t="s">
        <v>5270</v>
      </c>
      <c r="B122" s="21">
        <f t="shared" si="16"/>
        <v>120</v>
      </c>
      <c r="C122" s="13" t="str">
        <f t="shared" si="18"/>
        <v>C178_疾患開始日</v>
      </c>
      <c r="D122" s="13" t="s">
        <v>4882</v>
      </c>
      <c r="E122" s="8"/>
      <c r="F122" s="7" t="s">
        <v>4348</v>
      </c>
      <c r="G122" s="7" t="s">
        <v>25</v>
      </c>
      <c r="H122" s="58"/>
      <c r="I122" s="23"/>
      <c r="J122" s="24"/>
      <c r="M122" s="4"/>
      <c r="N122" s="76"/>
      <c r="O122" s="76"/>
      <c r="P122" s="76" t="str">
        <f t="shared" si="9"/>
        <v>,shikkan114_start_date</v>
      </c>
      <c r="Q122" s="76" t="str">
        <f t="shared" si="10"/>
        <v>DATE</v>
      </c>
      <c r="R122" s="76" t="str">
        <f t="shared" si="11"/>
        <v/>
      </c>
      <c r="S122" s="76" t="str">
        <f t="shared" si="12"/>
        <v/>
      </c>
      <c r="T122" s="76" t="str">
        <f t="shared" si="13"/>
        <v>-- C178_疾患開始日</v>
      </c>
      <c r="U122" s="4" t="str">
        <f t="shared" si="17"/>
        <v>,'shikkan114_start_date'</v>
      </c>
      <c r="V122" s="25" t="str">
        <f t="shared" si="8"/>
        <v>,'shikkan114_start_date' : 'C178_疾患開始日'</v>
      </c>
      <c r="X122" s="25">
        <v>1</v>
      </c>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milscm_2023_009.main_diagnosis_start_date.shikkan114_start_date IS 'C178_疾患開始日';</v>
      </c>
    </row>
    <row r="123" spans="1:45" s="25" customFormat="1">
      <c r="A123" s="4" t="s">
        <v>5271</v>
      </c>
      <c r="B123" s="21">
        <f t="shared" si="16"/>
        <v>121</v>
      </c>
      <c r="C123" s="13" t="str">
        <f t="shared" si="18"/>
        <v>C179_疾患開始日</v>
      </c>
      <c r="D123" s="13" t="s">
        <v>4883</v>
      </c>
      <c r="E123" s="8"/>
      <c r="F123" s="7" t="s">
        <v>4348</v>
      </c>
      <c r="G123" s="7" t="s">
        <v>25</v>
      </c>
      <c r="H123" s="58"/>
      <c r="I123" s="23"/>
      <c r="J123" s="24"/>
      <c r="M123" s="4"/>
      <c r="N123" s="76"/>
      <c r="O123" s="76"/>
      <c r="P123" s="76" t="str">
        <f t="shared" si="9"/>
        <v>,shikkan115_start_date</v>
      </c>
      <c r="Q123" s="76" t="str">
        <f t="shared" si="10"/>
        <v>DATE</v>
      </c>
      <c r="R123" s="76" t="str">
        <f t="shared" si="11"/>
        <v/>
      </c>
      <c r="S123" s="76" t="str">
        <f t="shared" si="12"/>
        <v/>
      </c>
      <c r="T123" s="76" t="str">
        <f t="shared" si="13"/>
        <v>-- C179_疾患開始日</v>
      </c>
      <c r="U123" s="4" t="str">
        <f t="shared" si="17"/>
        <v>,'shikkan115_start_date'</v>
      </c>
      <c r="V123" s="25" t="str">
        <f t="shared" si="8"/>
        <v>,'shikkan115_start_date' : 'C179_疾患開始日'</v>
      </c>
      <c r="X123" s="25">
        <v>1</v>
      </c>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milscm_2023_009.main_diagnosis_start_date.shikkan115_start_date IS 'C179_疾患開始日';</v>
      </c>
    </row>
    <row r="124" spans="1:45" s="25" customFormat="1">
      <c r="A124" s="4" t="s">
        <v>5272</v>
      </c>
      <c r="B124" s="21">
        <f t="shared" si="16"/>
        <v>122</v>
      </c>
      <c r="C124" s="13" t="str">
        <f t="shared" si="18"/>
        <v>C180_疾患開始日</v>
      </c>
      <c r="D124" s="13" t="s">
        <v>4884</v>
      </c>
      <c r="E124" s="8"/>
      <c r="F124" s="7" t="s">
        <v>4348</v>
      </c>
      <c r="G124" s="7" t="s">
        <v>25</v>
      </c>
      <c r="H124" s="58"/>
      <c r="I124" s="23"/>
      <c r="J124" s="24"/>
      <c r="M124" s="4"/>
      <c r="N124" s="76"/>
      <c r="O124" s="76"/>
      <c r="P124" s="76" t="str">
        <f t="shared" si="9"/>
        <v>,shikkan116_start_date</v>
      </c>
      <c r="Q124" s="76" t="str">
        <f t="shared" si="10"/>
        <v>DATE</v>
      </c>
      <c r="R124" s="76" t="str">
        <f t="shared" si="11"/>
        <v/>
      </c>
      <c r="S124" s="76" t="str">
        <f t="shared" si="12"/>
        <v/>
      </c>
      <c r="T124" s="76" t="str">
        <f t="shared" si="13"/>
        <v>-- C180_疾患開始日</v>
      </c>
      <c r="U124" s="4" t="str">
        <f t="shared" si="17"/>
        <v>,'shikkan116_start_date'</v>
      </c>
      <c r="V124" s="25" t="str">
        <f t="shared" si="8"/>
        <v>,'shikkan116_start_date' : 'C180_疾患開始日'</v>
      </c>
      <c r="X124" s="25">
        <v>1</v>
      </c>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milscm_2023_009.main_diagnosis_start_date.shikkan116_start_date IS 'C180_疾患開始日';</v>
      </c>
    </row>
    <row r="125" spans="1:45" s="25" customFormat="1">
      <c r="A125" s="4" t="s">
        <v>5273</v>
      </c>
      <c r="B125" s="21">
        <f t="shared" si="16"/>
        <v>123</v>
      </c>
      <c r="C125" s="13" t="str">
        <f t="shared" si="18"/>
        <v>C181_疾患開始日</v>
      </c>
      <c r="D125" s="13" t="s">
        <v>4885</v>
      </c>
      <c r="E125" s="8"/>
      <c r="F125" s="7" t="s">
        <v>4348</v>
      </c>
      <c r="G125" s="7" t="s">
        <v>25</v>
      </c>
      <c r="H125" s="58"/>
      <c r="I125" s="23"/>
      <c r="J125" s="24"/>
      <c r="M125" s="4"/>
      <c r="N125" s="76"/>
      <c r="O125" s="76"/>
      <c r="P125" s="76" t="str">
        <f t="shared" si="9"/>
        <v>,shikkan117_start_date</v>
      </c>
      <c r="Q125" s="76" t="str">
        <f t="shared" si="10"/>
        <v>DATE</v>
      </c>
      <c r="R125" s="76" t="str">
        <f t="shared" si="11"/>
        <v/>
      </c>
      <c r="S125" s="76" t="str">
        <f t="shared" si="12"/>
        <v/>
      </c>
      <c r="T125" s="76" t="str">
        <f t="shared" si="13"/>
        <v>-- C181_疾患開始日</v>
      </c>
      <c r="U125" s="4" t="str">
        <f t="shared" si="17"/>
        <v>,'shikkan117_start_date'</v>
      </c>
      <c r="V125" s="25" t="str">
        <f t="shared" si="8"/>
        <v>,'shikkan117_start_date' : 'C181_疾患開始日'</v>
      </c>
      <c r="X125" s="25">
        <v>1</v>
      </c>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milscm_2023_009.main_diagnosis_start_date.shikkan117_start_date IS 'C181_疾患開始日';</v>
      </c>
    </row>
    <row r="126" spans="1:45" s="25" customFormat="1">
      <c r="A126" s="4" t="s">
        <v>5274</v>
      </c>
      <c r="B126" s="21">
        <f t="shared" si="16"/>
        <v>124</v>
      </c>
      <c r="C126" s="13" t="str">
        <f t="shared" si="18"/>
        <v>C182_疾患開始日</v>
      </c>
      <c r="D126" s="13" t="s">
        <v>4886</v>
      </c>
      <c r="E126" s="8"/>
      <c r="F126" s="7" t="s">
        <v>4348</v>
      </c>
      <c r="G126" s="7" t="s">
        <v>25</v>
      </c>
      <c r="H126" s="58"/>
      <c r="I126" s="23"/>
      <c r="J126" s="24"/>
      <c r="M126" s="4"/>
      <c r="N126" s="76"/>
      <c r="O126" s="76"/>
      <c r="P126" s="76" t="str">
        <f t="shared" si="9"/>
        <v>,shikkan118_start_date</v>
      </c>
      <c r="Q126" s="76" t="str">
        <f t="shared" si="10"/>
        <v>DATE</v>
      </c>
      <c r="R126" s="76" t="str">
        <f t="shared" si="11"/>
        <v/>
      </c>
      <c r="S126" s="76" t="str">
        <f t="shared" si="12"/>
        <v/>
      </c>
      <c r="T126" s="76" t="str">
        <f t="shared" si="13"/>
        <v>-- C182_疾患開始日</v>
      </c>
      <c r="U126" s="4" t="str">
        <f t="shared" si="17"/>
        <v>,'shikkan118_start_date'</v>
      </c>
      <c r="V126" s="25" t="str">
        <f t="shared" si="8"/>
        <v>,'shikkan118_start_date' : 'C182_疾患開始日'</v>
      </c>
      <c r="X126" s="25">
        <v>1</v>
      </c>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milscm_2023_009.main_diagnosis_start_date.shikkan118_start_date IS 'C182_疾患開始日';</v>
      </c>
    </row>
    <row r="127" spans="1:45" s="25" customFormat="1">
      <c r="A127" s="4" t="s">
        <v>5275</v>
      </c>
      <c r="B127" s="21">
        <f t="shared" si="16"/>
        <v>125</v>
      </c>
      <c r="C127" s="13" t="str">
        <f t="shared" si="18"/>
        <v>C183_疾患開始日</v>
      </c>
      <c r="D127" s="13" t="s">
        <v>4887</v>
      </c>
      <c r="E127" s="8"/>
      <c r="F127" s="7" t="s">
        <v>4348</v>
      </c>
      <c r="G127" s="7" t="s">
        <v>25</v>
      </c>
      <c r="H127" s="58"/>
      <c r="I127" s="23"/>
      <c r="J127" s="24"/>
      <c r="M127" s="4"/>
      <c r="N127" s="76"/>
      <c r="O127" s="76"/>
      <c r="P127" s="76" t="str">
        <f t="shared" si="9"/>
        <v>,shikkan119_start_date</v>
      </c>
      <c r="Q127" s="76" t="str">
        <f t="shared" si="10"/>
        <v>DATE</v>
      </c>
      <c r="R127" s="76" t="str">
        <f t="shared" si="11"/>
        <v/>
      </c>
      <c r="S127" s="76" t="str">
        <f t="shared" si="12"/>
        <v/>
      </c>
      <c r="T127" s="76" t="str">
        <f t="shared" si="13"/>
        <v>-- C183_疾患開始日</v>
      </c>
      <c r="U127" s="4" t="str">
        <f t="shared" si="17"/>
        <v>,'shikkan119_start_date'</v>
      </c>
      <c r="V127" s="25" t="str">
        <f t="shared" si="8"/>
        <v>,'shikkan119_start_date' : 'C183_疾患開始日'</v>
      </c>
      <c r="X127" s="25">
        <v>1</v>
      </c>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milscm_2023_009.main_diagnosis_start_date.shikkan119_start_date IS 'C183_疾患開始日';</v>
      </c>
    </row>
    <row r="128" spans="1:45" s="25" customFormat="1">
      <c r="A128" s="4" t="s">
        <v>5276</v>
      </c>
      <c r="B128" s="21">
        <f t="shared" si="16"/>
        <v>126</v>
      </c>
      <c r="C128" s="13" t="str">
        <f t="shared" si="18"/>
        <v>C184_疾患開始日</v>
      </c>
      <c r="D128" s="13" t="s">
        <v>4888</v>
      </c>
      <c r="E128" s="8"/>
      <c r="F128" s="7" t="s">
        <v>4348</v>
      </c>
      <c r="G128" s="7" t="s">
        <v>25</v>
      </c>
      <c r="H128" s="58"/>
      <c r="I128" s="23"/>
      <c r="J128" s="24"/>
      <c r="M128" s="4"/>
      <c r="N128" s="76"/>
      <c r="O128" s="76"/>
      <c r="P128" s="76" t="str">
        <f t="shared" si="9"/>
        <v>,shikkan120_start_date</v>
      </c>
      <c r="Q128" s="76" t="str">
        <f t="shared" si="10"/>
        <v>DATE</v>
      </c>
      <c r="R128" s="76" t="str">
        <f t="shared" si="11"/>
        <v/>
      </c>
      <c r="S128" s="76" t="str">
        <f t="shared" si="12"/>
        <v/>
      </c>
      <c r="T128" s="76" t="str">
        <f t="shared" si="13"/>
        <v>-- C184_疾患開始日</v>
      </c>
      <c r="U128" s="4" t="str">
        <f t="shared" si="17"/>
        <v>,'shikkan120_start_date'</v>
      </c>
      <c r="V128" s="25" t="str">
        <f t="shared" si="8"/>
        <v>,'shikkan120_start_date' : 'C184_疾患開始日'</v>
      </c>
      <c r="X128" s="25">
        <v>1</v>
      </c>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milscm_2023_009.main_diagnosis_start_date.shikkan120_start_date IS 'C184_疾患開始日';</v>
      </c>
    </row>
    <row r="129" spans="1:45" s="25" customFormat="1">
      <c r="A129" s="4" t="s">
        <v>5277</v>
      </c>
      <c r="B129" s="21">
        <f t="shared" si="16"/>
        <v>127</v>
      </c>
      <c r="C129" s="13" t="str">
        <f t="shared" si="18"/>
        <v>C185_疾患開始日</v>
      </c>
      <c r="D129" s="13" t="s">
        <v>4889</v>
      </c>
      <c r="E129" s="8"/>
      <c r="F129" s="7" t="s">
        <v>4348</v>
      </c>
      <c r="G129" s="7" t="s">
        <v>25</v>
      </c>
      <c r="H129" s="58"/>
      <c r="I129" s="23"/>
      <c r="J129" s="24"/>
      <c r="M129" s="4"/>
      <c r="N129" s="76"/>
      <c r="O129" s="76"/>
      <c r="P129" s="76" t="str">
        <f t="shared" si="9"/>
        <v>,shikkan121_start_date</v>
      </c>
      <c r="Q129" s="76" t="str">
        <f t="shared" si="10"/>
        <v>DATE</v>
      </c>
      <c r="R129" s="76" t="str">
        <f t="shared" si="11"/>
        <v/>
      </c>
      <c r="S129" s="76" t="str">
        <f t="shared" si="12"/>
        <v/>
      </c>
      <c r="T129" s="76" t="str">
        <f t="shared" si="13"/>
        <v>-- C185_疾患開始日</v>
      </c>
      <c r="U129" s="4" t="str">
        <f t="shared" si="17"/>
        <v>,'shikkan121_start_date'</v>
      </c>
      <c r="V129" s="25" t="str">
        <f t="shared" si="8"/>
        <v>,'shikkan121_start_date' : 'C185_疾患開始日'</v>
      </c>
      <c r="X129" s="25">
        <v>1</v>
      </c>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milscm_2023_009.main_diagnosis_start_date.shikkan121_start_date IS 'C185_疾患開始日';</v>
      </c>
    </row>
    <row r="130" spans="1:45" s="25" customFormat="1">
      <c r="A130" s="4" t="s">
        <v>5278</v>
      </c>
      <c r="B130" s="21">
        <f t="shared" si="16"/>
        <v>128</v>
      </c>
      <c r="C130" s="13" t="str">
        <f t="shared" si="18"/>
        <v>C186_疾患開始日</v>
      </c>
      <c r="D130" s="13" t="s">
        <v>4890</v>
      </c>
      <c r="E130" s="8"/>
      <c r="F130" s="7" t="s">
        <v>4348</v>
      </c>
      <c r="G130" s="7" t="s">
        <v>25</v>
      </c>
      <c r="H130" s="58"/>
      <c r="I130" s="23"/>
      <c r="J130" s="24"/>
      <c r="M130" s="4"/>
      <c r="N130" s="76"/>
      <c r="O130" s="76"/>
      <c r="P130" s="76" t="str">
        <f t="shared" si="9"/>
        <v>,shikkan122_start_date</v>
      </c>
      <c r="Q130" s="76" t="str">
        <f t="shared" si="10"/>
        <v>DATE</v>
      </c>
      <c r="R130" s="76" t="str">
        <f t="shared" si="11"/>
        <v/>
      </c>
      <c r="S130" s="76" t="str">
        <f t="shared" si="12"/>
        <v/>
      </c>
      <c r="T130" s="76" t="str">
        <f t="shared" si="13"/>
        <v>-- C186_疾患開始日</v>
      </c>
      <c r="U130" s="4" t="str">
        <f t="shared" si="17"/>
        <v>,'shikkan122_start_date'</v>
      </c>
      <c r="V130" s="25" t="str">
        <f t="shared" si="8"/>
        <v>,'shikkan122_start_date' : 'C186_疾患開始日'</v>
      </c>
      <c r="X130" s="25">
        <v>1</v>
      </c>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milscm_2023_009.main_diagnosis_start_date.shikkan122_start_date IS 'C186_疾患開始日';</v>
      </c>
    </row>
    <row r="131" spans="1:45" s="25" customFormat="1">
      <c r="A131" s="4" t="s">
        <v>5279</v>
      </c>
      <c r="B131" s="21">
        <f t="shared" si="16"/>
        <v>129</v>
      </c>
      <c r="C131" s="13" t="str">
        <f t="shared" si="18"/>
        <v>C187_疾患開始日</v>
      </c>
      <c r="D131" s="13" t="s">
        <v>4891</v>
      </c>
      <c r="E131" s="8"/>
      <c r="F131" s="7" t="s">
        <v>4348</v>
      </c>
      <c r="G131" s="7" t="s">
        <v>25</v>
      </c>
      <c r="H131" s="58"/>
      <c r="I131" s="23"/>
      <c r="J131" s="24"/>
      <c r="M131" s="4"/>
      <c r="N131" s="76"/>
      <c r="O131" s="76"/>
      <c r="P131" s="76" t="str">
        <f t="shared" si="9"/>
        <v>,shikkan123_start_date</v>
      </c>
      <c r="Q131" s="76" t="str">
        <f t="shared" si="10"/>
        <v>DATE</v>
      </c>
      <c r="R131" s="76" t="str">
        <f t="shared" si="11"/>
        <v/>
      </c>
      <c r="S131" s="76" t="str">
        <f t="shared" si="12"/>
        <v/>
      </c>
      <c r="T131" s="76" t="str">
        <f t="shared" si="13"/>
        <v>-- C187_疾患開始日</v>
      </c>
      <c r="U131" s="4" t="str">
        <f t="shared" si="17"/>
        <v>,'shikkan123_start_date'</v>
      </c>
      <c r="V131" s="25" t="str">
        <f t="shared" si="8"/>
        <v>,'shikkan123_start_date' : 'C187_疾患開始日'</v>
      </c>
      <c r="X131" s="25">
        <v>1</v>
      </c>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milscm_2023_009.main_diagnosis_start_date.shikkan123_start_date IS 'C187_疾患開始日';</v>
      </c>
    </row>
    <row r="132" spans="1:45" s="25" customFormat="1">
      <c r="A132" s="4" t="s">
        <v>5280</v>
      </c>
      <c r="B132" s="21">
        <f t="shared" ref="B132:B195" si="19">ROW()-2</f>
        <v>130</v>
      </c>
      <c r="C132" s="13" t="str">
        <f t="shared" si="18"/>
        <v>C188_疾患開始日</v>
      </c>
      <c r="D132" s="13" t="s">
        <v>4892</v>
      </c>
      <c r="E132" s="8"/>
      <c r="F132" s="7" t="s">
        <v>4348</v>
      </c>
      <c r="G132" s="7" t="s">
        <v>25</v>
      </c>
      <c r="H132" s="58"/>
      <c r="I132" s="23"/>
      <c r="J132" s="24"/>
      <c r="M132" s="4"/>
      <c r="N132" s="76"/>
      <c r="O132" s="76"/>
      <c r="P132" s="76" t="str">
        <f t="shared" si="9"/>
        <v>,shikkan124_start_date</v>
      </c>
      <c r="Q132" s="76" t="str">
        <f t="shared" si="10"/>
        <v>DATE</v>
      </c>
      <c r="R132" s="76" t="str">
        <f t="shared" si="11"/>
        <v/>
      </c>
      <c r="S132" s="76" t="str">
        <f t="shared" si="12"/>
        <v/>
      </c>
      <c r="T132" s="76" t="str">
        <f t="shared" si="13"/>
        <v>-- C188_疾患開始日</v>
      </c>
      <c r="U132" s="4" t="str">
        <f t="shared" si="17"/>
        <v>,'shikkan124_start_date'</v>
      </c>
      <c r="V132" s="25" t="str">
        <f t="shared" si="8"/>
        <v>,'shikkan124_start_date' : 'C188_疾患開始日'</v>
      </c>
      <c r="X132" s="25">
        <v>1</v>
      </c>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milscm_2023_009.main_diagnosis_start_date.shikkan124_start_date IS 'C188_疾患開始日';</v>
      </c>
    </row>
    <row r="133" spans="1:45" s="25" customFormat="1">
      <c r="A133" s="4" t="s">
        <v>5281</v>
      </c>
      <c r="B133" s="21">
        <f t="shared" si="19"/>
        <v>131</v>
      </c>
      <c r="C133" s="13" t="str">
        <f t="shared" si="18"/>
        <v>C189_疾患開始日</v>
      </c>
      <c r="D133" s="13" t="s">
        <v>4893</v>
      </c>
      <c r="E133" s="8"/>
      <c r="F133" s="7" t="s">
        <v>4348</v>
      </c>
      <c r="G133" s="7" t="s">
        <v>25</v>
      </c>
      <c r="H133" s="58"/>
      <c r="I133" s="23"/>
      <c r="J133" s="24"/>
      <c r="M133" s="4"/>
      <c r="N133" s="76"/>
      <c r="O133" s="76"/>
      <c r="P133" s="76" t="str">
        <f t="shared" si="9"/>
        <v>,shikkan125_start_date</v>
      </c>
      <c r="Q133" s="76" t="str">
        <f t="shared" si="10"/>
        <v>DATE</v>
      </c>
      <c r="R133" s="76" t="str">
        <f t="shared" si="11"/>
        <v/>
      </c>
      <c r="S133" s="76" t="str">
        <f t="shared" si="12"/>
        <v/>
      </c>
      <c r="T133" s="76" t="str">
        <f t="shared" si="13"/>
        <v>-- C189_疾患開始日</v>
      </c>
      <c r="U133" s="4" t="str">
        <f t="shared" si="17"/>
        <v>,'shikkan125_start_date'</v>
      </c>
      <c r="V133" s="25" t="str">
        <f t="shared" si="8"/>
        <v>,'shikkan125_start_date' : 'C189_疾患開始日'</v>
      </c>
      <c r="X133" s="25">
        <v>1</v>
      </c>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milscm_2023_009.main_diagnosis_start_date.shikkan125_start_date IS 'C189_疾患開始日';</v>
      </c>
    </row>
    <row r="134" spans="1:45" s="25" customFormat="1">
      <c r="A134" s="4" t="s">
        <v>5143</v>
      </c>
      <c r="B134" s="21">
        <f t="shared" si="19"/>
        <v>132</v>
      </c>
      <c r="C134" s="13" t="str">
        <f t="shared" si="18"/>
        <v>C19_疾患開始日</v>
      </c>
      <c r="D134" s="13" t="s">
        <v>4894</v>
      </c>
      <c r="E134" s="8"/>
      <c r="F134" s="7" t="s">
        <v>4348</v>
      </c>
      <c r="G134" s="7" t="s">
        <v>25</v>
      </c>
      <c r="H134" s="58"/>
      <c r="I134" s="23"/>
      <c r="J134" s="24"/>
      <c r="M134" s="4"/>
      <c r="N134" s="76"/>
      <c r="O134" s="76"/>
      <c r="P134" s="76" t="str">
        <f t="shared" si="9"/>
        <v>,shikkan126_start_date</v>
      </c>
      <c r="Q134" s="76" t="str">
        <f t="shared" si="10"/>
        <v>DATE</v>
      </c>
      <c r="R134" s="76" t="str">
        <f t="shared" si="11"/>
        <v/>
      </c>
      <c r="S134" s="76" t="str">
        <f t="shared" si="12"/>
        <v/>
      </c>
      <c r="T134" s="76" t="str">
        <f t="shared" si="13"/>
        <v>-- C19_疾患開始日</v>
      </c>
      <c r="U134" s="4" t="str">
        <f t="shared" si="17"/>
        <v>,'shikkan126_start_date'</v>
      </c>
      <c r="V134" s="25" t="str">
        <f t="shared" si="8"/>
        <v>,'shikkan126_start_date' : 'C19_疾患開始日'</v>
      </c>
      <c r="X134" s="25">
        <v>1</v>
      </c>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milscm_2023_009.main_diagnosis_start_date.shikkan126_start_date IS 'C19_疾患開始日';</v>
      </c>
    </row>
    <row r="135" spans="1:45" s="25" customFormat="1">
      <c r="A135" s="4" t="s">
        <v>5144</v>
      </c>
      <c r="B135" s="21">
        <f t="shared" si="19"/>
        <v>133</v>
      </c>
      <c r="C135" s="13" t="str">
        <f t="shared" si="18"/>
        <v>C20_疾患開始日</v>
      </c>
      <c r="D135" s="13" t="s">
        <v>4895</v>
      </c>
      <c r="E135" s="8"/>
      <c r="F135" s="7" t="s">
        <v>4348</v>
      </c>
      <c r="G135" s="7" t="s">
        <v>25</v>
      </c>
      <c r="H135" s="58"/>
      <c r="I135" s="23"/>
      <c r="J135" s="24"/>
      <c r="M135" s="4"/>
      <c r="N135" s="76"/>
      <c r="O135" s="76"/>
      <c r="P135" s="76" t="str">
        <f t="shared" si="9"/>
        <v>,shikkan127_start_date</v>
      </c>
      <c r="Q135" s="76" t="str">
        <f t="shared" si="10"/>
        <v>DATE</v>
      </c>
      <c r="R135" s="76" t="str">
        <f t="shared" si="11"/>
        <v/>
      </c>
      <c r="S135" s="76" t="str">
        <f t="shared" si="12"/>
        <v/>
      </c>
      <c r="T135" s="76" t="str">
        <f t="shared" si="13"/>
        <v>-- C20_疾患開始日</v>
      </c>
      <c r="U135" s="4" t="str">
        <f t="shared" si="17"/>
        <v>,'shikkan127_start_date'</v>
      </c>
      <c r="V135" s="25" t="str">
        <f t="shared" si="8"/>
        <v>,'shikkan127_start_date' : 'C20_疾患開始日'</v>
      </c>
      <c r="X135" s="25">
        <v>1</v>
      </c>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milscm_2023_009.main_diagnosis_start_date.shikkan127_start_date IS 'C20_疾患開始日';</v>
      </c>
    </row>
    <row r="136" spans="1:45" s="25" customFormat="1">
      <c r="A136" s="4" t="s">
        <v>5282</v>
      </c>
      <c r="B136" s="21">
        <f t="shared" si="19"/>
        <v>134</v>
      </c>
      <c r="C136" s="13" t="str">
        <f t="shared" si="18"/>
        <v>C210_疾患開始日</v>
      </c>
      <c r="D136" s="13" t="s">
        <v>4896</v>
      </c>
      <c r="E136" s="8"/>
      <c r="F136" s="7" t="s">
        <v>4348</v>
      </c>
      <c r="G136" s="7" t="s">
        <v>25</v>
      </c>
      <c r="H136" s="58"/>
      <c r="I136" s="23"/>
      <c r="J136" s="24"/>
      <c r="M136" s="4"/>
      <c r="N136" s="76"/>
      <c r="O136" s="76"/>
      <c r="P136" s="76" t="str">
        <f t="shared" si="9"/>
        <v>,shikkan128_start_date</v>
      </c>
      <c r="Q136" s="76" t="str">
        <f t="shared" si="10"/>
        <v>DATE</v>
      </c>
      <c r="R136" s="76" t="str">
        <f t="shared" si="11"/>
        <v/>
      </c>
      <c r="S136" s="76" t="str">
        <f t="shared" si="12"/>
        <v/>
      </c>
      <c r="T136" s="76" t="str">
        <f t="shared" si="13"/>
        <v>-- C210_疾患開始日</v>
      </c>
      <c r="U136" s="4" t="str">
        <f t="shared" si="17"/>
        <v>,'shikkan128_start_date'</v>
      </c>
      <c r="V136" s="25" t="str">
        <f t="shared" si="8"/>
        <v>,'shikkan128_start_date' : 'C210_疾患開始日'</v>
      </c>
      <c r="X136" s="25">
        <v>1</v>
      </c>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milscm_2023_009.main_diagnosis_start_date.shikkan128_start_date IS 'C210_疾患開始日';</v>
      </c>
    </row>
    <row r="137" spans="1:45" s="25" customFormat="1">
      <c r="A137" s="4" t="s">
        <v>5283</v>
      </c>
      <c r="B137" s="21">
        <f t="shared" si="19"/>
        <v>135</v>
      </c>
      <c r="C137" s="13" t="str">
        <f t="shared" si="18"/>
        <v>C211_疾患開始日</v>
      </c>
      <c r="D137" s="13" t="s">
        <v>4897</v>
      </c>
      <c r="E137" s="8"/>
      <c r="F137" s="7" t="s">
        <v>4348</v>
      </c>
      <c r="G137" s="7" t="s">
        <v>99</v>
      </c>
      <c r="H137" s="58"/>
      <c r="I137" s="23"/>
      <c r="J137" s="24"/>
      <c r="M137" s="4"/>
      <c r="N137" s="76"/>
      <c r="O137" s="76"/>
      <c r="P137" s="76" t="str">
        <f t="shared" si="9"/>
        <v>,shikkan129_start_date</v>
      </c>
      <c r="Q137" s="76" t="str">
        <f t="shared" si="10"/>
        <v>DATE</v>
      </c>
      <c r="R137" s="76" t="str">
        <f t="shared" si="11"/>
        <v/>
      </c>
      <c r="S137" s="76" t="str">
        <f t="shared" si="12"/>
        <v/>
      </c>
      <c r="T137" s="76" t="str">
        <f t="shared" si="13"/>
        <v>-- C211_疾患開始日</v>
      </c>
      <c r="U137" s="4" t="str">
        <f t="shared" ref="U137:U200" si="20">IF(B137&lt;&gt;1,",","")&amp;"'"&amp;D137&amp;"'"</f>
        <v>,'shikkan129_start_date'</v>
      </c>
      <c r="V137" s="25" t="str">
        <f t="shared" si="8"/>
        <v>,'shikkan129_start_date' : 'C211_疾患開始日'</v>
      </c>
      <c r="X137" s="25">
        <v>1</v>
      </c>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milscm_2023_009.main_diagnosis_start_date.shikkan129_start_date IS 'C211_疾患開始日';</v>
      </c>
    </row>
    <row r="138" spans="1:45" s="25" customFormat="1">
      <c r="A138" s="4" t="s">
        <v>5284</v>
      </c>
      <c r="B138" s="21">
        <f t="shared" si="19"/>
        <v>136</v>
      </c>
      <c r="C138" s="13" t="str">
        <f t="shared" ref="C138:C201" si="21">A138&amp;"_疾患開始日"</f>
        <v>C212_疾患開始日</v>
      </c>
      <c r="D138" s="13" t="s">
        <v>4898</v>
      </c>
      <c r="E138" s="8"/>
      <c r="F138" s="7" t="s">
        <v>4348</v>
      </c>
      <c r="G138" s="7" t="s">
        <v>25</v>
      </c>
      <c r="H138" s="58"/>
      <c r="I138" s="23"/>
      <c r="J138" s="24"/>
      <c r="M138" s="4"/>
      <c r="N138" s="76"/>
      <c r="O138" s="76"/>
      <c r="P138" s="76" t="str">
        <f t="shared" si="9"/>
        <v>,shikkan130_start_date</v>
      </c>
      <c r="Q138" s="76" t="str">
        <f t="shared" si="10"/>
        <v>DATE</v>
      </c>
      <c r="R138" s="76" t="str">
        <f t="shared" si="11"/>
        <v/>
      </c>
      <c r="S138" s="76" t="str">
        <f t="shared" si="12"/>
        <v/>
      </c>
      <c r="T138" s="76" t="str">
        <f t="shared" si="13"/>
        <v>-- C212_疾患開始日</v>
      </c>
      <c r="U138" s="4" t="str">
        <f t="shared" si="20"/>
        <v>,'shikkan130_start_date'</v>
      </c>
      <c r="V138" s="25" t="str">
        <f t="shared" si="8"/>
        <v>,'shikkan130_start_date' : 'C212_疾患開始日'</v>
      </c>
      <c r="X138" s="25">
        <v>1</v>
      </c>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milscm_2023_009.main_diagnosis_start_date.shikkan130_start_date IS 'C212_疾患開始日';</v>
      </c>
    </row>
    <row r="139" spans="1:45" s="25" customFormat="1">
      <c r="A139" s="4" t="s">
        <v>5285</v>
      </c>
      <c r="B139" s="21">
        <f t="shared" si="19"/>
        <v>137</v>
      </c>
      <c r="C139" s="13" t="str">
        <f t="shared" si="21"/>
        <v>C218_疾患開始日</v>
      </c>
      <c r="D139" s="13" t="s">
        <v>4899</v>
      </c>
      <c r="E139" s="8"/>
      <c r="F139" s="7" t="s">
        <v>4348</v>
      </c>
      <c r="G139" s="7" t="s">
        <v>25</v>
      </c>
      <c r="H139" s="58"/>
      <c r="I139" s="23"/>
      <c r="J139" s="24"/>
      <c r="M139" s="4"/>
      <c r="N139" s="76"/>
      <c r="O139" s="76"/>
      <c r="P139" s="76" t="str">
        <f t="shared" si="9"/>
        <v>,shikkan131_start_date</v>
      </c>
      <c r="Q139" s="76" t="str">
        <f t="shared" si="10"/>
        <v>DATE</v>
      </c>
      <c r="R139" s="76" t="str">
        <f t="shared" si="11"/>
        <v/>
      </c>
      <c r="S139" s="76" t="str">
        <f t="shared" si="12"/>
        <v/>
      </c>
      <c r="T139" s="76" t="str">
        <f t="shared" si="13"/>
        <v>-- C218_疾患開始日</v>
      </c>
      <c r="U139" s="4" t="str">
        <f t="shared" si="20"/>
        <v>,'shikkan131_start_date'</v>
      </c>
      <c r="V139" s="25" t="str">
        <f t="shared" si="8"/>
        <v>,'shikkan131_start_date' : 'C218_疾患開始日'</v>
      </c>
      <c r="X139" s="25">
        <v>1</v>
      </c>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milscm_2023_009.main_diagnosis_start_date.shikkan131_start_date IS 'C218_疾患開始日';</v>
      </c>
    </row>
    <row r="140" spans="1:45" s="25" customFormat="1">
      <c r="A140" s="4" t="s">
        <v>5286</v>
      </c>
      <c r="B140" s="21">
        <f t="shared" si="19"/>
        <v>138</v>
      </c>
      <c r="C140" s="13" t="str">
        <f t="shared" si="21"/>
        <v>C220_疾患開始日</v>
      </c>
      <c r="D140" s="13" t="s">
        <v>4900</v>
      </c>
      <c r="E140" s="8"/>
      <c r="F140" s="7" t="s">
        <v>4348</v>
      </c>
      <c r="G140" s="7" t="s">
        <v>25</v>
      </c>
      <c r="H140" s="58"/>
      <c r="I140" s="23"/>
      <c r="J140" s="24"/>
      <c r="M140" s="4"/>
      <c r="N140" s="76"/>
      <c r="O140" s="76"/>
      <c r="P140" s="76" t="str">
        <f t="shared" si="9"/>
        <v>,shikkan132_start_date</v>
      </c>
      <c r="Q140" s="76" t="str">
        <f t="shared" si="10"/>
        <v>DATE</v>
      </c>
      <c r="R140" s="76" t="str">
        <f t="shared" si="11"/>
        <v/>
      </c>
      <c r="S140" s="76" t="str">
        <f t="shared" si="12"/>
        <v/>
      </c>
      <c r="T140" s="76" t="str">
        <f t="shared" si="13"/>
        <v>-- C220_疾患開始日</v>
      </c>
      <c r="U140" s="4" t="str">
        <f t="shared" si="20"/>
        <v>,'shikkan132_start_date'</v>
      </c>
      <c r="V140" s="25" t="str">
        <f t="shared" si="8"/>
        <v>,'shikkan132_start_date' : 'C220_疾患開始日'</v>
      </c>
      <c r="X140" s="25">
        <v>1</v>
      </c>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milscm_2023_009.main_diagnosis_start_date.shikkan132_start_date IS 'C220_疾患開始日';</v>
      </c>
    </row>
    <row r="141" spans="1:45" s="25" customFormat="1">
      <c r="A141" s="4" t="s">
        <v>5287</v>
      </c>
      <c r="B141" s="21">
        <f t="shared" si="19"/>
        <v>139</v>
      </c>
      <c r="C141" s="13" t="str">
        <f t="shared" si="21"/>
        <v>C221_疾患開始日</v>
      </c>
      <c r="D141" s="13" t="s">
        <v>4901</v>
      </c>
      <c r="E141" s="8"/>
      <c r="F141" s="7" t="s">
        <v>4348</v>
      </c>
      <c r="G141" s="7" t="s">
        <v>25</v>
      </c>
      <c r="H141" s="58"/>
      <c r="I141" s="23"/>
      <c r="J141" s="24"/>
      <c r="M141" s="4"/>
      <c r="N141" s="76"/>
      <c r="O141" s="76"/>
      <c r="P141" s="76" t="str">
        <f t="shared" si="9"/>
        <v>,shikkan133_start_date</v>
      </c>
      <c r="Q141" s="76" t="str">
        <f t="shared" si="10"/>
        <v>DATE</v>
      </c>
      <c r="R141" s="76" t="str">
        <f t="shared" si="11"/>
        <v/>
      </c>
      <c r="S141" s="76" t="str">
        <f t="shared" si="12"/>
        <v/>
      </c>
      <c r="T141" s="76" t="str">
        <f t="shared" si="13"/>
        <v>-- C221_疾患開始日</v>
      </c>
      <c r="U141" s="4" t="str">
        <f t="shared" si="20"/>
        <v>,'shikkan133_start_date'</v>
      </c>
      <c r="V141" s="25" t="str">
        <f t="shared" si="8"/>
        <v>,'shikkan133_start_date' : 'C221_疾患開始日'</v>
      </c>
      <c r="X141" s="25">
        <v>1</v>
      </c>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milscm_2023_009.main_diagnosis_start_date.shikkan133_start_date IS 'C221_疾患開始日';</v>
      </c>
    </row>
    <row r="142" spans="1:45" s="25" customFormat="1">
      <c r="A142" s="4" t="s">
        <v>5288</v>
      </c>
      <c r="B142" s="21">
        <f t="shared" si="19"/>
        <v>140</v>
      </c>
      <c r="C142" s="13" t="str">
        <f t="shared" si="21"/>
        <v>C222_疾患開始日</v>
      </c>
      <c r="D142" s="13" t="s">
        <v>4902</v>
      </c>
      <c r="E142" s="8"/>
      <c r="F142" s="7" t="s">
        <v>4348</v>
      </c>
      <c r="G142" s="7" t="s">
        <v>25</v>
      </c>
      <c r="H142" s="58"/>
      <c r="I142" s="23"/>
      <c r="J142" s="24"/>
      <c r="M142" s="4"/>
      <c r="N142" s="76"/>
      <c r="O142" s="76"/>
      <c r="P142" s="76" t="str">
        <f t="shared" si="9"/>
        <v>,shikkan134_start_date</v>
      </c>
      <c r="Q142" s="76" t="str">
        <f t="shared" si="10"/>
        <v>DATE</v>
      </c>
      <c r="R142" s="76" t="str">
        <f t="shared" si="11"/>
        <v/>
      </c>
      <c r="S142" s="76" t="str">
        <f t="shared" si="12"/>
        <v/>
      </c>
      <c r="T142" s="76" t="str">
        <f t="shared" si="13"/>
        <v>-- C222_疾患開始日</v>
      </c>
      <c r="U142" s="4" t="str">
        <f t="shared" si="20"/>
        <v>,'shikkan134_start_date'</v>
      </c>
      <c r="V142" s="25" t="str">
        <f t="shared" si="8"/>
        <v>,'shikkan134_start_date' : 'C222_疾患開始日'</v>
      </c>
      <c r="X142" s="25">
        <v>1</v>
      </c>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milscm_2023_009.main_diagnosis_start_date.shikkan134_start_date IS 'C222_疾患開始日';</v>
      </c>
    </row>
    <row r="143" spans="1:45" s="25" customFormat="1">
      <c r="A143" s="4" t="s">
        <v>5289</v>
      </c>
      <c r="B143" s="21">
        <f t="shared" si="19"/>
        <v>141</v>
      </c>
      <c r="C143" s="13" t="str">
        <f t="shared" si="21"/>
        <v>C223_疾患開始日</v>
      </c>
      <c r="D143" s="13" t="s">
        <v>4903</v>
      </c>
      <c r="E143" s="8"/>
      <c r="F143" s="7" t="s">
        <v>4348</v>
      </c>
      <c r="G143" s="7" t="s">
        <v>25</v>
      </c>
      <c r="H143" s="58"/>
      <c r="I143" s="23"/>
      <c r="J143" s="24"/>
      <c r="M143" s="4"/>
      <c r="N143" s="76"/>
      <c r="O143" s="76"/>
      <c r="P143" s="76" t="str">
        <f t="shared" si="9"/>
        <v>,shikkan135_start_date</v>
      </c>
      <c r="Q143" s="76" t="str">
        <f t="shared" si="10"/>
        <v>DATE</v>
      </c>
      <c r="R143" s="76" t="str">
        <f t="shared" si="11"/>
        <v/>
      </c>
      <c r="S143" s="76" t="str">
        <f t="shared" si="12"/>
        <v/>
      </c>
      <c r="T143" s="76" t="str">
        <f t="shared" si="13"/>
        <v>-- C223_疾患開始日</v>
      </c>
      <c r="U143" s="4" t="str">
        <f t="shared" si="20"/>
        <v>,'shikkan135_start_date'</v>
      </c>
      <c r="V143" s="25" t="str">
        <f t="shared" si="8"/>
        <v>,'shikkan135_start_date' : 'C223_疾患開始日'</v>
      </c>
      <c r="X143" s="25">
        <v>1</v>
      </c>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milscm_2023_009.main_diagnosis_start_date.shikkan135_start_date IS 'C223_疾患開始日';</v>
      </c>
    </row>
    <row r="144" spans="1:45" s="25" customFormat="1">
      <c r="A144" s="4" t="s">
        <v>5290</v>
      </c>
      <c r="B144" s="21">
        <f t="shared" si="19"/>
        <v>142</v>
      </c>
      <c r="C144" s="13" t="str">
        <f t="shared" si="21"/>
        <v>C224_疾患開始日</v>
      </c>
      <c r="D144" s="13" t="s">
        <v>4904</v>
      </c>
      <c r="E144" s="8"/>
      <c r="F144" s="7" t="s">
        <v>4348</v>
      </c>
      <c r="G144" s="7" t="s">
        <v>25</v>
      </c>
      <c r="H144" s="58"/>
      <c r="I144" s="23"/>
      <c r="J144" s="24"/>
      <c r="M144" s="4"/>
      <c r="N144" s="76"/>
      <c r="O144" s="76"/>
      <c r="P144" s="76" t="str">
        <f t="shared" si="9"/>
        <v>,shikkan136_start_date</v>
      </c>
      <c r="Q144" s="76" t="str">
        <f t="shared" si="10"/>
        <v>DATE</v>
      </c>
      <c r="R144" s="76" t="str">
        <f t="shared" si="11"/>
        <v/>
      </c>
      <c r="S144" s="76" t="str">
        <f t="shared" si="12"/>
        <v/>
      </c>
      <c r="T144" s="76" t="str">
        <f t="shared" si="13"/>
        <v>-- C224_疾患開始日</v>
      </c>
      <c r="U144" s="4" t="str">
        <f t="shared" si="20"/>
        <v>,'shikkan136_start_date'</v>
      </c>
      <c r="V144" s="25" t="str">
        <f t="shared" si="8"/>
        <v>,'shikkan136_start_date' : 'C224_疾患開始日'</v>
      </c>
      <c r="X144" s="25">
        <v>1</v>
      </c>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milscm_2023_009.main_diagnosis_start_date.shikkan136_start_date IS 'C224_疾患開始日';</v>
      </c>
    </row>
    <row r="145" spans="1:45" s="25" customFormat="1">
      <c r="A145" s="4" t="s">
        <v>5291</v>
      </c>
      <c r="B145" s="21">
        <f t="shared" si="19"/>
        <v>143</v>
      </c>
      <c r="C145" s="13" t="str">
        <f t="shared" si="21"/>
        <v>C227_疾患開始日</v>
      </c>
      <c r="D145" s="13" t="s">
        <v>4905</v>
      </c>
      <c r="E145" s="8"/>
      <c r="F145" s="7" t="s">
        <v>4348</v>
      </c>
      <c r="G145" s="7" t="s">
        <v>25</v>
      </c>
      <c r="H145" s="58"/>
      <c r="I145" s="23"/>
      <c r="J145" s="24"/>
      <c r="M145" s="4"/>
      <c r="N145" s="76"/>
      <c r="O145" s="76"/>
      <c r="P145" s="76" t="str">
        <f t="shared" si="9"/>
        <v>,shikkan137_start_date</v>
      </c>
      <c r="Q145" s="76" t="str">
        <f t="shared" si="10"/>
        <v>DATE</v>
      </c>
      <c r="R145" s="76" t="str">
        <f t="shared" si="11"/>
        <v/>
      </c>
      <c r="S145" s="76" t="str">
        <f t="shared" si="12"/>
        <v/>
      </c>
      <c r="T145" s="76" t="str">
        <f t="shared" si="13"/>
        <v>-- C227_疾患開始日</v>
      </c>
      <c r="U145" s="4" t="str">
        <f t="shared" si="20"/>
        <v>,'shikkan137_start_date'</v>
      </c>
      <c r="V145" s="25" t="str">
        <f t="shared" si="8"/>
        <v>,'shikkan137_start_date' : 'C227_疾患開始日'</v>
      </c>
      <c r="X145" s="25">
        <v>1</v>
      </c>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milscm_2023_009.main_diagnosis_start_date.shikkan137_start_date IS 'C227_疾患開始日';</v>
      </c>
    </row>
    <row r="146" spans="1:45" s="25" customFormat="1">
      <c r="A146" s="4" t="s">
        <v>5292</v>
      </c>
      <c r="B146" s="21">
        <f t="shared" si="19"/>
        <v>144</v>
      </c>
      <c r="C146" s="13" t="str">
        <f t="shared" si="21"/>
        <v>C229_疾患開始日</v>
      </c>
      <c r="D146" s="13" t="s">
        <v>4906</v>
      </c>
      <c r="E146" s="8"/>
      <c r="F146" s="7" t="s">
        <v>4348</v>
      </c>
      <c r="G146" s="7" t="s">
        <v>25</v>
      </c>
      <c r="H146" s="58"/>
      <c r="I146" s="23"/>
      <c r="J146" s="24"/>
      <c r="M146" s="4"/>
      <c r="N146" s="76"/>
      <c r="O146" s="76"/>
      <c r="P146" s="76" t="str">
        <f t="shared" si="9"/>
        <v>,shikkan138_start_date</v>
      </c>
      <c r="Q146" s="76" t="str">
        <f t="shared" si="10"/>
        <v>DATE</v>
      </c>
      <c r="R146" s="76" t="str">
        <f t="shared" si="11"/>
        <v/>
      </c>
      <c r="S146" s="76" t="str">
        <f t="shared" si="12"/>
        <v/>
      </c>
      <c r="T146" s="76" t="str">
        <f t="shared" si="13"/>
        <v>-- C229_疾患開始日</v>
      </c>
      <c r="U146" s="4" t="str">
        <f t="shared" si="20"/>
        <v>,'shikkan138_start_date'</v>
      </c>
      <c r="V146" s="25" t="str">
        <f t="shared" si="8"/>
        <v>,'shikkan138_start_date' : 'C229_疾患開始日'</v>
      </c>
      <c r="X146" s="25">
        <v>1</v>
      </c>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milscm_2023_009.main_diagnosis_start_date.shikkan138_start_date IS 'C229_疾患開始日';</v>
      </c>
    </row>
    <row r="147" spans="1:45" s="25" customFormat="1">
      <c r="A147" s="4" t="s">
        <v>5145</v>
      </c>
      <c r="B147" s="21">
        <f t="shared" si="19"/>
        <v>145</v>
      </c>
      <c r="C147" s="13" t="str">
        <f t="shared" si="21"/>
        <v>C23_疾患開始日</v>
      </c>
      <c r="D147" s="13" t="s">
        <v>4907</v>
      </c>
      <c r="E147" s="8"/>
      <c r="F147" s="7" t="s">
        <v>4348</v>
      </c>
      <c r="G147" s="7" t="s">
        <v>25</v>
      </c>
      <c r="H147" s="58"/>
      <c r="I147" s="23"/>
      <c r="J147" s="24"/>
      <c r="M147" s="4"/>
      <c r="N147" s="76"/>
      <c r="O147" s="76"/>
      <c r="P147" s="76" t="str">
        <f t="shared" si="9"/>
        <v>,shikkan139_start_date</v>
      </c>
      <c r="Q147" s="76" t="str">
        <f t="shared" si="10"/>
        <v>DATE</v>
      </c>
      <c r="R147" s="76" t="str">
        <f t="shared" si="11"/>
        <v/>
      </c>
      <c r="S147" s="76" t="str">
        <f t="shared" si="12"/>
        <v/>
      </c>
      <c r="T147" s="76" t="str">
        <f t="shared" si="13"/>
        <v>-- C23_疾患開始日</v>
      </c>
      <c r="U147" s="4" t="str">
        <f t="shared" si="20"/>
        <v>,'shikkan139_start_date'</v>
      </c>
      <c r="V147" s="25" t="str">
        <f t="shared" si="8"/>
        <v>,'shikkan139_start_date' : 'C23_疾患開始日'</v>
      </c>
      <c r="X147" s="25">
        <v>1</v>
      </c>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milscm_2023_009.main_diagnosis_start_date.shikkan139_start_date IS 'C23_疾患開始日';</v>
      </c>
    </row>
    <row r="148" spans="1:45" s="25" customFormat="1">
      <c r="A148" s="4" t="s">
        <v>5293</v>
      </c>
      <c r="B148" s="21">
        <f t="shared" si="19"/>
        <v>146</v>
      </c>
      <c r="C148" s="13" t="str">
        <f t="shared" si="21"/>
        <v>C240_疾患開始日</v>
      </c>
      <c r="D148" s="13" t="s">
        <v>4908</v>
      </c>
      <c r="E148" s="8"/>
      <c r="F148" s="7" t="s">
        <v>4348</v>
      </c>
      <c r="G148" s="7" t="s">
        <v>25</v>
      </c>
      <c r="H148" s="58"/>
      <c r="I148" s="23"/>
      <c r="J148" s="24"/>
      <c r="M148" s="4"/>
      <c r="N148" s="76"/>
      <c r="O148" s="76"/>
      <c r="P148" s="76" t="str">
        <f t="shared" si="9"/>
        <v>,shikkan140_start_date</v>
      </c>
      <c r="Q148" s="76" t="str">
        <f t="shared" si="10"/>
        <v>DATE</v>
      </c>
      <c r="R148" s="76" t="str">
        <f t="shared" si="11"/>
        <v/>
      </c>
      <c r="S148" s="76" t="str">
        <f t="shared" si="12"/>
        <v/>
      </c>
      <c r="T148" s="76" t="str">
        <f t="shared" si="13"/>
        <v>-- C240_疾患開始日</v>
      </c>
      <c r="U148" s="4" t="str">
        <f t="shared" si="20"/>
        <v>,'shikkan140_start_date'</v>
      </c>
      <c r="V148" s="25" t="str">
        <f t="shared" si="8"/>
        <v>,'shikkan140_start_date' : 'C240_疾患開始日'</v>
      </c>
      <c r="X148" s="25">
        <v>1</v>
      </c>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milscm_2023_009.main_diagnosis_start_date.shikkan140_start_date IS 'C240_疾患開始日';</v>
      </c>
    </row>
    <row r="149" spans="1:45" s="25" customFormat="1">
      <c r="A149" s="4" t="s">
        <v>5294</v>
      </c>
      <c r="B149" s="21">
        <f t="shared" si="19"/>
        <v>147</v>
      </c>
      <c r="C149" s="13" t="str">
        <f t="shared" si="21"/>
        <v>C241_疾患開始日</v>
      </c>
      <c r="D149" s="13" t="s">
        <v>4909</v>
      </c>
      <c r="E149" s="8"/>
      <c r="F149" s="7" t="s">
        <v>4348</v>
      </c>
      <c r="G149" s="7" t="s">
        <v>25</v>
      </c>
      <c r="H149" s="58"/>
      <c r="I149" s="23"/>
      <c r="J149" s="24"/>
      <c r="M149" s="4"/>
      <c r="N149" s="76"/>
      <c r="O149" s="76"/>
      <c r="P149" s="76" t="str">
        <f t="shared" si="9"/>
        <v>,shikkan141_start_date</v>
      </c>
      <c r="Q149" s="76" t="str">
        <f t="shared" si="10"/>
        <v>DATE</v>
      </c>
      <c r="R149" s="76" t="str">
        <f t="shared" si="11"/>
        <v/>
      </c>
      <c r="S149" s="76" t="str">
        <f t="shared" si="12"/>
        <v/>
      </c>
      <c r="T149" s="76" t="str">
        <f t="shared" si="13"/>
        <v>-- C241_疾患開始日</v>
      </c>
      <c r="U149" s="4" t="str">
        <f t="shared" si="20"/>
        <v>,'shikkan141_start_date'</v>
      </c>
      <c r="V149" s="25" t="str">
        <f t="shared" si="8"/>
        <v>,'shikkan141_start_date' : 'C241_疾患開始日'</v>
      </c>
      <c r="X149" s="25">
        <v>1</v>
      </c>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milscm_2023_009.main_diagnosis_start_date.shikkan141_start_date IS 'C241_疾患開始日';</v>
      </c>
    </row>
    <row r="150" spans="1:45" s="25" customFormat="1">
      <c r="A150" s="4" t="s">
        <v>5295</v>
      </c>
      <c r="B150" s="21">
        <f t="shared" si="19"/>
        <v>148</v>
      </c>
      <c r="C150" s="13" t="str">
        <f t="shared" si="21"/>
        <v>C248_疾患開始日</v>
      </c>
      <c r="D150" s="13" t="s">
        <v>4910</v>
      </c>
      <c r="E150" s="8"/>
      <c r="F150" s="7" t="s">
        <v>4348</v>
      </c>
      <c r="G150" s="7" t="s">
        <v>25</v>
      </c>
      <c r="H150" s="58"/>
      <c r="I150" s="23"/>
      <c r="J150" s="24"/>
      <c r="M150" s="4"/>
      <c r="N150" s="76"/>
      <c r="O150" s="76"/>
      <c r="P150" s="76" t="str">
        <f t="shared" si="9"/>
        <v>,shikkan142_start_date</v>
      </c>
      <c r="Q150" s="76" t="str">
        <f t="shared" si="10"/>
        <v>DATE</v>
      </c>
      <c r="R150" s="76" t="str">
        <f t="shared" si="11"/>
        <v/>
      </c>
      <c r="S150" s="76" t="str">
        <f t="shared" si="12"/>
        <v/>
      </c>
      <c r="T150" s="76" t="str">
        <f t="shared" si="13"/>
        <v>-- C248_疾患開始日</v>
      </c>
      <c r="U150" s="4" t="str">
        <f t="shared" si="20"/>
        <v>,'shikkan142_start_date'</v>
      </c>
      <c r="V150" s="25" t="str">
        <f t="shared" si="8"/>
        <v>,'shikkan142_start_date' : 'C248_疾患開始日'</v>
      </c>
      <c r="X150" s="25">
        <v>1</v>
      </c>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milscm_2023_009.main_diagnosis_start_date.shikkan142_start_date IS 'C248_疾患開始日';</v>
      </c>
    </row>
    <row r="151" spans="1:45" s="25" customFormat="1">
      <c r="A151" s="4" t="s">
        <v>5296</v>
      </c>
      <c r="B151" s="21">
        <f t="shared" si="19"/>
        <v>149</v>
      </c>
      <c r="C151" s="13" t="str">
        <f t="shared" si="21"/>
        <v>C249_疾患開始日</v>
      </c>
      <c r="D151" s="13" t="s">
        <v>4911</v>
      </c>
      <c r="E151" s="8"/>
      <c r="F151" s="7" t="s">
        <v>4348</v>
      </c>
      <c r="G151" s="7" t="s">
        <v>25</v>
      </c>
      <c r="H151" s="58"/>
      <c r="I151" s="23"/>
      <c r="J151" s="24"/>
      <c r="M151" s="4"/>
      <c r="N151" s="76"/>
      <c r="O151" s="76"/>
      <c r="P151" s="76" t="str">
        <f t="shared" si="9"/>
        <v>,shikkan143_start_date</v>
      </c>
      <c r="Q151" s="76" t="str">
        <f t="shared" si="10"/>
        <v>DATE</v>
      </c>
      <c r="R151" s="76" t="str">
        <f t="shared" si="11"/>
        <v/>
      </c>
      <c r="S151" s="76" t="str">
        <f t="shared" si="12"/>
        <v/>
      </c>
      <c r="T151" s="76" t="str">
        <f t="shared" si="13"/>
        <v>-- C249_疾患開始日</v>
      </c>
      <c r="U151" s="4" t="str">
        <f t="shared" si="20"/>
        <v>,'shikkan143_start_date'</v>
      </c>
      <c r="V151" s="25" t="str">
        <f t="shared" si="8"/>
        <v>,'shikkan143_start_date' : 'C249_疾患開始日'</v>
      </c>
      <c r="X151" s="25">
        <v>1</v>
      </c>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milscm_2023_009.main_diagnosis_start_date.shikkan143_start_date IS 'C249_疾患開始日';</v>
      </c>
    </row>
    <row r="152" spans="1:45" s="25" customFormat="1">
      <c r="A152" s="4" t="s">
        <v>5297</v>
      </c>
      <c r="B152" s="21">
        <f t="shared" si="19"/>
        <v>150</v>
      </c>
      <c r="C152" s="13" t="str">
        <f t="shared" si="21"/>
        <v>C250_疾患開始日</v>
      </c>
      <c r="D152" s="13" t="s">
        <v>4912</v>
      </c>
      <c r="E152" s="8"/>
      <c r="F152" s="7" t="s">
        <v>4348</v>
      </c>
      <c r="G152" s="7" t="s">
        <v>25</v>
      </c>
      <c r="H152" s="58"/>
      <c r="I152" s="23"/>
      <c r="J152" s="24"/>
      <c r="M152" s="4"/>
      <c r="N152" s="76"/>
      <c r="O152" s="76"/>
      <c r="P152" s="76" t="str">
        <f t="shared" si="9"/>
        <v>,shikkan144_start_date</v>
      </c>
      <c r="Q152" s="76" t="str">
        <f t="shared" si="10"/>
        <v>DATE</v>
      </c>
      <c r="R152" s="76" t="str">
        <f t="shared" si="11"/>
        <v/>
      </c>
      <c r="S152" s="76" t="str">
        <f t="shared" si="12"/>
        <v/>
      </c>
      <c r="T152" s="76" t="str">
        <f t="shared" si="13"/>
        <v>-- C250_疾患開始日</v>
      </c>
      <c r="U152" s="4" t="str">
        <f t="shared" si="20"/>
        <v>,'shikkan144_start_date'</v>
      </c>
      <c r="V152" s="25" t="str">
        <f t="shared" si="8"/>
        <v>,'shikkan144_start_date' : 'C250_疾患開始日'</v>
      </c>
      <c r="X152" s="25">
        <v>1</v>
      </c>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milscm_2023_009.main_diagnosis_start_date.shikkan144_start_date IS 'C250_疾患開始日';</v>
      </c>
    </row>
    <row r="153" spans="1:45" s="25" customFormat="1">
      <c r="A153" s="4" t="s">
        <v>5298</v>
      </c>
      <c r="B153" s="21">
        <f t="shared" si="19"/>
        <v>151</v>
      </c>
      <c r="C153" s="13" t="str">
        <f t="shared" si="21"/>
        <v>C251_疾患開始日</v>
      </c>
      <c r="D153" s="13" t="s">
        <v>4913</v>
      </c>
      <c r="E153" s="8"/>
      <c r="F153" s="7" t="s">
        <v>4348</v>
      </c>
      <c r="G153" s="7" t="s">
        <v>99</v>
      </c>
      <c r="H153" s="58"/>
      <c r="I153" s="23"/>
      <c r="J153" s="24"/>
      <c r="M153" s="4"/>
      <c r="N153" s="76"/>
      <c r="O153" s="76"/>
      <c r="P153" s="76" t="str">
        <f t="shared" si="9"/>
        <v>,shikkan145_start_date</v>
      </c>
      <c r="Q153" s="76" t="str">
        <f t="shared" si="10"/>
        <v>DATE</v>
      </c>
      <c r="R153" s="76" t="str">
        <f t="shared" si="11"/>
        <v/>
      </c>
      <c r="S153" s="76" t="str">
        <f t="shared" si="12"/>
        <v/>
      </c>
      <c r="T153" s="76" t="str">
        <f t="shared" si="13"/>
        <v>-- C251_疾患開始日</v>
      </c>
      <c r="U153" s="4" t="str">
        <f t="shared" si="20"/>
        <v>,'shikkan145_start_date'</v>
      </c>
      <c r="V153" s="25" t="str">
        <f t="shared" si="8"/>
        <v>,'shikkan145_start_date' : 'C251_疾患開始日'</v>
      </c>
      <c r="X153" s="25">
        <v>1</v>
      </c>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milscm_2023_009.main_diagnosis_start_date.shikkan145_start_date IS 'C251_疾患開始日';</v>
      </c>
    </row>
    <row r="154" spans="1:45" s="25" customFormat="1">
      <c r="A154" s="4" t="s">
        <v>5299</v>
      </c>
      <c r="B154" s="21">
        <f t="shared" si="19"/>
        <v>152</v>
      </c>
      <c r="C154" s="13" t="str">
        <f t="shared" si="21"/>
        <v>C252_疾患開始日</v>
      </c>
      <c r="D154" s="13" t="s">
        <v>4914</v>
      </c>
      <c r="E154" s="8"/>
      <c r="F154" s="7" t="s">
        <v>4348</v>
      </c>
      <c r="G154" s="7" t="s">
        <v>25</v>
      </c>
      <c r="H154" s="58"/>
      <c r="I154" s="23"/>
      <c r="J154" s="24"/>
      <c r="M154" s="4"/>
      <c r="N154" s="76"/>
      <c r="O154" s="76"/>
      <c r="P154" s="76" t="str">
        <f t="shared" si="9"/>
        <v>,shikkan146_start_date</v>
      </c>
      <c r="Q154" s="76" t="str">
        <f t="shared" si="10"/>
        <v>DATE</v>
      </c>
      <c r="R154" s="76" t="str">
        <f t="shared" si="11"/>
        <v/>
      </c>
      <c r="S154" s="76" t="str">
        <f t="shared" si="12"/>
        <v/>
      </c>
      <c r="T154" s="76" t="str">
        <f t="shared" si="13"/>
        <v>-- C252_疾患開始日</v>
      </c>
      <c r="U154" s="4" t="str">
        <f t="shared" si="20"/>
        <v>,'shikkan146_start_date'</v>
      </c>
      <c r="V154" s="25" t="str">
        <f t="shared" si="8"/>
        <v>,'shikkan146_start_date' : 'C252_疾患開始日'</v>
      </c>
      <c r="X154" s="25">
        <v>1</v>
      </c>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milscm_2023_009.main_diagnosis_start_date.shikkan146_start_date IS 'C252_疾患開始日';</v>
      </c>
    </row>
    <row r="155" spans="1:45" s="25" customFormat="1">
      <c r="A155" s="4" t="s">
        <v>5300</v>
      </c>
      <c r="B155" s="21">
        <f t="shared" si="19"/>
        <v>153</v>
      </c>
      <c r="C155" s="13" t="str">
        <f t="shared" si="21"/>
        <v>C253_疾患開始日</v>
      </c>
      <c r="D155" s="13" t="s">
        <v>4915</v>
      </c>
      <c r="E155" s="8"/>
      <c r="F155" s="7" t="s">
        <v>4348</v>
      </c>
      <c r="G155" s="7" t="s">
        <v>25</v>
      </c>
      <c r="H155" s="58"/>
      <c r="I155" s="23"/>
      <c r="J155" s="24"/>
      <c r="M155" s="4"/>
      <c r="N155" s="76"/>
      <c r="O155" s="76"/>
      <c r="P155" s="76" t="str">
        <f t="shared" si="9"/>
        <v>,shikkan147_start_date</v>
      </c>
      <c r="Q155" s="76" t="str">
        <f t="shared" si="10"/>
        <v>DATE</v>
      </c>
      <c r="R155" s="76" t="str">
        <f t="shared" si="11"/>
        <v/>
      </c>
      <c r="S155" s="76" t="str">
        <f t="shared" si="12"/>
        <v/>
      </c>
      <c r="T155" s="76" t="str">
        <f t="shared" si="13"/>
        <v>-- C253_疾患開始日</v>
      </c>
      <c r="U155" s="4" t="str">
        <f t="shared" si="20"/>
        <v>,'shikkan147_start_date'</v>
      </c>
      <c r="V155" s="25" t="str">
        <f t="shared" si="8"/>
        <v>,'shikkan147_start_date' : 'C253_疾患開始日'</v>
      </c>
      <c r="X155" s="25">
        <v>1</v>
      </c>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milscm_2023_009.main_diagnosis_start_date.shikkan147_start_date IS 'C253_疾患開始日';</v>
      </c>
    </row>
    <row r="156" spans="1:45" s="25" customFormat="1">
      <c r="A156" s="4" t="s">
        <v>5301</v>
      </c>
      <c r="B156" s="21">
        <f t="shared" si="19"/>
        <v>154</v>
      </c>
      <c r="C156" s="13" t="str">
        <f t="shared" si="21"/>
        <v>C254_疾患開始日</v>
      </c>
      <c r="D156" s="13" t="s">
        <v>4916</v>
      </c>
      <c r="E156" s="8"/>
      <c r="F156" s="7" t="s">
        <v>4348</v>
      </c>
      <c r="G156" s="7" t="s">
        <v>25</v>
      </c>
      <c r="H156" s="58"/>
      <c r="I156" s="23"/>
      <c r="J156" s="24"/>
      <c r="M156" s="4"/>
      <c r="N156" s="76"/>
      <c r="O156" s="76"/>
      <c r="P156" s="76" t="str">
        <f t="shared" si="9"/>
        <v>,shikkan148_start_date</v>
      </c>
      <c r="Q156" s="76" t="str">
        <f t="shared" si="10"/>
        <v>DATE</v>
      </c>
      <c r="R156" s="76" t="str">
        <f t="shared" si="11"/>
        <v/>
      </c>
      <c r="S156" s="76" t="str">
        <f t="shared" si="12"/>
        <v/>
      </c>
      <c r="T156" s="76" t="str">
        <f t="shared" si="13"/>
        <v>-- C254_疾患開始日</v>
      </c>
      <c r="U156" s="4" t="str">
        <f t="shared" si="20"/>
        <v>,'shikkan148_start_date'</v>
      </c>
      <c r="V156" s="25" t="str">
        <f t="shared" si="8"/>
        <v>,'shikkan148_start_date' : 'C254_疾患開始日'</v>
      </c>
      <c r="X156" s="25">
        <v>1</v>
      </c>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milscm_2023_009.main_diagnosis_start_date.shikkan148_start_date IS 'C254_疾患開始日';</v>
      </c>
    </row>
    <row r="157" spans="1:45" s="25" customFormat="1">
      <c r="A157" s="4" t="s">
        <v>5302</v>
      </c>
      <c r="B157" s="21">
        <f t="shared" si="19"/>
        <v>155</v>
      </c>
      <c r="C157" s="13" t="str">
        <f t="shared" si="21"/>
        <v>C257_疾患開始日</v>
      </c>
      <c r="D157" s="13" t="s">
        <v>4917</v>
      </c>
      <c r="E157" s="8"/>
      <c r="F157" s="7" t="s">
        <v>4348</v>
      </c>
      <c r="G157" s="7" t="s">
        <v>25</v>
      </c>
      <c r="H157" s="58"/>
      <c r="I157" s="23"/>
      <c r="J157" s="24"/>
      <c r="M157" s="4"/>
      <c r="N157" s="76"/>
      <c r="O157" s="76"/>
      <c r="P157" s="76" t="str">
        <f t="shared" si="9"/>
        <v>,shikkan149_start_date</v>
      </c>
      <c r="Q157" s="76" t="str">
        <f t="shared" si="10"/>
        <v>DATE</v>
      </c>
      <c r="R157" s="76" t="str">
        <f t="shared" si="11"/>
        <v/>
      </c>
      <c r="S157" s="76" t="str">
        <f t="shared" si="12"/>
        <v/>
      </c>
      <c r="T157" s="76" t="str">
        <f t="shared" si="13"/>
        <v>-- C257_疾患開始日</v>
      </c>
      <c r="U157" s="4" t="str">
        <f t="shared" si="20"/>
        <v>,'shikkan149_start_date'</v>
      </c>
      <c r="V157" s="25" t="str">
        <f t="shared" si="8"/>
        <v>,'shikkan149_start_date' : 'C257_疾患開始日'</v>
      </c>
      <c r="X157" s="25">
        <v>1</v>
      </c>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milscm_2023_009.main_diagnosis_start_date.shikkan149_start_date IS 'C257_疾患開始日';</v>
      </c>
    </row>
    <row r="158" spans="1:45" s="25" customFormat="1">
      <c r="A158" s="4" t="s">
        <v>5303</v>
      </c>
      <c r="B158" s="21">
        <f t="shared" si="19"/>
        <v>156</v>
      </c>
      <c r="C158" s="13" t="str">
        <f t="shared" si="21"/>
        <v>C258_疾患開始日</v>
      </c>
      <c r="D158" s="13" t="s">
        <v>4918</v>
      </c>
      <c r="E158" s="8"/>
      <c r="F158" s="7" t="s">
        <v>4348</v>
      </c>
      <c r="G158" s="7" t="s">
        <v>25</v>
      </c>
      <c r="H158" s="58"/>
      <c r="I158" s="23"/>
      <c r="J158" s="24"/>
      <c r="M158" s="4"/>
      <c r="N158" s="76"/>
      <c r="O158" s="76"/>
      <c r="P158" s="76" t="str">
        <f t="shared" si="9"/>
        <v>,shikkan150_start_date</v>
      </c>
      <c r="Q158" s="76" t="str">
        <f t="shared" si="10"/>
        <v>DATE</v>
      </c>
      <c r="R158" s="76" t="str">
        <f t="shared" si="11"/>
        <v/>
      </c>
      <c r="S158" s="76" t="str">
        <f t="shared" si="12"/>
        <v/>
      </c>
      <c r="T158" s="76" t="str">
        <f t="shared" si="13"/>
        <v>-- C258_疾患開始日</v>
      </c>
      <c r="U158" s="4" t="str">
        <f t="shared" si="20"/>
        <v>,'shikkan150_start_date'</v>
      </c>
      <c r="V158" s="25" t="str">
        <f t="shared" si="8"/>
        <v>,'shikkan150_start_date' : 'C258_疾患開始日'</v>
      </c>
      <c r="X158" s="25">
        <v>1</v>
      </c>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milscm_2023_009.main_diagnosis_start_date.shikkan150_start_date IS 'C258_疾患開始日';</v>
      </c>
    </row>
    <row r="159" spans="1:45" s="25" customFormat="1">
      <c r="A159" s="4" t="s">
        <v>5304</v>
      </c>
      <c r="B159" s="21">
        <f t="shared" si="19"/>
        <v>157</v>
      </c>
      <c r="C159" s="13" t="str">
        <f t="shared" si="21"/>
        <v>C259_疾患開始日</v>
      </c>
      <c r="D159" s="13" t="s">
        <v>4919</v>
      </c>
      <c r="E159" s="8"/>
      <c r="F159" s="7" t="s">
        <v>4348</v>
      </c>
      <c r="G159" s="7" t="s">
        <v>25</v>
      </c>
      <c r="H159" s="58"/>
      <c r="I159" s="23"/>
      <c r="J159" s="24"/>
      <c r="M159" s="4"/>
      <c r="N159" s="76"/>
      <c r="O159" s="76"/>
      <c r="P159" s="76" t="str">
        <f t="shared" si="9"/>
        <v>,shikkan151_start_date</v>
      </c>
      <c r="Q159" s="76" t="str">
        <f t="shared" si="10"/>
        <v>DATE</v>
      </c>
      <c r="R159" s="76" t="str">
        <f t="shared" si="11"/>
        <v/>
      </c>
      <c r="S159" s="76" t="str">
        <f t="shared" si="12"/>
        <v/>
      </c>
      <c r="T159" s="76" t="str">
        <f t="shared" si="13"/>
        <v>-- C259_疾患開始日</v>
      </c>
      <c r="U159" s="4" t="str">
        <f t="shared" si="20"/>
        <v>,'shikkan151_start_date'</v>
      </c>
      <c r="V159" s="25" t="str">
        <f t="shared" si="8"/>
        <v>,'shikkan151_start_date' : 'C259_疾患開始日'</v>
      </c>
      <c r="X159" s="25">
        <v>1</v>
      </c>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milscm_2023_009.main_diagnosis_start_date.shikkan151_start_date IS 'C259_疾患開始日';</v>
      </c>
    </row>
    <row r="160" spans="1:45" s="25" customFormat="1">
      <c r="A160" s="4" t="s">
        <v>5305</v>
      </c>
      <c r="B160" s="21">
        <f t="shared" si="19"/>
        <v>158</v>
      </c>
      <c r="C160" s="13" t="str">
        <f t="shared" si="21"/>
        <v>C260_疾患開始日</v>
      </c>
      <c r="D160" s="13" t="s">
        <v>4920</v>
      </c>
      <c r="E160" s="8"/>
      <c r="F160" s="7" t="s">
        <v>4348</v>
      </c>
      <c r="G160" s="7" t="s">
        <v>25</v>
      </c>
      <c r="H160" s="58"/>
      <c r="I160" s="23"/>
      <c r="J160" s="24"/>
      <c r="M160" s="4"/>
      <c r="N160" s="76"/>
      <c r="O160" s="76"/>
      <c r="P160" s="76" t="str">
        <f t="shared" si="9"/>
        <v>,shikkan152_start_date</v>
      </c>
      <c r="Q160" s="76" t="str">
        <f t="shared" si="10"/>
        <v>DATE</v>
      </c>
      <c r="R160" s="76" t="str">
        <f t="shared" si="11"/>
        <v/>
      </c>
      <c r="S160" s="76" t="str">
        <f t="shared" si="12"/>
        <v/>
      </c>
      <c r="T160" s="76" t="str">
        <f t="shared" si="13"/>
        <v>-- C260_疾患開始日</v>
      </c>
      <c r="U160" s="4" t="str">
        <f t="shared" si="20"/>
        <v>,'shikkan152_start_date'</v>
      </c>
      <c r="V160" s="25" t="str">
        <f t="shared" si="8"/>
        <v>,'shikkan152_start_date' : 'C260_疾患開始日'</v>
      </c>
      <c r="X160" s="25">
        <v>1</v>
      </c>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milscm_2023_009.main_diagnosis_start_date.shikkan152_start_date IS 'C260_疾患開始日';</v>
      </c>
    </row>
    <row r="161" spans="1:45" s="25" customFormat="1">
      <c r="A161" s="4" t="s">
        <v>5306</v>
      </c>
      <c r="B161" s="21">
        <f t="shared" si="19"/>
        <v>159</v>
      </c>
      <c r="C161" s="13" t="str">
        <f t="shared" si="21"/>
        <v>C261_疾患開始日</v>
      </c>
      <c r="D161" s="13" t="s">
        <v>4921</v>
      </c>
      <c r="E161" s="8"/>
      <c r="F161" s="7" t="s">
        <v>4348</v>
      </c>
      <c r="G161" s="7" t="s">
        <v>25</v>
      </c>
      <c r="H161" s="58"/>
      <c r="I161" s="23"/>
      <c r="J161" s="24"/>
      <c r="M161" s="4"/>
      <c r="N161" s="76"/>
      <c r="O161" s="76"/>
      <c r="P161" s="76" t="str">
        <f t="shared" si="9"/>
        <v>,shikkan153_start_date</v>
      </c>
      <c r="Q161" s="76" t="str">
        <f t="shared" si="10"/>
        <v>DATE</v>
      </c>
      <c r="R161" s="76" t="str">
        <f t="shared" si="11"/>
        <v/>
      </c>
      <c r="S161" s="76" t="str">
        <f t="shared" si="12"/>
        <v/>
      </c>
      <c r="T161" s="76" t="str">
        <f t="shared" si="13"/>
        <v>-- C261_疾患開始日</v>
      </c>
      <c r="U161" s="4" t="str">
        <f t="shared" si="20"/>
        <v>,'shikkan153_start_date'</v>
      </c>
      <c r="V161" s="25" t="str">
        <f t="shared" si="8"/>
        <v>,'shikkan153_start_date' : 'C261_疾患開始日'</v>
      </c>
      <c r="X161" s="25">
        <v>1</v>
      </c>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milscm_2023_009.main_diagnosis_start_date.shikkan153_start_date IS 'C261_疾患開始日';</v>
      </c>
    </row>
    <row r="162" spans="1:45" s="25" customFormat="1">
      <c r="A162" s="4" t="s">
        <v>5307</v>
      </c>
      <c r="B162" s="21">
        <f t="shared" si="19"/>
        <v>160</v>
      </c>
      <c r="C162" s="13" t="str">
        <f t="shared" si="21"/>
        <v>C268_疾患開始日</v>
      </c>
      <c r="D162" s="13" t="s">
        <v>4922</v>
      </c>
      <c r="E162" s="8"/>
      <c r="F162" s="7" t="s">
        <v>4348</v>
      </c>
      <c r="G162" s="7" t="s">
        <v>25</v>
      </c>
      <c r="H162" s="58"/>
      <c r="I162" s="23"/>
      <c r="J162" s="24"/>
      <c r="M162" s="4"/>
      <c r="N162" s="76"/>
      <c r="O162" s="76"/>
      <c r="P162" s="76" t="str">
        <f t="shared" si="9"/>
        <v>,shikkan154_start_date</v>
      </c>
      <c r="Q162" s="76" t="str">
        <f t="shared" si="10"/>
        <v>DATE</v>
      </c>
      <c r="R162" s="76" t="str">
        <f t="shared" si="11"/>
        <v/>
      </c>
      <c r="S162" s="76" t="str">
        <f t="shared" si="12"/>
        <v/>
      </c>
      <c r="T162" s="76" t="str">
        <f t="shared" si="13"/>
        <v>-- C268_疾患開始日</v>
      </c>
      <c r="U162" s="4" t="str">
        <f t="shared" si="20"/>
        <v>,'shikkan154_start_date'</v>
      </c>
      <c r="V162" s="25" t="str">
        <f t="shared" si="8"/>
        <v>,'shikkan154_start_date' : 'C268_疾患開始日'</v>
      </c>
      <c r="X162" s="25">
        <v>1</v>
      </c>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milscm_2023_009.main_diagnosis_start_date.shikkan154_start_date IS 'C268_疾患開始日';</v>
      </c>
    </row>
    <row r="163" spans="1:45" s="25" customFormat="1">
      <c r="A163" s="4" t="s">
        <v>5308</v>
      </c>
      <c r="B163" s="21">
        <f t="shared" si="19"/>
        <v>161</v>
      </c>
      <c r="C163" s="13" t="str">
        <f t="shared" si="21"/>
        <v>C269_疾患開始日</v>
      </c>
      <c r="D163" s="13" t="s">
        <v>4923</v>
      </c>
      <c r="E163" s="8"/>
      <c r="F163" s="7" t="s">
        <v>4348</v>
      </c>
      <c r="G163" s="7" t="s">
        <v>25</v>
      </c>
      <c r="H163" s="58"/>
      <c r="I163" s="23"/>
      <c r="J163" s="24"/>
      <c r="M163" s="4"/>
      <c r="N163" s="76"/>
      <c r="O163" s="76"/>
      <c r="P163" s="76" t="str">
        <f t="shared" si="9"/>
        <v>,shikkan155_start_date</v>
      </c>
      <c r="Q163" s="76" t="str">
        <f t="shared" si="10"/>
        <v>DATE</v>
      </c>
      <c r="R163" s="76" t="str">
        <f t="shared" si="11"/>
        <v/>
      </c>
      <c r="S163" s="76" t="str">
        <f t="shared" si="12"/>
        <v/>
      </c>
      <c r="T163" s="76" t="str">
        <f t="shared" si="13"/>
        <v>-- C269_疾患開始日</v>
      </c>
      <c r="U163" s="4" t="str">
        <f t="shared" si="20"/>
        <v>,'shikkan155_start_date'</v>
      </c>
      <c r="V163" s="25" t="str">
        <f t="shared" si="8"/>
        <v>,'shikkan155_start_date' : 'C269_疾患開始日'</v>
      </c>
      <c r="X163" s="25">
        <v>1</v>
      </c>
      <c r="AA163" s="4"/>
      <c r="AB163" s="4"/>
      <c r="AC163" s="4"/>
      <c r="AD163" s="4"/>
      <c r="AE163" s="4"/>
      <c r="AF163" s="4"/>
      <c r="AG163" s="4"/>
      <c r="AH163" s="4"/>
      <c r="AI163" s="4"/>
      <c r="AJ163" s="76" t="str">
        <f>IF(E163="○",IF(COUNTA(E$13:E163)=1,"",",")&amp;D163,"")</f>
        <v/>
      </c>
      <c r="AK163" s="4"/>
      <c r="AL163" s="4"/>
      <c r="AM163" s="4"/>
      <c r="AN163" s="4"/>
      <c r="AO163" s="4"/>
      <c r="AP163" s="4"/>
      <c r="AQ163" s="4"/>
      <c r="AR163" s="4"/>
      <c r="AS163" s="76" t="str">
        <f>"COMMENT ON COLUMN "&amp;エンティティ一覧!$O$2&amp;"."&amp;D$8&amp;"."&amp;D163&amp;" IS '"&amp;C163&amp;"';"</f>
        <v>COMMENT ON COLUMN milscm_2023_009.main_diagnosis_start_date.shikkan155_start_date IS 'C269_疾患開始日';</v>
      </c>
    </row>
    <row r="164" spans="1:45" s="25" customFormat="1">
      <c r="A164" s="4" t="s">
        <v>5309</v>
      </c>
      <c r="B164" s="21">
        <f t="shared" si="19"/>
        <v>162</v>
      </c>
      <c r="C164" s="13" t="str">
        <f t="shared" si="21"/>
        <v>C300_疾患開始日</v>
      </c>
      <c r="D164" s="13" t="s">
        <v>4924</v>
      </c>
      <c r="E164" s="8"/>
      <c r="F164" s="7" t="s">
        <v>4348</v>
      </c>
      <c r="G164" s="7" t="s">
        <v>25</v>
      </c>
      <c r="H164" s="58"/>
      <c r="I164" s="23"/>
      <c r="J164" s="24"/>
      <c r="M164" s="4"/>
      <c r="N164" s="76"/>
      <c r="O164" s="76"/>
      <c r="P164" s="76" t="str">
        <f t="shared" si="9"/>
        <v>,shikkan156_start_date</v>
      </c>
      <c r="Q164" s="76" t="str">
        <f t="shared" si="10"/>
        <v>DATE</v>
      </c>
      <c r="R164" s="76" t="str">
        <f t="shared" si="11"/>
        <v/>
      </c>
      <c r="S164" s="76" t="str">
        <f t="shared" si="12"/>
        <v/>
      </c>
      <c r="T164" s="76" t="str">
        <f t="shared" si="13"/>
        <v>-- C300_疾患開始日</v>
      </c>
      <c r="U164" s="4" t="str">
        <f t="shared" si="20"/>
        <v>,'shikkan156_start_date'</v>
      </c>
      <c r="V164" s="25" t="str">
        <f t="shared" si="8"/>
        <v>,'shikkan156_start_date' : 'C300_疾患開始日'</v>
      </c>
      <c r="X164" s="25">
        <v>1</v>
      </c>
      <c r="AA164" s="4"/>
      <c r="AB164" s="4"/>
      <c r="AC164" s="4"/>
      <c r="AD164" s="4"/>
      <c r="AE164" s="4"/>
      <c r="AF164" s="4"/>
      <c r="AG164" s="4"/>
      <c r="AH164" s="4"/>
      <c r="AI164" s="4"/>
      <c r="AJ164" s="76" t="str">
        <f>IF(E164="○",IF(COUNTA(E$13:E164)=1,"",",")&amp;D164,"")</f>
        <v/>
      </c>
      <c r="AK164" s="4"/>
      <c r="AL164" s="4"/>
      <c r="AM164" s="4"/>
      <c r="AN164" s="4"/>
      <c r="AO164" s="4"/>
      <c r="AP164" s="4"/>
      <c r="AQ164" s="4"/>
      <c r="AR164" s="4"/>
      <c r="AS164" s="76" t="str">
        <f>"COMMENT ON COLUMN "&amp;エンティティ一覧!$O$2&amp;"."&amp;D$8&amp;"."&amp;D164&amp;" IS '"&amp;C164&amp;"';"</f>
        <v>COMMENT ON COLUMN milscm_2023_009.main_diagnosis_start_date.shikkan156_start_date IS 'C300_疾患開始日';</v>
      </c>
    </row>
    <row r="165" spans="1:45" s="25" customFormat="1">
      <c r="A165" s="4" t="s">
        <v>5310</v>
      </c>
      <c r="B165" s="21">
        <f t="shared" si="19"/>
        <v>163</v>
      </c>
      <c r="C165" s="13" t="str">
        <f t="shared" si="21"/>
        <v>C301_疾患開始日</v>
      </c>
      <c r="D165" s="13" t="s">
        <v>4925</v>
      </c>
      <c r="E165" s="8"/>
      <c r="F165" s="7" t="s">
        <v>4348</v>
      </c>
      <c r="G165" s="7" t="s">
        <v>25</v>
      </c>
      <c r="H165" s="58"/>
      <c r="I165" s="23"/>
      <c r="J165" s="24"/>
      <c r="M165" s="4"/>
      <c r="N165" s="76"/>
      <c r="O165" s="76"/>
      <c r="P165" s="76" t="str">
        <f t="shared" si="9"/>
        <v>,shikkan157_start_date</v>
      </c>
      <c r="Q165" s="76" t="str">
        <f t="shared" si="10"/>
        <v>DATE</v>
      </c>
      <c r="R165" s="76" t="str">
        <f t="shared" si="11"/>
        <v/>
      </c>
      <c r="S165" s="76" t="str">
        <f t="shared" si="12"/>
        <v/>
      </c>
      <c r="T165" s="76" t="str">
        <f t="shared" si="13"/>
        <v>-- C301_疾患開始日</v>
      </c>
      <c r="U165" s="4" t="str">
        <f t="shared" si="20"/>
        <v>,'shikkan157_start_date'</v>
      </c>
      <c r="V165" s="25" t="str">
        <f t="shared" si="8"/>
        <v>,'shikkan157_start_date' : 'C301_疾患開始日'</v>
      </c>
      <c r="X165" s="25">
        <v>1</v>
      </c>
      <c r="AA165" s="4"/>
      <c r="AB165" s="4"/>
      <c r="AC165" s="4"/>
      <c r="AD165" s="4"/>
      <c r="AE165" s="4"/>
      <c r="AF165" s="4"/>
      <c r="AG165" s="4"/>
      <c r="AH165" s="4"/>
      <c r="AI165" s="4"/>
      <c r="AJ165" s="76" t="str">
        <f>IF(E165="○",IF(COUNTA(E$13:E165)=1,"",",")&amp;D165,"")</f>
        <v/>
      </c>
      <c r="AK165" s="4"/>
      <c r="AL165" s="4"/>
      <c r="AM165" s="4"/>
      <c r="AN165" s="4"/>
      <c r="AO165" s="4"/>
      <c r="AP165" s="4"/>
      <c r="AQ165" s="4"/>
      <c r="AR165" s="4"/>
      <c r="AS165" s="76" t="str">
        <f>"COMMENT ON COLUMN "&amp;エンティティ一覧!$O$2&amp;"."&amp;D$8&amp;"."&amp;D165&amp;" IS '"&amp;C165&amp;"';"</f>
        <v>COMMENT ON COLUMN milscm_2023_009.main_diagnosis_start_date.shikkan157_start_date IS 'C301_疾患開始日';</v>
      </c>
    </row>
    <row r="166" spans="1:45" s="25" customFormat="1">
      <c r="A166" s="4" t="s">
        <v>5311</v>
      </c>
      <c r="B166" s="21">
        <f t="shared" si="19"/>
        <v>164</v>
      </c>
      <c r="C166" s="13" t="str">
        <f t="shared" si="21"/>
        <v>C310_疾患開始日</v>
      </c>
      <c r="D166" s="13" t="s">
        <v>4926</v>
      </c>
      <c r="E166" s="8"/>
      <c r="F166" s="7" t="s">
        <v>4348</v>
      </c>
      <c r="G166" s="7" t="s">
        <v>25</v>
      </c>
      <c r="H166" s="58"/>
      <c r="I166" s="23"/>
      <c r="J166" s="24"/>
      <c r="M166" s="4"/>
      <c r="N166" s="76"/>
      <c r="O166" s="76"/>
      <c r="P166" s="76" t="str">
        <f t="shared" si="9"/>
        <v>,shikkan158_start_date</v>
      </c>
      <c r="Q166" s="76" t="str">
        <f t="shared" si="10"/>
        <v>DATE</v>
      </c>
      <c r="R166" s="76" t="str">
        <f t="shared" si="11"/>
        <v/>
      </c>
      <c r="S166" s="76" t="str">
        <f t="shared" si="12"/>
        <v/>
      </c>
      <c r="T166" s="76" t="str">
        <f t="shared" si="13"/>
        <v>-- C310_疾患開始日</v>
      </c>
      <c r="U166" s="4" t="str">
        <f t="shared" si="20"/>
        <v>,'shikkan158_start_date'</v>
      </c>
      <c r="V166" s="25" t="str">
        <f t="shared" si="8"/>
        <v>,'shikkan158_start_date' : 'C310_疾患開始日'</v>
      </c>
      <c r="X166" s="25">
        <v>1</v>
      </c>
      <c r="AA166" s="4"/>
      <c r="AB166" s="4"/>
      <c r="AC166" s="4"/>
      <c r="AD166" s="4"/>
      <c r="AE166" s="4"/>
      <c r="AF166" s="4"/>
      <c r="AG166" s="4"/>
      <c r="AH166" s="4"/>
      <c r="AI166" s="4"/>
      <c r="AJ166" s="76" t="str">
        <f>IF(E166="○",IF(COUNTA(E$13:E166)=1,"",",")&amp;D166,"")</f>
        <v/>
      </c>
      <c r="AK166" s="4"/>
      <c r="AL166" s="4"/>
      <c r="AM166" s="4"/>
      <c r="AN166" s="4"/>
      <c r="AO166" s="4"/>
      <c r="AP166" s="4"/>
      <c r="AQ166" s="4"/>
      <c r="AR166" s="4"/>
      <c r="AS166" s="76" t="str">
        <f>"COMMENT ON COLUMN "&amp;エンティティ一覧!$O$2&amp;"."&amp;D$8&amp;"."&amp;D166&amp;" IS '"&amp;C166&amp;"';"</f>
        <v>COMMENT ON COLUMN milscm_2023_009.main_diagnosis_start_date.shikkan158_start_date IS 'C310_疾患開始日';</v>
      </c>
    </row>
    <row r="167" spans="1:45" s="25" customFormat="1">
      <c r="A167" s="4" t="s">
        <v>5312</v>
      </c>
      <c r="B167" s="21">
        <f t="shared" si="19"/>
        <v>165</v>
      </c>
      <c r="C167" s="13" t="str">
        <f t="shared" si="21"/>
        <v>C311_疾患開始日</v>
      </c>
      <c r="D167" s="13" t="s">
        <v>4927</v>
      </c>
      <c r="E167" s="8"/>
      <c r="F167" s="7" t="s">
        <v>4348</v>
      </c>
      <c r="G167" s="7" t="s">
        <v>25</v>
      </c>
      <c r="H167" s="58"/>
      <c r="I167" s="23"/>
      <c r="J167" s="24"/>
      <c r="M167" s="4"/>
      <c r="N167" s="76"/>
      <c r="O167" s="76"/>
      <c r="P167" s="76" t="str">
        <f t="shared" si="9"/>
        <v>,shikkan159_start_date</v>
      </c>
      <c r="Q167" s="76" t="str">
        <f t="shared" si="10"/>
        <v>DATE</v>
      </c>
      <c r="R167" s="76" t="str">
        <f t="shared" si="11"/>
        <v/>
      </c>
      <c r="S167" s="76" t="str">
        <f t="shared" si="12"/>
        <v/>
      </c>
      <c r="T167" s="76" t="str">
        <f t="shared" si="13"/>
        <v>-- C311_疾患開始日</v>
      </c>
      <c r="U167" s="4" t="str">
        <f t="shared" si="20"/>
        <v>,'shikkan159_start_date'</v>
      </c>
      <c r="V167" s="25" t="str">
        <f t="shared" si="8"/>
        <v>,'shikkan159_start_date' : 'C311_疾患開始日'</v>
      </c>
      <c r="X167" s="25">
        <v>1</v>
      </c>
      <c r="AA167" s="4"/>
      <c r="AB167" s="4"/>
      <c r="AC167" s="4"/>
      <c r="AD167" s="4"/>
      <c r="AE167" s="4"/>
      <c r="AF167" s="4"/>
      <c r="AG167" s="4"/>
      <c r="AH167" s="4"/>
      <c r="AI167" s="4"/>
      <c r="AJ167" s="76" t="str">
        <f>IF(E167="○",IF(COUNTA(E$13:E167)=1,"",",")&amp;D167,"")</f>
        <v/>
      </c>
      <c r="AK167" s="4"/>
      <c r="AL167" s="4"/>
      <c r="AM167" s="4"/>
      <c r="AN167" s="4"/>
      <c r="AO167" s="4"/>
      <c r="AP167" s="4"/>
      <c r="AQ167" s="4"/>
      <c r="AR167" s="4"/>
      <c r="AS167" s="76" t="str">
        <f>"COMMENT ON COLUMN "&amp;エンティティ一覧!$O$2&amp;"."&amp;D$8&amp;"."&amp;D167&amp;" IS '"&amp;C167&amp;"';"</f>
        <v>COMMENT ON COLUMN milscm_2023_009.main_diagnosis_start_date.shikkan159_start_date IS 'C311_疾患開始日';</v>
      </c>
    </row>
    <row r="168" spans="1:45" s="25" customFormat="1">
      <c r="A168" s="4" t="s">
        <v>5313</v>
      </c>
      <c r="B168" s="21">
        <f t="shared" si="19"/>
        <v>166</v>
      </c>
      <c r="C168" s="13" t="str">
        <f t="shared" si="21"/>
        <v>C312_疾患開始日</v>
      </c>
      <c r="D168" s="13" t="s">
        <v>4928</v>
      </c>
      <c r="E168" s="8"/>
      <c r="F168" s="7" t="s">
        <v>4348</v>
      </c>
      <c r="G168" s="7" t="s">
        <v>25</v>
      </c>
      <c r="H168" s="58"/>
      <c r="I168" s="23"/>
      <c r="J168" s="24"/>
      <c r="M168" s="4"/>
      <c r="N168" s="76"/>
      <c r="O168" s="76"/>
      <c r="P168" s="76" t="str">
        <f t="shared" si="9"/>
        <v>,shikkan160_start_date</v>
      </c>
      <c r="Q168" s="76" t="str">
        <f t="shared" si="10"/>
        <v>DATE</v>
      </c>
      <c r="R168" s="76" t="str">
        <f t="shared" si="11"/>
        <v/>
      </c>
      <c r="S168" s="76" t="str">
        <f t="shared" si="12"/>
        <v/>
      </c>
      <c r="T168" s="76" t="str">
        <f t="shared" si="13"/>
        <v>-- C312_疾患開始日</v>
      </c>
      <c r="U168" s="4" t="str">
        <f t="shared" si="20"/>
        <v>,'shikkan160_start_date'</v>
      </c>
      <c r="V168" s="25" t="str">
        <f t="shared" si="8"/>
        <v>,'shikkan160_start_date' : 'C312_疾患開始日'</v>
      </c>
      <c r="X168" s="25">
        <v>1</v>
      </c>
      <c r="AA168" s="4"/>
      <c r="AB168" s="4"/>
      <c r="AC168" s="4"/>
      <c r="AD168" s="4"/>
      <c r="AE168" s="4"/>
      <c r="AF168" s="4"/>
      <c r="AG168" s="4"/>
      <c r="AH168" s="4"/>
      <c r="AI168" s="4"/>
      <c r="AJ168" s="76" t="str">
        <f>IF(E168="○",IF(COUNTA(E$13:E168)=1,"",",")&amp;D168,"")</f>
        <v/>
      </c>
      <c r="AK168" s="4"/>
      <c r="AL168" s="4"/>
      <c r="AM168" s="4"/>
      <c r="AN168" s="4"/>
      <c r="AO168" s="4"/>
      <c r="AP168" s="4"/>
      <c r="AQ168" s="4"/>
      <c r="AR168" s="4"/>
      <c r="AS168" s="76" t="str">
        <f>"COMMENT ON COLUMN "&amp;エンティティ一覧!$O$2&amp;"."&amp;D$8&amp;"."&amp;D168&amp;" IS '"&amp;C168&amp;"';"</f>
        <v>COMMENT ON COLUMN milscm_2023_009.main_diagnosis_start_date.shikkan160_start_date IS 'C312_疾患開始日';</v>
      </c>
    </row>
    <row r="169" spans="1:45" s="25" customFormat="1">
      <c r="A169" s="4" t="s">
        <v>5314</v>
      </c>
      <c r="B169" s="21">
        <f t="shared" si="19"/>
        <v>167</v>
      </c>
      <c r="C169" s="13" t="str">
        <f t="shared" si="21"/>
        <v>C313_疾患開始日</v>
      </c>
      <c r="D169" s="13" t="s">
        <v>4929</v>
      </c>
      <c r="E169" s="8"/>
      <c r="F169" s="7" t="s">
        <v>4348</v>
      </c>
      <c r="G169" s="7" t="s">
        <v>99</v>
      </c>
      <c r="H169" s="58"/>
      <c r="I169" s="23"/>
      <c r="J169" s="24"/>
      <c r="M169" s="4"/>
      <c r="N169" s="76"/>
      <c r="O169" s="76"/>
      <c r="P169" s="76" t="str">
        <f t="shared" si="9"/>
        <v>,shikkan161_start_date</v>
      </c>
      <c r="Q169" s="76" t="str">
        <f t="shared" si="10"/>
        <v>DATE</v>
      </c>
      <c r="R169" s="76" t="str">
        <f t="shared" si="11"/>
        <v/>
      </c>
      <c r="S169" s="76" t="str">
        <f t="shared" si="12"/>
        <v/>
      </c>
      <c r="T169" s="76" t="str">
        <f t="shared" si="13"/>
        <v>-- C313_疾患開始日</v>
      </c>
      <c r="U169" s="4" t="str">
        <f t="shared" si="20"/>
        <v>,'shikkan161_start_date'</v>
      </c>
      <c r="V169" s="25" t="str">
        <f t="shared" si="8"/>
        <v>,'shikkan161_start_date' : 'C313_疾患開始日'</v>
      </c>
      <c r="X169" s="25">
        <v>1</v>
      </c>
      <c r="AA169" s="4"/>
      <c r="AB169" s="4"/>
      <c r="AC169" s="4"/>
      <c r="AD169" s="4"/>
      <c r="AE169" s="4"/>
      <c r="AF169" s="4"/>
      <c r="AG169" s="4"/>
      <c r="AH169" s="4"/>
      <c r="AI169" s="4"/>
      <c r="AJ169" s="76" t="str">
        <f>IF(E169="○",IF(COUNTA(E$13:E169)=1,"",",")&amp;D169,"")</f>
        <v/>
      </c>
      <c r="AK169" s="4"/>
      <c r="AL169" s="4"/>
      <c r="AM169" s="4"/>
      <c r="AN169" s="4"/>
      <c r="AO169" s="4"/>
      <c r="AP169" s="4"/>
      <c r="AQ169" s="4"/>
      <c r="AR169" s="4"/>
      <c r="AS169" s="76" t="str">
        <f>"COMMENT ON COLUMN "&amp;エンティティ一覧!$O$2&amp;"."&amp;D$8&amp;"."&amp;D169&amp;" IS '"&amp;C169&amp;"';"</f>
        <v>COMMENT ON COLUMN milscm_2023_009.main_diagnosis_start_date.shikkan161_start_date IS 'C313_疾患開始日';</v>
      </c>
    </row>
    <row r="170" spans="1:45" s="25" customFormat="1">
      <c r="A170" s="4" t="s">
        <v>5315</v>
      </c>
      <c r="B170" s="21">
        <f t="shared" si="19"/>
        <v>168</v>
      </c>
      <c r="C170" s="13" t="str">
        <f t="shared" si="21"/>
        <v>C318_疾患開始日</v>
      </c>
      <c r="D170" s="13" t="s">
        <v>4930</v>
      </c>
      <c r="E170" s="8"/>
      <c r="F170" s="7" t="s">
        <v>4348</v>
      </c>
      <c r="G170" s="7" t="s">
        <v>25</v>
      </c>
      <c r="H170" s="58"/>
      <c r="I170" s="23"/>
      <c r="J170" s="24"/>
      <c r="M170" s="4"/>
      <c r="N170" s="76"/>
      <c r="O170" s="76"/>
      <c r="P170" s="76" t="str">
        <f t="shared" si="9"/>
        <v>,shikkan162_start_date</v>
      </c>
      <c r="Q170" s="76" t="str">
        <f t="shared" si="10"/>
        <v>DATE</v>
      </c>
      <c r="R170" s="76" t="str">
        <f t="shared" si="11"/>
        <v/>
      </c>
      <c r="S170" s="76" t="str">
        <f t="shared" si="12"/>
        <v/>
      </c>
      <c r="T170" s="76" t="str">
        <f t="shared" si="13"/>
        <v>-- C318_疾患開始日</v>
      </c>
      <c r="U170" s="4" t="str">
        <f t="shared" si="20"/>
        <v>,'shikkan162_start_date'</v>
      </c>
      <c r="V170" s="25" t="str">
        <f t="shared" si="8"/>
        <v>,'shikkan162_start_date' : 'C318_疾患開始日'</v>
      </c>
      <c r="X170" s="25">
        <v>1</v>
      </c>
      <c r="AA170" s="4"/>
      <c r="AB170" s="4"/>
      <c r="AC170" s="4"/>
      <c r="AD170" s="4"/>
      <c r="AE170" s="4"/>
      <c r="AF170" s="4"/>
      <c r="AG170" s="4"/>
      <c r="AH170" s="4"/>
      <c r="AI170" s="4"/>
      <c r="AJ170" s="76" t="str">
        <f>IF(E170="○",IF(COUNTA(E$13:E170)=1,"",",")&amp;D170,"")</f>
        <v/>
      </c>
      <c r="AK170" s="4"/>
      <c r="AL170" s="4"/>
      <c r="AM170" s="4"/>
      <c r="AN170" s="4"/>
      <c r="AO170" s="4"/>
      <c r="AP170" s="4"/>
      <c r="AQ170" s="4"/>
      <c r="AR170" s="4"/>
      <c r="AS170" s="76" t="str">
        <f>"COMMENT ON COLUMN "&amp;エンティティ一覧!$O$2&amp;"."&amp;D$8&amp;"."&amp;D170&amp;" IS '"&amp;C170&amp;"';"</f>
        <v>COMMENT ON COLUMN milscm_2023_009.main_diagnosis_start_date.shikkan162_start_date IS 'C318_疾患開始日';</v>
      </c>
    </row>
    <row r="171" spans="1:45" s="25" customFormat="1">
      <c r="A171" s="4" t="s">
        <v>5316</v>
      </c>
      <c r="B171" s="21">
        <f t="shared" si="19"/>
        <v>169</v>
      </c>
      <c r="C171" s="13" t="str">
        <f t="shared" si="21"/>
        <v>C319_疾患開始日</v>
      </c>
      <c r="D171" s="13" t="s">
        <v>4931</v>
      </c>
      <c r="E171" s="8"/>
      <c r="F171" s="7" t="s">
        <v>4348</v>
      </c>
      <c r="G171" s="7" t="s">
        <v>25</v>
      </c>
      <c r="H171" s="58"/>
      <c r="I171" s="23"/>
      <c r="J171" s="24"/>
      <c r="M171" s="4"/>
      <c r="N171" s="76"/>
      <c r="O171" s="76"/>
      <c r="P171" s="76" t="str">
        <f t="shared" si="9"/>
        <v>,shikkan163_start_date</v>
      </c>
      <c r="Q171" s="76" t="str">
        <f t="shared" si="10"/>
        <v>DATE</v>
      </c>
      <c r="R171" s="76" t="str">
        <f t="shared" si="11"/>
        <v/>
      </c>
      <c r="S171" s="76" t="str">
        <f t="shared" si="12"/>
        <v/>
      </c>
      <c r="T171" s="76" t="str">
        <f t="shared" si="13"/>
        <v>-- C319_疾患開始日</v>
      </c>
      <c r="U171" s="4" t="str">
        <f t="shared" si="20"/>
        <v>,'shikkan163_start_date'</v>
      </c>
      <c r="V171" s="25" t="str">
        <f t="shared" si="8"/>
        <v>,'shikkan163_start_date' : 'C319_疾患開始日'</v>
      </c>
      <c r="X171" s="25">
        <v>1</v>
      </c>
      <c r="AA171" s="4"/>
      <c r="AB171" s="4"/>
      <c r="AC171" s="4"/>
      <c r="AD171" s="4"/>
      <c r="AE171" s="4"/>
      <c r="AF171" s="4"/>
      <c r="AG171" s="4"/>
      <c r="AH171" s="4"/>
      <c r="AI171" s="4"/>
      <c r="AJ171" s="76" t="str">
        <f>IF(E171="○",IF(COUNTA(E$13:E171)=1,"",",")&amp;D171,"")</f>
        <v/>
      </c>
      <c r="AK171" s="4"/>
      <c r="AL171" s="4"/>
      <c r="AM171" s="4"/>
      <c r="AN171" s="4"/>
      <c r="AO171" s="4"/>
      <c r="AP171" s="4"/>
      <c r="AQ171" s="4"/>
      <c r="AR171" s="4"/>
      <c r="AS171" s="76" t="str">
        <f>"COMMENT ON COLUMN "&amp;エンティティ一覧!$O$2&amp;"."&amp;D$8&amp;"."&amp;D171&amp;" IS '"&amp;C171&amp;"';"</f>
        <v>COMMENT ON COLUMN milscm_2023_009.main_diagnosis_start_date.shikkan163_start_date IS 'C319_疾患開始日';</v>
      </c>
    </row>
    <row r="172" spans="1:45" s="25" customFormat="1">
      <c r="A172" s="4" t="s">
        <v>5317</v>
      </c>
      <c r="B172" s="21">
        <f t="shared" si="19"/>
        <v>170</v>
      </c>
      <c r="C172" s="13" t="str">
        <f t="shared" si="21"/>
        <v>C320_疾患開始日</v>
      </c>
      <c r="D172" s="13" t="s">
        <v>4932</v>
      </c>
      <c r="E172" s="8"/>
      <c r="F172" s="7" t="s">
        <v>4348</v>
      </c>
      <c r="G172" s="7" t="s">
        <v>25</v>
      </c>
      <c r="H172" s="58"/>
      <c r="I172" s="23"/>
      <c r="J172" s="24"/>
      <c r="M172" s="4"/>
      <c r="N172" s="76"/>
      <c r="O172" s="76"/>
      <c r="P172" s="76" t="str">
        <f t="shared" si="9"/>
        <v>,shikkan164_start_date</v>
      </c>
      <c r="Q172" s="76" t="str">
        <f t="shared" si="10"/>
        <v>DATE</v>
      </c>
      <c r="R172" s="76" t="str">
        <f t="shared" si="11"/>
        <v/>
      </c>
      <c r="S172" s="76" t="str">
        <f t="shared" si="12"/>
        <v/>
      </c>
      <c r="T172" s="76" t="str">
        <f t="shared" si="13"/>
        <v>-- C320_疾患開始日</v>
      </c>
      <c r="U172" s="4" t="str">
        <f t="shared" si="20"/>
        <v>,'shikkan164_start_date'</v>
      </c>
      <c r="V172" s="25" t="str">
        <f t="shared" si="8"/>
        <v>,'shikkan164_start_date' : 'C320_疾患開始日'</v>
      </c>
      <c r="X172" s="25">
        <v>1</v>
      </c>
      <c r="AA172" s="4"/>
      <c r="AB172" s="4"/>
      <c r="AC172" s="4"/>
      <c r="AD172" s="4"/>
      <c r="AE172" s="4"/>
      <c r="AF172" s="4"/>
      <c r="AG172" s="4"/>
      <c r="AH172" s="4"/>
      <c r="AI172" s="4"/>
      <c r="AJ172" s="76" t="str">
        <f>IF(E172="○",IF(COUNTA(E$13:E172)=1,"",",")&amp;D172,"")</f>
        <v/>
      </c>
      <c r="AK172" s="4"/>
      <c r="AL172" s="4"/>
      <c r="AM172" s="4"/>
      <c r="AN172" s="4"/>
      <c r="AO172" s="4"/>
      <c r="AP172" s="4"/>
      <c r="AQ172" s="4"/>
      <c r="AR172" s="4"/>
      <c r="AS172" s="76" t="str">
        <f>"COMMENT ON COLUMN "&amp;エンティティ一覧!$O$2&amp;"."&amp;D$8&amp;"."&amp;D172&amp;" IS '"&amp;C172&amp;"';"</f>
        <v>COMMENT ON COLUMN milscm_2023_009.main_diagnosis_start_date.shikkan164_start_date IS 'C320_疾患開始日';</v>
      </c>
    </row>
    <row r="173" spans="1:45" s="25" customFormat="1">
      <c r="A173" s="4" t="s">
        <v>5318</v>
      </c>
      <c r="B173" s="21">
        <f t="shared" si="19"/>
        <v>171</v>
      </c>
      <c r="C173" s="13" t="str">
        <f t="shared" si="21"/>
        <v>C321_疾患開始日</v>
      </c>
      <c r="D173" s="13" t="s">
        <v>4933</v>
      </c>
      <c r="E173" s="8"/>
      <c r="F173" s="7" t="s">
        <v>4348</v>
      </c>
      <c r="G173" s="7" t="s">
        <v>25</v>
      </c>
      <c r="H173" s="58"/>
      <c r="I173" s="23"/>
      <c r="J173" s="24"/>
      <c r="M173" s="4"/>
      <c r="N173" s="76"/>
      <c r="O173" s="76"/>
      <c r="P173" s="76" t="str">
        <f t="shared" si="9"/>
        <v>,shikkan165_start_date</v>
      </c>
      <c r="Q173" s="76" t="str">
        <f t="shared" si="10"/>
        <v>DATE</v>
      </c>
      <c r="R173" s="76" t="str">
        <f t="shared" si="11"/>
        <v/>
      </c>
      <c r="S173" s="76" t="str">
        <f t="shared" si="12"/>
        <v/>
      </c>
      <c r="T173" s="76" t="str">
        <f t="shared" si="13"/>
        <v>-- C321_疾患開始日</v>
      </c>
      <c r="U173" s="4" t="str">
        <f t="shared" si="20"/>
        <v>,'shikkan165_start_date'</v>
      </c>
      <c r="V173" s="25" t="str">
        <f t="shared" si="8"/>
        <v>,'shikkan165_start_date' : 'C321_疾患開始日'</v>
      </c>
      <c r="X173" s="25">
        <v>1</v>
      </c>
      <c r="AA173" s="4"/>
      <c r="AB173" s="4"/>
      <c r="AC173" s="4"/>
      <c r="AD173" s="4"/>
      <c r="AE173" s="4"/>
      <c r="AF173" s="4"/>
      <c r="AG173" s="4"/>
      <c r="AH173" s="4"/>
      <c r="AI173" s="4"/>
      <c r="AJ173" s="76" t="str">
        <f>IF(E173="○",IF(COUNTA(E$13:E173)=1,"",",")&amp;D173,"")</f>
        <v/>
      </c>
      <c r="AK173" s="4"/>
      <c r="AL173" s="4"/>
      <c r="AM173" s="4"/>
      <c r="AN173" s="4"/>
      <c r="AO173" s="4"/>
      <c r="AP173" s="4"/>
      <c r="AQ173" s="4"/>
      <c r="AR173" s="4"/>
      <c r="AS173" s="76" t="str">
        <f>"COMMENT ON COLUMN "&amp;エンティティ一覧!$O$2&amp;"."&amp;D$8&amp;"."&amp;D173&amp;" IS '"&amp;C173&amp;"';"</f>
        <v>COMMENT ON COLUMN milscm_2023_009.main_diagnosis_start_date.shikkan165_start_date IS 'C321_疾患開始日';</v>
      </c>
    </row>
    <row r="174" spans="1:45" s="25" customFormat="1">
      <c r="A174" s="4" t="s">
        <v>5319</v>
      </c>
      <c r="B174" s="21">
        <f t="shared" si="19"/>
        <v>172</v>
      </c>
      <c r="C174" s="13" t="str">
        <f t="shared" si="21"/>
        <v>C322_疾患開始日</v>
      </c>
      <c r="D174" s="13" t="s">
        <v>4934</v>
      </c>
      <c r="E174" s="8"/>
      <c r="F174" s="7" t="s">
        <v>4348</v>
      </c>
      <c r="G174" s="7" t="s">
        <v>25</v>
      </c>
      <c r="H174" s="58"/>
      <c r="I174" s="23"/>
      <c r="J174" s="24"/>
      <c r="M174" s="4"/>
      <c r="N174" s="76"/>
      <c r="O174" s="76"/>
      <c r="P174" s="76" t="str">
        <f t="shared" si="9"/>
        <v>,shikkan166_start_date</v>
      </c>
      <c r="Q174" s="76" t="str">
        <f t="shared" si="10"/>
        <v>DATE</v>
      </c>
      <c r="R174" s="76" t="str">
        <f t="shared" si="11"/>
        <v/>
      </c>
      <c r="S174" s="76" t="str">
        <f t="shared" si="12"/>
        <v/>
      </c>
      <c r="T174" s="76" t="str">
        <f t="shared" si="13"/>
        <v>-- C322_疾患開始日</v>
      </c>
      <c r="U174" s="4" t="str">
        <f t="shared" si="20"/>
        <v>,'shikkan166_start_date'</v>
      </c>
      <c r="V174" s="25" t="str">
        <f t="shared" si="8"/>
        <v>,'shikkan166_start_date' : 'C322_疾患開始日'</v>
      </c>
      <c r="X174" s="25">
        <v>1</v>
      </c>
      <c r="AA174" s="4"/>
      <c r="AB174" s="4"/>
      <c r="AC174" s="4"/>
      <c r="AD174" s="4"/>
      <c r="AE174" s="4"/>
      <c r="AF174" s="4"/>
      <c r="AG174" s="4"/>
      <c r="AH174" s="4"/>
      <c r="AI174" s="4"/>
      <c r="AJ174" s="76" t="str">
        <f>IF(E174="○",IF(COUNTA(E$13:E174)=1,"",",")&amp;D174,"")</f>
        <v/>
      </c>
      <c r="AK174" s="4"/>
      <c r="AL174" s="4"/>
      <c r="AM174" s="4"/>
      <c r="AN174" s="4"/>
      <c r="AO174" s="4"/>
      <c r="AP174" s="4"/>
      <c r="AQ174" s="4"/>
      <c r="AR174" s="4"/>
      <c r="AS174" s="76" t="str">
        <f>"COMMENT ON COLUMN "&amp;エンティティ一覧!$O$2&amp;"."&amp;D$8&amp;"."&amp;D174&amp;" IS '"&amp;C174&amp;"';"</f>
        <v>COMMENT ON COLUMN milscm_2023_009.main_diagnosis_start_date.shikkan166_start_date IS 'C322_疾患開始日';</v>
      </c>
    </row>
    <row r="175" spans="1:45" s="25" customFormat="1">
      <c r="A175" s="4" t="s">
        <v>5320</v>
      </c>
      <c r="B175" s="21">
        <f t="shared" si="19"/>
        <v>173</v>
      </c>
      <c r="C175" s="13" t="str">
        <f t="shared" si="21"/>
        <v>C323_疾患開始日</v>
      </c>
      <c r="D175" s="13" t="s">
        <v>4935</v>
      </c>
      <c r="E175" s="8"/>
      <c r="F175" s="7" t="s">
        <v>4348</v>
      </c>
      <c r="G175" s="7" t="s">
        <v>25</v>
      </c>
      <c r="H175" s="58"/>
      <c r="I175" s="23"/>
      <c r="J175" s="24"/>
      <c r="M175" s="4"/>
      <c r="N175" s="76"/>
      <c r="O175" s="76"/>
      <c r="P175" s="76" t="str">
        <f t="shared" si="9"/>
        <v>,shikkan167_start_date</v>
      </c>
      <c r="Q175" s="76" t="str">
        <f t="shared" si="10"/>
        <v>DATE</v>
      </c>
      <c r="R175" s="76" t="str">
        <f t="shared" si="11"/>
        <v/>
      </c>
      <c r="S175" s="76" t="str">
        <f t="shared" si="12"/>
        <v/>
      </c>
      <c r="T175" s="76" t="str">
        <f t="shared" si="13"/>
        <v>-- C323_疾患開始日</v>
      </c>
      <c r="U175" s="4" t="str">
        <f t="shared" si="20"/>
        <v>,'shikkan167_start_date'</v>
      </c>
      <c r="V175" s="25" t="str">
        <f t="shared" si="8"/>
        <v>,'shikkan167_start_date' : 'C323_疾患開始日'</v>
      </c>
      <c r="X175" s="25">
        <v>1</v>
      </c>
      <c r="AA175" s="4"/>
      <c r="AB175" s="4"/>
      <c r="AC175" s="4"/>
      <c r="AD175" s="4"/>
      <c r="AE175" s="4"/>
      <c r="AF175" s="4"/>
      <c r="AG175" s="4"/>
      <c r="AH175" s="4"/>
      <c r="AI175" s="4"/>
      <c r="AJ175" s="76" t="str">
        <f>IF(E175="○",IF(COUNTA(E$13:E175)=1,"",",")&amp;D175,"")</f>
        <v/>
      </c>
      <c r="AK175" s="4"/>
      <c r="AL175" s="4"/>
      <c r="AM175" s="4"/>
      <c r="AN175" s="4"/>
      <c r="AO175" s="4"/>
      <c r="AP175" s="4"/>
      <c r="AQ175" s="4"/>
      <c r="AR175" s="4"/>
      <c r="AS175" s="76" t="str">
        <f>"COMMENT ON COLUMN "&amp;エンティティ一覧!$O$2&amp;"."&amp;D$8&amp;"."&amp;D175&amp;" IS '"&amp;C175&amp;"';"</f>
        <v>COMMENT ON COLUMN milscm_2023_009.main_diagnosis_start_date.shikkan167_start_date IS 'C323_疾患開始日';</v>
      </c>
    </row>
    <row r="176" spans="1:45" s="25" customFormat="1">
      <c r="A176" s="4" t="s">
        <v>5321</v>
      </c>
      <c r="B176" s="21">
        <f t="shared" si="19"/>
        <v>174</v>
      </c>
      <c r="C176" s="13" t="str">
        <f t="shared" si="21"/>
        <v>C328_疾患開始日</v>
      </c>
      <c r="D176" s="13" t="s">
        <v>4936</v>
      </c>
      <c r="E176" s="8"/>
      <c r="F176" s="7" t="s">
        <v>4348</v>
      </c>
      <c r="G176" s="7" t="s">
        <v>25</v>
      </c>
      <c r="H176" s="58"/>
      <c r="I176" s="23"/>
      <c r="J176" s="24"/>
      <c r="M176" s="4"/>
      <c r="N176" s="76"/>
      <c r="O176" s="76"/>
      <c r="P176" s="76" t="str">
        <f t="shared" si="9"/>
        <v>,shikkan168_start_date</v>
      </c>
      <c r="Q176" s="76" t="str">
        <f t="shared" si="10"/>
        <v>DATE</v>
      </c>
      <c r="R176" s="76" t="str">
        <f t="shared" si="11"/>
        <v/>
      </c>
      <c r="S176" s="76" t="str">
        <f t="shared" si="12"/>
        <v/>
      </c>
      <c r="T176" s="76" t="str">
        <f t="shared" si="13"/>
        <v>-- C328_疾患開始日</v>
      </c>
      <c r="U176" s="4" t="str">
        <f t="shared" si="20"/>
        <v>,'shikkan168_start_date'</v>
      </c>
      <c r="V176" s="25" t="str">
        <f t="shared" si="8"/>
        <v>,'shikkan168_start_date' : 'C328_疾患開始日'</v>
      </c>
      <c r="X176" s="25">
        <v>1</v>
      </c>
      <c r="AA176" s="4"/>
      <c r="AB176" s="4"/>
      <c r="AC176" s="4"/>
      <c r="AD176" s="4"/>
      <c r="AE176" s="4"/>
      <c r="AF176" s="4"/>
      <c r="AG176" s="4"/>
      <c r="AH176" s="4"/>
      <c r="AI176" s="4"/>
      <c r="AJ176" s="76" t="str">
        <f>IF(E176="○",IF(COUNTA(E$13:E176)=1,"",",")&amp;D176,"")</f>
        <v/>
      </c>
      <c r="AK176" s="4"/>
      <c r="AL176" s="4"/>
      <c r="AM176" s="4"/>
      <c r="AN176" s="4"/>
      <c r="AO176" s="4"/>
      <c r="AP176" s="4"/>
      <c r="AQ176" s="4"/>
      <c r="AR176" s="4"/>
      <c r="AS176" s="76" t="str">
        <f>"COMMENT ON COLUMN "&amp;エンティティ一覧!$O$2&amp;"."&amp;D$8&amp;"."&amp;D176&amp;" IS '"&amp;C176&amp;"';"</f>
        <v>COMMENT ON COLUMN milscm_2023_009.main_diagnosis_start_date.shikkan168_start_date IS 'C328_疾患開始日';</v>
      </c>
    </row>
    <row r="177" spans="1:45" s="25" customFormat="1">
      <c r="A177" s="4" t="s">
        <v>5322</v>
      </c>
      <c r="B177" s="21">
        <f t="shared" si="19"/>
        <v>175</v>
      </c>
      <c r="C177" s="13" t="str">
        <f t="shared" si="21"/>
        <v>C329_疾患開始日</v>
      </c>
      <c r="D177" s="13" t="s">
        <v>4937</v>
      </c>
      <c r="E177" s="8"/>
      <c r="F177" s="7" t="s">
        <v>4348</v>
      </c>
      <c r="G177" s="7" t="s">
        <v>25</v>
      </c>
      <c r="H177" s="58"/>
      <c r="I177" s="23"/>
      <c r="J177" s="24"/>
      <c r="M177" s="4"/>
      <c r="N177" s="76"/>
      <c r="O177" s="76"/>
      <c r="P177" s="76" t="str">
        <f t="shared" si="9"/>
        <v>,shikkan169_start_date</v>
      </c>
      <c r="Q177" s="76" t="str">
        <f t="shared" si="10"/>
        <v>DATE</v>
      </c>
      <c r="R177" s="76" t="str">
        <f t="shared" si="11"/>
        <v/>
      </c>
      <c r="S177" s="76" t="str">
        <f t="shared" si="12"/>
        <v/>
      </c>
      <c r="T177" s="76" t="str">
        <f t="shared" si="13"/>
        <v>-- C329_疾患開始日</v>
      </c>
      <c r="U177" s="4" t="str">
        <f t="shared" si="20"/>
        <v>,'shikkan169_start_date'</v>
      </c>
      <c r="V177" s="25" t="str">
        <f t="shared" si="8"/>
        <v>,'shikkan169_start_date' : 'C329_疾患開始日'</v>
      </c>
      <c r="X177" s="25">
        <v>1</v>
      </c>
      <c r="AA177" s="4"/>
      <c r="AB177" s="4"/>
      <c r="AC177" s="4"/>
      <c r="AD177" s="4"/>
      <c r="AE177" s="4"/>
      <c r="AF177" s="4"/>
      <c r="AG177" s="4"/>
      <c r="AH177" s="4"/>
      <c r="AI177" s="4"/>
      <c r="AJ177" s="76" t="str">
        <f>IF(E177="○",IF(COUNTA(E$13:E177)=1,"",",")&amp;D177,"")</f>
        <v/>
      </c>
      <c r="AK177" s="4"/>
      <c r="AL177" s="4"/>
      <c r="AM177" s="4"/>
      <c r="AN177" s="4"/>
      <c r="AO177" s="4"/>
      <c r="AP177" s="4"/>
      <c r="AQ177" s="4"/>
      <c r="AR177" s="4"/>
      <c r="AS177" s="76" t="str">
        <f>"COMMENT ON COLUMN "&amp;エンティティ一覧!$O$2&amp;"."&amp;D$8&amp;"."&amp;D177&amp;" IS '"&amp;C177&amp;"';"</f>
        <v>COMMENT ON COLUMN milscm_2023_009.main_diagnosis_start_date.shikkan169_start_date IS 'C329_疾患開始日';</v>
      </c>
    </row>
    <row r="178" spans="1:45" s="25" customFormat="1">
      <c r="A178" s="4" t="s">
        <v>5146</v>
      </c>
      <c r="B178" s="21">
        <f t="shared" si="19"/>
        <v>176</v>
      </c>
      <c r="C178" s="13" t="str">
        <f t="shared" si="21"/>
        <v>C33_疾患開始日</v>
      </c>
      <c r="D178" s="13" t="s">
        <v>4938</v>
      </c>
      <c r="E178" s="8"/>
      <c r="F178" s="7" t="s">
        <v>4348</v>
      </c>
      <c r="G178" s="7" t="s">
        <v>25</v>
      </c>
      <c r="H178" s="58"/>
      <c r="I178" s="23"/>
      <c r="J178" s="24"/>
      <c r="M178" s="4"/>
      <c r="N178" s="76"/>
      <c r="O178" s="76"/>
      <c r="P178" s="76" t="str">
        <f t="shared" si="9"/>
        <v>,shikkan170_start_date</v>
      </c>
      <c r="Q178" s="76" t="str">
        <f t="shared" si="10"/>
        <v>DATE</v>
      </c>
      <c r="R178" s="76" t="str">
        <f t="shared" si="11"/>
        <v/>
      </c>
      <c r="S178" s="76" t="str">
        <f t="shared" si="12"/>
        <v/>
      </c>
      <c r="T178" s="76" t="str">
        <f t="shared" si="13"/>
        <v>-- C33_疾患開始日</v>
      </c>
      <c r="U178" s="4" t="str">
        <f t="shared" si="20"/>
        <v>,'shikkan170_start_date'</v>
      </c>
      <c r="V178" s="25" t="str">
        <f t="shared" si="8"/>
        <v>,'shikkan170_start_date' : 'C33_疾患開始日'</v>
      </c>
      <c r="X178" s="25">
        <v>1</v>
      </c>
      <c r="AA178" s="4"/>
      <c r="AB178" s="4"/>
      <c r="AC178" s="4"/>
      <c r="AD178" s="4"/>
      <c r="AE178" s="4"/>
      <c r="AF178" s="4"/>
      <c r="AG178" s="4"/>
      <c r="AH178" s="4"/>
      <c r="AI178" s="4"/>
      <c r="AJ178" s="76" t="str">
        <f>IF(E178="○",IF(COUNTA(E$13:E178)=1,"",",")&amp;D178,"")</f>
        <v/>
      </c>
      <c r="AK178" s="4"/>
      <c r="AL178" s="4"/>
      <c r="AM178" s="4"/>
      <c r="AN178" s="4"/>
      <c r="AO178" s="4"/>
      <c r="AP178" s="4"/>
      <c r="AQ178" s="4"/>
      <c r="AR178" s="4"/>
      <c r="AS178" s="76" t="str">
        <f>"COMMENT ON COLUMN "&amp;エンティティ一覧!$O$2&amp;"."&amp;D$8&amp;"."&amp;D178&amp;" IS '"&amp;C178&amp;"';"</f>
        <v>COMMENT ON COLUMN milscm_2023_009.main_diagnosis_start_date.shikkan170_start_date IS 'C33_疾患開始日';</v>
      </c>
    </row>
    <row r="179" spans="1:45" s="25" customFormat="1">
      <c r="A179" s="4" t="s">
        <v>5323</v>
      </c>
      <c r="B179" s="21">
        <f t="shared" si="19"/>
        <v>177</v>
      </c>
      <c r="C179" s="13" t="str">
        <f t="shared" si="21"/>
        <v>C340_疾患開始日</v>
      </c>
      <c r="D179" s="13" t="s">
        <v>4939</v>
      </c>
      <c r="E179" s="8"/>
      <c r="F179" s="7" t="s">
        <v>4348</v>
      </c>
      <c r="G179" s="7" t="s">
        <v>25</v>
      </c>
      <c r="H179" s="58"/>
      <c r="I179" s="23"/>
      <c r="J179" s="24"/>
      <c r="M179" s="4"/>
      <c r="N179" s="76"/>
      <c r="O179" s="76"/>
      <c r="P179" s="76" t="str">
        <f t="shared" si="9"/>
        <v>,shikkan171_start_date</v>
      </c>
      <c r="Q179" s="76" t="str">
        <f t="shared" si="10"/>
        <v>DATE</v>
      </c>
      <c r="R179" s="76" t="str">
        <f t="shared" si="11"/>
        <v/>
      </c>
      <c r="S179" s="76" t="str">
        <f t="shared" si="12"/>
        <v/>
      </c>
      <c r="T179" s="76" t="str">
        <f t="shared" si="13"/>
        <v>-- C340_疾患開始日</v>
      </c>
      <c r="U179" s="4" t="str">
        <f t="shared" si="20"/>
        <v>,'shikkan171_start_date'</v>
      </c>
      <c r="V179" s="25" t="str">
        <f t="shared" si="8"/>
        <v>,'shikkan171_start_date' : 'C340_疾患開始日'</v>
      </c>
      <c r="X179" s="25">
        <v>1</v>
      </c>
      <c r="AA179" s="4"/>
      <c r="AB179" s="4"/>
      <c r="AC179" s="4"/>
      <c r="AD179" s="4"/>
      <c r="AE179" s="4"/>
      <c r="AF179" s="4"/>
      <c r="AG179" s="4"/>
      <c r="AH179" s="4"/>
      <c r="AI179" s="4"/>
      <c r="AJ179" s="76" t="str">
        <f>IF(E179="○",IF(COUNTA(E$13:E179)=1,"",",")&amp;D179,"")</f>
        <v/>
      </c>
      <c r="AK179" s="4"/>
      <c r="AL179" s="4"/>
      <c r="AM179" s="4"/>
      <c r="AN179" s="4"/>
      <c r="AO179" s="4"/>
      <c r="AP179" s="4"/>
      <c r="AQ179" s="4"/>
      <c r="AR179" s="4"/>
      <c r="AS179" s="76" t="str">
        <f>"COMMENT ON COLUMN "&amp;エンティティ一覧!$O$2&amp;"."&amp;D$8&amp;"."&amp;D179&amp;" IS '"&amp;C179&amp;"';"</f>
        <v>COMMENT ON COLUMN milscm_2023_009.main_diagnosis_start_date.shikkan171_start_date IS 'C340_疾患開始日';</v>
      </c>
    </row>
    <row r="180" spans="1:45" s="25" customFormat="1">
      <c r="A180" s="4" t="s">
        <v>5324</v>
      </c>
      <c r="B180" s="21">
        <f t="shared" si="19"/>
        <v>178</v>
      </c>
      <c r="C180" s="13" t="str">
        <f t="shared" si="21"/>
        <v>C341_疾患開始日</v>
      </c>
      <c r="D180" s="13" t="s">
        <v>4940</v>
      </c>
      <c r="E180" s="8"/>
      <c r="F180" s="7" t="s">
        <v>4348</v>
      </c>
      <c r="G180" s="7" t="s">
        <v>25</v>
      </c>
      <c r="H180" s="58"/>
      <c r="I180" s="23"/>
      <c r="J180" s="24"/>
      <c r="M180" s="4"/>
      <c r="N180" s="76"/>
      <c r="O180" s="76"/>
      <c r="P180" s="76" t="str">
        <f t="shared" si="9"/>
        <v>,shikkan172_start_date</v>
      </c>
      <c r="Q180" s="76" t="str">
        <f t="shared" si="10"/>
        <v>DATE</v>
      </c>
      <c r="R180" s="76" t="str">
        <f t="shared" si="11"/>
        <v/>
      </c>
      <c r="S180" s="76" t="str">
        <f t="shared" si="12"/>
        <v/>
      </c>
      <c r="T180" s="76" t="str">
        <f t="shared" si="13"/>
        <v>-- C341_疾患開始日</v>
      </c>
      <c r="U180" s="4" t="str">
        <f t="shared" si="20"/>
        <v>,'shikkan172_start_date'</v>
      </c>
      <c r="V180" s="25" t="str">
        <f t="shared" si="8"/>
        <v>,'shikkan172_start_date' : 'C341_疾患開始日'</v>
      </c>
      <c r="X180" s="25">
        <v>1</v>
      </c>
      <c r="AA180" s="4"/>
      <c r="AB180" s="4"/>
      <c r="AC180" s="4"/>
      <c r="AD180" s="4"/>
      <c r="AE180" s="4"/>
      <c r="AF180" s="4"/>
      <c r="AG180" s="4"/>
      <c r="AH180" s="4"/>
      <c r="AI180" s="4"/>
      <c r="AJ180" s="76" t="str">
        <f>IF(E180="○",IF(COUNTA(E$13:E180)=1,"",",")&amp;D180,"")</f>
        <v/>
      </c>
      <c r="AK180" s="4"/>
      <c r="AL180" s="4"/>
      <c r="AM180" s="4"/>
      <c r="AN180" s="4"/>
      <c r="AO180" s="4"/>
      <c r="AP180" s="4"/>
      <c r="AQ180" s="4"/>
      <c r="AR180" s="4"/>
      <c r="AS180" s="76" t="str">
        <f>"COMMENT ON COLUMN "&amp;エンティティ一覧!$O$2&amp;"."&amp;D$8&amp;"."&amp;D180&amp;" IS '"&amp;C180&amp;"';"</f>
        <v>COMMENT ON COLUMN milscm_2023_009.main_diagnosis_start_date.shikkan172_start_date IS 'C341_疾患開始日';</v>
      </c>
    </row>
    <row r="181" spans="1:45" s="25" customFormat="1">
      <c r="A181" s="4" t="s">
        <v>5325</v>
      </c>
      <c r="B181" s="21">
        <f t="shared" si="19"/>
        <v>179</v>
      </c>
      <c r="C181" s="13" t="str">
        <f t="shared" si="21"/>
        <v>C342_疾患開始日</v>
      </c>
      <c r="D181" s="13" t="s">
        <v>4941</v>
      </c>
      <c r="E181" s="8"/>
      <c r="F181" s="7" t="s">
        <v>4348</v>
      </c>
      <c r="G181" s="7" t="s">
        <v>25</v>
      </c>
      <c r="H181" s="58"/>
      <c r="I181" s="23"/>
      <c r="J181" s="24"/>
      <c r="M181" s="4"/>
      <c r="N181" s="76"/>
      <c r="O181" s="76"/>
      <c r="P181" s="76" t="str">
        <f t="shared" si="9"/>
        <v>,shikkan173_start_date</v>
      </c>
      <c r="Q181" s="76" t="str">
        <f t="shared" si="10"/>
        <v>DATE</v>
      </c>
      <c r="R181" s="76" t="str">
        <f t="shared" si="11"/>
        <v/>
      </c>
      <c r="S181" s="76" t="str">
        <f t="shared" si="12"/>
        <v/>
      </c>
      <c r="T181" s="76" t="str">
        <f t="shared" si="13"/>
        <v>-- C342_疾患開始日</v>
      </c>
      <c r="U181" s="4" t="str">
        <f t="shared" si="20"/>
        <v>,'shikkan173_start_date'</v>
      </c>
      <c r="V181" s="25" t="str">
        <f t="shared" si="8"/>
        <v>,'shikkan173_start_date' : 'C342_疾患開始日'</v>
      </c>
      <c r="X181" s="25">
        <v>1</v>
      </c>
      <c r="AA181" s="4"/>
      <c r="AB181" s="4"/>
      <c r="AC181" s="4"/>
      <c r="AD181" s="4"/>
      <c r="AE181" s="4"/>
      <c r="AF181" s="4"/>
      <c r="AG181" s="4"/>
      <c r="AH181" s="4"/>
      <c r="AI181" s="4"/>
      <c r="AJ181" s="76" t="str">
        <f>IF(E181="○",IF(COUNTA(E$13:E181)=1,"",",")&amp;D181,"")</f>
        <v/>
      </c>
      <c r="AK181" s="4"/>
      <c r="AL181" s="4"/>
      <c r="AM181" s="4"/>
      <c r="AN181" s="4"/>
      <c r="AO181" s="4"/>
      <c r="AP181" s="4"/>
      <c r="AQ181" s="4"/>
      <c r="AR181" s="4"/>
      <c r="AS181" s="76" t="str">
        <f>"COMMENT ON COLUMN "&amp;エンティティ一覧!$O$2&amp;"."&amp;D$8&amp;"."&amp;D181&amp;" IS '"&amp;C181&amp;"';"</f>
        <v>COMMENT ON COLUMN milscm_2023_009.main_diagnosis_start_date.shikkan173_start_date IS 'C342_疾患開始日';</v>
      </c>
    </row>
    <row r="182" spans="1:45" s="25" customFormat="1">
      <c r="A182" s="4" t="s">
        <v>5326</v>
      </c>
      <c r="B182" s="21">
        <f t="shared" si="19"/>
        <v>180</v>
      </c>
      <c r="C182" s="13" t="str">
        <f t="shared" si="21"/>
        <v>C343_疾患開始日</v>
      </c>
      <c r="D182" s="13" t="s">
        <v>4942</v>
      </c>
      <c r="E182" s="8"/>
      <c r="F182" s="7" t="s">
        <v>4348</v>
      </c>
      <c r="G182" s="7" t="s">
        <v>25</v>
      </c>
      <c r="H182" s="58"/>
      <c r="I182" s="23"/>
      <c r="J182" s="24"/>
      <c r="M182" s="4"/>
      <c r="N182" s="76"/>
      <c r="O182" s="76"/>
      <c r="P182" s="76" t="str">
        <f t="shared" si="9"/>
        <v>,shikkan174_start_date</v>
      </c>
      <c r="Q182" s="76" t="str">
        <f t="shared" si="10"/>
        <v>DATE</v>
      </c>
      <c r="R182" s="76" t="str">
        <f t="shared" si="11"/>
        <v/>
      </c>
      <c r="S182" s="76" t="str">
        <f t="shared" si="12"/>
        <v/>
      </c>
      <c r="T182" s="76" t="str">
        <f t="shared" si="13"/>
        <v>-- C343_疾患開始日</v>
      </c>
      <c r="U182" s="4" t="str">
        <f t="shared" si="20"/>
        <v>,'shikkan174_start_date'</v>
      </c>
      <c r="V182" s="25" t="str">
        <f t="shared" si="8"/>
        <v>,'shikkan174_start_date' : 'C343_疾患開始日'</v>
      </c>
      <c r="X182" s="25">
        <v>1</v>
      </c>
      <c r="AA182" s="4"/>
      <c r="AB182" s="4"/>
      <c r="AC182" s="4"/>
      <c r="AD182" s="4"/>
      <c r="AE182" s="4"/>
      <c r="AF182" s="4"/>
      <c r="AG182" s="4"/>
      <c r="AH182" s="4"/>
      <c r="AI182" s="4"/>
      <c r="AJ182" s="76" t="str">
        <f>IF(E182="○",IF(COUNTA(E$13:E182)=1,"",",")&amp;D182,"")</f>
        <v/>
      </c>
      <c r="AK182" s="4"/>
      <c r="AL182" s="4"/>
      <c r="AM182" s="4"/>
      <c r="AN182" s="4"/>
      <c r="AO182" s="4"/>
      <c r="AP182" s="4"/>
      <c r="AQ182" s="4"/>
      <c r="AR182" s="4"/>
      <c r="AS182" s="76" t="str">
        <f>"COMMENT ON COLUMN "&amp;エンティティ一覧!$O$2&amp;"."&amp;D$8&amp;"."&amp;D182&amp;" IS '"&amp;C182&amp;"';"</f>
        <v>COMMENT ON COLUMN milscm_2023_009.main_diagnosis_start_date.shikkan174_start_date IS 'C343_疾患開始日';</v>
      </c>
    </row>
    <row r="183" spans="1:45" s="25" customFormat="1">
      <c r="A183" s="4" t="s">
        <v>5327</v>
      </c>
      <c r="B183" s="21">
        <f t="shared" si="19"/>
        <v>181</v>
      </c>
      <c r="C183" s="13" t="str">
        <f t="shared" si="21"/>
        <v>C348_疾患開始日</v>
      </c>
      <c r="D183" s="13" t="s">
        <v>4943</v>
      </c>
      <c r="E183" s="8"/>
      <c r="F183" s="7" t="s">
        <v>4348</v>
      </c>
      <c r="G183" s="7" t="s">
        <v>25</v>
      </c>
      <c r="H183" s="58"/>
      <c r="I183" s="23"/>
      <c r="J183" s="24"/>
      <c r="M183" s="4"/>
      <c r="N183" s="76"/>
      <c r="O183" s="76"/>
      <c r="P183" s="76" t="str">
        <f t="shared" si="9"/>
        <v>,shikkan175_start_date</v>
      </c>
      <c r="Q183" s="76" t="str">
        <f t="shared" si="10"/>
        <v>DATE</v>
      </c>
      <c r="R183" s="76" t="str">
        <f t="shared" si="11"/>
        <v/>
      </c>
      <c r="S183" s="76" t="str">
        <f t="shared" si="12"/>
        <v/>
      </c>
      <c r="T183" s="76" t="str">
        <f t="shared" si="13"/>
        <v>-- C348_疾患開始日</v>
      </c>
      <c r="U183" s="4" t="str">
        <f t="shared" si="20"/>
        <v>,'shikkan175_start_date'</v>
      </c>
      <c r="V183" s="25" t="str">
        <f t="shared" si="8"/>
        <v>,'shikkan175_start_date' : 'C348_疾患開始日'</v>
      </c>
      <c r="X183" s="25">
        <v>1</v>
      </c>
      <c r="AA183" s="4"/>
      <c r="AB183" s="4"/>
      <c r="AC183" s="4"/>
      <c r="AD183" s="4"/>
      <c r="AE183" s="4"/>
      <c r="AF183" s="4"/>
      <c r="AG183" s="4"/>
      <c r="AH183" s="4"/>
      <c r="AI183" s="4"/>
      <c r="AJ183" s="76" t="str">
        <f>IF(E183="○",IF(COUNTA(E$13:E183)=1,"",",")&amp;D183,"")</f>
        <v/>
      </c>
      <c r="AK183" s="4"/>
      <c r="AL183" s="4"/>
      <c r="AM183" s="4"/>
      <c r="AN183" s="4"/>
      <c r="AO183" s="4"/>
      <c r="AP183" s="4"/>
      <c r="AQ183" s="4"/>
      <c r="AR183" s="4"/>
      <c r="AS183" s="76" t="str">
        <f>"COMMENT ON COLUMN "&amp;エンティティ一覧!$O$2&amp;"."&amp;D$8&amp;"."&amp;D183&amp;" IS '"&amp;C183&amp;"';"</f>
        <v>COMMENT ON COLUMN milscm_2023_009.main_diagnosis_start_date.shikkan175_start_date IS 'C348_疾患開始日';</v>
      </c>
    </row>
    <row r="184" spans="1:45" s="25" customFormat="1">
      <c r="A184" s="4" t="s">
        <v>5328</v>
      </c>
      <c r="B184" s="21">
        <f t="shared" si="19"/>
        <v>182</v>
      </c>
      <c r="C184" s="13" t="str">
        <f t="shared" si="21"/>
        <v>C349_疾患開始日</v>
      </c>
      <c r="D184" s="13" t="s">
        <v>4944</v>
      </c>
      <c r="E184" s="8"/>
      <c r="F184" s="7" t="s">
        <v>4348</v>
      </c>
      <c r="G184" s="7" t="s">
        <v>25</v>
      </c>
      <c r="H184" s="58"/>
      <c r="I184" s="23"/>
      <c r="J184" s="24"/>
      <c r="M184" s="4"/>
      <c r="N184" s="76"/>
      <c r="O184" s="76"/>
      <c r="P184" s="76" t="str">
        <f t="shared" si="9"/>
        <v>,shikkan176_start_date</v>
      </c>
      <c r="Q184" s="76" t="str">
        <f t="shared" si="10"/>
        <v>DATE</v>
      </c>
      <c r="R184" s="76" t="str">
        <f t="shared" si="11"/>
        <v/>
      </c>
      <c r="S184" s="76" t="str">
        <f t="shared" si="12"/>
        <v/>
      </c>
      <c r="T184" s="76" t="str">
        <f t="shared" si="13"/>
        <v>-- C349_疾患開始日</v>
      </c>
      <c r="U184" s="4" t="str">
        <f t="shared" si="20"/>
        <v>,'shikkan176_start_date'</v>
      </c>
      <c r="V184" s="25" t="str">
        <f t="shared" si="8"/>
        <v>,'shikkan176_start_date' : 'C349_疾患開始日'</v>
      </c>
      <c r="X184" s="25">
        <v>1</v>
      </c>
      <c r="AA184" s="4"/>
      <c r="AB184" s="4"/>
      <c r="AC184" s="4"/>
      <c r="AD184" s="4"/>
      <c r="AE184" s="4"/>
      <c r="AF184" s="4"/>
      <c r="AG184" s="4"/>
      <c r="AH184" s="4"/>
      <c r="AI184" s="4"/>
      <c r="AJ184" s="76" t="str">
        <f>IF(E184="○",IF(COUNTA(E$13:E184)=1,"",",")&amp;D184,"")</f>
        <v/>
      </c>
      <c r="AK184" s="4"/>
      <c r="AL184" s="4"/>
      <c r="AM184" s="4"/>
      <c r="AN184" s="4"/>
      <c r="AO184" s="4"/>
      <c r="AP184" s="4"/>
      <c r="AQ184" s="4"/>
      <c r="AR184" s="4"/>
      <c r="AS184" s="76" t="str">
        <f>"COMMENT ON COLUMN "&amp;エンティティ一覧!$O$2&amp;"."&amp;D$8&amp;"."&amp;D184&amp;" IS '"&amp;C184&amp;"';"</f>
        <v>COMMENT ON COLUMN milscm_2023_009.main_diagnosis_start_date.shikkan176_start_date IS 'C349_疾患開始日';</v>
      </c>
    </row>
    <row r="185" spans="1:45" s="25" customFormat="1">
      <c r="A185" s="4" t="s">
        <v>5147</v>
      </c>
      <c r="B185" s="21">
        <f t="shared" si="19"/>
        <v>183</v>
      </c>
      <c r="C185" s="13" t="str">
        <f t="shared" si="21"/>
        <v>C37_疾患開始日</v>
      </c>
      <c r="D185" s="13" t="s">
        <v>4945</v>
      </c>
      <c r="E185" s="8"/>
      <c r="F185" s="7" t="s">
        <v>4348</v>
      </c>
      <c r="G185" s="7" t="s">
        <v>99</v>
      </c>
      <c r="H185" s="58"/>
      <c r="I185" s="23"/>
      <c r="J185" s="24"/>
      <c r="M185" s="4"/>
      <c r="N185" s="76"/>
      <c r="O185" s="76"/>
      <c r="P185" s="76" t="str">
        <f t="shared" si="9"/>
        <v>,shikkan177_start_date</v>
      </c>
      <c r="Q185" s="76" t="str">
        <f t="shared" si="10"/>
        <v>DATE</v>
      </c>
      <c r="R185" s="76" t="str">
        <f t="shared" si="11"/>
        <v/>
      </c>
      <c r="S185" s="76" t="str">
        <f t="shared" si="12"/>
        <v/>
      </c>
      <c r="T185" s="76" t="str">
        <f t="shared" si="13"/>
        <v>-- C37_疾患開始日</v>
      </c>
      <c r="U185" s="4" t="str">
        <f t="shared" si="20"/>
        <v>,'shikkan177_start_date'</v>
      </c>
      <c r="V185" s="25" t="str">
        <f t="shared" si="8"/>
        <v>,'shikkan177_start_date' : 'C37_疾患開始日'</v>
      </c>
      <c r="X185" s="25">
        <v>1</v>
      </c>
      <c r="AA185" s="4"/>
      <c r="AB185" s="4"/>
      <c r="AC185" s="4"/>
      <c r="AD185" s="4"/>
      <c r="AE185" s="4"/>
      <c r="AF185" s="4"/>
      <c r="AG185" s="4"/>
      <c r="AH185" s="4"/>
      <c r="AI185" s="4"/>
      <c r="AJ185" s="76" t="str">
        <f>IF(E185="○",IF(COUNTA(E$13:E185)=1,"",",")&amp;D185,"")</f>
        <v/>
      </c>
      <c r="AK185" s="4"/>
      <c r="AL185" s="4"/>
      <c r="AM185" s="4"/>
      <c r="AN185" s="4"/>
      <c r="AO185" s="4"/>
      <c r="AP185" s="4"/>
      <c r="AQ185" s="4"/>
      <c r="AR185" s="4"/>
      <c r="AS185" s="76" t="str">
        <f>"COMMENT ON COLUMN "&amp;エンティティ一覧!$O$2&amp;"."&amp;D$8&amp;"."&amp;D185&amp;" IS '"&amp;C185&amp;"';"</f>
        <v>COMMENT ON COLUMN milscm_2023_009.main_diagnosis_start_date.shikkan177_start_date IS 'C37_疾患開始日';</v>
      </c>
    </row>
    <row r="186" spans="1:45" s="25" customFormat="1">
      <c r="A186" s="4" t="s">
        <v>5329</v>
      </c>
      <c r="B186" s="21">
        <f t="shared" si="19"/>
        <v>184</v>
      </c>
      <c r="C186" s="13" t="str">
        <f t="shared" si="21"/>
        <v>C380_疾患開始日</v>
      </c>
      <c r="D186" s="13" t="s">
        <v>4946</v>
      </c>
      <c r="E186" s="8"/>
      <c r="F186" s="7" t="s">
        <v>4348</v>
      </c>
      <c r="G186" s="7" t="s">
        <v>25</v>
      </c>
      <c r="H186" s="58"/>
      <c r="I186" s="23"/>
      <c r="J186" s="24"/>
      <c r="M186" s="4"/>
      <c r="N186" s="76"/>
      <c r="O186" s="76"/>
      <c r="P186" s="76" t="str">
        <f t="shared" si="9"/>
        <v>,shikkan178_start_date</v>
      </c>
      <c r="Q186" s="76" t="str">
        <f t="shared" si="10"/>
        <v>DATE</v>
      </c>
      <c r="R186" s="76" t="str">
        <f t="shared" si="11"/>
        <v/>
      </c>
      <c r="S186" s="76" t="str">
        <f t="shared" si="12"/>
        <v/>
      </c>
      <c r="T186" s="76" t="str">
        <f t="shared" si="13"/>
        <v>-- C380_疾患開始日</v>
      </c>
      <c r="U186" s="4" t="str">
        <f t="shared" si="20"/>
        <v>,'shikkan178_start_date'</v>
      </c>
      <c r="V186" s="25" t="str">
        <f t="shared" si="8"/>
        <v>,'shikkan178_start_date' : 'C380_疾患開始日'</v>
      </c>
      <c r="X186" s="25">
        <v>1</v>
      </c>
      <c r="AA186" s="4"/>
      <c r="AB186" s="4"/>
      <c r="AC186" s="4"/>
      <c r="AD186" s="4"/>
      <c r="AE186" s="4"/>
      <c r="AF186" s="4"/>
      <c r="AG186" s="4"/>
      <c r="AH186" s="4"/>
      <c r="AI186" s="4"/>
      <c r="AJ186" s="76" t="str">
        <f>IF(E186="○",IF(COUNTA(E$13:E186)=1,"",",")&amp;D186,"")</f>
        <v/>
      </c>
      <c r="AK186" s="4"/>
      <c r="AL186" s="4"/>
      <c r="AM186" s="4"/>
      <c r="AN186" s="4"/>
      <c r="AO186" s="4"/>
      <c r="AP186" s="4"/>
      <c r="AQ186" s="4"/>
      <c r="AR186" s="4"/>
      <c r="AS186" s="76" t="str">
        <f>"COMMENT ON COLUMN "&amp;エンティティ一覧!$O$2&amp;"."&amp;D$8&amp;"."&amp;D186&amp;" IS '"&amp;C186&amp;"';"</f>
        <v>COMMENT ON COLUMN milscm_2023_009.main_diagnosis_start_date.shikkan178_start_date IS 'C380_疾患開始日';</v>
      </c>
    </row>
    <row r="187" spans="1:45" s="25" customFormat="1">
      <c r="A187" s="4" t="s">
        <v>5330</v>
      </c>
      <c r="B187" s="21">
        <f t="shared" si="19"/>
        <v>185</v>
      </c>
      <c r="C187" s="13" t="str">
        <f t="shared" si="21"/>
        <v>C381_疾患開始日</v>
      </c>
      <c r="D187" s="13" t="s">
        <v>4947</v>
      </c>
      <c r="E187" s="8"/>
      <c r="F187" s="7" t="s">
        <v>4348</v>
      </c>
      <c r="G187" s="7" t="s">
        <v>25</v>
      </c>
      <c r="H187" s="58"/>
      <c r="I187" s="23"/>
      <c r="J187" s="24"/>
      <c r="M187" s="4"/>
      <c r="N187" s="76"/>
      <c r="O187" s="76"/>
      <c r="P187" s="76" t="str">
        <f t="shared" si="9"/>
        <v>,shikkan179_start_date</v>
      </c>
      <c r="Q187" s="76" t="str">
        <f t="shared" si="10"/>
        <v>DATE</v>
      </c>
      <c r="R187" s="76" t="str">
        <f t="shared" si="11"/>
        <v/>
      </c>
      <c r="S187" s="76" t="str">
        <f t="shared" si="12"/>
        <v/>
      </c>
      <c r="T187" s="76" t="str">
        <f t="shared" si="13"/>
        <v>-- C381_疾患開始日</v>
      </c>
      <c r="U187" s="4" t="str">
        <f t="shared" si="20"/>
        <v>,'shikkan179_start_date'</v>
      </c>
      <c r="V187" s="25" t="str">
        <f t="shared" si="8"/>
        <v>,'shikkan179_start_date' : 'C381_疾患開始日'</v>
      </c>
      <c r="X187" s="25">
        <v>1</v>
      </c>
      <c r="AA187" s="4"/>
      <c r="AB187" s="4"/>
      <c r="AC187" s="4"/>
      <c r="AD187" s="4"/>
      <c r="AE187" s="4"/>
      <c r="AF187" s="4"/>
      <c r="AG187" s="4"/>
      <c r="AH187" s="4"/>
      <c r="AI187" s="4"/>
      <c r="AJ187" s="76" t="str">
        <f>IF(E187="○",IF(COUNTA(E$13:E187)=1,"",",")&amp;D187,"")</f>
        <v/>
      </c>
      <c r="AK187" s="4"/>
      <c r="AL187" s="4"/>
      <c r="AM187" s="4"/>
      <c r="AN187" s="4"/>
      <c r="AO187" s="4"/>
      <c r="AP187" s="4"/>
      <c r="AQ187" s="4"/>
      <c r="AR187" s="4"/>
      <c r="AS187" s="76" t="str">
        <f>"COMMENT ON COLUMN "&amp;エンティティ一覧!$O$2&amp;"."&amp;D$8&amp;"."&amp;D187&amp;" IS '"&amp;C187&amp;"';"</f>
        <v>COMMENT ON COLUMN milscm_2023_009.main_diagnosis_start_date.shikkan179_start_date IS 'C381_疾患開始日';</v>
      </c>
    </row>
    <row r="188" spans="1:45" s="25" customFormat="1">
      <c r="A188" s="4" t="s">
        <v>5331</v>
      </c>
      <c r="B188" s="21">
        <f t="shared" si="19"/>
        <v>186</v>
      </c>
      <c r="C188" s="13" t="str">
        <f t="shared" si="21"/>
        <v>C382_疾患開始日</v>
      </c>
      <c r="D188" s="13" t="s">
        <v>4948</v>
      </c>
      <c r="E188" s="8"/>
      <c r="F188" s="7" t="s">
        <v>4348</v>
      </c>
      <c r="G188" s="7" t="s">
        <v>25</v>
      </c>
      <c r="H188" s="58"/>
      <c r="I188" s="23"/>
      <c r="J188" s="24"/>
      <c r="M188" s="4"/>
      <c r="N188" s="76"/>
      <c r="O188" s="76"/>
      <c r="P188" s="76" t="str">
        <f t="shared" si="9"/>
        <v>,shikkan180_start_date</v>
      </c>
      <c r="Q188" s="76" t="str">
        <f t="shared" si="10"/>
        <v>DATE</v>
      </c>
      <c r="R188" s="76" t="str">
        <f t="shared" si="11"/>
        <v/>
      </c>
      <c r="S188" s="76" t="str">
        <f t="shared" si="12"/>
        <v/>
      </c>
      <c r="T188" s="76" t="str">
        <f t="shared" si="13"/>
        <v>-- C382_疾患開始日</v>
      </c>
      <c r="U188" s="4" t="str">
        <f t="shared" si="20"/>
        <v>,'shikkan180_start_date'</v>
      </c>
      <c r="V188" s="25" t="str">
        <f t="shared" si="8"/>
        <v>,'shikkan180_start_date' : 'C382_疾患開始日'</v>
      </c>
      <c r="X188" s="25">
        <v>1</v>
      </c>
      <c r="AA188" s="4"/>
      <c r="AB188" s="4"/>
      <c r="AC188" s="4"/>
      <c r="AD188" s="4"/>
      <c r="AE188" s="4"/>
      <c r="AF188" s="4"/>
      <c r="AG188" s="4"/>
      <c r="AH188" s="4"/>
      <c r="AI188" s="4"/>
      <c r="AJ188" s="76" t="str">
        <f>IF(E188="○",IF(COUNTA(E$13:E188)=1,"",",")&amp;D188,"")</f>
        <v/>
      </c>
      <c r="AK188" s="4"/>
      <c r="AL188" s="4"/>
      <c r="AM188" s="4"/>
      <c r="AN188" s="4"/>
      <c r="AO188" s="4"/>
      <c r="AP188" s="4"/>
      <c r="AQ188" s="4"/>
      <c r="AR188" s="4"/>
      <c r="AS188" s="76" t="str">
        <f>"COMMENT ON COLUMN "&amp;エンティティ一覧!$O$2&amp;"."&amp;D$8&amp;"."&amp;D188&amp;" IS '"&amp;C188&amp;"';"</f>
        <v>COMMENT ON COLUMN milscm_2023_009.main_diagnosis_start_date.shikkan180_start_date IS 'C382_疾患開始日';</v>
      </c>
    </row>
    <row r="189" spans="1:45" s="25" customFormat="1">
      <c r="A189" s="4" t="s">
        <v>5332</v>
      </c>
      <c r="B189" s="21">
        <f t="shared" si="19"/>
        <v>187</v>
      </c>
      <c r="C189" s="13" t="str">
        <f t="shared" si="21"/>
        <v>C383_疾患開始日</v>
      </c>
      <c r="D189" s="13" t="s">
        <v>4949</v>
      </c>
      <c r="E189" s="8"/>
      <c r="F189" s="7" t="s">
        <v>4348</v>
      </c>
      <c r="G189" s="7" t="s">
        <v>25</v>
      </c>
      <c r="H189" s="58"/>
      <c r="I189" s="23"/>
      <c r="J189" s="24"/>
      <c r="M189" s="4"/>
      <c r="N189" s="76"/>
      <c r="O189" s="76"/>
      <c r="P189" s="76" t="str">
        <f t="shared" si="9"/>
        <v>,shikkan181_start_date</v>
      </c>
      <c r="Q189" s="76" t="str">
        <f t="shared" si="10"/>
        <v>DATE</v>
      </c>
      <c r="R189" s="76" t="str">
        <f t="shared" si="11"/>
        <v/>
      </c>
      <c r="S189" s="76" t="str">
        <f t="shared" si="12"/>
        <v/>
      </c>
      <c r="T189" s="76" t="str">
        <f t="shared" si="13"/>
        <v>-- C383_疾患開始日</v>
      </c>
      <c r="U189" s="4" t="str">
        <f t="shared" si="20"/>
        <v>,'shikkan181_start_date'</v>
      </c>
      <c r="V189" s="25" t="str">
        <f t="shared" si="8"/>
        <v>,'shikkan181_start_date' : 'C383_疾患開始日'</v>
      </c>
      <c r="X189" s="25">
        <v>1</v>
      </c>
      <c r="AA189" s="4"/>
      <c r="AB189" s="4"/>
      <c r="AC189" s="4"/>
      <c r="AD189" s="4"/>
      <c r="AE189" s="4"/>
      <c r="AF189" s="4"/>
      <c r="AG189" s="4"/>
      <c r="AH189" s="4"/>
      <c r="AI189" s="4"/>
      <c r="AJ189" s="76" t="str">
        <f>IF(E189="○",IF(COUNTA(E$13:E189)=1,"",",")&amp;D189,"")</f>
        <v/>
      </c>
      <c r="AK189" s="4"/>
      <c r="AL189" s="4"/>
      <c r="AM189" s="4"/>
      <c r="AN189" s="4"/>
      <c r="AO189" s="4"/>
      <c r="AP189" s="4"/>
      <c r="AQ189" s="4"/>
      <c r="AR189" s="4"/>
      <c r="AS189" s="76" t="str">
        <f>"COMMENT ON COLUMN "&amp;エンティティ一覧!$O$2&amp;"."&amp;D$8&amp;"."&amp;D189&amp;" IS '"&amp;C189&amp;"';"</f>
        <v>COMMENT ON COLUMN milscm_2023_009.main_diagnosis_start_date.shikkan181_start_date IS 'C383_疾患開始日';</v>
      </c>
    </row>
    <row r="190" spans="1:45" s="25" customFormat="1">
      <c r="A190" s="4" t="s">
        <v>5333</v>
      </c>
      <c r="B190" s="21">
        <f t="shared" si="19"/>
        <v>188</v>
      </c>
      <c r="C190" s="13" t="str">
        <f t="shared" si="21"/>
        <v>C384_疾患開始日</v>
      </c>
      <c r="D190" s="13" t="s">
        <v>4950</v>
      </c>
      <c r="E190" s="8"/>
      <c r="F190" s="7" t="s">
        <v>4348</v>
      </c>
      <c r="G190" s="7" t="s">
        <v>25</v>
      </c>
      <c r="H190" s="58"/>
      <c r="I190" s="23"/>
      <c r="J190" s="24"/>
      <c r="M190" s="4"/>
      <c r="N190" s="76"/>
      <c r="O190" s="76"/>
      <c r="P190" s="76" t="str">
        <f t="shared" si="9"/>
        <v>,shikkan182_start_date</v>
      </c>
      <c r="Q190" s="76" t="str">
        <f t="shared" si="10"/>
        <v>DATE</v>
      </c>
      <c r="R190" s="76" t="str">
        <f t="shared" si="11"/>
        <v/>
      </c>
      <c r="S190" s="76" t="str">
        <f t="shared" si="12"/>
        <v/>
      </c>
      <c r="T190" s="76" t="str">
        <f t="shared" si="13"/>
        <v>-- C384_疾患開始日</v>
      </c>
      <c r="U190" s="4" t="str">
        <f t="shared" si="20"/>
        <v>,'shikkan182_start_date'</v>
      </c>
      <c r="V190" s="25" t="str">
        <f t="shared" si="8"/>
        <v>,'shikkan182_start_date' : 'C384_疾患開始日'</v>
      </c>
      <c r="X190" s="25">
        <v>1</v>
      </c>
      <c r="AA190" s="4"/>
      <c r="AB190" s="4"/>
      <c r="AC190" s="4"/>
      <c r="AD190" s="4"/>
      <c r="AE190" s="4"/>
      <c r="AF190" s="4"/>
      <c r="AG190" s="4"/>
      <c r="AH190" s="4"/>
      <c r="AI190" s="4"/>
      <c r="AJ190" s="76" t="str">
        <f>IF(E190="○",IF(COUNTA(E$13:E190)=1,"",",")&amp;D190,"")</f>
        <v/>
      </c>
      <c r="AK190" s="4"/>
      <c r="AL190" s="4"/>
      <c r="AM190" s="4"/>
      <c r="AN190" s="4"/>
      <c r="AO190" s="4"/>
      <c r="AP190" s="4"/>
      <c r="AQ190" s="4"/>
      <c r="AR190" s="4"/>
      <c r="AS190" s="76" t="str">
        <f>"COMMENT ON COLUMN "&amp;エンティティ一覧!$O$2&amp;"."&amp;D$8&amp;"."&amp;D190&amp;" IS '"&amp;C190&amp;"';"</f>
        <v>COMMENT ON COLUMN milscm_2023_009.main_diagnosis_start_date.shikkan182_start_date IS 'C384_疾患開始日';</v>
      </c>
    </row>
    <row r="191" spans="1:45" s="25" customFormat="1">
      <c r="A191" s="4" t="s">
        <v>5334</v>
      </c>
      <c r="B191" s="21">
        <f t="shared" si="19"/>
        <v>189</v>
      </c>
      <c r="C191" s="13" t="str">
        <f t="shared" si="21"/>
        <v>C388_疾患開始日</v>
      </c>
      <c r="D191" s="13" t="s">
        <v>4951</v>
      </c>
      <c r="E191" s="8"/>
      <c r="F191" s="7" t="s">
        <v>4348</v>
      </c>
      <c r="G191" s="7" t="s">
        <v>25</v>
      </c>
      <c r="H191" s="58"/>
      <c r="I191" s="23"/>
      <c r="J191" s="24"/>
      <c r="M191" s="4"/>
      <c r="N191" s="76"/>
      <c r="O191" s="76"/>
      <c r="P191" s="76" t="str">
        <f t="shared" si="9"/>
        <v>,shikkan183_start_date</v>
      </c>
      <c r="Q191" s="76" t="str">
        <f t="shared" si="10"/>
        <v>DATE</v>
      </c>
      <c r="R191" s="76" t="str">
        <f t="shared" si="11"/>
        <v/>
      </c>
      <c r="S191" s="76" t="str">
        <f t="shared" si="12"/>
        <v/>
      </c>
      <c r="T191" s="76" t="str">
        <f t="shared" si="13"/>
        <v>-- C388_疾患開始日</v>
      </c>
      <c r="U191" s="4" t="str">
        <f t="shared" si="20"/>
        <v>,'shikkan183_start_date'</v>
      </c>
      <c r="V191" s="25" t="str">
        <f t="shared" si="8"/>
        <v>,'shikkan183_start_date' : 'C388_疾患開始日'</v>
      </c>
      <c r="X191" s="25">
        <v>1</v>
      </c>
      <c r="AA191" s="4"/>
      <c r="AB191" s="4"/>
      <c r="AC191" s="4"/>
      <c r="AD191" s="4"/>
      <c r="AE191" s="4"/>
      <c r="AF191" s="4"/>
      <c r="AG191" s="4"/>
      <c r="AH191" s="4"/>
      <c r="AI191" s="4"/>
      <c r="AJ191" s="76" t="str">
        <f>IF(E191="○",IF(COUNTA(E$13:E191)=1,"",",")&amp;D191,"")</f>
        <v/>
      </c>
      <c r="AK191" s="4"/>
      <c r="AL191" s="4"/>
      <c r="AM191" s="4"/>
      <c r="AN191" s="4"/>
      <c r="AO191" s="4"/>
      <c r="AP191" s="4"/>
      <c r="AQ191" s="4"/>
      <c r="AR191" s="4"/>
      <c r="AS191" s="76" t="str">
        <f>"COMMENT ON COLUMN "&amp;エンティティ一覧!$O$2&amp;"."&amp;D$8&amp;"."&amp;D191&amp;" IS '"&amp;C191&amp;"';"</f>
        <v>COMMENT ON COLUMN milscm_2023_009.main_diagnosis_start_date.shikkan183_start_date IS 'C388_疾患開始日';</v>
      </c>
    </row>
    <row r="192" spans="1:45" s="25" customFormat="1">
      <c r="A192" s="4" t="s">
        <v>5335</v>
      </c>
      <c r="B192" s="21">
        <f t="shared" si="19"/>
        <v>190</v>
      </c>
      <c r="C192" s="13" t="str">
        <f t="shared" si="21"/>
        <v>C390_疾患開始日</v>
      </c>
      <c r="D192" s="13" t="s">
        <v>4952</v>
      </c>
      <c r="E192" s="8"/>
      <c r="F192" s="7" t="s">
        <v>4348</v>
      </c>
      <c r="G192" s="7" t="s">
        <v>25</v>
      </c>
      <c r="H192" s="58"/>
      <c r="I192" s="23"/>
      <c r="J192" s="24"/>
      <c r="M192" s="4"/>
      <c r="N192" s="76"/>
      <c r="O192" s="76"/>
      <c r="P192" s="76" t="str">
        <f t="shared" si="9"/>
        <v>,shikkan184_start_date</v>
      </c>
      <c r="Q192" s="76" t="str">
        <f t="shared" si="10"/>
        <v>DATE</v>
      </c>
      <c r="R192" s="76" t="str">
        <f t="shared" si="11"/>
        <v/>
      </c>
      <c r="S192" s="76" t="str">
        <f t="shared" si="12"/>
        <v/>
      </c>
      <c r="T192" s="76" t="str">
        <f t="shared" si="13"/>
        <v>-- C390_疾患開始日</v>
      </c>
      <c r="U192" s="4" t="str">
        <f t="shared" si="20"/>
        <v>,'shikkan184_start_date'</v>
      </c>
      <c r="V192" s="25" t="str">
        <f t="shared" si="8"/>
        <v>,'shikkan184_start_date' : 'C390_疾患開始日'</v>
      </c>
      <c r="X192" s="25">
        <v>1</v>
      </c>
      <c r="AA192" s="4"/>
      <c r="AB192" s="4"/>
      <c r="AC192" s="4"/>
      <c r="AD192" s="4"/>
      <c r="AE192" s="4"/>
      <c r="AF192" s="4"/>
      <c r="AG192" s="4"/>
      <c r="AH192" s="4"/>
      <c r="AI192" s="4"/>
      <c r="AJ192" s="76" t="str">
        <f>IF(E192="○",IF(COUNTA(E$13:E192)=1,"",",")&amp;D192,"")</f>
        <v/>
      </c>
      <c r="AK192" s="4"/>
      <c r="AL192" s="4"/>
      <c r="AM192" s="4"/>
      <c r="AN192" s="4"/>
      <c r="AO192" s="4"/>
      <c r="AP192" s="4"/>
      <c r="AQ192" s="4"/>
      <c r="AR192" s="4"/>
      <c r="AS192" s="76" t="str">
        <f>"COMMENT ON COLUMN "&amp;エンティティ一覧!$O$2&amp;"."&amp;D$8&amp;"."&amp;D192&amp;" IS '"&amp;C192&amp;"';"</f>
        <v>COMMENT ON COLUMN milscm_2023_009.main_diagnosis_start_date.shikkan184_start_date IS 'C390_疾患開始日';</v>
      </c>
    </row>
    <row r="193" spans="1:45" s="25" customFormat="1">
      <c r="A193" s="4" t="s">
        <v>5336</v>
      </c>
      <c r="B193" s="21">
        <f t="shared" si="19"/>
        <v>191</v>
      </c>
      <c r="C193" s="13" t="str">
        <f t="shared" si="21"/>
        <v>C398_疾患開始日</v>
      </c>
      <c r="D193" s="13" t="s">
        <v>4953</v>
      </c>
      <c r="E193" s="8"/>
      <c r="F193" s="7" t="s">
        <v>4348</v>
      </c>
      <c r="G193" s="7" t="s">
        <v>25</v>
      </c>
      <c r="H193" s="58"/>
      <c r="I193" s="23"/>
      <c r="J193" s="24"/>
      <c r="M193" s="4"/>
      <c r="N193" s="76"/>
      <c r="O193" s="76"/>
      <c r="P193" s="76" t="str">
        <f t="shared" si="9"/>
        <v>,shikkan185_start_date</v>
      </c>
      <c r="Q193" s="76" t="str">
        <f t="shared" si="10"/>
        <v>DATE</v>
      </c>
      <c r="R193" s="76" t="str">
        <f t="shared" si="11"/>
        <v/>
      </c>
      <c r="S193" s="76" t="str">
        <f t="shared" si="12"/>
        <v/>
      </c>
      <c r="T193" s="76" t="str">
        <f t="shared" si="13"/>
        <v>-- C398_疾患開始日</v>
      </c>
      <c r="U193" s="4" t="str">
        <f t="shared" si="20"/>
        <v>,'shikkan185_start_date'</v>
      </c>
      <c r="V193" s="25" t="str">
        <f t="shared" si="8"/>
        <v>,'shikkan185_start_date' : 'C398_疾患開始日'</v>
      </c>
      <c r="X193" s="25">
        <v>1</v>
      </c>
      <c r="AA193" s="4"/>
      <c r="AB193" s="4"/>
      <c r="AC193" s="4"/>
      <c r="AD193" s="4"/>
      <c r="AE193" s="4"/>
      <c r="AF193" s="4"/>
      <c r="AG193" s="4"/>
      <c r="AH193" s="4"/>
      <c r="AI193" s="4"/>
      <c r="AJ193" s="76" t="str">
        <f>IF(E193="○",IF(COUNTA(E$13:E193)=1,"",",")&amp;D193,"")</f>
        <v/>
      </c>
      <c r="AK193" s="4"/>
      <c r="AL193" s="4"/>
      <c r="AM193" s="4"/>
      <c r="AN193" s="4"/>
      <c r="AO193" s="4"/>
      <c r="AP193" s="4"/>
      <c r="AQ193" s="4"/>
      <c r="AR193" s="4"/>
      <c r="AS193" s="76" t="str">
        <f>"COMMENT ON COLUMN "&amp;エンティティ一覧!$O$2&amp;"."&amp;D$8&amp;"."&amp;D193&amp;" IS '"&amp;C193&amp;"';"</f>
        <v>COMMENT ON COLUMN milscm_2023_009.main_diagnosis_start_date.shikkan185_start_date IS 'C398_疾患開始日';</v>
      </c>
    </row>
    <row r="194" spans="1:45" s="25" customFormat="1">
      <c r="A194" s="4" t="s">
        <v>5337</v>
      </c>
      <c r="B194" s="21">
        <f t="shared" si="19"/>
        <v>192</v>
      </c>
      <c r="C194" s="13" t="str">
        <f t="shared" si="21"/>
        <v>C399_疾患開始日</v>
      </c>
      <c r="D194" s="13" t="s">
        <v>4954</v>
      </c>
      <c r="E194" s="8"/>
      <c r="F194" s="7" t="s">
        <v>4348</v>
      </c>
      <c r="G194" s="7" t="s">
        <v>25</v>
      </c>
      <c r="H194" s="58"/>
      <c r="I194" s="23"/>
      <c r="J194" s="24"/>
      <c r="M194" s="4"/>
      <c r="N194" s="76"/>
      <c r="O194" s="76"/>
      <c r="P194" s="76" t="str">
        <f t="shared" si="9"/>
        <v>,shikkan186_start_date</v>
      </c>
      <c r="Q194" s="76" t="str">
        <f t="shared" si="10"/>
        <v>DATE</v>
      </c>
      <c r="R194" s="76" t="str">
        <f t="shared" si="11"/>
        <v/>
      </c>
      <c r="S194" s="76" t="str">
        <f t="shared" si="12"/>
        <v/>
      </c>
      <c r="T194" s="76" t="str">
        <f t="shared" si="13"/>
        <v>-- C399_疾患開始日</v>
      </c>
      <c r="U194" s="4" t="str">
        <f t="shared" si="20"/>
        <v>,'shikkan186_start_date'</v>
      </c>
      <c r="V194" s="25" t="str">
        <f t="shared" si="8"/>
        <v>,'shikkan186_start_date' : 'C399_疾患開始日'</v>
      </c>
      <c r="X194" s="25">
        <v>1</v>
      </c>
      <c r="AA194" s="4"/>
      <c r="AB194" s="4"/>
      <c r="AC194" s="4"/>
      <c r="AD194" s="4"/>
      <c r="AE194" s="4"/>
      <c r="AF194" s="4"/>
      <c r="AG194" s="4"/>
      <c r="AH194" s="4"/>
      <c r="AI194" s="4"/>
      <c r="AJ194" s="76" t="str">
        <f>IF(E194="○",IF(COUNTA(E$13:E194)=1,"",",")&amp;D194,"")</f>
        <v/>
      </c>
      <c r="AK194" s="4"/>
      <c r="AL194" s="4"/>
      <c r="AM194" s="4"/>
      <c r="AN194" s="4"/>
      <c r="AO194" s="4"/>
      <c r="AP194" s="4"/>
      <c r="AQ194" s="4"/>
      <c r="AR194" s="4"/>
      <c r="AS194" s="76" t="str">
        <f>"COMMENT ON COLUMN "&amp;エンティティ一覧!$O$2&amp;"."&amp;D$8&amp;"."&amp;D194&amp;" IS '"&amp;C194&amp;"';"</f>
        <v>COMMENT ON COLUMN milscm_2023_009.main_diagnosis_start_date.shikkan186_start_date IS 'C399_疾患開始日';</v>
      </c>
    </row>
    <row r="195" spans="1:45" s="25" customFormat="1">
      <c r="A195" s="4" t="s">
        <v>5338</v>
      </c>
      <c r="B195" s="21">
        <f t="shared" si="19"/>
        <v>193</v>
      </c>
      <c r="C195" s="13" t="str">
        <f t="shared" si="21"/>
        <v>C400_疾患開始日</v>
      </c>
      <c r="D195" s="13" t="s">
        <v>4955</v>
      </c>
      <c r="E195" s="8"/>
      <c r="F195" s="7" t="s">
        <v>4348</v>
      </c>
      <c r="G195" s="7" t="s">
        <v>25</v>
      </c>
      <c r="H195" s="58"/>
      <c r="I195" s="23"/>
      <c r="J195" s="24"/>
      <c r="M195" s="4"/>
      <c r="N195" s="76"/>
      <c r="O195" s="76"/>
      <c r="P195" s="76" t="str">
        <f t="shared" si="9"/>
        <v>,shikkan187_start_date</v>
      </c>
      <c r="Q195" s="76" t="str">
        <f t="shared" si="10"/>
        <v>DATE</v>
      </c>
      <c r="R195" s="76" t="str">
        <f t="shared" si="11"/>
        <v/>
      </c>
      <c r="S195" s="76" t="str">
        <f t="shared" si="12"/>
        <v/>
      </c>
      <c r="T195" s="76" t="str">
        <f t="shared" si="13"/>
        <v>-- C400_疾患開始日</v>
      </c>
      <c r="U195" s="4" t="str">
        <f t="shared" si="20"/>
        <v>,'shikkan187_start_date'</v>
      </c>
      <c r="V195" s="25" t="str">
        <f t="shared" si="8"/>
        <v>,'shikkan187_start_date' : 'C400_疾患開始日'</v>
      </c>
      <c r="X195" s="25">
        <v>1</v>
      </c>
      <c r="AA195" s="4"/>
      <c r="AB195" s="4"/>
      <c r="AC195" s="4"/>
      <c r="AD195" s="4"/>
      <c r="AE195" s="4"/>
      <c r="AF195" s="4"/>
      <c r="AG195" s="4"/>
      <c r="AH195" s="4"/>
      <c r="AI195" s="4"/>
      <c r="AJ195" s="76" t="str">
        <f>IF(E195="○",IF(COUNTA(E$13:E195)=1,"",",")&amp;D195,"")</f>
        <v/>
      </c>
      <c r="AK195" s="4"/>
      <c r="AL195" s="4"/>
      <c r="AM195" s="4"/>
      <c r="AN195" s="4"/>
      <c r="AO195" s="4"/>
      <c r="AP195" s="4"/>
      <c r="AQ195" s="4"/>
      <c r="AR195" s="4"/>
      <c r="AS195" s="76" t="str">
        <f>"COMMENT ON COLUMN "&amp;エンティティ一覧!$O$2&amp;"."&amp;D$8&amp;"."&amp;D195&amp;" IS '"&amp;C195&amp;"';"</f>
        <v>COMMENT ON COLUMN milscm_2023_009.main_diagnosis_start_date.shikkan187_start_date IS 'C400_疾患開始日';</v>
      </c>
    </row>
    <row r="196" spans="1:45" s="25" customFormat="1">
      <c r="A196" s="4" t="s">
        <v>5339</v>
      </c>
      <c r="B196" s="21">
        <f t="shared" ref="B196:B259" si="22">ROW()-2</f>
        <v>194</v>
      </c>
      <c r="C196" s="13" t="str">
        <f t="shared" si="21"/>
        <v>C401_疾患開始日</v>
      </c>
      <c r="D196" s="13" t="s">
        <v>4956</v>
      </c>
      <c r="E196" s="8"/>
      <c r="F196" s="7" t="s">
        <v>4348</v>
      </c>
      <c r="G196" s="7" t="s">
        <v>25</v>
      </c>
      <c r="H196" s="58"/>
      <c r="I196" s="23"/>
      <c r="J196" s="24"/>
      <c r="M196" s="4"/>
      <c r="N196" s="76"/>
      <c r="O196" s="76"/>
      <c r="P196" s="76" t="str">
        <f t="shared" si="9"/>
        <v>,shikkan188_start_date</v>
      </c>
      <c r="Q196" s="76" t="str">
        <f t="shared" si="10"/>
        <v>DATE</v>
      </c>
      <c r="R196" s="76" t="str">
        <f t="shared" si="11"/>
        <v/>
      </c>
      <c r="S196" s="76" t="str">
        <f t="shared" si="12"/>
        <v/>
      </c>
      <c r="T196" s="76" t="str">
        <f t="shared" si="13"/>
        <v>-- C401_疾患開始日</v>
      </c>
      <c r="U196" s="4" t="str">
        <f t="shared" si="20"/>
        <v>,'shikkan188_start_date'</v>
      </c>
      <c r="V196" s="25" t="str">
        <f t="shared" si="8"/>
        <v>,'shikkan188_start_date' : 'C401_疾患開始日'</v>
      </c>
      <c r="X196" s="25">
        <v>1</v>
      </c>
      <c r="AA196" s="4"/>
      <c r="AB196" s="4"/>
      <c r="AC196" s="4"/>
      <c r="AD196" s="4"/>
      <c r="AE196" s="4"/>
      <c r="AF196" s="4"/>
      <c r="AG196" s="4"/>
      <c r="AH196" s="4"/>
      <c r="AI196" s="4"/>
      <c r="AJ196" s="76" t="str">
        <f>IF(E196="○",IF(COUNTA(E$13:E196)=1,"",",")&amp;D196,"")</f>
        <v/>
      </c>
      <c r="AK196" s="4"/>
      <c r="AL196" s="4"/>
      <c r="AM196" s="4"/>
      <c r="AN196" s="4"/>
      <c r="AO196" s="4"/>
      <c r="AP196" s="4"/>
      <c r="AQ196" s="4"/>
      <c r="AR196" s="4"/>
      <c r="AS196" s="76" t="str">
        <f>"COMMENT ON COLUMN "&amp;エンティティ一覧!$O$2&amp;"."&amp;D$8&amp;"."&amp;D196&amp;" IS '"&amp;C196&amp;"';"</f>
        <v>COMMENT ON COLUMN milscm_2023_009.main_diagnosis_start_date.shikkan188_start_date IS 'C401_疾患開始日';</v>
      </c>
    </row>
    <row r="197" spans="1:45" s="25" customFormat="1">
      <c r="A197" s="4" t="s">
        <v>5340</v>
      </c>
      <c r="B197" s="21">
        <f t="shared" si="22"/>
        <v>195</v>
      </c>
      <c r="C197" s="13" t="str">
        <f t="shared" si="21"/>
        <v>C402_疾患開始日</v>
      </c>
      <c r="D197" s="13" t="s">
        <v>4957</v>
      </c>
      <c r="E197" s="8"/>
      <c r="F197" s="7" t="s">
        <v>4348</v>
      </c>
      <c r="G197" s="7" t="s">
        <v>25</v>
      </c>
      <c r="H197" s="58"/>
      <c r="I197" s="23"/>
      <c r="J197" s="24"/>
      <c r="M197" s="4"/>
      <c r="N197" s="76"/>
      <c r="O197" s="76"/>
      <c r="P197" s="76" t="str">
        <f t="shared" si="9"/>
        <v>,shikkan189_start_date</v>
      </c>
      <c r="Q197" s="76" t="str">
        <f t="shared" si="10"/>
        <v>DATE</v>
      </c>
      <c r="R197" s="76" t="str">
        <f t="shared" si="11"/>
        <v/>
      </c>
      <c r="S197" s="76" t="str">
        <f t="shared" si="12"/>
        <v/>
      </c>
      <c r="T197" s="76" t="str">
        <f t="shared" si="13"/>
        <v>-- C402_疾患開始日</v>
      </c>
      <c r="U197" s="4" t="str">
        <f t="shared" si="20"/>
        <v>,'shikkan189_start_date'</v>
      </c>
      <c r="V197" s="25" t="str">
        <f t="shared" si="8"/>
        <v>,'shikkan189_start_date' : 'C402_疾患開始日'</v>
      </c>
      <c r="X197" s="25">
        <v>1</v>
      </c>
      <c r="AA197" s="4"/>
      <c r="AB197" s="4"/>
      <c r="AC197" s="4"/>
      <c r="AD197" s="4"/>
      <c r="AE197" s="4"/>
      <c r="AF197" s="4"/>
      <c r="AG197" s="4"/>
      <c r="AH197" s="4"/>
      <c r="AI197" s="4"/>
      <c r="AJ197" s="76" t="str">
        <f>IF(E197="○",IF(COUNTA(E$13:E197)=1,"",",")&amp;D197,"")</f>
        <v/>
      </c>
      <c r="AK197" s="4"/>
      <c r="AL197" s="4"/>
      <c r="AM197" s="4"/>
      <c r="AN197" s="4"/>
      <c r="AO197" s="4"/>
      <c r="AP197" s="4"/>
      <c r="AQ197" s="4"/>
      <c r="AR197" s="4"/>
      <c r="AS197" s="76" t="str">
        <f>"COMMENT ON COLUMN "&amp;エンティティ一覧!$O$2&amp;"."&amp;D$8&amp;"."&amp;D197&amp;" IS '"&amp;C197&amp;"';"</f>
        <v>COMMENT ON COLUMN milscm_2023_009.main_diagnosis_start_date.shikkan189_start_date IS 'C402_疾患開始日';</v>
      </c>
    </row>
    <row r="198" spans="1:45" s="25" customFormat="1">
      <c r="A198" s="4" t="s">
        <v>5341</v>
      </c>
      <c r="B198" s="21">
        <f t="shared" si="22"/>
        <v>196</v>
      </c>
      <c r="C198" s="13" t="str">
        <f t="shared" si="21"/>
        <v>C403_疾患開始日</v>
      </c>
      <c r="D198" s="13" t="s">
        <v>4958</v>
      </c>
      <c r="E198" s="8"/>
      <c r="F198" s="7" t="s">
        <v>4348</v>
      </c>
      <c r="G198" s="7" t="s">
        <v>25</v>
      </c>
      <c r="H198" s="58"/>
      <c r="I198" s="23"/>
      <c r="J198" s="24"/>
      <c r="M198" s="4"/>
      <c r="N198" s="76"/>
      <c r="O198" s="76"/>
      <c r="P198" s="76" t="str">
        <f t="shared" si="9"/>
        <v>,shikkan190_start_date</v>
      </c>
      <c r="Q198" s="76" t="str">
        <f t="shared" si="10"/>
        <v>DATE</v>
      </c>
      <c r="R198" s="76" t="str">
        <f t="shared" si="11"/>
        <v/>
      </c>
      <c r="S198" s="76" t="str">
        <f t="shared" si="12"/>
        <v/>
      </c>
      <c r="T198" s="76" t="str">
        <f t="shared" si="13"/>
        <v>-- C403_疾患開始日</v>
      </c>
      <c r="U198" s="4" t="str">
        <f t="shared" si="20"/>
        <v>,'shikkan190_start_date'</v>
      </c>
      <c r="V198" s="25" t="str">
        <f t="shared" si="8"/>
        <v>,'shikkan190_start_date' : 'C403_疾患開始日'</v>
      </c>
      <c r="X198" s="25">
        <v>1</v>
      </c>
      <c r="AA198" s="4"/>
      <c r="AB198" s="4"/>
      <c r="AC198" s="4"/>
      <c r="AD198" s="4"/>
      <c r="AE198" s="4"/>
      <c r="AF198" s="4"/>
      <c r="AG198" s="4"/>
      <c r="AH198" s="4"/>
      <c r="AI198" s="4"/>
      <c r="AJ198" s="76" t="str">
        <f>IF(E198="○",IF(COUNTA(E$13:E198)=1,"",",")&amp;D198,"")</f>
        <v/>
      </c>
      <c r="AK198" s="4"/>
      <c r="AL198" s="4"/>
      <c r="AM198" s="4"/>
      <c r="AN198" s="4"/>
      <c r="AO198" s="4"/>
      <c r="AP198" s="4"/>
      <c r="AQ198" s="4"/>
      <c r="AR198" s="4"/>
      <c r="AS198" s="76" t="str">
        <f>"COMMENT ON COLUMN "&amp;エンティティ一覧!$O$2&amp;"."&amp;D$8&amp;"."&amp;D198&amp;" IS '"&amp;C198&amp;"';"</f>
        <v>COMMENT ON COLUMN milscm_2023_009.main_diagnosis_start_date.shikkan190_start_date IS 'C403_疾患開始日';</v>
      </c>
    </row>
    <row r="199" spans="1:45" s="25" customFormat="1">
      <c r="A199" s="4" t="s">
        <v>5342</v>
      </c>
      <c r="B199" s="21">
        <f t="shared" si="22"/>
        <v>197</v>
      </c>
      <c r="C199" s="13" t="str">
        <f t="shared" si="21"/>
        <v>C408_疾患開始日</v>
      </c>
      <c r="D199" s="13" t="s">
        <v>4959</v>
      </c>
      <c r="E199" s="8"/>
      <c r="F199" s="7" t="s">
        <v>4348</v>
      </c>
      <c r="G199" s="7" t="s">
        <v>25</v>
      </c>
      <c r="H199" s="58"/>
      <c r="I199" s="23"/>
      <c r="J199" s="24"/>
      <c r="M199" s="4"/>
      <c r="N199" s="76"/>
      <c r="O199" s="76"/>
      <c r="P199" s="76" t="str">
        <f t="shared" si="9"/>
        <v>,shikkan191_start_date</v>
      </c>
      <c r="Q199" s="76" t="str">
        <f t="shared" si="10"/>
        <v>DATE</v>
      </c>
      <c r="R199" s="76" t="str">
        <f t="shared" si="11"/>
        <v/>
      </c>
      <c r="S199" s="76" t="str">
        <f t="shared" si="12"/>
        <v/>
      </c>
      <c r="T199" s="76" t="str">
        <f t="shared" si="13"/>
        <v>-- C408_疾患開始日</v>
      </c>
      <c r="U199" s="4" t="str">
        <f t="shared" si="20"/>
        <v>,'shikkan191_start_date'</v>
      </c>
      <c r="V199" s="25" t="str">
        <f t="shared" si="8"/>
        <v>,'shikkan191_start_date' : 'C408_疾患開始日'</v>
      </c>
      <c r="X199" s="25">
        <v>1</v>
      </c>
      <c r="AA199" s="4"/>
      <c r="AB199" s="4"/>
      <c r="AC199" s="4"/>
      <c r="AD199" s="4"/>
      <c r="AE199" s="4"/>
      <c r="AF199" s="4"/>
      <c r="AG199" s="4"/>
      <c r="AH199" s="4"/>
      <c r="AI199" s="4"/>
      <c r="AJ199" s="76" t="str">
        <f>IF(E199="○",IF(COUNTA(E$13:E199)=1,"",",")&amp;D199,"")</f>
        <v/>
      </c>
      <c r="AK199" s="4"/>
      <c r="AL199" s="4"/>
      <c r="AM199" s="4"/>
      <c r="AN199" s="4"/>
      <c r="AO199" s="4"/>
      <c r="AP199" s="4"/>
      <c r="AQ199" s="4"/>
      <c r="AR199" s="4"/>
      <c r="AS199" s="76" t="str">
        <f>"COMMENT ON COLUMN "&amp;エンティティ一覧!$O$2&amp;"."&amp;D$8&amp;"."&amp;D199&amp;" IS '"&amp;C199&amp;"';"</f>
        <v>COMMENT ON COLUMN milscm_2023_009.main_diagnosis_start_date.shikkan191_start_date IS 'C408_疾患開始日';</v>
      </c>
    </row>
    <row r="200" spans="1:45" s="25" customFormat="1">
      <c r="A200" s="4" t="s">
        <v>5343</v>
      </c>
      <c r="B200" s="21">
        <f t="shared" si="22"/>
        <v>198</v>
      </c>
      <c r="C200" s="13" t="str">
        <f t="shared" si="21"/>
        <v>C409_疾患開始日</v>
      </c>
      <c r="D200" s="13" t="s">
        <v>4960</v>
      </c>
      <c r="E200" s="8"/>
      <c r="F200" s="7" t="s">
        <v>4348</v>
      </c>
      <c r="G200" s="7" t="s">
        <v>25</v>
      </c>
      <c r="H200" s="58"/>
      <c r="I200" s="23"/>
      <c r="J200" s="24"/>
      <c r="M200" s="4"/>
      <c r="N200" s="76"/>
      <c r="O200" s="76"/>
      <c r="P200" s="76" t="str">
        <f t="shared" si="9"/>
        <v>,shikkan192_start_date</v>
      </c>
      <c r="Q200" s="76" t="str">
        <f t="shared" si="10"/>
        <v>DATE</v>
      </c>
      <c r="R200" s="76" t="str">
        <f t="shared" si="11"/>
        <v/>
      </c>
      <c r="S200" s="76" t="str">
        <f t="shared" si="12"/>
        <v/>
      </c>
      <c r="T200" s="76" t="str">
        <f t="shared" si="13"/>
        <v>-- C409_疾患開始日</v>
      </c>
      <c r="U200" s="4" t="str">
        <f t="shared" si="20"/>
        <v>,'shikkan192_start_date'</v>
      </c>
      <c r="V200" s="25" t="str">
        <f t="shared" si="8"/>
        <v>,'shikkan192_start_date' : 'C409_疾患開始日'</v>
      </c>
      <c r="X200" s="25">
        <v>1</v>
      </c>
      <c r="AA200" s="4"/>
      <c r="AB200" s="4"/>
      <c r="AC200" s="4"/>
      <c r="AD200" s="4"/>
      <c r="AE200" s="4"/>
      <c r="AF200" s="4"/>
      <c r="AG200" s="4"/>
      <c r="AH200" s="4"/>
      <c r="AI200" s="4"/>
      <c r="AJ200" s="76" t="str">
        <f>IF(E200="○",IF(COUNTA(E$13:E200)=1,"",",")&amp;D200,"")</f>
        <v/>
      </c>
      <c r="AK200" s="4"/>
      <c r="AL200" s="4"/>
      <c r="AM200" s="4"/>
      <c r="AN200" s="4"/>
      <c r="AO200" s="4"/>
      <c r="AP200" s="4"/>
      <c r="AQ200" s="4"/>
      <c r="AR200" s="4"/>
      <c r="AS200" s="76" t="str">
        <f>"COMMENT ON COLUMN "&amp;エンティティ一覧!$O$2&amp;"."&amp;D$8&amp;"."&amp;D200&amp;" IS '"&amp;C200&amp;"';"</f>
        <v>COMMENT ON COLUMN milscm_2023_009.main_diagnosis_start_date.shikkan192_start_date IS 'C409_疾患開始日';</v>
      </c>
    </row>
    <row r="201" spans="1:45" s="25" customFormat="1">
      <c r="A201" s="4" t="s">
        <v>5344</v>
      </c>
      <c r="B201" s="21">
        <f t="shared" si="22"/>
        <v>199</v>
      </c>
      <c r="C201" s="13" t="str">
        <f t="shared" si="21"/>
        <v>C410_疾患開始日</v>
      </c>
      <c r="D201" s="13" t="s">
        <v>4961</v>
      </c>
      <c r="E201" s="8"/>
      <c r="F201" s="7" t="s">
        <v>4348</v>
      </c>
      <c r="G201" s="7" t="s">
        <v>99</v>
      </c>
      <c r="H201" s="58"/>
      <c r="I201" s="23"/>
      <c r="J201" s="24"/>
      <c r="M201" s="4"/>
      <c r="N201" s="76"/>
      <c r="O201" s="76"/>
      <c r="P201" s="76" t="str">
        <f t="shared" si="9"/>
        <v>,shikkan193_start_date</v>
      </c>
      <c r="Q201" s="76" t="str">
        <f t="shared" si="10"/>
        <v>DATE</v>
      </c>
      <c r="R201" s="76" t="str">
        <f t="shared" si="11"/>
        <v/>
      </c>
      <c r="S201" s="76" t="str">
        <f t="shared" si="12"/>
        <v/>
      </c>
      <c r="T201" s="76" t="str">
        <f t="shared" si="13"/>
        <v>-- C410_疾患開始日</v>
      </c>
      <c r="U201" s="4" t="str">
        <f t="shared" ref="U201:U264" si="23">IF(B201&lt;&gt;1,",","")&amp;"'"&amp;D201&amp;"'"</f>
        <v>,'shikkan193_start_date'</v>
      </c>
      <c r="V201" s="25" t="str">
        <f t="shared" ref="V201:V264" si="24">U201&amp;" : '"&amp;C201&amp;"'"</f>
        <v>,'shikkan193_start_date' : 'C410_疾患開始日'</v>
      </c>
      <c r="X201" s="25">
        <v>1</v>
      </c>
      <c r="AA201" s="4"/>
      <c r="AB201" s="4"/>
      <c r="AC201" s="4"/>
      <c r="AD201" s="4"/>
      <c r="AE201" s="4"/>
      <c r="AF201" s="4"/>
      <c r="AG201" s="4"/>
      <c r="AH201" s="4"/>
      <c r="AI201" s="4"/>
      <c r="AJ201" s="76" t="str">
        <f>IF(E201="○",IF(COUNTA(E$13:E201)=1,"",",")&amp;D201,"")</f>
        <v/>
      </c>
      <c r="AK201" s="4"/>
      <c r="AL201" s="4"/>
      <c r="AM201" s="4"/>
      <c r="AN201" s="4"/>
      <c r="AO201" s="4"/>
      <c r="AP201" s="4"/>
      <c r="AQ201" s="4"/>
      <c r="AR201" s="4"/>
      <c r="AS201" s="76" t="str">
        <f>"COMMENT ON COLUMN "&amp;エンティティ一覧!$O$2&amp;"."&amp;D$8&amp;"."&amp;D201&amp;" IS '"&amp;C201&amp;"';"</f>
        <v>COMMENT ON COLUMN milscm_2023_009.main_diagnosis_start_date.shikkan193_start_date IS 'C410_疾患開始日';</v>
      </c>
    </row>
    <row r="202" spans="1:45" s="25" customFormat="1">
      <c r="A202" s="4" t="s">
        <v>5345</v>
      </c>
      <c r="B202" s="21">
        <f t="shared" si="22"/>
        <v>200</v>
      </c>
      <c r="C202" s="13" t="str">
        <f t="shared" ref="C202:C265" si="25">A202&amp;"_疾患開始日"</f>
        <v>C411_疾患開始日</v>
      </c>
      <c r="D202" s="13" t="s">
        <v>4962</v>
      </c>
      <c r="E202" s="8"/>
      <c r="F202" s="7" t="s">
        <v>4348</v>
      </c>
      <c r="G202" s="7" t="s">
        <v>25</v>
      </c>
      <c r="H202" s="58"/>
      <c r="I202" s="23"/>
      <c r="J202" s="24"/>
      <c r="M202" s="4"/>
      <c r="N202" s="76"/>
      <c r="O202" s="76"/>
      <c r="P202" s="76" t="str">
        <f t="shared" si="9"/>
        <v>,shikkan194_start_date</v>
      </c>
      <c r="Q202" s="76" t="str">
        <f t="shared" si="10"/>
        <v>DATE</v>
      </c>
      <c r="R202" s="76" t="str">
        <f t="shared" si="11"/>
        <v/>
      </c>
      <c r="S202" s="76" t="str">
        <f t="shared" si="12"/>
        <v/>
      </c>
      <c r="T202" s="76" t="str">
        <f t="shared" si="13"/>
        <v>-- C411_疾患開始日</v>
      </c>
      <c r="U202" s="4" t="str">
        <f t="shared" si="23"/>
        <v>,'shikkan194_start_date'</v>
      </c>
      <c r="V202" s="25" t="str">
        <f t="shared" si="24"/>
        <v>,'shikkan194_start_date' : 'C411_疾患開始日'</v>
      </c>
      <c r="X202" s="25">
        <v>1</v>
      </c>
      <c r="AA202" s="4"/>
      <c r="AB202" s="4"/>
      <c r="AC202" s="4"/>
      <c r="AD202" s="4"/>
      <c r="AE202" s="4"/>
      <c r="AF202" s="4"/>
      <c r="AG202" s="4"/>
      <c r="AH202" s="4"/>
      <c r="AI202" s="4"/>
      <c r="AJ202" s="76" t="str">
        <f>IF(E202="○",IF(COUNTA(E$13:E202)=1,"",",")&amp;D202,"")</f>
        <v/>
      </c>
      <c r="AK202" s="4"/>
      <c r="AL202" s="4"/>
      <c r="AM202" s="4"/>
      <c r="AN202" s="4"/>
      <c r="AO202" s="4"/>
      <c r="AP202" s="4"/>
      <c r="AQ202" s="4"/>
      <c r="AR202" s="4"/>
      <c r="AS202" s="76" t="str">
        <f>"COMMENT ON COLUMN "&amp;エンティティ一覧!$O$2&amp;"."&amp;D$8&amp;"."&amp;D202&amp;" IS '"&amp;C202&amp;"';"</f>
        <v>COMMENT ON COLUMN milscm_2023_009.main_diagnosis_start_date.shikkan194_start_date IS 'C411_疾患開始日';</v>
      </c>
    </row>
    <row r="203" spans="1:45" s="25" customFormat="1">
      <c r="A203" s="4" t="s">
        <v>5346</v>
      </c>
      <c r="B203" s="21">
        <f t="shared" si="22"/>
        <v>201</v>
      </c>
      <c r="C203" s="13" t="str">
        <f t="shared" si="25"/>
        <v>C412_疾患開始日</v>
      </c>
      <c r="D203" s="13" t="s">
        <v>4963</v>
      </c>
      <c r="E203" s="8"/>
      <c r="F203" s="7" t="s">
        <v>4348</v>
      </c>
      <c r="G203" s="7" t="s">
        <v>25</v>
      </c>
      <c r="H203" s="58"/>
      <c r="I203" s="23"/>
      <c r="J203" s="24"/>
      <c r="M203" s="4"/>
      <c r="N203" s="76"/>
      <c r="O203" s="76"/>
      <c r="P203" s="76" t="str">
        <f t="shared" si="9"/>
        <v>,shikkan195_start_date</v>
      </c>
      <c r="Q203" s="76" t="str">
        <f t="shared" si="10"/>
        <v>DATE</v>
      </c>
      <c r="R203" s="76" t="str">
        <f t="shared" si="11"/>
        <v/>
      </c>
      <c r="S203" s="76" t="str">
        <f t="shared" si="12"/>
        <v/>
      </c>
      <c r="T203" s="76" t="str">
        <f t="shared" si="13"/>
        <v>-- C412_疾患開始日</v>
      </c>
      <c r="U203" s="4" t="str">
        <f t="shared" si="23"/>
        <v>,'shikkan195_start_date'</v>
      </c>
      <c r="V203" s="25" t="str">
        <f t="shared" si="24"/>
        <v>,'shikkan195_start_date' : 'C412_疾患開始日'</v>
      </c>
      <c r="X203" s="25">
        <v>1</v>
      </c>
      <c r="AA203" s="4"/>
      <c r="AB203" s="4"/>
      <c r="AC203" s="4"/>
      <c r="AD203" s="4"/>
      <c r="AE203" s="4"/>
      <c r="AF203" s="4"/>
      <c r="AG203" s="4"/>
      <c r="AH203" s="4"/>
      <c r="AI203" s="4"/>
      <c r="AJ203" s="76" t="str">
        <f>IF(E203="○",IF(COUNTA(E$13:E203)=1,"",",")&amp;D203,"")</f>
        <v/>
      </c>
      <c r="AK203" s="4"/>
      <c r="AL203" s="4"/>
      <c r="AM203" s="4"/>
      <c r="AN203" s="4"/>
      <c r="AO203" s="4"/>
      <c r="AP203" s="4"/>
      <c r="AQ203" s="4"/>
      <c r="AR203" s="4"/>
      <c r="AS203" s="76" t="str">
        <f>"COMMENT ON COLUMN "&amp;エンティティ一覧!$O$2&amp;"."&amp;D$8&amp;"."&amp;D203&amp;" IS '"&amp;C203&amp;"';"</f>
        <v>COMMENT ON COLUMN milscm_2023_009.main_diagnosis_start_date.shikkan195_start_date IS 'C412_疾患開始日';</v>
      </c>
    </row>
    <row r="204" spans="1:45" s="25" customFormat="1">
      <c r="A204" s="4" t="s">
        <v>5347</v>
      </c>
      <c r="B204" s="21">
        <f t="shared" si="22"/>
        <v>202</v>
      </c>
      <c r="C204" s="13" t="str">
        <f t="shared" si="25"/>
        <v>C413_疾患開始日</v>
      </c>
      <c r="D204" s="13" t="s">
        <v>4964</v>
      </c>
      <c r="E204" s="8"/>
      <c r="F204" s="7" t="s">
        <v>4348</v>
      </c>
      <c r="G204" s="7" t="s">
        <v>25</v>
      </c>
      <c r="H204" s="58"/>
      <c r="I204" s="23"/>
      <c r="J204" s="24"/>
      <c r="M204" s="4"/>
      <c r="N204" s="76"/>
      <c r="O204" s="76"/>
      <c r="P204" s="76" t="str">
        <f t="shared" si="9"/>
        <v>,shikkan196_start_date</v>
      </c>
      <c r="Q204" s="76" t="str">
        <f t="shared" si="10"/>
        <v>DATE</v>
      </c>
      <c r="R204" s="76" t="str">
        <f t="shared" si="11"/>
        <v/>
      </c>
      <c r="S204" s="76" t="str">
        <f t="shared" si="12"/>
        <v/>
      </c>
      <c r="T204" s="76" t="str">
        <f t="shared" si="13"/>
        <v>-- C413_疾患開始日</v>
      </c>
      <c r="U204" s="4" t="str">
        <f t="shared" si="23"/>
        <v>,'shikkan196_start_date'</v>
      </c>
      <c r="V204" s="25" t="str">
        <f t="shared" si="24"/>
        <v>,'shikkan196_start_date' : 'C413_疾患開始日'</v>
      </c>
      <c r="X204" s="25">
        <v>1</v>
      </c>
      <c r="AA204" s="4"/>
      <c r="AB204" s="4"/>
      <c r="AC204" s="4"/>
      <c r="AD204" s="4"/>
      <c r="AE204" s="4"/>
      <c r="AF204" s="4"/>
      <c r="AG204" s="4"/>
      <c r="AH204" s="4"/>
      <c r="AI204" s="4"/>
      <c r="AJ204" s="76" t="str">
        <f>IF(E204="○",IF(COUNTA(E$13:E204)=1,"",",")&amp;D204,"")</f>
        <v/>
      </c>
      <c r="AK204" s="4"/>
      <c r="AL204" s="4"/>
      <c r="AM204" s="4"/>
      <c r="AN204" s="4"/>
      <c r="AO204" s="4"/>
      <c r="AP204" s="4"/>
      <c r="AQ204" s="4"/>
      <c r="AR204" s="4"/>
      <c r="AS204" s="76" t="str">
        <f>"COMMENT ON COLUMN "&amp;エンティティ一覧!$O$2&amp;"."&amp;D$8&amp;"."&amp;D204&amp;" IS '"&amp;C204&amp;"';"</f>
        <v>COMMENT ON COLUMN milscm_2023_009.main_diagnosis_start_date.shikkan196_start_date IS 'C413_疾患開始日';</v>
      </c>
    </row>
    <row r="205" spans="1:45" s="25" customFormat="1">
      <c r="A205" s="4" t="s">
        <v>5348</v>
      </c>
      <c r="B205" s="21">
        <f t="shared" si="22"/>
        <v>203</v>
      </c>
      <c r="C205" s="13" t="str">
        <f t="shared" si="25"/>
        <v>C414_疾患開始日</v>
      </c>
      <c r="D205" s="13" t="s">
        <v>4965</v>
      </c>
      <c r="E205" s="8"/>
      <c r="F205" s="7" t="s">
        <v>4348</v>
      </c>
      <c r="G205" s="7" t="s">
        <v>25</v>
      </c>
      <c r="H205" s="58"/>
      <c r="I205" s="23"/>
      <c r="J205" s="24"/>
      <c r="M205" s="4"/>
      <c r="N205" s="76"/>
      <c r="O205" s="76"/>
      <c r="P205" s="76" t="str">
        <f t="shared" si="9"/>
        <v>,shikkan197_start_date</v>
      </c>
      <c r="Q205" s="76" t="str">
        <f t="shared" si="10"/>
        <v>DATE</v>
      </c>
      <c r="R205" s="76" t="str">
        <f t="shared" si="11"/>
        <v/>
      </c>
      <c r="S205" s="76" t="str">
        <f t="shared" si="12"/>
        <v/>
      </c>
      <c r="T205" s="76" t="str">
        <f t="shared" si="13"/>
        <v>-- C414_疾患開始日</v>
      </c>
      <c r="U205" s="4" t="str">
        <f t="shared" si="23"/>
        <v>,'shikkan197_start_date'</v>
      </c>
      <c r="V205" s="25" t="str">
        <f t="shared" si="24"/>
        <v>,'shikkan197_start_date' : 'C414_疾患開始日'</v>
      </c>
      <c r="X205" s="25">
        <v>1</v>
      </c>
      <c r="AA205" s="4"/>
      <c r="AB205" s="4"/>
      <c r="AC205" s="4"/>
      <c r="AD205" s="4"/>
      <c r="AE205" s="4"/>
      <c r="AF205" s="4"/>
      <c r="AG205" s="4"/>
      <c r="AH205" s="4"/>
      <c r="AI205" s="4"/>
      <c r="AJ205" s="76" t="str">
        <f>IF(E205="○",IF(COUNTA(E$13:E205)=1,"",",")&amp;D205,"")</f>
        <v/>
      </c>
      <c r="AK205" s="4"/>
      <c r="AL205" s="4"/>
      <c r="AM205" s="4"/>
      <c r="AN205" s="4"/>
      <c r="AO205" s="4"/>
      <c r="AP205" s="4"/>
      <c r="AQ205" s="4"/>
      <c r="AR205" s="4"/>
      <c r="AS205" s="76" t="str">
        <f>"COMMENT ON COLUMN "&amp;エンティティ一覧!$O$2&amp;"."&amp;D$8&amp;"."&amp;D205&amp;" IS '"&amp;C205&amp;"';"</f>
        <v>COMMENT ON COLUMN milscm_2023_009.main_diagnosis_start_date.shikkan197_start_date IS 'C414_疾患開始日';</v>
      </c>
    </row>
    <row r="206" spans="1:45" s="25" customFormat="1">
      <c r="A206" s="4" t="s">
        <v>5349</v>
      </c>
      <c r="B206" s="21">
        <f t="shared" si="22"/>
        <v>204</v>
      </c>
      <c r="C206" s="13" t="str">
        <f t="shared" si="25"/>
        <v>C418_疾患開始日</v>
      </c>
      <c r="D206" s="13" t="s">
        <v>4966</v>
      </c>
      <c r="E206" s="8"/>
      <c r="F206" s="7" t="s">
        <v>4348</v>
      </c>
      <c r="G206" s="7" t="s">
        <v>25</v>
      </c>
      <c r="H206" s="58"/>
      <c r="I206" s="23"/>
      <c r="J206" s="24"/>
      <c r="M206" s="4"/>
      <c r="N206" s="76"/>
      <c r="O206" s="76"/>
      <c r="P206" s="76" t="str">
        <f t="shared" si="9"/>
        <v>,shikkan198_start_date</v>
      </c>
      <c r="Q206" s="76" t="str">
        <f t="shared" si="10"/>
        <v>DATE</v>
      </c>
      <c r="R206" s="76" t="str">
        <f t="shared" si="11"/>
        <v/>
      </c>
      <c r="S206" s="76" t="str">
        <f t="shared" si="12"/>
        <v/>
      </c>
      <c r="T206" s="76" t="str">
        <f t="shared" si="13"/>
        <v>-- C418_疾患開始日</v>
      </c>
      <c r="U206" s="4" t="str">
        <f t="shared" si="23"/>
        <v>,'shikkan198_start_date'</v>
      </c>
      <c r="V206" s="25" t="str">
        <f t="shared" si="24"/>
        <v>,'shikkan198_start_date' : 'C418_疾患開始日'</v>
      </c>
      <c r="X206" s="25">
        <v>1</v>
      </c>
      <c r="AA206" s="4"/>
      <c r="AB206" s="4"/>
      <c r="AC206" s="4"/>
      <c r="AD206" s="4"/>
      <c r="AE206" s="4"/>
      <c r="AF206" s="4"/>
      <c r="AG206" s="4"/>
      <c r="AH206" s="4"/>
      <c r="AI206" s="4"/>
      <c r="AJ206" s="76" t="str">
        <f>IF(E206="○",IF(COUNTA(E$13:E206)=1,"",",")&amp;D206,"")</f>
        <v/>
      </c>
      <c r="AK206" s="4"/>
      <c r="AL206" s="4"/>
      <c r="AM206" s="4"/>
      <c r="AN206" s="4"/>
      <c r="AO206" s="4"/>
      <c r="AP206" s="4"/>
      <c r="AQ206" s="4"/>
      <c r="AR206" s="4"/>
      <c r="AS206" s="76" t="str">
        <f>"COMMENT ON COLUMN "&amp;エンティティ一覧!$O$2&amp;"."&amp;D$8&amp;"."&amp;D206&amp;" IS '"&amp;C206&amp;"';"</f>
        <v>COMMENT ON COLUMN milscm_2023_009.main_diagnosis_start_date.shikkan198_start_date IS 'C418_疾患開始日';</v>
      </c>
    </row>
    <row r="207" spans="1:45" s="25" customFormat="1">
      <c r="A207" s="4" t="s">
        <v>5350</v>
      </c>
      <c r="B207" s="21">
        <f t="shared" si="22"/>
        <v>205</v>
      </c>
      <c r="C207" s="13" t="str">
        <f t="shared" si="25"/>
        <v>C419_疾患開始日</v>
      </c>
      <c r="D207" s="13" t="s">
        <v>4967</v>
      </c>
      <c r="E207" s="8"/>
      <c r="F207" s="7" t="s">
        <v>4348</v>
      </c>
      <c r="G207" s="7" t="s">
        <v>25</v>
      </c>
      <c r="H207" s="58"/>
      <c r="I207" s="23"/>
      <c r="J207" s="24"/>
      <c r="M207" s="4"/>
      <c r="N207" s="76"/>
      <c r="O207" s="76"/>
      <c r="P207" s="76" t="str">
        <f t="shared" si="9"/>
        <v>,shikkan199_start_date</v>
      </c>
      <c r="Q207" s="76" t="str">
        <f t="shared" si="10"/>
        <v>DATE</v>
      </c>
      <c r="R207" s="76" t="str">
        <f t="shared" si="11"/>
        <v/>
      </c>
      <c r="S207" s="76" t="str">
        <f t="shared" si="12"/>
        <v/>
      </c>
      <c r="T207" s="76" t="str">
        <f t="shared" si="13"/>
        <v>-- C419_疾患開始日</v>
      </c>
      <c r="U207" s="4" t="str">
        <f t="shared" si="23"/>
        <v>,'shikkan199_start_date'</v>
      </c>
      <c r="V207" s="25" t="str">
        <f t="shared" si="24"/>
        <v>,'shikkan199_start_date' : 'C419_疾患開始日'</v>
      </c>
      <c r="X207" s="25">
        <v>1</v>
      </c>
      <c r="AA207" s="4"/>
      <c r="AB207" s="4"/>
      <c r="AC207" s="4"/>
      <c r="AD207" s="4"/>
      <c r="AE207" s="4"/>
      <c r="AF207" s="4"/>
      <c r="AG207" s="4"/>
      <c r="AH207" s="4"/>
      <c r="AI207" s="4"/>
      <c r="AJ207" s="76" t="str">
        <f>IF(E207="○",IF(COUNTA(E$13:E207)=1,"",",")&amp;D207,"")</f>
        <v/>
      </c>
      <c r="AK207" s="4"/>
      <c r="AL207" s="4"/>
      <c r="AM207" s="4"/>
      <c r="AN207" s="4"/>
      <c r="AO207" s="4"/>
      <c r="AP207" s="4"/>
      <c r="AQ207" s="4"/>
      <c r="AR207" s="4"/>
      <c r="AS207" s="76" t="str">
        <f>"COMMENT ON COLUMN "&amp;エンティティ一覧!$O$2&amp;"."&amp;D$8&amp;"."&amp;D207&amp;" IS '"&amp;C207&amp;"';"</f>
        <v>COMMENT ON COLUMN milscm_2023_009.main_diagnosis_start_date.shikkan199_start_date IS 'C419_疾患開始日';</v>
      </c>
    </row>
    <row r="208" spans="1:45" s="25" customFormat="1">
      <c r="A208" s="4" t="s">
        <v>5351</v>
      </c>
      <c r="B208" s="21">
        <f t="shared" si="22"/>
        <v>206</v>
      </c>
      <c r="C208" s="13" t="str">
        <f t="shared" si="25"/>
        <v>C430_疾患開始日</v>
      </c>
      <c r="D208" s="13" t="s">
        <v>4968</v>
      </c>
      <c r="E208" s="8"/>
      <c r="F208" s="7" t="s">
        <v>4348</v>
      </c>
      <c r="G208" s="7" t="s">
        <v>25</v>
      </c>
      <c r="H208" s="58"/>
      <c r="I208" s="23"/>
      <c r="J208" s="24"/>
      <c r="M208" s="4"/>
      <c r="N208" s="76"/>
      <c r="O208" s="76"/>
      <c r="P208" s="76" t="str">
        <f t="shared" si="9"/>
        <v>,shikkan200_start_date</v>
      </c>
      <c r="Q208" s="76" t="str">
        <f t="shared" si="10"/>
        <v>DATE</v>
      </c>
      <c r="R208" s="76" t="str">
        <f t="shared" si="11"/>
        <v/>
      </c>
      <c r="S208" s="76" t="str">
        <f t="shared" si="12"/>
        <v/>
      </c>
      <c r="T208" s="76" t="str">
        <f t="shared" si="13"/>
        <v>-- C430_疾患開始日</v>
      </c>
      <c r="U208" s="4" t="str">
        <f t="shared" si="23"/>
        <v>,'shikkan200_start_date'</v>
      </c>
      <c r="V208" s="25" t="str">
        <f t="shared" si="24"/>
        <v>,'shikkan200_start_date' : 'C430_疾患開始日'</v>
      </c>
      <c r="X208" s="25">
        <v>1</v>
      </c>
      <c r="AA208" s="4"/>
      <c r="AB208" s="4"/>
      <c r="AC208" s="4"/>
      <c r="AD208" s="4"/>
      <c r="AE208" s="4"/>
      <c r="AF208" s="4"/>
      <c r="AG208" s="4"/>
      <c r="AH208" s="4"/>
      <c r="AI208" s="4"/>
      <c r="AJ208" s="76" t="str">
        <f>IF(E208="○",IF(COUNTA(E$13:E208)=1,"",",")&amp;D208,"")</f>
        <v/>
      </c>
      <c r="AK208" s="4"/>
      <c r="AL208" s="4"/>
      <c r="AM208" s="4"/>
      <c r="AN208" s="4"/>
      <c r="AO208" s="4"/>
      <c r="AP208" s="4"/>
      <c r="AQ208" s="4"/>
      <c r="AR208" s="4"/>
      <c r="AS208" s="76" t="str">
        <f>"COMMENT ON COLUMN "&amp;エンティティ一覧!$O$2&amp;"."&amp;D$8&amp;"."&amp;D208&amp;" IS '"&amp;C208&amp;"';"</f>
        <v>COMMENT ON COLUMN milscm_2023_009.main_diagnosis_start_date.shikkan200_start_date IS 'C430_疾患開始日';</v>
      </c>
    </row>
    <row r="209" spans="1:45" s="25" customFormat="1">
      <c r="A209" s="4" t="s">
        <v>5352</v>
      </c>
      <c r="B209" s="21">
        <f t="shared" si="22"/>
        <v>207</v>
      </c>
      <c r="C209" s="13" t="str">
        <f t="shared" si="25"/>
        <v>C431_疾患開始日</v>
      </c>
      <c r="D209" s="13" t="s">
        <v>4969</v>
      </c>
      <c r="E209" s="8"/>
      <c r="F209" s="7" t="s">
        <v>4348</v>
      </c>
      <c r="G209" s="7" t="s">
        <v>25</v>
      </c>
      <c r="H209" s="58"/>
      <c r="I209" s="23"/>
      <c r="J209" s="24"/>
      <c r="M209" s="4"/>
      <c r="N209" s="76"/>
      <c r="O209" s="76"/>
      <c r="P209" s="76" t="str">
        <f t="shared" si="9"/>
        <v>,shikkan201_start_date</v>
      </c>
      <c r="Q209" s="76" t="str">
        <f t="shared" si="10"/>
        <v>DATE</v>
      </c>
      <c r="R209" s="76" t="str">
        <f t="shared" si="11"/>
        <v/>
      </c>
      <c r="S209" s="76" t="str">
        <f t="shared" si="12"/>
        <v/>
      </c>
      <c r="T209" s="76" t="str">
        <f t="shared" si="13"/>
        <v>-- C431_疾患開始日</v>
      </c>
      <c r="U209" s="4" t="str">
        <f t="shared" si="23"/>
        <v>,'shikkan201_start_date'</v>
      </c>
      <c r="V209" s="25" t="str">
        <f t="shared" si="24"/>
        <v>,'shikkan201_start_date' : 'C431_疾患開始日'</v>
      </c>
      <c r="X209" s="25">
        <v>1</v>
      </c>
      <c r="AA209" s="4"/>
      <c r="AB209" s="4"/>
      <c r="AC209" s="4"/>
      <c r="AD209" s="4"/>
      <c r="AE209" s="4"/>
      <c r="AF209" s="4"/>
      <c r="AG209" s="4"/>
      <c r="AH209" s="4"/>
      <c r="AI209" s="4"/>
      <c r="AJ209" s="76" t="str">
        <f>IF(E209="○",IF(COUNTA(E$13:E209)=1,"",",")&amp;D209,"")</f>
        <v/>
      </c>
      <c r="AK209" s="4"/>
      <c r="AL209" s="4"/>
      <c r="AM209" s="4"/>
      <c r="AN209" s="4"/>
      <c r="AO209" s="4"/>
      <c r="AP209" s="4"/>
      <c r="AQ209" s="4"/>
      <c r="AR209" s="4"/>
      <c r="AS209" s="76" t="str">
        <f>"COMMENT ON COLUMN "&amp;エンティティ一覧!$O$2&amp;"."&amp;D$8&amp;"."&amp;D209&amp;" IS '"&amp;C209&amp;"';"</f>
        <v>COMMENT ON COLUMN milscm_2023_009.main_diagnosis_start_date.shikkan201_start_date IS 'C431_疾患開始日';</v>
      </c>
    </row>
    <row r="210" spans="1:45" s="25" customFormat="1">
      <c r="A210" s="4" t="s">
        <v>5353</v>
      </c>
      <c r="B210" s="21">
        <f t="shared" si="22"/>
        <v>208</v>
      </c>
      <c r="C210" s="13" t="str">
        <f t="shared" si="25"/>
        <v>C432_疾患開始日</v>
      </c>
      <c r="D210" s="13" t="s">
        <v>4970</v>
      </c>
      <c r="E210" s="8"/>
      <c r="F210" s="7" t="s">
        <v>4348</v>
      </c>
      <c r="G210" s="7" t="s">
        <v>25</v>
      </c>
      <c r="H210" s="58"/>
      <c r="I210" s="23"/>
      <c r="J210" s="24"/>
      <c r="M210" s="4"/>
      <c r="N210" s="76"/>
      <c r="O210" s="76"/>
      <c r="P210" s="76" t="str">
        <f t="shared" si="9"/>
        <v>,shikkan202_start_date</v>
      </c>
      <c r="Q210" s="76" t="str">
        <f t="shared" si="10"/>
        <v>DATE</v>
      </c>
      <c r="R210" s="76" t="str">
        <f t="shared" si="11"/>
        <v/>
      </c>
      <c r="S210" s="76" t="str">
        <f t="shared" si="12"/>
        <v/>
      </c>
      <c r="T210" s="76" t="str">
        <f t="shared" si="13"/>
        <v>-- C432_疾患開始日</v>
      </c>
      <c r="U210" s="4" t="str">
        <f t="shared" si="23"/>
        <v>,'shikkan202_start_date'</v>
      </c>
      <c r="V210" s="25" t="str">
        <f t="shared" si="24"/>
        <v>,'shikkan202_start_date' : 'C432_疾患開始日'</v>
      </c>
      <c r="X210" s="25">
        <v>1</v>
      </c>
      <c r="AA210" s="4"/>
      <c r="AB210" s="4"/>
      <c r="AC210" s="4"/>
      <c r="AD210" s="4"/>
      <c r="AE210" s="4"/>
      <c r="AF210" s="4"/>
      <c r="AG210" s="4"/>
      <c r="AH210" s="4"/>
      <c r="AI210" s="4"/>
      <c r="AJ210" s="76" t="str">
        <f>IF(E210="○",IF(COUNTA(E$13:E210)=1,"",",")&amp;D210,"")</f>
        <v/>
      </c>
      <c r="AK210" s="4"/>
      <c r="AL210" s="4"/>
      <c r="AM210" s="4"/>
      <c r="AN210" s="4"/>
      <c r="AO210" s="4"/>
      <c r="AP210" s="4"/>
      <c r="AQ210" s="4"/>
      <c r="AR210" s="4"/>
      <c r="AS210" s="76" t="str">
        <f>"COMMENT ON COLUMN "&amp;エンティティ一覧!$O$2&amp;"."&amp;D$8&amp;"."&amp;D210&amp;" IS '"&amp;C210&amp;"';"</f>
        <v>COMMENT ON COLUMN milscm_2023_009.main_diagnosis_start_date.shikkan202_start_date IS 'C432_疾患開始日';</v>
      </c>
    </row>
    <row r="211" spans="1:45" s="25" customFormat="1">
      <c r="A211" s="4" t="s">
        <v>5354</v>
      </c>
      <c r="B211" s="21">
        <f t="shared" si="22"/>
        <v>209</v>
      </c>
      <c r="C211" s="13" t="str">
        <f t="shared" si="25"/>
        <v>C433_疾患開始日</v>
      </c>
      <c r="D211" s="13" t="s">
        <v>4971</v>
      </c>
      <c r="E211" s="8"/>
      <c r="F211" s="7" t="s">
        <v>4348</v>
      </c>
      <c r="G211" s="7" t="s">
        <v>25</v>
      </c>
      <c r="H211" s="58"/>
      <c r="I211" s="23"/>
      <c r="J211" s="24"/>
      <c r="M211" s="4"/>
      <c r="N211" s="76"/>
      <c r="O211" s="76"/>
      <c r="P211" s="76" t="str">
        <f t="shared" si="9"/>
        <v>,shikkan203_start_date</v>
      </c>
      <c r="Q211" s="76" t="str">
        <f t="shared" si="10"/>
        <v>DATE</v>
      </c>
      <c r="R211" s="76" t="str">
        <f t="shared" si="11"/>
        <v/>
      </c>
      <c r="S211" s="76" t="str">
        <f t="shared" si="12"/>
        <v/>
      </c>
      <c r="T211" s="76" t="str">
        <f t="shared" si="13"/>
        <v>-- C433_疾患開始日</v>
      </c>
      <c r="U211" s="4" t="str">
        <f t="shared" si="23"/>
        <v>,'shikkan203_start_date'</v>
      </c>
      <c r="V211" s="25" t="str">
        <f t="shared" si="24"/>
        <v>,'shikkan203_start_date' : 'C433_疾患開始日'</v>
      </c>
      <c r="X211" s="25">
        <v>1</v>
      </c>
      <c r="AA211" s="4"/>
      <c r="AB211" s="4"/>
      <c r="AC211" s="4"/>
      <c r="AD211" s="4"/>
      <c r="AE211" s="4"/>
      <c r="AF211" s="4"/>
      <c r="AG211" s="4"/>
      <c r="AH211" s="4"/>
      <c r="AI211" s="4"/>
      <c r="AJ211" s="76" t="str">
        <f>IF(E211="○",IF(COUNTA(E$13:E211)=1,"",",")&amp;D211,"")</f>
        <v/>
      </c>
      <c r="AK211" s="4"/>
      <c r="AL211" s="4"/>
      <c r="AM211" s="4"/>
      <c r="AN211" s="4"/>
      <c r="AO211" s="4"/>
      <c r="AP211" s="4"/>
      <c r="AQ211" s="4"/>
      <c r="AR211" s="4"/>
      <c r="AS211" s="76" t="str">
        <f>"COMMENT ON COLUMN "&amp;エンティティ一覧!$O$2&amp;"."&amp;D$8&amp;"."&amp;D211&amp;" IS '"&amp;C211&amp;"';"</f>
        <v>COMMENT ON COLUMN milscm_2023_009.main_diagnosis_start_date.shikkan203_start_date IS 'C433_疾患開始日';</v>
      </c>
    </row>
    <row r="212" spans="1:45" s="25" customFormat="1">
      <c r="A212" s="4" t="s">
        <v>5355</v>
      </c>
      <c r="B212" s="21">
        <f t="shared" si="22"/>
        <v>210</v>
      </c>
      <c r="C212" s="13" t="str">
        <f t="shared" si="25"/>
        <v>C434_疾患開始日</v>
      </c>
      <c r="D212" s="13" t="s">
        <v>4972</v>
      </c>
      <c r="E212" s="8"/>
      <c r="F212" s="7" t="s">
        <v>4348</v>
      </c>
      <c r="G212" s="7" t="s">
        <v>25</v>
      </c>
      <c r="H212" s="58"/>
      <c r="I212" s="23"/>
      <c r="J212" s="24"/>
      <c r="M212" s="4"/>
      <c r="N212" s="76"/>
      <c r="O212" s="76"/>
      <c r="P212" s="76" t="str">
        <f t="shared" si="9"/>
        <v>,shikkan204_start_date</v>
      </c>
      <c r="Q212" s="76" t="str">
        <f t="shared" si="10"/>
        <v>DATE</v>
      </c>
      <c r="R212" s="76" t="str">
        <f t="shared" si="11"/>
        <v/>
      </c>
      <c r="S212" s="76" t="str">
        <f t="shared" si="12"/>
        <v/>
      </c>
      <c r="T212" s="76" t="str">
        <f t="shared" si="13"/>
        <v>-- C434_疾患開始日</v>
      </c>
      <c r="U212" s="4" t="str">
        <f t="shared" si="23"/>
        <v>,'shikkan204_start_date'</v>
      </c>
      <c r="V212" s="25" t="str">
        <f t="shared" si="24"/>
        <v>,'shikkan204_start_date' : 'C434_疾患開始日'</v>
      </c>
      <c r="X212" s="25">
        <v>1</v>
      </c>
      <c r="AA212" s="4"/>
      <c r="AB212" s="4"/>
      <c r="AC212" s="4"/>
      <c r="AD212" s="4"/>
      <c r="AE212" s="4"/>
      <c r="AF212" s="4"/>
      <c r="AG212" s="4"/>
      <c r="AH212" s="4"/>
      <c r="AI212" s="4"/>
      <c r="AJ212" s="76" t="str">
        <f>IF(E212="○",IF(COUNTA(E$13:E212)=1,"",",")&amp;D212,"")</f>
        <v/>
      </c>
      <c r="AK212" s="4"/>
      <c r="AL212" s="4"/>
      <c r="AM212" s="4"/>
      <c r="AN212" s="4"/>
      <c r="AO212" s="4"/>
      <c r="AP212" s="4"/>
      <c r="AQ212" s="4"/>
      <c r="AR212" s="4"/>
      <c r="AS212" s="76" t="str">
        <f>"COMMENT ON COLUMN "&amp;エンティティ一覧!$O$2&amp;"."&amp;D$8&amp;"."&amp;D212&amp;" IS '"&amp;C212&amp;"';"</f>
        <v>COMMENT ON COLUMN milscm_2023_009.main_diagnosis_start_date.shikkan204_start_date IS 'C434_疾患開始日';</v>
      </c>
    </row>
    <row r="213" spans="1:45" s="25" customFormat="1">
      <c r="A213" s="4" t="s">
        <v>5356</v>
      </c>
      <c r="B213" s="21">
        <f t="shared" si="22"/>
        <v>211</v>
      </c>
      <c r="C213" s="13" t="str">
        <f t="shared" si="25"/>
        <v>C435_疾患開始日</v>
      </c>
      <c r="D213" s="13" t="s">
        <v>4973</v>
      </c>
      <c r="E213" s="8"/>
      <c r="F213" s="7" t="s">
        <v>4348</v>
      </c>
      <c r="G213" s="7" t="s">
        <v>25</v>
      </c>
      <c r="H213" s="58"/>
      <c r="I213" s="23"/>
      <c r="J213" s="24"/>
      <c r="M213" s="4"/>
      <c r="N213" s="76"/>
      <c r="O213" s="76"/>
      <c r="P213" s="76" t="str">
        <f t="shared" si="9"/>
        <v>,shikkan205_start_date</v>
      </c>
      <c r="Q213" s="76" t="str">
        <f t="shared" si="10"/>
        <v>DATE</v>
      </c>
      <c r="R213" s="76" t="str">
        <f t="shared" si="11"/>
        <v/>
      </c>
      <c r="S213" s="76" t="str">
        <f t="shared" si="12"/>
        <v/>
      </c>
      <c r="T213" s="76" t="str">
        <f t="shared" si="13"/>
        <v>-- C435_疾患開始日</v>
      </c>
      <c r="U213" s="4" t="str">
        <f t="shared" si="23"/>
        <v>,'shikkan205_start_date'</v>
      </c>
      <c r="V213" s="25" t="str">
        <f t="shared" si="24"/>
        <v>,'shikkan205_start_date' : 'C435_疾患開始日'</v>
      </c>
      <c r="X213" s="25">
        <v>1</v>
      </c>
      <c r="AA213" s="4"/>
      <c r="AB213" s="4"/>
      <c r="AC213" s="4"/>
      <c r="AD213" s="4"/>
      <c r="AE213" s="4"/>
      <c r="AF213" s="4"/>
      <c r="AG213" s="4"/>
      <c r="AH213" s="4"/>
      <c r="AI213" s="4"/>
      <c r="AJ213" s="76" t="str">
        <f>IF(E213="○",IF(COUNTA(E$13:E213)=1,"",",")&amp;D213,"")</f>
        <v/>
      </c>
      <c r="AK213" s="4"/>
      <c r="AL213" s="4"/>
      <c r="AM213" s="4"/>
      <c r="AN213" s="4"/>
      <c r="AO213" s="4"/>
      <c r="AP213" s="4"/>
      <c r="AQ213" s="4"/>
      <c r="AR213" s="4"/>
      <c r="AS213" s="76" t="str">
        <f>"COMMENT ON COLUMN "&amp;エンティティ一覧!$O$2&amp;"."&amp;D$8&amp;"."&amp;D213&amp;" IS '"&amp;C213&amp;"';"</f>
        <v>COMMENT ON COLUMN milscm_2023_009.main_diagnosis_start_date.shikkan205_start_date IS 'C435_疾患開始日';</v>
      </c>
    </row>
    <row r="214" spans="1:45" s="25" customFormat="1">
      <c r="A214" s="4" t="s">
        <v>5357</v>
      </c>
      <c r="B214" s="21">
        <f t="shared" si="22"/>
        <v>212</v>
      </c>
      <c r="C214" s="13" t="str">
        <f t="shared" si="25"/>
        <v>C436_疾患開始日</v>
      </c>
      <c r="D214" s="13" t="s">
        <v>4974</v>
      </c>
      <c r="E214" s="8"/>
      <c r="F214" s="7" t="s">
        <v>4348</v>
      </c>
      <c r="G214" s="7" t="s">
        <v>25</v>
      </c>
      <c r="H214" s="58"/>
      <c r="I214" s="23"/>
      <c r="J214" s="24"/>
      <c r="M214" s="4"/>
      <c r="N214" s="76"/>
      <c r="O214" s="76"/>
      <c r="P214" s="76" t="str">
        <f t="shared" si="9"/>
        <v>,shikkan206_start_date</v>
      </c>
      <c r="Q214" s="76" t="str">
        <f t="shared" si="10"/>
        <v>DATE</v>
      </c>
      <c r="R214" s="76" t="str">
        <f t="shared" si="11"/>
        <v/>
      </c>
      <c r="S214" s="76" t="str">
        <f t="shared" si="12"/>
        <v/>
      </c>
      <c r="T214" s="76" t="str">
        <f t="shared" si="13"/>
        <v>-- C436_疾患開始日</v>
      </c>
      <c r="U214" s="4" t="str">
        <f t="shared" si="23"/>
        <v>,'shikkan206_start_date'</v>
      </c>
      <c r="V214" s="25" t="str">
        <f t="shared" si="24"/>
        <v>,'shikkan206_start_date' : 'C436_疾患開始日'</v>
      </c>
      <c r="X214" s="25">
        <v>1</v>
      </c>
      <c r="AA214" s="4"/>
      <c r="AB214" s="4"/>
      <c r="AC214" s="4"/>
      <c r="AD214" s="4"/>
      <c r="AE214" s="4"/>
      <c r="AF214" s="4"/>
      <c r="AG214" s="4"/>
      <c r="AH214" s="4"/>
      <c r="AI214" s="4"/>
      <c r="AJ214" s="76" t="str">
        <f>IF(E214="○",IF(COUNTA(E$13:E214)=1,"",",")&amp;D214,"")</f>
        <v/>
      </c>
      <c r="AK214" s="4"/>
      <c r="AL214" s="4"/>
      <c r="AM214" s="4"/>
      <c r="AN214" s="4"/>
      <c r="AO214" s="4"/>
      <c r="AP214" s="4"/>
      <c r="AQ214" s="4"/>
      <c r="AR214" s="4"/>
      <c r="AS214" s="76" t="str">
        <f>"COMMENT ON COLUMN "&amp;エンティティ一覧!$O$2&amp;"."&amp;D$8&amp;"."&amp;D214&amp;" IS '"&amp;C214&amp;"';"</f>
        <v>COMMENT ON COLUMN milscm_2023_009.main_diagnosis_start_date.shikkan206_start_date IS 'C436_疾患開始日';</v>
      </c>
    </row>
    <row r="215" spans="1:45" s="25" customFormat="1">
      <c r="A215" s="4" t="s">
        <v>5358</v>
      </c>
      <c r="B215" s="21">
        <f t="shared" si="22"/>
        <v>213</v>
      </c>
      <c r="C215" s="13" t="str">
        <f t="shared" si="25"/>
        <v>C437_疾患開始日</v>
      </c>
      <c r="D215" s="13" t="s">
        <v>4975</v>
      </c>
      <c r="E215" s="8"/>
      <c r="F215" s="7" t="s">
        <v>4348</v>
      </c>
      <c r="G215" s="7" t="s">
        <v>25</v>
      </c>
      <c r="H215" s="58"/>
      <c r="I215" s="23"/>
      <c r="J215" s="24"/>
      <c r="M215" s="4"/>
      <c r="N215" s="76"/>
      <c r="O215" s="76"/>
      <c r="P215" s="76" t="str">
        <f t="shared" si="9"/>
        <v>,shikkan207_start_date</v>
      </c>
      <c r="Q215" s="76" t="str">
        <f t="shared" si="10"/>
        <v>DATE</v>
      </c>
      <c r="R215" s="76" t="str">
        <f t="shared" si="11"/>
        <v/>
      </c>
      <c r="S215" s="76" t="str">
        <f t="shared" si="12"/>
        <v/>
      </c>
      <c r="T215" s="76" t="str">
        <f t="shared" si="13"/>
        <v>-- C437_疾患開始日</v>
      </c>
      <c r="U215" s="4" t="str">
        <f t="shared" si="23"/>
        <v>,'shikkan207_start_date'</v>
      </c>
      <c r="V215" s="25" t="str">
        <f t="shared" si="24"/>
        <v>,'shikkan207_start_date' : 'C437_疾患開始日'</v>
      </c>
      <c r="X215" s="25">
        <v>1</v>
      </c>
      <c r="AA215" s="4"/>
      <c r="AB215" s="4"/>
      <c r="AC215" s="4"/>
      <c r="AD215" s="4"/>
      <c r="AE215" s="4"/>
      <c r="AF215" s="4"/>
      <c r="AG215" s="4"/>
      <c r="AH215" s="4"/>
      <c r="AI215" s="4"/>
      <c r="AJ215" s="76" t="str">
        <f>IF(E215="○",IF(COUNTA(E$13:E215)=1,"",",")&amp;D215,"")</f>
        <v/>
      </c>
      <c r="AK215" s="4"/>
      <c r="AL215" s="4"/>
      <c r="AM215" s="4"/>
      <c r="AN215" s="4"/>
      <c r="AO215" s="4"/>
      <c r="AP215" s="4"/>
      <c r="AQ215" s="4"/>
      <c r="AR215" s="4"/>
      <c r="AS215" s="76" t="str">
        <f>"COMMENT ON COLUMN "&amp;エンティティ一覧!$O$2&amp;"."&amp;D$8&amp;"."&amp;D215&amp;" IS '"&amp;C215&amp;"';"</f>
        <v>COMMENT ON COLUMN milscm_2023_009.main_diagnosis_start_date.shikkan207_start_date IS 'C437_疾患開始日';</v>
      </c>
    </row>
    <row r="216" spans="1:45" s="25" customFormat="1">
      <c r="A216" s="4" t="s">
        <v>5359</v>
      </c>
      <c r="B216" s="21">
        <f t="shared" si="22"/>
        <v>214</v>
      </c>
      <c r="C216" s="13" t="str">
        <f t="shared" si="25"/>
        <v>C438_疾患開始日</v>
      </c>
      <c r="D216" s="13" t="s">
        <v>4976</v>
      </c>
      <c r="E216" s="8"/>
      <c r="F216" s="7" t="s">
        <v>4348</v>
      </c>
      <c r="G216" s="7" t="s">
        <v>25</v>
      </c>
      <c r="H216" s="58"/>
      <c r="I216" s="23"/>
      <c r="J216" s="24"/>
      <c r="M216" s="4"/>
      <c r="N216" s="76"/>
      <c r="O216" s="76"/>
      <c r="P216" s="76" t="str">
        <f t="shared" si="9"/>
        <v>,shikkan208_start_date</v>
      </c>
      <c r="Q216" s="76" t="str">
        <f t="shared" si="10"/>
        <v>DATE</v>
      </c>
      <c r="R216" s="76" t="str">
        <f t="shared" si="11"/>
        <v/>
      </c>
      <c r="S216" s="76" t="str">
        <f t="shared" si="12"/>
        <v/>
      </c>
      <c r="T216" s="76" t="str">
        <f t="shared" si="13"/>
        <v>-- C438_疾患開始日</v>
      </c>
      <c r="U216" s="4" t="str">
        <f t="shared" si="23"/>
        <v>,'shikkan208_start_date'</v>
      </c>
      <c r="V216" s="25" t="str">
        <f t="shared" si="24"/>
        <v>,'shikkan208_start_date' : 'C438_疾患開始日'</v>
      </c>
      <c r="X216" s="25">
        <v>1</v>
      </c>
      <c r="AA216" s="4"/>
      <c r="AB216" s="4"/>
      <c r="AC216" s="4"/>
      <c r="AD216" s="4"/>
      <c r="AE216" s="4"/>
      <c r="AF216" s="4"/>
      <c r="AG216" s="4"/>
      <c r="AH216" s="4"/>
      <c r="AI216" s="4"/>
      <c r="AJ216" s="76" t="str">
        <f>IF(E216="○",IF(COUNTA(E$13:E216)=1,"",",")&amp;D216,"")</f>
        <v/>
      </c>
      <c r="AK216" s="4"/>
      <c r="AL216" s="4"/>
      <c r="AM216" s="4"/>
      <c r="AN216" s="4"/>
      <c r="AO216" s="4"/>
      <c r="AP216" s="4"/>
      <c r="AQ216" s="4"/>
      <c r="AR216" s="4"/>
      <c r="AS216" s="76" t="str">
        <f>"COMMENT ON COLUMN "&amp;エンティティ一覧!$O$2&amp;"."&amp;D$8&amp;"."&amp;D216&amp;" IS '"&amp;C216&amp;"';"</f>
        <v>COMMENT ON COLUMN milscm_2023_009.main_diagnosis_start_date.shikkan208_start_date IS 'C438_疾患開始日';</v>
      </c>
    </row>
    <row r="217" spans="1:45" s="25" customFormat="1">
      <c r="A217" s="4" t="s">
        <v>5360</v>
      </c>
      <c r="B217" s="21">
        <f t="shared" si="22"/>
        <v>215</v>
      </c>
      <c r="C217" s="13" t="str">
        <f t="shared" si="25"/>
        <v>C439_疾患開始日</v>
      </c>
      <c r="D217" s="13" t="s">
        <v>4977</v>
      </c>
      <c r="E217" s="8"/>
      <c r="F217" s="7" t="s">
        <v>4348</v>
      </c>
      <c r="G217" s="7" t="s">
        <v>99</v>
      </c>
      <c r="H217" s="58"/>
      <c r="I217" s="23"/>
      <c r="J217" s="24"/>
      <c r="M217" s="4"/>
      <c r="N217" s="76"/>
      <c r="O217" s="76"/>
      <c r="P217" s="76" t="str">
        <f t="shared" si="9"/>
        <v>,shikkan209_start_date</v>
      </c>
      <c r="Q217" s="76" t="str">
        <f t="shared" si="10"/>
        <v>DATE</v>
      </c>
      <c r="R217" s="76" t="str">
        <f t="shared" si="11"/>
        <v/>
      </c>
      <c r="S217" s="76" t="str">
        <f t="shared" si="12"/>
        <v/>
      </c>
      <c r="T217" s="76" t="str">
        <f t="shared" si="13"/>
        <v>-- C439_疾患開始日</v>
      </c>
      <c r="U217" s="4" t="str">
        <f t="shared" si="23"/>
        <v>,'shikkan209_start_date'</v>
      </c>
      <c r="V217" s="25" t="str">
        <f t="shared" si="24"/>
        <v>,'shikkan209_start_date' : 'C439_疾患開始日'</v>
      </c>
      <c r="X217" s="25">
        <v>1</v>
      </c>
      <c r="AA217" s="4"/>
      <c r="AB217" s="4"/>
      <c r="AC217" s="4"/>
      <c r="AD217" s="4"/>
      <c r="AE217" s="4"/>
      <c r="AF217" s="4"/>
      <c r="AG217" s="4"/>
      <c r="AH217" s="4"/>
      <c r="AI217" s="4"/>
      <c r="AJ217" s="76" t="str">
        <f>IF(E217="○",IF(COUNTA(E$13:E217)=1,"",",")&amp;D217,"")</f>
        <v/>
      </c>
      <c r="AK217" s="4"/>
      <c r="AL217" s="4"/>
      <c r="AM217" s="4"/>
      <c r="AN217" s="4"/>
      <c r="AO217" s="4"/>
      <c r="AP217" s="4"/>
      <c r="AQ217" s="4"/>
      <c r="AR217" s="4"/>
      <c r="AS217" s="76" t="str">
        <f>"COMMENT ON COLUMN "&amp;エンティティ一覧!$O$2&amp;"."&amp;D$8&amp;"."&amp;D217&amp;" IS '"&amp;C217&amp;"';"</f>
        <v>COMMENT ON COLUMN milscm_2023_009.main_diagnosis_start_date.shikkan209_start_date IS 'C439_疾患開始日';</v>
      </c>
    </row>
    <row r="218" spans="1:45" s="25" customFormat="1">
      <c r="A218" s="4" t="s">
        <v>5361</v>
      </c>
      <c r="B218" s="21">
        <f t="shared" si="22"/>
        <v>216</v>
      </c>
      <c r="C218" s="13" t="str">
        <f t="shared" si="25"/>
        <v>C450_疾患開始日</v>
      </c>
      <c r="D218" s="13" t="s">
        <v>4978</v>
      </c>
      <c r="E218" s="8"/>
      <c r="F218" s="7" t="s">
        <v>4348</v>
      </c>
      <c r="G218" s="7" t="s">
        <v>25</v>
      </c>
      <c r="H218" s="58"/>
      <c r="I218" s="23"/>
      <c r="J218" s="24"/>
      <c r="M218" s="4"/>
      <c r="N218" s="76"/>
      <c r="O218" s="76"/>
      <c r="P218" s="76" t="str">
        <f t="shared" si="9"/>
        <v>,shikkan210_start_date</v>
      </c>
      <c r="Q218" s="76" t="str">
        <f t="shared" si="10"/>
        <v>DATE</v>
      </c>
      <c r="R218" s="76" t="str">
        <f t="shared" si="11"/>
        <v/>
      </c>
      <c r="S218" s="76" t="str">
        <f t="shared" si="12"/>
        <v/>
      </c>
      <c r="T218" s="76" t="str">
        <f t="shared" si="13"/>
        <v>-- C450_疾患開始日</v>
      </c>
      <c r="U218" s="4" t="str">
        <f t="shared" si="23"/>
        <v>,'shikkan210_start_date'</v>
      </c>
      <c r="V218" s="25" t="str">
        <f t="shared" si="24"/>
        <v>,'shikkan210_start_date' : 'C450_疾患開始日'</v>
      </c>
      <c r="X218" s="25">
        <v>1</v>
      </c>
      <c r="AA218" s="4"/>
      <c r="AB218" s="4"/>
      <c r="AC218" s="4"/>
      <c r="AD218" s="4"/>
      <c r="AE218" s="4"/>
      <c r="AF218" s="4"/>
      <c r="AG218" s="4"/>
      <c r="AH218" s="4"/>
      <c r="AI218" s="4"/>
      <c r="AJ218" s="76" t="str">
        <f>IF(E218="○",IF(COUNTA(E$13:E218)=1,"",",")&amp;D218,"")</f>
        <v/>
      </c>
      <c r="AK218" s="4"/>
      <c r="AL218" s="4"/>
      <c r="AM218" s="4"/>
      <c r="AN218" s="4"/>
      <c r="AO218" s="4"/>
      <c r="AP218" s="4"/>
      <c r="AQ218" s="4"/>
      <c r="AR218" s="4"/>
      <c r="AS218" s="76" t="str">
        <f>"COMMENT ON COLUMN "&amp;エンティティ一覧!$O$2&amp;"."&amp;D$8&amp;"."&amp;D218&amp;" IS '"&amp;C218&amp;"';"</f>
        <v>COMMENT ON COLUMN milscm_2023_009.main_diagnosis_start_date.shikkan210_start_date IS 'C450_疾患開始日';</v>
      </c>
    </row>
    <row r="219" spans="1:45" s="25" customFormat="1">
      <c r="A219" s="4" t="s">
        <v>5362</v>
      </c>
      <c r="B219" s="21">
        <f t="shared" si="22"/>
        <v>217</v>
      </c>
      <c r="C219" s="13" t="str">
        <f t="shared" si="25"/>
        <v>C451_疾患開始日</v>
      </c>
      <c r="D219" s="13" t="s">
        <v>4979</v>
      </c>
      <c r="E219" s="8"/>
      <c r="F219" s="7" t="s">
        <v>4348</v>
      </c>
      <c r="G219" s="7" t="s">
        <v>25</v>
      </c>
      <c r="H219" s="58"/>
      <c r="I219" s="23"/>
      <c r="J219" s="24"/>
      <c r="M219" s="4"/>
      <c r="N219" s="76"/>
      <c r="O219" s="76"/>
      <c r="P219" s="76" t="str">
        <f t="shared" si="9"/>
        <v>,shikkan211_start_date</v>
      </c>
      <c r="Q219" s="76" t="str">
        <f t="shared" si="10"/>
        <v>DATE</v>
      </c>
      <c r="R219" s="76" t="str">
        <f t="shared" si="11"/>
        <v/>
      </c>
      <c r="S219" s="76" t="str">
        <f t="shared" si="12"/>
        <v/>
      </c>
      <c r="T219" s="76" t="str">
        <f t="shared" si="13"/>
        <v>-- C451_疾患開始日</v>
      </c>
      <c r="U219" s="4" t="str">
        <f t="shared" si="23"/>
        <v>,'shikkan211_start_date'</v>
      </c>
      <c r="V219" s="25" t="str">
        <f t="shared" si="24"/>
        <v>,'shikkan211_start_date' : 'C451_疾患開始日'</v>
      </c>
      <c r="X219" s="25">
        <v>1</v>
      </c>
      <c r="AA219" s="4"/>
      <c r="AB219" s="4"/>
      <c r="AC219" s="4"/>
      <c r="AD219" s="4"/>
      <c r="AE219" s="4"/>
      <c r="AF219" s="4"/>
      <c r="AG219" s="4"/>
      <c r="AH219" s="4"/>
      <c r="AI219" s="4"/>
      <c r="AJ219" s="76" t="str">
        <f>IF(E219="○",IF(COUNTA(E$13:E219)=1,"",",")&amp;D219,"")</f>
        <v/>
      </c>
      <c r="AK219" s="4"/>
      <c r="AL219" s="4"/>
      <c r="AM219" s="4"/>
      <c r="AN219" s="4"/>
      <c r="AO219" s="4"/>
      <c r="AP219" s="4"/>
      <c r="AQ219" s="4"/>
      <c r="AR219" s="4"/>
      <c r="AS219" s="76" t="str">
        <f>"COMMENT ON COLUMN "&amp;エンティティ一覧!$O$2&amp;"."&amp;D$8&amp;"."&amp;D219&amp;" IS '"&amp;C219&amp;"';"</f>
        <v>COMMENT ON COLUMN milscm_2023_009.main_diagnosis_start_date.shikkan211_start_date IS 'C451_疾患開始日';</v>
      </c>
    </row>
    <row r="220" spans="1:45" s="25" customFormat="1">
      <c r="A220" s="4" t="s">
        <v>5363</v>
      </c>
      <c r="B220" s="21">
        <f t="shared" si="22"/>
        <v>218</v>
      </c>
      <c r="C220" s="13" t="str">
        <f t="shared" si="25"/>
        <v>C452_疾患開始日</v>
      </c>
      <c r="D220" s="13" t="s">
        <v>4980</v>
      </c>
      <c r="E220" s="8"/>
      <c r="F220" s="7" t="s">
        <v>4348</v>
      </c>
      <c r="G220" s="7" t="s">
        <v>25</v>
      </c>
      <c r="H220" s="58"/>
      <c r="I220" s="23"/>
      <c r="J220" s="24"/>
      <c r="M220" s="4"/>
      <c r="N220" s="76"/>
      <c r="O220" s="76"/>
      <c r="P220" s="76" t="str">
        <f t="shared" si="9"/>
        <v>,shikkan212_start_date</v>
      </c>
      <c r="Q220" s="76" t="str">
        <f t="shared" si="10"/>
        <v>DATE</v>
      </c>
      <c r="R220" s="76" t="str">
        <f t="shared" si="11"/>
        <v/>
      </c>
      <c r="S220" s="76" t="str">
        <f t="shared" si="12"/>
        <v/>
      </c>
      <c r="T220" s="76" t="str">
        <f t="shared" si="13"/>
        <v>-- C452_疾患開始日</v>
      </c>
      <c r="U220" s="4" t="str">
        <f t="shared" si="23"/>
        <v>,'shikkan212_start_date'</v>
      </c>
      <c r="V220" s="25" t="str">
        <f t="shared" si="24"/>
        <v>,'shikkan212_start_date' : 'C452_疾患開始日'</v>
      </c>
      <c r="X220" s="25">
        <v>1</v>
      </c>
      <c r="AA220" s="4"/>
      <c r="AB220" s="4"/>
      <c r="AC220" s="4"/>
      <c r="AD220" s="4"/>
      <c r="AE220" s="4"/>
      <c r="AF220" s="4"/>
      <c r="AG220" s="4"/>
      <c r="AH220" s="4"/>
      <c r="AI220" s="4"/>
      <c r="AJ220" s="76" t="str">
        <f>IF(E220="○",IF(COUNTA(E$13:E220)=1,"",",")&amp;D220,"")</f>
        <v/>
      </c>
      <c r="AK220" s="4"/>
      <c r="AL220" s="4"/>
      <c r="AM220" s="4"/>
      <c r="AN220" s="4"/>
      <c r="AO220" s="4"/>
      <c r="AP220" s="4"/>
      <c r="AQ220" s="4"/>
      <c r="AR220" s="4"/>
      <c r="AS220" s="76" t="str">
        <f>"COMMENT ON COLUMN "&amp;エンティティ一覧!$O$2&amp;"."&amp;D$8&amp;"."&amp;D220&amp;" IS '"&amp;C220&amp;"';"</f>
        <v>COMMENT ON COLUMN milscm_2023_009.main_diagnosis_start_date.shikkan212_start_date IS 'C452_疾患開始日';</v>
      </c>
    </row>
    <row r="221" spans="1:45" s="25" customFormat="1">
      <c r="A221" s="4" t="s">
        <v>5364</v>
      </c>
      <c r="B221" s="21">
        <f t="shared" si="22"/>
        <v>219</v>
      </c>
      <c r="C221" s="13" t="str">
        <f t="shared" si="25"/>
        <v>C457_疾患開始日</v>
      </c>
      <c r="D221" s="13" t="s">
        <v>4981</v>
      </c>
      <c r="E221" s="8"/>
      <c r="F221" s="7" t="s">
        <v>4348</v>
      </c>
      <c r="G221" s="7" t="s">
        <v>25</v>
      </c>
      <c r="H221" s="58"/>
      <c r="I221" s="23"/>
      <c r="J221" s="24"/>
      <c r="M221" s="4"/>
      <c r="N221" s="76"/>
      <c r="O221" s="76"/>
      <c r="P221" s="76" t="str">
        <f t="shared" si="9"/>
        <v>,shikkan213_start_date</v>
      </c>
      <c r="Q221" s="76" t="str">
        <f t="shared" si="10"/>
        <v>DATE</v>
      </c>
      <c r="R221" s="76" t="str">
        <f t="shared" si="11"/>
        <v/>
      </c>
      <c r="S221" s="76" t="str">
        <f t="shared" si="12"/>
        <v/>
      </c>
      <c r="T221" s="76" t="str">
        <f t="shared" si="13"/>
        <v>-- C457_疾患開始日</v>
      </c>
      <c r="U221" s="4" t="str">
        <f t="shared" si="23"/>
        <v>,'shikkan213_start_date'</v>
      </c>
      <c r="V221" s="25" t="str">
        <f t="shared" si="24"/>
        <v>,'shikkan213_start_date' : 'C457_疾患開始日'</v>
      </c>
      <c r="X221" s="25">
        <v>1</v>
      </c>
      <c r="AA221" s="4"/>
      <c r="AB221" s="4"/>
      <c r="AC221" s="4"/>
      <c r="AD221" s="4"/>
      <c r="AE221" s="4"/>
      <c r="AF221" s="4"/>
      <c r="AG221" s="4"/>
      <c r="AH221" s="4"/>
      <c r="AI221" s="4"/>
      <c r="AJ221" s="76" t="str">
        <f>IF(E221="○",IF(COUNTA(E$13:E221)=1,"",",")&amp;D221,"")</f>
        <v/>
      </c>
      <c r="AK221" s="4"/>
      <c r="AL221" s="4"/>
      <c r="AM221" s="4"/>
      <c r="AN221" s="4"/>
      <c r="AO221" s="4"/>
      <c r="AP221" s="4"/>
      <c r="AQ221" s="4"/>
      <c r="AR221" s="4"/>
      <c r="AS221" s="76" t="str">
        <f>"COMMENT ON COLUMN "&amp;エンティティ一覧!$O$2&amp;"."&amp;D$8&amp;"."&amp;D221&amp;" IS '"&amp;C221&amp;"';"</f>
        <v>COMMENT ON COLUMN milscm_2023_009.main_diagnosis_start_date.shikkan213_start_date IS 'C457_疾患開始日';</v>
      </c>
    </row>
    <row r="222" spans="1:45" s="25" customFormat="1">
      <c r="A222" s="4" t="s">
        <v>5365</v>
      </c>
      <c r="B222" s="21">
        <f t="shared" si="22"/>
        <v>220</v>
      </c>
      <c r="C222" s="13" t="str">
        <f t="shared" si="25"/>
        <v>C459_疾患開始日</v>
      </c>
      <c r="D222" s="13" t="s">
        <v>4982</v>
      </c>
      <c r="E222" s="8"/>
      <c r="F222" s="7" t="s">
        <v>4348</v>
      </c>
      <c r="G222" s="7" t="s">
        <v>25</v>
      </c>
      <c r="H222" s="58"/>
      <c r="I222" s="23"/>
      <c r="J222" s="24"/>
      <c r="M222" s="4"/>
      <c r="N222" s="76"/>
      <c r="O222" s="76"/>
      <c r="P222" s="76" t="str">
        <f t="shared" si="9"/>
        <v>,shikkan214_start_date</v>
      </c>
      <c r="Q222" s="76" t="str">
        <f t="shared" si="10"/>
        <v>DATE</v>
      </c>
      <c r="R222" s="76" t="str">
        <f t="shared" si="11"/>
        <v/>
      </c>
      <c r="S222" s="76" t="str">
        <f t="shared" si="12"/>
        <v/>
      </c>
      <c r="T222" s="76" t="str">
        <f t="shared" si="13"/>
        <v>-- C459_疾患開始日</v>
      </c>
      <c r="U222" s="4" t="str">
        <f t="shared" si="23"/>
        <v>,'shikkan214_start_date'</v>
      </c>
      <c r="V222" s="25" t="str">
        <f t="shared" si="24"/>
        <v>,'shikkan214_start_date' : 'C459_疾患開始日'</v>
      </c>
      <c r="X222" s="25">
        <v>1</v>
      </c>
      <c r="AA222" s="4"/>
      <c r="AB222" s="4"/>
      <c r="AC222" s="4"/>
      <c r="AD222" s="4"/>
      <c r="AE222" s="4"/>
      <c r="AF222" s="4"/>
      <c r="AG222" s="4"/>
      <c r="AH222" s="4"/>
      <c r="AI222" s="4"/>
      <c r="AJ222" s="76" t="str">
        <f>IF(E222="○",IF(COUNTA(E$13:E222)=1,"",",")&amp;D222,"")</f>
        <v/>
      </c>
      <c r="AK222" s="4"/>
      <c r="AL222" s="4"/>
      <c r="AM222" s="4"/>
      <c r="AN222" s="4"/>
      <c r="AO222" s="4"/>
      <c r="AP222" s="4"/>
      <c r="AQ222" s="4"/>
      <c r="AR222" s="4"/>
      <c r="AS222" s="76" t="str">
        <f>"COMMENT ON COLUMN "&amp;エンティティ一覧!$O$2&amp;"."&amp;D$8&amp;"."&amp;D222&amp;" IS '"&amp;C222&amp;"';"</f>
        <v>COMMENT ON COLUMN milscm_2023_009.main_diagnosis_start_date.shikkan214_start_date IS 'C459_疾患開始日';</v>
      </c>
    </row>
    <row r="223" spans="1:45" s="25" customFormat="1">
      <c r="A223" s="4" t="s">
        <v>5366</v>
      </c>
      <c r="B223" s="21">
        <f t="shared" si="22"/>
        <v>221</v>
      </c>
      <c r="C223" s="13" t="str">
        <f t="shared" si="25"/>
        <v>C460_疾患開始日</v>
      </c>
      <c r="D223" s="13" t="s">
        <v>4983</v>
      </c>
      <c r="E223" s="8"/>
      <c r="F223" s="7" t="s">
        <v>4348</v>
      </c>
      <c r="G223" s="7" t="s">
        <v>25</v>
      </c>
      <c r="H223" s="58"/>
      <c r="I223" s="23"/>
      <c r="J223" s="24"/>
      <c r="M223" s="4"/>
      <c r="N223" s="76"/>
      <c r="O223" s="76"/>
      <c r="P223" s="76" t="str">
        <f t="shared" si="9"/>
        <v>,shikkan215_start_date</v>
      </c>
      <c r="Q223" s="76" t="str">
        <f t="shared" si="10"/>
        <v>DATE</v>
      </c>
      <c r="R223" s="76" t="str">
        <f t="shared" si="11"/>
        <v/>
      </c>
      <c r="S223" s="76" t="str">
        <f t="shared" si="12"/>
        <v/>
      </c>
      <c r="T223" s="76" t="str">
        <f t="shared" si="13"/>
        <v>-- C460_疾患開始日</v>
      </c>
      <c r="U223" s="4" t="str">
        <f t="shared" si="23"/>
        <v>,'shikkan215_start_date'</v>
      </c>
      <c r="V223" s="25" t="str">
        <f t="shared" si="24"/>
        <v>,'shikkan215_start_date' : 'C460_疾患開始日'</v>
      </c>
      <c r="X223" s="25">
        <v>1</v>
      </c>
      <c r="AA223" s="4"/>
      <c r="AB223" s="4"/>
      <c r="AC223" s="4"/>
      <c r="AD223" s="4"/>
      <c r="AE223" s="4"/>
      <c r="AF223" s="4"/>
      <c r="AG223" s="4"/>
      <c r="AH223" s="4"/>
      <c r="AI223" s="4"/>
      <c r="AJ223" s="76" t="str">
        <f>IF(E223="○",IF(COUNTA(E$13:E223)=1,"",",")&amp;D223,"")</f>
        <v/>
      </c>
      <c r="AK223" s="4"/>
      <c r="AL223" s="4"/>
      <c r="AM223" s="4"/>
      <c r="AN223" s="4"/>
      <c r="AO223" s="4"/>
      <c r="AP223" s="4"/>
      <c r="AQ223" s="4"/>
      <c r="AR223" s="4"/>
      <c r="AS223" s="76" t="str">
        <f>"COMMENT ON COLUMN "&amp;エンティティ一覧!$O$2&amp;"."&amp;D$8&amp;"."&amp;D223&amp;" IS '"&amp;C223&amp;"';"</f>
        <v>COMMENT ON COLUMN milscm_2023_009.main_diagnosis_start_date.shikkan215_start_date IS 'C460_疾患開始日';</v>
      </c>
    </row>
    <row r="224" spans="1:45" s="25" customFormat="1">
      <c r="A224" s="4" t="s">
        <v>5367</v>
      </c>
      <c r="B224" s="21">
        <f t="shared" si="22"/>
        <v>222</v>
      </c>
      <c r="C224" s="13" t="str">
        <f t="shared" si="25"/>
        <v>C461_疾患開始日</v>
      </c>
      <c r="D224" s="13" t="s">
        <v>4984</v>
      </c>
      <c r="E224" s="8"/>
      <c r="F224" s="7" t="s">
        <v>4348</v>
      </c>
      <c r="G224" s="7" t="s">
        <v>25</v>
      </c>
      <c r="H224" s="58"/>
      <c r="I224" s="23"/>
      <c r="J224" s="24"/>
      <c r="M224" s="4"/>
      <c r="N224" s="76"/>
      <c r="O224" s="76"/>
      <c r="P224" s="76" t="str">
        <f t="shared" si="9"/>
        <v>,shikkan216_start_date</v>
      </c>
      <c r="Q224" s="76" t="str">
        <f t="shared" si="10"/>
        <v>DATE</v>
      </c>
      <c r="R224" s="76" t="str">
        <f t="shared" si="11"/>
        <v/>
      </c>
      <c r="S224" s="76" t="str">
        <f t="shared" si="12"/>
        <v/>
      </c>
      <c r="T224" s="76" t="str">
        <f t="shared" si="13"/>
        <v>-- C461_疾患開始日</v>
      </c>
      <c r="U224" s="4" t="str">
        <f t="shared" si="23"/>
        <v>,'shikkan216_start_date'</v>
      </c>
      <c r="V224" s="25" t="str">
        <f t="shared" si="24"/>
        <v>,'shikkan216_start_date' : 'C461_疾患開始日'</v>
      </c>
      <c r="X224" s="25">
        <v>1</v>
      </c>
      <c r="AA224" s="4"/>
      <c r="AB224" s="4"/>
      <c r="AC224" s="4"/>
      <c r="AD224" s="4"/>
      <c r="AE224" s="4"/>
      <c r="AF224" s="4"/>
      <c r="AG224" s="4"/>
      <c r="AH224" s="4"/>
      <c r="AI224" s="4"/>
      <c r="AJ224" s="76" t="str">
        <f>IF(E224="○",IF(COUNTA(E$13:E224)=1,"",",")&amp;D224,"")</f>
        <v/>
      </c>
      <c r="AK224" s="4"/>
      <c r="AL224" s="4"/>
      <c r="AM224" s="4"/>
      <c r="AN224" s="4"/>
      <c r="AO224" s="4"/>
      <c r="AP224" s="4"/>
      <c r="AQ224" s="4"/>
      <c r="AR224" s="4"/>
      <c r="AS224" s="76" t="str">
        <f>"COMMENT ON COLUMN "&amp;エンティティ一覧!$O$2&amp;"."&amp;D$8&amp;"."&amp;D224&amp;" IS '"&amp;C224&amp;"';"</f>
        <v>COMMENT ON COLUMN milscm_2023_009.main_diagnosis_start_date.shikkan216_start_date IS 'C461_疾患開始日';</v>
      </c>
    </row>
    <row r="225" spans="1:45" s="25" customFormat="1">
      <c r="A225" s="4" t="s">
        <v>5368</v>
      </c>
      <c r="B225" s="21">
        <f t="shared" si="22"/>
        <v>223</v>
      </c>
      <c r="C225" s="13" t="str">
        <f t="shared" si="25"/>
        <v>C462_疾患開始日</v>
      </c>
      <c r="D225" s="13" t="s">
        <v>4985</v>
      </c>
      <c r="E225" s="8"/>
      <c r="F225" s="7" t="s">
        <v>4348</v>
      </c>
      <c r="G225" s="7" t="s">
        <v>25</v>
      </c>
      <c r="H225" s="58"/>
      <c r="I225" s="23"/>
      <c r="J225" s="24"/>
      <c r="M225" s="4"/>
      <c r="N225" s="76"/>
      <c r="O225" s="76"/>
      <c r="P225" s="76" t="str">
        <f t="shared" si="9"/>
        <v>,shikkan217_start_date</v>
      </c>
      <c r="Q225" s="76" t="str">
        <f t="shared" si="10"/>
        <v>DATE</v>
      </c>
      <c r="R225" s="76" t="str">
        <f t="shared" si="11"/>
        <v/>
      </c>
      <c r="S225" s="76" t="str">
        <f t="shared" si="12"/>
        <v/>
      </c>
      <c r="T225" s="76" t="str">
        <f t="shared" si="13"/>
        <v>-- C462_疾患開始日</v>
      </c>
      <c r="U225" s="4" t="str">
        <f t="shared" si="23"/>
        <v>,'shikkan217_start_date'</v>
      </c>
      <c r="V225" s="25" t="str">
        <f t="shared" si="24"/>
        <v>,'shikkan217_start_date' : 'C462_疾患開始日'</v>
      </c>
      <c r="X225" s="25">
        <v>1</v>
      </c>
      <c r="AA225" s="4"/>
      <c r="AB225" s="4"/>
      <c r="AC225" s="4"/>
      <c r="AD225" s="4"/>
      <c r="AE225" s="4"/>
      <c r="AF225" s="4"/>
      <c r="AG225" s="4"/>
      <c r="AH225" s="4"/>
      <c r="AI225" s="4"/>
      <c r="AJ225" s="76" t="str">
        <f>IF(E225="○",IF(COUNTA(E$13:E225)=1,"",",")&amp;D225,"")</f>
        <v/>
      </c>
      <c r="AK225" s="4"/>
      <c r="AL225" s="4"/>
      <c r="AM225" s="4"/>
      <c r="AN225" s="4"/>
      <c r="AO225" s="4"/>
      <c r="AP225" s="4"/>
      <c r="AQ225" s="4"/>
      <c r="AR225" s="4"/>
      <c r="AS225" s="76" t="str">
        <f>"COMMENT ON COLUMN "&amp;エンティティ一覧!$O$2&amp;"."&amp;D$8&amp;"."&amp;D225&amp;" IS '"&amp;C225&amp;"';"</f>
        <v>COMMENT ON COLUMN milscm_2023_009.main_diagnosis_start_date.shikkan217_start_date IS 'C462_疾患開始日';</v>
      </c>
    </row>
    <row r="226" spans="1:45" s="25" customFormat="1">
      <c r="A226" s="4" t="s">
        <v>5369</v>
      </c>
      <c r="B226" s="21">
        <f t="shared" si="22"/>
        <v>224</v>
      </c>
      <c r="C226" s="13" t="str">
        <f t="shared" si="25"/>
        <v>C463_疾患開始日</v>
      </c>
      <c r="D226" s="13" t="s">
        <v>4986</v>
      </c>
      <c r="E226" s="8"/>
      <c r="F226" s="7" t="s">
        <v>4348</v>
      </c>
      <c r="G226" s="7" t="s">
        <v>25</v>
      </c>
      <c r="H226" s="58"/>
      <c r="I226" s="23"/>
      <c r="J226" s="24"/>
      <c r="M226" s="4"/>
      <c r="N226" s="76"/>
      <c r="O226" s="76"/>
      <c r="P226" s="76" t="str">
        <f t="shared" si="9"/>
        <v>,shikkan218_start_date</v>
      </c>
      <c r="Q226" s="76" t="str">
        <f t="shared" si="10"/>
        <v>DATE</v>
      </c>
      <c r="R226" s="76" t="str">
        <f t="shared" si="11"/>
        <v/>
      </c>
      <c r="S226" s="76" t="str">
        <f t="shared" si="12"/>
        <v/>
      </c>
      <c r="T226" s="76" t="str">
        <f t="shared" si="13"/>
        <v>-- C463_疾患開始日</v>
      </c>
      <c r="U226" s="4" t="str">
        <f t="shared" si="23"/>
        <v>,'shikkan218_start_date'</v>
      </c>
      <c r="V226" s="25" t="str">
        <f t="shared" si="24"/>
        <v>,'shikkan218_start_date' : 'C463_疾患開始日'</v>
      </c>
      <c r="X226" s="25">
        <v>1</v>
      </c>
      <c r="AA226" s="4"/>
      <c r="AB226" s="4"/>
      <c r="AC226" s="4"/>
      <c r="AD226" s="4"/>
      <c r="AE226" s="4"/>
      <c r="AF226" s="4"/>
      <c r="AG226" s="4"/>
      <c r="AH226" s="4"/>
      <c r="AI226" s="4"/>
      <c r="AJ226" s="76" t="str">
        <f>IF(E226="○",IF(COUNTA(E$13:E226)=1,"",",")&amp;D226,"")</f>
        <v/>
      </c>
      <c r="AK226" s="4"/>
      <c r="AL226" s="4"/>
      <c r="AM226" s="4"/>
      <c r="AN226" s="4"/>
      <c r="AO226" s="4"/>
      <c r="AP226" s="4"/>
      <c r="AQ226" s="4"/>
      <c r="AR226" s="4"/>
      <c r="AS226" s="76" t="str">
        <f>"COMMENT ON COLUMN "&amp;エンティティ一覧!$O$2&amp;"."&amp;D$8&amp;"."&amp;D226&amp;" IS '"&amp;C226&amp;"';"</f>
        <v>COMMENT ON COLUMN milscm_2023_009.main_diagnosis_start_date.shikkan218_start_date IS 'C463_疾患開始日';</v>
      </c>
    </row>
    <row r="227" spans="1:45" s="25" customFormat="1">
      <c r="A227" s="4" t="s">
        <v>5370</v>
      </c>
      <c r="B227" s="21">
        <f t="shared" si="22"/>
        <v>225</v>
      </c>
      <c r="C227" s="13" t="str">
        <f t="shared" si="25"/>
        <v>C467_疾患開始日</v>
      </c>
      <c r="D227" s="13" t="s">
        <v>4987</v>
      </c>
      <c r="E227" s="8"/>
      <c r="F227" s="7" t="s">
        <v>4348</v>
      </c>
      <c r="G227" s="7" t="s">
        <v>25</v>
      </c>
      <c r="H227" s="58"/>
      <c r="I227" s="23"/>
      <c r="J227" s="24"/>
      <c r="M227" s="4"/>
      <c r="N227" s="76"/>
      <c r="O227" s="76"/>
      <c r="P227" s="76" t="str">
        <f t="shared" si="9"/>
        <v>,shikkan219_start_date</v>
      </c>
      <c r="Q227" s="76" t="str">
        <f t="shared" si="10"/>
        <v>DATE</v>
      </c>
      <c r="R227" s="76" t="str">
        <f t="shared" si="11"/>
        <v/>
      </c>
      <c r="S227" s="76" t="str">
        <f t="shared" si="12"/>
        <v/>
      </c>
      <c r="T227" s="76" t="str">
        <f t="shared" si="13"/>
        <v>-- C467_疾患開始日</v>
      </c>
      <c r="U227" s="4" t="str">
        <f t="shared" si="23"/>
        <v>,'shikkan219_start_date'</v>
      </c>
      <c r="V227" s="25" t="str">
        <f t="shared" si="24"/>
        <v>,'shikkan219_start_date' : 'C467_疾患開始日'</v>
      </c>
      <c r="X227" s="25">
        <v>1</v>
      </c>
      <c r="AA227" s="4"/>
      <c r="AB227" s="4"/>
      <c r="AC227" s="4"/>
      <c r="AD227" s="4"/>
      <c r="AE227" s="4"/>
      <c r="AF227" s="4"/>
      <c r="AG227" s="4"/>
      <c r="AH227" s="4"/>
      <c r="AI227" s="4"/>
      <c r="AJ227" s="76" t="str">
        <f>IF(E227="○",IF(COUNTA(E$13:E227)=1,"",",")&amp;D227,"")</f>
        <v/>
      </c>
      <c r="AK227" s="4"/>
      <c r="AL227" s="4"/>
      <c r="AM227" s="4"/>
      <c r="AN227" s="4"/>
      <c r="AO227" s="4"/>
      <c r="AP227" s="4"/>
      <c r="AQ227" s="4"/>
      <c r="AR227" s="4"/>
      <c r="AS227" s="76" t="str">
        <f>"COMMENT ON COLUMN "&amp;エンティティ一覧!$O$2&amp;"."&amp;D$8&amp;"."&amp;D227&amp;" IS '"&amp;C227&amp;"';"</f>
        <v>COMMENT ON COLUMN milscm_2023_009.main_diagnosis_start_date.shikkan219_start_date IS 'C467_疾患開始日';</v>
      </c>
    </row>
    <row r="228" spans="1:45" s="25" customFormat="1">
      <c r="A228" s="4" t="s">
        <v>5371</v>
      </c>
      <c r="B228" s="21">
        <f t="shared" si="22"/>
        <v>226</v>
      </c>
      <c r="C228" s="13" t="str">
        <f t="shared" si="25"/>
        <v>C468_疾患開始日</v>
      </c>
      <c r="D228" s="13" t="s">
        <v>4988</v>
      </c>
      <c r="E228" s="8"/>
      <c r="F228" s="7" t="s">
        <v>4348</v>
      </c>
      <c r="G228" s="7" t="s">
        <v>25</v>
      </c>
      <c r="H228" s="58"/>
      <c r="I228" s="23"/>
      <c r="J228" s="24"/>
      <c r="M228" s="4"/>
      <c r="N228" s="76"/>
      <c r="O228" s="76"/>
      <c r="P228" s="76" t="str">
        <f t="shared" si="9"/>
        <v>,shikkan220_start_date</v>
      </c>
      <c r="Q228" s="76" t="str">
        <f t="shared" si="10"/>
        <v>DATE</v>
      </c>
      <c r="R228" s="76" t="str">
        <f t="shared" si="11"/>
        <v/>
      </c>
      <c r="S228" s="76" t="str">
        <f t="shared" si="12"/>
        <v/>
      </c>
      <c r="T228" s="76" t="str">
        <f t="shared" si="13"/>
        <v>-- C468_疾患開始日</v>
      </c>
      <c r="U228" s="4" t="str">
        <f t="shared" si="23"/>
        <v>,'shikkan220_start_date'</v>
      </c>
      <c r="V228" s="25" t="str">
        <f t="shared" si="24"/>
        <v>,'shikkan220_start_date' : 'C468_疾患開始日'</v>
      </c>
      <c r="X228" s="25">
        <v>1</v>
      </c>
      <c r="AA228" s="4"/>
      <c r="AB228" s="4"/>
      <c r="AC228" s="4"/>
      <c r="AD228" s="4"/>
      <c r="AE228" s="4"/>
      <c r="AF228" s="4"/>
      <c r="AG228" s="4"/>
      <c r="AH228" s="4"/>
      <c r="AI228" s="4"/>
      <c r="AJ228" s="76" t="str">
        <f>IF(E228="○",IF(COUNTA(E$13:E228)=1,"",",")&amp;D228,"")</f>
        <v/>
      </c>
      <c r="AK228" s="4"/>
      <c r="AL228" s="4"/>
      <c r="AM228" s="4"/>
      <c r="AN228" s="4"/>
      <c r="AO228" s="4"/>
      <c r="AP228" s="4"/>
      <c r="AQ228" s="4"/>
      <c r="AR228" s="4"/>
      <c r="AS228" s="76" t="str">
        <f>"COMMENT ON COLUMN "&amp;エンティティ一覧!$O$2&amp;"."&amp;D$8&amp;"."&amp;D228&amp;" IS '"&amp;C228&amp;"';"</f>
        <v>COMMENT ON COLUMN milscm_2023_009.main_diagnosis_start_date.shikkan220_start_date IS 'C468_疾患開始日';</v>
      </c>
    </row>
    <row r="229" spans="1:45" s="25" customFormat="1">
      <c r="A229" s="4" t="s">
        <v>5372</v>
      </c>
      <c r="B229" s="21">
        <f t="shared" si="22"/>
        <v>227</v>
      </c>
      <c r="C229" s="13" t="str">
        <f t="shared" si="25"/>
        <v>C469_疾患開始日</v>
      </c>
      <c r="D229" s="13" t="s">
        <v>4989</v>
      </c>
      <c r="E229" s="8"/>
      <c r="F229" s="7" t="s">
        <v>4348</v>
      </c>
      <c r="G229" s="7" t="s">
        <v>25</v>
      </c>
      <c r="H229" s="58"/>
      <c r="I229" s="23"/>
      <c r="J229" s="24"/>
      <c r="M229" s="4"/>
      <c r="N229" s="76"/>
      <c r="O229" s="76"/>
      <c r="P229" s="76" t="str">
        <f t="shared" si="9"/>
        <v>,shikkan221_start_date</v>
      </c>
      <c r="Q229" s="76" t="str">
        <f t="shared" si="10"/>
        <v>DATE</v>
      </c>
      <c r="R229" s="76" t="str">
        <f t="shared" si="11"/>
        <v/>
      </c>
      <c r="S229" s="76" t="str">
        <f t="shared" si="12"/>
        <v/>
      </c>
      <c r="T229" s="76" t="str">
        <f t="shared" si="13"/>
        <v>-- C469_疾患開始日</v>
      </c>
      <c r="U229" s="4" t="str">
        <f t="shared" si="23"/>
        <v>,'shikkan221_start_date'</v>
      </c>
      <c r="V229" s="25" t="str">
        <f t="shared" si="24"/>
        <v>,'shikkan221_start_date' : 'C469_疾患開始日'</v>
      </c>
      <c r="X229" s="25">
        <v>1</v>
      </c>
      <c r="AA229" s="4"/>
      <c r="AB229" s="4"/>
      <c r="AC229" s="4"/>
      <c r="AD229" s="4"/>
      <c r="AE229" s="4"/>
      <c r="AF229" s="4"/>
      <c r="AG229" s="4"/>
      <c r="AH229" s="4"/>
      <c r="AI229" s="4"/>
      <c r="AJ229" s="76" t="str">
        <f>IF(E229="○",IF(COUNTA(E$13:E229)=1,"",",")&amp;D229,"")</f>
        <v/>
      </c>
      <c r="AK229" s="4"/>
      <c r="AL229" s="4"/>
      <c r="AM229" s="4"/>
      <c r="AN229" s="4"/>
      <c r="AO229" s="4"/>
      <c r="AP229" s="4"/>
      <c r="AQ229" s="4"/>
      <c r="AR229" s="4"/>
      <c r="AS229" s="76" t="str">
        <f>"COMMENT ON COLUMN "&amp;エンティティ一覧!$O$2&amp;"."&amp;D$8&amp;"."&amp;D229&amp;" IS '"&amp;C229&amp;"';"</f>
        <v>COMMENT ON COLUMN milscm_2023_009.main_diagnosis_start_date.shikkan221_start_date IS 'C469_疾患開始日';</v>
      </c>
    </row>
    <row r="230" spans="1:45" s="25" customFormat="1">
      <c r="A230" s="4" t="s">
        <v>5373</v>
      </c>
      <c r="B230" s="21">
        <f t="shared" si="22"/>
        <v>228</v>
      </c>
      <c r="C230" s="13" t="str">
        <f t="shared" si="25"/>
        <v>C470_疾患開始日</v>
      </c>
      <c r="D230" s="13" t="s">
        <v>4990</v>
      </c>
      <c r="E230" s="8"/>
      <c r="F230" s="7" t="s">
        <v>4348</v>
      </c>
      <c r="G230" s="7" t="s">
        <v>25</v>
      </c>
      <c r="H230" s="58"/>
      <c r="I230" s="23"/>
      <c r="J230" s="24"/>
      <c r="M230" s="4"/>
      <c r="N230" s="76"/>
      <c r="O230" s="76"/>
      <c r="P230" s="76" t="str">
        <f t="shared" si="9"/>
        <v>,shikkan222_start_date</v>
      </c>
      <c r="Q230" s="76" t="str">
        <f t="shared" si="10"/>
        <v>DATE</v>
      </c>
      <c r="R230" s="76" t="str">
        <f t="shared" si="11"/>
        <v/>
      </c>
      <c r="S230" s="76" t="str">
        <f t="shared" si="12"/>
        <v/>
      </c>
      <c r="T230" s="76" t="str">
        <f t="shared" si="13"/>
        <v>-- C470_疾患開始日</v>
      </c>
      <c r="U230" s="4" t="str">
        <f t="shared" si="23"/>
        <v>,'shikkan222_start_date'</v>
      </c>
      <c r="V230" s="25" t="str">
        <f t="shared" si="24"/>
        <v>,'shikkan222_start_date' : 'C470_疾患開始日'</v>
      </c>
      <c r="X230" s="25">
        <v>1</v>
      </c>
      <c r="AA230" s="4"/>
      <c r="AB230" s="4"/>
      <c r="AC230" s="4"/>
      <c r="AD230" s="4"/>
      <c r="AE230" s="4"/>
      <c r="AF230" s="4"/>
      <c r="AG230" s="4"/>
      <c r="AH230" s="4"/>
      <c r="AI230" s="4"/>
      <c r="AJ230" s="76" t="str">
        <f>IF(E230="○",IF(COUNTA(E$13:E230)=1,"",",")&amp;D230,"")</f>
        <v/>
      </c>
      <c r="AK230" s="4"/>
      <c r="AL230" s="4"/>
      <c r="AM230" s="4"/>
      <c r="AN230" s="4"/>
      <c r="AO230" s="4"/>
      <c r="AP230" s="4"/>
      <c r="AQ230" s="4"/>
      <c r="AR230" s="4"/>
      <c r="AS230" s="76" t="str">
        <f>"COMMENT ON COLUMN "&amp;エンティティ一覧!$O$2&amp;"."&amp;D$8&amp;"."&amp;D230&amp;" IS '"&amp;C230&amp;"';"</f>
        <v>COMMENT ON COLUMN milscm_2023_009.main_diagnosis_start_date.shikkan222_start_date IS 'C470_疾患開始日';</v>
      </c>
    </row>
    <row r="231" spans="1:45" s="25" customFormat="1">
      <c r="A231" s="4" t="s">
        <v>5374</v>
      </c>
      <c r="B231" s="21">
        <f t="shared" si="22"/>
        <v>229</v>
      </c>
      <c r="C231" s="13" t="str">
        <f t="shared" si="25"/>
        <v>C471_疾患開始日</v>
      </c>
      <c r="D231" s="13" t="s">
        <v>4991</v>
      </c>
      <c r="E231" s="8"/>
      <c r="F231" s="7" t="s">
        <v>4348</v>
      </c>
      <c r="G231" s="7" t="s">
        <v>25</v>
      </c>
      <c r="H231" s="58"/>
      <c r="I231" s="23"/>
      <c r="J231" s="24"/>
      <c r="M231" s="4"/>
      <c r="N231" s="76"/>
      <c r="O231" s="76"/>
      <c r="P231" s="76" t="str">
        <f t="shared" si="9"/>
        <v>,shikkan223_start_date</v>
      </c>
      <c r="Q231" s="76" t="str">
        <f t="shared" si="10"/>
        <v>DATE</v>
      </c>
      <c r="R231" s="76" t="str">
        <f t="shared" si="11"/>
        <v/>
      </c>
      <c r="S231" s="76" t="str">
        <f t="shared" si="12"/>
        <v/>
      </c>
      <c r="T231" s="76" t="str">
        <f t="shared" si="13"/>
        <v>-- C471_疾患開始日</v>
      </c>
      <c r="U231" s="4" t="str">
        <f t="shared" si="23"/>
        <v>,'shikkan223_start_date'</v>
      </c>
      <c r="V231" s="25" t="str">
        <f t="shared" si="24"/>
        <v>,'shikkan223_start_date' : 'C471_疾患開始日'</v>
      </c>
      <c r="X231" s="25">
        <v>1</v>
      </c>
      <c r="AA231" s="4"/>
      <c r="AB231" s="4"/>
      <c r="AC231" s="4"/>
      <c r="AD231" s="4"/>
      <c r="AE231" s="4"/>
      <c r="AF231" s="4"/>
      <c r="AG231" s="4"/>
      <c r="AH231" s="4"/>
      <c r="AI231" s="4"/>
      <c r="AJ231" s="76" t="str">
        <f>IF(E231="○",IF(COUNTA(E$13:E231)=1,"",",")&amp;D231,"")</f>
        <v/>
      </c>
      <c r="AK231" s="4"/>
      <c r="AL231" s="4"/>
      <c r="AM231" s="4"/>
      <c r="AN231" s="4"/>
      <c r="AO231" s="4"/>
      <c r="AP231" s="4"/>
      <c r="AQ231" s="4"/>
      <c r="AR231" s="4"/>
      <c r="AS231" s="76" t="str">
        <f>"COMMENT ON COLUMN "&amp;エンティティ一覧!$O$2&amp;"."&amp;D$8&amp;"."&amp;D231&amp;" IS '"&amp;C231&amp;"';"</f>
        <v>COMMENT ON COLUMN milscm_2023_009.main_diagnosis_start_date.shikkan223_start_date IS 'C471_疾患開始日';</v>
      </c>
    </row>
    <row r="232" spans="1:45" s="25" customFormat="1">
      <c r="A232" s="4" t="s">
        <v>5375</v>
      </c>
      <c r="B232" s="21">
        <f t="shared" si="22"/>
        <v>230</v>
      </c>
      <c r="C232" s="13" t="str">
        <f t="shared" si="25"/>
        <v>C472_疾患開始日</v>
      </c>
      <c r="D232" s="13" t="s">
        <v>4992</v>
      </c>
      <c r="E232" s="8"/>
      <c r="F232" s="7" t="s">
        <v>4348</v>
      </c>
      <c r="G232" s="7" t="s">
        <v>25</v>
      </c>
      <c r="H232" s="58"/>
      <c r="I232" s="23"/>
      <c r="J232" s="24"/>
      <c r="M232" s="4"/>
      <c r="N232" s="76"/>
      <c r="O232" s="76"/>
      <c r="P232" s="76" t="str">
        <f t="shared" si="9"/>
        <v>,shikkan224_start_date</v>
      </c>
      <c r="Q232" s="76" t="str">
        <f t="shared" si="10"/>
        <v>DATE</v>
      </c>
      <c r="R232" s="76" t="str">
        <f t="shared" si="11"/>
        <v/>
      </c>
      <c r="S232" s="76" t="str">
        <f t="shared" si="12"/>
        <v/>
      </c>
      <c r="T232" s="76" t="str">
        <f t="shared" si="13"/>
        <v>-- C472_疾患開始日</v>
      </c>
      <c r="U232" s="4" t="str">
        <f t="shared" si="23"/>
        <v>,'shikkan224_start_date'</v>
      </c>
      <c r="V232" s="25" t="str">
        <f t="shared" si="24"/>
        <v>,'shikkan224_start_date' : 'C472_疾患開始日'</v>
      </c>
      <c r="X232" s="25">
        <v>1</v>
      </c>
      <c r="AA232" s="4"/>
      <c r="AB232" s="4"/>
      <c r="AC232" s="4"/>
      <c r="AD232" s="4"/>
      <c r="AE232" s="4"/>
      <c r="AF232" s="4"/>
      <c r="AG232" s="4"/>
      <c r="AH232" s="4"/>
      <c r="AI232" s="4"/>
      <c r="AJ232" s="76" t="str">
        <f>IF(E232="○",IF(COUNTA(E$13:E232)=1,"",",")&amp;D232,"")</f>
        <v/>
      </c>
      <c r="AK232" s="4"/>
      <c r="AL232" s="4"/>
      <c r="AM232" s="4"/>
      <c r="AN232" s="4"/>
      <c r="AO232" s="4"/>
      <c r="AP232" s="4"/>
      <c r="AQ232" s="4"/>
      <c r="AR232" s="4"/>
      <c r="AS232" s="76" t="str">
        <f>"COMMENT ON COLUMN "&amp;エンティティ一覧!$O$2&amp;"."&amp;D$8&amp;"."&amp;D232&amp;" IS '"&amp;C232&amp;"';"</f>
        <v>COMMENT ON COLUMN milscm_2023_009.main_diagnosis_start_date.shikkan224_start_date IS 'C472_疾患開始日';</v>
      </c>
    </row>
    <row r="233" spans="1:45" s="25" customFormat="1">
      <c r="A233" s="4" t="s">
        <v>5376</v>
      </c>
      <c r="B233" s="21">
        <f t="shared" si="22"/>
        <v>231</v>
      </c>
      <c r="C233" s="13" t="str">
        <f t="shared" si="25"/>
        <v>C473_疾患開始日</v>
      </c>
      <c r="D233" s="13" t="s">
        <v>4993</v>
      </c>
      <c r="E233" s="8"/>
      <c r="F233" s="7" t="s">
        <v>4348</v>
      </c>
      <c r="G233" s="7" t="s">
        <v>99</v>
      </c>
      <c r="H233" s="58"/>
      <c r="I233" s="23"/>
      <c r="J233" s="24"/>
      <c r="M233" s="4"/>
      <c r="N233" s="76"/>
      <c r="O233" s="76"/>
      <c r="P233" s="76" t="str">
        <f t="shared" si="9"/>
        <v>,shikkan225_start_date</v>
      </c>
      <c r="Q233" s="76" t="str">
        <f t="shared" si="10"/>
        <v>DATE</v>
      </c>
      <c r="R233" s="76" t="str">
        <f t="shared" si="11"/>
        <v/>
      </c>
      <c r="S233" s="76" t="str">
        <f t="shared" si="12"/>
        <v/>
      </c>
      <c r="T233" s="76" t="str">
        <f t="shared" si="13"/>
        <v>-- C473_疾患開始日</v>
      </c>
      <c r="U233" s="4" t="str">
        <f t="shared" si="23"/>
        <v>,'shikkan225_start_date'</v>
      </c>
      <c r="V233" s="25" t="str">
        <f t="shared" si="24"/>
        <v>,'shikkan225_start_date' : 'C473_疾患開始日'</v>
      </c>
      <c r="X233" s="25">
        <v>1</v>
      </c>
      <c r="AA233" s="4"/>
      <c r="AB233" s="4"/>
      <c r="AC233" s="4"/>
      <c r="AD233" s="4"/>
      <c r="AE233" s="4"/>
      <c r="AF233" s="4"/>
      <c r="AG233" s="4"/>
      <c r="AH233" s="4"/>
      <c r="AI233" s="4"/>
      <c r="AJ233" s="76" t="str">
        <f>IF(E233="○",IF(COUNTA(E$13:E233)=1,"",",")&amp;D233,"")</f>
        <v/>
      </c>
      <c r="AK233" s="4"/>
      <c r="AL233" s="4"/>
      <c r="AM233" s="4"/>
      <c r="AN233" s="4"/>
      <c r="AO233" s="4"/>
      <c r="AP233" s="4"/>
      <c r="AQ233" s="4"/>
      <c r="AR233" s="4"/>
      <c r="AS233" s="76" t="str">
        <f>"COMMENT ON COLUMN "&amp;エンティティ一覧!$O$2&amp;"."&amp;D$8&amp;"."&amp;D233&amp;" IS '"&amp;C233&amp;"';"</f>
        <v>COMMENT ON COLUMN milscm_2023_009.main_diagnosis_start_date.shikkan225_start_date IS 'C473_疾患開始日';</v>
      </c>
    </row>
    <row r="234" spans="1:45" s="25" customFormat="1">
      <c r="A234" s="4" t="s">
        <v>5377</v>
      </c>
      <c r="B234" s="21">
        <f t="shared" si="22"/>
        <v>232</v>
      </c>
      <c r="C234" s="13" t="str">
        <f t="shared" si="25"/>
        <v>C474_疾患開始日</v>
      </c>
      <c r="D234" s="13" t="s">
        <v>4994</v>
      </c>
      <c r="E234" s="8"/>
      <c r="F234" s="7" t="s">
        <v>4348</v>
      </c>
      <c r="G234" s="7" t="s">
        <v>25</v>
      </c>
      <c r="H234" s="58"/>
      <c r="I234" s="23"/>
      <c r="J234" s="24"/>
      <c r="M234" s="4"/>
      <c r="N234" s="76"/>
      <c r="O234" s="76"/>
      <c r="P234" s="76" t="str">
        <f t="shared" si="9"/>
        <v>,shikkan226_start_date</v>
      </c>
      <c r="Q234" s="76" t="str">
        <f t="shared" si="10"/>
        <v>DATE</v>
      </c>
      <c r="R234" s="76" t="str">
        <f t="shared" si="11"/>
        <v/>
      </c>
      <c r="S234" s="76" t="str">
        <f t="shared" si="12"/>
        <v/>
      </c>
      <c r="T234" s="76" t="str">
        <f t="shared" si="13"/>
        <v>-- C474_疾患開始日</v>
      </c>
      <c r="U234" s="4" t="str">
        <f t="shared" si="23"/>
        <v>,'shikkan226_start_date'</v>
      </c>
      <c r="V234" s="25" t="str">
        <f t="shared" si="24"/>
        <v>,'shikkan226_start_date' : 'C474_疾患開始日'</v>
      </c>
      <c r="X234" s="25">
        <v>1</v>
      </c>
      <c r="AA234" s="4"/>
      <c r="AB234" s="4"/>
      <c r="AC234" s="4"/>
      <c r="AD234" s="4"/>
      <c r="AE234" s="4"/>
      <c r="AF234" s="4"/>
      <c r="AG234" s="4"/>
      <c r="AH234" s="4"/>
      <c r="AI234" s="4"/>
      <c r="AJ234" s="76" t="str">
        <f>IF(E234="○",IF(COUNTA(E$13:E234)=1,"",",")&amp;D234,"")</f>
        <v/>
      </c>
      <c r="AK234" s="4"/>
      <c r="AL234" s="4"/>
      <c r="AM234" s="4"/>
      <c r="AN234" s="4"/>
      <c r="AO234" s="4"/>
      <c r="AP234" s="4"/>
      <c r="AQ234" s="4"/>
      <c r="AR234" s="4"/>
      <c r="AS234" s="76" t="str">
        <f>"COMMENT ON COLUMN "&amp;エンティティ一覧!$O$2&amp;"."&amp;D$8&amp;"."&amp;D234&amp;" IS '"&amp;C234&amp;"';"</f>
        <v>COMMENT ON COLUMN milscm_2023_009.main_diagnosis_start_date.shikkan226_start_date IS 'C474_疾患開始日';</v>
      </c>
    </row>
    <row r="235" spans="1:45" s="25" customFormat="1">
      <c r="A235" s="4" t="s">
        <v>5378</v>
      </c>
      <c r="B235" s="21">
        <f t="shared" si="22"/>
        <v>233</v>
      </c>
      <c r="C235" s="13" t="str">
        <f t="shared" si="25"/>
        <v>C475_疾患開始日</v>
      </c>
      <c r="D235" s="13" t="s">
        <v>4995</v>
      </c>
      <c r="E235" s="8"/>
      <c r="F235" s="7" t="s">
        <v>4348</v>
      </c>
      <c r="G235" s="7" t="s">
        <v>25</v>
      </c>
      <c r="H235" s="58"/>
      <c r="I235" s="23"/>
      <c r="J235" s="24"/>
      <c r="M235" s="4"/>
      <c r="N235" s="76"/>
      <c r="O235" s="76"/>
      <c r="P235" s="76" t="str">
        <f t="shared" si="9"/>
        <v>,shikkan227_start_date</v>
      </c>
      <c r="Q235" s="76" t="str">
        <f t="shared" si="10"/>
        <v>DATE</v>
      </c>
      <c r="R235" s="76" t="str">
        <f t="shared" si="11"/>
        <v/>
      </c>
      <c r="S235" s="76" t="str">
        <f t="shared" si="12"/>
        <v/>
      </c>
      <c r="T235" s="76" t="str">
        <f t="shared" si="13"/>
        <v>-- C475_疾患開始日</v>
      </c>
      <c r="U235" s="4" t="str">
        <f t="shared" si="23"/>
        <v>,'shikkan227_start_date'</v>
      </c>
      <c r="V235" s="25" t="str">
        <f t="shared" si="24"/>
        <v>,'shikkan227_start_date' : 'C475_疾患開始日'</v>
      </c>
      <c r="X235" s="25">
        <v>1</v>
      </c>
      <c r="AA235" s="4"/>
      <c r="AB235" s="4"/>
      <c r="AC235" s="4"/>
      <c r="AD235" s="4"/>
      <c r="AE235" s="4"/>
      <c r="AF235" s="4"/>
      <c r="AG235" s="4"/>
      <c r="AH235" s="4"/>
      <c r="AI235" s="4"/>
      <c r="AJ235" s="76" t="str">
        <f>IF(E235="○",IF(COUNTA(E$13:E235)=1,"",",")&amp;D235,"")</f>
        <v/>
      </c>
      <c r="AK235" s="4"/>
      <c r="AL235" s="4"/>
      <c r="AM235" s="4"/>
      <c r="AN235" s="4"/>
      <c r="AO235" s="4"/>
      <c r="AP235" s="4"/>
      <c r="AQ235" s="4"/>
      <c r="AR235" s="4"/>
      <c r="AS235" s="76" t="str">
        <f>"COMMENT ON COLUMN "&amp;エンティティ一覧!$O$2&amp;"."&amp;D$8&amp;"."&amp;D235&amp;" IS '"&amp;C235&amp;"';"</f>
        <v>COMMENT ON COLUMN milscm_2023_009.main_diagnosis_start_date.shikkan227_start_date IS 'C475_疾患開始日';</v>
      </c>
    </row>
    <row r="236" spans="1:45" s="25" customFormat="1">
      <c r="A236" s="4" t="s">
        <v>5379</v>
      </c>
      <c r="B236" s="21">
        <f t="shared" si="22"/>
        <v>234</v>
      </c>
      <c r="C236" s="13" t="str">
        <f t="shared" si="25"/>
        <v>C476_疾患開始日</v>
      </c>
      <c r="D236" s="13" t="s">
        <v>4996</v>
      </c>
      <c r="E236" s="8"/>
      <c r="F236" s="7" t="s">
        <v>4348</v>
      </c>
      <c r="G236" s="7" t="s">
        <v>25</v>
      </c>
      <c r="H236" s="58"/>
      <c r="I236" s="23"/>
      <c r="J236" s="24"/>
      <c r="M236" s="4"/>
      <c r="N236" s="76"/>
      <c r="O236" s="76"/>
      <c r="P236" s="76" t="str">
        <f t="shared" si="9"/>
        <v>,shikkan228_start_date</v>
      </c>
      <c r="Q236" s="76" t="str">
        <f t="shared" si="10"/>
        <v>DATE</v>
      </c>
      <c r="R236" s="76" t="str">
        <f t="shared" si="11"/>
        <v/>
      </c>
      <c r="S236" s="76" t="str">
        <f t="shared" si="12"/>
        <v/>
      </c>
      <c r="T236" s="76" t="str">
        <f t="shared" si="13"/>
        <v>-- C476_疾患開始日</v>
      </c>
      <c r="U236" s="4" t="str">
        <f t="shared" si="23"/>
        <v>,'shikkan228_start_date'</v>
      </c>
      <c r="V236" s="25" t="str">
        <f t="shared" si="24"/>
        <v>,'shikkan228_start_date' : 'C476_疾患開始日'</v>
      </c>
      <c r="X236" s="25">
        <v>1</v>
      </c>
      <c r="AA236" s="4"/>
      <c r="AB236" s="4"/>
      <c r="AC236" s="4"/>
      <c r="AD236" s="4"/>
      <c r="AE236" s="4"/>
      <c r="AF236" s="4"/>
      <c r="AG236" s="4"/>
      <c r="AH236" s="4"/>
      <c r="AI236" s="4"/>
      <c r="AJ236" s="76" t="str">
        <f>IF(E236="○",IF(COUNTA(E$13:E236)=1,"",",")&amp;D236,"")</f>
        <v/>
      </c>
      <c r="AK236" s="4"/>
      <c r="AL236" s="4"/>
      <c r="AM236" s="4"/>
      <c r="AN236" s="4"/>
      <c r="AO236" s="4"/>
      <c r="AP236" s="4"/>
      <c r="AQ236" s="4"/>
      <c r="AR236" s="4"/>
      <c r="AS236" s="76" t="str">
        <f>"COMMENT ON COLUMN "&amp;エンティティ一覧!$O$2&amp;"."&amp;D$8&amp;"."&amp;D236&amp;" IS '"&amp;C236&amp;"';"</f>
        <v>COMMENT ON COLUMN milscm_2023_009.main_diagnosis_start_date.shikkan228_start_date IS 'C476_疾患開始日';</v>
      </c>
    </row>
    <row r="237" spans="1:45" s="25" customFormat="1">
      <c r="A237" s="4" t="s">
        <v>5380</v>
      </c>
      <c r="B237" s="21">
        <f t="shared" si="22"/>
        <v>235</v>
      </c>
      <c r="C237" s="13" t="str">
        <f t="shared" si="25"/>
        <v>C478_疾患開始日</v>
      </c>
      <c r="D237" s="13" t="s">
        <v>4997</v>
      </c>
      <c r="E237" s="8"/>
      <c r="F237" s="7" t="s">
        <v>4348</v>
      </c>
      <c r="G237" s="7" t="s">
        <v>25</v>
      </c>
      <c r="H237" s="58"/>
      <c r="I237" s="23"/>
      <c r="J237" s="24"/>
      <c r="M237" s="4"/>
      <c r="N237" s="76"/>
      <c r="O237" s="76"/>
      <c r="P237" s="76" t="str">
        <f t="shared" si="9"/>
        <v>,shikkan229_start_date</v>
      </c>
      <c r="Q237" s="76" t="str">
        <f t="shared" si="10"/>
        <v>DATE</v>
      </c>
      <c r="R237" s="76" t="str">
        <f t="shared" si="11"/>
        <v/>
      </c>
      <c r="S237" s="76" t="str">
        <f t="shared" si="12"/>
        <v/>
      </c>
      <c r="T237" s="76" t="str">
        <f t="shared" si="13"/>
        <v>-- C478_疾患開始日</v>
      </c>
      <c r="U237" s="4" t="str">
        <f t="shared" si="23"/>
        <v>,'shikkan229_start_date'</v>
      </c>
      <c r="V237" s="25" t="str">
        <f t="shared" si="24"/>
        <v>,'shikkan229_start_date' : 'C478_疾患開始日'</v>
      </c>
      <c r="X237" s="25">
        <v>1</v>
      </c>
      <c r="AA237" s="4"/>
      <c r="AB237" s="4"/>
      <c r="AC237" s="4"/>
      <c r="AD237" s="4"/>
      <c r="AE237" s="4"/>
      <c r="AF237" s="4"/>
      <c r="AG237" s="4"/>
      <c r="AH237" s="4"/>
      <c r="AI237" s="4"/>
      <c r="AJ237" s="76" t="str">
        <f>IF(E237="○",IF(COUNTA(E$13:E237)=1,"",",")&amp;D237,"")</f>
        <v/>
      </c>
      <c r="AK237" s="4"/>
      <c r="AL237" s="4"/>
      <c r="AM237" s="4"/>
      <c r="AN237" s="4"/>
      <c r="AO237" s="4"/>
      <c r="AP237" s="4"/>
      <c r="AQ237" s="4"/>
      <c r="AR237" s="4"/>
      <c r="AS237" s="76" t="str">
        <f>"COMMENT ON COLUMN "&amp;エンティティ一覧!$O$2&amp;"."&amp;D$8&amp;"."&amp;D237&amp;" IS '"&amp;C237&amp;"';"</f>
        <v>COMMENT ON COLUMN milscm_2023_009.main_diagnosis_start_date.shikkan229_start_date IS 'C478_疾患開始日';</v>
      </c>
    </row>
    <row r="238" spans="1:45" s="25" customFormat="1">
      <c r="A238" s="4" t="s">
        <v>5381</v>
      </c>
      <c r="B238" s="21">
        <f t="shared" si="22"/>
        <v>236</v>
      </c>
      <c r="C238" s="13" t="str">
        <f t="shared" si="25"/>
        <v>C479_疾患開始日</v>
      </c>
      <c r="D238" s="13" t="s">
        <v>4998</v>
      </c>
      <c r="E238" s="8"/>
      <c r="F238" s="7" t="s">
        <v>4348</v>
      </c>
      <c r="G238" s="7" t="s">
        <v>25</v>
      </c>
      <c r="H238" s="58"/>
      <c r="I238" s="23"/>
      <c r="J238" s="24"/>
      <c r="M238" s="4"/>
      <c r="N238" s="76"/>
      <c r="O238" s="76"/>
      <c r="P238" s="76" t="str">
        <f t="shared" si="9"/>
        <v>,shikkan230_start_date</v>
      </c>
      <c r="Q238" s="76" t="str">
        <f t="shared" si="10"/>
        <v>DATE</v>
      </c>
      <c r="R238" s="76" t="str">
        <f t="shared" si="11"/>
        <v/>
      </c>
      <c r="S238" s="76" t="str">
        <f t="shared" si="12"/>
        <v/>
      </c>
      <c r="T238" s="76" t="str">
        <f t="shared" si="13"/>
        <v>-- C479_疾患開始日</v>
      </c>
      <c r="U238" s="4" t="str">
        <f t="shared" si="23"/>
        <v>,'shikkan230_start_date'</v>
      </c>
      <c r="V238" s="25" t="str">
        <f t="shared" si="24"/>
        <v>,'shikkan230_start_date' : 'C479_疾患開始日'</v>
      </c>
      <c r="X238" s="25">
        <v>1</v>
      </c>
      <c r="AA238" s="4"/>
      <c r="AB238" s="4"/>
      <c r="AC238" s="4"/>
      <c r="AD238" s="4"/>
      <c r="AE238" s="4"/>
      <c r="AF238" s="4"/>
      <c r="AG238" s="4"/>
      <c r="AH238" s="4"/>
      <c r="AI238" s="4"/>
      <c r="AJ238" s="76" t="str">
        <f>IF(E238="○",IF(COUNTA(E$13:E238)=1,"",",")&amp;D238,"")</f>
        <v/>
      </c>
      <c r="AK238" s="4"/>
      <c r="AL238" s="4"/>
      <c r="AM238" s="4"/>
      <c r="AN238" s="4"/>
      <c r="AO238" s="4"/>
      <c r="AP238" s="4"/>
      <c r="AQ238" s="4"/>
      <c r="AR238" s="4"/>
      <c r="AS238" s="76" t="str">
        <f>"COMMENT ON COLUMN "&amp;エンティティ一覧!$O$2&amp;"."&amp;D$8&amp;"."&amp;D238&amp;" IS '"&amp;C238&amp;"';"</f>
        <v>COMMENT ON COLUMN milscm_2023_009.main_diagnosis_start_date.shikkan230_start_date IS 'C479_疾患開始日';</v>
      </c>
    </row>
    <row r="239" spans="1:45" s="25" customFormat="1">
      <c r="A239" s="4" t="s">
        <v>5382</v>
      </c>
      <c r="B239" s="21">
        <f t="shared" si="22"/>
        <v>237</v>
      </c>
      <c r="C239" s="13" t="str">
        <f t="shared" si="25"/>
        <v>C480_疾患開始日</v>
      </c>
      <c r="D239" s="13" t="s">
        <v>4999</v>
      </c>
      <c r="E239" s="8"/>
      <c r="F239" s="7" t="s">
        <v>4348</v>
      </c>
      <c r="G239" s="7" t="s">
        <v>25</v>
      </c>
      <c r="H239" s="58"/>
      <c r="I239" s="23"/>
      <c r="J239" s="24"/>
      <c r="M239" s="4"/>
      <c r="N239" s="76"/>
      <c r="O239" s="76"/>
      <c r="P239" s="76" t="str">
        <f t="shared" si="9"/>
        <v>,shikkan231_start_date</v>
      </c>
      <c r="Q239" s="76" t="str">
        <f t="shared" si="10"/>
        <v>DATE</v>
      </c>
      <c r="R239" s="76" t="str">
        <f t="shared" si="11"/>
        <v/>
      </c>
      <c r="S239" s="76" t="str">
        <f t="shared" si="12"/>
        <v/>
      </c>
      <c r="T239" s="76" t="str">
        <f t="shared" si="13"/>
        <v>-- C480_疾患開始日</v>
      </c>
      <c r="U239" s="4" t="str">
        <f t="shared" si="23"/>
        <v>,'shikkan231_start_date'</v>
      </c>
      <c r="V239" s="25" t="str">
        <f t="shared" si="24"/>
        <v>,'shikkan231_start_date' : 'C480_疾患開始日'</v>
      </c>
      <c r="X239" s="25">
        <v>1</v>
      </c>
      <c r="AA239" s="4"/>
      <c r="AB239" s="4"/>
      <c r="AC239" s="4"/>
      <c r="AD239" s="4"/>
      <c r="AE239" s="4"/>
      <c r="AF239" s="4"/>
      <c r="AG239" s="4"/>
      <c r="AH239" s="4"/>
      <c r="AI239" s="4"/>
      <c r="AJ239" s="76" t="str">
        <f>IF(E239="○",IF(COUNTA(E$13:E239)=1,"",",")&amp;D239,"")</f>
        <v/>
      </c>
      <c r="AK239" s="4"/>
      <c r="AL239" s="4"/>
      <c r="AM239" s="4"/>
      <c r="AN239" s="4"/>
      <c r="AO239" s="4"/>
      <c r="AP239" s="4"/>
      <c r="AQ239" s="4"/>
      <c r="AR239" s="4"/>
      <c r="AS239" s="76" t="str">
        <f>"COMMENT ON COLUMN "&amp;エンティティ一覧!$O$2&amp;"."&amp;D$8&amp;"."&amp;D239&amp;" IS '"&amp;C239&amp;"';"</f>
        <v>COMMENT ON COLUMN milscm_2023_009.main_diagnosis_start_date.shikkan231_start_date IS 'C480_疾患開始日';</v>
      </c>
    </row>
    <row r="240" spans="1:45" s="25" customFormat="1">
      <c r="A240" s="4" t="s">
        <v>5383</v>
      </c>
      <c r="B240" s="21">
        <f t="shared" si="22"/>
        <v>238</v>
      </c>
      <c r="C240" s="13" t="str">
        <f t="shared" si="25"/>
        <v>C481_疾患開始日</v>
      </c>
      <c r="D240" s="13" t="s">
        <v>5000</v>
      </c>
      <c r="E240" s="8"/>
      <c r="F240" s="7" t="s">
        <v>4348</v>
      </c>
      <c r="G240" s="7" t="s">
        <v>25</v>
      </c>
      <c r="H240" s="58"/>
      <c r="I240" s="23"/>
      <c r="J240" s="24"/>
      <c r="M240" s="4"/>
      <c r="N240" s="76"/>
      <c r="O240" s="76"/>
      <c r="P240" s="76" t="str">
        <f t="shared" si="9"/>
        <v>,shikkan232_start_date</v>
      </c>
      <c r="Q240" s="76" t="str">
        <f t="shared" si="10"/>
        <v>DATE</v>
      </c>
      <c r="R240" s="76" t="str">
        <f t="shared" si="11"/>
        <v/>
      </c>
      <c r="S240" s="76" t="str">
        <f t="shared" si="12"/>
        <v/>
      </c>
      <c r="T240" s="76" t="str">
        <f t="shared" si="13"/>
        <v>-- C481_疾患開始日</v>
      </c>
      <c r="U240" s="4" t="str">
        <f t="shared" si="23"/>
        <v>,'shikkan232_start_date'</v>
      </c>
      <c r="V240" s="25" t="str">
        <f t="shared" si="24"/>
        <v>,'shikkan232_start_date' : 'C481_疾患開始日'</v>
      </c>
      <c r="X240" s="25">
        <v>1</v>
      </c>
      <c r="AA240" s="4"/>
      <c r="AB240" s="4"/>
      <c r="AC240" s="4"/>
      <c r="AD240" s="4"/>
      <c r="AE240" s="4"/>
      <c r="AF240" s="4"/>
      <c r="AG240" s="4"/>
      <c r="AH240" s="4"/>
      <c r="AI240" s="4"/>
      <c r="AJ240" s="76" t="str">
        <f>IF(E240="○",IF(COUNTA(E$13:E240)=1,"",",")&amp;D240,"")</f>
        <v/>
      </c>
      <c r="AK240" s="4"/>
      <c r="AL240" s="4"/>
      <c r="AM240" s="4"/>
      <c r="AN240" s="4"/>
      <c r="AO240" s="4"/>
      <c r="AP240" s="4"/>
      <c r="AQ240" s="4"/>
      <c r="AR240" s="4"/>
      <c r="AS240" s="76" t="str">
        <f>"COMMENT ON COLUMN "&amp;エンティティ一覧!$O$2&amp;"."&amp;D$8&amp;"."&amp;D240&amp;" IS '"&amp;C240&amp;"';"</f>
        <v>COMMENT ON COLUMN milscm_2023_009.main_diagnosis_start_date.shikkan232_start_date IS 'C481_疾患開始日';</v>
      </c>
    </row>
    <row r="241" spans="1:45" s="25" customFormat="1">
      <c r="A241" s="4" t="s">
        <v>5384</v>
      </c>
      <c r="B241" s="21">
        <f t="shared" si="22"/>
        <v>239</v>
      </c>
      <c r="C241" s="13" t="str">
        <f t="shared" si="25"/>
        <v>C482_疾患開始日</v>
      </c>
      <c r="D241" s="13" t="s">
        <v>5001</v>
      </c>
      <c r="E241" s="8"/>
      <c r="F241" s="7" t="s">
        <v>4348</v>
      </c>
      <c r="G241" s="7" t="s">
        <v>25</v>
      </c>
      <c r="H241" s="58"/>
      <c r="I241" s="23"/>
      <c r="J241" s="24"/>
      <c r="M241" s="4"/>
      <c r="N241" s="76"/>
      <c r="O241" s="76"/>
      <c r="P241" s="76" t="str">
        <f t="shared" si="9"/>
        <v>,shikkan233_start_date</v>
      </c>
      <c r="Q241" s="76" t="str">
        <f t="shared" si="10"/>
        <v>DATE</v>
      </c>
      <c r="R241" s="76" t="str">
        <f t="shared" si="11"/>
        <v/>
      </c>
      <c r="S241" s="76" t="str">
        <f t="shared" si="12"/>
        <v/>
      </c>
      <c r="T241" s="76" t="str">
        <f t="shared" si="13"/>
        <v>-- C482_疾患開始日</v>
      </c>
      <c r="U241" s="4" t="str">
        <f t="shared" si="23"/>
        <v>,'shikkan233_start_date'</v>
      </c>
      <c r="V241" s="25" t="str">
        <f t="shared" si="24"/>
        <v>,'shikkan233_start_date' : 'C482_疾患開始日'</v>
      </c>
      <c r="X241" s="25">
        <v>1</v>
      </c>
      <c r="AA241" s="4"/>
      <c r="AB241" s="4"/>
      <c r="AC241" s="4"/>
      <c r="AD241" s="4"/>
      <c r="AE241" s="4"/>
      <c r="AF241" s="4"/>
      <c r="AG241" s="4"/>
      <c r="AH241" s="4"/>
      <c r="AI241" s="4"/>
      <c r="AJ241" s="76" t="str">
        <f>IF(E241="○",IF(COUNTA(E$13:E241)=1,"",",")&amp;D241,"")</f>
        <v/>
      </c>
      <c r="AK241" s="4"/>
      <c r="AL241" s="4"/>
      <c r="AM241" s="4"/>
      <c r="AN241" s="4"/>
      <c r="AO241" s="4"/>
      <c r="AP241" s="4"/>
      <c r="AQ241" s="4"/>
      <c r="AR241" s="4"/>
      <c r="AS241" s="76" t="str">
        <f>"COMMENT ON COLUMN "&amp;エンティティ一覧!$O$2&amp;"."&amp;D$8&amp;"."&amp;D241&amp;" IS '"&amp;C241&amp;"';"</f>
        <v>COMMENT ON COLUMN milscm_2023_009.main_diagnosis_start_date.shikkan233_start_date IS 'C482_疾患開始日';</v>
      </c>
    </row>
    <row r="242" spans="1:45" s="25" customFormat="1">
      <c r="A242" s="4" t="s">
        <v>5385</v>
      </c>
      <c r="B242" s="21">
        <f t="shared" si="22"/>
        <v>240</v>
      </c>
      <c r="C242" s="13" t="str">
        <f t="shared" si="25"/>
        <v>C488_疾患開始日</v>
      </c>
      <c r="D242" s="13" t="s">
        <v>5002</v>
      </c>
      <c r="E242" s="8"/>
      <c r="F242" s="7" t="s">
        <v>4348</v>
      </c>
      <c r="G242" s="7" t="s">
        <v>25</v>
      </c>
      <c r="H242" s="58"/>
      <c r="I242" s="23"/>
      <c r="J242" s="24"/>
      <c r="M242" s="4"/>
      <c r="N242" s="76"/>
      <c r="O242" s="76"/>
      <c r="P242" s="76" t="str">
        <f t="shared" si="9"/>
        <v>,shikkan234_start_date</v>
      </c>
      <c r="Q242" s="76" t="str">
        <f t="shared" si="10"/>
        <v>DATE</v>
      </c>
      <c r="R242" s="76" t="str">
        <f t="shared" si="11"/>
        <v/>
      </c>
      <c r="S242" s="76" t="str">
        <f t="shared" si="12"/>
        <v/>
      </c>
      <c r="T242" s="76" t="str">
        <f t="shared" si="13"/>
        <v>-- C488_疾患開始日</v>
      </c>
      <c r="U242" s="4" t="str">
        <f t="shared" si="23"/>
        <v>,'shikkan234_start_date'</v>
      </c>
      <c r="V242" s="25" t="str">
        <f t="shared" si="24"/>
        <v>,'shikkan234_start_date' : 'C488_疾患開始日'</v>
      </c>
      <c r="X242" s="25">
        <v>1</v>
      </c>
      <c r="AA242" s="4"/>
      <c r="AB242" s="4"/>
      <c r="AC242" s="4"/>
      <c r="AD242" s="4"/>
      <c r="AE242" s="4"/>
      <c r="AF242" s="4"/>
      <c r="AG242" s="4"/>
      <c r="AH242" s="4"/>
      <c r="AI242" s="4"/>
      <c r="AJ242" s="76" t="str">
        <f>IF(E242="○",IF(COUNTA(E$13:E242)=1,"",",")&amp;D242,"")</f>
        <v/>
      </c>
      <c r="AK242" s="4"/>
      <c r="AL242" s="4"/>
      <c r="AM242" s="4"/>
      <c r="AN242" s="4"/>
      <c r="AO242" s="4"/>
      <c r="AP242" s="4"/>
      <c r="AQ242" s="4"/>
      <c r="AR242" s="4"/>
      <c r="AS242" s="76" t="str">
        <f>"COMMENT ON COLUMN "&amp;エンティティ一覧!$O$2&amp;"."&amp;D$8&amp;"."&amp;D242&amp;" IS '"&amp;C242&amp;"';"</f>
        <v>COMMENT ON COLUMN milscm_2023_009.main_diagnosis_start_date.shikkan234_start_date IS 'C488_疾患開始日';</v>
      </c>
    </row>
    <row r="243" spans="1:45" s="25" customFormat="1">
      <c r="A243" s="4" t="s">
        <v>5386</v>
      </c>
      <c r="B243" s="21">
        <f t="shared" si="22"/>
        <v>241</v>
      </c>
      <c r="C243" s="13" t="str">
        <f t="shared" si="25"/>
        <v>C490_疾患開始日</v>
      </c>
      <c r="D243" s="13" t="s">
        <v>5003</v>
      </c>
      <c r="E243" s="8"/>
      <c r="F243" s="7" t="s">
        <v>4348</v>
      </c>
      <c r="G243" s="7" t="s">
        <v>25</v>
      </c>
      <c r="H243" s="58"/>
      <c r="I243" s="23"/>
      <c r="J243" s="24"/>
      <c r="M243" s="4"/>
      <c r="N243" s="76"/>
      <c r="O243" s="76"/>
      <c r="P243" s="76" t="str">
        <f t="shared" si="9"/>
        <v>,shikkan235_start_date</v>
      </c>
      <c r="Q243" s="76" t="str">
        <f t="shared" si="10"/>
        <v>DATE</v>
      </c>
      <c r="R243" s="76" t="str">
        <f t="shared" si="11"/>
        <v/>
      </c>
      <c r="S243" s="76" t="str">
        <f t="shared" si="12"/>
        <v/>
      </c>
      <c r="T243" s="76" t="str">
        <f t="shared" si="13"/>
        <v>-- C490_疾患開始日</v>
      </c>
      <c r="U243" s="4" t="str">
        <f t="shared" si="23"/>
        <v>,'shikkan235_start_date'</v>
      </c>
      <c r="V243" s="25" t="str">
        <f t="shared" si="24"/>
        <v>,'shikkan235_start_date' : 'C490_疾患開始日'</v>
      </c>
      <c r="X243" s="25">
        <v>1</v>
      </c>
      <c r="AA243" s="4"/>
      <c r="AB243" s="4"/>
      <c r="AC243" s="4"/>
      <c r="AD243" s="4"/>
      <c r="AE243" s="4"/>
      <c r="AF243" s="4"/>
      <c r="AG243" s="4"/>
      <c r="AH243" s="4"/>
      <c r="AI243" s="4"/>
      <c r="AJ243" s="76" t="str">
        <f>IF(E243="○",IF(COUNTA(E$13:E243)=1,"",",")&amp;D243,"")</f>
        <v/>
      </c>
      <c r="AK243" s="4"/>
      <c r="AL243" s="4"/>
      <c r="AM243" s="4"/>
      <c r="AN243" s="4"/>
      <c r="AO243" s="4"/>
      <c r="AP243" s="4"/>
      <c r="AQ243" s="4"/>
      <c r="AR243" s="4"/>
      <c r="AS243" s="76" t="str">
        <f>"COMMENT ON COLUMN "&amp;エンティティ一覧!$O$2&amp;"."&amp;D$8&amp;"."&amp;D243&amp;" IS '"&amp;C243&amp;"';"</f>
        <v>COMMENT ON COLUMN milscm_2023_009.main_diagnosis_start_date.shikkan235_start_date IS 'C490_疾患開始日';</v>
      </c>
    </row>
    <row r="244" spans="1:45" s="25" customFormat="1">
      <c r="A244" s="4" t="s">
        <v>5387</v>
      </c>
      <c r="B244" s="21">
        <f t="shared" si="22"/>
        <v>242</v>
      </c>
      <c r="C244" s="13" t="str">
        <f t="shared" si="25"/>
        <v>C491_疾患開始日</v>
      </c>
      <c r="D244" s="13" t="s">
        <v>5004</v>
      </c>
      <c r="E244" s="8"/>
      <c r="F244" s="7" t="s">
        <v>4348</v>
      </c>
      <c r="G244" s="7" t="s">
        <v>25</v>
      </c>
      <c r="H244" s="58"/>
      <c r="I244" s="23"/>
      <c r="J244" s="24"/>
      <c r="M244" s="4"/>
      <c r="N244" s="76"/>
      <c r="O244" s="76"/>
      <c r="P244" s="76" t="str">
        <f t="shared" si="9"/>
        <v>,shikkan236_start_date</v>
      </c>
      <c r="Q244" s="76" t="str">
        <f t="shared" si="10"/>
        <v>DATE</v>
      </c>
      <c r="R244" s="76" t="str">
        <f t="shared" si="11"/>
        <v/>
      </c>
      <c r="S244" s="76" t="str">
        <f t="shared" si="12"/>
        <v/>
      </c>
      <c r="T244" s="76" t="str">
        <f t="shared" si="13"/>
        <v>-- C491_疾患開始日</v>
      </c>
      <c r="U244" s="4" t="str">
        <f t="shared" si="23"/>
        <v>,'shikkan236_start_date'</v>
      </c>
      <c r="V244" s="25" t="str">
        <f t="shared" si="24"/>
        <v>,'shikkan236_start_date' : 'C491_疾患開始日'</v>
      </c>
      <c r="X244" s="25">
        <v>1</v>
      </c>
      <c r="AA244" s="4"/>
      <c r="AB244" s="4"/>
      <c r="AC244" s="4"/>
      <c r="AD244" s="4"/>
      <c r="AE244" s="4"/>
      <c r="AF244" s="4"/>
      <c r="AG244" s="4"/>
      <c r="AH244" s="4"/>
      <c r="AI244" s="4"/>
      <c r="AJ244" s="76" t="str">
        <f>IF(E244="○",IF(COUNTA(E$13:E244)=1,"",",")&amp;D244,"")</f>
        <v/>
      </c>
      <c r="AK244" s="4"/>
      <c r="AL244" s="4"/>
      <c r="AM244" s="4"/>
      <c r="AN244" s="4"/>
      <c r="AO244" s="4"/>
      <c r="AP244" s="4"/>
      <c r="AQ244" s="4"/>
      <c r="AR244" s="4"/>
      <c r="AS244" s="76" t="str">
        <f>"COMMENT ON COLUMN "&amp;エンティティ一覧!$O$2&amp;"."&amp;D$8&amp;"."&amp;D244&amp;" IS '"&amp;C244&amp;"';"</f>
        <v>COMMENT ON COLUMN milscm_2023_009.main_diagnosis_start_date.shikkan236_start_date IS 'C491_疾患開始日';</v>
      </c>
    </row>
    <row r="245" spans="1:45" s="25" customFormat="1">
      <c r="A245" s="4" t="s">
        <v>5388</v>
      </c>
      <c r="B245" s="21">
        <f t="shared" si="22"/>
        <v>243</v>
      </c>
      <c r="C245" s="13" t="str">
        <f t="shared" si="25"/>
        <v>C492_疾患開始日</v>
      </c>
      <c r="D245" s="13" t="s">
        <v>5005</v>
      </c>
      <c r="E245" s="8"/>
      <c r="F245" s="7" t="s">
        <v>4348</v>
      </c>
      <c r="G245" s="7" t="s">
        <v>25</v>
      </c>
      <c r="H245" s="58"/>
      <c r="I245" s="23"/>
      <c r="J245" s="24"/>
      <c r="M245" s="4"/>
      <c r="N245" s="76"/>
      <c r="O245" s="76"/>
      <c r="P245" s="76" t="str">
        <f t="shared" si="9"/>
        <v>,shikkan237_start_date</v>
      </c>
      <c r="Q245" s="76" t="str">
        <f t="shared" si="10"/>
        <v>DATE</v>
      </c>
      <c r="R245" s="76" t="str">
        <f t="shared" si="11"/>
        <v/>
      </c>
      <c r="S245" s="76" t="str">
        <f t="shared" si="12"/>
        <v/>
      </c>
      <c r="T245" s="76" t="str">
        <f t="shared" si="13"/>
        <v>-- C492_疾患開始日</v>
      </c>
      <c r="U245" s="4" t="str">
        <f t="shared" si="23"/>
        <v>,'shikkan237_start_date'</v>
      </c>
      <c r="V245" s="25" t="str">
        <f t="shared" si="24"/>
        <v>,'shikkan237_start_date' : 'C492_疾患開始日'</v>
      </c>
      <c r="X245" s="25">
        <v>1</v>
      </c>
      <c r="AA245" s="4"/>
      <c r="AB245" s="4"/>
      <c r="AC245" s="4"/>
      <c r="AD245" s="4"/>
      <c r="AE245" s="4"/>
      <c r="AF245" s="4"/>
      <c r="AG245" s="4"/>
      <c r="AH245" s="4"/>
      <c r="AI245" s="4"/>
      <c r="AJ245" s="76" t="str">
        <f>IF(E245="○",IF(COUNTA(E$13:E245)=1,"",",")&amp;D245,"")</f>
        <v/>
      </c>
      <c r="AK245" s="4"/>
      <c r="AL245" s="4"/>
      <c r="AM245" s="4"/>
      <c r="AN245" s="4"/>
      <c r="AO245" s="4"/>
      <c r="AP245" s="4"/>
      <c r="AQ245" s="4"/>
      <c r="AR245" s="4"/>
      <c r="AS245" s="76" t="str">
        <f>"COMMENT ON COLUMN "&amp;エンティティ一覧!$O$2&amp;"."&amp;D$8&amp;"."&amp;D245&amp;" IS '"&amp;C245&amp;"';"</f>
        <v>COMMENT ON COLUMN milscm_2023_009.main_diagnosis_start_date.shikkan237_start_date IS 'C492_疾患開始日';</v>
      </c>
    </row>
    <row r="246" spans="1:45" s="25" customFormat="1">
      <c r="A246" s="4" t="s">
        <v>5389</v>
      </c>
      <c r="B246" s="21">
        <f t="shared" si="22"/>
        <v>244</v>
      </c>
      <c r="C246" s="13" t="str">
        <f t="shared" si="25"/>
        <v>C493_疾患開始日</v>
      </c>
      <c r="D246" s="13" t="s">
        <v>5006</v>
      </c>
      <c r="E246" s="8"/>
      <c r="F246" s="7" t="s">
        <v>4348</v>
      </c>
      <c r="G246" s="7" t="s">
        <v>25</v>
      </c>
      <c r="H246" s="58"/>
      <c r="I246" s="23"/>
      <c r="J246" s="24"/>
      <c r="M246" s="4"/>
      <c r="N246" s="76"/>
      <c r="O246" s="76"/>
      <c r="P246" s="76" t="str">
        <f t="shared" si="9"/>
        <v>,shikkan238_start_date</v>
      </c>
      <c r="Q246" s="76" t="str">
        <f t="shared" si="10"/>
        <v>DATE</v>
      </c>
      <c r="R246" s="76" t="str">
        <f t="shared" si="11"/>
        <v/>
      </c>
      <c r="S246" s="76" t="str">
        <f t="shared" si="12"/>
        <v/>
      </c>
      <c r="T246" s="76" t="str">
        <f t="shared" si="13"/>
        <v>-- C493_疾患開始日</v>
      </c>
      <c r="U246" s="4" t="str">
        <f t="shared" si="23"/>
        <v>,'shikkan238_start_date'</v>
      </c>
      <c r="V246" s="25" t="str">
        <f t="shared" si="24"/>
        <v>,'shikkan238_start_date' : 'C493_疾患開始日'</v>
      </c>
      <c r="X246" s="25">
        <v>1</v>
      </c>
      <c r="AA246" s="4"/>
      <c r="AB246" s="4"/>
      <c r="AC246" s="4"/>
      <c r="AD246" s="4"/>
      <c r="AE246" s="4"/>
      <c r="AF246" s="4"/>
      <c r="AG246" s="4"/>
      <c r="AH246" s="4"/>
      <c r="AI246" s="4"/>
      <c r="AJ246" s="76" t="str">
        <f>IF(E246="○",IF(COUNTA(E$13:E246)=1,"",",")&amp;D246,"")</f>
        <v/>
      </c>
      <c r="AK246" s="4"/>
      <c r="AL246" s="4"/>
      <c r="AM246" s="4"/>
      <c r="AN246" s="4"/>
      <c r="AO246" s="4"/>
      <c r="AP246" s="4"/>
      <c r="AQ246" s="4"/>
      <c r="AR246" s="4"/>
      <c r="AS246" s="76" t="str">
        <f>"COMMENT ON COLUMN "&amp;エンティティ一覧!$O$2&amp;"."&amp;D$8&amp;"."&amp;D246&amp;" IS '"&amp;C246&amp;"';"</f>
        <v>COMMENT ON COLUMN milscm_2023_009.main_diagnosis_start_date.shikkan238_start_date IS 'C493_疾患開始日';</v>
      </c>
    </row>
    <row r="247" spans="1:45" s="25" customFormat="1">
      <c r="A247" s="4" t="s">
        <v>5390</v>
      </c>
      <c r="B247" s="21">
        <f t="shared" si="22"/>
        <v>245</v>
      </c>
      <c r="C247" s="13" t="str">
        <f t="shared" si="25"/>
        <v>C494_疾患開始日</v>
      </c>
      <c r="D247" s="13" t="s">
        <v>5007</v>
      </c>
      <c r="E247" s="8"/>
      <c r="F247" s="7" t="s">
        <v>4348</v>
      </c>
      <c r="G247" s="7" t="s">
        <v>25</v>
      </c>
      <c r="H247" s="58"/>
      <c r="I247" s="23"/>
      <c r="J247" s="24"/>
      <c r="M247" s="4"/>
      <c r="N247" s="76"/>
      <c r="O247" s="76"/>
      <c r="P247" s="76" t="str">
        <f t="shared" si="9"/>
        <v>,shikkan239_start_date</v>
      </c>
      <c r="Q247" s="76" t="str">
        <f t="shared" si="10"/>
        <v>DATE</v>
      </c>
      <c r="R247" s="76" t="str">
        <f t="shared" si="11"/>
        <v/>
      </c>
      <c r="S247" s="76" t="str">
        <f t="shared" si="12"/>
        <v/>
      </c>
      <c r="T247" s="76" t="str">
        <f t="shared" si="13"/>
        <v>-- C494_疾患開始日</v>
      </c>
      <c r="U247" s="4" t="str">
        <f t="shared" si="23"/>
        <v>,'shikkan239_start_date'</v>
      </c>
      <c r="V247" s="25" t="str">
        <f t="shared" si="24"/>
        <v>,'shikkan239_start_date' : 'C494_疾患開始日'</v>
      </c>
      <c r="X247" s="25">
        <v>1</v>
      </c>
      <c r="AA247" s="4"/>
      <c r="AB247" s="4"/>
      <c r="AC247" s="4"/>
      <c r="AD247" s="4"/>
      <c r="AE247" s="4"/>
      <c r="AF247" s="4"/>
      <c r="AG247" s="4"/>
      <c r="AH247" s="4"/>
      <c r="AI247" s="4"/>
      <c r="AJ247" s="76" t="str">
        <f>IF(E247="○",IF(COUNTA(E$13:E247)=1,"",",")&amp;D247,"")</f>
        <v/>
      </c>
      <c r="AK247" s="4"/>
      <c r="AL247" s="4"/>
      <c r="AM247" s="4"/>
      <c r="AN247" s="4"/>
      <c r="AO247" s="4"/>
      <c r="AP247" s="4"/>
      <c r="AQ247" s="4"/>
      <c r="AR247" s="4"/>
      <c r="AS247" s="76" t="str">
        <f>"COMMENT ON COLUMN "&amp;エンティティ一覧!$O$2&amp;"."&amp;D$8&amp;"."&amp;D247&amp;" IS '"&amp;C247&amp;"';"</f>
        <v>COMMENT ON COLUMN milscm_2023_009.main_diagnosis_start_date.shikkan239_start_date IS 'C494_疾患開始日';</v>
      </c>
    </row>
    <row r="248" spans="1:45" s="25" customFormat="1">
      <c r="A248" s="4" t="s">
        <v>5391</v>
      </c>
      <c r="B248" s="21">
        <f t="shared" si="22"/>
        <v>246</v>
      </c>
      <c r="C248" s="13" t="str">
        <f t="shared" si="25"/>
        <v>C495_疾患開始日</v>
      </c>
      <c r="D248" s="13" t="s">
        <v>5008</v>
      </c>
      <c r="E248" s="8"/>
      <c r="F248" s="7" t="s">
        <v>4348</v>
      </c>
      <c r="G248" s="7" t="s">
        <v>25</v>
      </c>
      <c r="H248" s="58"/>
      <c r="I248" s="23"/>
      <c r="J248" s="24"/>
      <c r="M248" s="4"/>
      <c r="N248" s="76"/>
      <c r="O248" s="76"/>
      <c r="P248" s="76" t="str">
        <f t="shared" si="9"/>
        <v>,shikkan240_start_date</v>
      </c>
      <c r="Q248" s="76" t="str">
        <f t="shared" si="10"/>
        <v>DATE</v>
      </c>
      <c r="R248" s="76" t="str">
        <f t="shared" si="11"/>
        <v/>
      </c>
      <c r="S248" s="76" t="str">
        <f t="shared" si="12"/>
        <v/>
      </c>
      <c r="T248" s="76" t="str">
        <f t="shared" si="13"/>
        <v>-- C495_疾患開始日</v>
      </c>
      <c r="U248" s="4" t="str">
        <f t="shared" si="23"/>
        <v>,'shikkan240_start_date'</v>
      </c>
      <c r="V248" s="25" t="str">
        <f t="shared" si="24"/>
        <v>,'shikkan240_start_date' : 'C495_疾患開始日'</v>
      </c>
      <c r="X248" s="25">
        <v>1</v>
      </c>
      <c r="AA248" s="4"/>
      <c r="AB248" s="4"/>
      <c r="AC248" s="4"/>
      <c r="AD248" s="4"/>
      <c r="AE248" s="4"/>
      <c r="AF248" s="4"/>
      <c r="AG248" s="4"/>
      <c r="AH248" s="4"/>
      <c r="AI248" s="4"/>
      <c r="AJ248" s="76" t="str">
        <f>IF(E248="○",IF(COUNTA(E$13:E248)=1,"",",")&amp;D248,"")</f>
        <v/>
      </c>
      <c r="AK248" s="4"/>
      <c r="AL248" s="4"/>
      <c r="AM248" s="4"/>
      <c r="AN248" s="4"/>
      <c r="AO248" s="4"/>
      <c r="AP248" s="4"/>
      <c r="AQ248" s="4"/>
      <c r="AR248" s="4"/>
      <c r="AS248" s="76" t="str">
        <f>"COMMENT ON COLUMN "&amp;エンティティ一覧!$O$2&amp;"."&amp;D$8&amp;"."&amp;D248&amp;" IS '"&amp;C248&amp;"';"</f>
        <v>COMMENT ON COLUMN milscm_2023_009.main_diagnosis_start_date.shikkan240_start_date IS 'C495_疾患開始日';</v>
      </c>
    </row>
    <row r="249" spans="1:45" s="25" customFormat="1">
      <c r="A249" s="4" t="s">
        <v>5392</v>
      </c>
      <c r="B249" s="21">
        <f t="shared" si="22"/>
        <v>247</v>
      </c>
      <c r="C249" s="13" t="str">
        <f t="shared" si="25"/>
        <v>C496_疾患開始日</v>
      </c>
      <c r="D249" s="13" t="s">
        <v>5009</v>
      </c>
      <c r="E249" s="8"/>
      <c r="F249" s="7" t="s">
        <v>4348</v>
      </c>
      <c r="G249" s="7" t="s">
        <v>99</v>
      </c>
      <c r="H249" s="58"/>
      <c r="I249" s="23"/>
      <c r="J249" s="24"/>
      <c r="M249" s="4"/>
      <c r="N249" s="76"/>
      <c r="O249" s="76"/>
      <c r="P249" s="76" t="str">
        <f t="shared" si="9"/>
        <v>,shikkan241_start_date</v>
      </c>
      <c r="Q249" s="76" t="str">
        <f t="shared" si="10"/>
        <v>DATE</v>
      </c>
      <c r="R249" s="76" t="str">
        <f t="shared" si="11"/>
        <v/>
      </c>
      <c r="S249" s="76" t="str">
        <f t="shared" si="12"/>
        <v/>
      </c>
      <c r="T249" s="76" t="str">
        <f t="shared" si="13"/>
        <v>-- C496_疾患開始日</v>
      </c>
      <c r="U249" s="4" t="str">
        <f t="shared" si="23"/>
        <v>,'shikkan241_start_date'</v>
      </c>
      <c r="V249" s="25" t="str">
        <f t="shared" si="24"/>
        <v>,'shikkan241_start_date' : 'C496_疾患開始日'</v>
      </c>
      <c r="X249" s="25">
        <v>1</v>
      </c>
      <c r="AA249" s="4"/>
      <c r="AB249" s="4"/>
      <c r="AC249" s="4"/>
      <c r="AD249" s="4"/>
      <c r="AE249" s="4"/>
      <c r="AF249" s="4"/>
      <c r="AG249" s="4"/>
      <c r="AH249" s="4"/>
      <c r="AI249" s="4"/>
      <c r="AJ249" s="76" t="str">
        <f>IF(E249="○",IF(COUNTA(E$13:E249)=1,"",",")&amp;D249,"")</f>
        <v/>
      </c>
      <c r="AK249" s="4"/>
      <c r="AL249" s="4"/>
      <c r="AM249" s="4"/>
      <c r="AN249" s="4"/>
      <c r="AO249" s="4"/>
      <c r="AP249" s="4"/>
      <c r="AQ249" s="4"/>
      <c r="AR249" s="4"/>
      <c r="AS249" s="76" t="str">
        <f>"COMMENT ON COLUMN "&amp;エンティティ一覧!$O$2&amp;"."&amp;D$8&amp;"."&amp;D249&amp;" IS '"&amp;C249&amp;"';"</f>
        <v>COMMENT ON COLUMN milscm_2023_009.main_diagnosis_start_date.shikkan241_start_date IS 'C496_疾患開始日';</v>
      </c>
    </row>
    <row r="250" spans="1:45" s="25" customFormat="1">
      <c r="A250" s="4" t="s">
        <v>5393</v>
      </c>
      <c r="B250" s="21">
        <f t="shared" si="22"/>
        <v>248</v>
      </c>
      <c r="C250" s="13" t="str">
        <f t="shared" si="25"/>
        <v>C498_疾患開始日</v>
      </c>
      <c r="D250" s="13" t="s">
        <v>5010</v>
      </c>
      <c r="E250" s="8"/>
      <c r="F250" s="7" t="s">
        <v>4348</v>
      </c>
      <c r="G250" s="7" t="s">
        <v>25</v>
      </c>
      <c r="H250" s="58"/>
      <c r="I250" s="23"/>
      <c r="J250" s="24"/>
      <c r="M250" s="4"/>
      <c r="N250" s="76"/>
      <c r="O250" s="76"/>
      <c r="P250" s="76" t="str">
        <f t="shared" si="9"/>
        <v>,shikkan242_start_date</v>
      </c>
      <c r="Q250" s="76" t="str">
        <f t="shared" si="10"/>
        <v>DATE</v>
      </c>
      <c r="R250" s="76" t="str">
        <f t="shared" si="11"/>
        <v/>
      </c>
      <c r="S250" s="76" t="str">
        <f t="shared" si="12"/>
        <v/>
      </c>
      <c r="T250" s="76" t="str">
        <f t="shared" si="13"/>
        <v>-- C498_疾患開始日</v>
      </c>
      <c r="U250" s="4" t="str">
        <f t="shared" si="23"/>
        <v>,'shikkan242_start_date'</v>
      </c>
      <c r="V250" s="25" t="str">
        <f t="shared" si="24"/>
        <v>,'shikkan242_start_date' : 'C498_疾患開始日'</v>
      </c>
      <c r="X250" s="25">
        <v>1</v>
      </c>
      <c r="AA250" s="4"/>
      <c r="AB250" s="4"/>
      <c r="AC250" s="4"/>
      <c r="AD250" s="4"/>
      <c r="AE250" s="4"/>
      <c r="AF250" s="4"/>
      <c r="AG250" s="4"/>
      <c r="AH250" s="4"/>
      <c r="AI250" s="4"/>
      <c r="AJ250" s="76" t="str">
        <f>IF(E250="○",IF(COUNTA(E$13:E250)=1,"",",")&amp;D250,"")</f>
        <v/>
      </c>
      <c r="AK250" s="4"/>
      <c r="AL250" s="4"/>
      <c r="AM250" s="4"/>
      <c r="AN250" s="4"/>
      <c r="AO250" s="4"/>
      <c r="AP250" s="4"/>
      <c r="AQ250" s="4"/>
      <c r="AR250" s="4"/>
      <c r="AS250" s="76" t="str">
        <f>"COMMENT ON COLUMN "&amp;エンティティ一覧!$O$2&amp;"."&amp;D$8&amp;"."&amp;D250&amp;" IS '"&amp;C250&amp;"';"</f>
        <v>COMMENT ON COLUMN milscm_2023_009.main_diagnosis_start_date.shikkan242_start_date IS 'C498_疾患開始日';</v>
      </c>
    </row>
    <row r="251" spans="1:45" s="25" customFormat="1">
      <c r="A251" s="4" t="s">
        <v>5394</v>
      </c>
      <c r="B251" s="21">
        <f t="shared" si="22"/>
        <v>249</v>
      </c>
      <c r="C251" s="13" t="str">
        <f t="shared" si="25"/>
        <v>C499_疾患開始日</v>
      </c>
      <c r="D251" s="13" t="s">
        <v>5011</v>
      </c>
      <c r="E251" s="8"/>
      <c r="F251" s="7" t="s">
        <v>4348</v>
      </c>
      <c r="G251" s="7" t="s">
        <v>25</v>
      </c>
      <c r="H251" s="58"/>
      <c r="I251" s="23"/>
      <c r="J251" s="24"/>
      <c r="M251" s="4"/>
      <c r="N251" s="76"/>
      <c r="O251" s="76"/>
      <c r="P251" s="76" t="str">
        <f t="shared" si="9"/>
        <v>,shikkan243_start_date</v>
      </c>
      <c r="Q251" s="76" t="str">
        <f t="shared" si="10"/>
        <v>DATE</v>
      </c>
      <c r="R251" s="76" t="str">
        <f t="shared" si="11"/>
        <v/>
      </c>
      <c r="S251" s="76" t="str">
        <f t="shared" si="12"/>
        <v/>
      </c>
      <c r="T251" s="76" t="str">
        <f t="shared" si="13"/>
        <v>-- C499_疾患開始日</v>
      </c>
      <c r="U251" s="4" t="str">
        <f t="shared" si="23"/>
        <v>,'shikkan243_start_date'</v>
      </c>
      <c r="V251" s="25" t="str">
        <f t="shared" si="24"/>
        <v>,'shikkan243_start_date' : 'C499_疾患開始日'</v>
      </c>
      <c r="X251" s="25">
        <v>1</v>
      </c>
      <c r="AA251" s="4"/>
      <c r="AB251" s="4"/>
      <c r="AC251" s="4"/>
      <c r="AD251" s="4"/>
      <c r="AE251" s="4"/>
      <c r="AF251" s="4"/>
      <c r="AG251" s="4"/>
      <c r="AH251" s="4"/>
      <c r="AI251" s="4"/>
      <c r="AJ251" s="76" t="str">
        <f>IF(E251="○",IF(COUNTA(E$13:E251)=1,"",",")&amp;D251,"")</f>
        <v/>
      </c>
      <c r="AK251" s="4"/>
      <c r="AL251" s="4"/>
      <c r="AM251" s="4"/>
      <c r="AN251" s="4"/>
      <c r="AO251" s="4"/>
      <c r="AP251" s="4"/>
      <c r="AQ251" s="4"/>
      <c r="AR251" s="4"/>
      <c r="AS251" s="76" t="str">
        <f>"COMMENT ON COLUMN "&amp;エンティティ一覧!$O$2&amp;"."&amp;D$8&amp;"."&amp;D251&amp;" IS '"&amp;C251&amp;"';"</f>
        <v>COMMENT ON COLUMN milscm_2023_009.main_diagnosis_start_date.shikkan243_start_date IS 'C499_疾患開始日';</v>
      </c>
    </row>
    <row r="252" spans="1:45" s="25" customFormat="1">
      <c r="A252" s="4" t="s">
        <v>5395</v>
      </c>
      <c r="B252" s="21">
        <f t="shared" si="22"/>
        <v>250</v>
      </c>
      <c r="C252" s="13" t="str">
        <f t="shared" si="25"/>
        <v>C500_疾患開始日</v>
      </c>
      <c r="D252" s="13" t="s">
        <v>5012</v>
      </c>
      <c r="E252" s="8"/>
      <c r="F252" s="7" t="s">
        <v>4348</v>
      </c>
      <c r="G252" s="7" t="s">
        <v>25</v>
      </c>
      <c r="H252" s="58"/>
      <c r="I252" s="23"/>
      <c r="J252" s="24"/>
      <c r="M252" s="4"/>
      <c r="N252" s="76"/>
      <c r="O252" s="76"/>
      <c r="P252" s="76" t="str">
        <f t="shared" si="9"/>
        <v>,shikkan244_start_date</v>
      </c>
      <c r="Q252" s="76" t="str">
        <f t="shared" si="10"/>
        <v>DATE</v>
      </c>
      <c r="R252" s="76" t="str">
        <f t="shared" si="11"/>
        <v/>
      </c>
      <c r="S252" s="76" t="str">
        <f t="shared" si="12"/>
        <v/>
      </c>
      <c r="T252" s="76" t="str">
        <f t="shared" si="13"/>
        <v>-- C500_疾患開始日</v>
      </c>
      <c r="U252" s="4" t="str">
        <f t="shared" si="23"/>
        <v>,'shikkan244_start_date'</v>
      </c>
      <c r="V252" s="25" t="str">
        <f t="shared" si="24"/>
        <v>,'shikkan244_start_date' : 'C500_疾患開始日'</v>
      </c>
      <c r="X252" s="25">
        <v>1</v>
      </c>
      <c r="AA252" s="4"/>
      <c r="AB252" s="4"/>
      <c r="AC252" s="4"/>
      <c r="AD252" s="4"/>
      <c r="AE252" s="4"/>
      <c r="AF252" s="4"/>
      <c r="AG252" s="4"/>
      <c r="AH252" s="4"/>
      <c r="AI252" s="4"/>
      <c r="AJ252" s="76" t="str">
        <f>IF(E252="○",IF(COUNTA(E$13:E252)=1,"",",")&amp;D252,"")</f>
        <v/>
      </c>
      <c r="AK252" s="4"/>
      <c r="AL252" s="4"/>
      <c r="AM252" s="4"/>
      <c r="AN252" s="4"/>
      <c r="AO252" s="4"/>
      <c r="AP252" s="4"/>
      <c r="AQ252" s="4"/>
      <c r="AR252" s="4"/>
      <c r="AS252" s="76" t="str">
        <f>"COMMENT ON COLUMN "&amp;エンティティ一覧!$O$2&amp;"."&amp;D$8&amp;"."&amp;D252&amp;" IS '"&amp;C252&amp;"';"</f>
        <v>COMMENT ON COLUMN milscm_2023_009.main_diagnosis_start_date.shikkan244_start_date IS 'C500_疾患開始日';</v>
      </c>
    </row>
    <row r="253" spans="1:45" s="25" customFormat="1">
      <c r="A253" s="4" t="s">
        <v>5396</v>
      </c>
      <c r="B253" s="21">
        <f t="shared" si="22"/>
        <v>251</v>
      </c>
      <c r="C253" s="13" t="str">
        <f t="shared" si="25"/>
        <v>C501_疾患開始日</v>
      </c>
      <c r="D253" s="13" t="s">
        <v>5013</v>
      </c>
      <c r="E253" s="8"/>
      <c r="F253" s="7" t="s">
        <v>4348</v>
      </c>
      <c r="G253" s="7" t="s">
        <v>25</v>
      </c>
      <c r="H253" s="58"/>
      <c r="I253" s="23"/>
      <c r="J253" s="24"/>
      <c r="M253" s="4"/>
      <c r="N253" s="76"/>
      <c r="O253" s="76"/>
      <c r="P253" s="76" t="str">
        <f t="shared" si="9"/>
        <v>,shikkan245_start_date</v>
      </c>
      <c r="Q253" s="76" t="str">
        <f t="shared" si="10"/>
        <v>DATE</v>
      </c>
      <c r="R253" s="76" t="str">
        <f t="shared" si="11"/>
        <v/>
      </c>
      <c r="S253" s="76" t="str">
        <f t="shared" si="12"/>
        <v/>
      </c>
      <c r="T253" s="76" t="str">
        <f t="shared" si="13"/>
        <v>-- C501_疾患開始日</v>
      </c>
      <c r="U253" s="4" t="str">
        <f t="shared" si="23"/>
        <v>,'shikkan245_start_date'</v>
      </c>
      <c r="V253" s="25" t="str">
        <f t="shared" si="24"/>
        <v>,'shikkan245_start_date' : 'C501_疾患開始日'</v>
      </c>
      <c r="X253" s="25">
        <v>1</v>
      </c>
      <c r="AA253" s="4"/>
      <c r="AB253" s="4"/>
      <c r="AC253" s="4"/>
      <c r="AD253" s="4"/>
      <c r="AE253" s="4"/>
      <c r="AF253" s="4"/>
      <c r="AG253" s="4"/>
      <c r="AH253" s="4"/>
      <c r="AI253" s="4"/>
      <c r="AJ253" s="76" t="str">
        <f>IF(E253="○",IF(COUNTA(E$13:E253)=1,"",",")&amp;D253,"")</f>
        <v/>
      </c>
      <c r="AK253" s="4"/>
      <c r="AL253" s="4"/>
      <c r="AM253" s="4"/>
      <c r="AN253" s="4"/>
      <c r="AO253" s="4"/>
      <c r="AP253" s="4"/>
      <c r="AQ253" s="4"/>
      <c r="AR253" s="4"/>
      <c r="AS253" s="76" t="str">
        <f>"COMMENT ON COLUMN "&amp;エンティティ一覧!$O$2&amp;"."&amp;D$8&amp;"."&amp;D253&amp;" IS '"&amp;C253&amp;"';"</f>
        <v>COMMENT ON COLUMN milscm_2023_009.main_diagnosis_start_date.shikkan245_start_date IS 'C501_疾患開始日';</v>
      </c>
    </row>
    <row r="254" spans="1:45" s="25" customFormat="1">
      <c r="A254" s="4" t="s">
        <v>5397</v>
      </c>
      <c r="B254" s="21">
        <f t="shared" si="22"/>
        <v>252</v>
      </c>
      <c r="C254" s="13" t="str">
        <f t="shared" si="25"/>
        <v>C502_疾患開始日</v>
      </c>
      <c r="D254" s="13" t="s">
        <v>5014</v>
      </c>
      <c r="E254" s="8"/>
      <c r="F254" s="7" t="s">
        <v>4348</v>
      </c>
      <c r="G254" s="7" t="s">
        <v>25</v>
      </c>
      <c r="H254" s="58"/>
      <c r="I254" s="23"/>
      <c r="J254" s="24"/>
      <c r="M254" s="4"/>
      <c r="N254" s="76"/>
      <c r="O254" s="76"/>
      <c r="P254" s="76" t="str">
        <f t="shared" si="9"/>
        <v>,shikkan246_start_date</v>
      </c>
      <c r="Q254" s="76" t="str">
        <f t="shared" si="10"/>
        <v>DATE</v>
      </c>
      <c r="R254" s="76" t="str">
        <f t="shared" si="11"/>
        <v/>
      </c>
      <c r="S254" s="76" t="str">
        <f t="shared" si="12"/>
        <v/>
      </c>
      <c r="T254" s="76" t="str">
        <f t="shared" si="13"/>
        <v>-- C502_疾患開始日</v>
      </c>
      <c r="U254" s="4" t="str">
        <f t="shared" si="23"/>
        <v>,'shikkan246_start_date'</v>
      </c>
      <c r="V254" s="25" t="str">
        <f t="shared" si="24"/>
        <v>,'shikkan246_start_date' : 'C502_疾患開始日'</v>
      </c>
      <c r="X254" s="25">
        <v>1</v>
      </c>
      <c r="AA254" s="4"/>
      <c r="AB254" s="4"/>
      <c r="AC254" s="4"/>
      <c r="AD254" s="4"/>
      <c r="AE254" s="4"/>
      <c r="AF254" s="4"/>
      <c r="AG254" s="4"/>
      <c r="AH254" s="4"/>
      <c r="AI254" s="4"/>
      <c r="AJ254" s="76" t="str">
        <f>IF(E254="○",IF(COUNTA(E$13:E254)=1,"",",")&amp;D254,"")</f>
        <v/>
      </c>
      <c r="AK254" s="4"/>
      <c r="AL254" s="4"/>
      <c r="AM254" s="4"/>
      <c r="AN254" s="4"/>
      <c r="AO254" s="4"/>
      <c r="AP254" s="4"/>
      <c r="AQ254" s="4"/>
      <c r="AR254" s="4"/>
      <c r="AS254" s="76" t="str">
        <f>"COMMENT ON COLUMN "&amp;エンティティ一覧!$O$2&amp;"."&amp;D$8&amp;"."&amp;D254&amp;" IS '"&amp;C254&amp;"';"</f>
        <v>COMMENT ON COLUMN milscm_2023_009.main_diagnosis_start_date.shikkan246_start_date IS 'C502_疾患開始日';</v>
      </c>
    </row>
    <row r="255" spans="1:45" s="25" customFormat="1">
      <c r="A255" s="4" t="s">
        <v>5398</v>
      </c>
      <c r="B255" s="21">
        <f t="shared" si="22"/>
        <v>253</v>
      </c>
      <c r="C255" s="13" t="str">
        <f t="shared" si="25"/>
        <v>C503_疾患開始日</v>
      </c>
      <c r="D255" s="13" t="s">
        <v>5015</v>
      </c>
      <c r="E255" s="8"/>
      <c r="F255" s="7" t="s">
        <v>4348</v>
      </c>
      <c r="G255" s="7" t="s">
        <v>25</v>
      </c>
      <c r="H255" s="58"/>
      <c r="I255" s="23"/>
      <c r="J255" s="24"/>
      <c r="M255" s="4"/>
      <c r="N255" s="76"/>
      <c r="O255" s="76"/>
      <c r="P255" s="76" t="str">
        <f t="shared" si="9"/>
        <v>,shikkan247_start_date</v>
      </c>
      <c r="Q255" s="76" t="str">
        <f t="shared" si="10"/>
        <v>DATE</v>
      </c>
      <c r="R255" s="76" t="str">
        <f t="shared" si="11"/>
        <v/>
      </c>
      <c r="S255" s="76" t="str">
        <f t="shared" si="12"/>
        <v/>
      </c>
      <c r="T255" s="76" t="str">
        <f t="shared" si="13"/>
        <v>-- C503_疾患開始日</v>
      </c>
      <c r="U255" s="4" t="str">
        <f t="shared" si="23"/>
        <v>,'shikkan247_start_date'</v>
      </c>
      <c r="V255" s="25" t="str">
        <f t="shared" si="24"/>
        <v>,'shikkan247_start_date' : 'C503_疾患開始日'</v>
      </c>
      <c r="X255" s="25">
        <v>1</v>
      </c>
      <c r="AA255" s="4"/>
      <c r="AB255" s="4"/>
      <c r="AC255" s="4"/>
      <c r="AD255" s="4"/>
      <c r="AE255" s="4"/>
      <c r="AF255" s="4"/>
      <c r="AG255" s="4"/>
      <c r="AH255" s="4"/>
      <c r="AI255" s="4"/>
      <c r="AJ255" s="76" t="str">
        <f>IF(E255="○",IF(COUNTA(E$13:E255)=1,"",",")&amp;D255,"")</f>
        <v/>
      </c>
      <c r="AK255" s="4"/>
      <c r="AL255" s="4"/>
      <c r="AM255" s="4"/>
      <c r="AN255" s="4"/>
      <c r="AO255" s="4"/>
      <c r="AP255" s="4"/>
      <c r="AQ255" s="4"/>
      <c r="AR255" s="4"/>
      <c r="AS255" s="76" t="str">
        <f>"COMMENT ON COLUMN "&amp;エンティティ一覧!$O$2&amp;"."&amp;D$8&amp;"."&amp;D255&amp;" IS '"&amp;C255&amp;"';"</f>
        <v>COMMENT ON COLUMN milscm_2023_009.main_diagnosis_start_date.shikkan247_start_date IS 'C503_疾患開始日';</v>
      </c>
    </row>
    <row r="256" spans="1:45" s="25" customFormat="1">
      <c r="A256" s="4" t="s">
        <v>5399</v>
      </c>
      <c r="B256" s="21">
        <f t="shared" si="22"/>
        <v>254</v>
      </c>
      <c r="C256" s="13" t="str">
        <f t="shared" si="25"/>
        <v>C504_疾患開始日</v>
      </c>
      <c r="D256" s="13" t="s">
        <v>5016</v>
      </c>
      <c r="E256" s="8"/>
      <c r="F256" s="7" t="s">
        <v>4348</v>
      </c>
      <c r="G256" s="7" t="s">
        <v>25</v>
      </c>
      <c r="H256" s="58"/>
      <c r="I256" s="23"/>
      <c r="J256" s="24"/>
      <c r="M256" s="4"/>
      <c r="N256" s="76"/>
      <c r="O256" s="76"/>
      <c r="P256" s="76" t="str">
        <f t="shared" si="9"/>
        <v>,shikkan248_start_date</v>
      </c>
      <c r="Q256" s="76" t="str">
        <f t="shared" si="10"/>
        <v>DATE</v>
      </c>
      <c r="R256" s="76" t="str">
        <f t="shared" si="11"/>
        <v/>
      </c>
      <c r="S256" s="76" t="str">
        <f t="shared" si="12"/>
        <v/>
      </c>
      <c r="T256" s="76" t="str">
        <f t="shared" si="13"/>
        <v>-- C504_疾患開始日</v>
      </c>
      <c r="U256" s="4" t="str">
        <f t="shared" si="23"/>
        <v>,'shikkan248_start_date'</v>
      </c>
      <c r="V256" s="25" t="str">
        <f t="shared" si="24"/>
        <v>,'shikkan248_start_date' : 'C504_疾患開始日'</v>
      </c>
      <c r="X256" s="25">
        <v>1</v>
      </c>
      <c r="AA256" s="4"/>
      <c r="AB256" s="4"/>
      <c r="AC256" s="4"/>
      <c r="AD256" s="4"/>
      <c r="AE256" s="4"/>
      <c r="AF256" s="4"/>
      <c r="AG256" s="4"/>
      <c r="AH256" s="4"/>
      <c r="AI256" s="4"/>
      <c r="AJ256" s="76" t="str">
        <f>IF(E256="○",IF(COUNTA(E$13:E256)=1,"",",")&amp;D256,"")</f>
        <v/>
      </c>
      <c r="AK256" s="4"/>
      <c r="AL256" s="4"/>
      <c r="AM256" s="4"/>
      <c r="AN256" s="4"/>
      <c r="AO256" s="4"/>
      <c r="AP256" s="4"/>
      <c r="AQ256" s="4"/>
      <c r="AR256" s="4"/>
      <c r="AS256" s="76" t="str">
        <f>"COMMENT ON COLUMN "&amp;エンティティ一覧!$O$2&amp;"."&amp;D$8&amp;"."&amp;D256&amp;" IS '"&amp;C256&amp;"';"</f>
        <v>COMMENT ON COLUMN milscm_2023_009.main_diagnosis_start_date.shikkan248_start_date IS 'C504_疾患開始日';</v>
      </c>
    </row>
    <row r="257" spans="1:45" s="25" customFormat="1">
      <c r="A257" s="4" t="s">
        <v>5400</v>
      </c>
      <c r="B257" s="21">
        <f t="shared" si="22"/>
        <v>255</v>
      </c>
      <c r="C257" s="13" t="str">
        <f t="shared" si="25"/>
        <v>C505_疾患開始日</v>
      </c>
      <c r="D257" s="13" t="s">
        <v>5017</v>
      </c>
      <c r="E257" s="8"/>
      <c r="F257" s="7" t="s">
        <v>4348</v>
      </c>
      <c r="G257" s="7" t="s">
        <v>25</v>
      </c>
      <c r="H257" s="58"/>
      <c r="I257" s="23"/>
      <c r="J257" s="24"/>
      <c r="M257" s="4"/>
      <c r="N257" s="76"/>
      <c r="O257" s="76"/>
      <c r="P257" s="76" t="str">
        <f t="shared" si="9"/>
        <v>,shikkan249_start_date</v>
      </c>
      <c r="Q257" s="76" t="str">
        <f t="shared" si="10"/>
        <v>DATE</v>
      </c>
      <c r="R257" s="76" t="str">
        <f t="shared" si="11"/>
        <v/>
      </c>
      <c r="S257" s="76" t="str">
        <f t="shared" si="12"/>
        <v/>
      </c>
      <c r="T257" s="76" t="str">
        <f t="shared" si="13"/>
        <v>-- C505_疾患開始日</v>
      </c>
      <c r="U257" s="4" t="str">
        <f t="shared" si="23"/>
        <v>,'shikkan249_start_date'</v>
      </c>
      <c r="V257" s="25" t="str">
        <f t="shared" si="24"/>
        <v>,'shikkan249_start_date' : 'C505_疾患開始日'</v>
      </c>
      <c r="X257" s="25">
        <v>1</v>
      </c>
      <c r="AA257" s="4"/>
      <c r="AB257" s="4"/>
      <c r="AC257" s="4"/>
      <c r="AD257" s="4"/>
      <c r="AE257" s="4"/>
      <c r="AF257" s="4"/>
      <c r="AG257" s="4"/>
      <c r="AH257" s="4"/>
      <c r="AI257" s="4"/>
      <c r="AJ257" s="76" t="str">
        <f>IF(E257="○",IF(COUNTA(E$13:E257)=1,"",",")&amp;D257,"")</f>
        <v/>
      </c>
      <c r="AK257" s="4"/>
      <c r="AL257" s="4"/>
      <c r="AM257" s="4"/>
      <c r="AN257" s="4"/>
      <c r="AO257" s="4"/>
      <c r="AP257" s="4"/>
      <c r="AQ257" s="4"/>
      <c r="AR257" s="4"/>
      <c r="AS257" s="76" t="str">
        <f>"COMMENT ON COLUMN "&amp;エンティティ一覧!$O$2&amp;"."&amp;D$8&amp;"."&amp;D257&amp;" IS '"&amp;C257&amp;"';"</f>
        <v>COMMENT ON COLUMN milscm_2023_009.main_diagnosis_start_date.shikkan249_start_date IS 'C505_疾患開始日';</v>
      </c>
    </row>
    <row r="258" spans="1:45" s="25" customFormat="1">
      <c r="A258" s="4" t="s">
        <v>5401</v>
      </c>
      <c r="B258" s="21">
        <f t="shared" si="22"/>
        <v>256</v>
      </c>
      <c r="C258" s="13" t="str">
        <f t="shared" si="25"/>
        <v>C506_疾患開始日</v>
      </c>
      <c r="D258" s="13" t="s">
        <v>5018</v>
      </c>
      <c r="E258" s="8"/>
      <c r="F258" s="7" t="s">
        <v>4348</v>
      </c>
      <c r="G258" s="7" t="s">
        <v>25</v>
      </c>
      <c r="H258" s="58"/>
      <c r="I258" s="23"/>
      <c r="J258" s="24"/>
      <c r="M258" s="4"/>
      <c r="N258" s="76"/>
      <c r="O258" s="76"/>
      <c r="P258" s="76" t="str">
        <f t="shared" si="9"/>
        <v>,shikkan250_start_date</v>
      </c>
      <c r="Q258" s="76" t="str">
        <f t="shared" si="10"/>
        <v>DATE</v>
      </c>
      <c r="R258" s="76" t="str">
        <f t="shared" si="11"/>
        <v/>
      </c>
      <c r="S258" s="76" t="str">
        <f t="shared" si="12"/>
        <v/>
      </c>
      <c r="T258" s="76" t="str">
        <f t="shared" si="13"/>
        <v>-- C506_疾患開始日</v>
      </c>
      <c r="U258" s="4" t="str">
        <f t="shared" si="23"/>
        <v>,'shikkan250_start_date'</v>
      </c>
      <c r="V258" s="25" t="str">
        <f t="shared" si="24"/>
        <v>,'shikkan250_start_date' : 'C506_疾患開始日'</v>
      </c>
      <c r="X258" s="25">
        <v>1</v>
      </c>
      <c r="AA258" s="4"/>
      <c r="AB258" s="4"/>
      <c r="AC258" s="4"/>
      <c r="AD258" s="4"/>
      <c r="AE258" s="4"/>
      <c r="AF258" s="4"/>
      <c r="AG258" s="4"/>
      <c r="AH258" s="4"/>
      <c r="AI258" s="4"/>
      <c r="AJ258" s="76" t="str">
        <f>IF(E258="○",IF(COUNTA(E$13:E258)=1,"",",")&amp;D258,"")</f>
        <v/>
      </c>
      <c r="AK258" s="4"/>
      <c r="AL258" s="4"/>
      <c r="AM258" s="4"/>
      <c r="AN258" s="4"/>
      <c r="AO258" s="4"/>
      <c r="AP258" s="4"/>
      <c r="AQ258" s="4"/>
      <c r="AR258" s="4"/>
      <c r="AS258" s="76" t="str">
        <f>"COMMENT ON COLUMN "&amp;エンティティ一覧!$O$2&amp;"."&amp;D$8&amp;"."&amp;D258&amp;" IS '"&amp;C258&amp;"';"</f>
        <v>COMMENT ON COLUMN milscm_2023_009.main_diagnosis_start_date.shikkan250_start_date IS 'C506_疾患開始日';</v>
      </c>
    </row>
    <row r="259" spans="1:45" s="25" customFormat="1">
      <c r="A259" s="4" t="s">
        <v>5402</v>
      </c>
      <c r="B259" s="21">
        <f t="shared" si="22"/>
        <v>257</v>
      </c>
      <c r="C259" s="13" t="str">
        <f t="shared" si="25"/>
        <v>C508_疾患開始日</v>
      </c>
      <c r="D259" s="13" t="s">
        <v>5019</v>
      </c>
      <c r="E259" s="8"/>
      <c r="F259" s="7" t="s">
        <v>4348</v>
      </c>
      <c r="G259" s="7" t="s">
        <v>25</v>
      </c>
      <c r="H259" s="58"/>
      <c r="I259" s="23"/>
      <c r="J259" s="24"/>
      <c r="M259" s="4"/>
      <c r="N259" s="76"/>
      <c r="O259" s="76"/>
      <c r="P259" s="76" t="str">
        <f t="shared" si="9"/>
        <v>,shikkan251_start_date</v>
      </c>
      <c r="Q259" s="76" t="str">
        <f t="shared" si="10"/>
        <v>DATE</v>
      </c>
      <c r="R259" s="76" t="str">
        <f t="shared" si="11"/>
        <v/>
      </c>
      <c r="S259" s="76" t="str">
        <f t="shared" si="12"/>
        <v/>
      </c>
      <c r="T259" s="76" t="str">
        <f t="shared" si="13"/>
        <v>-- C508_疾患開始日</v>
      </c>
      <c r="U259" s="4" t="str">
        <f t="shared" si="23"/>
        <v>,'shikkan251_start_date'</v>
      </c>
      <c r="V259" s="25" t="str">
        <f t="shared" si="24"/>
        <v>,'shikkan251_start_date' : 'C508_疾患開始日'</v>
      </c>
      <c r="X259" s="25">
        <v>1</v>
      </c>
      <c r="AA259" s="4"/>
      <c r="AB259" s="4"/>
      <c r="AC259" s="4"/>
      <c r="AD259" s="4"/>
      <c r="AE259" s="4"/>
      <c r="AF259" s="4"/>
      <c r="AG259" s="4"/>
      <c r="AH259" s="4"/>
      <c r="AI259" s="4"/>
      <c r="AJ259" s="76" t="str">
        <f>IF(E259="○",IF(COUNTA(E$13:E259)=1,"",",")&amp;D259,"")</f>
        <v/>
      </c>
      <c r="AK259" s="4"/>
      <c r="AL259" s="4"/>
      <c r="AM259" s="4"/>
      <c r="AN259" s="4"/>
      <c r="AO259" s="4"/>
      <c r="AP259" s="4"/>
      <c r="AQ259" s="4"/>
      <c r="AR259" s="4"/>
      <c r="AS259" s="76" t="str">
        <f>"COMMENT ON COLUMN "&amp;エンティティ一覧!$O$2&amp;"."&amp;D$8&amp;"."&amp;D259&amp;" IS '"&amp;C259&amp;"';"</f>
        <v>COMMENT ON COLUMN milscm_2023_009.main_diagnosis_start_date.shikkan251_start_date IS 'C508_疾患開始日';</v>
      </c>
    </row>
    <row r="260" spans="1:45" s="25" customFormat="1">
      <c r="A260" s="4" t="s">
        <v>5403</v>
      </c>
      <c r="B260" s="21">
        <f t="shared" ref="B260:B323" si="26">ROW()-2</f>
        <v>258</v>
      </c>
      <c r="C260" s="13" t="str">
        <f t="shared" si="25"/>
        <v>C509_疾患開始日</v>
      </c>
      <c r="D260" s="13" t="s">
        <v>5020</v>
      </c>
      <c r="E260" s="8"/>
      <c r="F260" s="7" t="s">
        <v>4348</v>
      </c>
      <c r="G260" s="7" t="s">
        <v>25</v>
      </c>
      <c r="H260" s="58"/>
      <c r="I260" s="23"/>
      <c r="J260" s="24"/>
      <c r="M260" s="4"/>
      <c r="N260" s="76"/>
      <c r="O260" s="76"/>
      <c r="P260" s="76" t="str">
        <f t="shared" si="9"/>
        <v>,shikkan252_start_date</v>
      </c>
      <c r="Q260" s="76" t="str">
        <f t="shared" si="10"/>
        <v>DATE</v>
      </c>
      <c r="R260" s="76" t="str">
        <f t="shared" si="11"/>
        <v/>
      </c>
      <c r="S260" s="76" t="str">
        <f t="shared" si="12"/>
        <v/>
      </c>
      <c r="T260" s="76" t="str">
        <f t="shared" si="13"/>
        <v>-- C509_疾患開始日</v>
      </c>
      <c r="U260" s="4" t="str">
        <f t="shared" si="23"/>
        <v>,'shikkan252_start_date'</v>
      </c>
      <c r="V260" s="25" t="str">
        <f t="shared" si="24"/>
        <v>,'shikkan252_start_date' : 'C509_疾患開始日'</v>
      </c>
      <c r="X260" s="25">
        <v>1</v>
      </c>
      <c r="AA260" s="4"/>
      <c r="AB260" s="4"/>
      <c r="AC260" s="4"/>
      <c r="AD260" s="4"/>
      <c r="AE260" s="4"/>
      <c r="AF260" s="4"/>
      <c r="AG260" s="4"/>
      <c r="AH260" s="4"/>
      <c r="AI260" s="4"/>
      <c r="AJ260" s="76" t="str">
        <f>IF(E260="○",IF(COUNTA(E$13:E260)=1,"",",")&amp;D260,"")</f>
        <v/>
      </c>
      <c r="AK260" s="4"/>
      <c r="AL260" s="4"/>
      <c r="AM260" s="4"/>
      <c r="AN260" s="4"/>
      <c r="AO260" s="4"/>
      <c r="AP260" s="4"/>
      <c r="AQ260" s="4"/>
      <c r="AR260" s="4"/>
      <c r="AS260" s="76" t="str">
        <f>"COMMENT ON COLUMN "&amp;エンティティ一覧!$O$2&amp;"."&amp;D$8&amp;"."&amp;D260&amp;" IS '"&amp;C260&amp;"';"</f>
        <v>COMMENT ON COLUMN milscm_2023_009.main_diagnosis_start_date.shikkan252_start_date IS 'C509_疾患開始日';</v>
      </c>
    </row>
    <row r="261" spans="1:45" s="25" customFormat="1">
      <c r="A261" s="4" t="s">
        <v>5404</v>
      </c>
      <c r="B261" s="21">
        <f t="shared" si="26"/>
        <v>259</v>
      </c>
      <c r="C261" s="13" t="str">
        <f t="shared" si="25"/>
        <v>C510_疾患開始日</v>
      </c>
      <c r="D261" s="13" t="s">
        <v>5021</v>
      </c>
      <c r="E261" s="8"/>
      <c r="F261" s="7" t="s">
        <v>4348</v>
      </c>
      <c r="G261" s="7" t="s">
        <v>25</v>
      </c>
      <c r="H261" s="58"/>
      <c r="I261" s="23"/>
      <c r="J261" s="24"/>
      <c r="M261" s="4"/>
      <c r="N261" s="76"/>
      <c r="O261" s="76"/>
      <c r="P261" s="76" t="str">
        <f t="shared" si="9"/>
        <v>,shikkan253_start_date</v>
      </c>
      <c r="Q261" s="76" t="str">
        <f t="shared" si="10"/>
        <v>DATE</v>
      </c>
      <c r="R261" s="76" t="str">
        <f t="shared" si="11"/>
        <v/>
      </c>
      <c r="S261" s="76" t="str">
        <f t="shared" si="12"/>
        <v/>
      </c>
      <c r="T261" s="76" t="str">
        <f t="shared" si="13"/>
        <v>-- C510_疾患開始日</v>
      </c>
      <c r="U261" s="4" t="str">
        <f t="shared" si="23"/>
        <v>,'shikkan253_start_date'</v>
      </c>
      <c r="V261" s="25" t="str">
        <f t="shared" si="24"/>
        <v>,'shikkan253_start_date' : 'C510_疾患開始日'</v>
      </c>
      <c r="X261" s="25">
        <v>1</v>
      </c>
      <c r="AA261" s="4"/>
      <c r="AB261" s="4"/>
      <c r="AC261" s="4"/>
      <c r="AD261" s="4"/>
      <c r="AE261" s="4"/>
      <c r="AF261" s="4"/>
      <c r="AG261" s="4"/>
      <c r="AH261" s="4"/>
      <c r="AI261" s="4"/>
      <c r="AJ261" s="76" t="str">
        <f>IF(E261="○",IF(COUNTA(E$13:E261)=1,"",",")&amp;D261,"")</f>
        <v/>
      </c>
      <c r="AK261" s="4"/>
      <c r="AL261" s="4"/>
      <c r="AM261" s="4"/>
      <c r="AN261" s="4"/>
      <c r="AO261" s="4"/>
      <c r="AP261" s="4"/>
      <c r="AQ261" s="4"/>
      <c r="AR261" s="4"/>
      <c r="AS261" s="76" t="str">
        <f>"COMMENT ON COLUMN "&amp;エンティティ一覧!$O$2&amp;"."&amp;D$8&amp;"."&amp;D261&amp;" IS '"&amp;C261&amp;"';"</f>
        <v>COMMENT ON COLUMN milscm_2023_009.main_diagnosis_start_date.shikkan253_start_date IS 'C510_疾患開始日';</v>
      </c>
    </row>
    <row r="262" spans="1:45" s="25" customFormat="1">
      <c r="A262" s="4" t="s">
        <v>5405</v>
      </c>
      <c r="B262" s="21">
        <f t="shared" si="26"/>
        <v>260</v>
      </c>
      <c r="C262" s="13" t="str">
        <f t="shared" si="25"/>
        <v>C511_疾患開始日</v>
      </c>
      <c r="D262" s="13" t="s">
        <v>5022</v>
      </c>
      <c r="E262" s="8"/>
      <c r="F262" s="7" t="s">
        <v>4348</v>
      </c>
      <c r="G262" s="7" t="s">
        <v>25</v>
      </c>
      <c r="H262" s="58"/>
      <c r="I262" s="23"/>
      <c r="J262" s="24"/>
      <c r="M262" s="4"/>
      <c r="N262" s="76"/>
      <c r="O262" s="76"/>
      <c r="P262" s="76" t="str">
        <f t="shared" si="9"/>
        <v>,shikkan254_start_date</v>
      </c>
      <c r="Q262" s="76" t="str">
        <f t="shared" si="10"/>
        <v>DATE</v>
      </c>
      <c r="R262" s="76" t="str">
        <f t="shared" si="11"/>
        <v/>
      </c>
      <c r="S262" s="76" t="str">
        <f t="shared" si="12"/>
        <v/>
      </c>
      <c r="T262" s="76" t="str">
        <f t="shared" si="13"/>
        <v>-- C511_疾患開始日</v>
      </c>
      <c r="U262" s="4" t="str">
        <f t="shared" si="23"/>
        <v>,'shikkan254_start_date'</v>
      </c>
      <c r="V262" s="25" t="str">
        <f t="shared" si="24"/>
        <v>,'shikkan254_start_date' : 'C511_疾患開始日'</v>
      </c>
      <c r="X262" s="25">
        <v>1</v>
      </c>
      <c r="AA262" s="4"/>
      <c r="AB262" s="4"/>
      <c r="AC262" s="4"/>
      <c r="AD262" s="4"/>
      <c r="AE262" s="4"/>
      <c r="AF262" s="4"/>
      <c r="AG262" s="4"/>
      <c r="AH262" s="4"/>
      <c r="AI262" s="4"/>
      <c r="AJ262" s="76" t="str">
        <f>IF(E262="○",IF(COUNTA(E$13:E262)=1,"",",")&amp;D262,"")</f>
        <v/>
      </c>
      <c r="AK262" s="4"/>
      <c r="AL262" s="4"/>
      <c r="AM262" s="4"/>
      <c r="AN262" s="4"/>
      <c r="AO262" s="4"/>
      <c r="AP262" s="4"/>
      <c r="AQ262" s="4"/>
      <c r="AR262" s="4"/>
      <c r="AS262" s="76" t="str">
        <f>"COMMENT ON COLUMN "&amp;エンティティ一覧!$O$2&amp;"."&amp;D$8&amp;"."&amp;D262&amp;" IS '"&amp;C262&amp;"';"</f>
        <v>COMMENT ON COLUMN milscm_2023_009.main_diagnosis_start_date.shikkan254_start_date IS 'C511_疾患開始日';</v>
      </c>
    </row>
    <row r="263" spans="1:45" s="25" customFormat="1">
      <c r="A263" s="4" t="s">
        <v>5406</v>
      </c>
      <c r="B263" s="21">
        <f t="shared" si="26"/>
        <v>261</v>
      </c>
      <c r="C263" s="13" t="str">
        <f t="shared" si="25"/>
        <v>C512_疾患開始日</v>
      </c>
      <c r="D263" s="13" t="s">
        <v>5023</v>
      </c>
      <c r="E263" s="8"/>
      <c r="F263" s="7" t="s">
        <v>4348</v>
      </c>
      <c r="G263" s="7" t="s">
        <v>25</v>
      </c>
      <c r="H263" s="58"/>
      <c r="I263" s="23"/>
      <c r="J263" s="24"/>
      <c r="M263" s="4"/>
      <c r="N263" s="76"/>
      <c r="O263" s="76"/>
      <c r="P263" s="76" t="str">
        <f t="shared" si="9"/>
        <v>,shikkan255_start_date</v>
      </c>
      <c r="Q263" s="76" t="str">
        <f t="shared" si="10"/>
        <v>DATE</v>
      </c>
      <c r="R263" s="76" t="str">
        <f t="shared" si="11"/>
        <v/>
      </c>
      <c r="S263" s="76" t="str">
        <f t="shared" si="12"/>
        <v/>
      </c>
      <c r="T263" s="76" t="str">
        <f t="shared" si="13"/>
        <v>-- C512_疾患開始日</v>
      </c>
      <c r="U263" s="4" t="str">
        <f t="shared" si="23"/>
        <v>,'shikkan255_start_date'</v>
      </c>
      <c r="V263" s="25" t="str">
        <f t="shared" si="24"/>
        <v>,'shikkan255_start_date' : 'C512_疾患開始日'</v>
      </c>
      <c r="X263" s="25">
        <v>1</v>
      </c>
      <c r="AA263" s="4"/>
      <c r="AB263" s="4"/>
      <c r="AC263" s="4"/>
      <c r="AD263" s="4"/>
      <c r="AE263" s="4"/>
      <c r="AF263" s="4"/>
      <c r="AG263" s="4"/>
      <c r="AH263" s="4"/>
      <c r="AI263" s="4"/>
      <c r="AJ263" s="76" t="str">
        <f>IF(E263="○",IF(COUNTA(E$13:E263)=1,"",",")&amp;D263,"")</f>
        <v/>
      </c>
      <c r="AK263" s="4"/>
      <c r="AL263" s="4"/>
      <c r="AM263" s="4"/>
      <c r="AN263" s="4"/>
      <c r="AO263" s="4"/>
      <c r="AP263" s="4"/>
      <c r="AQ263" s="4"/>
      <c r="AR263" s="4"/>
      <c r="AS263" s="76" t="str">
        <f>"COMMENT ON COLUMN "&amp;エンティティ一覧!$O$2&amp;"."&amp;D$8&amp;"."&amp;D263&amp;" IS '"&amp;C263&amp;"';"</f>
        <v>COMMENT ON COLUMN milscm_2023_009.main_diagnosis_start_date.shikkan255_start_date IS 'C512_疾患開始日';</v>
      </c>
    </row>
    <row r="264" spans="1:45" s="25" customFormat="1">
      <c r="A264" s="4" t="s">
        <v>5407</v>
      </c>
      <c r="B264" s="21">
        <f t="shared" si="26"/>
        <v>262</v>
      </c>
      <c r="C264" s="13" t="str">
        <f t="shared" si="25"/>
        <v>C518_疾患開始日</v>
      </c>
      <c r="D264" s="13" t="s">
        <v>5024</v>
      </c>
      <c r="E264" s="8"/>
      <c r="F264" s="7" t="s">
        <v>4348</v>
      </c>
      <c r="G264" s="7" t="s">
        <v>25</v>
      </c>
      <c r="H264" s="58"/>
      <c r="I264" s="23"/>
      <c r="J264" s="24"/>
      <c r="M264" s="4"/>
      <c r="N264" s="76"/>
      <c r="O264" s="76"/>
      <c r="P264" s="76" t="str">
        <f t="shared" ref="P264:P327" si="27">IF(B264&lt;&gt;1,","&amp;D264,D264)</f>
        <v>,shikkan256_start_date</v>
      </c>
      <c r="Q264" s="76" t="str">
        <f t="shared" ref="Q264:Q327" si="28">UPPER(G264)</f>
        <v>DATE</v>
      </c>
      <c r="R264" s="76" t="str">
        <f t="shared" ref="R264:R327" si="29">IF(H264&lt;&gt;"","default "&amp;IF(G264="text","'"&amp;H264&amp;"'",H264),"")</f>
        <v/>
      </c>
      <c r="S264" s="76" t="str">
        <f t="shared" ref="S264:S327" si="30">IF(I264="○","NOT NULL","")</f>
        <v/>
      </c>
      <c r="T264" s="76" t="str">
        <f t="shared" ref="T264:T327" si="31">"-- "&amp;C264</f>
        <v>-- C518_疾患開始日</v>
      </c>
      <c r="U264" s="4" t="str">
        <f t="shared" si="23"/>
        <v>,'shikkan256_start_date'</v>
      </c>
      <c r="V264" s="25" t="str">
        <f t="shared" si="24"/>
        <v>,'shikkan256_start_date' : 'C518_疾患開始日'</v>
      </c>
      <c r="X264" s="25">
        <v>1</v>
      </c>
      <c r="AA264" s="4"/>
      <c r="AB264" s="4"/>
      <c r="AC264" s="4"/>
      <c r="AD264" s="4"/>
      <c r="AE264" s="4"/>
      <c r="AF264" s="4"/>
      <c r="AG264" s="4"/>
      <c r="AH264" s="4"/>
      <c r="AI264" s="4"/>
      <c r="AJ264" s="76" t="str">
        <f>IF(E264="○",IF(COUNTA(E$13:E264)=1,"",",")&amp;D264,"")</f>
        <v/>
      </c>
      <c r="AK264" s="4"/>
      <c r="AL264" s="4"/>
      <c r="AM264" s="4"/>
      <c r="AN264" s="4"/>
      <c r="AO264" s="4"/>
      <c r="AP264" s="4"/>
      <c r="AQ264" s="4"/>
      <c r="AR264" s="4"/>
      <c r="AS264" s="76" t="str">
        <f>"COMMENT ON COLUMN "&amp;エンティティ一覧!$O$2&amp;"."&amp;D$8&amp;"."&amp;D264&amp;" IS '"&amp;C264&amp;"';"</f>
        <v>COMMENT ON COLUMN milscm_2023_009.main_diagnosis_start_date.shikkan256_start_date IS 'C518_疾患開始日';</v>
      </c>
    </row>
    <row r="265" spans="1:45" s="25" customFormat="1">
      <c r="A265" s="4" t="s">
        <v>5408</v>
      </c>
      <c r="B265" s="21">
        <f t="shared" si="26"/>
        <v>263</v>
      </c>
      <c r="C265" s="13" t="str">
        <f t="shared" si="25"/>
        <v>C519_疾患開始日</v>
      </c>
      <c r="D265" s="13" t="s">
        <v>5025</v>
      </c>
      <c r="E265" s="8"/>
      <c r="F265" s="7" t="s">
        <v>4348</v>
      </c>
      <c r="G265" s="7" t="s">
        <v>25</v>
      </c>
      <c r="H265" s="58"/>
      <c r="I265" s="23"/>
      <c r="J265" s="24"/>
      <c r="M265" s="4"/>
      <c r="N265" s="76"/>
      <c r="O265" s="76"/>
      <c r="P265" s="76" t="str">
        <f t="shared" si="27"/>
        <v>,shikkan257_start_date</v>
      </c>
      <c r="Q265" s="76" t="str">
        <f t="shared" si="28"/>
        <v>DATE</v>
      </c>
      <c r="R265" s="76" t="str">
        <f t="shared" si="29"/>
        <v/>
      </c>
      <c r="S265" s="76" t="str">
        <f t="shared" si="30"/>
        <v/>
      </c>
      <c r="T265" s="76" t="str">
        <f t="shared" si="31"/>
        <v>-- C519_疾患開始日</v>
      </c>
      <c r="U265" s="4" t="str">
        <f t="shared" ref="U265:U328" si="32">IF(B265&lt;&gt;1,",","")&amp;"'"&amp;D265&amp;"'"</f>
        <v>,'shikkan257_start_date'</v>
      </c>
      <c r="V265" s="25" t="str">
        <f t="shared" ref="V265:V328" si="33">U265&amp;" : '"&amp;C265&amp;"'"</f>
        <v>,'shikkan257_start_date' : 'C519_疾患開始日'</v>
      </c>
      <c r="X265" s="25">
        <v>1</v>
      </c>
      <c r="AA265" s="4"/>
      <c r="AB265" s="4"/>
      <c r="AC265" s="4"/>
      <c r="AD265" s="4"/>
      <c r="AE265" s="4"/>
      <c r="AF265" s="4"/>
      <c r="AG265" s="4"/>
      <c r="AH265" s="4"/>
      <c r="AI265" s="4"/>
      <c r="AJ265" s="76" t="str">
        <f>IF(E265="○",IF(COUNTA(E$13:E265)=1,"",",")&amp;D265,"")</f>
        <v/>
      </c>
      <c r="AK265" s="4"/>
      <c r="AL265" s="4"/>
      <c r="AM265" s="4"/>
      <c r="AN265" s="4"/>
      <c r="AO265" s="4"/>
      <c r="AP265" s="4"/>
      <c r="AQ265" s="4"/>
      <c r="AR265" s="4"/>
      <c r="AS265" s="76" t="str">
        <f>"COMMENT ON COLUMN "&amp;エンティティ一覧!$O$2&amp;"."&amp;D$8&amp;"."&amp;D265&amp;" IS '"&amp;C265&amp;"';"</f>
        <v>COMMENT ON COLUMN milscm_2023_009.main_diagnosis_start_date.shikkan257_start_date IS 'C519_疾患開始日';</v>
      </c>
    </row>
    <row r="266" spans="1:45" s="25" customFormat="1">
      <c r="A266" s="4" t="s">
        <v>5148</v>
      </c>
      <c r="B266" s="21">
        <f t="shared" si="26"/>
        <v>264</v>
      </c>
      <c r="C266" s="13" t="str">
        <f t="shared" ref="C266:C329" si="34">A266&amp;"_疾患開始日"</f>
        <v>C52_疾患開始日</v>
      </c>
      <c r="D266" s="13" t="s">
        <v>5026</v>
      </c>
      <c r="E266" s="8"/>
      <c r="F266" s="7" t="s">
        <v>4348</v>
      </c>
      <c r="G266" s="7" t="s">
        <v>25</v>
      </c>
      <c r="H266" s="58"/>
      <c r="I266" s="23"/>
      <c r="J266" s="24"/>
      <c r="M266" s="4"/>
      <c r="N266" s="76"/>
      <c r="O266" s="76"/>
      <c r="P266" s="76" t="str">
        <f t="shared" si="27"/>
        <v>,shikkan258_start_date</v>
      </c>
      <c r="Q266" s="76" t="str">
        <f t="shared" si="28"/>
        <v>DATE</v>
      </c>
      <c r="R266" s="76" t="str">
        <f t="shared" si="29"/>
        <v/>
      </c>
      <c r="S266" s="76" t="str">
        <f t="shared" si="30"/>
        <v/>
      </c>
      <c r="T266" s="76" t="str">
        <f t="shared" si="31"/>
        <v>-- C52_疾患開始日</v>
      </c>
      <c r="U266" s="4" t="str">
        <f t="shared" si="32"/>
        <v>,'shikkan258_start_date'</v>
      </c>
      <c r="V266" s="25" t="str">
        <f t="shared" si="33"/>
        <v>,'shikkan258_start_date' : 'C52_疾患開始日'</v>
      </c>
      <c r="X266" s="25">
        <v>1</v>
      </c>
      <c r="AA266" s="4"/>
      <c r="AB266" s="4"/>
      <c r="AC266" s="4"/>
      <c r="AD266" s="4"/>
      <c r="AE266" s="4"/>
      <c r="AF266" s="4"/>
      <c r="AG266" s="4"/>
      <c r="AH266" s="4"/>
      <c r="AI266" s="4"/>
      <c r="AJ266" s="76" t="str">
        <f>IF(E266="○",IF(COUNTA(E$13:E266)=1,"",",")&amp;D266,"")</f>
        <v/>
      </c>
      <c r="AK266" s="4"/>
      <c r="AL266" s="4"/>
      <c r="AM266" s="4"/>
      <c r="AN266" s="4"/>
      <c r="AO266" s="4"/>
      <c r="AP266" s="4"/>
      <c r="AQ266" s="4"/>
      <c r="AR266" s="4"/>
      <c r="AS266" s="76" t="str">
        <f>"COMMENT ON COLUMN "&amp;エンティティ一覧!$O$2&amp;"."&amp;D$8&amp;"."&amp;D266&amp;" IS '"&amp;C266&amp;"';"</f>
        <v>COMMENT ON COLUMN milscm_2023_009.main_diagnosis_start_date.shikkan258_start_date IS 'C52_疾患開始日';</v>
      </c>
    </row>
    <row r="267" spans="1:45" s="25" customFormat="1">
      <c r="A267" s="4" t="s">
        <v>5409</v>
      </c>
      <c r="B267" s="21">
        <f t="shared" si="26"/>
        <v>265</v>
      </c>
      <c r="C267" s="13" t="str">
        <f t="shared" si="34"/>
        <v>C530_疾患開始日</v>
      </c>
      <c r="D267" s="13" t="s">
        <v>5027</v>
      </c>
      <c r="E267" s="8"/>
      <c r="F267" s="7" t="s">
        <v>4348</v>
      </c>
      <c r="G267" s="7" t="s">
        <v>25</v>
      </c>
      <c r="H267" s="58"/>
      <c r="I267" s="23"/>
      <c r="J267" s="24"/>
      <c r="M267" s="4"/>
      <c r="N267" s="76"/>
      <c r="O267" s="76"/>
      <c r="P267" s="76" t="str">
        <f t="shared" si="27"/>
        <v>,shikkan259_start_date</v>
      </c>
      <c r="Q267" s="76" t="str">
        <f t="shared" si="28"/>
        <v>DATE</v>
      </c>
      <c r="R267" s="76" t="str">
        <f t="shared" si="29"/>
        <v/>
      </c>
      <c r="S267" s="76" t="str">
        <f t="shared" si="30"/>
        <v/>
      </c>
      <c r="T267" s="76" t="str">
        <f t="shared" si="31"/>
        <v>-- C530_疾患開始日</v>
      </c>
      <c r="U267" s="4" t="str">
        <f t="shared" si="32"/>
        <v>,'shikkan259_start_date'</v>
      </c>
      <c r="V267" s="25" t="str">
        <f t="shared" si="33"/>
        <v>,'shikkan259_start_date' : 'C530_疾患開始日'</v>
      </c>
      <c r="X267" s="25">
        <v>1</v>
      </c>
      <c r="AA267" s="4"/>
      <c r="AB267" s="4"/>
      <c r="AC267" s="4"/>
      <c r="AD267" s="4"/>
      <c r="AE267" s="4"/>
      <c r="AF267" s="4"/>
      <c r="AG267" s="4"/>
      <c r="AH267" s="4"/>
      <c r="AI267" s="4"/>
      <c r="AJ267" s="76" t="str">
        <f>IF(E267="○",IF(COUNTA(E$13:E267)=1,"",",")&amp;D267,"")</f>
        <v/>
      </c>
      <c r="AK267" s="4"/>
      <c r="AL267" s="4"/>
      <c r="AM267" s="4"/>
      <c r="AN267" s="4"/>
      <c r="AO267" s="4"/>
      <c r="AP267" s="4"/>
      <c r="AQ267" s="4"/>
      <c r="AR267" s="4"/>
      <c r="AS267" s="76" t="str">
        <f>"COMMENT ON COLUMN "&amp;エンティティ一覧!$O$2&amp;"."&amp;D$8&amp;"."&amp;D267&amp;" IS '"&amp;C267&amp;"';"</f>
        <v>COMMENT ON COLUMN milscm_2023_009.main_diagnosis_start_date.shikkan259_start_date IS 'C530_疾患開始日';</v>
      </c>
    </row>
    <row r="268" spans="1:45" s="25" customFormat="1">
      <c r="A268" s="4" t="s">
        <v>5410</v>
      </c>
      <c r="B268" s="21">
        <f t="shared" si="26"/>
        <v>266</v>
      </c>
      <c r="C268" s="13" t="str">
        <f t="shared" si="34"/>
        <v>C531_疾患開始日</v>
      </c>
      <c r="D268" s="13" t="s">
        <v>5028</v>
      </c>
      <c r="E268" s="8"/>
      <c r="F268" s="7" t="s">
        <v>4348</v>
      </c>
      <c r="G268" s="7" t="s">
        <v>25</v>
      </c>
      <c r="H268" s="58"/>
      <c r="I268" s="23"/>
      <c r="J268" s="24"/>
      <c r="M268" s="4"/>
      <c r="N268" s="76"/>
      <c r="O268" s="76"/>
      <c r="P268" s="76" t="str">
        <f t="shared" si="27"/>
        <v>,shikkan260_start_date</v>
      </c>
      <c r="Q268" s="76" t="str">
        <f t="shared" si="28"/>
        <v>DATE</v>
      </c>
      <c r="R268" s="76" t="str">
        <f t="shared" si="29"/>
        <v/>
      </c>
      <c r="S268" s="76" t="str">
        <f t="shared" si="30"/>
        <v/>
      </c>
      <c r="T268" s="76" t="str">
        <f t="shared" si="31"/>
        <v>-- C531_疾患開始日</v>
      </c>
      <c r="U268" s="4" t="str">
        <f t="shared" si="32"/>
        <v>,'shikkan260_start_date'</v>
      </c>
      <c r="V268" s="25" t="str">
        <f t="shared" si="33"/>
        <v>,'shikkan260_start_date' : 'C531_疾患開始日'</v>
      </c>
      <c r="X268" s="25">
        <v>1</v>
      </c>
      <c r="AA268" s="4"/>
      <c r="AB268" s="4"/>
      <c r="AC268" s="4"/>
      <c r="AD268" s="4"/>
      <c r="AE268" s="4"/>
      <c r="AF268" s="4"/>
      <c r="AG268" s="4"/>
      <c r="AH268" s="4"/>
      <c r="AI268" s="4"/>
      <c r="AJ268" s="76" t="str">
        <f>IF(E268="○",IF(COUNTA(E$13:E268)=1,"",",")&amp;D268,"")</f>
        <v/>
      </c>
      <c r="AK268" s="4"/>
      <c r="AL268" s="4"/>
      <c r="AM268" s="4"/>
      <c r="AN268" s="4"/>
      <c r="AO268" s="4"/>
      <c r="AP268" s="4"/>
      <c r="AQ268" s="4"/>
      <c r="AR268" s="4"/>
      <c r="AS268" s="76" t="str">
        <f>"COMMENT ON COLUMN "&amp;エンティティ一覧!$O$2&amp;"."&amp;D$8&amp;"."&amp;D268&amp;" IS '"&amp;C268&amp;"';"</f>
        <v>COMMENT ON COLUMN milscm_2023_009.main_diagnosis_start_date.shikkan260_start_date IS 'C531_疾患開始日';</v>
      </c>
    </row>
    <row r="269" spans="1:45" s="25" customFormat="1">
      <c r="A269" s="4" t="s">
        <v>5411</v>
      </c>
      <c r="B269" s="21">
        <f t="shared" si="26"/>
        <v>267</v>
      </c>
      <c r="C269" s="13" t="str">
        <f t="shared" si="34"/>
        <v>C538_疾患開始日</v>
      </c>
      <c r="D269" s="13" t="s">
        <v>5029</v>
      </c>
      <c r="E269" s="8"/>
      <c r="F269" s="7" t="s">
        <v>4348</v>
      </c>
      <c r="G269" s="7" t="s">
        <v>25</v>
      </c>
      <c r="H269" s="58"/>
      <c r="I269" s="23"/>
      <c r="J269" s="24"/>
      <c r="M269" s="4"/>
      <c r="N269" s="76"/>
      <c r="O269" s="76"/>
      <c r="P269" s="76" t="str">
        <f t="shared" si="27"/>
        <v>,shikkan261_start_date</v>
      </c>
      <c r="Q269" s="76" t="str">
        <f t="shared" si="28"/>
        <v>DATE</v>
      </c>
      <c r="R269" s="76" t="str">
        <f t="shared" si="29"/>
        <v/>
      </c>
      <c r="S269" s="76" t="str">
        <f t="shared" si="30"/>
        <v/>
      </c>
      <c r="T269" s="76" t="str">
        <f t="shared" si="31"/>
        <v>-- C538_疾患開始日</v>
      </c>
      <c r="U269" s="4" t="str">
        <f t="shared" si="32"/>
        <v>,'shikkan261_start_date'</v>
      </c>
      <c r="V269" s="25" t="str">
        <f t="shared" si="33"/>
        <v>,'shikkan261_start_date' : 'C538_疾患開始日'</v>
      </c>
      <c r="X269" s="25">
        <v>1</v>
      </c>
      <c r="AA269" s="4"/>
      <c r="AB269" s="4"/>
      <c r="AC269" s="4"/>
      <c r="AD269" s="4"/>
      <c r="AE269" s="4"/>
      <c r="AF269" s="4"/>
      <c r="AG269" s="4"/>
      <c r="AH269" s="4"/>
      <c r="AI269" s="4"/>
      <c r="AJ269" s="76" t="str">
        <f>IF(E269="○",IF(COUNTA(E$13:E269)=1,"",",")&amp;D269,"")</f>
        <v/>
      </c>
      <c r="AK269" s="4"/>
      <c r="AL269" s="4"/>
      <c r="AM269" s="4"/>
      <c r="AN269" s="4"/>
      <c r="AO269" s="4"/>
      <c r="AP269" s="4"/>
      <c r="AQ269" s="4"/>
      <c r="AR269" s="4"/>
      <c r="AS269" s="76" t="str">
        <f>"COMMENT ON COLUMN "&amp;エンティティ一覧!$O$2&amp;"."&amp;D$8&amp;"."&amp;D269&amp;" IS '"&amp;C269&amp;"';"</f>
        <v>COMMENT ON COLUMN milscm_2023_009.main_diagnosis_start_date.shikkan261_start_date IS 'C538_疾患開始日';</v>
      </c>
    </row>
    <row r="270" spans="1:45" s="25" customFormat="1">
      <c r="A270" s="4" t="s">
        <v>5412</v>
      </c>
      <c r="B270" s="21">
        <f t="shared" si="26"/>
        <v>268</v>
      </c>
      <c r="C270" s="13" t="str">
        <f t="shared" si="34"/>
        <v>C539_疾患開始日</v>
      </c>
      <c r="D270" s="13" t="s">
        <v>5030</v>
      </c>
      <c r="E270" s="8"/>
      <c r="F270" s="7" t="s">
        <v>4348</v>
      </c>
      <c r="G270" s="7" t="s">
        <v>25</v>
      </c>
      <c r="H270" s="58"/>
      <c r="I270" s="23"/>
      <c r="J270" s="24"/>
      <c r="M270" s="4"/>
      <c r="N270" s="76"/>
      <c r="O270" s="76"/>
      <c r="P270" s="76" t="str">
        <f t="shared" si="27"/>
        <v>,shikkan262_start_date</v>
      </c>
      <c r="Q270" s="76" t="str">
        <f t="shared" si="28"/>
        <v>DATE</v>
      </c>
      <c r="R270" s="76" t="str">
        <f t="shared" si="29"/>
        <v/>
      </c>
      <c r="S270" s="76" t="str">
        <f t="shared" si="30"/>
        <v/>
      </c>
      <c r="T270" s="76" t="str">
        <f t="shared" si="31"/>
        <v>-- C539_疾患開始日</v>
      </c>
      <c r="U270" s="4" t="str">
        <f t="shared" si="32"/>
        <v>,'shikkan262_start_date'</v>
      </c>
      <c r="V270" s="25" t="str">
        <f t="shared" si="33"/>
        <v>,'shikkan262_start_date' : 'C539_疾患開始日'</v>
      </c>
      <c r="X270" s="25">
        <v>1</v>
      </c>
      <c r="AA270" s="4"/>
      <c r="AB270" s="4"/>
      <c r="AC270" s="4"/>
      <c r="AD270" s="4"/>
      <c r="AE270" s="4"/>
      <c r="AF270" s="4"/>
      <c r="AG270" s="4"/>
      <c r="AH270" s="4"/>
      <c r="AI270" s="4"/>
      <c r="AJ270" s="76" t="str">
        <f>IF(E270="○",IF(COUNTA(E$13:E270)=1,"",",")&amp;D270,"")</f>
        <v/>
      </c>
      <c r="AK270" s="4"/>
      <c r="AL270" s="4"/>
      <c r="AM270" s="4"/>
      <c r="AN270" s="4"/>
      <c r="AO270" s="4"/>
      <c r="AP270" s="4"/>
      <c r="AQ270" s="4"/>
      <c r="AR270" s="4"/>
      <c r="AS270" s="76" t="str">
        <f>"COMMENT ON COLUMN "&amp;エンティティ一覧!$O$2&amp;"."&amp;D$8&amp;"."&amp;D270&amp;" IS '"&amp;C270&amp;"';"</f>
        <v>COMMENT ON COLUMN milscm_2023_009.main_diagnosis_start_date.shikkan262_start_date IS 'C539_疾患開始日';</v>
      </c>
    </row>
    <row r="271" spans="1:45" s="25" customFormat="1">
      <c r="A271" s="4" t="s">
        <v>5413</v>
      </c>
      <c r="B271" s="21">
        <f t="shared" si="26"/>
        <v>269</v>
      </c>
      <c r="C271" s="13" t="str">
        <f t="shared" si="34"/>
        <v>C540_疾患開始日</v>
      </c>
      <c r="D271" s="13" t="s">
        <v>5031</v>
      </c>
      <c r="E271" s="8"/>
      <c r="F271" s="7" t="s">
        <v>4348</v>
      </c>
      <c r="G271" s="7" t="s">
        <v>25</v>
      </c>
      <c r="H271" s="58"/>
      <c r="I271" s="23"/>
      <c r="J271" s="24"/>
      <c r="M271" s="4"/>
      <c r="N271" s="76"/>
      <c r="O271" s="76"/>
      <c r="P271" s="76" t="str">
        <f t="shared" si="27"/>
        <v>,shikkan263_start_date</v>
      </c>
      <c r="Q271" s="76" t="str">
        <f t="shared" si="28"/>
        <v>DATE</v>
      </c>
      <c r="R271" s="76" t="str">
        <f t="shared" si="29"/>
        <v/>
      </c>
      <c r="S271" s="76" t="str">
        <f t="shared" si="30"/>
        <v/>
      </c>
      <c r="T271" s="76" t="str">
        <f t="shared" si="31"/>
        <v>-- C540_疾患開始日</v>
      </c>
      <c r="U271" s="4" t="str">
        <f t="shared" si="32"/>
        <v>,'shikkan263_start_date'</v>
      </c>
      <c r="V271" s="25" t="str">
        <f t="shared" si="33"/>
        <v>,'shikkan263_start_date' : 'C540_疾患開始日'</v>
      </c>
      <c r="X271" s="25">
        <v>1</v>
      </c>
      <c r="AA271" s="4"/>
      <c r="AB271" s="4"/>
      <c r="AC271" s="4"/>
      <c r="AD271" s="4"/>
      <c r="AE271" s="4"/>
      <c r="AF271" s="4"/>
      <c r="AG271" s="4"/>
      <c r="AH271" s="4"/>
      <c r="AI271" s="4"/>
      <c r="AJ271" s="76" t="str">
        <f>IF(E271="○",IF(COUNTA(E$13:E271)=1,"",",")&amp;D271,"")</f>
        <v/>
      </c>
      <c r="AK271" s="4"/>
      <c r="AL271" s="4"/>
      <c r="AM271" s="4"/>
      <c r="AN271" s="4"/>
      <c r="AO271" s="4"/>
      <c r="AP271" s="4"/>
      <c r="AQ271" s="4"/>
      <c r="AR271" s="4"/>
      <c r="AS271" s="76" t="str">
        <f>"COMMENT ON COLUMN "&amp;エンティティ一覧!$O$2&amp;"."&amp;D$8&amp;"."&amp;D271&amp;" IS '"&amp;C271&amp;"';"</f>
        <v>COMMENT ON COLUMN milscm_2023_009.main_diagnosis_start_date.shikkan263_start_date IS 'C540_疾患開始日';</v>
      </c>
    </row>
    <row r="272" spans="1:45" s="25" customFormat="1">
      <c r="A272" s="4" t="s">
        <v>5414</v>
      </c>
      <c r="B272" s="21">
        <f t="shared" si="26"/>
        <v>270</v>
      </c>
      <c r="C272" s="13" t="str">
        <f t="shared" si="34"/>
        <v>C541_疾患開始日</v>
      </c>
      <c r="D272" s="13" t="s">
        <v>5032</v>
      </c>
      <c r="E272" s="8"/>
      <c r="F272" s="7" t="s">
        <v>4348</v>
      </c>
      <c r="G272" s="7" t="s">
        <v>25</v>
      </c>
      <c r="H272" s="58"/>
      <c r="I272" s="23"/>
      <c r="J272" s="24"/>
      <c r="M272" s="4"/>
      <c r="N272" s="76"/>
      <c r="O272" s="76"/>
      <c r="P272" s="76" t="str">
        <f t="shared" si="27"/>
        <v>,shikkan264_start_date</v>
      </c>
      <c r="Q272" s="76" t="str">
        <f t="shared" si="28"/>
        <v>DATE</v>
      </c>
      <c r="R272" s="76" t="str">
        <f t="shared" si="29"/>
        <v/>
      </c>
      <c r="S272" s="76" t="str">
        <f t="shared" si="30"/>
        <v/>
      </c>
      <c r="T272" s="76" t="str">
        <f t="shared" si="31"/>
        <v>-- C541_疾患開始日</v>
      </c>
      <c r="U272" s="4" t="str">
        <f t="shared" si="32"/>
        <v>,'shikkan264_start_date'</v>
      </c>
      <c r="V272" s="25" t="str">
        <f t="shared" si="33"/>
        <v>,'shikkan264_start_date' : 'C541_疾患開始日'</v>
      </c>
      <c r="X272" s="25">
        <v>1</v>
      </c>
      <c r="AA272" s="4"/>
      <c r="AB272" s="4"/>
      <c r="AC272" s="4"/>
      <c r="AD272" s="4"/>
      <c r="AE272" s="4"/>
      <c r="AF272" s="4"/>
      <c r="AG272" s="4"/>
      <c r="AH272" s="4"/>
      <c r="AI272" s="4"/>
      <c r="AJ272" s="76" t="str">
        <f>IF(E272="○",IF(COUNTA(E$13:E272)=1,"",",")&amp;D272,"")</f>
        <v/>
      </c>
      <c r="AK272" s="4"/>
      <c r="AL272" s="4"/>
      <c r="AM272" s="4"/>
      <c r="AN272" s="4"/>
      <c r="AO272" s="4"/>
      <c r="AP272" s="4"/>
      <c r="AQ272" s="4"/>
      <c r="AR272" s="4"/>
      <c r="AS272" s="76" t="str">
        <f>"COMMENT ON COLUMN "&amp;エンティティ一覧!$O$2&amp;"."&amp;D$8&amp;"."&amp;D272&amp;" IS '"&amp;C272&amp;"';"</f>
        <v>COMMENT ON COLUMN milscm_2023_009.main_diagnosis_start_date.shikkan264_start_date IS 'C541_疾患開始日';</v>
      </c>
    </row>
    <row r="273" spans="1:45" s="25" customFormat="1">
      <c r="A273" s="4" t="s">
        <v>5415</v>
      </c>
      <c r="B273" s="21">
        <f t="shared" si="26"/>
        <v>271</v>
      </c>
      <c r="C273" s="13" t="str">
        <f t="shared" si="34"/>
        <v>C542_疾患開始日</v>
      </c>
      <c r="D273" s="13" t="s">
        <v>5033</v>
      </c>
      <c r="E273" s="8"/>
      <c r="F273" s="7" t="s">
        <v>4348</v>
      </c>
      <c r="G273" s="7" t="s">
        <v>25</v>
      </c>
      <c r="H273" s="58"/>
      <c r="I273" s="23"/>
      <c r="J273" s="24"/>
      <c r="M273" s="4"/>
      <c r="N273" s="76"/>
      <c r="O273" s="76"/>
      <c r="P273" s="76" t="str">
        <f t="shared" si="27"/>
        <v>,shikkan265_start_date</v>
      </c>
      <c r="Q273" s="76" t="str">
        <f t="shared" si="28"/>
        <v>DATE</v>
      </c>
      <c r="R273" s="76" t="str">
        <f t="shared" si="29"/>
        <v/>
      </c>
      <c r="S273" s="76" t="str">
        <f t="shared" si="30"/>
        <v/>
      </c>
      <c r="T273" s="76" t="str">
        <f t="shared" si="31"/>
        <v>-- C542_疾患開始日</v>
      </c>
      <c r="U273" s="4" t="str">
        <f t="shared" si="32"/>
        <v>,'shikkan265_start_date'</v>
      </c>
      <c r="V273" s="25" t="str">
        <f t="shared" si="33"/>
        <v>,'shikkan265_start_date' : 'C542_疾患開始日'</v>
      </c>
      <c r="X273" s="25">
        <v>1</v>
      </c>
      <c r="AA273" s="4"/>
      <c r="AB273" s="4"/>
      <c r="AC273" s="4"/>
      <c r="AD273" s="4"/>
      <c r="AE273" s="4"/>
      <c r="AF273" s="4"/>
      <c r="AG273" s="4"/>
      <c r="AH273" s="4"/>
      <c r="AI273" s="4"/>
      <c r="AJ273" s="76" t="str">
        <f>IF(E273="○",IF(COUNTA(E$13:E273)=1,"",",")&amp;D273,"")</f>
        <v/>
      </c>
      <c r="AK273" s="4"/>
      <c r="AL273" s="4"/>
      <c r="AM273" s="4"/>
      <c r="AN273" s="4"/>
      <c r="AO273" s="4"/>
      <c r="AP273" s="4"/>
      <c r="AQ273" s="4"/>
      <c r="AR273" s="4"/>
      <c r="AS273" s="76" t="str">
        <f>"COMMENT ON COLUMN "&amp;エンティティ一覧!$O$2&amp;"."&amp;D$8&amp;"."&amp;D273&amp;" IS '"&amp;C273&amp;"';"</f>
        <v>COMMENT ON COLUMN milscm_2023_009.main_diagnosis_start_date.shikkan265_start_date IS 'C542_疾患開始日';</v>
      </c>
    </row>
    <row r="274" spans="1:45" s="25" customFormat="1">
      <c r="A274" s="4" t="s">
        <v>5416</v>
      </c>
      <c r="B274" s="21">
        <f t="shared" si="26"/>
        <v>272</v>
      </c>
      <c r="C274" s="13" t="str">
        <f t="shared" si="34"/>
        <v>C543_疾患開始日</v>
      </c>
      <c r="D274" s="13" t="s">
        <v>5034</v>
      </c>
      <c r="E274" s="8"/>
      <c r="F274" s="7" t="s">
        <v>4348</v>
      </c>
      <c r="G274" s="7" t="s">
        <v>25</v>
      </c>
      <c r="H274" s="58"/>
      <c r="I274" s="23"/>
      <c r="J274" s="24"/>
      <c r="M274" s="4"/>
      <c r="N274" s="76"/>
      <c r="O274" s="76"/>
      <c r="P274" s="76" t="str">
        <f t="shared" si="27"/>
        <v>,shikkan266_start_date</v>
      </c>
      <c r="Q274" s="76" t="str">
        <f t="shared" si="28"/>
        <v>DATE</v>
      </c>
      <c r="R274" s="76" t="str">
        <f t="shared" si="29"/>
        <v/>
      </c>
      <c r="S274" s="76" t="str">
        <f t="shared" si="30"/>
        <v/>
      </c>
      <c r="T274" s="76" t="str">
        <f t="shared" si="31"/>
        <v>-- C543_疾患開始日</v>
      </c>
      <c r="U274" s="4" t="str">
        <f t="shared" si="32"/>
        <v>,'shikkan266_start_date'</v>
      </c>
      <c r="V274" s="25" t="str">
        <f t="shared" si="33"/>
        <v>,'shikkan266_start_date' : 'C543_疾患開始日'</v>
      </c>
      <c r="X274" s="25">
        <v>1</v>
      </c>
      <c r="AA274" s="4"/>
      <c r="AB274" s="4"/>
      <c r="AC274" s="4"/>
      <c r="AD274" s="4"/>
      <c r="AE274" s="4"/>
      <c r="AF274" s="4"/>
      <c r="AG274" s="4"/>
      <c r="AH274" s="4"/>
      <c r="AI274" s="4"/>
      <c r="AJ274" s="76" t="str">
        <f>IF(E274="○",IF(COUNTA(E$13:E274)=1,"",",")&amp;D274,"")</f>
        <v/>
      </c>
      <c r="AK274" s="4"/>
      <c r="AL274" s="4"/>
      <c r="AM274" s="4"/>
      <c r="AN274" s="4"/>
      <c r="AO274" s="4"/>
      <c r="AP274" s="4"/>
      <c r="AQ274" s="4"/>
      <c r="AR274" s="4"/>
      <c r="AS274" s="76" t="str">
        <f>"COMMENT ON COLUMN "&amp;エンティティ一覧!$O$2&amp;"."&amp;D$8&amp;"."&amp;D274&amp;" IS '"&amp;C274&amp;"';"</f>
        <v>COMMENT ON COLUMN milscm_2023_009.main_diagnosis_start_date.shikkan266_start_date IS 'C543_疾患開始日';</v>
      </c>
    </row>
    <row r="275" spans="1:45" s="25" customFormat="1">
      <c r="A275" s="4" t="s">
        <v>5417</v>
      </c>
      <c r="B275" s="21">
        <f t="shared" si="26"/>
        <v>273</v>
      </c>
      <c r="C275" s="13" t="str">
        <f t="shared" si="34"/>
        <v>C548_疾患開始日</v>
      </c>
      <c r="D275" s="13" t="s">
        <v>5035</v>
      </c>
      <c r="E275" s="8"/>
      <c r="F275" s="7" t="s">
        <v>4348</v>
      </c>
      <c r="G275" s="7" t="s">
        <v>25</v>
      </c>
      <c r="H275" s="58"/>
      <c r="I275" s="23"/>
      <c r="J275" s="24"/>
      <c r="M275" s="4"/>
      <c r="N275" s="76"/>
      <c r="O275" s="76"/>
      <c r="P275" s="76" t="str">
        <f t="shared" si="27"/>
        <v>,shikkan267_start_date</v>
      </c>
      <c r="Q275" s="76" t="str">
        <f t="shared" si="28"/>
        <v>DATE</v>
      </c>
      <c r="R275" s="76" t="str">
        <f t="shared" si="29"/>
        <v/>
      </c>
      <c r="S275" s="76" t="str">
        <f t="shared" si="30"/>
        <v/>
      </c>
      <c r="T275" s="76" t="str">
        <f t="shared" si="31"/>
        <v>-- C548_疾患開始日</v>
      </c>
      <c r="U275" s="4" t="str">
        <f t="shared" si="32"/>
        <v>,'shikkan267_start_date'</v>
      </c>
      <c r="V275" s="25" t="str">
        <f t="shared" si="33"/>
        <v>,'shikkan267_start_date' : 'C548_疾患開始日'</v>
      </c>
      <c r="X275" s="25">
        <v>1</v>
      </c>
      <c r="AA275" s="4"/>
      <c r="AB275" s="4"/>
      <c r="AC275" s="4"/>
      <c r="AD275" s="4"/>
      <c r="AE275" s="4"/>
      <c r="AF275" s="4"/>
      <c r="AG275" s="4"/>
      <c r="AH275" s="4"/>
      <c r="AI275" s="4"/>
      <c r="AJ275" s="76" t="str">
        <f>IF(E275="○",IF(COUNTA(E$13:E275)=1,"",",")&amp;D275,"")</f>
        <v/>
      </c>
      <c r="AK275" s="4"/>
      <c r="AL275" s="4"/>
      <c r="AM275" s="4"/>
      <c r="AN275" s="4"/>
      <c r="AO275" s="4"/>
      <c r="AP275" s="4"/>
      <c r="AQ275" s="4"/>
      <c r="AR275" s="4"/>
      <c r="AS275" s="76" t="str">
        <f>"COMMENT ON COLUMN "&amp;エンティティ一覧!$O$2&amp;"."&amp;D$8&amp;"."&amp;D275&amp;" IS '"&amp;C275&amp;"';"</f>
        <v>COMMENT ON COLUMN milscm_2023_009.main_diagnosis_start_date.shikkan267_start_date IS 'C548_疾患開始日';</v>
      </c>
    </row>
    <row r="276" spans="1:45" s="25" customFormat="1">
      <c r="A276" s="4" t="s">
        <v>5418</v>
      </c>
      <c r="B276" s="21">
        <f t="shared" si="26"/>
        <v>274</v>
      </c>
      <c r="C276" s="13" t="str">
        <f t="shared" si="34"/>
        <v>C549_疾患開始日</v>
      </c>
      <c r="D276" s="13" t="s">
        <v>5036</v>
      </c>
      <c r="E276" s="8"/>
      <c r="F276" s="7" t="s">
        <v>4348</v>
      </c>
      <c r="G276" s="7" t="s">
        <v>25</v>
      </c>
      <c r="H276" s="58"/>
      <c r="I276" s="23"/>
      <c r="J276" s="24"/>
      <c r="M276" s="4"/>
      <c r="N276" s="76"/>
      <c r="O276" s="76"/>
      <c r="P276" s="76" t="str">
        <f t="shared" si="27"/>
        <v>,shikkan268_start_date</v>
      </c>
      <c r="Q276" s="76" t="str">
        <f t="shared" si="28"/>
        <v>DATE</v>
      </c>
      <c r="R276" s="76" t="str">
        <f t="shared" si="29"/>
        <v/>
      </c>
      <c r="S276" s="76" t="str">
        <f t="shared" si="30"/>
        <v/>
      </c>
      <c r="T276" s="76" t="str">
        <f t="shared" si="31"/>
        <v>-- C549_疾患開始日</v>
      </c>
      <c r="U276" s="4" t="str">
        <f t="shared" si="32"/>
        <v>,'shikkan268_start_date'</v>
      </c>
      <c r="V276" s="25" t="str">
        <f t="shared" si="33"/>
        <v>,'shikkan268_start_date' : 'C549_疾患開始日'</v>
      </c>
      <c r="X276" s="25">
        <v>1</v>
      </c>
      <c r="AA276" s="4"/>
      <c r="AB276" s="4"/>
      <c r="AC276" s="4"/>
      <c r="AD276" s="4"/>
      <c r="AE276" s="4"/>
      <c r="AF276" s="4"/>
      <c r="AG276" s="4"/>
      <c r="AH276" s="4"/>
      <c r="AI276" s="4"/>
      <c r="AJ276" s="76" t="str">
        <f>IF(E276="○",IF(COUNTA(E$13:E276)=1,"",",")&amp;D276,"")</f>
        <v/>
      </c>
      <c r="AK276" s="4"/>
      <c r="AL276" s="4"/>
      <c r="AM276" s="4"/>
      <c r="AN276" s="4"/>
      <c r="AO276" s="4"/>
      <c r="AP276" s="4"/>
      <c r="AQ276" s="4"/>
      <c r="AR276" s="4"/>
      <c r="AS276" s="76" t="str">
        <f>"COMMENT ON COLUMN "&amp;エンティティ一覧!$O$2&amp;"."&amp;D$8&amp;"."&amp;D276&amp;" IS '"&amp;C276&amp;"';"</f>
        <v>COMMENT ON COLUMN milscm_2023_009.main_diagnosis_start_date.shikkan268_start_date IS 'C549_疾患開始日';</v>
      </c>
    </row>
    <row r="277" spans="1:45" s="25" customFormat="1">
      <c r="A277" s="4" t="s">
        <v>5149</v>
      </c>
      <c r="B277" s="21">
        <f t="shared" si="26"/>
        <v>275</v>
      </c>
      <c r="C277" s="13" t="str">
        <f t="shared" si="34"/>
        <v>C55_疾患開始日</v>
      </c>
      <c r="D277" s="13" t="s">
        <v>5037</v>
      </c>
      <c r="E277" s="8"/>
      <c r="F277" s="7" t="s">
        <v>4348</v>
      </c>
      <c r="G277" s="7" t="s">
        <v>25</v>
      </c>
      <c r="H277" s="58"/>
      <c r="I277" s="23"/>
      <c r="J277" s="24"/>
      <c r="M277" s="4"/>
      <c r="N277" s="76"/>
      <c r="O277" s="76"/>
      <c r="P277" s="76" t="str">
        <f t="shared" si="27"/>
        <v>,shikkan269_start_date</v>
      </c>
      <c r="Q277" s="76" t="str">
        <f t="shared" si="28"/>
        <v>DATE</v>
      </c>
      <c r="R277" s="76" t="str">
        <f t="shared" si="29"/>
        <v/>
      </c>
      <c r="S277" s="76" t="str">
        <f t="shared" si="30"/>
        <v/>
      </c>
      <c r="T277" s="76" t="str">
        <f t="shared" si="31"/>
        <v>-- C55_疾患開始日</v>
      </c>
      <c r="U277" s="4" t="str">
        <f t="shared" si="32"/>
        <v>,'shikkan269_start_date'</v>
      </c>
      <c r="V277" s="25" t="str">
        <f t="shared" si="33"/>
        <v>,'shikkan269_start_date' : 'C55_疾患開始日'</v>
      </c>
      <c r="X277" s="25">
        <v>1</v>
      </c>
      <c r="AA277" s="4"/>
      <c r="AB277" s="4"/>
      <c r="AC277" s="4"/>
      <c r="AD277" s="4"/>
      <c r="AE277" s="4"/>
      <c r="AF277" s="4"/>
      <c r="AG277" s="4"/>
      <c r="AH277" s="4"/>
      <c r="AI277" s="4"/>
      <c r="AJ277" s="76" t="str">
        <f>IF(E277="○",IF(COUNTA(E$13:E277)=1,"",",")&amp;D277,"")</f>
        <v/>
      </c>
      <c r="AK277" s="4"/>
      <c r="AL277" s="4"/>
      <c r="AM277" s="4"/>
      <c r="AN277" s="4"/>
      <c r="AO277" s="4"/>
      <c r="AP277" s="4"/>
      <c r="AQ277" s="4"/>
      <c r="AR277" s="4"/>
      <c r="AS277" s="76" t="str">
        <f>"COMMENT ON COLUMN "&amp;エンティティ一覧!$O$2&amp;"."&amp;D$8&amp;"."&amp;D277&amp;" IS '"&amp;C277&amp;"';"</f>
        <v>COMMENT ON COLUMN milscm_2023_009.main_diagnosis_start_date.shikkan269_start_date IS 'C55_疾患開始日';</v>
      </c>
    </row>
    <row r="278" spans="1:45" s="25" customFormat="1">
      <c r="A278" s="4" t="s">
        <v>5150</v>
      </c>
      <c r="B278" s="21">
        <f t="shared" si="26"/>
        <v>276</v>
      </c>
      <c r="C278" s="13" t="str">
        <f t="shared" si="34"/>
        <v>C56_疾患開始日</v>
      </c>
      <c r="D278" s="13" t="s">
        <v>5038</v>
      </c>
      <c r="E278" s="8"/>
      <c r="F278" s="7" t="s">
        <v>4348</v>
      </c>
      <c r="G278" s="7" t="s">
        <v>25</v>
      </c>
      <c r="H278" s="58"/>
      <c r="I278" s="23"/>
      <c r="J278" s="24"/>
      <c r="M278" s="4"/>
      <c r="N278" s="76"/>
      <c r="O278" s="76"/>
      <c r="P278" s="76" t="str">
        <f t="shared" si="27"/>
        <v>,shikkan270_start_date</v>
      </c>
      <c r="Q278" s="76" t="str">
        <f t="shared" si="28"/>
        <v>DATE</v>
      </c>
      <c r="R278" s="76" t="str">
        <f t="shared" si="29"/>
        <v/>
      </c>
      <c r="S278" s="76" t="str">
        <f t="shared" si="30"/>
        <v/>
      </c>
      <c r="T278" s="76" t="str">
        <f t="shared" si="31"/>
        <v>-- C56_疾患開始日</v>
      </c>
      <c r="U278" s="4" t="str">
        <f t="shared" si="32"/>
        <v>,'shikkan270_start_date'</v>
      </c>
      <c r="V278" s="25" t="str">
        <f t="shared" si="33"/>
        <v>,'shikkan270_start_date' : 'C56_疾患開始日'</v>
      </c>
      <c r="X278" s="25">
        <v>1</v>
      </c>
      <c r="AA278" s="4"/>
      <c r="AB278" s="4"/>
      <c r="AC278" s="4"/>
      <c r="AD278" s="4"/>
      <c r="AE278" s="4"/>
      <c r="AF278" s="4"/>
      <c r="AG278" s="4"/>
      <c r="AH278" s="4"/>
      <c r="AI278" s="4"/>
      <c r="AJ278" s="76" t="str">
        <f>IF(E278="○",IF(COUNTA(E$13:E278)=1,"",",")&amp;D278,"")</f>
        <v/>
      </c>
      <c r="AK278" s="4"/>
      <c r="AL278" s="4"/>
      <c r="AM278" s="4"/>
      <c r="AN278" s="4"/>
      <c r="AO278" s="4"/>
      <c r="AP278" s="4"/>
      <c r="AQ278" s="4"/>
      <c r="AR278" s="4"/>
      <c r="AS278" s="76" t="str">
        <f>"COMMENT ON COLUMN "&amp;エンティティ一覧!$O$2&amp;"."&amp;D$8&amp;"."&amp;D278&amp;" IS '"&amp;C278&amp;"';"</f>
        <v>COMMENT ON COLUMN milscm_2023_009.main_diagnosis_start_date.shikkan270_start_date IS 'C56_疾患開始日';</v>
      </c>
    </row>
    <row r="279" spans="1:45" s="25" customFormat="1">
      <c r="A279" s="4" t="s">
        <v>5419</v>
      </c>
      <c r="B279" s="21">
        <f t="shared" si="26"/>
        <v>277</v>
      </c>
      <c r="C279" s="13" t="str">
        <f t="shared" si="34"/>
        <v>C570_疾患開始日</v>
      </c>
      <c r="D279" s="13" t="s">
        <v>5039</v>
      </c>
      <c r="E279" s="8"/>
      <c r="F279" s="7" t="s">
        <v>4348</v>
      </c>
      <c r="G279" s="7" t="s">
        <v>25</v>
      </c>
      <c r="H279" s="58"/>
      <c r="I279" s="23"/>
      <c r="J279" s="24"/>
      <c r="M279" s="4"/>
      <c r="N279" s="76"/>
      <c r="O279" s="76"/>
      <c r="P279" s="76" t="str">
        <f t="shared" si="27"/>
        <v>,shikkan271_start_date</v>
      </c>
      <c r="Q279" s="76" t="str">
        <f t="shared" si="28"/>
        <v>DATE</v>
      </c>
      <c r="R279" s="76" t="str">
        <f t="shared" si="29"/>
        <v/>
      </c>
      <c r="S279" s="76" t="str">
        <f t="shared" si="30"/>
        <v/>
      </c>
      <c r="T279" s="76" t="str">
        <f t="shared" si="31"/>
        <v>-- C570_疾患開始日</v>
      </c>
      <c r="U279" s="4" t="str">
        <f t="shared" si="32"/>
        <v>,'shikkan271_start_date'</v>
      </c>
      <c r="V279" s="25" t="str">
        <f t="shared" si="33"/>
        <v>,'shikkan271_start_date' : 'C570_疾患開始日'</v>
      </c>
      <c r="X279" s="25">
        <v>1</v>
      </c>
      <c r="AA279" s="4"/>
      <c r="AB279" s="4"/>
      <c r="AC279" s="4"/>
      <c r="AD279" s="4"/>
      <c r="AE279" s="4"/>
      <c r="AF279" s="4"/>
      <c r="AG279" s="4"/>
      <c r="AH279" s="4"/>
      <c r="AI279" s="4"/>
      <c r="AJ279" s="76" t="str">
        <f>IF(E279="○",IF(COUNTA(E$13:E279)=1,"",",")&amp;D279,"")</f>
        <v/>
      </c>
      <c r="AK279" s="4"/>
      <c r="AL279" s="4"/>
      <c r="AM279" s="4"/>
      <c r="AN279" s="4"/>
      <c r="AO279" s="4"/>
      <c r="AP279" s="4"/>
      <c r="AQ279" s="4"/>
      <c r="AR279" s="4"/>
      <c r="AS279" s="76" t="str">
        <f>"COMMENT ON COLUMN "&amp;エンティティ一覧!$O$2&amp;"."&amp;D$8&amp;"."&amp;D279&amp;" IS '"&amp;C279&amp;"';"</f>
        <v>COMMENT ON COLUMN milscm_2023_009.main_diagnosis_start_date.shikkan271_start_date IS 'C570_疾患開始日';</v>
      </c>
    </row>
    <row r="280" spans="1:45" s="25" customFormat="1">
      <c r="A280" s="4" t="s">
        <v>5420</v>
      </c>
      <c r="B280" s="21">
        <f t="shared" si="26"/>
        <v>278</v>
      </c>
      <c r="C280" s="13" t="str">
        <f t="shared" si="34"/>
        <v>C571_疾患開始日</v>
      </c>
      <c r="D280" s="13" t="s">
        <v>5040</v>
      </c>
      <c r="E280" s="8"/>
      <c r="F280" s="7" t="s">
        <v>4348</v>
      </c>
      <c r="G280" s="7" t="s">
        <v>25</v>
      </c>
      <c r="H280" s="58"/>
      <c r="I280" s="23"/>
      <c r="J280" s="24"/>
      <c r="M280" s="4"/>
      <c r="N280" s="76"/>
      <c r="O280" s="76"/>
      <c r="P280" s="76" t="str">
        <f t="shared" si="27"/>
        <v>,shikkan272_start_date</v>
      </c>
      <c r="Q280" s="76" t="str">
        <f t="shared" si="28"/>
        <v>DATE</v>
      </c>
      <c r="R280" s="76" t="str">
        <f t="shared" si="29"/>
        <v/>
      </c>
      <c r="S280" s="76" t="str">
        <f t="shared" si="30"/>
        <v/>
      </c>
      <c r="T280" s="76" t="str">
        <f t="shared" si="31"/>
        <v>-- C571_疾患開始日</v>
      </c>
      <c r="U280" s="4" t="str">
        <f t="shared" si="32"/>
        <v>,'shikkan272_start_date'</v>
      </c>
      <c r="V280" s="25" t="str">
        <f t="shared" si="33"/>
        <v>,'shikkan272_start_date' : 'C571_疾患開始日'</v>
      </c>
      <c r="X280" s="25">
        <v>1</v>
      </c>
      <c r="AA280" s="4"/>
      <c r="AB280" s="4"/>
      <c r="AC280" s="4"/>
      <c r="AD280" s="4"/>
      <c r="AE280" s="4"/>
      <c r="AF280" s="4"/>
      <c r="AG280" s="4"/>
      <c r="AH280" s="4"/>
      <c r="AI280" s="4"/>
      <c r="AJ280" s="76" t="str">
        <f>IF(E280="○",IF(COUNTA(E$13:E280)=1,"",",")&amp;D280,"")</f>
        <v/>
      </c>
      <c r="AK280" s="4"/>
      <c r="AL280" s="4"/>
      <c r="AM280" s="4"/>
      <c r="AN280" s="4"/>
      <c r="AO280" s="4"/>
      <c r="AP280" s="4"/>
      <c r="AQ280" s="4"/>
      <c r="AR280" s="4"/>
      <c r="AS280" s="76" t="str">
        <f>"COMMENT ON COLUMN "&amp;エンティティ一覧!$O$2&amp;"."&amp;D$8&amp;"."&amp;D280&amp;" IS '"&amp;C280&amp;"';"</f>
        <v>COMMENT ON COLUMN milscm_2023_009.main_diagnosis_start_date.shikkan272_start_date IS 'C571_疾患開始日';</v>
      </c>
    </row>
    <row r="281" spans="1:45" s="25" customFormat="1">
      <c r="A281" s="4" t="s">
        <v>5421</v>
      </c>
      <c r="B281" s="21">
        <f t="shared" si="26"/>
        <v>279</v>
      </c>
      <c r="C281" s="13" t="str">
        <f t="shared" si="34"/>
        <v>C572_疾患開始日</v>
      </c>
      <c r="D281" s="13" t="s">
        <v>5041</v>
      </c>
      <c r="E281" s="8"/>
      <c r="F281" s="7" t="s">
        <v>4348</v>
      </c>
      <c r="G281" s="7" t="s">
        <v>25</v>
      </c>
      <c r="H281" s="58"/>
      <c r="I281" s="23"/>
      <c r="J281" s="24"/>
      <c r="M281" s="4"/>
      <c r="N281" s="76"/>
      <c r="O281" s="76"/>
      <c r="P281" s="76" t="str">
        <f t="shared" si="27"/>
        <v>,shikkan273_start_date</v>
      </c>
      <c r="Q281" s="76" t="str">
        <f t="shared" si="28"/>
        <v>DATE</v>
      </c>
      <c r="R281" s="76" t="str">
        <f t="shared" si="29"/>
        <v/>
      </c>
      <c r="S281" s="76" t="str">
        <f t="shared" si="30"/>
        <v/>
      </c>
      <c r="T281" s="76" t="str">
        <f t="shared" si="31"/>
        <v>-- C572_疾患開始日</v>
      </c>
      <c r="U281" s="4" t="str">
        <f t="shared" si="32"/>
        <v>,'shikkan273_start_date'</v>
      </c>
      <c r="V281" s="25" t="str">
        <f t="shared" si="33"/>
        <v>,'shikkan273_start_date' : 'C572_疾患開始日'</v>
      </c>
      <c r="X281" s="25">
        <v>1</v>
      </c>
      <c r="AA281" s="4"/>
      <c r="AB281" s="4"/>
      <c r="AC281" s="4"/>
      <c r="AD281" s="4"/>
      <c r="AE281" s="4"/>
      <c r="AF281" s="4"/>
      <c r="AG281" s="4"/>
      <c r="AH281" s="4"/>
      <c r="AI281" s="4"/>
      <c r="AJ281" s="76" t="str">
        <f>IF(E281="○",IF(COUNTA(E$13:E281)=1,"",",")&amp;D281,"")</f>
        <v/>
      </c>
      <c r="AK281" s="4"/>
      <c r="AL281" s="4"/>
      <c r="AM281" s="4"/>
      <c r="AN281" s="4"/>
      <c r="AO281" s="4"/>
      <c r="AP281" s="4"/>
      <c r="AQ281" s="4"/>
      <c r="AR281" s="4"/>
      <c r="AS281" s="76" t="str">
        <f>"COMMENT ON COLUMN "&amp;エンティティ一覧!$O$2&amp;"."&amp;D$8&amp;"."&amp;D281&amp;" IS '"&amp;C281&amp;"';"</f>
        <v>COMMENT ON COLUMN milscm_2023_009.main_diagnosis_start_date.shikkan273_start_date IS 'C572_疾患開始日';</v>
      </c>
    </row>
    <row r="282" spans="1:45" s="25" customFormat="1">
      <c r="A282" s="4" t="s">
        <v>5422</v>
      </c>
      <c r="B282" s="21">
        <f t="shared" si="26"/>
        <v>280</v>
      </c>
      <c r="C282" s="13" t="str">
        <f t="shared" si="34"/>
        <v>C573_疾患開始日</v>
      </c>
      <c r="D282" s="13" t="s">
        <v>5042</v>
      </c>
      <c r="E282" s="8"/>
      <c r="F282" s="7" t="s">
        <v>4348</v>
      </c>
      <c r="G282" s="7" t="s">
        <v>25</v>
      </c>
      <c r="H282" s="58"/>
      <c r="I282" s="23"/>
      <c r="J282" s="24"/>
      <c r="M282" s="4"/>
      <c r="N282" s="76"/>
      <c r="O282" s="76"/>
      <c r="P282" s="76" t="str">
        <f t="shared" si="27"/>
        <v>,shikkan274_start_date</v>
      </c>
      <c r="Q282" s="76" t="str">
        <f t="shared" si="28"/>
        <v>DATE</v>
      </c>
      <c r="R282" s="76" t="str">
        <f t="shared" si="29"/>
        <v/>
      </c>
      <c r="S282" s="76" t="str">
        <f t="shared" si="30"/>
        <v/>
      </c>
      <c r="T282" s="76" t="str">
        <f t="shared" si="31"/>
        <v>-- C573_疾患開始日</v>
      </c>
      <c r="U282" s="4" t="str">
        <f t="shared" si="32"/>
        <v>,'shikkan274_start_date'</v>
      </c>
      <c r="V282" s="25" t="str">
        <f t="shared" si="33"/>
        <v>,'shikkan274_start_date' : 'C573_疾患開始日'</v>
      </c>
      <c r="X282" s="25">
        <v>1</v>
      </c>
      <c r="AA282" s="4"/>
      <c r="AB282" s="4"/>
      <c r="AC282" s="4"/>
      <c r="AD282" s="4"/>
      <c r="AE282" s="4"/>
      <c r="AF282" s="4"/>
      <c r="AG282" s="4"/>
      <c r="AH282" s="4"/>
      <c r="AI282" s="4"/>
      <c r="AJ282" s="76" t="str">
        <f>IF(E282="○",IF(COUNTA(E$13:E282)=1,"",",")&amp;D282,"")</f>
        <v/>
      </c>
      <c r="AK282" s="4"/>
      <c r="AL282" s="4"/>
      <c r="AM282" s="4"/>
      <c r="AN282" s="4"/>
      <c r="AO282" s="4"/>
      <c r="AP282" s="4"/>
      <c r="AQ282" s="4"/>
      <c r="AR282" s="4"/>
      <c r="AS282" s="76" t="str">
        <f>"COMMENT ON COLUMN "&amp;エンティティ一覧!$O$2&amp;"."&amp;D$8&amp;"."&amp;D282&amp;" IS '"&amp;C282&amp;"';"</f>
        <v>COMMENT ON COLUMN milscm_2023_009.main_diagnosis_start_date.shikkan274_start_date IS 'C573_疾患開始日';</v>
      </c>
    </row>
    <row r="283" spans="1:45" s="25" customFormat="1">
      <c r="A283" s="4" t="s">
        <v>5423</v>
      </c>
      <c r="B283" s="21">
        <f t="shared" si="26"/>
        <v>281</v>
      </c>
      <c r="C283" s="13" t="str">
        <f t="shared" si="34"/>
        <v>C574_疾患開始日</v>
      </c>
      <c r="D283" s="13" t="s">
        <v>5043</v>
      </c>
      <c r="E283" s="8"/>
      <c r="F283" s="7" t="s">
        <v>4348</v>
      </c>
      <c r="G283" s="7" t="s">
        <v>25</v>
      </c>
      <c r="H283" s="58"/>
      <c r="I283" s="23"/>
      <c r="J283" s="24"/>
      <c r="M283" s="4"/>
      <c r="N283" s="76"/>
      <c r="O283" s="76"/>
      <c r="P283" s="76" t="str">
        <f t="shared" si="27"/>
        <v>,shikkan275_start_date</v>
      </c>
      <c r="Q283" s="76" t="str">
        <f t="shared" si="28"/>
        <v>DATE</v>
      </c>
      <c r="R283" s="76" t="str">
        <f t="shared" si="29"/>
        <v/>
      </c>
      <c r="S283" s="76" t="str">
        <f t="shared" si="30"/>
        <v/>
      </c>
      <c r="T283" s="76" t="str">
        <f t="shared" si="31"/>
        <v>-- C574_疾患開始日</v>
      </c>
      <c r="U283" s="4" t="str">
        <f t="shared" si="32"/>
        <v>,'shikkan275_start_date'</v>
      </c>
      <c r="V283" s="25" t="str">
        <f t="shared" si="33"/>
        <v>,'shikkan275_start_date' : 'C574_疾患開始日'</v>
      </c>
      <c r="X283" s="25">
        <v>1</v>
      </c>
      <c r="AA283" s="4"/>
      <c r="AB283" s="4"/>
      <c r="AC283" s="4"/>
      <c r="AD283" s="4"/>
      <c r="AE283" s="4"/>
      <c r="AF283" s="4"/>
      <c r="AG283" s="4"/>
      <c r="AH283" s="4"/>
      <c r="AI283" s="4"/>
      <c r="AJ283" s="76" t="str">
        <f>IF(E283="○",IF(COUNTA(E$13:E283)=1,"",",")&amp;D283,"")</f>
        <v/>
      </c>
      <c r="AK283" s="4"/>
      <c r="AL283" s="4"/>
      <c r="AM283" s="4"/>
      <c r="AN283" s="4"/>
      <c r="AO283" s="4"/>
      <c r="AP283" s="4"/>
      <c r="AQ283" s="4"/>
      <c r="AR283" s="4"/>
      <c r="AS283" s="76" t="str">
        <f>"COMMENT ON COLUMN "&amp;エンティティ一覧!$O$2&amp;"."&amp;D$8&amp;"."&amp;D283&amp;" IS '"&amp;C283&amp;"';"</f>
        <v>COMMENT ON COLUMN milscm_2023_009.main_diagnosis_start_date.shikkan275_start_date IS 'C574_疾患開始日';</v>
      </c>
    </row>
    <row r="284" spans="1:45" s="25" customFormat="1">
      <c r="A284" s="4" t="s">
        <v>5424</v>
      </c>
      <c r="B284" s="21">
        <f t="shared" si="26"/>
        <v>282</v>
      </c>
      <c r="C284" s="13" t="str">
        <f t="shared" si="34"/>
        <v>C577_疾患開始日</v>
      </c>
      <c r="D284" s="13" t="s">
        <v>5044</v>
      </c>
      <c r="E284" s="8"/>
      <c r="F284" s="7" t="s">
        <v>4348</v>
      </c>
      <c r="G284" s="7" t="s">
        <v>25</v>
      </c>
      <c r="H284" s="58"/>
      <c r="I284" s="23"/>
      <c r="J284" s="24"/>
      <c r="M284" s="4"/>
      <c r="N284" s="76"/>
      <c r="O284" s="76"/>
      <c r="P284" s="76" t="str">
        <f t="shared" si="27"/>
        <v>,shikkan276_start_date</v>
      </c>
      <c r="Q284" s="76" t="str">
        <f t="shared" si="28"/>
        <v>DATE</v>
      </c>
      <c r="R284" s="76" t="str">
        <f t="shared" si="29"/>
        <v/>
      </c>
      <c r="S284" s="76" t="str">
        <f t="shared" si="30"/>
        <v/>
      </c>
      <c r="T284" s="76" t="str">
        <f t="shared" si="31"/>
        <v>-- C577_疾患開始日</v>
      </c>
      <c r="U284" s="4" t="str">
        <f t="shared" si="32"/>
        <v>,'shikkan276_start_date'</v>
      </c>
      <c r="V284" s="25" t="str">
        <f t="shared" si="33"/>
        <v>,'shikkan276_start_date' : 'C577_疾患開始日'</v>
      </c>
      <c r="X284" s="25">
        <v>1</v>
      </c>
      <c r="AA284" s="4"/>
      <c r="AB284" s="4"/>
      <c r="AC284" s="4"/>
      <c r="AD284" s="4"/>
      <c r="AE284" s="4"/>
      <c r="AF284" s="4"/>
      <c r="AG284" s="4"/>
      <c r="AH284" s="4"/>
      <c r="AI284" s="4"/>
      <c r="AJ284" s="76" t="str">
        <f>IF(E284="○",IF(COUNTA(E$13:E284)=1,"",",")&amp;D284,"")</f>
        <v/>
      </c>
      <c r="AK284" s="4"/>
      <c r="AL284" s="4"/>
      <c r="AM284" s="4"/>
      <c r="AN284" s="4"/>
      <c r="AO284" s="4"/>
      <c r="AP284" s="4"/>
      <c r="AQ284" s="4"/>
      <c r="AR284" s="4"/>
      <c r="AS284" s="76" t="str">
        <f>"COMMENT ON COLUMN "&amp;エンティティ一覧!$O$2&amp;"."&amp;D$8&amp;"."&amp;D284&amp;" IS '"&amp;C284&amp;"';"</f>
        <v>COMMENT ON COLUMN milscm_2023_009.main_diagnosis_start_date.shikkan276_start_date IS 'C577_疾患開始日';</v>
      </c>
    </row>
    <row r="285" spans="1:45" s="25" customFormat="1">
      <c r="A285" s="4" t="s">
        <v>5425</v>
      </c>
      <c r="B285" s="21">
        <f t="shared" si="26"/>
        <v>283</v>
      </c>
      <c r="C285" s="13" t="str">
        <f t="shared" si="34"/>
        <v>C578_疾患開始日</v>
      </c>
      <c r="D285" s="13" t="s">
        <v>5045</v>
      </c>
      <c r="E285" s="8"/>
      <c r="F285" s="7" t="s">
        <v>4348</v>
      </c>
      <c r="G285" s="7" t="s">
        <v>25</v>
      </c>
      <c r="H285" s="58"/>
      <c r="I285" s="23"/>
      <c r="J285" s="24"/>
      <c r="M285" s="4"/>
      <c r="N285" s="76"/>
      <c r="O285" s="76"/>
      <c r="P285" s="76" t="str">
        <f t="shared" si="27"/>
        <v>,shikkan277_start_date</v>
      </c>
      <c r="Q285" s="76" t="str">
        <f t="shared" si="28"/>
        <v>DATE</v>
      </c>
      <c r="R285" s="76" t="str">
        <f t="shared" si="29"/>
        <v/>
      </c>
      <c r="S285" s="76" t="str">
        <f t="shared" si="30"/>
        <v/>
      </c>
      <c r="T285" s="76" t="str">
        <f t="shared" si="31"/>
        <v>-- C578_疾患開始日</v>
      </c>
      <c r="U285" s="4" t="str">
        <f t="shared" si="32"/>
        <v>,'shikkan277_start_date'</v>
      </c>
      <c r="V285" s="25" t="str">
        <f t="shared" si="33"/>
        <v>,'shikkan277_start_date' : 'C578_疾患開始日'</v>
      </c>
      <c r="X285" s="25">
        <v>1</v>
      </c>
      <c r="AA285" s="4"/>
      <c r="AB285" s="4"/>
      <c r="AC285" s="4"/>
      <c r="AD285" s="4"/>
      <c r="AE285" s="4"/>
      <c r="AF285" s="4"/>
      <c r="AG285" s="4"/>
      <c r="AH285" s="4"/>
      <c r="AI285" s="4"/>
      <c r="AJ285" s="76" t="str">
        <f>IF(E285="○",IF(COUNTA(E$13:E285)=1,"",",")&amp;D285,"")</f>
        <v/>
      </c>
      <c r="AK285" s="4"/>
      <c r="AL285" s="4"/>
      <c r="AM285" s="4"/>
      <c r="AN285" s="4"/>
      <c r="AO285" s="4"/>
      <c r="AP285" s="4"/>
      <c r="AQ285" s="4"/>
      <c r="AR285" s="4"/>
      <c r="AS285" s="76" t="str">
        <f>"COMMENT ON COLUMN "&amp;エンティティ一覧!$O$2&amp;"."&amp;D$8&amp;"."&amp;D285&amp;" IS '"&amp;C285&amp;"';"</f>
        <v>COMMENT ON COLUMN milscm_2023_009.main_diagnosis_start_date.shikkan277_start_date IS 'C578_疾患開始日';</v>
      </c>
    </row>
    <row r="286" spans="1:45" s="25" customFormat="1">
      <c r="A286" s="4" t="s">
        <v>5426</v>
      </c>
      <c r="B286" s="21">
        <f t="shared" si="26"/>
        <v>284</v>
      </c>
      <c r="C286" s="13" t="str">
        <f t="shared" si="34"/>
        <v>C579_疾患開始日</v>
      </c>
      <c r="D286" s="13" t="s">
        <v>5046</v>
      </c>
      <c r="E286" s="8"/>
      <c r="F286" s="7" t="s">
        <v>4348</v>
      </c>
      <c r="G286" s="7" t="s">
        <v>25</v>
      </c>
      <c r="H286" s="58"/>
      <c r="I286" s="23"/>
      <c r="J286" s="24"/>
      <c r="M286" s="4"/>
      <c r="N286" s="76"/>
      <c r="O286" s="76"/>
      <c r="P286" s="76" t="str">
        <f t="shared" si="27"/>
        <v>,shikkan278_start_date</v>
      </c>
      <c r="Q286" s="76" t="str">
        <f t="shared" si="28"/>
        <v>DATE</v>
      </c>
      <c r="R286" s="76" t="str">
        <f t="shared" si="29"/>
        <v/>
      </c>
      <c r="S286" s="76" t="str">
        <f t="shared" si="30"/>
        <v/>
      </c>
      <c r="T286" s="76" t="str">
        <f t="shared" si="31"/>
        <v>-- C579_疾患開始日</v>
      </c>
      <c r="U286" s="4" t="str">
        <f t="shared" si="32"/>
        <v>,'shikkan278_start_date'</v>
      </c>
      <c r="V286" s="25" t="str">
        <f t="shared" si="33"/>
        <v>,'shikkan278_start_date' : 'C579_疾患開始日'</v>
      </c>
      <c r="X286" s="25">
        <v>1</v>
      </c>
      <c r="AA286" s="4"/>
      <c r="AB286" s="4"/>
      <c r="AC286" s="4"/>
      <c r="AD286" s="4"/>
      <c r="AE286" s="4"/>
      <c r="AF286" s="4"/>
      <c r="AG286" s="4"/>
      <c r="AH286" s="4"/>
      <c r="AI286" s="4"/>
      <c r="AJ286" s="76" t="str">
        <f>IF(E286="○",IF(COUNTA(E$13:E286)=1,"",",")&amp;D286,"")</f>
        <v/>
      </c>
      <c r="AK286" s="4"/>
      <c r="AL286" s="4"/>
      <c r="AM286" s="4"/>
      <c r="AN286" s="4"/>
      <c r="AO286" s="4"/>
      <c r="AP286" s="4"/>
      <c r="AQ286" s="4"/>
      <c r="AR286" s="4"/>
      <c r="AS286" s="76" t="str">
        <f>"COMMENT ON COLUMN "&amp;エンティティ一覧!$O$2&amp;"."&amp;D$8&amp;"."&amp;D286&amp;" IS '"&amp;C286&amp;"';"</f>
        <v>COMMENT ON COLUMN milscm_2023_009.main_diagnosis_start_date.shikkan278_start_date IS 'C579_疾患開始日';</v>
      </c>
    </row>
    <row r="287" spans="1:45" s="25" customFormat="1">
      <c r="A287" s="4" t="s">
        <v>5151</v>
      </c>
      <c r="B287" s="21">
        <f t="shared" si="26"/>
        <v>285</v>
      </c>
      <c r="C287" s="13" t="str">
        <f t="shared" si="34"/>
        <v>C58_疾患開始日</v>
      </c>
      <c r="D287" s="13" t="s">
        <v>5047</v>
      </c>
      <c r="E287" s="8"/>
      <c r="F287" s="7" t="s">
        <v>4348</v>
      </c>
      <c r="G287" s="7" t="s">
        <v>25</v>
      </c>
      <c r="H287" s="58"/>
      <c r="I287" s="23"/>
      <c r="J287" s="24"/>
      <c r="M287" s="4"/>
      <c r="N287" s="76"/>
      <c r="O287" s="76"/>
      <c r="P287" s="76" t="str">
        <f t="shared" si="27"/>
        <v>,shikkan279_start_date</v>
      </c>
      <c r="Q287" s="76" t="str">
        <f t="shared" si="28"/>
        <v>DATE</v>
      </c>
      <c r="R287" s="76" t="str">
        <f t="shared" si="29"/>
        <v/>
      </c>
      <c r="S287" s="76" t="str">
        <f t="shared" si="30"/>
        <v/>
      </c>
      <c r="T287" s="76" t="str">
        <f t="shared" si="31"/>
        <v>-- C58_疾患開始日</v>
      </c>
      <c r="U287" s="4" t="str">
        <f t="shared" si="32"/>
        <v>,'shikkan279_start_date'</v>
      </c>
      <c r="V287" s="25" t="str">
        <f t="shared" si="33"/>
        <v>,'shikkan279_start_date' : 'C58_疾患開始日'</v>
      </c>
      <c r="X287" s="25">
        <v>1</v>
      </c>
      <c r="AA287" s="4"/>
      <c r="AB287" s="4"/>
      <c r="AC287" s="4"/>
      <c r="AD287" s="4"/>
      <c r="AE287" s="4"/>
      <c r="AF287" s="4"/>
      <c r="AG287" s="4"/>
      <c r="AH287" s="4"/>
      <c r="AI287" s="4"/>
      <c r="AJ287" s="76" t="str">
        <f>IF(E287="○",IF(COUNTA(E$13:E287)=1,"",",")&amp;D287,"")</f>
        <v/>
      </c>
      <c r="AK287" s="4"/>
      <c r="AL287" s="4"/>
      <c r="AM287" s="4"/>
      <c r="AN287" s="4"/>
      <c r="AO287" s="4"/>
      <c r="AP287" s="4"/>
      <c r="AQ287" s="4"/>
      <c r="AR287" s="4"/>
      <c r="AS287" s="76" t="str">
        <f>"COMMENT ON COLUMN "&amp;エンティティ一覧!$O$2&amp;"."&amp;D$8&amp;"."&amp;D287&amp;" IS '"&amp;C287&amp;"';"</f>
        <v>COMMENT ON COLUMN milscm_2023_009.main_diagnosis_start_date.shikkan279_start_date IS 'C58_疾患開始日';</v>
      </c>
    </row>
    <row r="288" spans="1:45" s="25" customFormat="1">
      <c r="A288" s="4" t="s">
        <v>5427</v>
      </c>
      <c r="B288" s="21">
        <f t="shared" si="26"/>
        <v>286</v>
      </c>
      <c r="C288" s="13" t="str">
        <f t="shared" si="34"/>
        <v>C600_疾患開始日</v>
      </c>
      <c r="D288" s="13" t="s">
        <v>5048</v>
      </c>
      <c r="E288" s="8"/>
      <c r="F288" s="7" t="s">
        <v>4348</v>
      </c>
      <c r="G288" s="7" t="s">
        <v>25</v>
      </c>
      <c r="H288" s="58"/>
      <c r="I288" s="23"/>
      <c r="J288" s="24"/>
      <c r="M288" s="4"/>
      <c r="N288" s="76"/>
      <c r="O288" s="76"/>
      <c r="P288" s="76" t="str">
        <f t="shared" si="27"/>
        <v>,shikkan280_start_date</v>
      </c>
      <c r="Q288" s="76" t="str">
        <f t="shared" si="28"/>
        <v>DATE</v>
      </c>
      <c r="R288" s="76" t="str">
        <f t="shared" si="29"/>
        <v/>
      </c>
      <c r="S288" s="76" t="str">
        <f t="shared" si="30"/>
        <v/>
      </c>
      <c r="T288" s="76" t="str">
        <f t="shared" si="31"/>
        <v>-- C600_疾患開始日</v>
      </c>
      <c r="U288" s="4" t="str">
        <f t="shared" si="32"/>
        <v>,'shikkan280_start_date'</v>
      </c>
      <c r="V288" s="25" t="str">
        <f t="shared" si="33"/>
        <v>,'shikkan280_start_date' : 'C600_疾患開始日'</v>
      </c>
      <c r="X288" s="25">
        <v>1</v>
      </c>
      <c r="AA288" s="4"/>
      <c r="AB288" s="4"/>
      <c r="AC288" s="4"/>
      <c r="AD288" s="4"/>
      <c r="AE288" s="4"/>
      <c r="AF288" s="4"/>
      <c r="AG288" s="4"/>
      <c r="AH288" s="4"/>
      <c r="AI288" s="4"/>
      <c r="AJ288" s="76" t="str">
        <f>IF(E288="○",IF(COUNTA(E$13:E288)=1,"",",")&amp;D288,"")</f>
        <v/>
      </c>
      <c r="AK288" s="4"/>
      <c r="AL288" s="4"/>
      <c r="AM288" s="4"/>
      <c r="AN288" s="4"/>
      <c r="AO288" s="4"/>
      <c r="AP288" s="4"/>
      <c r="AQ288" s="4"/>
      <c r="AR288" s="4"/>
      <c r="AS288" s="76" t="str">
        <f>"COMMENT ON COLUMN "&amp;エンティティ一覧!$O$2&amp;"."&amp;D$8&amp;"."&amp;D288&amp;" IS '"&amp;C288&amp;"';"</f>
        <v>COMMENT ON COLUMN milscm_2023_009.main_diagnosis_start_date.shikkan280_start_date IS 'C600_疾患開始日';</v>
      </c>
    </row>
    <row r="289" spans="1:45" s="25" customFormat="1">
      <c r="A289" s="4" t="s">
        <v>5428</v>
      </c>
      <c r="B289" s="21">
        <f t="shared" si="26"/>
        <v>287</v>
      </c>
      <c r="C289" s="13" t="str">
        <f t="shared" si="34"/>
        <v>C601_疾患開始日</v>
      </c>
      <c r="D289" s="13" t="s">
        <v>5049</v>
      </c>
      <c r="E289" s="8"/>
      <c r="F289" s="7" t="s">
        <v>4348</v>
      </c>
      <c r="G289" s="7" t="s">
        <v>25</v>
      </c>
      <c r="H289" s="58"/>
      <c r="I289" s="23"/>
      <c r="J289" s="24"/>
      <c r="M289" s="4"/>
      <c r="N289" s="76"/>
      <c r="O289" s="76"/>
      <c r="P289" s="76" t="str">
        <f t="shared" si="27"/>
        <v>,shikkan281_start_date</v>
      </c>
      <c r="Q289" s="76" t="str">
        <f t="shared" si="28"/>
        <v>DATE</v>
      </c>
      <c r="R289" s="76" t="str">
        <f t="shared" si="29"/>
        <v/>
      </c>
      <c r="S289" s="76" t="str">
        <f t="shared" si="30"/>
        <v/>
      </c>
      <c r="T289" s="76" t="str">
        <f t="shared" si="31"/>
        <v>-- C601_疾患開始日</v>
      </c>
      <c r="U289" s="4" t="str">
        <f t="shared" si="32"/>
        <v>,'shikkan281_start_date'</v>
      </c>
      <c r="V289" s="25" t="str">
        <f t="shared" si="33"/>
        <v>,'shikkan281_start_date' : 'C601_疾患開始日'</v>
      </c>
      <c r="X289" s="25">
        <v>1</v>
      </c>
      <c r="AA289" s="4"/>
      <c r="AB289" s="4"/>
      <c r="AC289" s="4"/>
      <c r="AD289" s="4"/>
      <c r="AE289" s="4"/>
      <c r="AF289" s="4"/>
      <c r="AG289" s="4"/>
      <c r="AH289" s="4"/>
      <c r="AI289" s="4"/>
      <c r="AJ289" s="76" t="str">
        <f>IF(E289="○",IF(COUNTA(E$13:E289)=1,"",",")&amp;D289,"")</f>
        <v/>
      </c>
      <c r="AK289" s="4"/>
      <c r="AL289" s="4"/>
      <c r="AM289" s="4"/>
      <c r="AN289" s="4"/>
      <c r="AO289" s="4"/>
      <c r="AP289" s="4"/>
      <c r="AQ289" s="4"/>
      <c r="AR289" s="4"/>
      <c r="AS289" s="76" t="str">
        <f>"COMMENT ON COLUMN "&amp;エンティティ一覧!$O$2&amp;"."&amp;D$8&amp;"."&amp;D289&amp;" IS '"&amp;C289&amp;"';"</f>
        <v>COMMENT ON COLUMN milscm_2023_009.main_diagnosis_start_date.shikkan281_start_date IS 'C601_疾患開始日';</v>
      </c>
    </row>
    <row r="290" spans="1:45" s="25" customFormat="1">
      <c r="A290" s="4" t="s">
        <v>5429</v>
      </c>
      <c r="B290" s="21">
        <f t="shared" si="26"/>
        <v>288</v>
      </c>
      <c r="C290" s="13" t="str">
        <f t="shared" si="34"/>
        <v>C602_疾患開始日</v>
      </c>
      <c r="D290" s="13" t="s">
        <v>5050</v>
      </c>
      <c r="E290" s="8"/>
      <c r="F290" s="7" t="s">
        <v>4348</v>
      </c>
      <c r="G290" s="7" t="s">
        <v>25</v>
      </c>
      <c r="H290" s="58"/>
      <c r="I290" s="23"/>
      <c r="J290" s="24"/>
      <c r="M290" s="4"/>
      <c r="N290" s="76"/>
      <c r="O290" s="76"/>
      <c r="P290" s="76" t="str">
        <f t="shared" si="27"/>
        <v>,shikkan282_start_date</v>
      </c>
      <c r="Q290" s="76" t="str">
        <f t="shared" si="28"/>
        <v>DATE</v>
      </c>
      <c r="R290" s="76" t="str">
        <f t="shared" si="29"/>
        <v/>
      </c>
      <c r="S290" s="76" t="str">
        <f t="shared" si="30"/>
        <v/>
      </c>
      <c r="T290" s="76" t="str">
        <f t="shared" si="31"/>
        <v>-- C602_疾患開始日</v>
      </c>
      <c r="U290" s="4" t="str">
        <f t="shared" si="32"/>
        <v>,'shikkan282_start_date'</v>
      </c>
      <c r="V290" s="25" t="str">
        <f t="shared" si="33"/>
        <v>,'shikkan282_start_date' : 'C602_疾患開始日'</v>
      </c>
      <c r="X290" s="25">
        <v>1</v>
      </c>
      <c r="AA290" s="4"/>
      <c r="AB290" s="4"/>
      <c r="AC290" s="4"/>
      <c r="AD290" s="4"/>
      <c r="AE290" s="4"/>
      <c r="AF290" s="4"/>
      <c r="AG290" s="4"/>
      <c r="AH290" s="4"/>
      <c r="AI290" s="4"/>
      <c r="AJ290" s="76" t="str">
        <f>IF(E290="○",IF(COUNTA(E$13:E290)=1,"",",")&amp;D290,"")</f>
        <v/>
      </c>
      <c r="AK290" s="4"/>
      <c r="AL290" s="4"/>
      <c r="AM290" s="4"/>
      <c r="AN290" s="4"/>
      <c r="AO290" s="4"/>
      <c r="AP290" s="4"/>
      <c r="AQ290" s="4"/>
      <c r="AR290" s="4"/>
      <c r="AS290" s="76" t="str">
        <f>"COMMENT ON COLUMN "&amp;エンティティ一覧!$O$2&amp;"."&amp;D$8&amp;"."&amp;D290&amp;" IS '"&amp;C290&amp;"';"</f>
        <v>COMMENT ON COLUMN milscm_2023_009.main_diagnosis_start_date.shikkan282_start_date IS 'C602_疾患開始日';</v>
      </c>
    </row>
    <row r="291" spans="1:45" s="25" customFormat="1">
      <c r="A291" s="4" t="s">
        <v>5430</v>
      </c>
      <c r="B291" s="21">
        <f t="shared" si="26"/>
        <v>289</v>
      </c>
      <c r="C291" s="13" t="str">
        <f t="shared" si="34"/>
        <v>C608_疾患開始日</v>
      </c>
      <c r="D291" s="13" t="s">
        <v>5051</v>
      </c>
      <c r="E291" s="8"/>
      <c r="F291" s="7" t="s">
        <v>4348</v>
      </c>
      <c r="G291" s="7" t="s">
        <v>25</v>
      </c>
      <c r="H291" s="58"/>
      <c r="I291" s="23"/>
      <c r="J291" s="24"/>
      <c r="M291" s="4"/>
      <c r="N291" s="76"/>
      <c r="O291" s="76"/>
      <c r="P291" s="76" t="str">
        <f t="shared" si="27"/>
        <v>,shikkan283_start_date</v>
      </c>
      <c r="Q291" s="76" t="str">
        <f t="shared" si="28"/>
        <v>DATE</v>
      </c>
      <c r="R291" s="76" t="str">
        <f t="shared" si="29"/>
        <v/>
      </c>
      <c r="S291" s="76" t="str">
        <f t="shared" si="30"/>
        <v/>
      </c>
      <c r="T291" s="76" t="str">
        <f t="shared" si="31"/>
        <v>-- C608_疾患開始日</v>
      </c>
      <c r="U291" s="4" t="str">
        <f t="shared" si="32"/>
        <v>,'shikkan283_start_date'</v>
      </c>
      <c r="V291" s="25" t="str">
        <f t="shared" si="33"/>
        <v>,'shikkan283_start_date' : 'C608_疾患開始日'</v>
      </c>
      <c r="X291" s="25">
        <v>1</v>
      </c>
      <c r="AA291" s="4"/>
      <c r="AB291" s="4"/>
      <c r="AC291" s="4"/>
      <c r="AD291" s="4"/>
      <c r="AE291" s="4"/>
      <c r="AF291" s="4"/>
      <c r="AG291" s="4"/>
      <c r="AH291" s="4"/>
      <c r="AI291" s="4"/>
      <c r="AJ291" s="76" t="str">
        <f>IF(E291="○",IF(COUNTA(E$13:E291)=1,"",",")&amp;D291,"")</f>
        <v/>
      </c>
      <c r="AK291" s="4"/>
      <c r="AL291" s="4"/>
      <c r="AM291" s="4"/>
      <c r="AN291" s="4"/>
      <c r="AO291" s="4"/>
      <c r="AP291" s="4"/>
      <c r="AQ291" s="4"/>
      <c r="AR291" s="4"/>
      <c r="AS291" s="76" t="str">
        <f>"COMMENT ON COLUMN "&amp;エンティティ一覧!$O$2&amp;"."&amp;D$8&amp;"."&amp;D291&amp;" IS '"&amp;C291&amp;"';"</f>
        <v>COMMENT ON COLUMN milscm_2023_009.main_diagnosis_start_date.shikkan283_start_date IS 'C608_疾患開始日';</v>
      </c>
    </row>
    <row r="292" spans="1:45" s="25" customFormat="1">
      <c r="A292" s="4" t="s">
        <v>5431</v>
      </c>
      <c r="B292" s="21">
        <f t="shared" si="26"/>
        <v>290</v>
      </c>
      <c r="C292" s="13" t="str">
        <f t="shared" si="34"/>
        <v>C609_疾患開始日</v>
      </c>
      <c r="D292" s="13" t="s">
        <v>5052</v>
      </c>
      <c r="E292" s="8"/>
      <c r="F292" s="7" t="s">
        <v>4348</v>
      </c>
      <c r="G292" s="7" t="s">
        <v>25</v>
      </c>
      <c r="H292" s="58"/>
      <c r="I292" s="23"/>
      <c r="J292" s="24"/>
      <c r="M292" s="4"/>
      <c r="N292" s="76"/>
      <c r="O292" s="76"/>
      <c r="P292" s="76" t="str">
        <f t="shared" si="27"/>
        <v>,shikkan284_start_date</v>
      </c>
      <c r="Q292" s="76" t="str">
        <f t="shared" si="28"/>
        <v>DATE</v>
      </c>
      <c r="R292" s="76" t="str">
        <f t="shared" si="29"/>
        <v/>
      </c>
      <c r="S292" s="76" t="str">
        <f t="shared" si="30"/>
        <v/>
      </c>
      <c r="T292" s="76" t="str">
        <f t="shared" si="31"/>
        <v>-- C609_疾患開始日</v>
      </c>
      <c r="U292" s="4" t="str">
        <f t="shared" si="32"/>
        <v>,'shikkan284_start_date'</v>
      </c>
      <c r="V292" s="25" t="str">
        <f t="shared" si="33"/>
        <v>,'shikkan284_start_date' : 'C609_疾患開始日'</v>
      </c>
      <c r="X292" s="25">
        <v>1</v>
      </c>
      <c r="AA292" s="4"/>
      <c r="AB292" s="4"/>
      <c r="AC292" s="4"/>
      <c r="AD292" s="4"/>
      <c r="AE292" s="4"/>
      <c r="AF292" s="4"/>
      <c r="AG292" s="4"/>
      <c r="AH292" s="4"/>
      <c r="AI292" s="4"/>
      <c r="AJ292" s="76" t="str">
        <f>IF(E292="○",IF(COUNTA(E$13:E292)=1,"",",")&amp;D292,"")</f>
        <v/>
      </c>
      <c r="AK292" s="4"/>
      <c r="AL292" s="4"/>
      <c r="AM292" s="4"/>
      <c r="AN292" s="4"/>
      <c r="AO292" s="4"/>
      <c r="AP292" s="4"/>
      <c r="AQ292" s="4"/>
      <c r="AR292" s="4"/>
      <c r="AS292" s="76" t="str">
        <f>"COMMENT ON COLUMN "&amp;エンティティ一覧!$O$2&amp;"."&amp;D$8&amp;"."&amp;D292&amp;" IS '"&amp;C292&amp;"';"</f>
        <v>COMMENT ON COLUMN milscm_2023_009.main_diagnosis_start_date.shikkan284_start_date IS 'C609_疾患開始日';</v>
      </c>
    </row>
    <row r="293" spans="1:45" s="25" customFormat="1">
      <c r="A293" s="4" t="s">
        <v>5152</v>
      </c>
      <c r="B293" s="21">
        <f t="shared" si="26"/>
        <v>291</v>
      </c>
      <c r="C293" s="13" t="str">
        <f t="shared" si="34"/>
        <v>C61_疾患開始日</v>
      </c>
      <c r="D293" s="13" t="s">
        <v>5053</v>
      </c>
      <c r="E293" s="8"/>
      <c r="F293" s="7" t="s">
        <v>4348</v>
      </c>
      <c r="G293" s="7" t="s">
        <v>25</v>
      </c>
      <c r="H293" s="58"/>
      <c r="I293" s="23"/>
      <c r="J293" s="24"/>
      <c r="M293" s="4"/>
      <c r="N293" s="76"/>
      <c r="O293" s="76"/>
      <c r="P293" s="76" t="str">
        <f t="shared" si="27"/>
        <v>,shikkan285_start_date</v>
      </c>
      <c r="Q293" s="76" t="str">
        <f t="shared" si="28"/>
        <v>DATE</v>
      </c>
      <c r="R293" s="76" t="str">
        <f t="shared" si="29"/>
        <v/>
      </c>
      <c r="S293" s="76" t="str">
        <f t="shared" si="30"/>
        <v/>
      </c>
      <c r="T293" s="76" t="str">
        <f t="shared" si="31"/>
        <v>-- C61_疾患開始日</v>
      </c>
      <c r="U293" s="4" t="str">
        <f t="shared" si="32"/>
        <v>,'shikkan285_start_date'</v>
      </c>
      <c r="V293" s="25" t="str">
        <f t="shared" si="33"/>
        <v>,'shikkan285_start_date' : 'C61_疾患開始日'</v>
      </c>
      <c r="X293" s="25">
        <v>1</v>
      </c>
      <c r="AA293" s="4"/>
      <c r="AB293" s="4"/>
      <c r="AC293" s="4"/>
      <c r="AD293" s="4"/>
      <c r="AE293" s="4"/>
      <c r="AF293" s="4"/>
      <c r="AG293" s="4"/>
      <c r="AH293" s="4"/>
      <c r="AI293" s="4"/>
      <c r="AJ293" s="76" t="str">
        <f>IF(E293="○",IF(COUNTA(E$13:E293)=1,"",",")&amp;D293,"")</f>
        <v/>
      </c>
      <c r="AK293" s="4"/>
      <c r="AL293" s="4"/>
      <c r="AM293" s="4"/>
      <c r="AN293" s="4"/>
      <c r="AO293" s="4"/>
      <c r="AP293" s="4"/>
      <c r="AQ293" s="4"/>
      <c r="AR293" s="4"/>
      <c r="AS293" s="76" t="str">
        <f>"COMMENT ON COLUMN "&amp;エンティティ一覧!$O$2&amp;"."&amp;D$8&amp;"."&amp;D293&amp;" IS '"&amp;C293&amp;"';"</f>
        <v>COMMENT ON COLUMN milscm_2023_009.main_diagnosis_start_date.shikkan285_start_date IS 'C61_疾患開始日';</v>
      </c>
    </row>
    <row r="294" spans="1:45" s="25" customFormat="1">
      <c r="A294" s="4" t="s">
        <v>5432</v>
      </c>
      <c r="B294" s="21">
        <f t="shared" si="26"/>
        <v>292</v>
      </c>
      <c r="C294" s="13" t="str">
        <f t="shared" si="34"/>
        <v>C620_疾患開始日</v>
      </c>
      <c r="D294" s="13" t="s">
        <v>5054</v>
      </c>
      <c r="E294" s="8"/>
      <c r="F294" s="7" t="s">
        <v>4348</v>
      </c>
      <c r="G294" s="7" t="s">
        <v>25</v>
      </c>
      <c r="H294" s="58"/>
      <c r="I294" s="23"/>
      <c r="J294" s="24"/>
      <c r="M294" s="4"/>
      <c r="N294" s="76"/>
      <c r="O294" s="76"/>
      <c r="P294" s="76" t="str">
        <f t="shared" si="27"/>
        <v>,shikkan286_start_date</v>
      </c>
      <c r="Q294" s="76" t="str">
        <f t="shared" si="28"/>
        <v>DATE</v>
      </c>
      <c r="R294" s="76" t="str">
        <f t="shared" si="29"/>
        <v/>
      </c>
      <c r="S294" s="76" t="str">
        <f t="shared" si="30"/>
        <v/>
      </c>
      <c r="T294" s="76" t="str">
        <f t="shared" si="31"/>
        <v>-- C620_疾患開始日</v>
      </c>
      <c r="U294" s="4" t="str">
        <f t="shared" si="32"/>
        <v>,'shikkan286_start_date'</v>
      </c>
      <c r="V294" s="25" t="str">
        <f t="shared" si="33"/>
        <v>,'shikkan286_start_date' : 'C620_疾患開始日'</v>
      </c>
      <c r="X294" s="25">
        <v>1</v>
      </c>
      <c r="AA294" s="4"/>
      <c r="AB294" s="4"/>
      <c r="AC294" s="4"/>
      <c r="AD294" s="4"/>
      <c r="AE294" s="4"/>
      <c r="AF294" s="4"/>
      <c r="AG294" s="4"/>
      <c r="AH294" s="4"/>
      <c r="AI294" s="4"/>
      <c r="AJ294" s="76" t="str">
        <f>IF(E294="○",IF(COUNTA(E$13:E294)=1,"",",")&amp;D294,"")</f>
        <v/>
      </c>
      <c r="AK294" s="4"/>
      <c r="AL294" s="4"/>
      <c r="AM294" s="4"/>
      <c r="AN294" s="4"/>
      <c r="AO294" s="4"/>
      <c r="AP294" s="4"/>
      <c r="AQ294" s="4"/>
      <c r="AR294" s="4"/>
      <c r="AS294" s="76" t="str">
        <f>"COMMENT ON COLUMN "&amp;エンティティ一覧!$O$2&amp;"."&amp;D$8&amp;"."&amp;D294&amp;" IS '"&amp;C294&amp;"';"</f>
        <v>COMMENT ON COLUMN milscm_2023_009.main_diagnosis_start_date.shikkan286_start_date IS 'C620_疾患開始日';</v>
      </c>
    </row>
    <row r="295" spans="1:45" s="25" customFormat="1">
      <c r="A295" s="4" t="s">
        <v>5433</v>
      </c>
      <c r="B295" s="21">
        <f t="shared" si="26"/>
        <v>293</v>
      </c>
      <c r="C295" s="13" t="str">
        <f t="shared" si="34"/>
        <v>C621_疾患開始日</v>
      </c>
      <c r="D295" s="13" t="s">
        <v>5055</v>
      </c>
      <c r="E295" s="8"/>
      <c r="F295" s="7" t="s">
        <v>4348</v>
      </c>
      <c r="G295" s="7" t="s">
        <v>25</v>
      </c>
      <c r="H295" s="58"/>
      <c r="I295" s="23"/>
      <c r="J295" s="24"/>
      <c r="M295" s="4"/>
      <c r="N295" s="76"/>
      <c r="O295" s="76"/>
      <c r="P295" s="76" t="str">
        <f t="shared" si="27"/>
        <v>,shikkan287_start_date</v>
      </c>
      <c r="Q295" s="76" t="str">
        <f t="shared" si="28"/>
        <v>DATE</v>
      </c>
      <c r="R295" s="76" t="str">
        <f t="shared" si="29"/>
        <v/>
      </c>
      <c r="S295" s="76" t="str">
        <f t="shared" si="30"/>
        <v/>
      </c>
      <c r="T295" s="76" t="str">
        <f t="shared" si="31"/>
        <v>-- C621_疾患開始日</v>
      </c>
      <c r="U295" s="4" t="str">
        <f t="shared" si="32"/>
        <v>,'shikkan287_start_date'</v>
      </c>
      <c r="V295" s="25" t="str">
        <f t="shared" si="33"/>
        <v>,'shikkan287_start_date' : 'C621_疾患開始日'</v>
      </c>
      <c r="X295" s="25">
        <v>1</v>
      </c>
      <c r="AA295" s="4"/>
      <c r="AB295" s="4"/>
      <c r="AC295" s="4"/>
      <c r="AD295" s="4"/>
      <c r="AE295" s="4"/>
      <c r="AF295" s="4"/>
      <c r="AG295" s="4"/>
      <c r="AH295" s="4"/>
      <c r="AI295" s="4"/>
      <c r="AJ295" s="76" t="str">
        <f>IF(E295="○",IF(COUNTA(E$13:E295)=1,"",",")&amp;D295,"")</f>
        <v/>
      </c>
      <c r="AK295" s="4"/>
      <c r="AL295" s="4"/>
      <c r="AM295" s="4"/>
      <c r="AN295" s="4"/>
      <c r="AO295" s="4"/>
      <c r="AP295" s="4"/>
      <c r="AQ295" s="4"/>
      <c r="AR295" s="4"/>
      <c r="AS295" s="76" t="str">
        <f>"COMMENT ON COLUMN "&amp;エンティティ一覧!$O$2&amp;"."&amp;D$8&amp;"."&amp;D295&amp;" IS '"&amp;C295&amp;"';"</f>
        <v>COMMENT ON COLUMN milscm_2023_009.main_diagnosis_start_date.shikkan287_start_date IS 'C621_疾患開始日';</v>
      </c>
    </row>
    <row r="296" spans="1:45" s="25" customFormat="1">
      <c r="A296" s="4" t="s">
        <v>5434</v>
      </c>
      <c r="B296" s="21">
        <f t="shared" si="26"/>
        <v>294</v>
      </c>
      <c r="C296" s="13" t="str">
        <f t="shared" si="34"/>
        <v>C629_疾患開始日</v>
      </c>
      <c r="D296" s="13" t="s">
        <v>5056</v>
      </c>
      <c r="E296" s="8"/>
      <c r="F296" s="7" t="s">
        <v>4348</v>
      </c>
      <c r="G296" s="7" t="s">
        <v>25</v>
      </c>
      <c r="H296" s="58"/>
      <c r="I296" s="23"/>
      <c r="J296" s="24"/>
      <c r="M296" s="4"/>
      <c r="N296" s="76"/>
      <c r="O296" s="76"/>
      <c r="P296" s="76" t="str">
        <f t="shared" si="27"/>
        <v>,shikkan288_start_date</v>
      </c>
      <c r="Q296" s="76" t="str">
        <f t="shared" si="28"/>
        <v>DATE</v>
      </c>
      <c r="R296" s="76" t="str">
        <f t="shared" si="29"/>
        <v/>
      </c>
      <c r="S296" s="76" t="str">
        <f t="shared" si="30"/>
        <v/>
      </c>
      <c r="T296" s="76" t="str">
        <f t="shared" si="31"/>
        <v>-- C629_疾患開始日</v>
      </c>
      <c r="U296" s="4" t="str">
        <f t="shared" si="32"/>
        <v>,'shikkan288_start_date'</v>
      </c>
      <c r="V296" s="25" t="str">
        <f t="shared" si="33"/>
        <v>,'shikkan288_start_date' : 'C629_疾患開始日'</v>
      </c>
      <c r="X296" s="25">
        <v>1</v>
      </c>
      <c r="AA296" s="4"/>
      <c r="AB296" s="4"/>
      <c r="AC296" s="4"/>
      <c r="AD296" s="4"/>
      <c r="AE296" s="4"/>
      <c r="AF296" s="4"/>
      <c r="AG296" s="4"/>
      <c r="AH296" s="4"/>
      <c r="AI296" s="4"/>
      <c r="AJ296" s="76" t="str">
        <f>IF(E296="○",IF(COUNTA(E$13:E296)=1,"",",")&amp;D296,"")</f>
        <v/>
      </c>
      <c r="AK296" s="4"/>
      <c r="AL296" s="4"/>
      <c r="AM296" s="4"/>
      <c r="AN296" s="4"/>
      <c r="AO296" s="4"/>
      <c r="AP296" s="4"/>
      <c r="AQ296" s="4"/>
      <c r="AR296" s="4"/>
      <c r="AS296" s="76" t="str">
        <f>"COMMENT ON COLUMN "&amp;エンティティ一覧!$O$2&amp;"."&amp;D$8&amp;"."&amp;D296&amp;" IS '"&amp;C296&amp;"';"</f>
        <v>COMMENT ON COLUMN milscm_2023_009.main_diagnosis_start_date.shikkan288_start_date IS 'C629_疾患開始日';</v>
      </c>
    </row>
    <row r="297" spans="1:45" s="25" customFormat="1">
      <c r="A297" s="4" t="s">
        <v>5435</v>
      </c>
      <c r="B297" s="21">
        <f t="shared" si="26"/>
        <v>295</v>
      </c>
      <c r="C297" s="13" t="str">
        <f t="shared" si="34"/>
        <v>C630_疾患開始日</v>
      </c>
      <c r="D297" s="13" t="s">
        <v>5057</v>
      </c>
      <c r="E297" s="8"/>
      <c r="F297" s="7" t="s">
        <v>4348</v>
      </c>
      <c r="G297" s="7" t="s">
        <v>25</v>
      </c>
      <c r="H297" s="58"/>
      <c r="I297" s="23"/>
      <c r="J297" s="24"/>
      <c r="M297" s="4"/>
      <c r="N297" s="76"/>
      <c r="O297" s="76"/>
      <c r="P297" s="76" t="str">
        <f t="shared" si="27"/>
        <v>,shikkan289_start_date</v>
      </c>
      <c r="Q297" s="76" t="str">
        <f t="shared" si="28"/>
        <v>DATE</v>
      </c>
      <c r="R297" s="76" t="str">
        <f t="shared" si="29"/>
        <v/>
      </c>
      <c r="S297" s="76" t="str">
        <f t="shared" si="30"/>
        <v/>
      </c>
      <c r="T297" s="76" t="str">
        <f t="shared" si="31"/>
        <v>-- C630_疾患開始日</v>
      </c>
      <c r="U297" s="4" t="str">
        <f t="shared" si="32"/>
        <v>,'shikkan289_start_date'</v>
      </c>
      <c r="V297" s="25" t="str">
        <f t="shared" si="33"/>
        <v>,'shikkan289_start_date' : 'C630_疾患開始日'</v>
      </c>
      <c r="X297" s="25">
        <v>1</v>
      </c>
      <c r="AA297" s="4"/>
      <c r="AB297" s="4"/>
      <c r="AC297" s="4"/>
      <c r="AD297" s="4"/>
      <c r="AE297" s="4"/>
      <c r="AF297" s="4"/>
      <c r="AG297" s="4"/>
      <c r="AH297" s="4"/>
      <c r="AI297" s="4"/>
      <c r="AJ297" s="76" t="str">
        <f>IF(E297="○",IF(COUNTA(E$13:E297)=1,"",",")&amp;D297,"")</f>
        <v/>
      </c>
      <c r="AK297" s="4"/>
      <c r="AL297" s="4"/>
      <c r="AM297" s="4"/>
      <c r="AN297" s="4"/>
      <c r="AO297" s="4"/>
      <c r="AP297" s="4"/>
      <c r="AQ297" s="4"/>
      <c r="AR297" s="4"/>
      <c r="AS297" s="76" t="str">
        <f>"COMMENT ON COLUMN "&amp;エンティティ一覧!$O$2&amp;"."&amp;D$8&amp;"."&amp;D297&amp;" IS '"&amp;C297&amp;"';"</f>
        <v>COMMENT ON COLUMN milscm_2023_009.main_diagnosis_start_date.shikkan289_start_date IS 'C630_疾患開始日';</v>
      </c>
    </row>
    <row r="298" spans="1:45" s="25" customFormat="1">
      <c r="A298" s="4" t="s">
        <v>5436</v>
      </c>
      <c r="B298" s="21">
        <f t="shared" si="26"/>
        <v>296</v>
      </c>
      <c r="C298" s="13" t="str">
        <f t="shared" si="34"/>
        <v>C631_疾患開始日</v>
      </c>
      <c r="D298" s="13" t="s">
        <v>5950</v>
      </c>
      <c r="E298" s="8"/>
      <c r="F298" s="7" t="s">
        <v>4348</v>
      </c>
      <c r="G298" s="7" t="s">
        <v>25</v>
      </c>
      <c r="H298" s="58"/>
      <c r="I298" s="23"/>
      <c r="J298" s="24"/>
      <c r="M298" s="4"/>
      <c r="N298" s="76"/>
      <c r="O298" s="76"/>
      <c r="P298" s="76" t="str">
        <f t="shared" si="27"/>
        <v>,shikkan290_start_date</v>
      </c>
      <c r="Q298" s="76" t="str">
        <f t="shared" si="28"/>
        <v>DATE</v>
      </c>
      <c r="R298" s="76" t="str">
        <f t="shared" si="29"/>
        <v/>
      </c>
      <c r="S298" s="76" t="str">
        <f t="shared" si="30"/>
        <v/>
      </c>
      <c r="T298" s="76" t="str">
        <f t="shared" si="31"/>
        <v>-- C631_疾患開始日</v>
      </c>
      <c r="U298" s="4" t="str">
        <f t="shared" si="32"/>
        <v>,'shikkan290_start_date'</v>
      </c>
      <c r="V298" s="25" t="str">
        <f t="shared" si="33"/>
        <v>,'shikkan290_start_date' : 'C631_疾患開始日'</v>
      </c>
      <c r="X298" s="25">
        <v>1</v>
      </c>
      <c r="AA298" s="4"/>
      <c r="AB298" s="4"/>
      <c r="AC298" s="4"/>
      <c r="AD298" s="4"/>
      <c r="AE298" s="4"/>
      <c r="AF298" s="4"/>
      <c r="AG298" s="4"/>
      <c r="AH298" s="4"/>
      <c r="AI298" s="4"/>
      <c r="AJ298" s="76" t="str">
        <f>IF(E298="○",IF(COUNTA(E$13:E298)=1,"",",")&amp;D298,"")</f>
        <v/>
      </c>
      <c r="AK298" s="4"/>
      <c r="AL298" s="4"/>
      <c r="AM298" s="4"/>
      <c r="AN298" s="4"/>
      <c r="AO298" s="4"/>
      <c r="AP298" s="4"/>
      <c r="AQ298" s="4"/>
      <c r="AR298" s="4"/>
      <c r="AS298" s="76" t="str">
        <f>"COMMENT ON COLUMN "&amp;エンティティ一覧!$O$2&amp;"."&amp;D$8&amp;"."&amp;D298&amp;" IS '"&amp;C298&amp;"';"</f>
        <v>COMMENT ON COLUMN milscm_2023_009.main_diagnosis_start_date.shikkan290_start_date IS 'C631_疾患開始日';</v>
      </c>
    </row>
    <row r="299" spans="1:45" s="25" customFormat="1">
      <c r="A299" s="4" t="s">
        <v>5437</v>
      </c>
      <c r="B299" s="21">
        <f t="shared" si="26"/>
        <v>297</v>
      </c>
      <c r="C299" s="13" t="str">
        <f t="shared" si="34"/>
        <v>C632_疾患開始日</v>
      </c>
      <c r="D299" s="13" t="s">
        <v>5951</v>
      </c>
      <c r="E299" s="8"/>
      <c r="F299" s="7" t="s">
        <v>4348</v>
      </c>
      <c r="G299" s="7" t="s">
        <v>25</v>
      </c>
      <c r="H299" s="58"/>
      <c r="I299" s="23"/>
      <c r="J299" s="24"/>
      <c r="M299" s="4"/>
      <c r="N299" s="76"/>
      <c r="O299" s="76"/>
      <c r="P299" s="76" t="str">
        <f t="shared" si="27"/>
        <v>,shikkan291_start_date</v>
      </c>
      <c r="Q299" s="76" t="str">
        <f t="shared" si="28"/>
        <v>DATE</v>
      </c>
      <c r="R299" s="76" t="str">
        <f t="shared" si="29"/>
        <v/>
      </c>
      <c r="S299" s="76" t="str">
        <f t="shared" si="30"/>
        <v/>
      </c>
      <c r="T299" s="76" t="str">
        <f t="shared" si="31"/>
        <v>-- C632_疾患開始日</v>
      </c>
      <c r="U299" s="4" t="str">
        <f t="shared" si="32"/>
        <v>,'shikkan291_start_date'</v>
      </c>
      <c r="V299" s="25" t="str">
        <f t="shared" si="33"/>
        <v>,'shikkan291_start_date' : 'C632_疾患開始日'</v>
      </c>
      <c r="X299" s="25">
        <v>1</v>
      </c>
      <c r="AA299" s="4"/>
      <c r="AB299" s="4"/>
      <c r="AC299" s="4"/>
      <c r="AD299" s="4"/>
      <c r="AE299" s="4"/>
      <c r="AF299" s="4"/>
      <c r="AG299" s="4"/>
      <c r="AH299" s="4"/>
      <c r="AI299" s="4"/>
      <c r="AJ299" s="76" t="str">
        <f>IF(E299="○",IF(COUNTA(E$13:E299)=1,"",",")&amp;D299,"")</f>
        <v/>
      </c>
      <c r="AK299" s="4"/>
      <c r="AL299" s="4"/>
      <c r="AM299" s="4"/>
      <c r="AN299" s="4"/>
      <c r="AO299" s="4"/>
      <c r="AP299" s="4"/>
      <c r="AQ299" s="4"/>
      <c r="AR299" s="4"/>
      <c r="AS299" s="76" t="str">
        <f>"COMMENT ON COLUMN "&amp;エンティティ一覧!$O$2&amp;"."&amp;D$8&amp;"."&amp;D299&amp;" IS '"&amp;C299&amp;"';"</f>
        <v>COMMENT ON COLUMN milscm_2023_009.main_diagnosis_start_date.shikkan291_start_date IS 'C632_疾患開始日';</v>
      </c>
    </row>
    <row r="300" spans="1:45" s="25" customFormat="1">
      <c r="A300" s="4" t="s">
        <v>5438</v>
      </c>
      <c r="B300" s="21">
        <f t="shared" si="26"/>
        <v>298</v>
      </c>
      <c r="C300" s="13" t="str">
        <f t="shared" si="34"/>
        <v>C637_疾患開始日</v>
      </c>
      <c r="D300" s="13" t="s">
        <v>5952</v>
      </c>
      <c r="E300" s="8"/>
      <c r="F300" s="7" t="s">
        <v>4348</v>
      </c>
      <c r="G300" s="7" t="s">
        <v>25</v>
      </c>
      <c r="H300" s="58"/>
      <c r="I300" s="23"/>
      <c r="J300" s="24"/>
      <c r="M300" s="4"/>
      <c r="N300" s="76"/>
      <c r="O300" s="76"/>
      <c r="P300" s="76" t="str">
        <f t="shared" si="27"/>
        <v>,shikkan292_start_date</v>
      </c>
      <c r="Q300" s="76" t="str">
        <f t="shared" si="28"/>
        <v>DATE</v>
      </c>
      <c r="R300" s="76" t="str">
        <f t="shared" si="29"/>
        <v/>
      </c>
      <c r="S300" s="76" t="str">
        <f t="shared" si="30"/>
        <v/>
      </c>
      <c r="T300" s="76" t="str">
        <f t="shared" si="31"/>
        <v>-- C637_疾患開始日</v>
      </c>
      <c r="U300" s="4" t="str">
        <f t="shared" si="32"/>
        <v>,'shikkan292_start_date'</v>
      </c>
      <c r="V300" s="25" t="str">
        <f t="shared" si="33"/>
        <v>,'shikkan292_start_date' : 'C637_疾患開始日'</v>
      </c>
      <c r="X300" s="25">
        <v>1</v>
      </c>
      <c r="AA300" s="4"/>
      <c r="AB300" s="4"/>
      <c r="AC300" s="4"/>
      <c r="AD300" s="4"/>
      <c r="AE300" s="4"/>
      <c r="AF300" s="4"/>
      <c r="AG300" s="4"/>
      <c r="AH300" s="4"/>
      <c r="AI300" s="4"/>
      <c r="AJ300" s="76" t="str">
        <f>IF(E300="○",IF(COUNTA(E$13:E300)=1,"",",")&amp;D300,"")</f>
        <v/>
      </c>
      <c r="AK300" s="4"/>
      <c r="AL300" s="4"/>
      <c r="AM300" s="4"/>
      <c r="AN300" s="4"/>
      <c r="AO300" s="4"/>
      <c r="AP300" s="4"/>
      <c r="AQ300" s="4"/>
      <c r="AR300" s="4"/>
      <c r="AS300" s="76" t="str">
        <f>"COMMENT ON COLUMN "&amp;エンティティ一覧!$O$2&amp;"."&amp;D$8&amp;"."&amp;D300&amp;" IS '"&amp;C300&amp;"';"</f>
        <v>COMMENT ON COLUMN milscm_2023_009.main_diagnosis_start_date.shikkan292_start_date IS 'C637_疾患開始日';</v>
      </c>
    </row>
    <row r="301" spans="1:45" s="25" customFormat="1">
      <c r="A301" s="4" t="s">
        <v>5439</v>
      </c>
      <c r="B301" s="21">
        <f t="shared" si="26"/>
        <v>299</v>
      </c>
      <c r="C301" s="13" t="str">
        <f t="shared" si="34"/>
        <v>C638_疾患開始日</v>
      </c>
      <c r="D301" s="13" t="s">
        <v>5953</v>
      </c>
      <c r="E301" s="8"/>
      <c r="F301" s="7" t="s">
        <v>4348</v>
      </c>
      <c r="G301" s="7" t="s">
        <v>25</v>
      </c>
      <c r="H301" s="58"/>
      <c r="I301" s="23"/>
      <c r="J301" s="24"/>
      <c r="M301" s="4"/>
      <c r="N301" s="76"/>
      <c r="O301" s="76"/>
      <c r="P301" s="76" t="str">
        <f t="shared" si="27"/>
        <v>,shikkan293_start_date</v>
      </c>
      <c r="Q301" s="76" t="str">
        <f t="shared" si="28"/>
        <v>DATE</v>
      </c>
      <c r="R301" s="76" t="str">
        <f t="shared" si="29"/>
        <v/>
      </c>
      <c r="S301" s="76" t="str">
        <f t="shared" si="30"/>
        <v/>
      </c>
      <c r="T301" s="76" t="str">
        <f t="shared" si="31"/>
        <v>-- C638_疾患開始日</v>
      </c>
      <c r="U301" s="4" t="str">
        <f t="shared" si="32"/>
        <v>,'shikkan293_start_date'</v>
      </c>
      <c r="V301" s="25" t="str">
        <f t="shared" si="33"/>
        <v>,'shikkan293_start_date' : 'C638_疾患開始日'</v>
      </c>
      <c r="X301" s="25">
        <v>1</v>
      </c>
      <c r="AA301" s="4"/>
      <c r="AB301" s="4"/>
      <c r="AC301" s="4"/>
      <c r="AD301" s="4"/>
      <c r="AE301" s="4"/>
      <c r="AF301" s="4"/>
      <c r="AG301" s="4"/>
      <c r="AH301" s="4"/>
      <c r="AI301" s="4"/>
      <c r="AJ301" s="76" t="str">
        <f>IF(E301="○",IF(COUNTA(E$13:E301)=1,"",",")&amp;D301,"")</f>
        <v/>
      </c>
      <c r="AK301" s="4"/>
      <c r="AL301" s="4"/>
      <c r="AM301" s="4"/>
      <c r="AN301" s="4"/>
      <c r="AO301" s="4"/>
      <c r="AP301" s="4"/>
      <c r="AQ301" s="4"/>
      <c r="AR301" s="4"/>
      <c r="AS301" s="76" t="str">
        <f>"COMMENT ON COLUMN "&amp;エンティティ一覧!$O$2&amp;"."&amp;D$8&amp;"."&amp;D301&amp;" IS '"&amp;C301&amp;"';"</f>
        <v>COMMENT ON COLUMN milscm_2023_009.main_diagnosis_start_date.shikkan293_start_date IS 'C638_疾患開始日';</v>
      </c>
    </row>
    <row r="302" spans="1:45" s="25" customFormat="1">
      <c r="A302" s="4" t="s">
        <v>5440</v>
      </c>
      <c r="B302" s="21">
        <f t="shared" si="26"/>
        <v>300</v>
      </c>
      <c r="C302" s="13" t="str">
        <f t="shared" si="34"/>
        <v>C639_疾患開始日</v>
      </c>
      <c r="D302" s="13" t="s">
        <v>5954</v>
      </c>
      <c r="E302" s="8"/>
      <c r="F302" s="7" t="s">
        <v>4348</v>
      </c>
      <c r="G302" s="7" t="s">
        <v>25</v>
      </c>
      <c r="H302" s="58"/>
      <c r="I302" s="23"/>
      <c r="J302" s="24"/>
      <c r="M302" s="4"/>
      <c r="N302" s="76"/>
      <c r="O302" s="76"/>
      <c r="P302" s="76" t="str">
        <f t="shared" si="27"/>
        <v>,shikkan294_start_date</v>
      </c>
      <c r="Q302" s="76" t="str">
        <f t="shared" si="28"/>
        <v>DATE</v>
      </c>
      <c r="R302" s="76" t="str">
        <f t="shared" si="29"/>
        <v/>
      </c>
      <c r="S302" s="76" t="str">
        <f t="shared" si="30"/>
        <v/>
      </c>
      <c r="T302" s="76" t="str">
        <f t="shared" si="31"/>
        <v>-- C639_疾患開始日</v>
      </c>
      <c r="U302" s="4" t="str">
        <f t="shared" si="32"/>
        <v>,'shikkan294_start_date'</v>
      </c>
      <c r="V302" s="25" t="str">
        <f t="shared" si="33"/>
        <v>,'shikkan294_start_date' : 'C639_疾患開始日'</v>
      </c>
      <c r="X302" s="25">
        <v>1</v>
      </c>
      <c r="AA302" s="4"/>
      <c r="AB302" s="4"/>
      <c r="AC302" s="4"/>
      <c r="AD302" s="4"/>
      <c r="AE302" s="4"/>
      <c r="AF302" s="4"/>
      <c r="AG302" s="4"/>
      <c r="AH302" s="4"/>
      <c r="AI302" s="4"/>
      <c r="AJ302" s="76" t="str">
        <f>IF(E302="○",IF(COUNTA(E$13:E302)=1,"",",")&amp;D302,"")</f>
        <v/>
      </c>
      <c r="AK302" s="4"/>
      <c r="AL302" s="4"/>
      <c r="AM302" s="4"/>
      <c r="AN302" s="4"/>
      <c r="AO302" s="4"/>
      <c r="AP302" s="4"/>
      <c r="AQ302" s="4"/>
      <c r="AR302" s="4"/>
      <c r="AS302" s="76" t="str">
        <f>"COMMENT ON COLUMN "&amp;エンティティ一覧!$O$2&amp;"."&amp;D$8&amp;"."&amp;D302&amp;" IS '"&amp;C302&amp;"';"</f>
        <v>COMMENT ON COLUMN milscm_2023_009.main_diagnosis_start_date.shikkan294_start_date IS 'C639_疾患開始日';</v>
      </c>
    </row>
    <row r="303" spans="1:45" s="25" customFormat="1">
      <c r="A303" s="4" t="s">
        <v>5153</v>
      </c>
      <c r="B303" s="21">
        <f t="shared" si="26"/>
        <v>301</v>
      </c>
      <c r="C303" s="13" t="str">
        <f t="shared" si="34"/>
        <v>C64_疾患開始日</v>
      </c>
      <c r="D303" s="13" t="s">
        <v>5955</v>
      </c>
      <c r="E303" s="8"/>
      <c r="F303" s="7" t="s">
        <v>4348</v>
      </c>
      <c r="G303" s="7" t="s">
        <v>25</v>
      </c>
      <c r="H303" s="58"/>
      <c r="I303" s="23"/>
      <c r="J303" s="24"/>
      <c r="M303" s="4"/>
      <c r="N303" s="76"/>
      <c r="O303" s="76"/>
      <c r="P303" s="76" t="str">
        <f t="shared" si="27"/>
        <v>,shikkan295_start_date</v>
      </c>
      <c r="Q303" s="76" t="str">
        <f t="shared" si="28"/>
        <v>DATE</v>
      </c>
      <c r="R303" s="76" t="str">
        <f t="shared" si="29"/>
        <v/>
      </c>
      <c r="S303" s="76" t="str">
        <f t="shared" si="30"/>
        <v/>
      </c>
      <c r="T303" s="76" t="str">
        <f t="shared" si="31"/>
        <v>-- C64_疾患開始日</v>
      </c>
      <c r="U303" s="4" t="str">
        <f t="shared" si="32"/>
        <v>,'shikkan295_start_date'</v>
      </c>
      <c r="V303" s="25" t="str">
        <f t="shared" si="33"/>
        <v>,'shikkan295_start_date' : 'C64_疾患開始日'</v>
      </c>
      <c r="X303" s="25">
        <v>1</v>
      </c>
      <c r="AA303" s="4"/>
      <c r="AB303" s="4"/>
      <c r="AC303" s="4"/>
      <c r="AD303" s="4"/>
      <c r="AE303" s="4"/>
      <c r="AF303" s="4"/>
      <c r="AG303" s="4"/>
      <c r="AH303" s="4"/>
      <c r="AI303" s="4"/>
      <c r="AJ303" s="76" t="str">
        <f>IF(E303="○",IF(COUNTA(E$13:E303)=1,"",",")&amp;D303,"")</f>
        <v/>
      </c>
      <c r="AK303" s="4"/>
      <c r="AL303" s="4"/>
      <c r="AM303" s="4"/>
      <c r="AN303" s="4"/>
      <c r="AO303" s="4"/>
      <c r="AP303" s="4"/>
      <c r="AQ303" s="4"/>
      <c r="AR303" s="4"/>
      <c r="AS303" s="76" t="str">
        <f>"COMMENT ON COLUMN "&amp;エンティティ一覧!$O$2&amp;"."&amp;D$8&amp;"."&amp;D303&amp;" IS '"&amp;C303&amp;"';"</f>
        <v>COMMENT ON COLUMN milscm_2023_009.main_diagnosis_start_date.shikkan295_start_date IS 'C64_疾患開始日';</v>
      </c>
    </row>
    <row r="304" spans="1:45" s="25" customFormat="1">
      <c r="A304" s="4" t="s">
        <v>5154</v>
      </c>
      <c r="B304" s="21">
        <f t="shared" si="26"/>
        <v>302</v>
      </c>
      <c r="C304" s="13" t="str">
        <f t="shared" si="34"/>
        <v>C65_疾患開始日</v>
      </c>
      <c r="D304" s="13" t="s">
        <v>5956</v>
      </c>
      <c r="E304" s="8"/>
      <c r="F304" s="7" t="s">
        <v>4348</v>
      </c>
      <c r="G304" s="7" t="s">
        <v>25</v>
      </c>
      <c r="H304" s="58"/>
      <c r="I304" s="23"/>
      <c r="J304" s="24"/>
      <c r="M304" s="4"/>
      <c r="N304" s="76"/>
      <c r="O304" s="76"/>
      <c r="P304" s="76" t="str">
        <f t="shared" si="27"/>
        <v>,shikkan296_start_date</v>
      </c>
      <c r="Q304" s="76" t="str">
        <f t="shared" si="28"/>
        <v>DATE</v>
      </c>
      <c r="R304" s="76" t="str">
        <f t="shared" si="29"/>
        <v/>
      </c>
      <c r="S304" s="76" t="str">
        <f t="shared" si="30"/>
        <v/>
      </c>
      <c r="T304" s="76" t="str">
        <f t="shared" si="31"/>
        <v>-- C65_疾患開始日</v>
      </c>
      <c r="U304" s="4" t="str">
        <f t="shared" si="32"/>
        <v>,'shikkan296_start_date'</v>
      </c>
      <c r="V304" s="25" t="str">
        <f t="shared" si="33"/>
        <v>,'shikkan296_start_date' : 'C65_疾患開始日'</v>
      </c>
      <c r="X304" s="25">
        <v>1</v>
      </c>
      <c r="AA304" s="4"/>
      <c r="AB304" s="4"/>
      <c r="AC304" s="4"/>
      <c r="AD304" s="4"/>
      <c r="AE304" s="4"/>
      <c r="AF304" s="4"/>
      <c r="AG304" s="4"/>
      <c r="AH304" s="4"/>
      <c r="AI304" s="4"/>
      <c r="AJ304" s="76" t="str">
        <f>IF(E304="○",IF(COUNTA(E$13:E304)=1,"",",")&amp;D304,"")</f>
        <v/>
      </c>
      <c r="AK304" s="4"/>
      <c r="AL304" s="4"/>
      <c r="AM304" s="4"/>
      <c r="AN304" s="4"/>
      <c r="AO304" s="4"/>
      <c r="AP304" s="4"/>
      <c r="AQ304" s="4"/>
      <c r="AR304" s="4"/>
      <c r="AS304" s="76" t="str">
        <f>"COMMENT ON COLUMN "&amp;エンティティ一覧!$O$2&amp;"."&amp;D$8&amp;"."&amp;D304&amp;" IS '"&amp;C304&amp;"';"</f>
        <v>COMMENT ON COLUMN milscm_2023_009.main_diagnosis_start_date.shikkan296_start_date IS 'C65_疾患開始日';</v>
      </c>
    </row>
    <row r="305" spans="1:45" s="25" customFormat="1">
      <c r="A305" s="4" t="s">
        <v>5155</v>
      </c>
      <c r="B305" s="21">
        <f t="shared" si="26"/>
        <v>303</v>
      </c>
      <c r="C305" s="13" t="str">
        <f t="shared" si="34"/>
        <v>C66_疾患開始日</v>
      </c>
      <c r="D305" s="13" t="s">
        <v>5957</v>
      </c>
      <c r="E305" s="8"/>
      <c r="F305" s="7" t="s">
        <v>4348</v>
      </c>
      <c r="G305" s="7" t="s">
        <v>25</v>
      </c>
      <c r="H305" s="58"/>
      <c r="I305" s="23"/>
      <c r="J305" s="24"/>
      <c r="M305" s="4"/>
      <c r="N305" s="76"/>
      <c r="O305" s="76"/>
      <c r="P305" s="76" t="str">
        <f t="shared" si="27"/>
        <v>,shikkan297_start_date</v>
      </c>
      <c r="Q305" s="76" t="str">
        <f t="shared" si="28"/>
        <v>DATE</v>
      </c>
      <c r="R305" s="76" t="str">
        <f t="shared" si="29"/>
        <v/>
      </c>
      <c r="S305" s="76" t="str">
        <f t="shared" si="30"/>
        <v/>
      </c>
      <c r="T305" s="76" t="str">
        <f t="shared" si="31"/>
        <v>-- C66_疾患開始日</v>
      </c>
      <c r="U305" s="4" t="str">
        <f t="shared" si="32"/>
        <v>,'shikkan297_start_date'</v>
      </c>
      <c r="V305" s="25" t="str">
        <f t="shared" si="33"/>
        <v>,'shikkan297_start_date' : 'C66_疾患開始日'</v>
      </c>
      <c r="X305" s="25">
        <v>1</v>
      </c>
      <c r="AA305" s="4"/>
      <c r="AB305" s="4"/>
      <c r="AC305" s="4"/>
      <c r="AD305" s="4"/>
      <c r="AE305" s="4"/>
      <c r="AF305" s="4"/>
      <c r="AG305" s="4"/>
      <c r="AH305" s="4"/>
      <c r="AI305" s="4"/>
      <c r="AJ305" s="76" t="str">
        <f>IF(E305="○",IF(COUNTA(E$13:E305)=1,"",",")&amp;D305,"")</f>
        <v/>
      </c>
      <c r="AK305" s="4"/>
      <c r="AL305" s="4"/>
      <c r="AM305" s="4"/>
      <c r="AN305" s="4"/>
      <c r="AO305" s="4"/>
      <c r="AP305" s="4"/>
      <c r="AQ305" s="4"/>
      <c r="AR305" s="4"/>
      <c r="AS305" s="76" t="str">
        <f>"COMMENT ON COLUMN "&amp;エンティティ一覧!$O$2&amp;"."&amp;D$8&amp;"."&amp;D305&amp;" IS '"&amp;C305&amp;"';"</f>
        <v>COMMENT ON COLUMN milscm_2023_009.main_diagnosis_start_date.shikkan297_start_date IS 'C66_疾患開始日';</v>
      </c>
    </row>
    <row r="306" spans="1:45" s="25" customFormat="1">
      <c r="A306" s="4" t="s">
        <v>5441</v>
      </c>
      <c r="B306" s="21">
        <f t="shared" si="26"/>
        <v>304</v>
      </c>
      <c r="C306" s="13" t="str">
        <f t="shared" si="34"/>
        <v>C670_疾患開始日</v>
      </c>
      <c r="D306" s="13" t="s">
        <v>5958</v>
      </c>
      <c r="E306" s="8"/>
      <c r="F306" s="7" t="s">
        <v>4348</v>
      </c>
      <c r="G306" s="7" t="s">
        <v>25</v>
      </c>
      <c r="H306" s="58"/>
      <c r="I306" s="23"/>
      <c r="J306" s="24"/>
      <c r="M306" s="4"/>
      <c r="N306" s="76"/>
      <c r="O306" s="76"/>
      <c r="P306" s="76" t="str">
        <f t="shared" si="27"/>
        <v>,shikkan298_start_date</v>
      </c>
      <c r="Q306" s="76" t="str">
        <f t="shared" si="28"/>
        <v>DATE</v>
      </c>
      <c r="R306" s="76" t="str">
        <f t="shared" si="29"/>
        <v/>
      </c>
      <c r="S306" s="76" t="str">
        <f t="shared" si="30"/>
        <v/>
      </c>
      <c r="T306" s="76" t="str">
        <f t="shared" si="31"/>
        <v>-- C670_疾患開始日</v>
      </c>
      <c r="U306" s="4" t="str">
        <f t="shared" si="32"/>
        <v>,'shikkan298_start_date'</v>
      </c>
      <c r="V306" s="25" t="str">
        <f t="shared" si="33"/>
        <v>,'shikkan298_start_date' : 'C670_疾患開始日'</v>
      </c>
      <c r="X306" s="25">
        <v>1</v>
      </c>
      <c r="AA306" s="4"/>
      <c r="AB306" s="4"/>
      <c r="AC306" s="4"/>
      <c r="AD306" s="4"/>
      <c r="AE306" s="4"/>
      <c r="AF306" s="4"/>
      <c r="AG306" s="4"/>
      <c r="AH306" s="4"/>
      <c r="AI306" s="4"/>
      <c r="AJ306" s="76" t="str">
        <f>IF(E306="○",IF(COUNTA(E$13:E306)=1,"",",")&amp;D306,"")</f>
        <v/>
      </c>
      <c r="AK306" s="4"/>
      <c r="AL306" s="4"/>
      <c r="AM306" s="4"/>
      <c r="AN306" s="4"/>
      <c r="AO306" s="4"/>
      <c r="AP306" s="4"/>
      <c r="AQ306" s="4"/>
      <c r="AR306" s="4"/>
      <c r="AS306" s="76" t="str">
        <f>"COMMENT ON COLUMN "&amp;エンティティ一覧!$O$2&amp;"."&amp;D$8&amp;"."&amp;D306&amp;" IS '"&amp;C306&amp;"';"</f>
        <v>COMMENT ON COLUMN milscm_2023_009.main_diagnosis_start_date.shikkan298_start_date IS 'C670_疾患開始日';</v>
      </c>
    </row>
    <row r="307" spans="1:45" s="25" customFormat="1">
      <c r="A307" s="4" t="s">
        <v>5442</v>
      </c>
      <c r="B307" s="21">
        <f t="shared" si="26"/>
        <v>305</v>
      </c>
      <c r="C307" s="13" t="str">
        <f t="shared" si="34"/>
        <v>C671_疾患開始日</v>
      </c>
      <c r="D307" s="13" t="s">
        <v>5959</v>
      </c>
      <c r="E307" s="8"/>
      <c r="F307" s="7" t="s">
        <v>4348</v>
      </c>
      <c r="G307" s="7" t="s">
        <v>25</v>
      </c>
      <c r="H307" s="58"/>
      <c r="I307" s="23"/>
      <c r="J307" s="24"/>
      <c r="M307" s="4"/>
      <c r="N307" s="76"/>
      <c r="O307" s="76"/>
      <c r="P307" s="76" t="str">
        <f t="shared" si="27"/>
        <v>,shikkan299_start_date</v>
      </c>
      <c r="Q307" s="76" t="str">
        <f t="shared" si="28"/>
        <v>DATE</v>
      </c>
      <c r="R307" s="76" t="str">
        <f t="shared" si="29"/>
        <v/>
      </c>
      <c r="S307" s="76" t="str">
        <f t="shared" si="30"/>
        <v/>
      </c>
      <c r="T307" s="76" t="str">
        <f t="shared" si="31"/>
        <v>-- C671_疾患開始日</v>
      </c>
      <c r="U307" s="4" t="str">
        <f t="shared" si="32"/>
        <v>,'shikkan299_start_date'</v>
      </c>
      <c r="V307" s="25" t="str">
        <f t="shared" si="33"/>
        <v>,'shikkan299_start_date' : 'C671_疾患開始日'</v>
      </c>
      <c r="X307" s="25">
        <v>1</v>
      </c>
      <c r="AA307" s="4"/>
      <c r="AB307" s="4"/>
      <c r="AC307" s="4"/>
      <c r="AD307" s="4"/>
      <c r="AE307" s="4"/>
      <c r="AF307" s="4"/>
      <c r="AG307" s="4"/>
      <c r="AH307" s="4"/>
      <c r="AI307" s="4"/>
      <c r="AJ307" s="76" t="str">
        <f>IF(E307="○",IF(COUNTA(E$13:E307)=1,"",",")&amp;D307,"")</f>
        <v/>
      </c>
      <c r="AK307" s="4"/>
      <c r="AL307" s="4"/>
      <c r="AM307" s="4"/>
      <c r="AN307" s="4"/>
      <c r="AO307" s="4"/>
      <c r="AP307" s="4"/>
      <c r="AQ307" s="4"/>
      <c r="AR307" s="4"/>
      <c r="AS307" s="76" t="str">
        <f>"COMMENT ON COLUMN "&amp;エンティティ一覧!$O$2&amp;"."&amp;D$8&amp;"."&amp;D307&amp;" IS '"&amp;C307&amp;"';"</f>
        <v>COMMENT ON COLUMN milscm_2023_009.main_diagnosis_start_date.shikkan299_start_date IS 'C671_疾患開始日';</v>
      </c>
    </row>
    <row r="308" spans="1:45" s="25" customFormat="1">
      <c r="A308" s="4" t="s">
        <v>5443</v>
      </c>
      <c r="B308" s="21">
        <f t="shared" si="26"/>
        <v>306</v>
      </c>
      <c r="C308" s="13" t="str">
        <f t="shared" si="34"/>
        <v>C672_疾患開始日</v>
      </c>
      <c r="D308" s="13" t="s">
        <v>5960</v>
      </c>
      <c r="E308" s="8"/>
      <c r="F308" s="7" t="s">
        <v>4348</v>
      </c>
      <c r="G308" s="7" t="s">
        <v>25</v>
      </c>
      <c r="H308" s="58"/>
      <c r="I308" s="23"/>
      <c r="J308" s="24"/>
      <c r="M308" s="4"/>
      <c r="N308" s="76"/>
      <c r="O308" s="76"/>
      <c r="P308" s="76" t="str">
        <f t="shared" si="27"/>
        <v>,shikkan300_start_date</v>
      </c>
      <c r="Q308" s="76" t="str">
        <f t="shared" si="28"/>
        <v>DATE</v>
      </c>
      <c r="R308" s="76" t="str">
        <f t="shared" si="29"/>
        <v/>
      </c>
      <c r="S308" s="76" t="str">
        <f t="shared" si="30"/>
        <v/>
      </c>
      <c r="T308" s="76" t="str">
        <f t="shared" si="31"/>
        <v>-- C672_疾患開始日</v>
      </c>
      <c r="U308" s="4" t="str">
        <f t="shared" si="32"/>
        <v>,'shikkan300_start_date'</v>
      </c>
      <c r="V308" s="25" t="str">
        <f t="shared" si="33"/>
        <v>,'shikkan300_start_date' : 'C672_疾患開始日'</v>
      </c>
      <c r="X308" s="25">
        <v>1</v>
      </c>
      <c r="AA308" s="4"/>
      <c r="AB308" s="4"/>
      <c r="AC308" s="4"/>
      <c r="AD308" s="4"/>
      <c r="AE308" s="4"/>
      <c r="AF308" s="4"/>
      <c r="AG308" s="4"/>
      <c r="AH308" s="4"/>
      <c r="AI308" s="4"/>
      <c r="AJ308" s="76" t="str">
        <f>IF(E308="○",IF(COUNTA(E$13:E308)=1,"",",")&amp;D308,"")</f>
        <v/>
      </c>
      <c r="AK308" s="4"/>
      <c r="AL308" s="4"/>
      <c r="AM308" s="4"/>
      <c r="AN308" s="4"/>
      <c r="AO308" s="4"/>
      <c r="AP308" s="4"/>
      <c r="AQ308" s="4"/>
      <c r="AR308" s="4"/>
      <c r="AS308" s="76" t="str">
        <f>"COMMENT ON COLUMN "&amp;エンティティ一覧!$O$2&amp;"."&amp;D$8&amp;"."&amp;D308&amp;" IS '"&amp;C308&amp;"';"</f>
        <v>COMMENT ON COLUMN milscm_2023_009.main_diagnosis_start_date.shikkan300_start_date IS 'C672_疾患開始日';</v>
      </c>
    </row>
    <row r="309" spans="1:45" s="25" customFormat="1">
      <c r="A309" s="4" t="s">
        <v>5444</v>
      </c>
      <c r="B309" s="21">
        <f t="shared" si="26"/>
        <v>307</v>
      </c>
      <c r="C309" s="13" t="str">
        <f t="shared" si="34"/>
        <v>C673_疾患開始日</v>
      </c>
      <c r="D309" s="13" t="s">
        <v>5961</v>
      </c>
      <c r="E309" s="8"/>
      <c r="F309" s="7" t="s">
        <v>4348</v>
      </c>
      <c r="G309" s="7" t="s">
        <v>25</v>
      </c>
      <c r="H309" s="58"/>
      <c r="I309" s="23"/>
      <c r="J309" s="24"/>
      <c r="M309" s="4"/>
      <c r="N309" s="76"/>
      <c r="O309" s="76"/>
      <c r="P309" s="76" t="str">
        <f t="shared" si="27"/>
        <v>,shikkan301_start_date</v>
      </c>
      <c r="Q309" s="76" t="str">
        <f t="shared" si="28"/>
        <v>DATE</v>
      </c>
      <c r="R309" s="76" t="str">
        <f t="shared" si="29"/>
        <v/>
      </c>
      <c r="S309" s="76" t="str">
        <f t="shared" si="30"/>
        <v/>
      </c>
      <c r="T309" s="76" t="str">
        <f t="shared" si="31"/>
        <v>-- C673_疾患開始日</v>
      </c>
      <c r="U309" s="4" t="str">
        <f t="shared" si="32"/>
        <v>,'shikkan301_start_date'</v>
      </c>
      <c r="V309" s="25" t="str">
        <f t="shared" si="33"/>
        <v>,'shikkan301_start_date' : 'C673_疾患開始日'</v>
      </c>
      <c r="X309" s="25">
        <v>1</v>
      </c>
      <c r="AA309" s="4"/>
      <c r="AB309" s="4"/>
      <c r="AC309" s="4"/>
      <c r="AD309" s="4"/>
      <c r="AE309" s="4"/>
      <c r="AF309" s="4"/>
      <c r="AG309" s="4"/>
      <c r="AH309" s="4"/>
      <c r="AI309" s="4"/>
      <c r="AJ309" s="76" t="str">
        <f>IF(E309="○",IF(COUNTA(E$13:E309)=1,"",",")&amp;D309,"")</f>
        <v/>
      </c>
      <c r="AK309" s="4"/>
      <c r="AL309" s="4"/>
      <c r="AM309" s="4"/>
      <c r="AN309" s="4"/>
      <c r="AO309" s="4"/>
      <c r="AP309" s="4"/>
      <c r="AQ309" s="4"/>
      <c r="AR309" s="4"/>
      <c r="AS309" s="76" t="str">
        <f>"COMMENT ON COLUMN "&amp;エンティティ一覧!$O$2&amp;"."&amp;D$8&amp;"."&amp;D309&amp;" IS '"&amp;C309&amp;"';"</f>
        <v>COMMENT ON COLUMN milscm_2023_009.main_diagnosis_start_date.shikkan301_start_date IS 'C673_疾患開始日';</v>
      </c>
    </row>
    <row r="310" spans="1:45" s="25" customFormat="1">
      <c r="A310" s="4" t="s">
        <v>5445</v>
      </c>
      <c r="B310" s="21">
        <f t="shared" si="26"/>
        <v>308</v>
      </c>
      <c r="C310" s="13" t="str">
        <f t="shared" si="34"/>
        <v>C674_疾患開始日</v>
      </c>
      <c r="D310" s="13" t="s">
        <v>5962</v>
      </c>
      <c r="E310" s="8"/>
      <c r="F310" s="7" t="s">
        <v>4348</v>
      </c>
      <c r="G310" s="7" t="s">
        <v>25</v>
      </c>
      <c r="H310" s="58"/>
      <c r="I310" s="23"/>
      <c r="J310" s="24"/>
      <c r="M310" s="4"/>
      <c r="N310" s="76"/>
      <c r="O310" s="76"/>
      <c r="P310" s="76" t="str">
        <f t="shared" si="27"/>
        <v>,shikkan302_start_date</v>
      </c>
      <c r="Q310" s="76" t="str">
        <f t="shared" si="28"/>
        <v>DATE</v>
      </c>
      <c r="R310" s="76" t="str">
        <f t="shared" si="29"/>
        <v/>
      </c>
      <c r="S310" s="76" t="str">
        <f t="shared" si="30"/>
        <v/>
      </c>
      <c r="T310" s="76" t="str">
        <f t="shared" si="31"/>
        <v>-- C674_疾患開始日</v>
      </c>
      <c r="U310" s="4" t="str">
        <f t="shared" si="32"/>
        <v>,'shikkan302_start_date'</v>
      </c>
      <c r="V310" s="25" t="str">
        <f t="shared" si="33"/>
        <v>,'shikkan302_start_date' : 'C674_疾患開始日'</v>
      </c>
      <c r="X310" s="25">
        <v>1</v>
      </c>
      <c r="AA310" s="4"/>
      <c r="AB310" s="4"/>
      <c r="AC310" s="4"/>
      <c r="AD310" s="4"/>
      <c r="AE310" s="4"/>
      <c r="AF310" s="4"/>
      <c r="AG310" s="4"/>
      <c r="AH310" s="4"/>
      <c r="AI310" s="4"/>
      <c r="AJ310" s="76" t="str">
        <f>IF(E310="○",IF(COUNTA(E$13:E310)=1,"",",")&amp;D310,"")</f>
        <v/>
      </c>
      <c r="AK310" s="4"/>
      <c r="AL310" s="4"/>
      <c r="AM310" s="4"/>
      <c r="AN310" s="4"/>
      <c r="AO310" s="4"/>
      <c r="AP310" s="4"/>
      <c r="AQ310" s="4"/>
      <c r="AR310" s="4"/>
      <c r="AS310" s="76" t="str">
        <f>"COMMENT ON COLUMN "&amp;エンティティ一覧!$O$2&amp;"."&amp;D$8&amp;"."&amp;D310&amp;" IS '"&amp;C310&amp;"';"</f>
        <v>COMMENT ON COLUMN milscm_2023_009.main_diagnosis_start_date.shikkan302_start_date IS 'C674_疾患開始日';</v>
      </c>
    </row>
    <row r="311" spans="1:45" s="25" customFormat="1">
      <c r="A311" s="4" t="s">
        <v>5446</v>
      </c>
      <c r="B311" s="21">
        <f t="shared" si="26"/>
        <v>309</v>
      </c>
      <c r="C311" s="13" t="str">
        <f t="shared" si="34"/>
        <v>C675_疾患開始日</v>
      </c>
      <c r="D311" s="13" t="s">
        <v>5963</v>
      </c>
      <c r="E311" s="8"/>
      <c r="F311" s="7" t="s">
        <v>4348</v>
      </c>
      <c r="G311" s="7" t="s">
        <v>25</v>
      </c>
      <c r="H311" s="58"/>
      <c r="I311" s="23"/>
      <c r="J311" s="24"/>
      <c r="M311" s="4"/>
      <c r="N311" s="76"/>
      <c r="O311" s="76"/>
      <c r="P311" s="76" t="str">
        <f t="shared" si="27"/>
        <v>,shikkan303_start_date</v>
      </c>
      <c r="Q311" s="76" t="str">
        <f t="shared" si="28"/>
        <v>DATE</v>
      </c>
      <c r="R311" s="76" t="str">
        <f t="shared" si="29"/>
        <v/>
      </c>
      <c r="S311" s="76" t="str">
        <f t="shared" si="30"/>
        <v/>
      </c>
      <c r="T311" s="76" t="str">
        <f t="shared" si="31"/>
        <v>-- C675_疾患開始日</v>
      </c>
      <c r="U311" s="4" t="str">
        <f t="shared" si="32"/>
        <v>,'shikkan303_start_date'</v>
      </c>
      <c r="V311" s="25" t="str">
        <f t="shared" si="33"/>
        <v>,'shikkan303_start_date' : 'C675_疾患開始日'</v>
      </c>
      <c r="X311" s="25">
        <v>1</v>
      </c>
      <c r="AA311" s="4"/>
      <c r="AB311" s="4"/>
      <c r="AC311" s="4"/>
      <c r="AD311" s="4"/>
      <c r="AE311" s="4"/>
      <c r="AF311" s="4"/>
      <c r="AG311" s="4"/>
      <c r="AH311" s="4"/>
      <c r="AI311" s="4"/>
      <c r="AJ311" s="76" t="str">
        <f>IF(E311="○",IF(COUNTA(E$13:E311)=1,"",",")&amp;D311,"")</f>
        <v/>
      </c>
      <c r="AK311" s="4"/>
      <c r="AL311" s="4"/>
      <c r="AM311" s="4"/>
      <c r="AN311" s="4"/>
      <c r="AO311" s="4"/>
      <c r="AP311" s="4"/>
      <c r="AQ311" s="4"/>
      <c r="AR311" s="4"/>
      <c r="AS311" s="76" t="str">
        <f>"COMMENT ON COLUMN "&amp;エンティティ一覧!$O$2&amp;"."&amp;D$8&amp;"."&amp;D311&amp;" IS '"&amp;C311&amp;"';"</f>
        <v>COMMENT ON COLUMN milscm_2023_009.main_diagnosis_start_date.shikkan303_start_date IS 'C675_疾患開始日';</v>
      </c>
    </row>
    <row r="312" spans="1:45" s="25" customFormat="1">
      <c r="A312" s="4" t="s">
        <v>5447</v>
      </c>
      <c r="B312" s="21">
        <f t="shared" si="26"/>
        <v>310</v>
      </c>
      <c r="C312" s="13" t="str">
        <f t="shared" si="34"/>
        <v>C676_疾患開始日</v>
      </c>
      <c r="D312" s="13" t="s">
        <v>5964</v>
      </c>
      <c r="E312" s="8"/>
      <c r="F312" s="7" t="s">
        <v>4348</v>
      </c>
      <c r="G312" s="7" t="s">
        <v>99</v>
      </c>
      <c r="H312" s="58"/>
      <c r="I312" s="23"/>
      <c r="J312" s="24"/>
      <c r="M312" s="4"/>
      <c r="N312" s="76"/>
      <c r="O312" s="76"/>
      <c r="P312" s="76" t="str">
        <f t="shared" si="27"/>
        <v>,shikkan304_start_date</v>
      </c>
      <c r="Q312" s="76" t="str">
        <f t="shared" si="28"/>
        <v>DATE</v>
      </c>
      <c r="R312" s="76" t="str">
        <f t="shared" si="29"/>
        <v/>
      </c>
      <c r="S312" s="76" t="str">
        <f t="shared" si="30"/>
        <v/>
      </c>
      <c r="T312" s="76" t="str">
        <f t="shared" si="31"/>
        <v>-- C676_疾患開始日</v>
      </c>
      <c r="U312" s="4" t="str">
        <f t="shared" si="32"/>
        <v>,'shikkan304_start_date'</v>
      </c>
      <c r="V312" s="25" t="str">
        <f t="shared" si="33"/>
        <v>,'shikkan304_start_date' : 'C676_疾患開始日'</v>
      </c>
      <c r="X312" s="25">
        <v>1</v>
      </c>
      <c r="AA312" s="4"/>
      <c r="AB312" s="4"/>
      <c r="AC312" s="4"/>
      <c r="AD312" s="4"/>
      <c r="AE312" s="4"/>
      <c r="AF312" s="4"/>
      <c r="AG312" s="4"/>
      <c r="AH312" s="4"/>
      <c r="AI312" s="4"/>
      <c r="AJ312" s="76" t="str">
        <f>IF(E312="○",IF(COUNTA(E$13:E312)=1,"",",")&amp;D312,"")</f>
        <v/>
      </c>
      <c r="AK312" s="4"/>
      <c r="AL312" s="4"/>
      <c r="AM312" s="4"/>
      <c r="AN312" s="4"/>
      <c r="AO312" s="4"/>
      <c r="AP312" s="4"/>
      <c r="AQ312" s="4"/>
      <c r="AR312" s="4"/>
      <c r="AS312" s="76" t="str">
        <f>"COMMENT ON COLUMN "&amp;エンティティ一覧!$O$2&amp;"."&amp;D$8&amp;"."&amp;D312&amp;" IS '"&amp;C312&amp;"';"</f>
        <v>COMMENT ON COLUMN milscm_2023_009.main_diagnosis_start_date.shikkan304_start_date IS 'C676_疾患開始日';</v>
      </c>
    </row>
    <row r="313" spans="1:45" s="25" customFormat="1">
      <c r="A313" s="4" t="s">
        <v>5448</v>
      </c>
      <c r="B313" s="21">
        <f t="shared" si="26"/>
        <v>311</v>
      </c>
      <c r="C313" s="13" t="str">
        <f t="shared" si="34"/>
        <v>C677_疾患開始日</v>
      </c>
      <c r="D313" s="13" t="s">
        <v>5965</v>
      </c>
      <c r="E313" s="8"/>
      <c r="F313" s="7" t="s">
        <v>4348</v>
      </c>
      <c r="G313" s="7" t="s">
        <v>25</v>
      </c>
      <c r="H313" s="58"/>
      <c r="I313" s="23"/>
      <c r="J313" s="24"/>
      <c r="M313" s="4"/>
      <c r="N313" s="76"/>
      <c r="O313" s="76"/>
      <c r="P313" s="76" t="str">
        <f t="shared" si="27"/>
        <v>,shikkan305_start_date</v>
      </c>
      <c r="Q313" s="76" t="str">
        <f t="shared" si="28"/>
        <v>DATE</v>
      </c>
      <c r="R313" s="76" t="str">
        <f t="shared" si="29"/>
        <v/>
      </c>
      <c r="S313" s="76" t="str">
        <f t="shared" si="30"/>
        <v/>
      </c>
      <c r="T313" s="76" t="str">
        <f t="shared" si="31"/>
        <v>-- C677_疾患開始日</v>
      </c>
      <c r="U313" s="4" t="str">
        <f t="shared" si="32"/>
        <v>,'shikkan305_start_date'</v>
      </c>
      <c r="V313" s="25" t="str">
        <f t="shared" si="33"/>
        <v>,'shikkan305_start_date' : 'C677_疾患開始日'</v>
      </c>
      <c r="X313" s="25">
        <v>1</v>
      </c>
      <c r="AA313" s="4"/>
      <c r="AB313" s="4"/>
      <c r="AC313" s="4"/>
      <c r="AD313" s="4"/>
      <c r="AE313" s="4"/>
      <c r="AF313" s="4"/>
      <c r="AG313" s="4"/>
      <c r="AH313" s="4"/>
      <c r="AI313" s="4"/>
      <c r="AJ313" s="76" t="str">
        <f>IF(E313="○",IF(COUNTA(E$13:E313)=1,"",",")&amp;D313,"")</f>
        <v/>
      </c>
      <c r="AK313" s="4"/>
      <c r="AL313" s="4"/>
      <c r="AM313" s="4"/>
      <c r="AN313" s="4"/>
      <c r="AO313" s="4"/>
      <c r="AP313" s="4"/>
      <c r="AQ313" s="4"/>
      <c r="AR313" s="4"/>
      <c r="AS313" s="76" t="str">
        <f>"COMMENT ON COLUMN "&amp;エンティティ一覧!$O$2&amp;"."&amp;D$8&amp;"."&amp;D313&amp;" IS '"&amp;C313&amp;"';"</f>
        <v>COMMENT ON COLUMN milscm_2023_009.main_diagnosis_start_date.shikkan305_start_date IS 'C677_疾患開始日';</v>
      </c>
    </row>
    <row r="314" spans="1:45" s="25" customFormat="1">
      <c r="A314" s="4" t="s">
        <v>5449</v>
      </c>
      <c r="B314" s="21">
        <f t="shared" si="26"/>
        <v>312</v>
      </c>
      <c r="C314" s="13" t="str">
        <f t="shared" si="34"/>
        <v>C678_疾患開始日</v>
      </c>
      <c r="D314" s="13" t="s">
        <v>5966</v>
      </c>
      <c r="E314" s="8"/>
      <c r="F314" s="7" t="s">
        <v>4348</v>
      </c>
      <c r="G314" s="7" t="s">
        <v>25</v>
      </c>
      <c r="H314" s="58"/>
      <c r="I314" s="23"/>
      <c r="J314" s="24"/>
      <c r="M314" s="4"/>
      <c r="N314" s="76"/>
      <c r="O314" s="76"/>
      <c r="P314" s="76" t="str">
        <f t="shared" si="27"/>
        <v>,shikkan306_start_date</v>
      </c>
      <c r="Q314" s="76" t="str">
        <f t="shared" si="28"/>
        <v>DATE</v>
      </c>
      <c r="R314" s="76" t="str">
        <f t="shared" si="29"/>
        <v/>
      </c>
      <c r="S314" s="76" t="str">
        <f t="shared" si="30"/>
        <v/>
      </c>
      <c r="T314" s="76" t="str">
        <f t="shared" si="31"/>
        <v>-- C678_疾患開始日</v>
      </c>
      <c r="U314" s="4" t="str">
        <f t="shared" si="32"/>
        <v>,'shikkan306_start_date'</v>
      </c>
      <c r="V314" s="25" t="str">
        <f t="shared" si="33"/>
        <v>,'shikkan306_start_date' : 'C678_疾患開始日'</v>
      </c>
      <c r="X314" s="25">
        <v>1</v>
      </c>
      <c r="AA314" s="4"/>
      <c r="AB314" s="4"/>
      <c r="AC314" s="4"/>
      <c r="AD314" s="4"/>
      <c r="AE314" s="4"/>
      <c r="AF314" s="4"/>
      <c r="AG314" s="4"/>
      <c r="AH314" s="4"/>
      <c r="AI314" s="4"/>
      <c r="AJ314" s="76" t="str">
        <f>IF(E314="○",IF(COUNTA(E$13:E314)=1,"",",")&amp;D314,"")</f>
        <v/>
      </c>
      <c r="AK314" s="4"/>
      <c r="AL314" s="4"/>
      <c r="AM314" s="4"/>
      <c r="AN314" s="4"/>
      <c r="AO314" s="4"/>
      <c r="AP314" s="4"/>
      <c r="AQ314" s="4"/>
      <c r="AR314" s="4"/>
      <c r="AS314" s="76" t="str">
        <f>"COMMENT ON COLUMN "&amp;エンティティ一覧!$O$2&amp;"."&amp;D$8&amp;"."&amp;D314&amp;" IS '"&amp;C314&amp;"';"</f>
        <v>COMMENT ON COLUMN milscm_2023_009.main_diagnosis_start_date.shikkan306_start_date IS 'C678_疾患開始日';</v>
      </c>
    </row>
    <row r="315" spans="1:45" s="25" customFormat="1">
      <c r="A315" s="4" t="s">
        <v>5450</v>
      </c>
      <c r="B315" s="21">
        <f t="shared" si="26"/>
        <v>313</v>
      </c>
      <c r="C315" s="13" t="str">
        <f t="shared" si="34"/>
        <v>C679_疾患開始日</v>
      </c>
      <c r="D315" s="13" t="s">
        <v>5967</v>
      </c>
      <c r="E315" s="8"/>
      <c r="F315" s="7" t="s">
        <v>4348</v>
      </c>
      <c r="G315" s="7" t="s">
        <v>25</v>
      </c>
      <c r="H315" s="58"/>
      <c r="I315" s="23"/>
      <c r="J315" s="24"/>
      <c r="M315" s="4"/>
      <c r="N315" s="76"/>
      <c r="O315" s="76"/>
      <c r="P315" s="76" t="str">
        <f t="shared" si="27"/>
        <v>,shikkan307_start_date</v>
      </c>
      <c r="Q315" s="76" t="str">
        <f t="shared" si="28"/>
        <v>DATE</v>
      </c>
      <c r="R315" s="76" t="str">
        <f t="shared" si="29"/>
        <v/>
      </c>
      <c r="S315" s="76" t="str">
        <f t="shared" si="30"/>
        <v/>
      </c>
      <c r="T315" s="76" t="str">
        <f t="shared" si="31"/>
        <v>-- C679_疾患開始日</v>
      </c>
      <c r="U315" s="4" t="str">
        <f t="shared" si="32"/>
        <v>,'shikkan307_start_date'</v>
      </c>
      <c r="V315" s="25" t="str">
        <f t="shared" si="33"/>
        <v>,'shikkan307_start_date' : 'C679_疾患開始日'</v>
      </c>
      <c r="X315" s="25">
        <v>1</v>
      </c>
      <c r="AA315" s="4"/>
      <c r="AB315" s="4"/>
      <c r="AC315" s="4"/>
      <c r="AD315" s="4"/>
      <c r="AE315" s="4"/>
      <c r="AF315" s="4"/>
      <c r="AG315" s="4"/>
      <c r="AH315" s="4"/>
      <c r="AI315" s="4"/>
      <c r="AJ315" s="76" t="str">
        <f>IF(E315="○",IF(COUNTA(E$13:E315)=1,"",",")&amp;D315,"")</f>
        <v/>
      </c>
      <c r="AK315" s="4"/>
      <c r="AL315" s="4"/>
      <c r="AM315" s="4"/>
      <c r="AN315" s="4"/>
      <c r="AO315" s="4"/>
      <c r="AP315" s="4"/>
      <c r="AQ315" s="4"/>
      <c r="AR315" s="4"/>
      <c r="AS315" s="76" t="str">
        <f>"COMMENT ON COLUMN "&amp;エンティティ一覧!$O$2&amp;"."&amp;D$8&amp;"."&amp;D315&amp;" IS '"&amp;C315&amp;"';"</f>
        <v>COMMENT ON COLUMN milscm_2023_009.main_diagnosis_start_date.shikkan307_start_date IS 'C679_疾患開始日';</v>
      </c>
    </row>
    <row r="316" spans="1:45" s="25" customFormat="1">
      <c r="A316" s="4" t="s">
        <v>5451</v>
      </c>
      <c r="B316" s="21">
        <f t="shared" si="26"/>
        <v>314</v>
      </c>
      <c r="C316" s="13" t="str">
        <f t="shared" si="34"/>
        <v>C680_疾患開始日</v>
      </c>
      <c r="D316" s="13" t="s">
        <v>5968</v>
      </c>
      <c r="E316" s="8"/>
      <c r="F316" s="7" t="s">
        <v>4348</v>
      </c>
      <c r="G316" s="7" t="s">
        <v>25</v>
      </c>
      <c r="H316" s="58"/>
      <c r="I316" s="23"/>
      <c r="J316" s="24"/>
      <c r="M316" s="4"/>
      <c r="N316" s="76"/>
      <c r="O316" s="76"/>
      <c r="P316" s="76" t="str">
        <f t="shared" si="27"/>
        <v>,shikkan308_start_date</v>
      </c>
      <c r="Q316" s="76" t="str">
        <f t="shared" si="28"/>
        <v>DATE</v>
      </c>
      <c r="R316" s="76" t="str">
        <f t="shared" si="29"/>
        <v/>
      </c>
      <c r="S316" s="76" t="str">
        <f t="shared" si="30"/>
        <v/>
      </c>
      <c r="T316" s="76" t="str">
        <f t="shared" si="31"/>
        <v>-- C680_疾患開始日</v>
      </c>
      <c r="U316" s="4" t="str">
        <f t="shared" si="32"/>
        <v>,'shikkan308_start_date'</v>
      </c>
      <c r="V316" s="25" t="str">
        <f t="shared" si="33"/>
        <v>,'shikkan308_start_date' : 'C680_疾患開始日'</v>
      </c>
      <c r="X316" s="25">
        <v>1</v>
      </c>
      <c r="AA316" s="4"/>
      <c r="AB316" s="4"/>
      <c r="AC316" s="4"/>
      <c r="AD316" s="4"/>
      <c r="AE316" s="4"/>
      <c r="AF316" s="4"/>
      <c r="AG316" s="4"/>
      <c r="AH316" s="4"/>
      <c r="AI316" s="4"/>
      <c r="AJ316" s="76" t="str">
        <f>IF(E316="○",IF(COUNTA(E$13:E316)=1,"",",")&amp;D316,"")</f>
        <v/>
      </c>
      <c r="AK316" s="4"/>
      <c r="AL316" s="4"/>
      <c r="AM316" s="4"/>
      <c r="AN316" s="4"/>
      <c r="AO316" s="4"/>
      <c r="AP316" s="4"/>
      <c r="AQ316" s="4"/>
      <c r="AR316" s="4"/>
      <c r="AS316" s="76" t="str">
        <f>"COMMENT ON COLUMN "&amp;エンティティ一覧!$O$2&amp;"."&amp;D$8&amp;"."&amp;D316&amp;" IS '"&amp;C316&amp;"';"</f>
        <v>COMMENT ON COLUMN milscm_2023_009.main_diagnosis_start_date.shikkan308_start_date IS 'C680_疾患開始日';</v>
      </c>
    </row>
    <row r="317" spans="1:45" s="25" customFormat="1">
      <c r="A317" s="4" t="s">
        <v>5452</v>
      </c>
      <c r="B317" s="21">
        <f t="shared" si="26"/>
        <v>315</v>
      </c>
      <c r="C317" s="13" t="str">
        <f t="shared" si="34"/>
        <v>C681_疾患開始日</v>
      </c>
      <c r="D317" s="13" t="s">
        <v>5969</v>
      </c>
      <c r="E317" s="8"/>
      <c r="F317" s="7" t="s">
        <v>4348</v>
      </c>
      <c r="G317" s="7" t="s">
        <v>25</v>
      </c>
      <c r="H317" s="58"/>
      <c r="I317" s="23"/>
      <c r="J317" s="24"/>
      <c r="M317" s="4"/>
      <c r="N317" s="76"/>
      <c r="O317" s="76"/>
      <c r="P317" s="76" t="str">
        <f t="shared" si="27"/>
        <v>,shikkan309_start_date</v>
      </c>
      <c r="Q317" s="76" t="str">
        <f t="shared" si="28"/>
        <v>DATE</v>
      </c>
      <c r="R317" s="76" t="str">
        <f t="shared" si="29"/>
        <v/>
      </c>
      <c r="S317" s="76" t="str">
        <f t="shared" si="30"/>
        <v/>
      </c>
      <c r="T317" s="76" t="str">
        <f t="shared" si="31"/>
        <v>-- C681_疾患開始日</v>
      </c>
      <c r="U317" s="4" t="str">
        <f t="shared" si="32"/>
        <v>,'shikkan309_start_date'</v>
      </c>
      <c r="V317" s="25" t="str">
        <f t="shared" si="33"/>
        <v>,'shikkan309_start_date' : 'C681_疾患開始日'</v>
      </c>
      <c r="X317" s="25">
        <v>1</v>
      </c>
      <c r="AA317" s="4"/>
      <c r="AB317" s="4"/>
      <c r="AC317" s="4"/>
      <c r="AD317" s="4"/>
      <c r="AE317" s="4"/>
      <c r="AF317" s="4"/>
      <c r="AG317" s="4"/>
      <c r="AH317" s="4"/>
      <c r="AI317" s="4"/>
      <c r="AJ317" s="76" t="str">
        <f>IF(E317="○",IF(COUNTA(E$13:E317)=1,"",",")&amp;D317,"")</f>
        <v/>
      </c>
      <c r="AK317" s="4"/>
      <c r="AL317" s="4"/>
      <c r="AM317" s="4"/>
      <c r="AN317" s="4"/>
      <c r="AO317" s="4"/>
      <c r="AP317" s="4"/>
      <c r="AQ317" s="4"/>
      <c r="AR317" s="4"/>
      <c r="AS317" s="76" t="str">
        <f>"COMMENT ON COLUMN "&amp;エンティティ一覧!$O$2&amp;"."&amp;D$8&amp;"."&amp;D317&amp;" IS '"&amp;C317&amp;"';"</f>
        <v>COMMENT ON COLUMN milscm_2023_009.main_diagnosis_start_date.shikkan309_start_date IS 'C681_疾患開始日';</v>
      </c>
    </row>
    <row r="318" spans="1:45" s="25" customFormat="1">
      <c r="A318" s="4" t="s">
        <v>5453</v>
      </c>
      <c r="B318" s="21">
        <f t="shared" si="26"/>
        <v>316</v>
      </c>
      <c r="C318" s="13" t="str">
        <f t="shared" si="34"/>
        <v>C688_疾患開始日</v>
      </c>
      <c r="D318" s="13" t="s">
        <v>5970</v>
      </c>
      <c r="E318" s="8"/>
      <c r="F318" s="7" t="s">
        <v>4348</v>
      </c>
      <c r="G318" s="7" t="s">
        <v>25</v>
      </c>
      <c r="H318" s="58"/>
      <c r="I318" s="23"/>
      <c r="J318" s="24"/>
      <c r="M318" s="4"/>
      <c r="N318" s="76"/>
      <c r="O318" s="76"/>
      <c r="P318" s="76" t="str">
        <f t="shared" si="27"/>
        <v>,shikkan310_start_date</v>
      </c>
      <c r="Q318" s="76" t="str">
        <f t="shared" si="28"/>
        <v>DATE</v>
      </c>
      <c r="R318" s="76" t="str">
        <f t="shared" si="29"/>
        <v/>
      </c>
      <c r="S318" s="76" t="str">
        <f t="shared" si="30"/>
        <v/>
      </c>
      <c r="T318" s="76" t="str">
        <f t="shared" si="31"/>
        <v>-- C688_疾患開始日</v>
      </c>
      <c r="U318" s="4" t="str">
        <f t="shared" si="32"/>
        <v>,'shikkan310_start_date'</v>
      </c>
      <c r="V318" s="25" t="str">
        <f t="shared" si="33"/>
        <v>,'shikkan310_start_date' : 'C688_疾患開始日'</v>
      </c>
      <c r="X318" s="25">
        <v>1</v>
      </c>
      <c r="AA318" s="4"/>
      <c r="AB318" s="4"/>
      <c r="AC318" s="4"/>
      <c r="AD318" s="4"/>
      <c r="AE318" s="4"/>
      <c r="AF318" s="4"/>
      <c r="AG318" s="4"/>
      <c r="AH318" s="4"/>
      <c r="AI318" s="4"/>
      <c r="AJ318" s="76" t="str">
        <f>IF(E318="○",IF(COUNTA(E$13:E318)=1,"",",")&amp;D318,"")</f>
        <v/>
      </c>
      <c r="AK318" s="4"/>
      <c r="AL318" s="4"/>
      <c r="AM318" s="4"/>
      <c r="AN318" s="4"/>
      <c r="AO318" s="4"/>
      <c r="AP318" s="4"/>
      <c r="AQ318" s="4"/>
      <c r="AR318" s="4"/>
      <c r="AS318" s="76" t="str">
        <f>"COMMENT ON COLUMN "&amp;エンティティ一覧!$O$2&amp;"."&amp;D$8&amp;"."&amp;D318&amp;" IS '"&amp;C318&amp;"';"</f>
        <v>COMMENT ON COLUMN milscm_2023_009.main_diagnosis_start_date.shikkan310_start_date IS 'C688_疾患開始日';</v>
      </c>
    </row>
    <row r="319" spans="1:45" s="25" customFormat="1">
      <c r="A319" s="4" t="s">
        <v>5454</v>
      </c>
      <c r="B319" s="21">
        <f t="shared" si="26"/>
        <v>317</v>
      </c>
      <c r="C319" s="13" t="str">
        <f t="shared" si="34"/>
        <v>C689_疾患開始日</v>
      </c>
      <c r="D319" s="13" t="s">
        <v>5971</v>
      </c>
      <c r="E319" s="8"/>
      <c r="F319" s="7" t="s">
        <v>4348</v>
      </c>
      <c r="G319" s="7" t="s">
        <v>25</v>
      </c>
      <c r="H319" s="58"/>
      <c r="I319" s="23"/>
      <c r="J319" s="24"/>
      <c r="M319" s="4"/>
      <c r="N319" s="76"/>
      <c r="O319" s="76"/>
      <c r="P319" s="76" t="str">
        <f t="shared" si="27"/>
        <v>,shikkan311_start_date</v>
      </c>
      <c r="Q319" s="76" t="str">
        <f t="shared" si="28"/>
        <v>DATE</v>
      </c>
      <c r="R319" s="76" t="str">
        <f t="shared" si="29"/>
        <v/>
      </c>
      <c r="S319" s="76" t="str">
        <f t="shared" si="30"/>
        <v/>
      </c>
      <c r="T319" s="76" t="str">
        <f t="shared" si="31"/>
        <v>-- C689_疾患開始日</v>
      </c>
      <c r="U319" s="4" t="str">
        <f t="shared" si="32"/>
        <v>,'shikkan311_start_date'</v>
      </c>
      <c r="V319" s="25" t="str">
        <f t="shared" si="33"/>
        <v>,'shikkan311_start_date' : 'C689_疾患開始日'</v>
      </c>
      <c r="X319" s="25">
        <v>1</v>
      </c>
      <c r="AA319" s="4"/>
      <c r="AB319" s="4"/>
      <c r="AC319" s="4"/>
      <c r="AD319" s="4"/>
      <c r="AE319" s="4"/>
      <c r="AF319" s="4"/>
      <c r="AG319" s="4"/>
      <c r="AH319" s="4"/>
      <c r="AI319" s="4"/>
      <c r="AJ319" s="76" t="str">
        <f>IF(E319="○",IF(COUNTA(E$13:E319)=1,"",",")&amp;D319,"")</f>
        <v/>
      </c>
      <c r="AK319" s="4"/>
      <c r="AL319" s="4"/>
      <c r="AM319" s="4"/>
      <c r="AN319" s="4"/>
      <c r="AO319" s="4"/>
      <c r="AP319" s="4"/>
      <c r="AQ319" s="4"/>
      <c r="AR319" s="4"/>
      <c r="AS319" s="76" t="str">
        <f>"COMMENT ON COLUMN "&amp;エンティティ一覧!$O$2&amp;"."&amp;D$8&amp;"."&amp;D319&amp;" IS '"&amp;C319&amp;"';"</f>
        <v>COMMENT ON COLUMN milscm_2023_009.main_diagnosis_start_date.shikkan311_start_date IS 'C689_疾患開始日';</v>
      </c>
    </row>
    <row r="320" spans="1:45" s="25" customFormat="1">
      <c r="A320" s="4" t="s">
        <v>5455</v>
      </c>
      <c r="B320" s="21">
        <f t="shared" si="26"/>
        <v>318</v>
      </c>
      <c r="C320" s="13" t="str">
        <f t="shared" si="34"/>
        <v>C690_疾患開始日</v>
      </c>
      <c r="D320" s="13" t="s">
        <v>5972</v>
      </c>
      <c r="E320" s="8"/>
      <c r="F320" s="7" t="s">
        <v>4348</v>
      </c>
      <c r="G320" s="7" t="s">
        <v>25</v>
      </c>
      <c r="H320" s="58"/>
      <c r="I320" s="23"/>
      <c r="J320" s="24"/>
      <c r="M320" s="4"/>
      <c r="N320" s="76"/>
      <c r="O320" s="76"/>
      <c r="P320" s="76" t="str">
        <f t="shared" si="27"/>
        <v>,shikkan312_start_date</v>
      </c>
      <c r="Q320" s="76" t="str">
        <f t="shared" si="28"/>
        <v>DATE</v>
      </c>
      <c r="R320" s="76" t="str">
        <f t="shared" si="29"/>
        <v/>
      </c>
      <c r="S320" s="76" t="str">
        <f t="shared" si="30"/>
        <v/>
      </c>
      <c r="T320" s="76" t="str">
        <f t="shared" si="31"/>
        <v>-- C690_疾患開始日</v>
      </c>
      <c r="U320" s="4" t="str">
        <f t="shared" si="32"/>
        <v>,'shikkan312_start_date'</v>
      </c>
      <c r="V320" s="25" t="str">
        <f t="shared" si="33"/>
        <v>,'shikkan312_start_date' : 'C690_疾患開始日'</v>
      </c>
      <c r="X320" s="25">
        <v>1</v>
      </c>
      <c r="AA320" s="4"/>
      <c r="AB320" s="4"/>
      <c r="AC320" s="4"/>
      <c r="AD320" s="4"/>
      <c r="AE320" s="4"/>
      <c r="AF320" s="4"/>
      <c r="AG320" s="4"/>
      <c r="AH320" s="4"/>
      <c r="AI320" s="4"/>
      <c r="AJ320" s="76" t="str">
        <f>IF(E320="○",IF(COUNTA(E$13:E320)=1,"",",")&amp;D320,"")</f>
        <v/>
      </c>
      <c r="AK320" s="4"/>
      <c r="AL320" s="4"/>
      <c r="AM320" s="4"/>
      <c r="AN320" s="4"/>
      <c r="AO320" s="4"/>
      <c r="AP320" s="4"/>
      <c r="AQ320" s="4"/>
      <c r="AR320" s="4"/>
      <c r="AS320" s="76" t="str">
        <f>"COMMENT ON COLUMN "&amp;エンティティ一覧!$O$2&amp;"."&amp;D$8&amp;"."&amp;D320&amp;" IS '"&amp;C320&amp;"';"</f>
        <v>COMMENT ON COLUMN milscm_2023_009.main_diagnosis_start_date.shikkan312_start_date IS 'C690_疾患開始日';</v>
      </c>
    </row>
    <row r="321" spans="1:45" s="25" customFormat="1">
      <c r="A321" s="4" t="s">
        <v>5456</v>
      </c>
      <c r="B321" s="21">
        <f t="shared" si="26"/>
        <v>319</v>
      </c>
      <c r="C321" s="13" t="str">
        <f t="shared" si="34"/>
        <v>C691_疾患開始日</v>
      </c>
      <c r="D321" s="13" t="s">
        <v>5973</v>
      </c>
      <c r="E321" s="8"/>
      <c r="F321" s="7" t="s">
        <v>4348</v>
      </c>
      <c r="G321" s="7" t="s">
        <v>25</v>
      </c>
      <c r="H321" s="58"/>
      <c r="I321" s="23"/>
      <c r="J321" s="24"/>
      <c r="M321" s="4"/>
      <c r="N321" s="76"/>
      <c r="O321" s="76"/>
      <c r="P321" s="76" t="str">
        <f t="shared" si="27"/>
        <v>,shikkan313_start_date</v>
      </c>
      <c r="Q321" s="76" t="str">
        <f t="shared" si="28"/>
        <v>DATE</v>
      </c>
      <c r="R321" s="76" t="str">
        <f t="shared" si="29"/>
        <v/>
      </c>
      <c r="S321" s="76" t="str">
        <f t="shared" si="30"/>
        <v/>
      </c>
      <c r="T321" s="76" t="str">
        <f t="shared" si="31"/>
        <v>-- C691_疾患開始日</v>
      </c>
      <c r="U321" s="4" t="str">
        <f t="shared" si="32"/>
        <v>,'shikkan313_start_date'</v>
      </c>
      <c r="V321" s="25" t="str">
        <f t="shared" si="33"/>
        <v>,'shikkan313_start_date' : 'C691_疾患開始日'</v>
      </c>
      <c r="X321" s="25">
        <v>1</v>
      </c>
      <c r="AA321" s="4"/>
      <c r="AB321" s="4"/>
      <c r="AC321" s="4"/>
      <c r="AD321" s="4"/>
      <c r="AE321" s="4"/>
      <c r="AF321" s="4"/>
      <c r="AG321" s="4"/>
      <c r="AH321" s="4"/>
      <c r="AI321" s="4"/>
      <c r="AJ321" s="76" t="str">
        <f>IF(E321="○",IF(COUNTA(E$13:E321)=1,"",",")&amp;D321,"")</f>
        <v/>
      </c>
      <c r="AK321" s="4"/>
      <c r="AL321" s="4"/>
      <c r="AM321" s="4"/>
      <c r="AN321" s="4"/>
      <c r="AO321" s="4"/>
      <c r="AP321" s="4"/>
      <c r="AQ321" s="4"/>
      <c r="AR321" s="4"/>
      <c r="AS321" s="76" t="str">
        <f>"COMMENT ON COLUMN "&amp;エンティティ一覧!$O$2&amp;"."&amp;D$8&amp;"."&amp;D321&amp;" IS '"&amp;C321&amp;"';"</f>
        <v>COMMENT ON COLUMN milscm_2023_009.main_diagnosis_start_date.shikkan313_start_date IS 'C691_疾患開始日';</v>
      </c>
    </row>
    <row r="322" spans="1:45" s="25" customFormat="1">
      <c r="A322" s="4" t="s">
        <v>5457</v>
      </c>
      <c r="B322" s="21">
        <f t="shared" si="26"/>
        <v>320</v>
      </c>
      <c r="C322" s="13" t="str">
        <f t="shared" si="34"/>
        <v>C692_疾患開始日</v>
      </c>
      <c r="D322" s="13" t="s">
        <v>5974</v>
      </c>
      <c r="E322" s="8"/>
      <c r="F322" s="7" t="s">
        <v>4348</v>
      </c>
      <c r="G322" s="7" t="s">
        <v>25</v>
      </c>
      <c r="H322" s="58"/>
      <c r="I322" s="23"/>
      <c r="J322" s="24"/>
      <c r="M322" s="4"/>
      <c r="N322" s="76"/>
      <c r="O322" s="76"/>
      <c r="P322" s="76" t="str">
        <f t="shared" si="27"/>
        <v>,shikkan314_start_date</v>
      </c>
      <c r="Q322" s="76" t="str">
        <f t="shared" si="28"/>
        <v>DATE</v>
      </c>
      <c r="R322" s="76" t="str">
        <f t="shared" si="29"/>
        <v/>
      </c>
      <c r="S322" s="76" t="str">
        <f t="shared" si="30"/>
        <v/>
      </c>
      <c r="T322" s="76" t="str">
        <f t="shared" si="31"/>
        <v>-- C692_疾患開始日</v>
      </c>
      <c r="U322" s="4" t="str">
        <f t="shared" si="32"/>
        <v>,'shikkan314_start_date'</v>
      </c>
      <c r="V322" s="25" t="str">
        <f t="shared" si="33"/>
        <v>,'shikkan314_start_date' : 'C692_疾患開始日'</v>
      </c>
      <c r="X322" s="25">
        <v>1</v>
      </c>
      <c r="AA322" s="4"/>
      <c r="AB322" s="4"/>
      <c r="AC322" s="4"/>
      <c r="AD322" s="4"/>
      <c r="AE322" s="4"/>
      <c r="AF322" s="4"/>
      <c r="AG322" s="4"/>
      <c r="AH322" s="4"/>
      <c r="AI322" s="4"/>
      <c r="AJ322" s="76" t="str">
        <f>IF(E322="○",IF(COUNTA(E$13:E322)=1,"",",")&amp;D322,"")</f>
        <v/>
      </c>
      <c r="AK322" s="4"/>
      <c r="AL322" s="4"/>
      <c r="AM322" s="4"/>
      <c r="AN322" s="4"/>
      <c r="AO322" s="4"/>
      <c r="AP322" s="4"/>
      <c r="AQ322" s="4"/>
      <c r="AR322" s="4"/>
      <c r="AS322" s="76" t="str">
        <f>"COMMENT ON COLUMN "&amp;エンティティ一覧!$O$2&amp;"."&amp;D$8&amp;"."&amp;D322&amp;" IS '"&amp;C322&amp;"';"</f>
        <v>COMMENT ON COLUMN milscm_2023_009.main_diagnosis_start_date.shikkan314_start_date IS 'C692_疾患開始日';</v>
      </c>
    </row>
    <row r="323" spans="1:45" s="25" customFormat="1">
      <c r="A323" s="4" t="s">
        <v>5458</v>
      </c>
      <c r="B323" s="21">
        <f t="shared" si="26"/>
        <v>321</v>
      </c>
      <c r="C323" s="13" t="str">
        <f t="shared" si="34"/>
        <v>C693_疾患開始日</v>
      </c>
      <c r="D323" s="13" t="s">
        <v>5975</v>
      </c>
      <c r="E323" s="8"/>
      <c r="F323" s="7" t="s">
        <v>4348</v>
      </c>
      <c r="G323" s="7" t="s">
        <v>25</v>
      </c>
      <c r="H323" s="58"/>
      <c r="I323" s="23"/>
      <c r="J323" s="24"/>
      <c r="M323" s="4"/>
      <c r="N323" s="76"/>
      <c r="O323" s="76"/>
      <c r="P323" s="76" t="str">
        <f t="shared" si="27"/>
        <v>,shikkan315_start_date</v>
      </c>
      <c r="Q323" s="76" t="str">
        <f t="shared" si="28"/>
        <v>DATE</v>
      </c>
      <c r="R323" s="76" t="str">
        <f t="shared" si="29"/>
        <v/>
      </c>
      <c r="S323" s="76" t="str">
        <f t="shared" si="30"/>
        <v/>
      </c>
      <c r="T323" s="76" t="str">
        <f t="shared" si="31"/>
        <v>-- C693_疾患開始日</v>
      </c>
      <c r="U323" s="4" t="str">
        <f t="shared" si="32"/>
        <v>,'shikkan315_start_date'</v>
      </c>
      <c r="V323" s="25" t="str">
        <f t="shared" si="33"/>
        <v>,'shikkan315_start_date' : 'C693_疾患開始日'</v>
      </c>
      <c r="X323" s="25">
        <v>1</v>
      </c>
      <c r="AA323" s="4"/>
      <c r="AB323" s="4"/>
      <c r="AC323" s="4"/>
      <c r="AD323" s="4"/>
      <c r="AE323" s="4"/>
      <c r="AF323" s="4"/>
      <c r="AG323" s="4"/>
      <c r="AH323" s="4"/>
      <c r="AI323" s="4"/>
      <c r="AJ323" s="76" t="str">
        <f>IF(E323="○",IF(COUNTA(E$13:E323)=1,"",",")&amp;D323,"")</f>
        <v/>
      </c>
      <c r="AK323" s="4"/>
      <c r="AL323" s="4"/>
      <c r="AM323" s="4"/>
      <c r="AN323" s="4"/>
      <c r="AO323" s="4"/>
      <c r="AP323" s="4"/>
      <c r="AQ323" s="4"/>
      <c r="AR323" s="4"/>
      <c r="AS323" s="76" t="str">
        <f>"COMMENT ON COLUMN "&amp;エンティティ一覧!$O$2&amp;"."&amp;D$8&amp;"."&amp;D323&amp;" IS '"&amp;C323&amp;"';"</f>
        <v>COMMENT ON COLUMN milscm_2023_009.main_diagnosis_start_date.shikkan315_start_date IS 'C693_疾患開始日';</v>
      </c>
    </row>
    <row r="324" spans="1:45" s="25" customFormat="1">
      <c r="A324" s="4" t="s">
        <v>5459</v>
      </c>
      <c r="B324" s="21">
        <f t="shared" ref="B324:B387" si="35">ROW()-2</f>
        <v>322</v>
      </c>
      <c r="C324" s="13" t="str">
        <f t="shared" si="34"/>
        <v>C694_疾患開始日</v>
      </c>
      <c r="D324" s="13" t="s">
        <v>5976</v>
      </c>
      <c r="E324" s="8"/>
      <c r="F324" s="7" t="s">
        <v>4348</v>
      </c>
      <c r="G324" s="7" t="s">
        <v>25</v>
      </c>
      <c r="H324" s="58"/>
      <c r="I324" s="23"/>
      <c r="J324" s="24"/>
      <c r="M324" s="4"/>
      <c r="N324" s="76"/>
      <c r="O324" s="76"/>
      <c r="P324" s="76" t="str">
        <f t="shared" si="27"/>
        <v>,shikkan316_start_date</v>
      </c>
      <c r="Q324" s="76" t="str">
        <f t="shared" si="28"/>
        <v>DATE</v>
      </c>
      <c r="R324" s="76" t="str">
        <f t="shared" si="29"/>
        <v/>
      </c>
      <c r="S324" s="76" t="str">
        <f t="shared" si="30"/>
        <v/>
      </c>
      <c r="T324" s="76" t="str">
        <f t="shared" si="31"/>
        <v>-- C694_疾患開始日</v>
      </c>
      <c r="U324" s="4" t="str">
        <f t="shared" si="32"/>
        <v>,'shikkan316_start_date'</v>
      </c>
      <c r="V324" s="25" t="str">
        <f t="shared" si="33"/>
        <v>,'shikkan316_start_date' : 'C694_疾患開始日'</v>
      </c>
      <c r="X324" s="25">
        <v>1</v>
      </c>
      <c r="AA324" s="4"/>
      <c r="AB324" s="4"/>
      <c r="AC324" s="4"/>
      <c r="AD324" s="4"/>
      <c r="AE324" s="4"/>
      <c r="AF324" s="4"/>
      <c r="AG324" s="4"/>
      <c r="AH324" s="4"/>
      <c r="AI324" s="4"/>
      <c r="AJ324" s="76" t="str">
        <f>IF(E324="○",IF(COUNTA(E$13:E324)=1,"",",")&amp;D324,"")</f>
        <v/>
      </c>
      <c r="AK324" s="4"/>
      <c r="AL324" s="4"/>
      <c r="AM324" s="4"/>
      <c r="AN324" s="4"/>
      <c r="AO324" s="4"/>
      <c r="AP324" s="4"/>
      <c r="AQ324" s="4"/>
      <c r="AR324" s="4"/>
      <c r="AS324" s="76" t="str">
        <f>"COMMENT ON COLUMN "&amp;エンティティ一覧!$O$2&amp;"."&amp;D$8&amp;"."&amp;D324&amp;" IS '"&amp;C324&amp;"';"</f>
        <v>COMMENT ON COLUMN milscm_2023_009.main_diagnosis_start_date.shikkan316_start_date IS 'C694_疾患開始日';</v>
      </c>
    </row>
    <row r="325" spans="1:45" s="25" customFormat="1">
      <c r="A325" s="4" t="s">
        <v>5460</v>
      </c>
      <c r="B325" s="21">
        <f t="shared" si="35"/>
        <v>323</v>
      </c>
      <c r="C325" s="13" t="str">
        <f t="shared" si="34"/>
        <v>C695_疾患開始日</v>
      </c>
      <c r="D325" s="13" t="s">
        <v>5977</v>
      </c>
      <c r="E325" s="8"/>
      <c r="F325" s="7" t="s">
        <v>4348</v>
      </c>
      <c r="G325" s="7" t="s">
        <v>25</v>
      </c>
      <c r="H325" s="58"/>
      <c r="I325" s="23"/>
      <c r="J325" s="24"/>
      <c r="M325" s="4"/>
      <c r="N325" s="76"/>
      <c r="O325" s="76"/>
      <c r="P325" s="76" t="str">
        <f t="shared" si="27"/>
        <v>,shikkan317_start_date</v>
      </c>
      <c r="Q325" s="76" t="str">
        <f t="shared" si="28"/>
        <v>DATE</v>
      </c>
      <c r="R325" s="76" t="str">
        <f t="shared" si="29"/>
        <v/>
      </c>
      <c r="S325" s="76" t="str">
        <f t="shared" si="30"/>
        <v/>
      </c>
      <c r="T325" s="76" t="str">
        <f t="shared" si="31"/>
        <v>-- C695_疾患開始日</v>
      </c>
      <c r="U325" s="4" t="str">
        <f t="shared" si="32"/>
        <v>,'shikkan317_start_date'</v>
      </c>
      <c r="V325" s="25" t="str">
        <f t="shared" si="33"/>
        <v>,'shikkan317_start_date' : 'C695_疾患開始日'</v>
      </c>
      <c r="X325" s="25">
        <v>1</v>
      </c>
      <c r="AA325" s="4"/>
      <c r="AB325" s="4"/>
      <c r="AC325" s="4"/>
      <c r="AD325" s="4"/>
      <c r="AE325" s="4"/>
      <c r="AF325" s="4"/>
      <c r="AG325" s="4"/>
      <c r="AH325" s="4"/>
      <c r="AI325" s="4"/>
      <c r="AJ325" s="76" t="str">
        <f>IF(E325="○",IF(COUNTA(E$13:E325)=1,"",",")&amp;D325,"")</f>
        <v/>
      </c>
      <c r="AK325" s="4"/>
      <c r="AL325" s="4"/>
      <c r="AM325" s="4"/>
      <c r="AN325" s="4"/>
      <c r="AO325" s="4"/>
      <c r="AP325" s="4"/>
      <c r="AQ325" s="4"/>
      <c r="AR325" s="4"/>
      <c r="AS325" s="76" t="str">
        <f>"COMMENT ON COLUMN "&amp;エンティティ一覧!$O$2&amp;"."&amp;D$8&amp;"."&amp;D325&amp;" IS '"&amp;C325&amp;"';"</f>
        <v>COMMENT ON COLUMN milscm_2023_009.main_diagnosis_start_date.shikkan317_start_date IS 'C695_疾患開始日';</v>
      </c>
    </row>
    <row r="326" spans="1:45" s="25" customFormat="1">
      <c r="A326" s="4" t="s">
        <v>5461</v>
      </c>
      <c r="B326" s="21">
        <f t="shared" si="35"/>
        <v>324</v>
      </c>
      <c r="C326" s="13" t="str">
        <f t="shared" si="34"/>
        <v>C696_疾患開始日</v>
      </c>
      <c r="D326" s="13" t="s">
        <v>5978</v>
      </c>
      <c r="E326" s="8"/>
      <c r="F326" s="7" t="s">
        <v>4348</v>
      </c>
      <c r="G326" s="7" t="s">
        <v>25</v>
      </c>
      <c r="H326" s="58"/>
      <c r="I326" s="23"/>
      <c r="J326" s="24"/>
      <c r="M326" s="4"/>
      <c r="N326" s="76"/>
      <c r="O326" s="76"/>
      <c r="P326" s="76" t="str">
        <f t="shared" si="27"/>
        <v>,shikkan318_start_date</v>
      </c>
      <c r="Q326" s="76" t="str">
        <f t="shared" si="28"/>
        <v>DATE</v>
      </c>
      <c r="R326" s="76" t="str">
        <f t="shared" si="29"/>
        <v/>
      </c>
      <c r="S326" s="76" t="str">
        <f t="shared" si="30"/>
        <v/>
      </c>
      <c r="T326" s="76" t="str">
        <f t="shared" si="31"/>
        <v>-- C696_疾患開始日</v>
      </c>
      <c r="U326" s="4" t="str">
        <f t="shared" si="32"/>
        <v>,'shikkan318_start_date'</v>
      </c>
      <c r="V326" s="25" t="str">
        <f t="shared" si="33"/>
        <v>,'shikkan318_start_date' : 'C696_疾患開始日'</v>
      </c>
      <c r="X326" s="25">
        <v>1</v>
      </c>
      <c r="AA326" s="4"/>
      <c r="AB326" s="4"/>
      <c r="AC326" s="4"/>
      <c r="AD326" s="4"/>
      <c r="AE326" s="4"/>
      <c r="AF326" s="4"/>
      <c r="AG326" s="4"/>
      <c r="AH326" s="4"/>
      <c r="AI326" s="4"/>
      <c r="AJ326" s="76" t="str">
        <f>IF(E326="○",IF(COUNTA(E$13:E326)=1,"",",")&amp;D326,"")</f>
        <v/>
      </c>
      <c r="AK326" s="4"/>
      <c r="AL326" s="4"/>
      <c r="AM326" s="4"/>
      <c r="AN326" s="4"/>
      <c r="AO326" s="4"/>
      <c r="AP326" s="4"/>
      <c r="AQ326" s="4"/>
      <c r="AR326" s="4"/>
      <c r="AS326" s="76" t="str">
        <f>"COMMENT ON COLUMN "&amp;エンティティ一覧!$O$2&amp;"."&amp;D$8&amp;"."&amp;D326&amp;" IS '"&amp;C326&amp;"';"</f>
        <v>COMMENT ON COLUMN milscm_2023_009.main_diagnosis_start_date.shikkan318_start_date IS 'C696_疾患開始日';</v>
      </c>
    </row>
    <row r="327" spans="1:45" s="25" customFormat="1">
      <c r="A327" s="4" t="s">
        <v>5462</v>
      </c>
      <c r="B327" s="21">
        <f t="shared" si="35"/>
        <v>325</v>
      </c>
      <c r="C327" s="13" t="str">
        <f t="shared" si="34"/>
        <v>C698_疾患開始日</v>
      </c>
      <c r="D327" s="13" t="s">
        <v>5979</v>
      </c>
      <c r="E327" s="8"/>
      <c r="F327" s="7" t="s">
        <v>4348</v>
      </c>
      <c r="G327" s="7" t="s">
        <v>25</v>
      </c>
      <c r="H327" s="58"/>
      <c r="I327" s="23"/>
      <c r="J327" s="24"/>
      <c r="M327" s="4"/>
      <c r="N327" s="76"/>
      <c r="O327" s="76"/>
      <c r="P327" s="76" t="str">
        <f t="shared" si="27"/>
        <v>,shikkan319_start_date</v>
      </c>
      <c r="Q327" s="76" t="str">
        <f t="shared" si="28"/>
        <v>DATE</v>
      </c>
      <c r="R327" s="76" t="str">
        <f t="shared" si="29"/>
        <v/>
      </c>
      <c r="S327" s="76" t="str">
        <f t="shared" si="30"/>
        <v/>
      </c>
      <c r="T327" s="76" t="str">
        <f t="shared" si="31"/>
        <v>-- C698_疾患開始日</v>
      </c>
      <c r="U327" s="4" t="str">
        <f t="shared" si="32"/>
        <v>,'shikkan319_start_date'</v>
      </c>
      <c r="V327" s="25" t="str">
        <f t="shared" si="33"/>
        <v>,'shikkan319_start_date' : 'C698_疾患開始日'</v>
      </c>
      <c r="X327" s="25">
        <v>1</v>
      </c>
      <c r="AA327" s="4"/>
      <c r="AB327" s="4"/>
      <c r="AC327" s="4"/>
      <c r="AD327" s="4"/>
      <c r="AE327" s="4"/>
      <c r="AF327" s="4"/>
      <c r="AG327" s="4"/>
      <c r="AH327" s="4"/>
      <c r="AI327" s="4"/>
      <c r="AJ327" s="76" t="str">
        <f>IF(E327="○",IF(COUNTA(E$13:E327)=1,"",",")&amp;D327,"")</f>
        <v/>
      </c>
      <c r="AK327" s="4"/>
      <c r="AL327" s="4"/>
      <c r="AM327" s="4"/>
      <c r="AN327" s="4"/>
      <c r="AO327" s="4"/>
      <c r="AP327" s="4"/>
      <c r="AQ327" s="4"/>
      <c r="AR327" s="4"/>
      <c r="AS327" s="76" t="str">
        <f>"COMMENT ON COLUMN "&amp;エンティティ一覧!$O$2&amp;"."&amp;D$8&amp;"."&amp;D327&amp;" IS '"&amp;C327&amp;"';"</f>
        <v>COMMENT ON COLUMN milscm_2023_009.main_diagnosis_start_date.shikkan319_start_date IS 'C698_疾患開始日';</v>
      </c>
    </row>
    <row r="328" spans="1:45" s="25" customFormat="1">
      <c r="A328" s="4" t="s">
        <v>5463</v>
      </c>
      <c r="B328" s="21">
        <f t="shared" si="35"/>
        <v>326</v>
      </c>
      <c r="C328" s="13" t="str">
        <f t="shared" si="34"/>
        <v>C699_疾患開始日</v>
      </c>
      <c r="D328" s="13" t="s">
        <v>5980</v>
      </c>
      <c r="E328" s="8"/>
      <c r="F328" s="7" t="s">
        <v>4348</v>
      </c>
      <c r="G328" s="7" t="s">
        <v>99</v>
      </c>
      <c r="H328" s="58"/>
      <c r="I328" s="23"/>
      <c r="J328" s="24"/>
      <c r="M328" s="4"/>
      <c r="N328" s="76"/>
      <c r="O328" s="76"/>
      <c r="P328" s="76" t="str">
        <f t="shared" ref="P328:P391" si="36">IF(B328&lt;&gt;1,","&amp;D328,D328)</f>
        <v>,shikkan320_start_date</v>
      </c>
      <c r="Q328" s="76" t="str">
        <f t="shared" ref="Q328:Q391" si="37">UPPER(G328)</f>
        <v>DATE</v>
      </c>
      <c r="R328" s="76" t="str">
        <f t="shared" ref="R328:R391" si="38">IF(H328&lt;&gt;"","default "&amp;IF(G328="text","'"&amp;H328&amp;"'",H328),"")</f>
        <v/>
      </c>
      <c r="S328" s="76" t="str">
        <f t="shared" ref="S328:S391" si="39">IF(I328="○","NOT NULL","")</f>
        <v/>
      </c>
      <c r="T328" s="76" t="str">
        <f t="shared" ref="T328:T391" si="40">"-- "&amp;C328</f>
        <v>-- C699_疾患開始日</v>
      </c>
      <c r="U328" s="4" t="str">
        <f t="shared" si="32"/>
        <v>,'shikkan320_start_date'</v>
      </c>
      <c r="V328" s="25" t="str">
        <f t="shared" si="33"/>
        <v>,'shikkan320_start_date' : 'C699_疾患開始日'</v>
      </c>
      <c r="X328" s="25">
        <v>1</v>
      </c>
      <c r="AA328" s="4"/>
      <c r="AB328" s="4"/>
      <c r="AC328" s="4"/>
      <c r="AD328" s="4"/>
      <c r="AE328" s="4"/>
      <c r="AF328" s="4"/>
      <c r="AG328" s="4"/>
      <c r="AH328" s="4"/>
      <c r="AI328" s="4"/>
      <c r="AJ328" s="76" t="str">
        <f>IF(E328="○",IF(COUNTA(E$13:E328)=1,"",",")&amp;D328,"")</f>
        <v/>
      </c>
      <c r="AK328" s="4"/>
      <c r="AL328" s="4"/>
      <c r="AM328" s="4"/>
      <c r="AN328" s="4"/>
      <c r="AO328" s="4"/>
      <c r="AP328" s="4"/>
      <c r="AQ328" s="4"/>
      <c r="AR328" s="4"/>
      <c r="AS328" s="76" t="str">
        <f>"COMMENT ON COLUMN "&amp;エンティティ一覧!$O$2&amp;"."&amp;D$8&amp;"."&amp;D328&amp;" IS '"&amp;C328&amp;"';"</f>
        <v>COMMENT ON COLUMN milscm_2023_009.main_diagnosis_start_date.shikkan320_start_date IS 'C699_疾患開始日';</v>
      </c>
    </row>
    <row r="329" spans="1:45" s="25" customFormat="1">
      <c r="A329" s="4" t="s">
        <v>5464</v>
      </c>
      <c r="B329" s="21">
        <f t="shared" si="35"/>
        <v>327</v>
      </c>
      <c r="C329" s="13" t="str">
        <f t="shared" si="34"/>
        <v>C700_疾患開始日</v>
      </c>
      <c r="D329" s="13" t="s">
        <v>5981</v>
      </c>
      <c r="E329" s="8"/>
      <c r="F329" s="7" t="s">
        <v>4348</v>
      </c>
      <c r="G329" s="7" t="s">
        <v>25</v>
      </c>
      <c r="H329" s="58"/>
      <c r="I329" s="23"/>
      <c r="J329" s="24"/>
      <c r="M329" s="4"/>
      <c r="N329" s="76"/>
      <c r="O329" s="76"/>
      <c r="P329" s="76" t="str">
        <f t="shared" si="36"/>
        <v>,shikkan321_start_date</v>
      </c>
      <c r="Q329" s="76" t="str">
        <f t="shared" si="37"/>
        <v>DATE</v>
      </c>
      <c r="R329" s="76" t="str">
        <f t="shared" si="38"/>
        <v/>
      </c>
      <c r="S329" s="76" t="str">
        <f t="shared" si="39"/>
        <v/>
      </c>
      <c r="T329" s="76" t="str">
        <f t="shared" si="40"/>
        <v>-- C700_疾患開始日</v>
      </c>
      <c r="U329" s="4" t="str">
        <f t="shared" ref="U329:U392" si="41">IF(B329&lt;&gt;1,",","")&amp;"'"&amp;D329&amp;"'"</f>
        <v>,'shikkan321_start_date'</v>
      </c>
      <c r="V329" s="25" t="str">
        <f t="shared" ref="V329:V392" si="42">U329&amp;" : '"&amp;C329&amp;"'"</f>
        <v>,'shikkan321_start_date' : 'C700_疾患開始日'</v>
      </c>
      <c r="X329" s="25">
        <v>1</v>
      </c>
      <c r="AA329" s="4"/>
      <c r="AB329" s="4"/>
      <c r="AC329" s="4"/>
      <c r="AD329" s="4"/>
      <c r="AE329" s="4"/>
      <c r="AF329" s="4"/>
      <c r="AG329" s="4"/>
      <c r="AH329" s="4"/>
      <c r="AI329" s="4"/>
      <c r="AJ329" s="76" t="str">
        <f>IF(E329="○",IF(COUNTA(E$13:E329)=1,"",",")&amp;D329,"")</f>
        <v/>
      </c>
      <c r="AK329" s="4"/>
      <c r="AL329" s="4"/>
      <c r="AM329" s="4"/>
      <c r="AN329" s="4"/>
      <c r="AO329" s="4"/>
      <c r="AP329" s="4"/>
      <c r="AQ329" s="4"/>
      <c r="AR329" s="4"/>
      <c r="AS329" s="76" t="str">
        <f>"COMMENT ON COLUMN "&amp;エンティティ一覧!$O$2&amp;"."&amp;D$8&amp;"."&amp;D329&amp;" IS '"&amp;C329&amp;"';"</f>
        <v>COMMENT ON COLUMN milscm_2023_009.main_diagnosis_start_date.shikkan321_start_date IS 'C700_疾患開始日';</v>
      </c>
    </row>
    <row r="330" spans="1:45" s="25" customFormat="1">
      <c r="A330" s="4" t="s">
        <v>5465</v>
      </c>
      <c r="B330" s="21">
        <f t="shared" si="35"/>
        <v>328</v>
      </c>
      <c r="C330" s="13" t="str">
        <f t="shared" ref="C330:C393" si="43">A330&amp;"_疾患開始日"</f>
        <v>C701_疾患開始日</v>
      </c>
      <c r="D330" s="13" t="s">
        <v>5982</v>
      </c>
      <c r="E330" s="8"/>
      <c r="F330" s="7" t="s">
        <v>4348</v>
      </c>
      <c r="G330" s="7" t="s">
        <v>25</v>
      </c>
      <c r="H330" s="58"/>
      <c r="I330" s="23"/>
      <c r="J330" s="24"/>
      <c r="M330" s="4"/>
      <c r="N330" s="76"/>
      <c r="O330" s="76"/>
      <c r="P330" s="76" t="str">
        <f t="shared" si="36"/>
        <v>,shikkan322_start_date</v>
      </c>
      <c r="Q330" s="76" t="str">
        <f t="shared" si="37"/>
        <v>DATE</v>
      </c>
      <c r="R330" s="76" t="str">
        <f t="shared" si="38"/>
        <v/>
      </c>
      <c r="S330" s="76" t="str">
        <f t="shared" si="39"/>
        <v/>
      </c>
      <c r="T330" s="76" t="str">
        <f t="shared" si="40"/>
        <v>-- C701_疾患開始日</v>
      </c>
      <c r="U330" s="4" t="str">
        <f t="shared" si="41"/>
        <v>,'shikkan322_start_date'</v>
      </c>
      <c r="V330" s="25" t="str">
        <f t="shared" si="42"/>
        <v>,'shikkan322_start_date' : 'C701_疾患開始日'</v>
      </c>
      <c r="X330" s="25">
        <v>1</v>
      </c>
      <c r="AA330" s="4"/>
      <c r="AB330" s="4"/>
      <c r="AC330" s="4"/>
      <c r="AD330" s="4"/>
      <c r="AE330" s="4"/>
      <c r="AF330" s="4"/>
      <c r="AG330" s="4"/>
      <c r="AH330" s="4"/>
      <c r="AI330" s="4"/>
      <c r="AJ330" s="76" t="str">
        <f>IF(E330="○",IF(COUNTA(E$13:E330)=1,"",",")&amp;D330,"")</f>
        <v/>
      </c>
      <c r="AK330" s="4"/>
      <c r="AL330" s="4"/>
      <c r="AM330" s="4"/>
      <c r="AN330" s="4"/>
      <c r="AO330" s="4"/>
      <c r="AP330" s="4"/>
      <c r="AQ330" s="4"/>
      <c r="AR330" s="4"/>
      <c r="AS330" s="76" t="str">
        <f>"COMMENT ON COLUMN "&amp;エンティティ一覧!$O$2&amp;"."&amp;D$8&amp;"."&amp;D330&amp;" IS '"&amp;C330&amp;"';"</f>
        <v>COMMENT ON COLUMN milscm_2023_009.main_diagnosis_start_date.shikkan322_start_date IS 'C701_疾患開始日';</v>
      </c>
    </row>
    <row r="331" spans="1:45" s="25" customFormat="1">
      <c r="A331" s="4" t="s">
        <v>5466</v>
      </c>
      <c r="B331" s="21">
        <f t="shared" si="35"/>
        <v>329</v>
      </c>
      <c r="C331" s="13" t="str">
        <f t="shared" si="43"/>
        <v>C709_疾患開始日</v>
      </c>
      <c r="D331" s="13" t="s">
        <v>5983</v>
      </c>
      <c r="E331" s="8"/>
      <c r="F331" s="7" t="s">
        <v>4348</v>
      </c>
      <c r="G331" s="7" t="s">
        <v>25</v>
      </c>
      <c r="H331" s="58"/>
      <c r="I331" s="23"/>
      <c r="J331" s="24"/>
      <c r="M331" s="4"/>
      <c r="N331" s="76"/>
      <c r="O331" s="76"/>
      <c r="P331" s="76" t="str">
        <f t="shared" si="36"/>
        <v>,shikkan323_start_date</v>
      </c>
      <c r="Q331" s="76" t="str">
        <f t="shared" si="37"/>
        <v>DATE</v>
      </c>
      <c r="R331" s="76" t="str">
        <f t="shared" si="38"/>
        <v/>
      </c>
      <c r="S331" s="76" t="str">
        <f t="shared" si="39"/>
        <v/>
      </c>
      <c r="T331" s="76" t="str">
        <f t="shared" si="40"/>
        <v>-- C709_疾患開始日</v>
      </c>
      <c r="U331" s="4" t="str">
        <f t="shared" si="41"/>
        <v>,'shikkan323_start_date'</v>
      </c>
      <c r="V331" s="25" t="str">
        <f t="shared" si="42"/>
        <v>,'shikkan323_start_date' : 'C709_疾患開始日'</v>
      </c>
      <c r="X331" s="25">
        <v>1</v>
      </c>
      <c r="AA331" s="4"/>
      <c r="AB331" s="4"/>
      <c r="AC331" s="4"/>
      <c r="AD331" s="4"/>
      <c r="AE331" s="4"/>
      <c r="AF331" s="4"/>
      <c r="AG331" s="4"/>
      <c r="AH331" s="4"/>
      <c r="AI331" s="4"/>
      <c r="AJ331" s="76" t="str">
        <f>IF(E331="○",IF(COUNTA(E$13:E331)=1,"",",")&amp;D331,"")</f>
        <v/>
      </c>
      <c r="AK331" s="4"/>
      <c r="AL331" s="4"/>
      <c r="AM331" s="4"/>
      <c r="AN331" s="4"/>
      <c r="AO331" s="4"/>
      <c r="AP331" s="4"/>
      <c r="AQ331" s="4"/>
      <c r="AR331" s="4"/>
      <c r="AS331" s="76" t="str">
        <f>"COMMENT ON COLUMN "&amp;エンティティ一覧!$O$2&amp;"."&amp;D$8&amp;"."&amp;D331&amp;" IS '"&amp;C331&amp;"';"</f>
        <v>COMMENT ON COLUMN milscm_2023_009.main_diagnosis_start_date.shikkan323_start_date IS 'C709_疾患開始日';</v>
      </c>
    </row>
    <row r="332" spans="1:45" s="25" customFormat="1">
      <c r="A332" s="4" t="s">
        <v>5467</v>
      </c>
      <c r="B332" s="21">
        <f t="shared" si="35"/>
        <v>330</v>
      </c>
      <c r="C332" s="13" t="str">
        <f t="shared" si="43"/>
        <v>C710_疾患開始日</v>
      </c>
      <c r="D332" s="13" t="s">
        <v>5984</v>
      </c>
      <c r="E332" s="8"/>
      <c r="F332" s="7" t="s">
        <v>4348</v>
      </c>
      <c r="G332" s="7" t="s">
        <v>25</v>
      </c>
      <c r="H332" s="58"/>
      <c r="I332" s="23"/>
      <c r="J332" s="24"/>
      <c r="M332" s="4"/>
      <c r="N332" s="76"/>
      <c r="O332" s="76"/>
      <c r="P332" s="76" t="str">
        <f t="shared" si="36"/>
        <v>,shikkan324_start_date</v>
      </c>
      <c r="Q332" s="76" t="str">
        <f t="shared" si="37"/>
        <v>DATE</v>
      </c>
      <c r="R332" s="76" t="str">
        <f t="shared" si="38"/>
        <v/>
      </c>
      <c r="S332" s="76" t="str">
        <f t="shared" si="39"/>
        <v/>
      </c>
      <c r="T332" s="76" t="str">
        <f t="shared" si="40"/>
        <v>-- C710_疾患開始日</v>
      </c>
      <c r="U332" s="4" t="str">
        <f t="shared" si="41"/>
        <v>,'shikkan324_start_date'</v>
      </c>
      <c r="V332" s="25" t="str">
        <f t="shared" si="42"/>
        <v>,'shikkan324_start_date' : 'C710_疾患開始日'</v>
      </c>
      <c r="X332" s="25">
        <v>1</v>
      </c>
      <c r="AA332" s="4"/>
      <c r="AB332" s="4"/>
      <c r="AC332" s="4"/>
      <c r="AD332" s="4"/>
      <c r="AE332" s="4"/>
      <c r="AF332" s="4"/>
      <c r="AG332" s="4"/>
      <c r="AH332" s="4"/>
      <c r="AI332" s="4"/>
      <c r="AJ332" s="76" t="str">
        <f>IF(E332="○",IF(COUNTA(E$13:E332)=1,"",",")&amp;D332,"")</f>
        <v/>
      </c>
      <c r="AK332" s="4"/>
      <c r="AL332" s="4"/>
      <c r="AM332" s="4"/>
      <c r="AN332" s="4"/>
      <c r="AO332" s="4"/>
      <c r="AP332" s="4"/>
      <c r="AQ332" s="4"/>
      <c r="AR332" s="4"/>
      <c r="AS332" s="76" t="str">
        <f>"COMMENT ON COLUMN "&amp;エンティティ一覧!$O$2&amp;"."&amp;D$8&amp;"."&amp;D332&amp;" IS '"&amp;C332&amp;"';"</f>
        <v>COMMENT ON COLUMN milscm_2023_009.main_diagnosis_start_date.shikkan324_start_date IS 'C710_疾患開始日';</v>
      </c>
    </row>
    <row r="333" spans="1:45" s="25" customFormat="1">
      <c r="A333" s="4" t="s">
        <v>5468</v>
      </c>
      <c r="B333" s="21">
        <f t="shared" si="35"/>
        <v>331</v>
      </c>
      <c r="C333" s="13" t="str">
        <f t="shared" si="43"/>
        <v>C711_疾患開始日</v>
      </c>
      <c r="D333" s="13" t="s">
        <v>5985</v>
      </c>
      <c r="E333" s="8"/>
      <c r="F333" s="7" t="s">
        <v>4348</v>
      </c>
      <c r="G333" s="7" t="s">
        <v>25</v>
      </c>
      <c r="H333" s="58"/>
      <c r="I333" s="23"/>
      <c r="J333" s="24"/>
      <c r="M333" s="4"/>
      <c r="N333" s="76"/>
      <c r="O333" s="76"/>
      <c r="P333" s="76" t="str">
        <f t="shared" si="36"/>
        <v>,shikkan325_start_date</v>
      </c>
      <c r="Q333" s="76" t="str">
        <f t="shared" si="37"/>
        <v>DATE</v>
      </c>
      <c r="R333" s="76" t="str">
        <f t="shared" si="38"/>
        <v/>
      </c>
      <c r="S333" s="76" t="str">
        <f t="shared" si="39"/>
        <v/>
      </c>
      <c r="T333" s="76" t="str">
        <f t="shared" si="40"/>
        <v>-- C711_疾患開始日</v>
      </c>
      <c r="U333" s="4" t="str">
        <f t="shared" si="41"/>
        <v>,'shikkan325_start_date'</v>
      </c>
      <c r="V333" s="25" t="str">
        <f t="shared" si="42"/>
        <v>,'shikkan325_start_date' : 'C711_疾患開始日'</v>
      </c>
      <c r="X333" s="25">
        <v>1</v>
      </c>
      <c r="AA333" s="4"/>
      <c r="AB333" s="4"/>
      <c r="AC333" s="4"/>
      <c r="AD333" s="4"/>
      <c r="AE333" s="4"/>
      <c r="AF333" s="4"/>
      <c r="AG333" s="4"/>
      <c r="AH333" s="4"/>
      <c r="AI333" s="4"/>
      <c r="AJ333" s="76" t="str">
        <f>IF(E333="○",IF(COUNTA(E$13:E333)=1,"",",")&amp;D333,"")</f>
        <v/>
      </c>
      <c r="AK333" s="4"/>
      <c r="AL333" s="4"/>
      <c r="AM333" s="4"/>
      <c r="AN333" s="4"/>
      <c r="AO333" s="4"/>
      <c r="AP333" s="4"/>
      <c r="AQ333" s="4"/>
      <c r="AR333" s="4"/>
      <c r="AS333" s="76" t="str">
        <f>"COMMENT ON COLUMN "&amp;エンティティ一覧!$O$2&amp;"."&amp;D$8&amp;"."&amp;D333&amp;" IS '"&amp;C333&amp;"';"</f>
        <v>COMMENT ON COLUMN milscm_2023_009.main_diagnosis_start_date.shikkan325_start_date IS 'C711_疾患開始日';</v>
      </c>
    </row>
    <row r="334" spans="1:45" s="25" customFormat="1">
      <c r="A334" s="4" t="s">
        <v>5469</v>
      </c>
      <c r="B334" s="21">
        <f t="shared" si="35"/>
        <v>332</v>
      </c>
      <c r="C334" s="13" t="str">
        <f t="shared" si="43"/>
        <v>C712_疾患開始日</v>
      </c>
      <c r="D334" s="13" t="s">
        <v>5986</v>
      </c>
      <c r="E334" s="8"/>
      <c r="F334" s="7" t="s">
        <v>4348</v>
      </c>
      <c r="G334" s="7" t="s">
        <v>25</v>
      </c>
      <c r="H334" s="58"/>
      <c r="I334" s="23"/>
      <c r="J334" s="24"/>
      <c r="M334" s="4"/>
      <c r="N334" s="76"/>
      <c r="O334" s="76"/>
      <c r="P334" s="76" t="str">
        <f t="shared" si="36"/>
        <v>,shikkan326_start_date</v>
      </c>
      <c r="Q334" s="76" t="str">
        <f t="shared" si="37"/>
        <v>DATE</v>
      </c>
      <c r="R334" s="76" t="str">
        <f t="shared" si="38"/>
        <v/>
      </c>
      <c r="S334" s="76" t="str">
        <f t="shared" si="39"/>
        <v/>
      </c>
      <c r="T334" s="76" t="str">
        <f t="shared" si="40"/>
        <v>-- C712_疾患開始日</v>
      </c>
      <c r="U334" s="4" t="str">
        <f t="shared" si="41"/>
        <v>,'shikkan326_start_date'</v>
      </c>
      <c r="V334" s="25" t="str">
        <f t="shared" si="42"/>
        <v>,'shikkan326_start_date' : 'C712_疾患開始日'</v>
      </c>
      <c r="X334" s="25">
        <v>1</v>
      </c>
      <c r="AA334" s="4"/>
      <c r="AB334" s="4"/>
      <c r="AC334" s="4"/>
      <c r="AD334" s="4"/>
      <c r="AE334" s="4"/>
      <c r="AF334" s="4"/>
      <c r="AG334" s="4"/>
      <c r="AH334" s="4"/>
      <c r="AI334" s="4"/>
      <c r="AJ334" s="76" t="str">
        <f>IF(E334="○",IF(COUNTA(E$13:E334)=1,"",",")&amp;D334,"")</f>
        <v/>
      </c>
      <c r="AK334" s="4"/>
      <c r="AL334" s="4"/>
      <c r="AM334" s="4"/>
      <c r="AN334" s="4"/>
      <c r="AO334" s="4"/>
      <c r="AP334" s="4"/>
      <c r="AQ334" s="4"/>
      <c r="AR334" s="4"/>
      <c r="AS334" s="76" t="str">
        <f>"COMMENT ON COLUMN "&amp;エンティティ一覧!$O$2&amp;"."&amp;D$8&amp;"."&amp;D334&amp;" IS '"&amp;C334&amp;"';"</f>
        <v>COMMENT ON COLUMN milscm_2023_009.main_diagnosis_start_date.shikkan326_start_date IS 'C712_疾患開始日';</v>
      </c>
    </row>
    <row r="335" spans="1:45" s="25" customFormat="1">
      <c r="A335" s="4" t="s">
        <v>5470</v>
      </c>
      <c r="B335" s="21">
        <f t="shared" si="35"/>
        <v>333</v>
      </c>
      <c r="C335" s="13" t="str">
        <f t="shared" si="43"/>
        <v>C713_疾患開始日</v>
      </c>
      <c r="D335" s="13" t="s">
        <v>5987</v>
      </c>
      <c r="E335" s="8"/>
      <c r="F335" s="7" t="s">
        <v>4348</v>
      </c>
      <c r="G335" s="7" t="s">
        <v>25</v>
      </c>
      <c r="H335" s="58"/>
      <c r="I335" s="23"/>
      <c r="J335" s="24"/>
      <c r="M335" s="4"/>
      <c r="N335" s="76"/>
      <c r="O335" s="76"/>
      <c r="P335" s="76" t="str">
        <f t="shared" si="36"/>
        <v>,shikkan327_start_date</v>
      </c>
      <c r="Q335" s="76" t="str">
        <f t="shared" si="37"/>
        <v>DATE</v>
      </c>
      <c r="R335" s="76" t="str">
        <f t="shared" si="38"/>
        <v/>
      </c>
      <c r="S335" s="76" t="str">
        <f t="shared" si="39"/>
        <v/>
      </c>
      <c r="T335" s="76" t="str">
        <f t="shared" si="40"/>
        <v>-- C713_疾患開始日</v>
      </c>
      <c r="U335" s="4" t="str">
        <f t="shared" si="41"/>
        <v>,'shikkan327_start_date'</v>
      </c>
      <c r="V335" s="25" t="str">
        <f t="shared" si="42"/>
        <v>,'shikkan327_start_date' : 'C713_疾患開始日'</v>
      </c>
      <c r="X335" s="25">
        <v>1</v>
      </c>
      <c r="AA335" s="4"/>
      <c r="AB335" s="4"/>
      <c r="AC335" s="4"/>
      <c r="AD335" s="4"/>
      <c r="AE335" s="4"/>
      <c r="AF335" s="4"/>
      <c r="AG335" s="4"/>
      <c r="AH335" s="4"/>
      <c r="AI335" s="4"/>
      <c r="AJ335" s="76" t="str">
        <f>IF(E335="○",IF(COUNTA(E$13:E335)=1,"",",")&amp;D335,"")</f>
        <v/>
      </c>
      <c r="AK335" s="4"/>
      <c r="AL335" s="4"/>
      <c r="AM335" s="4"/>
      <c r="AN335" s="4"/>
      <c r="AO335" s="4"/>
      <c r="AP335" s="4"/>
      <c r="AQ335" s="4"/>
      <c r="AR335" s="4"/>
      <c r="AS335" s="76" t="str">
        <f>"COMMENT ON COLUMN "&amp;エンティティ一覧!$O$2&amp;"."&amp;D$8&amp;"."&amp;D335&amp;" IS '"&amp;C335&amp;"';"</f>
        <v>COMMENT ON COLUMN milscm_2023_009.main_diagnosis_start_date.shikkan327_start_date IS 'C713_疾患開始日';</v>
      </c>
    </row>
    <row r="336" spans="1:45" s="25" customFormat="1">
      <c r="A336" s="4" t="s">
        <v>5471</v>
      </c>
      <c r="B336" s="21">
        <f t="shared" si="35"/>
        <v>334</v>
      </c>
      <c r="C336" s="13" t="str">
        <f t="shared" si="43"/>
        <v>C714_疾患開始日</v>
      </c>
      <c r="D336" s="13" t="s">
        <v>5988</v>
      </c>
      <c r="E336" s="8"/>
      <c r="F336" s="7" t="s">
        <v>4348</v>
      </c>
      <c r="G336" s="7" t="s">
        <v>25</v>
      </c>
      <c r="H336" s="58"/>
      <c r="I336" s="23"/>
      <c r="J336" s="24"/>
      <c r="M336" s="4"/>
      <c r="N336" s="76"/>
      <c r="O336" s="76"/>
      <c r="P336" s="76" t="str">
        <f t="shared" si="36"/>
        <v>,shikkan328_start_date</v>
      </c>
      <c r="Q336" s="76" t="str">
        <f t="shared" si="37"/>
        <v>DATE</v>
      </c>
      <c r="R336" s="76" t="str">
        <f t="shared" si="38"/>
        <v/>
      </c>
      <c r="S336" s="76" t="str">
        <f t="shared" si="39"/>
        <v/>
      </c>
      <c r="T336" s="76" t="str">
        <f t="shared" si="40"/>
        <v>-- C714_疾患開始日</v>
      </c>
      <c r="U336" s="4" t="str">
        <f t="shared" si="41"/>
        <v>,'shikkan328_start_date'</v>
      </c>
      <c r="V336" s="25" t="str">
        <f t="shared" si="42"/>
        <v>,'shikkan328_start_date' : 'C714_疾患開始日'</v>
      </c>
      <c r="X336" s="25">
        <v>1</v>
      </c>
      <c r="AA336" s="4"/>
      <c r="AB336" s="4"/>
      <c r="AC336" s="4"/>
      <c r="AD336" s="4"/>
      <c r="AE336" s="4"/>
      <c r="AF336" s="4"/>
      <c r="AG336" s="4"/>
      <c r="AH336" s="4"/>
      <c r="AI336" s="4"/>
      <c r="AJ336" s="76" t="str">
        <f>IF(E336="○",IF(COUNTA(E$13:E336)=1,"",",")&amp;D336,"")</f>
        <v/>
      </c>
      <c r="AK336" s="4"/>
      <c r="AL336" s="4"/>
      <c r="AM336" s="4"/>
      <c r="AN336" s="4"/>
      <c r="AO336" s="4"/>
      <c r="AP336" s="4"/>
      <c r="AQ336" s="4"/>
      <c r="AR336" s="4"/>
      <c r="AS336" s="76" t="str">
        <f>"COMMENT ON COLUMN "&amp;エンティティ一覧!$O$2&amp;"."&amp;D$8&amp;"."&amp;D336&amp;" IS '"&amp;C336&amp;"';"</f>
        <v>COMMENT ON COLUMN milscm_2023_009.main_diagnosis_start_date.shikkan328_start_date IS 'C714_疾患開始日';</v>
      </c>
    </row>
    <row r="337" spans="1:45" s="25" customFormat="1">
      <c r="A337" s="4" t="s">
        <v>5472</v>
      </c>
      <c r="B337" s="21">
        <f t="shared" si="35"/>
        <v>335</v>
      </c>
      <c r="C337" s="13" t="str">
        <f t="shared" si="43"/>
        <v>C715_疾患開始日</v>
      </c>
      <c r="D337" s="13" t="s">
        <v>5989</v>
      </c>
      <c r="E337" s="8"/>
      <c r="F337" s="7" t="s">
        <v>4348</v>
      </c>
      <c r="G337" s="7" t="s">
        <v>25</v>
      </c>
      <c r="H337" s="58"/>
      <c r="I337" s="23"/>
      <c r="J337" s="24"/>
      <c r="M337" s="4"/>
      <c r="N337" s="76"/>
      <c r="O337" s="76"/>
      <c r="P337" s="76" t="str">
        <f t="shared" si="36"/>
        <v>,shikkan329_start_date</v>
      </c>
      <c r="Q337" s="76" t="str">
        <f t="shared" si="37"/>
        <v>DATE</v>
      </c>
      <c r="R337" s="76" t="str">
        <f t="shared" si="38"/>
        <v/>
      </c>
      <c r="S337" s="76" t="str">
        <f t="shared" si="39"/>
        <v/>
      </c>
      <c r="T337" s="76" t="str">
        <f t="shared" si="40"/>
        <v>-- C715_疾患開始日</v>
      </c>
      <c r="U337" s="4" t="str">
        <f t="shared" si="41"/>
        <v>,'shikkan329_start_date'</v>
      </c>
      <c r="V337" s="25" t="str">
        <f t="shared" si="42"/>
        <v>,'shikkan329_start_date' : 'C715_疾患開始日'</v>
      </c>
      <c r="X337" s="25">
        <v>1</v>
      </c>
      <c r="AA337" s="4"/>
      <c r="AB337" s="4"/>
      <c r="AC337" s="4"/>
      <c r="AD337" s="4"/>
      <c r="AE337" s="4"/>
      <c r="AF337" s="4"/>
      <c r="AG337" s="4"/>
      <c r="AH337" s="4"/>
      <c r="AI337" s="4"/>
      <c r="AJ337" s="76" t="str">
        <f>IF(E337="○",IF(COUNTA(E$13:E337)=1,"",",")&amp;D337,"")</f>
        <v/>
      </c>
      <c r="AK337" s="4"/>
      <c r="AL337" s="4"/>
      <c r="AM337" s="4"/>
      <c r="AN337" s="4"/>
      <c r="AO337" s="4"/>
      <c r="AP337" s="4"/>
      <c r="AQ337" s="4"/>
      <c r="AR337" s="4"/>
      <c r="AS337" s="76" t="str">
        <f>"COMMENT ON COLUMN "&amp;エンティティ一覧!$O$2&amp;"."&amp;D$8&amp;"."&amp;D337&amp;" IS '"&amp;C337&amp;"';"</f>
        <v>COMMENT ON COLUMN milscm_2023_009.main_diagnosis_start_date.shikkan329_start_date IS 'C715_疾患開始日';</v>
      </c>
    </row>
    <row r="338" spans="1:45" s="25" customFormat="1">
      <c r="A338" s="4" t="s">
        <v>5473</v>
      </c>
      <c r="B338" s="21">
        <f t="shared" si="35"/>
        <v>336</v>
      </c>
      <c r="C338" s="13" t="str">
        <f t="shared" si="43"/>
        <v>C716_疾患開始日</v>
      </c>
      <c r="D338" s="13" t="s">
        <v>5990</v>
      </c>
      <c r="E338" s="8"/>
      <c r="F338" s="7" t="s">
        <v>4348</v>
      </c>
      <c r="G338" s="7" t="s">
        <v>25</v>
      </c>
      <c r="H338" s="58"/>
      <c r="I338" s="23"/>
      <c r="J338" s="24"/>
      <c r="M338" s="4"/>
      <c r="N338" s="76"/>
      <c r="O338" s="76"/>
      <c r="P338" s="76" t="str">
        <f t="shared" si="36"/>
        <v>,shikkan330_start_date</v>
      </c>
      <c r="Q338" s="76" t="str">
        <f t="shared" si="37"/>
        <v>DATE</v>
      </c>
      <c r="R338" s="76" t="str">
        <f t="shared" si="38"/>
        <v/>
      </c>
      <c r="S338" s="76" t="str">
        <f t="shared" si="39"/>
        <v/>
      </c>
      <c r="T338" s="76" t="str">
        <f t="shared" si="40"/>
        <v>-- C716_疾患開始日</v>
      </c>
      <c r="U338" s="4" t="str">
        <f t="shared" si="41"/>
        <v>,'shikkan330_start_date'</v>
      </c>
      <c r="V338" s="25" t="str">
        <f t="shared" si="42"/>
        <v>,'shikkan330_start_date' : 'C716_疾患開始日'</v>
      </c>
      <c r="X338" s="25">
        <v>1</v>
      </c>
      <c r="AA338" s="4"/>
      <c r="AB338" s="4"/>
      <c r="AC338" s="4"/>
      <c r="AD338" s="4"/>
      <c r="AE338" s="4"/>
      <c r="AF338" s="4"/>
      <c r="AG338" s="4"/>
      <c r="AH338" s="4"/>
      <c r="AI338" s="4"/>
      <c r="AJ338" s="76" t="str">
        <f>IF(E338="○",IF(COUNTA(E$13:E338)=1,"",",")&amp;D338,"")</f>
        <v/>
      </c>
      <c r="AK338" s="4"/>
      <c r="AL338" s="4"/>
      <c r="AM338" s="4"/>
      <c r="AN338" s="4"/>
      <c r="AO338" s="4"/>
      <c r="AP338" s="4"/>
      <c r="AQ338" s="4"/>
      <c r="AR338" s="4"/>
      <c r="AS338" s="76" t="str">
        <f>"COMMENT ON COLUMN "&amp;エンティティ一覧!$O$2&amp;"."&amp;D$8&amp;"."&amp;D338&amp;" IS '"&amp;C338&amp;"';"</f>
        <v>COMMENT ON COLUMN milscm_2023_009.main_diagnosis_start_date.shikkan330_start_date IS 'C716_疾患開始日';</v>
      </c>
    </row>
    <row r="339" spans="1:45" s="25" customFormat="1">
      <c r="A339" s="4" t="s">
        <v>5474</v>
      </c>
      <c r="B339" s="21">
        <f t="shared" si="35"/>
        <v>337</v>
      </c>
      <c r="C339" s="13" t="str">
        <f t="shared" si="43"/>
        <v>C717_疾患開始日</v>
      </c>
      <c r="D339" s="13" t="s">
        <v>5991</v>
      </c>
      <c r="E339" s="8"/>
      <c r="F339" s="7" t="s">
        <v>4348</v>
      </c>
      <c r="G339" s="7" t="s">
        <v>25</v>
      </c>
      <c r="H339" s="58"/>
      <c r="I339" s="23"/>
      <c r="J339" s="24"/>
      <c r="M339" s="4"/>
      <c r="N339" s="76"/>
      <c r="O339" s="76"/>
      <c r="P339" s="76" t="str">
        <f t="shared" si="36"/>
        <v>,shikkan331_start_date</v>
      </c>
      <c r="Q339" s="76" t="str">
        <f t="shared" si="37"/>
        <v>DATE</v>
      </c>
      <c r="R339" s="76" t="str">
        <f t="shared" si="38"/>
        <v/>
      </c>
      <c r="S339" s="76" t="str">
        <f t="shared" si="39"/>
        <v/>
      </c>
      <c r="T339" s="76" t="str">
        <f t="shared" si="40"/>
        <v>-- C717_疾患開始日</v>
      </c>
      <c r="U339" s="4" t="str">
        <f t="shared" si="41"/>
        <v>,'shikkan331_start_date'</v>
      </c>
      <c r="V339" s="25" t="str">
        <f t="shared" si="42"/>
        <v>,'shikkan331_start_date' : 'C717_疾患開始日'</v>
      </c>
      <c r="X339" s="25">
        <v>1</v>
      </c>
      <c r="AA339" s="4"/>
      <c r="AB339" s="4"/>
      <c r="AC339" s="4"/>
      <c r="AD339" s="4"/>
      <c r="AE339" s="4"/>
      <c r="AF339" s="4"/>
      <c r="AG339" s="4"/>
      <c r="AH339" s="4"/>
      <c r="AI339" s="4"/>
      <c r="AJ339" s="76" t="str">
        <f>IF(E339="○",IF(COUNTA(E$13:E339)=1,"",",")&amp;D339,"")</f>
        <v/>
      </c>
      <c r="AK339" s="4"/>
      <c r="AL339" s="4"/>
      <c r="AM339" s="4"/>
      <c r="AN339" s="4"/>
      <c r="AO339" s="4"/>
      <c r="AP339" s="4"/>
      <c r="AQ339" s="4"/>
      <c r="AR339" s="4"/>
      <c r="AS339" s="76" t="str">
        <f>"COMMENT ON COLUMN "&amp;エンティティ一覧!$O$2&amp;"."&amp;D$8&amp;"."&amp;D339&amp;" IS '"&amp;C339&amp;"';"</f>
        <v>COMMENT ON COLUMN milscm_2023_009.main_diagnosis_start_date.shikkan331_start_date IS 'C717_疾患開始日';</v>
      </c>
    </row>
    <row r="340" spans="1:45" s="25" customFormat="1">
      <c r="A340" s="4" t="s">
        <v>5475</v>
      </c>
      <c r="B340" s="21">
        <f t="shared" si="35"/>
        <v>338</v>
      </c>
      <c r="C340" s="13" t="str">
        <f t="shared" si="43"/>
        <v>C718_疾患開始日</v>
      </c>
      <c r="D340" s="13" t="s">
        <v>5992</v>
      </c>
      <c r="E340" s="8"/>
      <c r="F340" s="7" t="s">
        <v>4348</v>
      </c>
      <c r="G340" s="7" t="s">
        <v>25</v>
      </c>
      <c r="H340" s="58"/>
      <c r="I340" s="23"/>
      <c r="J340" s="24"/>
      <c r="M340" s="4"/>
      <c r="N340" s="76"/>
      <c r="O340" s="76"/>
      <c r="P340" s="76" t="str">
        <f t="shared" si="36"/>
        <v>,shikkan332_start_date</v>
      </c>
      <c r="Q340" s="76" t="str">
        <f t="shared" si="37"/>
        <v>DATE</v>
      </c>
      <c r="R340" s="76" t="str">
        <f t="shared" si="38"/>
        <v/>
      </c>
      <c r="S340" s="76" t="str">
        <f t="shared" si="39"/>
        <v/>
      </c>
      <c r="T340" s="76" t="str">
        <f t="shared" si="40"/>
        <v>-- C718_疾患開始日</v>
      </c>
      <c r="U340" s="4" t="str">
        <f t="shared" si="41"/>
        <v>,'shikkan332_start_date'</v>
      </c>
      <c r="V340" s="25" t="str">
        <f t="shared" si="42"/>
        <v>,'shikkan332_start_date' : 'C718_疾患開始日'</v>
      </c>
      <c r="X340" s="25">
        <v>1</v>
      </c>
      <c r="AA340" s="4"/>
      <c r="AB340" s="4"/>
      <c r="AC340" s="4"/>
      <c r="AD340" s="4"/>
      <c r="AE340" s="4"/>
      <c r="AF340" s="4"/>
      <c r="AG340" s="4"/>
      <c r="AH340" s="4"/>
      <c r="AI340" s="4"/>
      <c r="AJ340" s="76" t="str">
        <f>IF(E340="○",IF(COUNTA(E$13:E340)=1,"",",")&amp;D340,"")</f>
        <v/>
      </c>
      <c r="AK340" s="4"/>
      <c r="AL340" s="4"/>
      <c r="AM340" s="4"/>
      <c r="AN340" s="4"/>
      <c r="AO340" s="4"/>
      <c r="AP340" s="4"/>
      <c r="AQ340" s="4"/>
      <c r="AR340" s="4"/>
      <c r="AS340" s="76" t="str">
        <f>"COMMENT ON COLUMN "&amp;エンティティ一覧!$O$2&amp;"."&amp;D$8&amp;"."&amp;D340&amp;" IS '"&amp;C340&amp;"';"</f>
        <v>COMMENT ON COLUMN milscm_2023_009.main_diagnosis_start_date.shikkan332_start_date IS 'C718_疾患開始日';</v>
      </c>
    </row>
    <row r="341" spans="1:45" s="25" customFormat="1">
      <c r="A341" s="4" t="s">
        <v>5476</v>
      </c>
      <c r="B341" s="21">
        <f t="shared" si="35"/>
        <v>339</v>
      </c>
      <c r="C341" s="13" t="str">
        <f t="shared" si="43"/>
        <v>C719_疾患開始日</v>
      </c>
      <c r="D341" s="13" t="s">
        <v>5993</v>
      </c>
      <c r="E341" s="8"/>
      <c r="F341" s="7" t="s">
        <v>4348</v>
      </c>
      <c r="G341" s="7" t="s">
        <v>25</v>
      </c>
      <c r="H341" s="58"/>
      <c r="I341" s="23"/>
      <c r="J341" s="24"/>
      <c r="M341" s="4"/>
      <c r="N341" s="76"/>
      <c r="O341" s="76"/>
      <c r="P341" s="76" t="str">
        <f t="shared" si="36"/>
        <v>,shikkan333_start_date</v>
      </c>
      <c r="Q341" s="76" t="str">
        <f t="shared" si="37"/>
        <v>DATE</v>
      </c>
      <c r="R341" s="76" t="str">
        <f t="shared" si="38"/>
        <v/>
      </c>
      <c r="S341" s="76" t="str">
        <f t="shared" si="39"/>
        <v/>
      </c>
      <c r="T341" s="76" t="str">
        <f t="shared" si="40"/>
        <v>-- C719_疾患開始日</v>
      </c>
      <c r="U341" s="4" t="str">
        <f t="shared" si="41"/>
        <v>,'shikkan333_start_date'</v>
      </c>
      <c r="V341" s="25" t="str">
        <f t="shared" si="42"/>
        <v>,'shikkan333_start_date' : 'C719_疾患開始日'</v>
      </c>
      <c r="X341" s="25">
        <v>1</v>
      </c>
      <c r="AA341" s="4"/>
      <c r="AB341" s="4"/>
      <c r="AC341" s="4"/>
      <c r="AD341" s="4"/>
      <c r="AE341" s="4"/>
      <c r="AF341" s="4"/>
      <c r="AG341" s="4"/>
      <c r="AH341" s="4"/>
      <c r="AI341" s="4"/>
      <c r="AJ341" s="76" t="str">
        <f>IF(E341="○",IF(COUNTA(E$13:E341)=1,"",",")&amp;D341,"")</f>
        <v/>
      </c>
      <c r="AK341" s="4"/>
      <c r="AL341" s="4"/>
      <c r="AM341" s="4"/>
      <c r="AN341" s="4"/>
      <c r="AO341" s="4"/>
      <c r="AP341" s="4"/>
      <c r="AQ341" s="4"/>
      <c r="AR341" s="4"/>
      <c r="AS341" s="76" t="str">
        <f>"COMMENT ON COLUMN "&amp;エンティティ一覧!$O$2&amp;"."&amp;D$8&amp;"."&amp;D341&amp;" IS '"&amp;C341&amp;"';"</f>
        <v>COMMENT ON COLUMN milscm_2023_009.main_diagnosis_start_date.shikkan333_start_date IS 'C719_疾患開始日';</v>
      </c>
    </row>
    <row r="342" spans="1:45" s="25" customFormat="1">
      <c r="A342" s="4" t="s">
        <v>5477</v>
      </c>
      <c r="B342" s="21">
        <f t="shared" si="35"/>
        <v>340</v>
      </c>
      <c r="C342" s="13" t="str">
        <f t="shared" si="43"/>
        <v>C720_疾患開始日</v>
      </c>
      <c r="D342" s="13" t="s">
        <v>5994</v>
      </c>
      <c r="E342" s="8"/>
      <c r="F342" s="7" t="s">
        <v>4348</v>
      </c>
      <c r="G342" s="7" t="s">
        <v>25</v>
      </c>
      <c r="H342" s="58"/>
      <c r="I342" s="23"/>
      <c r="J342" s="24"/>
      <c r="M342" s="4"/>
      <c r="N342" s="76"/>
      <c r="O342" s="76"/>
      <c r="P342" s="76" t="str">
        <f t="shared" si="36"/>
        <v>,shikkan334_start_date</v>
      </c>
      <c r="Q342" s="76" t="str">
        <f t="shared" si="37"/>
        <v>DATE</v>
      </c>
      <c r="R342" s="76" t="str">
        <f t="shared" si="38"/>
        <v/>
      </c>
      <c r="S342" s="76" t="str">
        <f t="shared" si="39"/>
        <v/>
      </c>
      <c r="T342" s="76" t="str">
        <f t="shared" si="40"/>
        <v>-- C720_疾患開始日</v>
      </c>
      <c r="U342" s="4" t="str">
        <f t="shared" si="41"/>
        <v>,'shikkan334_start_date'</v>
      </c>
      <c r="V342" s="25" t="str">
        <f t="shared" si="42"/>
        <v>,'shikkan334_start_date' : 'C720_疾患開始日'</v>
      </c>
      <c r="X342" s="25">
        <v>1</v>
      </c>
      <c r="AA342" s="4"/>
      <c r="AB342" s="4"/>
      <c r="AC342" s="4"/>
      <c r="AD342" s="4"/>
      <c r="AE342" s="4"/>
      <c r="AF342" s="4"/>
      <c r="AG342" s="4"/>
      <c r="AH342" s="4"/>
      <c r="AI342" s="4"/>
      <c r="AJ342" s="76" t="str">
        <f>IF(E342="○",IF(COUNTA(E$13:E342)=1,"",",")&amp;D342,"")</f>
        <v/>
      </c>
      <c r="AK342" s="4"/>
      <c r="AL342" s="4"/>
      <c r="AM342" s="4"/>
      <c r="AN342" s="4"/>
      <c r="AO342" s="4"/>
      <c r="AP342" s="4"/>
      <c r="AQ342" s="4"/>
      <c r="AR342" s="4"/>
      <c r="AS342" s="76" t="str">
        <f>"COMMENT ON COLUMN "&amp;エンティティ一覧!$O$2&amp;"."&amp;D$8&amp;"."&amp;D342&amp;" IS '"&amp;C342&amp;"';"</f>
        <v>COMMENT ON COLUMN milscm_2023_009.main_diagnosis_start_date.shikkan334_start_date IS 'C720_疾患開始日';</v>
      </c>
    </row>
    <row r="343" spans="1:45" s="25" customFormat="1">
      <c r="A343" s="4" t="s">
        <v>5478</v>
      </c>
      <c r="B343" s="21">
        <f t="shared" si="35"/>
        <v>341</v>
      </c>
      <c r="C343" s="13" t="str">
        <f t="shared" si="43"/>
        <v>C721_疾患開始日</v>
      </c>
      <c r="D343" s="13" t="s">
        <v>5995</v>
      </c>
      <c r="E343" s="8"/>
      <c r="F343" s="7" t="s">
        <v>4348</v>
      </c>
      <c r="G343" s="7" t="s">
        <v>25</v>
      </c>
      <c r="H343" s="58"/>
      <c r="I343" s="23"/>
      <c r="J343" s="24"/>
      <c r="M343" s="4"/>
      <c r="N343" s="76"/>
      <c r="O343" s="76"/>
      <c r="P343" s="76" t="str">
        <f t="shared" si="36"/>
        <v>,shikkan335_start_date</v>
      </c>
      <c r="Q343" s="76" t="str">
        <f t="shared" si="37"/>
        <v>DATE</v>
      </c>
      <c r="R343" s="76" t="str">
        <f t="shared" si="38"/>
        <v/>
      </c>
      <c r="S343" s="76" t="str">
        <f t="shared" si="39"/>
        <v/>
      </c>
      <c r="T343" s="76" t="str">
        <f t="shared" si="40"/>
        <v>-- C721_疾患開始日</v>
      </c>
      <c r="U343" s="4" t="str">
        <f t="shared" si="41"/>
        <v>,'shikkan335_start_date'</v>
      </c>
      <c r="V343" s="25" t="str">
        <f t="shared" si="42"/>
        <v>,'shikkan335_start_date' : 'C721_疾患開始日'</v>
      </c>
      <c r="X343" s="25">
        <v>1</v>
      </c>
      <c r="AA343" s="4"/>
      <c r="AB343" s="4"/>
      <c r="AC343" s="4"/>
      <c r="AD343" s="4"/>
      <c r="AE343" s="4"/>
      <c r="AF343" s="4"/>
      <c r="AG343" s="4"/>
      <c r="AH343" s="4"/>
      <c r="AI343" s="4"/>
      <c r="AJ343" s="76" t="str">
        <f>IF(E343="○",IF(COUNTA(E$13:E343)=1,"",",")&amp;D343,"")</f>
        <v/>
      </c>
      <c r="AK343" s="4"/>
      <c r="AL343" s="4"/>
      <c r="AM343" s="4"/>
      <c r="AN343" s="4"/>
      <c r="AO343" s="4"/>
      <c r="AP343" s="4"/>
      <c r="AQ343" s="4"/>
      <c r="AR343" s="4"/>
      <c r="AS343" s="76" t="str">
        <f>"COMMENT ON COLUMN "&amp;エンティティ一覧!$O$2&amp;"."&amp;D$8&amp;"."&amp;D343&amp;" IS '"&amp;C343&amp;"';"</f>
        <v>COMMENT ON COLUMN milscm_2023_009.main_diagnosis_start_date.shikkan335_start_date IS 'C721_疾患開始日';</v>
      </c>
    </row>
    <row r="344" spans="1:45" s="25" customFormat="1">
      <c r="A344" s="4" t="s">
        <v>5479</v>
      </c>
      <c r="B344" s="21">
        <f t="shared" si="35"/>
        <v>342</v>
      </c>
      <c r="C344" s="13" t="str">
        <f t="shared" si="43"/>
        <v>C722_疾患開始日</v>
      </c>
      <c r="D344" s="13" t="s">
        <v>5996</v>
      </c>
      <c r="E344" s="8"/>
      <c r="F344" s="7" t="s">
        <v>4348</v>
      </c>
      <c r="G344" s="7" t="s">
        <v>99</v>
      </c>
      <c r="H344" s="58"/>
      <c r="I344" s="23"/>
      <c r="J344" s="24"/>
      <c r="M344" s="4"/>
      <c r="N344" s="76"/>
      <c r="O344" s="76"/>
      <c r="P344" s="76" t="str">
        <f t="shared" si="36"/>
        <v>,shikkan336_start_date</v>
      </c>
      <c r="Q344" s="76" t="str">
        <f t="shared" si="37"/>
        <v>DATE</v>
      </c>
      <c r="R344" s="76" t="str">
        <f t="shared" si="38"/>
        <v/>
      </c>
      <c r="S344" s="76" t="str">
        <f t="shared" si="39"/>
        <v/>
      </c>
      <c r="T344" s="76" t="str">
        <f t="shared" si="40"/>
        <v>-- C722_疾患開始日</v>
      </c>
      <c r="U344" s="4" t="str">
        <f t="shared" si="41"/>
        <v>,'shikkan336_start_date'</v>
      </c>
      <c r="V344" s="25" t="str">
        <f t="shared" si="42"/>
        <v>,'shikkan336_start_date' : 'C722_疾患開始日'</v>
      </c>
      <c r="X344" s="25">
        <v>1</v>
      </c>
      <c r="AA344" s="4"/>
      <c r="AB344" s="4"/>
      <c r="AC344" s="4"/>
      <c r="AD344" s="4"/>
      <c r="AE344" s="4"/>
      <c r="AF344" s="4"/>
      <c r="AG344" s="4"/>
      <c r="AH344" s="4"/>
      <c r="AI344" s="4"/>
      <c r="AJ344" s="76" t="str">
        <f>IF(E344="○",IF(COUNTA(E$13:E344)=1,"",",")&amp;D344,"")</f>
        <v/>
      </c>
      <c r="AK344" s="4"/>
      <c r="AL344" s="4"/>
      <c r="AM344" s="4"/>
      <c r="AN344" s="4"/>
      <c r="AO344" s="4"/>
      <c r="AP344" s="4"/>
      <c r="AQ344" s="4"/>
      <c r="AR344" s="4"/>
      <c r="AS344" s="76" t="str">
        <f>"COMMENT ON COLUMN "&amp;エンティティ一覧!$O$2&amp;"."&amp;D$8&amp;"."&amp;D344&amp;" IS '"&amp;C344&amp;"';"</f>
        <v>COMMENT ON COLUMN milscm_2023_009.main_diagnosis_start_date.shikkan336_start_date IS 'C722_疾患開始日';</v>
      </c>
    </row>
    <row r="345" spans="1:45" s="25" customFormat="1">
      <c r="A345" s="4" t="s">
        <v>5480</v>
      </c>
      <c r="B345" s="21">
        <f t="shared" si="35"/>
        <v>343</v>
      </c>
      <c r="C345" s="13" t="str">
        <f t="shared" si="43"/>
        <v>C723_疾患開始日</v>
      </c>
      <c r="D345" s="13" t="s">
        <v>5997</v>
      </c>
      <c r="E345" s="8"/>
      <c r="F345" s="7" t="s">
        <v>4348</v>
      </c>
      <c r="G345" s="7" t="s">
        <v>25</v>
      </c>
      <c r="H345" s="58"/>
      <c r="I345" s="23"/>
      <c r="J345" s="24"/>
      <c r="M345" s="4"/>
      <c r="N345" s="76"/>
      <c r="O345" s="76"/>
      <c r="P345" s="76" t="str">
        <f t="shared" si="36"/>
        <v>,shikkan337_start_date</v>
      </c>
      <c r="Q345" s="76" t="str">
        <f t="shared" si="37"/>
        <v>DATE</v>
      </c>
      <c r="R345" s="76" t="str">
        <f t="shared" si="38"/>
        <v/>
      </c>
      <c r="S345" s="76" t="str">
        <f t="shared" si="39"/>
        <v/>
      </c>
      <c r="T345" s="76" t="str">
        <f t="shared" si="40"/>
        <v>-- C723_疾患開始日</v>
      </c>
      <c r="U345" s="4" t="str">
        <f t="shared" si="41"/>
        <v>,'shikkan337_start_date'</v>
      </c>
      <c r="V345" s="25" t="str">
        <f t="shared" si="42"/>
        <v>,'shikkan337_start_date' : 'C723_疾患開始日'</v>
      </c>
      <c r="X345" s="25">
        <v>1</v>
      </c>
      <c r="AA345" s="4"/>
      <c r="AB345" s="4"/>
      <c r="AC345" s="4"/>
      <c r="AD345" s="4"/>
      <c r="AE345" s="4"/>
      <c r="AF345" s="4"/>
      <c r="AG345" s="4"/>
      <c r="AH345" s="4"/>
      <c r="AI345" s="4"/>
      <c r="AJ345" s="76" t="str">
        <f>IF(E345="○",IF(COUNTA(E$13:E345)=1,"",",")&amp;D345,"")</f>
        <v/>
      </c>
      <c r="AK345" s="4"/>
      <c r="AL345" s="4"/>
      <c r="AM345" s="4"/>
      <c r="AN345" s="4"/>
      <c r="AO345" s="4"/>
      <c r="AP345" s="4"/>
      <c r="AQ345" s="4"/>
      <c r="AR345" s="4"/>
      <c r="AS345" s="76" t="str">
        <f>"COMMENT ON COLUMN "&amp;エンティティ一覧!$O$2&amp;"."&amp;D$8&amp;"."&amp;D345&amp;" IS '"&amp;C345&amp;"';"</f>
        <v>COMMENT ON COLUMN milscm_2023_009.main_diagnosis_start_date.shikkan337_start_date IS 'C723_疾患開始日';</v>
      </c>
    </row>
    <row r="346" spans="1:45" s="25" customFormat="1">
      <c r="A346" s="4" t="s">
        <v>5481</v>
      </c>
      <c r="B346" s="21">
        <f t="shared" si="35"/>
        <v>344</v>
      </c>
      <c r="C346" s="13" t="str">
        <f t="shared" si="43"/>
        <v>C724_疾患開始日</v>
      </c>
      <c r="D346" s="13" t="s">
        <v>5998</v>
      </c>
      <c r="E346" s="8"/>
      <c r="F346" s="7" t="s">
        <v>4348</v>
      </c>
      <c r="G346" s="7" t="s">
        <v>25</v>
      </c>
      <c r="H346" s="58"/>
      <c r="I346" s="23"/>
      <c r="J346" s="24"/>
      <c r="M346" s="4"/>
      <c r="N346" s="76"/>
      <c r="O346" s="76"/>
      <c r="P346" s="76" t="str">
        <f t="shared" si="36"/>
        <v>,shikkan338_start_date</v>
      </c>
      <c r="Q346" s="76" t="str">
        <f t="shared" si="37"/>
        <v>DATE</v>
      </c>
      <c r="R346" s="76" t="str">
        <f t="shared" si="38"/>
        <v/>
      </c>
      <c r="S346" s="76" t="str">
        <f t="shared" si="39"/>
        <v/>
      </c>
      <c r="T346" s="76" t="str">
        <f t="shared" si="40"/>
        <v>-- C724_疾患開始日</v>
      </c>
      <c r="U346" s="4" t="str">
        <f t="shared" si="41"/>
        <v>,'shikkan338_start_date'</v>
      </c>
      <c r="V346" s="25" t="str">
        <f t="shared" si="42"/>
        <v>,'shikkan338_start_date' : 'C724_疾患開始日'</v>
      </c>
      <c r="X346" s="25">
        <v>1</v>
      </c>
      <c r="AA346" s="4"/>
      <c r="AB346" s="4"/>
      <c r="AC346" s="4"/>
      <c r="AD346" s="4"/>
      <c r="AE346" s="4"/>
      <c r="AF346" s="4"/>
      <c r="AG346" s="4"/>
      <c r="AH346" s="4"/>
      <c r="AI346" s="4"/>
      <c r="AJ346" s="76" t="str">
        <f>IF(E346="○",IF(COUNTA(E$13:E346)=1,"",",")&amp;D346,"")</f>
        <v/>
      </c>
      <c r="AK346" s="4"/>
      <c r="AL346" s="4"/>
      <c r="AM346" s="4"/>
      <c r="AN346" s="4"/>
      <c r="AO346" s="4"/>
      <c r="AP346" s="4"/>
      <c r="AQ346" s="4"/>
      <c r="AR346" s="4"/>
      <c r="AS346" s="76" t="str">
        <f>"COMMENT ON COLUMN "&amp;エンティティ一覧!$O$2&amp;"."&amp;D$8&amp;"."&amp;D346&amp;" IS '"&amp;C346&amp;"';"</f>
        <v>COMMENT ON COLUMN milscm_2023_009.main_diagnosis_start_date.shikkan338_start_date IS 'C724_疾患開始日';</v>
      </c>
    </row>
    <row r="347" spans="1:45" s="25" customFormat="1">
      <c r="A347" s="4" t="s">
        <v>5482</v>
      </c>
      <c r="B347" s="21">
        <f t="shared" si="35"/>
        <v>345</v>
      </c>
      <c r="C347" s="13" t="str">
        <f t="shared" si="43"/>
        <v>C725_疾患開始日</v>
      </c>
      <c r="D347" s="13" t="s">
        <v>5999</v>
      </c>
      <c r="E347" s="8"/>
      <c r="F347" s="7" t="s">
        <v>4348</v>
      </c>
      <c r="G347" s="7" t="s">
        <v>25</v>
      </c>
      <c r="H347" s="58"/>
      <c r="I347" s="23"/>
      <c r="J347" s="24"/>
      <c r="M347" s="4"/>
      <c r="N347" s="76"/>
      <c r="O347" s="76"/>
      <c r="P347" s="76" t="str">
        <f t="shared" si="36"/>
        <v>,shikkan339_start_date</v>
      </c>
      <c r="Q347" s="76" t="str">
        <f t="shared" si="37"/>
        <v>DATE</v>
      </c>
      <c r="R347" s="76" t="str">
        <f t="shared" si="38"/>
        <v/>
      </c>
      <c r="S347" s="76" t="str">
        <f t="shared" si="39"/>
        <v/>
      </c>
      <c r="T347" s="76" t="str">
        <f t="shared" si="40"/>
        <v>-- C725_疾患開始日</v>
      </c>
      <c r="U347" s="4" t="str">
        <f t="shared" si="41"/>
        <v>,'shikkan339_start_date'</v>
      </c>
      <c r="V347" s="25" t="str">
        <f t="shared" si="42"/>
        <v>,'shikkan339_start_date' : 'C725_疾患開始日'</v>
      </c>
      <c r="X347" s="25">
        <v>1</v>
      </c>
      <c r="AA347" s="4"/>
      <c r="AB347" s="4"/>
      <c r="AC347" s="4"/>
      <c r="AD347" s="4"/>
      <c r="AE347" s="4"/>
      <c r="AF347" s="4"/>
      <c r="AG347" s="4"/>
      <c r="AH347" s="4"/>
      <c r="AI347" s="4"/>
      <c r="AJ347" s="76" t="str">
        <f>IF(E347="○",IF(COUNTA(E$13:E347)=1,"",",")&amp;D347,"")</f>
        <v/>
      </c>
      <c r="AK347" s="4"/>
      <c r="AL347" s="4"/>
      <c r="AM347" s="4"/>
      <c r="AN347" s="4"/>
      <c r="AO347" s="4"/>
      <c r="AP347" s="4"/>
      <c r="AQ347" s="4"/>
      <c r="AR347" s="4"/>
      <c r="AS347" s="76" t="str">
        <f>"COMMENT ON COLUMN "&amp;エンティティ一覧!$O$2&amp;"."&amp;D$8&amp;"."&amp;D347&amp;" IS '"&amp;C347&amp;"';"</f>
        <v>COMMENT ON COLUMN milscm_2023_009.main_diagnosis_start_date.shikkan339_start_date IS 'C725_疾患開始日';</v>
      </c>
    </row>
    <row r="348" spans="1:45" s="25" customFormat="1">
      <c r="A348" s="4" t="s">
        <v>5483</v>
      </c>
      <c r="B348" s="21">
        <f t="shared" si="35"/>
        <v>346</v>
      </c>
      <c r="C348" s="13" t="str">
        <f t="shared" si="43"/>
        <v>C728_疾患開始日</v>
      </c>
      <c r="D348" s="13" t="s">
        <v>6000</v>
      </c>
      <c r="E348" s="8"/>
      <c r="F348" s="7" t="s">
        <v>4348</v>
      </c>
      <c r="G348" s="7" t="s">
        <v>25</v>
      </c>
      <c r="H348" s="58"/>
      <c r="I348" s="23"/>
      <c r="J348" s="24"/>
      <c r="M348" s="4"/>
      <c r="N348" s="76"/>
      <c r="O348" s="76"/>
      <c r="P348" s="76" t="str">
        <f t="shared" si="36"/>
        <v>,shikkan340_start_date</v>
      </c>
      <c r="Q348" s="76" t="str">
        <f t="shared" si="37"/>
        <v>DATE</v>
      </c>
      <c r="R348" s="76" t="str">
        <f t="shared" si="38"/>
        <v/>
      </c>
      <c r="S348" s="76" t="str">
        <f t="shared" si="39"/>
        <v/>
      </c>
      <c r="T348" s="76" t="str">
        <f t="shared" si="40"/>
        <v>-- C728_疾患開始日</v>
      </c>
      <c r="U348" s="4" t="str">
        <f t="shared" si="41"/>
        <v>,'shikkan340_start_date'</v>
      </c>
      <c r="V348" s="25" t="str">
        <f t="shared" si="42"/>
        <v>,'shikkan340_start_date' : 'C728_疾患開始日'</v>
      </c>
      <c r="X348" s="25">
        <v>1</v>
      </c>
      <c r="AA348" s="4"/>
      <c r="AB348" s="4"/>
      <c r="AC348" s="4"/>
      <c r="AD348" s="4"/>
      <c r="AE348" s="4"/>
      <c r="AF348" s="4"/>
      <c r="AG348" s="4"/>
      <c r="AH348" s="4"/>
      <c r="AI348" s="4"/>
      <c r="AJ348" s="76" t="str">
        <f>IF(E348="○",IF(COUNTA(E$13:E348)=1,"",",")&amp;D348,"")</f>
        <v/>
      </c>
      <c r="AK348" s="4"/>
      <c r="AL348" s="4"/>
      <c r="AM348" s="4"/>
      <c r="AN348" s="4"/>
      <c r="AO348" s="4"/>
      <c r="AP348" s="4"/>
      <c r="AQ348" s="4"/>
      <c r="AR348" s="4"/>
      <c r="AS348" s="76" t="str">
        <f>"COMMENT ON COLUMN "&amp;エンティティ一覧!$O$2&amp;"."&amp;D$8&amp;"."&amp;D348&amp;" IS '"&amp;C348&amp;"';"</f>
        <v>COMMENT ON COLUMN milscm_2023_009.main_diagnosis_start_date.shikkan340_start_date IS 'C728_疾患開始日';</v>
      </c>
    </row>
    <row r="349" spans="1:45" s="25" customFormat="1">
      <c r="A349" s="4" t="s">
        <v>5484</v>
      </c>
      <c r="B349" s="21">
        <f t="shared" si="35"/>
        <v>347</v>
      </c>
      <c r="C349" s="13" t="str">
        <f t="shared" si="43"/>
        <v>C729_疾患開始日</v>
      </c>
      <c r="D349" s="13" t="s">
        <v>6001</v>
      </c>
      <c r="E349" s="8"/>
      <c r="F349" s="7" t="s">
        <v>4348</v>
      </c>
      <c r="G349" s="7" t="s">
        <v>25</v>
      </c>
      <c r="H349" s="58"/>
      <c r="I349" s="23"/>
      <c r="J349" s="24"/>
      <c r="M349" s="4"/>
      <c r="N349" s="76"/>
      <c r="O349" s="76"/>
      <c r="P349" s="76" t="str">
        <f t="shared" si="36"/>
        <v>,shikkan341_start_date</v>
      </c>
      <c r="Q349" s="76" t="str">
        <f t="shared" si="37"/>
        <v>DATE</v>
      </c>
      <c r="R349" s="76" t="str">
        <f t="shared" si="38"/>
        <v/>
      </c>
      <c r="S349" s="76" t="str">
        <f t="shared" si="39"/>
        <v/>
      </c>
      <c r="T349" s="76" t="str">
        <f t="shared" si="40"/>
        <v>-- C729_疾患開始日</v>
      </c>
      <c r="U349" s="4" t="str">
        <f t="shared" si="41"/>
        <v>,'shikkan341_start_date'</v>
      </c>
      <c r="V349" s="25" t="str">
        <f t="shared" si="42"/>
        <v>,'shikkan341_start_date' : 'C729_疾患開始日'</v>
      </c>
      <c r="X349" s="25">
        <v>1</v>
      </c>
      <c r="AA349" s="4"/>
      <c r="AB349" s="4"/>
      <c r="AC349" s="4"/>
      <c r="AD349" s="4"/>
      <c r="AE349" s="4"/>
      <c r="AF349" s="4"/>
      <c r="AG349" s="4"/>
      <c r="AH349" s="4"/>
      <c r="AI349" s="4"/>
      <c r="AJ349" s="76" t="str">
        <f>IF(E349="○",IF(COUNTA(E$13:E349)=1,"",",")&amp;D349,"")</f>
        <v/>
      </c>
      <c r="AK349" s="4"/>
      <c r="AL349" s="4"/>
      <c r="AM349" s="4"/>
      <c r="AN349" s="4"/>
      <c r="AO349" s="4"/>
      <c r="AP349" s="4"/>
      <c r="AQ349" s="4"/>
      <c r="AR349" s="4"/>
      <c r="AS349" s="76" t="str">
        <f>"COMMENT ON COLUMN "&amp;エンティティ一覧!$O$2&amp;"."&amp;D$8&amp;"."&amp;D349&amp;" IS '"&amp;C349&amp;"';"</f>
        <v>COMMENT ON COLUMN milscm_2023_009.main_diagnosis_start_date.shikkan341_start_date IS 'C729_疾患開始日';</v>
      </c>
    </row>
    <row r="350" spans="1:45" s="25" customFormat="1">
      <c r="A350" s="4" t="s">
        <v>5156</v>
      </c>
      <c r="B350" s="21">
        <f t="shared" si="35"/>
        <v>348</v>
      </c>
      <c r="C350" s="13" t="str">
        <f t="shared" si="43"/>
        <v>C73_疾患開始日</v>
      </c>
      <c r="D350" s="13" t="s">
        <v>6002</v>
      </c>
      <c r="E350" s="8"/>
      <c r="F350" s="7" t="s">
        <v>4348</v>
      </c>
      <c r="G350" s="7" t="s">
        <v>25</v>
      </c>
      <c r="H350" s="58"/>
      <c r="I350" s="23"/>
      <c r="J350" s="24"/>
      <c r="M350" s="4"/>
      <c r="N350" s="76"/>
      <c r="O350" s="76"/>
      <c r="P350" s="76" t="str">
        <f t="shared" si="36"/>
        <v>,shikkan342_start_date</v>
      </c>
      <c r="Q350" s="76" t="str">
        <f t="shared" si="37"/>
        <v>DATE</v>
      </c>
      <c r="R350" s="76" t="str">
        <f t="shared" si="38"/>
        <v/>
      </c>
      <c r="S350" s="76" t="str">
        <f t="shared" si="39"/>
        <v/>
      </c>
      <c r="T350" s="76" t="str">
        <f t="shared" si="40"/>
        <v>-- C73_疾患開始日</v>
      </c>
      <c r="U350" s="4" t="str">
        <f t="shared" si="41"/>
        <v>,'shikkan342_start_date'</v>
      </c>
      <c r="V350" s="25" t="str">
        <f t="shared" si="42"/>
        <v>,'shikkan342_start_date' : 'C73_疾患開始日'</v>
      </c>
      <c r="X350" s="25">
        <v>1</v>
      </c>
      <c r="AA350" s="4"/>
      <c r="AB350" s="4"/>
      <c r="AC350" s="4"/>
      <c r="AD350" s="4"/>
      <c r="AE350" s="4"/>
      <c r="AF350" s="4"/>
      <c r="AG350" s="4"/>
      <c r="AH350" s="4"/>
      <c r="AI350" s="4"/>
      <c r="AJ350" s="76" t="str">
        <f>IF(E350="○",IF(COUNTA(E$13:E350)=1,"",",")&amp;D350,"")</f>
        <v/>
      </c>
      <c r="AK350" s="4"/>
      <c r="AL350" s="4"/>
      <c r="AM350" s="4"/>
      <c r="AN350" s="4"/>
      <c r="AO350" s="4"/>
      <c r="AP350" s="4"/>
      <c r="AQ350" s="4"/>
      <c r="AR350" s="4"/>
      <c r="AS350" s="76" t="str">
        <f>"COMMENT ON COLUMN "&amp;エンティティ一覧!$O$2&amp;"."&amp;D$8&amp;"."&amp;D350&amp;" IS '"&amp;C350&amp;"';"</f>
        <v>COMMENT ON COLUMN milscm_2023_009.main_diagnosis_start_date.shikkan342_start_date IS 'C73_疾患開始日';</v>
      </c>
    </row>
    <row r="351" spans="1:45" s="25" customFormat="1">
      <c r="A351" s="4" t="s">
        <v>5485</v>
      </c>
      <c r="B351" s="21">
        <f t="shared" si="35"/>
        <v>349</v>
      </c>
      <c r="C351" s="13" t="str">
        <f t="shared" si="43"/>
        <v>C740_疾患開始日</v>
      </c>
      <c r="D351" s="13" t="s">
        <v>6003</v>
      </c>
      <c r="E351" s="8"/>
      <c r="F351" s="7" t="s">
        <v>4348</v>
      </c>
      <c r="G351" s="7" t="s">
        <v>25</v>
      </c>
      <c r="H351" s="58"/>
      <c r="I351" s="23"/>
      <c r="J351" s="24"/>
      <c r="M351" s="4"/>
      <c r="N351" s="76"/>
      <c r="O351" s="76"/>
      <c r="P351" s="76" t="str">
        <f t="shared" si="36"/>
        <v>,shikkan343_start_date</v>
      </c>
      <c r="Q351" s="76" t="str">
        <f t="shared" si="37"/>
        <v>DATE</v>
      </c>
      <c r="R351" s="76" t="str">
        <f t="shared" si="38"/>
        <v/>
      </c>
      <c r="S351" s="76" t="str">
        <f t="shared" si="39"/>
        <v/>
      </c>
      <c r="T351" s="76" t="str">
        <f t="shared" si="40"/>
        <v>-- C740_疾患開始日</v>
      </c>
      <c r="U351" s="4" t="str">
        <f t="shared" si="41"/>
        <v>,'shikkan343_start_date'</v>
      </c>
      <c r="V351" s="25" t="str">
        <f t="shared" si="42"/>
        <v>,'shikkan343_start_date' : 'C740_疾患開始日'</v>
      </c>
      <c r="X351" s="25">
        <v>1</v>
      </c>
      <c r="AA351" s="4"/>
      <c r="AB351" s="4"/>
      <c r="AC351" s="4"/>
      <c r="AD351" s="4"/>
      <c r="AE351" s="4"/>
      <c r="AF351" s="4"/>
      <c r="AG351" s="4"/>
      <c r="AH351" s="4"/>
      <c r="AI351" s="4"/>
      <c r="AJ351" s="76" t="str">
        <f>IF(E351="○",IF(COUNTA(E$13:E351)=1,"",",")&amp;D351,"")</f>
        <v/>
      </c>
      <c r="AK351" s="4"/>
      <c r="AL351" s="4"/>
      <c r="AM351" s="4"/>
      <c r="AN351" s="4"/>
      <c r="AO351" s="4"/>
      <c r="AP351" s="4"/>
      <c r="AQ351" s="4"/>
      <c r="AR351" s="4"/>
      <c r="AS351" s="76" t="str">
        <f>"COMMENT ON COLUMN "&amp;エンティティ一覧!$O$2&amp;"."&amp;D$8&amp;"."&amp;D351&amp;" IS '"&amp;C351&amp;"';"</f>
        <v>COMMENT ON COLUMN milscm_2023_009.main_diagnosis_start_date.shikkan343_start_date IS 'C740_疾患開始日';</v>
      </c>
    </row>
    <row r="352" spans="1:45" s="25" customFormat="1">
      <c r="A352" s="4" t="s">
        <v>5486</v>
      </c>
      <c r="B352" s="21">
        <f t="shared" si="35"/>
        <v>350</v>
      </c>
      <c r="C352" s="13" t="str">
        <f t="shared" si="43"/>
        <v>C741_疾患開始日</v>
      </c>
      <c r="D352" s="13" t="s">
        <v>6004</v>
      </c>
      <c r="E352" s="8"/>
      <c r="F352" s="7" t="s">
        <v>4348</v>
      </c>
      <c r="G352" s="7" t="s">
        <v>25</v>
      </c>
      <c r="H352" s="58"/>
      <c r="I352" s="23"/>
      <c r="J352" s="24"/>
      <c r="M352" s="4"/>
      <c r="N352" s="76"/>
      <c r="O352" s="76"/>
      <c r="P352" s="76" t="str">
        <f t="shared" si="36"/>
        <v>,shikkan344_start_date</v>
      </c>
      <c r="Q352" s="76" t="str">
        <f t="shared" si="37"/>
        <v>DATE</v>
      </c>
      <c r="R352" s="76" t="str">
        <f t="shared" si="38"/>
        <v/>
      </c>
      <c r="S352" s="76" t="str">
        <f t="shared" si="39"/>
        <v/>
      </c>
      <c r="T352" s="76" t="str">
        <f t="shared" si="40"/>
        <v>-- C741_疾患開始日</v>
      </c>
      <c r="U352" s="4" t="str">
        <f t="shared" si="41"/>
        <v>,'shikkan344_start_date'</v>
      </c>
      <c r="V352" s="25" t="str">
        <f t="shared" si="42"/>
        <v>,'shikkan344_start_date' : 'C741_疾患開始日'</v>
      </c>
      <c r="X352" s="25">
        <v>1</v>
      </c>
      <c r="AA352" s="4"/>
      <c r="AB352" s="4"/>
      <c r="AC352" s="4"/>
      <c r="AD352" s="4"/>
      <c r="AE352" s="4"/>
      <c r="AF352" s="4"/>
      <c r="AG352" s="4"/>
      <c r="AH352" s="4"/>
      <c r="AI352" s="4"/>
      <c r="AJ352" s="76" t="str">
        <f>IF(E352="○",IF(COUNTA(E$13:E352)=1,"",",")&amp;D352,"")</f>
        <v/>
      </c>
      <c r="AK352" s="4"/>
      <c r="AL352" s="4"/>
      <c r="AM352" s="4"/>
      <c r="AN352" s="4"/>
      <c r="AO352" s="4"/>
      <c r="AP352" s="4"/>
      <c r="AQ352" s="4"/>
      <c r="AR352" s="4"/>
      <c r="AS352" s="76" t="str">
        <f>"COMMENT ON COLUMN "&amp;エンティティ一覧!$O$2&amp;"."&amp;D$8&amp;"."&amp;D352&amp;" IS '"&amp;C352&amp;"';"</f>
        <v>COMMENT ON COLUMN milscm_2023_009.main_diagnosis_start_date.shikkan344_start_date IS 'C741_疾患開始日';</v>
      </c>
    </row>
    <row r="353" spans="1:45" s="25" customFormat="1">
      <c r="A353" s="4" t="s">
        <v>5487</v>
      </c>
      <c r="B353" s="21">
        <f t="shared" si="35"/>
        <v>351</v>
      </c>
      <c r="C353" s="13" t="str">
        <f t="shared" si="43"/>
        <v>C749_疾患開始日</v>
      </c>
      <c r="D353" s="13" t="s">
        <v>6005</v>
      </c>
      <c r="E353" s="8"/>
      <c r="F353" s="7" t="s">
        <v>4348</v>
      </c>
      <c r="G353" s="7" t="s">
        <v>25</v>
      </c>
      <c r="H353" s="58"/>
      <c r="I353" s="23"/>
      <c r="J353" s="24"/>
      <c r="M353" s="4"/>
      <c r="N353" s="76"/>
      <c r="O353" s="76"/>
      <c r="P353" s="76" t="str">
        <f t="shared" si="36"/>
        <v>,shikkan345_start_date</v>
      </c>
      <c r="Q353" s="76" t="str">
        <f t="shared" si="37"/>
        <v>DATE</v>
      </c>
      <c r="R353" s="76" t="str">
        <f t="shared" si="38"/>
        <v/>
      </c>
      <c r="S353" s="76" t="str">
        <f t="shared" si="39"/>
        <v/>
      </c>
      <c r="T353" s="76" t="str">
        <f t="shared" si="40"/>
        <v>-- C749_疾患開始日</v>
      </c>
      <c r="U353" s="4" t="str">
        <f t="shared" si="41"/>
        <v>,'shikkan345_start_date'</v>
      </c>
      <c r="V353" s="25" t="str">
        <f t="shared" si="42"/>
        <v>,'shikkan345_start_date' : 'C749_疾患開始日'</v>
      </c>
      <c r="X353" s="25">
        <v>1</v>
      </c>
      <c r="AA353" s="4"/>
      <c r="AB353" s="4"/>
      <c r="AC353" s="4"/>
      <c r="AD353" s="4"/>
      <c r="AE353" s="4"/>
      <c r="AF353" s="4"/>
      <c r="AG353" s="4"/>
      <c r="AH353" s="4"/>
      <c r="AI353" s="4"/>
      <c r="AJ353" s="76" t="str">
        <f>IF(E353="○",IF(COUNTA(E$13:E353)=1,"",",")&amp;D353,"")</f>
        <v/>
      </c>
      <c r="AK353" s="4"/>
      <c r="AL353" s="4"/>
      <c r="AM353" s="4"/>
      <c r="AN353" s="4"/>
      <c r="AO353" s="4"/>
      <c r="AP353" s="4"/>
      <c r="AQ353" s="4"/>
      <c r="AR353" s="4"/>
      <c r="AS353" s="76" t="str">
        <f>"COMMENT ON COLUMN "&amp;エンティティ一覧!$O$2&amp;"."&amp;D$8&amp;"."&amp;D353&amp;" IS '"&amp;C353&amp;"';"</f>
        <v>COMMENT ON COLUMN milscm_2023_009.main_diagnosis_start_date.shikkan345_start_date IS 'C749_疾患開始日';</v>
      </c>
    </row>
    <row r="354" spans="1:45" s="25" customFormat="1">
      <c r="A354" s="4" t="s">
        <v>5488</v>
      </c>
      <c r="B354" s="21">
        <f t="shared" si="35"/>
        <v>352</v>
      </c>
      <c r="C354" s="13" t="str">
        <f t="shared" si="43"/>
        <v>C750_疾患開始日</v>
      </c>
      <c r="D354" s="13" t="s">
        <v>6006</v>
      </c>
      <c r="E354" s="8"/>
      <c r="F354" s="7" t="s">
        <v>4348</v>
      </c>
      <c r="G354" s="7" t="s">
        <v>25</v>
      </c>
      <c r="H354" s="58"/>
      <c r="I354" s="23"/>
      <c r="J354" s="24"/>
      <c r="M354" s="4"/>
      <c r="N354" s="76"/>
      <c r="O354" s="76"/>
      <c r="P354" s="76" t="str">
        <f t="shared" si="36"/>
        <v>,shikkan346_start_date</v>
      </c>
      <c r="Q354" s="76" t="str">
        <f t="shared" si="37"/>
        <v>DATE</v>
      </c>
      <c r="R354" s="76" t="str">
        <f t="shared" si="38"/>
        <v/>
      </c>
      <c r="S354" s="76" t="str">
        <f t="shared" si="39"/>
        <v/>
      </c>
      <c r="T354" s="76" t="str">
        <f t="shared" si="40"/>
        <v>-- C750_疾患開始日</v>
      </c>
      <c r="U354" s="4" t="str">
        <f t="shared" si="41"/>
        <v>,'shikkan346_start_date'</v>
      </c>
      <c r="V354" s="25" t="str">
        <f t="shared" si="42"/>
        <v>,'shikkan346_start_date' : 'C750_疾患開始日'</v>
      </c>
      <c r="X354" s="25">
        <v>1</v>
      </c>
      <c r="AA354" s="4"/>
      <c r="AB354" s="4"/>
      <c r="AC354" s="4"/>
      <c r="AD354" s="4"/>
      <c r="AE354" s="4"/>
      <c r="AF354" s="4"/>
      <c r="AG354" s="4"/>
      <c r="AH354" s="4"/>
      <c r="AI354" s="4"/>
      <c r="AJ354" s="76" t="str">
        <f>IF(E354="○",IF(COUNTA(E$13:E354)=1,"",",")&amp;D354,"")</f>
        <v/>
      </c>
      <c r="AK354" s="4"/>
      <c r="AL354" s="4"/>
      <c r="AM354" s="4"/>
      <c r="AN354" s="4"/>
      <c r="AO354" s="4"/>
      <c r="AP354" s="4"/>
      <c r="AQ354" s="4"/>
      <c r="AR354" s="4"/>
      <c r="AS354" s="76" t="str">
        <f>"COMMENT ON COLUMN "&amp;エンティティ一覧!$O$2&amp;"."&amp;D$8&amp;"."&amp;D354&amp;" IS '"&amp;C354&amp;"';"</f>
        <v>COMMENT ON COLUMN milscm_2023_009.main_diagnosis_start_date.shikkan346_start_date IS 'C750_疾患開始日';</v>
      </c>
    </row>
    <row r="355" spans="1:45" s="25" customFormat="1">
      <c r="A355" s="4" t="s">
        <v>5489</v>
      </c>
      <c r="B355" s="21">
        <f t="shared" si="35"/>
        <v>353</v>
      </c>
      <c r="C355" s="13" t="str">
        <f t="shared" si="43"/>
        <v>C751_疾患開始日</v>
      </c>
      <c r="D355" s="13" t="s">
        <v>6007</v>
      </c>
      <c r="E355" s="8"/>
      <c r="F355" s="7" t="s">
        <v>4348</v>
      </c>
      <c r="G355" s="7" t="s">
        <v>25</v>
      </c>
      <c r="H355" s="58"/>
      <c r="I355" s="23"/>
      <c r="J355" s="24"/>
      <c r="M355" s="4"/>
      <c r="N355" s="76"/>
      <c r="O355" s="76"/>
      <c r="P355" s="76" t="str">
        <f t="shared" si="36"/>
        <v>,shikkan347_start_date</v>
      </c>
      <c r="Q355" s="76" t="str">
        <f t="shared" si="37"/>
        <v>DATE</v>
      </c>
      <c r="R355" s="76" t="str">
        <f t="shared" si="38"/>
        <v/>
      </c>
      <c r="S355" s="76" t="str">
        <f t="shared" si="39"/>
        <v/>
      </c>
      <c r="T355" s="76" t="str">
        <f t="shared" si="40"/>
        <v>-- C751_疾患開始日</v>
      </c>
      <c r="U355" s="4" t="str">
        <f t="shared" si="41"/>
        <v>,'shikkan347_start_date'</v>
      </c>
      <c r="V355" s="25" t="str">
        <f t="shared" si="42"/>
        <v>,'shikkan347_start_date' : 'C751_疾患開始日'</v>
      </c>
      <c r="X355" s="25">
        <v>1</v>
      </c>
      <c r="AA355" s="4"/>
      <c r="AB355" s="4"/>
      <c r="AC355" s="4"/>
      <c r="AD355" s="4"/>
      <c r="AE355" s="4"/>
      <c r="AF355" s="4"/>
      <c r="AG355" s="4"/>
      <c r="AH355" s="4"/>
      <c r="AI355" s="4"/>
      <c r="AJ355" s="76" t="str">
        <f>IF(E355="○",IF(COUNTA(E$13:E355)=1,"",",")&amp;D355,"")</f>
        <v/>
      </c>
      <c r="AK355" s="4"/>
      <c r="AL355" s="4"/>
      <c r="AM355" s="4"/>
      <c r="AN355" s="4"/>
      <c r="AO355" s="4"/>
      <c r="AP355" s="4"/>
      <c r="AQ355" s="4"/>
      <c r="AR355" s="4"/>
      <c r="AS355" s="76" t="str">
        <f>"COMMENT ON COLUMN "&amp;エンティティ一覧!$O$2&amp;"."&amp;D$8&amp;"."&amp;D355&amp;" IS '"&amp;C355&amp;"';"</f>
        <v>COMMENT ON COLUMN milscm_2023_009.main_diagnosis_start_date.shikkan347_start_date IS 'C751_疾患開始日';</v>
      </c>
    </row>
    <row r="356" spans="1:45" s="25" customFormat="1">
      <c r="A356" s="4" t="s">
        <v>5490</v>
      </c>
      <c r="B356" s="21">
        <f t="shared" si="35"/>
        <v>354</v>
      </c>
      <c r="C356" s="13" t="str">
        <f t="shared" si="43"/>
        <v>C752_疾患開始日</v>
      </c>
      <c r="D356" s="13" t="s">
        <v>6008</v>
      </c>
      <c r="E356" s="8"/>
      <c r="F356" s="7" t="s">
        <v>4348</v>
      </c>
      <c r="G356" s="7" t="s">
        <v>25</v>
      </c>
      <c r="H356" s="58"/>
      <c r="I356" s="23"/>
      <c r="J356" s="24"/>
      <c r="M356" s="4"/>
      <c r="N356" s="76"/>
      <c r="O356" s="76"/>
      <c r="P356" s="76" t="str">
        <f t="shared" si="36"/>
        <v>,shikkan348_start_date</v>
      </c>
      <c r="Q356" s="76" t="str">
        <f t="shared" si="37"/>
        <v>DATE</v>
      </c>
      <c r="R356" s="76" t="str">
        <f t="shared" si="38"/>
        <v/>
      </c>
      <c r="S356" s="76" t="str">
        <f t="shared" si="39"/>
        <v/>
      </c>
      <c r="T356" s="76" t="str">
        <f t="shared" si="40"/>
        <v>-- C752_疾患開始日</v>
      </c>
      <c r="U356" s="4" t="str">
        <f t="shared" si="41"/>
        <v>,'shikkan348_start_date'</v>
      </c>
      <c r="V356" s="25" t="str">
        <f t="shared" si="42"/>
        <v>,'shikkan348_start_date' : 'C752_疾患開始日'</v>
      </c>
      <c r="X356" s="25">
        <v>1</v>
      </c>
      <c r="AA356" s="4"/>
      <c r="AB356" s="4"/>
      <c r="AC356" s="4"/>
      <c r="AD356" s="4"/>
      <c r="AE356" s="4"/>
      <c r="AF356" s="4"/>
      <c r="AG356" s="4"/>
      <c r="AH356" s="4"/>
      <c r="AI356" s="4"/>
      <c r="AJ356" s="76" t="str">
        <f>IF(E356="○",IF(COUNTA(E$13:E356)=1,"",",")&amp;D356,"")</f>
        <v/>
      </c>
      <c r="AK356" s="4"/>
      <c r="AL356" s="4"/>
      <c r="AM356" s="4"/>
      <c r="AN356" s="4"/>
      <c r="AO356" s="4"/>
      <c r="AP356" s="4"/>
      <c r="AQ356" s="4"/>
      <c r="AR356" s="4"/>
      <c r="AS356" s="76" t="str">
        <f>"COMMENT ON COLUMN "&amp;エンティティ一覧!$O$2&amp;"."&amp;D$8&amp;"."&amp;D356&amp;" IS '"&amp;C356&amp;"';"</f>
        <v>COMMENT ON COLUMN milscm_2023_009.main_diagnosis_start_date.shikkan348_start_date IS 'C752_疾患開始日';</v>
      </c>
    </row>
    <row r="357" spans="1:45" s="25" customFormat="1">
      <c r="A357" s="4" t="s">
        <v>5491</v>
      </c>
      <c r="B357" s="21">
        <f t="shared" si="35"/>
        <v>355</v>
      </c>
      <c r="C357" s="13" t="str">
        <f t="shared" si="43"/>
        <v>C753_疾患開始日</v>
      </c>
      <c r="D357" s="13" t="s">
        <v>6009</v>
      </c>
      <c r="E357" s="8"/>
      <c r="F357" s="7" t="s">
        <v>4348</v>
      </c>
      <c r="G357" s="7" t="s">
        <v>25</v>
      </c>
      <c r="H357" s="58"/>
      <c r="I357" s="23"/>
      <c r="J357" s="24"/>
      <c r="M357" s="4"/>
      <c r="N357" s="76"/>
      <c r="O357" s="76"/>
      <c r="P357" s="76" t="str">
        <f t="shared" si="36"/>
        <v>,shikkan349_start_date</v>
      </c>
      <c r="Q357" s="76" t="str">
        <f t="shared" si="37"/>
        <v>DATE</v>
      </c>
      <c r="R357" s="76" t="str">
        <f t="shared" si="38"/>
        <v/>
      </c>
      <c r="S357" s="76" t="str">
        <f t="shared" si="39"/>
        <v/>
      </c>
      <c r="T357" s="76" t="str">
        <f t="shared" si="40"/>
        <v>-- C753_疾患開始日</v>
      </c>
      <c r="U357" s="4" t="str">
        <f t="shared" si="41"/>
        <v>,'shikkan349_start_date'</v>
      </c>
      <c r="V357" s="25" t="str">
        <f t="shared" si="42"/>
        <v>,'shikkan349_start_date' : 'C753_疾患開始日'</v>
      </c>
      <c r="X357" s="25">
        <v>1</v>
      </c>
      <c r="AA357" s="4"/>
      <c r="AB357" s="4"/>
      <c r="AC357" s="4"/>
      <c r="AD357" s="4"/>
      <c r="AE357" s="4"/>
      <c r="AF357" s="4"/>
      <c r="AG357" s="4"/>
      <c r="AH357" s="4"/>
      <c r="AI357" s="4"/>
      <c r="AJ357" s="76" t="str">
        <f>IF(E357="○",IF(COUNTA(E$13:E357)=1,"",",")&amp;D357,"")</f>
        <v/>
      </c>
      <c r="AK357" s="4"/>
      <c r="AL357" s="4"/>
      <c r="AM357" s="4"/>
      <c r="AN357" s="4"/>
      <c r="AO357" s="4"/>
      <c r="AP357" s="4"/>
      <c r="AQ357" s="4"/>
      <c r="AR357" s="4"/>
      <c r="AS357" s="76" t="str">
        <f>"COMMENT ON COLUMN "&amp;エンティティ一覧!$O$2&amp;"."&amp;D$8&amp;"."&amp;D357&amp;" IS '"&amp;C357&amp;"';"</f>
        <v>COMMENT ON COLUMN milscm_2023_009.main_diagnosis_start_date.shikkan349_start_date IS 'C753_疾患開始日';</v>
      </c>
    </row>
    <row r="358" spans="1:45" s="25" customFormat="1">
      <c r="A358" s="4" t="s">
        <v>5492</v>
      </c>
      <c r="B358" s="21">
        <f t="shared" si="35"/>
        <v>356</v>
      </c>
      <c r="C358" s="13" t="str">
        <f t="shared" si="43"/>
        <v>C754_疾患開始日</v>
      </c>
      <c r="D358" s="13" t="s">
        <v>6010</v>
      </c>
      <c r="E358" s="8"/>
      <c r="F358" s="7" t="s">
        <v>4348</v>
      </c>
      <c r="G358" s="7" t="s">
        <v>25</v>
      </c>
      <c r="H358" s="58"/>
      <c r="I358" s="23"/>
      <c r="J358" s="24"/>
      <c r="M358" s="4"/>
      <c r="N358" s="76"/>
      <c r="O358" s="76"/>
      <c r="P358" s="76" t="str">
        <f t="shared" si="36"/>
        <v>,shikkan350_start_date</v>
      </c>
      <c r="Q358" s="76" t="str">
        <f t="shared" si="37"/>
        <v>DATE</v>
      </c>
      <c r="R358" s="76" t="str">
        <f t="shared" si="38"/>
        <v/>
      </c>
      <c r="S358" s="76" t="str">
        <f t="shared" si="39"/>
        <v/>
      </c>
      <c r="T358" s="76" t="str">
        <f t="shared" si="40"/>
        <v>-- C754_疾患開始日</v>
      </c>
      <c r="U358" s="4" t="str">
        <f t="shared" si="41"/>
        <v>,'shikkan350_start_date'</v>
      </c>
      <c r="V358" s="25" t="str">
        <f t="shared" si="42"/>
        <v>,'shikkan350_start_date' : 'C754_疾患開始日'</v>
      </c>
      <c r="X358" s="25">
        <v>1</v>
      </c>
      <c r="AA358" s="4"/>
      <c r="AB358" s="4"/>
      <c r="AC358" s="4"/>
      <c r="AD358" s="4"/>
      <c r="AE358" s="4"/>
      <c r="AF358" s="4"/>
      <c r="AG358" s="4"/>
      <c r="AH358" s="4"/>
      <c r="AI358" s="4"/>
      <c r="AJ358" s="76" t="str">
        <f>IF(E358="○",IF(COUNTA(E$13:E358)=1,"",",")&amp;D358,"")</f>
        <v/>
      </c>
      <c r="AK358" s="4"/>
      <c r="AL358" s="4"/>
      <c r="AM358" s="4"/>
      <c r="AN358" s="4"/>
      <c r="AO358" s="4"/>
      <c r="AP358" s="4"/>
      <c r="AQ358" s="4"/>
      <c r="AR358" s="4"/>
      <c r="AS358" s="76" t="str">
        <f>"COMMENT ON COLUMN "&amp;エンティティ一覧!$O$2&amp;"."&amp;D$8&amp;"."&amp;D358&amp;" IS '"&amp;C358&amp;"';"</f>
        <v>COMMENT ON COLUMN milscm_2023_009.main_diagnosis_start_date.shikkan350_start_date IS 'C754_疾患開始日';</v>
      </c>
    </row>
    <row r="359" spans="1:45" s="25" customFormat="1">
      <c r="A359" s="4" t="s">
        <v>5493</v>
      </c>
      <c r="B359" s="21">
        <f t="shared" si="35"/>
        <v>357</v>
      </c>
      <c r="C359" s="13" t="str">
        <f t="shared" si="43"/>
        <v>C755_疾患開始日</v>
      </c>
      <c r="D359" s="13" t="s">
        <v>6011</v>
      </c>
      <c r="E359" s="8"/>
      <c r="F359" s="7" t="s">
        <v>4348</v>
      </c>
      <c r="G359" s="7" t="s">
        <v>25</v>
      </c>
      <c r="H359" s="58"/>
      <c r="I359" s="23"/>
      <c r="J359" s="24"/>
      <c r="M359" s="4"/>
      <c r="N359" s="76"/>
      <c r="O359" s="76"/>
      <c r="P359" s="76" t="str">
        <f t="shared" si="36"/>
        <v>,shikkan351_start_date</v>
      </c>
      <c r="Q359" s="76" t="str">
        <f t="shared" si="37"/>
        <v>DATE</v>
      </c>
      <c r="R359" s="76" t="str">
        <f t="shared" si="38"/>
        <v/>
      </c>
      <c r="S359" s="76" t="str">
        <f t="shared" si="39"/>
        <v/>
      </c>
      <c r="T359" s="76" t="str">
        <f t="shared" si="40"/>
        <v>-- C755_疾患開始日</v>
      </c>
      <c r="U359" s="4" t="str">
        <f t="shared" si="41"/>
        <v>,'shikkan351_start_date'</v>
      </c>
      <c r="V359" s="25" t="str">
        <f t="shared" si="42"/>
        <v>,'shikkan351_start_date' : 'C755_疾患開始日'</v>
      </c>
      <c r="X359" s="25">
        <v>1</v>
      </c>
      <c r="AA359" s="4"/>
      <c r="AB359" s="4"/>
      <c r="AC359" s="4"/>
      <c r="AD359" s="4"/>
      <c r="AE359" s="4"/>
      <c r="AF359" s="4"/>
      <c r="AG359" s="4"/>
      <c r="AH359" s="4"/>
      <c r="AI359" s="4"/>
      <c r="AJ359" s="76" t="str">
        <f>IF(E359="○",IF(COUNTA(E$13:E359)=1,"",",")&amp;D359,"")</f>
        <v/>
      </c>
      <c r="AK359" s="4"/>
      <c r="AL359" s="4"/>
      <c r="AM359" s="4"/>
      <c r="AN359" s="4"/>
      <c r="AO359" s="4"/>
      <c r="AP359" s="4"/>
      <c r="AQ359" s="4"/>
      <c r="AR359" s="4"/>
      <c r="AS359" s="76" t="str">
        <f>"COMMENT ON COLUMN "&amp;エンティティ一覧!$O$2&amp;"."&amp;D$8&amp;"."&amp;D359&amp;" IS '"&amp;C359&amp;"';"</f>
        <v>COMMENT ON COLUMN milscm_2023_009.main_diagnosis_start_date.shikkan351_start_date IS 'C755_疾患開始日';</v>
      </c>
    </row>
    <row r="360" spans="1:45" s="25" customFormat="1">
      <c r="A360" s="4" t="s">
        <v>5494</v>
      </c>
      <c r="B360" s="21">
        <f t="shared" si="35"/>
        <v>358</v>
      </c>
      <c r="C360" s="13" t="str">
        <f t="shared" si="43"/>
        <v>C758_疾患開始日</v>
      </c>
      <c r="D360" s="13" t="s">
        <v>6012</v>
      </c>
      <c r="E360" s="8"/>
      <c r="F360" s="7" t="s">
        <v>4348</v>
      </c>
      <c r="G360" s="7" t="s">
        <v>99</v>
      </c>
      <c r="H360" s="58"/>
      <c r="I360" s="23"/>
      <c r="J360" s="24"/>
      <c r="M360" s="4"/>
      <c r="N360" s="76"/>
      <c r="O360" s="76"/>
      <c r="P360" s="76" t="str">
        <f t="shared" si="36"/>
        <v>,shikkan352_start_date</v>
      </c>
      <c r="Q360" s="76" t="str">
        <f t="shared" si="37"/>
        <v>DATE</v>
      </c>
      <c r="R360" s="76" t="str">
        <f t="shared" si="38"/>
        <v/>
      </c>
      <c r="S360" s="76" t="str">
        <f t="shared" si="39"/>
        <v/>
      </c>
      <c r="T360" s="76" t="str">
        <f t="shared" si="40"/>
        <v>-- C758_疾患開始日</v>
      </c>
      <c r="U360" s="4" t="str">
        <f t="shared" si="41"/>
        <v>,'shikkan352_start_date'</v>
      </c>
      <c r="V360" s="25" t="str">
        <f t="shared" si="42"/>
        <v>,'shikkan352_start_date' : 'C758_疾患開始日'</v>
      </c>
      <c r="X360" s="25">
        <v>1</v>
      </c>
      <c r="AA360" s="4"/>
      <c r="AB360" s="4"/>
      <c r="AC360" s="4"/>
      <c r="AD360" s="4"/>
      <c r="AE360" s="4"/>
      <c r="AF360" s="4"/>
      <c r="AG360" s="4"/>
      <c r="AH360" s="4"/>
      <c r="AI360" s="4"/>
      <c r="AJ360" s="76" t="str">
        <f>IF(E360="○",IF(COUNTA(E$13:E360)=1,"",",")&amp;D360,"")</f>
        <v/>
      </c>
      <c r="AK360" s="4"/>
      <c r="AL360" s="4"/>
      <c r="AM360" s="4"/>
      <c r="AN360" s="4"/>
      <c r="AO360" s="4"/>
      <c r="AP360" s="4"/>
      <c r="AQ360" s="4"/>
      <c r="AR360" s="4"/>
      <c r="AS360" s="76" t="str">
        <f>"COMMENT ON COLUMN "&amp;エンティティ一覧!$O$2&amp;"."&amp;D$8&amp;"."&amp;D360&amp;" IS '"&amp;C360&amp;"';"</f>
        <v>COMMENT ON COLUMN milscm_2023_009.main_diagnosis_start_date.shikkan352_start_date IS 'C758_疾患開始日';</v>
      </c>
    </row>
    <row r="361" spans="1:45" s="25" customFormat="1">
      <c r="A361" s="4" t="s">
        <v>5495</v>
      </c>
      <c r="B361" s="21">
        <f t="shared" si="35"/>
        <v>359</v>
      </c>
      <c r="C361" s="13" t="str">
        <f t="shared" si="43"/>
        <v>C759_疾患開始日</v>
      </c>
      <c r="D361" s="13" t="s">
        <v>6013</v>
      </c>
      <c r="E361" s="8"/>
      <c r="F361" s="7" t="s">
        <v>4348</v>
      </c>
      <c r="G361" s="7" t="s">
        <v>25</v>
      </c>
      <c r="H361" s="58"/>
      <c r="I361" s="23"/>
      <c r="J361" s="24"/>
      <c r="M361" s="4"/>
      <c r="N361" s="76"/>
      <c r="O361" s="76"/>
      <c r="P361" s="76" t="str">
        <f t="shared" si="36"/>
        <v>,shikkan353_start_date</v>
      </c>
      <c r="Q361" s="76" t="str">
        <f t="shared" si="37"/>
        <v>DATE</v>
      </c>
      <c r="R361" s="76" t="str">
        <f t="shared" si="38"/>
        <v/>
      </c>
      <c r="S361" s="76" t="str">
        <f t="shared" si="39"/>
        <v/>
      </c>
      <c r="T361" s="76" t="str">
        <f t="shared" si="40"/>
        <v>-- C759_疾患開始日</v>
      </c>
      <c r="U361" s="4" t="str">
        <f t="shared" si="41"/>
        <v>,'shikkan353_start_date'</v>
      </c>
      <c r="V361" s="25" t="str">
        <f t="shared" si="42"/>
        <v>,'shikkan353_start_date' : 'C759_疾患開始日'</v>
      </c>
      <c r="X361" s="25">
        <v>1</v>
      </c>
      <c r="AA361" s="4"/>
      <c r="AB361" s="4"/>
      <c r="AC361" s="4"/>
      <c r="AD361" s="4"/>
      <c r="AE361" s="4"/>
      <c r="AF361" s="4"/>
      <c r="AG361" s="4"/>
      <c r="AH361" s="4"/>
      <c r="AI361" s="4"/>
      <c r="AJ361" s="76" t="str">
        <f>IF(E361="○",IF(COUNTA(E$13:E361)=1,"",",")&amp;D361,"")</f>
        <v/>
      </c>
      <c r="AK361" s="4"/>
      <c r="AL361" s="4"/>
      <c r="AM361" s="4"/>
      <c r="AN361" s="4"/>
      <c r="AO361" s="4"/>
      <c r="AP361" s="4"/>
      <c r="AQ361" s="4"/>
      <c r="AR361" s="4"/>
      <c r="AS361" s="76" t="str">
        <f>"COMMENT ON COLUMN "&amp;エンティティ一覧!$O$2&amp;"."&amp;D$8&amp;"."&amp;D361&amp;" IS '"&amp;C361&amp;"';"</f>
        <v>COMMENT ON COLUMN milscm_2023_009.main_diagnosis_start_date.shikkan353_start_date IS 'C759_疾患開始日';</v>
      </c>
    </row>
    <row r="362" spans="1:45" s="25" customFormat="1">
      <c r="A362" s="4" t="s">
        <v>5496</v>
      </c>
      <c r="B362" s="21">
        <f t="shared" si="35"/>
        <v>360</v>
      </c>
      <c r="C362" s="13" t="str">
        <f t="shared" si="43"/>
        <v>C760_疾患開始日</v>
      </c>
      <c r="D362" s="13" t="s">
        <v>6014</v>
      </c>
      <c r="E362" s="8"/>
      <c r="F362" s="7" t="s">
        <v>4348</v>
      </c>
      <c r="G362" s="7" t="s">
        <v>25</v>
      </c>
      <c r="H362" s="58"/>
      <c r="I362" s="23"/>
      <c r="J362" s="24"/>
      <c r="M362" s="4"/>
      <c r="N362" s="76"/>
      <c r="O362" s="76"/>
      <c r="P362" s="76" t="str">
        <f t="shared" si="36"/>
        <v>,shikkan354_start_date</v>
      </c>
      <c r="Q362" s="76" t="str">
        <f t="shared" si="37"/>
        <v>DATE</v>
      </c>
      <c r="R362" s="76" t="str">
        <f t="shared" si="38"/>
        <v/>
      </c>
      <c r="S362" s="76" t="str">
        <f t="shared" si="39"/>
        <v/>
      </c>
      <c r="T362" s="76" t="str">
        <f t="shared" si="40"/>
        <v>-- C760_疾患開始日</v>
      </c>
      <c r="U362" s="4" t="str">
        <f t="shared" si="41"/>
        <v>,'shikkan354_start_date'</v>
      </c>
      <c r="V362" s="25" t="str">
        <f t="shared" si="42"/>
        <v>,'shikkan354_start_date' : 'C760_疾患開始日'</v>
      </c>
      <c r="X362" s="25">
        <v>1</v>
      </c>
      <c r="AA362" s="4"/>
      <c r="AB362" s="4"/>
      <c r="AC362" s="4"/>
      <c r="AD362" s="4"/>
      <c r="AE362" s="4"/>
      <c r="AF362" s="4"/>
      <c r="AG362" s="4"/>
      <c r="AH362" s="4"/>
      <c r="AI362" s="4"/>
      <c r="AJ362" s="76" t="str">
        <f>IF(E362="○",IF(COUNTA(E$13:E362)=1,"",",")&amp;D362,"")</f>
        <v/>
      </c>
      <c r="AK362" s="4"/>
      <c r="AL362" s="4"/>
      <c r="AM362" s="4"/>
      <c r="AN362" s="4"/>
      <c r="AO362" s="4"/>
      <c r="AP362" s="4"/>
      <c r="AQ362" s="4"/>
      <c r="AR362" s="4"/>
      <c r="AS362" s="76" t="str">
        <f>"COMMENT ON COLUMN "&amp;エンティティ一覧!$O$2&amp;"."&amp;D$8&amp;"."&amp;D362&amp;" IS '"&amp;C362&amp;"';"</f>
        <v>COMMENT ON COLUMN milscm_2023_009.main_diagnosis_start_date.shikkan354_start_date IS 'C760_疾患開始日';</v>
      </c>
    </row>
    <row r="363" spans="1:45" s="25" customFormat="1">
      <c r="A363" s="4" t="s">
        <v>5497</v>
      </c>
      <c r="B363" s="21">
        <f t="shared" si="35"/>
        <v>361</v>
      </c>
      <c r="C363" s="13" t="str">
        <f t="shared" si="43"/>
        <v>C761_疾患開始日</v>
      </c>
      <c r="D363" s="13" t="s">
        <v>6015</v>
      </c>
      <c r="E363" s="8"/>
      <c r="F363" s="7" t="s">
        <v>4348</v>
      </c>
      <c r="G363" s="7" t="s">
        <v>25</v>
      </c>
      <c r="H363" s="58"/>
      <c r="I363" s="23"/>
      <c r="J363" s="24"/>
      <c r="M363" s="4"/>
      <c r="N363" s="76"/>
      <c r="O363" s="76"/>
      <c r="P363" s="76" t="str">
        <f t="shared" si="36"/>
        <v>,shikkan355_start_date</v>
      </c>
      <c r="Q363" s="76" t="str">
        <f t="shared" si="37"/>
        <v>DATE</v>
      </c>
      <c r="R363" s="76" t="str">
        <f t="shared" si="38"/>
        <v/>
      </c>
      <c r="S363" s="76" t="str">
        <f t="shared" si="39"/>
        <v/>
      </c>
      <c r="T363" s="76" t="str">
        <f t="shared" si="40"/>
        <v>-- C761_疾患開始日</v>
      </c>
      <c r="U363" s="4" t="str">
        <f t="shared" si="41"/>
        <v>,'shikkan355_start_date'</v>
      </c>
      <c r="V363" s="25" t="str">
        <f t="shared" si="42"/>
        <v>,'shikkan355_start_date' : 'C761_疾患開始日'</v>
      </c>
      <c r="X363" s="25">
        <v>1</v>
      </c>
      <c r="AA363" s="4"/>
      <c r="AB363" s="4"/>
      <c r="AC363" s="4"/>
      <c r="AD363" s="4"/>
      <c r="AE363" s="4"/>
      <c r="AF363" s="4"/>
      <c r="AG363" s="4"/>
      <c r="AH363" s="4"/>
      <c r="AI363" s="4"/>
      <c r="AJ363" s="76" t="str">
        <f>IF(E363="○",IF(COUNTA(E$13:E363)=1,"",",")&amp;D363,"")</f>
        <v/>
      </c>
      <c r="AK363" s="4"/>
      <c r="AL363" s="4"/>
      <c r="AM363" s="4"/>
      <c r="AN363" s="4"/>
      <c r="AO363" s="4"/>
      <c r="AP363" s="4"/>
      <c r="AQ363" s="4"/>
      <c r="AR363" s="4"/>
      <c r="AS363" s="76" t="str">
        <f>"COMMENT ON COLUMN "&amp;エンティティ一覧!$O$2&amp;"."&amp;D$8&amp;"."&amp;D363&amp;" IS '"&amp;C363&amp;"';"</f>
        <v>COMMENT ON COLUMN milscm_2023_009.main_diagnosis_start_date.shikkan355_start_date IS 'C761_疾患開始日';</v>
      </c>
    </row>
    <row r="364" spans="1:45" s="25" customFormat="1">
      <c r="A364" s="4" t="s">
        <v>5498</v>
      </c>
      <c r="B364" s="21">
        <f t="shared" si="35"/>
        <v>362</v>
      </c>
      <c r="C364" s="13" t="str">
        <f t="shared" si="43"/>
        <v>C762_疾患開始日</v>
      </c>
      <c r="D364" s="13" t="s">
        <v>6016</v>
      </c>
      <c r="E364" s="8"/>
      <c r="F364" s="7" t="s">
        <v>4348</v>
      </c>
      <c r="G364" s="7" t="s">
        <v>25</v>
      </c>
      <c r="H364" s="58"/>
      <c r="I364" s="23"/>
      <c r="J364" s="24"/>
      <c r="M364" s="4"/>
      <c r="N364" s="76"/>
      <c r="O364" s="76"/>
      <c r="P364" s="76" t="str">
        <f t="shared" si="36"/>
        <v>,shikkan356_start_date</v>
      </c>
      <c r="Q364" s="76" t="str">
        <f t="shared" si="37"/>
        <v>DATE</v>
      </c>
      <c r="R364" s="76" t="str">
        <f t="shared" si="38"/>
        <v/>
      </c>
      <c r="S364" s="76" t="str">
        <f t="shared" si="39"/>
        <v/>
      </c>
      <c r="T364" s="76" t="str">
        <f t="shared" si="40"/>
        <v>-- C762_疾患開始日</v>
      </c>
      <c r="U364" s="4" t="str">
        <f t="shared" si="41"/>
        <v>,'shikkan356_start_date'</v>
      </c>
      <c r="V364" s="25" t="str">
        <f t="shared" si="42"/>
        <v>,'shikkan356_start_date' : 'C762_疾患開始日'</v>
      </c>
      <c r="X364" s="25">
        <v>1</v>
      </c>
      <c r="AA364" s="4"/>
      <c r="AB364" s="4"/>
      <c r="AC364" s="4"/>
      <c r="AD364" s="4"/>
      <c r="AE364" s="4"/>
      <c r="AF364" s="4"/>
      <c r="AG364" s="4"/>
      <c r="AH364" s="4"/>
      <c r="AI364" s="4"/>
      <c r="AJ364" s="76" t="str">
        <f>IF(E364="○",IF(COUNTA(E$13:E364)=1,"",",")&amp;D364,"")</f>
        <v/>
      </c>
      <c r="AK364" s="4"/>
      <c r="AL364" s="4"/>
      <c r="AM364" s="4"/>
      <c r="AN364" s="4"/>
      <c r="AO364" s="4"/>
      <c r="AP364" s="4"/>
      <c r="AQ364" s="4"/>
      <c r="AR364" s="4"/>
      <c r="AS364" s="76" t="str">
        <f>"COMMENT ON COLUMN "&amp;エンティティ一覧!$O$2&amp;"."&amp;D$8&amp;"."&amp;D364&amp;" IS '"&amp;C364&amp;"';"</f>
        <v>COMMENT ON COLUMN milscm_2023_009.main_diagnosis_start_date.shikkan356_start_date IS 'C762_疾患開始日';</v>
      </c>
    </row>
    <row r="365" spans="1:45" s="25" customFormat="1">
      <c r="A365" s="4" t="s">
        <v>5499</v>
      </c>
      <c r="B365" s="21">
        <f t="shared" si="35"/>
        <v>363</v>
      </c>
      <c r="C365" s="13" t="str">
        <f t="shared" si="43"/>
        <v>C763_疾患開始日</v>
      </c>
      <c r="D365" s="13" t="s">
        <v>6017</v>
      </c>
      <c r="E365" s="8"/>
      <c r="F365" s="7" t="s">
        <v>4348</v>
      </c>
      <c r="G365" s="7" t="s">
        <v>25</v>
      </c>
      <c r="H365" s="58"/>
      <c r="I365" s="23"/>
      <c r="J365" s="24"/>
      <c r="M365" s="4"/>
      <c r="N365" s="76"/>
      <c r="O365" s="76"/>
      <c r="P365" s="76" t="str">
        <f t="shared" si="36"/>
        <v>,shikkan357_start_date</v>
      </c>
      <c r="Q365" s="76" t="str">
        <f t="shared" si="37"/>
        <v>DATE</v>
      </c>
      <c r="R365" s="76" t="str">
        <f t="shared" si="38"/>
        <v/>
      </c>
      <c r="S365" s="76" t="str">
        <f t="shared" si="39"/>
        <v/>
      </c>
      <c r="T365" s="76" t="str">
        <f t="shared" si="40"/>
        <v>-- C763_疾患開始日</v>
      </c>
      <c r="U365" s="4" t="str">
        <f t="shared" si="41"/>
        <v>,'shikkan357_start_date'</v>
      </c>
      <c r="V365" s="25" t="str">
        <f t="shared" si="42"/>
        <v>,'shikkan357_start_date' : 'C763_疾患開始日'</v>
      </c>
      <c r="X365" s="25">
        <v>1</v>
      </c>
      <c r="AA365" s="4"/>
      <c r="AB365" s="4"/>
      <c r="AC365" s="4"/>
      <c r="AD365" s="4"/>
      <c r="AE365" s="4"/>
      <c r="AF365" s="4"/>
      <c r="AG365" s="4"/>
      <c r="AH365" s="4"/>
      <c r="AI365" s="4"/>
      <c r="AJ365" s="76" t="str">
        <f>IF(E365="○",IF(COUNTA(E$13:E365)=1,"",",")&amp;D365,"")</f>
        <v/>
      </c>
      <c r="AK365" s="4"/>
      <c r="AL365" s="4"/>
      <c r="AM365" s="4"/>
      <c r="AN365" s="4"/>
      <c r="AO365" s="4"/>
      <c r="AP365" s="4"/>
      <c r="AQ365" s="4"/>
      <c r="AR365" s="4"/>
      <c r="AS365" s="76" t="str">
        <f>"COMMENT ON COLUMN "&amp;エンティティ一覧!$O$2&amp;"."&amp;D$8&amp;"."&amp;D365&amp;" IS '"&amp;C365&amp;"';"</f>
        <v>COMMENT ON COLUMN milscm_2023_009.main_diagnosis_start_date.shikkan357_start_date IS 'C763_疾患開始日';</v>
      </c>
    </row>
    <row r="366" spans="1:45" s="25" customFormat="1">
      <c r="A366" s="4" t="s">
        <v>5500</v>
      </c>
      <c r="B366" s="21">
        <f t="shared" si="35"/>
        <v>364</v>
      </c>
      <c r="C366" s="13" t="str">
        <f t="shared" si="43"/>
        <v>C764_疾患開始日</v>
      </c>
      <c r="D366" s="13" t="s">
        <v>6018</v>
      </c>
      <c r="E366" s="8"/>
      <c r="F366" s="7" t="s">
        <v>4348</v>
      </c>
      <c r="G366" s="7" t="s">
        <v>25</v>
      </c>
      <c r="H366" s="58"/>
      <c r="I366" s="23"/>
      <c r="J366" s="24"/>
      <c r="M366" s="4"/>
      <c r="N366" s="76"/>
      <c r="O366" s="76"/>
      <c r="P366" s="76" t="str">
        <f t="shared" si="36"/>
        <v>,shikkan358_start_date</v>
      </c>
      <c r="Q366" s="76" t="str">
        <f t="shared" si="37"/>
        <v>DATE</v>
      </c>
      <c r="R366" s="76" t="str">
        <f t="shared" si="38"/>
        <v/>
      </c>
      <c r="S366" s="76" t="str">
        <f t="shared" si="39"/>
        <v/>
      </c>
      <c r="T366" s="76" t="str">
        <f t="shared" si="40"/>
        <v>-- C764_疾患開始日</v>
      </c>
      <c r="U366" s="4" t="str">
        <f t="shared" si="41"/>
        <v>,'shikkan358_start_date'</v>
      </c>
      <c r="V366" s="25" t="str">
        <f t="shared" si="42"/>
        <v>,'shikkan358_start_date' : 'C764_疾患開始日'</v>
      </c>
      <c r="X366" s="25">
        <v>1</v>
      </c>
      <c r="AA366" s="4"/>
      <c r="AB366" s="4"/>
      <c r="AC366" s="4"/>
      <c r="AD366" s="4"/>
      <c r="AE366" s="4"/>
      <c r="AF366" s="4"/>
      <c r="AG366" s="4"/>
      <c r="AH366" s="4"/>
      <c r="AI366" s="4"/>
      <c r="AJ366" s="76" t="str">
        <f>IF(E366="○",IF(COUNTA(E$13:E366)=1,"",",")&amp;D366,"")</f>
        <v/>
      </c>
      <c r="AK366" s="4"/>
      <c r="AL366" s="4"/>
      <c r="AM366" s="4"/>
      <c r="AN366" s="4"/>
      <c r="AO366" s="4"/>
      <c r="AP366" s="4"/>
      <c r="AQ366" s="4"/>
      <c r="AR366" s="4"/>
      <c r="AS366" s="76" t="str">
        <f>"COMMENT ON COLUMN "&amp;エンティティ一覧!$O$2&amp;"."&amp;D$8&amp;"."&amp;D366&amp;" IS '"&amp;C366&amp;"';"</f>
        <v>COMMENT ON COLUMN milscm_2023_009.main_diagnosis_start_date.shikkan358_start_date IS 'C764_疾患開始日';</v>
      </c>
    </row>
    <row r="367" spans="1:45" s="25" customFormat="1">
      <c r="A367" s="4" t="s">
        <v>5501</v>
      </c>
      <c r="B367" s="21">
        <f t="shared" si="35"/>
        <v>365</v>
      </c>
      <c r="C367" s="13" t="str">
        <f t="shared" si="43"/>
        <v>C765_疾患開始日</v>
      </c>
      <c r="D367" s="13" t="s">
        <v>6019</v>
      </c>
      <c r="E367" s="8"/>
      <c r="F367" s="7" t="s">
        <v>4348</v>
      </c>
      <c r="G367" s="7" t="s">
        <v>25</v>
      </c>
      <c r="H367" s="58"/>
      <c r="I367" s="23"/>
      <c r="J367" s="24"/>
      <c r="M367" s="4"/>
      <c r="N367" s="76"/>
      <c r="O367" s="76"/>
      <c r="P367" s="76" t="str">
        <f t="shared" si="36"/>
        <v>,shikkan359_start_date</v>
      </c>
      <c r="Q367" s="76" t="str">
        <f t="shared" si="37"/>
        <v>DATE</v>
      </c>
      <c r="R367" s="76" t="str">
        <f t="shared" si="38"/>
        <v/>
      </c>
      <c r="S367" s="76" t="str">
        <f t="shared" si="39"/>
        <v/>
      </c>
      <c r="T367" s="76" t="str">
        <f t="shared" si="40"/>
        <v>-- C765_疾患開始日</v>
      </c>
      <c r="U367" s="4" t="str">
        <f t="shared" si="41"/>
        <v>,'shikkan359_start_date'</v>
      </c>
      <c r="V367" s="25" t="str">
        <f t="shared" si="42"/>
        <v>,'shikkan359_start_date' : 'C765_疾患開始日'</v>
      </c>
      <c r="X367" s="25">
        <v>1</v>
      </c>
      <c r="AA367" s="4"/>
      <c r="AB367" s="4"/>
      <c r="AC367" s="4"/>
      <c r="AD367" s="4"/>
      <c r="AE367" s="4"/>
      <c r="AF367" s="4"/>
      <c r="AG367" s="4"/>
      <c r="AH367" s="4"/>
      <c r="AI367" s="4"/>
      <c r="AJ367" s="76" t="str">
        <f>IF(E367="○",IF(COUNTA(E$13:E367)=1,"",",")&amp;D367,"")</f>
        <v/>
      </c>
      <c r="AK367" s="4"/>
      <c r="AL367" s="4"/>
      <c r="AM367" s="4"/>
      <c r="AN367" s="4"/>
      <c r="AO367" s="4"/>
      <c r="AP367" s="4"/>
      <c r="AQ367" s="4"/>
      <c r="AR367" s="4"/>
      <c r="AS367" s="76" t="str">
        <f>"COMMENT ON COLUMN "&amp;エンティティ一覧!$O$2&amp;"."&amp;D$8&amp;"."&amp;D367&amp;" IS '"&amp;C367&amp;"';"</f>
        <v>COMMENT ON COLUMN milscm_2023_009.main_diagnosis_start_date.shikkan359_start_date IS 'C765_疾患開始日';</v>
      </c>
    </row>
    <row r="368" spans="1:45" s="25" customFormat="1">
      <c r="A368" s="4" t="s">
        <v>5502</v>
      </c>
      <c r="B368" s="21">
        <f t="shared" si="35"/>
        <v>366</v>
      </c>
      <c r="C368" s="13" t="str">
        <f t="shared" si="43"/>
        <v>C767_疾患開始日</v>
      </c>
      <c r="D368" s="13" t="s">
        <v>6020</v>
      </c>
      <c r="E368" s="8"/>
      <c r="F368" s="7" t="s">
        <v>4348</v>
      </c>
      <c r="G368" s="7" t="s">
        <v>25</v>
      </c>
      <c r="H368" s="58"/>
      <c r="I368" s="23"/>
      <c r="J368" s="24"/>
      <c r="M368" s="4"/>
      <c r="N368" s="76"/>
      <c r="O368" s="76"/>
      <c r="P368" s="76" t="str">
        <f t="shared" si="36"/>
        <v>,shikkan360_start_date</v>
      </c>
      <c r="Q368" s="76" t="str">
        <f t="shared" si="37"/>
        <v>DATE</v>
      </c>
      <c r="R368" s="76" t="str">
        <f t="shared" si="38"/>
        <v/>
      </c>
      <c r="S368" s="76" t="str">
        <f t="shared" si="39"/>
        <v/>
      </c>
      <c r="T368" s="76" t="str">
        <f t="shared" si="40"/>
        <v>-- C767_疾患開始日</v>
      </c>
      <c r="U368" s="4" t="str">
        <f t="shared" si="41"/>
        <v>,'shikkan360_start_date'</v>
      </c>
      <c r="V368" s="25" t="str">
        <f t="shared" si="42"/>
        <v>,'shikkan360_start_date' : 'C767_疾患開始日'</v>
      </c>
      <c r="X368" s="25">
        <v>1</v>
      </c>
      <c r="AA368" s="4"/>
      <c r="AB368" s="4"/>
      <c r="AC368" s="4"/>
      <c r="AD368" s="4"/>
      <c r="AE368" s="4"/>
      <c r="AF368" s="4"/>
      <c r="AG368" s="4"/>
      <c r="AH368" s="4"/>
      <c r="AI368" s="4"/>
      <c r="AJ368" s="76" t="str">
        <f>IF(E368="○",IF(COUNTA(E$13:E368)=1,"",",")&amp;D368,"")</f>
        <v/>
      </c>
      <c r="AK368" s="4"/>
      <c r="AL368" s="4"/>
      <c r="AM368" s="4"/>
      <c r="AN368" s="4"/>
      <c r="AO368" s="4"/>
      <c r="AP368" s="4"/>
      <c r="AQ368" s="4"/>
      <c r="AR368" s="4"/>
      <c r="AS368" s="76" t="str">
        <f>"COMMENT ON COLUMN "&amp;エンティティ一覧!$O$2&amp;"."&amp;D$8&amp;"."&amp;D368&amp;" IS '"&amp;C368&amp;"';"</f>
        <v>COMMENT ON COLUMN milscm_2023_009.main_diagnosis_start_date.shikkan360_start_date IS 'C767_疾患開始日';</v>
      </c>
    </row>
    <row r="369" spans="1:45" s="25" customFormat="1">
      <c r="A369" s="4" t="s">
        <v>5503</v>
      </c>
      <c r="B369" s="21">
        <f t="shared" si="35"/>
        <v>367</v>
      </c>
      <c r="C369" s="13" t="str">
        <f t="shared" si="43"/>
        <v>C768_疾患開始日</v>
      </c>
      <c r="D369" s="13" t="s">
        <v>6021</v>
      </c>
      <c r="E369" s="8"/>
      <c r="F369" s="7" t="s">
        <v>4348</v>
      </c>
      <c r="G369" s="7" t="s">
        <v>25</v>
      </c>
      <c r="H369" s="58"/>
      <c r="I369" s="23"/>
      <c r="J369" s="24"/>
      <c r="M369" s="4"/>
      <c r="N369" s="76"/>
      <c r="O369" s="76"/>
      <c r="P369" s="76" t="str">
        <f t="shared" si="36"/>
        <v>,shikkan361_start_date</v>
      </c>
      <c r="Q369" s="76" t="str">
        <f t="shared" si="37"/>
        <v>DATE</v>
      </c>
      <c r="R369" s="76" t="str">
        <f t="shared" si="38"/>
        <v/>
      </c>
      <c r="S369" s="76" t="str">
        <f t="shared" si="39"/>
        <v/>
      </c>
      <c r="T369" s="76" t="str">
        <f t="shared" si="40"/>
        <v>-- C768_疾患開始日</v>
      </c>
      <c r="U369" s="4" t="str">
        <f t="shared" si="41"/>
        <v>,'shikkan361_start_date'</v>
      </c>
      <c r="V369" s="25" t="str">
        <f t="shared" si="42"/>
        <v>,'shikkan361_start_date' : 'C768_疾患開始日'</v>
      </c>
      <c r="X369" s="25">
        <v>1</v>
      </c>
      <c r="AA369" s="4"/>
      <c r="AB369" s="4"/>
      <c r="AC369" s="4"/>
      <c r="AD369" s="4"/>
      <c r="AE369" s="4"/>
      <c r="AF369" s="4"/>
      <c r="AG369" s="4"/>
      <c r="AH369" s="4"/>
      <c r="AI369" s="4"/>
      <c r="AJ369" s="76" t="str">
        <f>IF(E369="○",IF(COUNTA(E$13:E369)=1,"",",")&amp;D369,"")</f>
        <v/>
      </c>
      <c r="AK369" s="4"/>
      <c r="AL369" s="4"/>
      <c r="AM369" s="4"/>
      <c r="AN369" s="4"/>
      <c r="AO369" s="4"/>
      <c r="AP369" s="4"/>
      <c r="AQ369" s="4"/>
      <c r="AR369" s="4"/>
      <c r="AS369" s="76" t="str">
        <f>"COMMENT ON COLUMN "&amp;エンティティ一覧!$O$2&amp;"."&amp;D$8&amp;"."&amp;D369&amp;" IS '"&amp;C369&amp;"';"</f>
        <v>COMMENT ON COLUMN milscm_2023_009.main_diagnosis_start_date.shikkan361_start_date IS 'C768_疾患開始日';</v>
      </c>
    </row>
    <row r="370" spans="1:45" s="25" customFormat="1">
      <c r="A370" s="4" t="s">
        <v>5504</v>
      </c>
      <c r="B370" s="21">
        <f t="shared" si="35"/>
        <v>368</v>
      </c>
      <c r="C370" s="13" t="str">
        <f t="shared" si="43"/>
        <v>C770_疾患開始日</v>
      </c>
      <c r="D370" s="13" t="s">
        <v>6022</v>
      </c>
      <c r="E370" s="8"/>
      <c r="F370" s="7" t="s">
        <v>4348</v>
      </c>
      <c r="G370" s="7" t="s">
        <v>25</v>
      </c>
      <c r="H370" s="58"/>
      <c r="I370" s="23"/>
      <c r="J370" s="24"/>
      <c r="M370" s="4"/>
      <c r="N370" s="76"/>
      <c r="O370" s="76"/>
      <c r="P370" s="76" t="str">
        <f t="shared" si="36"/>
        <v>,shikkan362_start_date</v>
      </c>
      <c r="Q370" s="76" t="str">
        <f t="shared" si="37"/>
        <v>DATE</v>
      </c>
      <c r="R370" s="76" t="str">
        <f t="shared" si="38"/>
        <v/>
      </c>
      <c r="S370" s="76" t="str">
        <f t="shared" si="39"/>
        <v/>
      </c>
      <c r="T370" s="76" t="str">
        <f t="shared" si="40"/>
        <v>-- C770_疾患開始日</v>
      </c>
      <c r="U370" s="4" t="str">
        <f t="shared" si="41"/>
        <v>,'shikkan362_start_date'</v>
      </c>
      <c r="V370" s="25" t="str">
        <f t="shared" si="42"/>
        <v>,'shikkan362_start_date' : 'C770_疾患開始日'</v>
      </c>
      <c r="X370" s="25">
        <v>1</v>
      </c>
      <c r="AA370" s="4"/>
      <c r="AB370" s="4"/>
      <c r="AC370" s="4"/>
      <c r="AD370" s="4"/>
      <c r="AE370" s="4"/>
      <c r="AF370" s="4"/>
      <c r="AG370" s="4"/>
      <c r="AH370" s="4"/>
      <c r="AI370" s="4"/>
      <c r="AJ370" s="76" t="str">
        <f>IF(E370="○",IF(COUNTA(E$13:E370)=1,"",",")&amp;D370,"")</f>
        <v/>
      </c>
      <c r="AK370" s="4"/>
      <c r="AL370" s="4"/>
      <c r="AM370" s="4"/>
      <c r="AN370" s="4"/>
      <c r="AO370" s="4"/>
      <c r="AP370" s="4"/>
      <c r="AQ370" s="4"/>
      <c r="AR370" s="4"/>
      <c r="AS370" s="76" t="str">
        <f>"COMMENT ON COLUMN "&amp;エンティティ一覧!$O$2&amp;"."&amp;D$8&amp;"."&amp;D370&amp;" IS '"&amp;C370&amp;"';"</f>
        <v>COMMENT ON COLUMN milscm_2023_009.main_diagnosis_start_date.shikkan362_start_date IS 'C770_疾患開始日';</v>
      </c>
    </row>
    <row r="371" spans="1:45" s="25" customFormat="1">
      <c r="A371" s="4" t="s">
        <v>5505</v>
      </c>
      <c r="B371" s="21">
        <f t="shared" si="35"/>
        <v>369</v>
      </c>
      <c r="C371" s="13" t="str">
        <f t="shared" si="43"/>
        <v>C771_疾患開始日</v>
      </c>
      <c r="D371" s="13" t="s">
        <v>6023</v>
      </c>
      <c r="E371" s="8"/>
      <c r="F371" s="7" t="s">
        <v>4348</v>
      </c>
      <c r="G371" s="7" t="s">
        <v>25</v>
      </c>
      <c r="H371" s="58"/>
      <c r="I371" s="23"/>
      <c r="J371" s="24"/>
      <c r="M371" s="4"/>
      <c r="N371" s="76"/>
      <c r="O371" s="76"/>
      <c r="P371" s="76" t="str">
        <f t="shared" si="36"/>
        <v>,shikkan363_start_date</v>
      </c>
      <c r="Q371" s="76" t="str">
        <f t="shared" si="37"/>
        <v>DATE</v>
      </c>
      <c r="R371" s="76" t="str">
        <f t="shared" si="38"/>
        <v/>
      </c>
      <c r="S371" s="76" t="str">
        <f t="shared" si="39"/>
        <v/>
      </c>
      <c r="T371" s="76" t="str">
        <f t="shared" si="40"/>
        <v>-- C771_疾患開始日</v>
      </c>
      <c r="U371" s="4" t="str">
        <f t="shared" si="41"/>
        <v>,'shikkan363_start_date'</v>
      </c>
      <c r="V371" s="25" t="str">
        <f t="shared" si="42"/>
        <v>,'shikkan363_start_date' : 'C771_疾患開始日'</v>
      </c>
      <c r="X371" s="25">
        <v>1</v>
      </c>
      <c r="AA371" s="4"/>
      <c r="AB371" s="4"/>
      <c r="AC371" s="4"/>
      <c r="AD371" s="4"/>
      <c r="AE371" s="4"/>
      <c r="AF371" s="4"/>
      <c r="AG371" s="4"/>
      <c r="AH371" s="4"/>
      <c r="AI371" s="4"/>
      <c r="AJ371" s="76" t="str">
        <f>IF(E371="○",IF(COUNTA(E$13:E371)=1,"",",")&amp;D371,"")</f>
        <v/>
      </c>
      <c r="AK371" s="4"/>
      <c r="AL371" s="4"/>
      <c r="AM371" s="4"/>
      <c r="AN371" s="4"/>
      <c r="AO371" s="4"/>
      <c r="AP371" s="4"/>
      <c r="AQ371" s="4"/>
      <c r="AR371" s="4"/>
      <c r="AS371" s="76" t="str">
        <f>"COMMENT ON COLUMN "&amp;エンティティ一覧!$O$2&amp;"."&amp;D$8&amp;"."&amp;D371&amp;" IS '"&amp;C371&amp;"';"</f>
        <v>COMMENT ON COLUMN milscm_2023_009.main_diagnosis_start_date.shikkan363_start_date IS 'C771_疾患開始日';</v>
      </c>
    </row>
    <row r="372" spans="1:45" s="25" customFormat="1">
      <c r="A372" s="4" t="s">
        <v>5506</v>
      </c>
      <c r="B372" s="21">
        <f t="shared" si="35"/>
        <v>370</v>
      </c>
      <c r="C372" s="13" t="str">
        <f t="shared" si="43"/>
        <v>C772_疾患開始日</v>
      </c>
      <c r="D372" s="13" t="s">
        <v>6024</v>
      </c>
      <c r="E372" s="8"/>
      <c r="F372" s="7" t="s">
        <v>4348</v>
      </c>
      <c r="G372" s="7" t="s">
        <v>25</v>
      </c>
      <c r="H372" s="58"/>
      <c r="I372" s="23"/>
      <c r="J372" s="24"/>
      <c r="M372" s="4"/>
      <c r="N372" s="76"/>
      <c r="O372" s="76"/>
      <c r="P372" s="76" t="str">
        <f t="shared" si="36"/>
        <v>,shikkan364_start_date</v>
      </c>
      <c r="Q372" s="76" t="str">
        <f t="shared" si="37"/>
        <v>DATE</v>
      </c>
      <c r="R372" s="76" t="str">
        <f t="shared" si="38"/>
        <v/>
      </c>
      <c r="S372" s="76" t="str">
        <f t="shared" si="39"/>
        <v/>
      </c>
      <c r="T372" s="76" t="str">
        <f t="shared" si="40"/>
        <v>-- C772_疾患開始日</v>
      </c>
      <c r="U372" s="4" t="str">
        <f t="shared" si="41"/>
        <v>,'shikkan364_start_date'</v>
      </c>
      <c r="V372" s="25" t="str">
        <f t="shared" si="42"/>
        <v>,'shikkan364_start_date' : 'C772_疾患開始日'</v>
      </c>
      <c r="X372" s="25">
        <v>1</v>
      </c>
      <c r="AA372" s="4"/>
      <c r="AB372" s="4"/>
      <c r="AC372" s="4"/>
      <c r="AD372" s="4"/>
      <c r="AE372" s="4"/>
      <c r="AF372" s="4"/>
      <c r="AG372" s="4"/>
      <c r="AH372" s="4"/>
      <c r="AI372" s="4"/>
      <c r="AJ372" s="76" t="str">
        <f>IF(E372="○",IF(COUNTA(E$13:E372)=1,"",",")&amp;D372,"")</f>
        <v/>
      </c>
      <c r="AK372" s="4"/>
      <c r="AL372" s="4"/>
      <c r="AM372" s="4"/>
      <c r="AN372" s="4"/>
      <c r="AO372" s="4"/>
      <c r="AP372" s="4"/>
      <c r="AQ372" s="4"/>
      <c r="AR372" s="4"/>
      <c r="AS372" s="76" t="str">
        <f>"COMMENT ON COLUMN "&amp;エンティティ一覧!$O$2&amp;"."&amp;D$8&amp;"."&amp;D372&amp;" IS '"&amp;C372&amp;"';"</f>
        <v>COMMENT ON COLUMN milscm_2023_009.main_diagnosis_start_date.shikkan364_start_date IS 'C772_疾患開始日';</v>
      </c>
    </row>
    <row r="373" spans="1:45" s="25" customFormat="1">
      <c r="A373" s="4" t="s">
        <v>5507</v>
      </c>
      <c r="B373" s="21">
        <f t="shared" si="35"/>
        <v>371</v>
      </c>
      <c r="C373" s="13" t="str">
        <f t="shared" si="43"/>
        <v>C773_疾患開始日</v>
      </c>
      <c r="D373" s="13" t="s">
        <v>6025</v>
      </c>
      <c r="E373" s="8"/>
      <c r="F373" s="7" t="s">
        <v>4348</v>
      </c>
      <c r="G373" s="7" t="s">
        <v>25</v>
      </c>
      <c r="H373" s="58"/>
      <c r="I373" s="23"/>
      <c r="J373" s="24"/>
      <c r="M373" s="4"/>
      <c r="N373" s="76"/>
      <c r="O373" s="76"/>
      <c r="P373" s="76" t="str">
        <f t="shared" si="36"/>
        <v>,shikkan365_start_date</v>
      </c>
      <c r="Q373" s="76" t="str">
        <f t="shared" si="37"/>
        <v>DATE</v>
      </c>
      <c r="R373" s="76" t="str">
        <f t="shared" si="38"/>
        <v/>
      </c>
      <c r="S373" s="76" t="str">
        <f t="shared" si="39"/>
        <v/>
      </c>
      <c r="T373" s="76" t="str">
        <f t="shared" si="40"/>
        <v>-- C773_疾患開始日</v>
      </c>
      <c r="U373" s="4" t="str">
        <f t="shared" si="41"/>
        <v>,'shikkan365_start_date'</v>
      </c>
      <c r="V373" s="25" t="str">
        <f t="shared" si="42"/>
        <v>,'shikkan365_start_date' : 'C773_疾患開始日'</v>
      </c>
      <c r="X373" s="25">
        <v>1</v>
      </c>
      <c r="AA373" s="4"/>
      <c r="AB373" s="4"/>
      <c r="AC373" s="4"/>
      <c r="AD373" s="4"/>
      <c r="AE373" s="4"/>
      <c r="AF373" s="4"/>
      <c r="AG373" s="4"/>
      <c r="AH373" s="4"/>
      <c r="AI373" s="4"/>
      <c r="AJ373" s="76" t="str">
        <f>IF(E373="○",IF(COUNTA(E$13:E373)=1,"",",")&amp;D373,"")</f>
        <v/>
      </c>
      <c r="AK373" s="4"/>
      <c r="AL373" s="4"/>
      <c r="AM373" s="4"/>
      <c r="AN373" s="4"/>
      <c r="AO373" s="4"/>
      <c r="AP373" s="4"/>
      <c r="AQ373" s="4"/>
      <c r="AR373" s="4"/>
      <c r="AS373" s="76" t="str">
        <f>"COMMENT ON COLUMN "&amp;エンティティ一覧!$O$2&amp;"."&amp;D$8&amp;"."&amp;D373&amp;" IS '"&amp;C373&amp;"';"</f>
        <v>COMMENT ON COLUMN milscm_2023_009.main_diagnosis_start_date.shikkan365_start_date IS 'C773_疾患開始日';</v>
      </c>
    </row>
    <row r="374" spans="1:45" s="25" customFormat="1">
      <c r="A374" s="4" t="s">
        <v>5508</v>
      </c>
      <c r="B374" s="21">
        <f t="shared" si="35"/>
        <v>372</v>
      </c>
      <c r="C374" s="13" t="str">
        <f t="shared" si="43"/>
        <v>C774_疾患開始日</v>
      </c>
      <c r="D374" s="13" t="s">
        <v>6026</v>
      </c>
      <c r="E374" s="8"/>
      <c r="F374" s="7" t="s">
        <v>4348</v>
      </c>
      <c r="G374" s="7" t="s">
        <v>25</v>
      </c>
      <c r="H374" s="58"/>
      <c r="I374" s="23"/>
      <c r="J374" s="24"/>
      <c r="M374" s="4"/>
      <c r="N374" s="76"/>
      <c r="O374" s="76"/>
      <c r="P374" s="76" t="str">
        <f t="shared" si="36"/>
        <v>,shikkan366_start_date</v>
      </c>
      <c r="Q374" s="76" t="str">
        <f t="shared" si="37"/>
        <v>DATE</v>
      </c>
      <c r="R374" s="76" t="str">
        <f t="shared" si="38"/>
        <v/>
      </c>
      <c r="S374" s="76" t="str">
        <f t="shared" si="39"/>
        <v/>
      </c>
      <c r="T374" s="76" t="str">
        <f t="shared" si="40"/>
        <v>-- C774_疾患開始日</v>
      </c>
      <c r="U374" s="4" t="str">
        <f t="shared" si="41"/>
        <v>,'shikkan366_start_date'</v>
      </c>
      <c r="V374" s="25" t="str">
        <f t="shared" si="42"/>
        <v>,'shikkan366_start_date' : 'C774_疾患開始日'</v>
      </c>
      <c r="X374" s="25">
        <v>1</v>
      </c>
      <c r="AA374" s="4"/>
      <c r="AB374" s="4"/>
      <c r="AC374" s="4"/>
      <c r="AD374" s="4"/>
      <c r="AE374" s="4"/>
      <c r="AF374" s="4"/>
      <c r="AG374" s="4"/>
      <c r="AH374" s="4"/>
      <c r="AI374" s="4"/>
      <c r="AJ374" s="76" t="str">
        <f>IF(E374="○",IF(COUNTA(E$13:E374)=1,"",",")&amp;D374,"")</f>
        <v/>
      </c>
      <c r="AK374" s="4"/>
      <c r="AL374" s="4"/>
      <c r="AM374" s="4"/>
      <c r="AN374" s="4"/>
      <c r="AO374" s="4"/>
      <c r="AP374" s="4"/>
      <c r="AQ374" s="4"/>
      <c r="AR374" s="4"/>
      <c r="AS374" s="76" t="str">
        <f>"COMMENT ON COLUMN "&amp;エンティティ一覧!$O$2&amp;"."&amp;D$8&amp;"."&amp;D374&amp;" IS '"&amp;C374&amp;"';"</f>
        <v>COMMENT ON COLUMN milscm_2023_009.main_diagnosis_start_date.shikkan366_start_date IS 'C774_疾患開始日';</v>
      </c>
    </row>
    <row r="375" spans="1:45" s="25" customFormat="1">
      <c r="A375" s="4" t="s">
        <v>5509</v>
      </c>
      <c r="B375" s="21">
        <f t="shared" si="35"/>
        <v>373</v>
      </c>
      <c r="C375" s="13" t="str">
        <f t="shared" si="43"/>
        <v>C775_疾患開始日</v>
      </c>
      <c r="D375" s="13" t="s">
        <v>6027</v>
      </c>
      <c r="E375" s="8"/>
      <c r="F375" s="7" t="s">
        <v>4348</v>
      </c>
      <c r="G375" s="7" t="s">
        <v>25</v>
      </c>
      <c r="H375" s="58"/>
      <c r="I375" s="23"/>
      <c r="J375" s="24"/>
      <c r="M375" s="4"/>
      <c r="N375" s="76"/>
      <c r="O375" s="76"/>
      <c r="P375" s="76" t="str">
        <f t="shared" si="36"/>
        <v>,shikkan367_start_date</v>
      </c>
      <c r="Q375" s="76" t="str">
        <f t="shared" si="37"/>
        <v>DATE</v>
      </c>
      <c r="R375" s="76" t="str">
        <f t="shared" si="38"/>
        <v/>
      </c>
      <c r="S375" s="76" t="str">
        <f t="shared" si="39"/>
        <v/>
      </c>
      <c r="T375" s="76" t="str">
        <f t="shared" si="40"/>
        <v>-- C775_疾患開始日</v>
      </c>
      <c r="U375" s="4" t="str">
        <f t="shared" si="41"/>
        <v>,'shikkan367_start_date'</v>
      </c>
      <c r="V375" s="25" t="str">
        <f t="shared" si="42"/>
        <v>,'shikkan367_start_date' : 'C775_疾患開始日'</v>
      </c>
      <c r="X375" s="25">
        <v>1</v>
      </c>
      <c r="AA375" s="4"/>
      <c r="AB375" s="4"/>
      <c r="AC375" s="4"/>
      <c r="AD375" s="4"/>
      <c r="AE375" s="4"/>
      <c r="AF375" s="4"/>
      <c r="AG375" s="4"/>
      <c r="AH375" s="4"/>
      <c r="AI375" s="4"/>
      <c r="AJ375" s="76" t="str">
        <f>IF(E375="○",IF(COUNTA(E$13:E375)=1,"",",")&amp;D375,"")</f>
        <v/>
      </c>
      <c r="AK375" s="4"/>
      <c r="AL375" s="4"/>
      <c r="AM375" s="4"/>
      <c r="AN375" s="4"/>
      <c r="AO375" s="4"/>
      <c r="AP375" s="4"/>
      <c r="AQ375" s="4"/>
      <c r="AR375" s="4"/>
      <c r="AS375" s="76" t="str">
        <f>"COMMENT ON COLUMN "&amp;エンティティ一覧!$O$2&amp;"."&amp;D$8&amp;"."&amp;D375&amp;" IS '"&amp;C375&amp;"';"</f>
        <v>COMMENT ON COLUMN milscm_2023_009.main_diagnosis_start_date.shikkan367_start_date IS 'C775_疾患開始日';</v>
      </c>
    </row>
    <row r="376" spans="1:45" s="25" customFormat="1">
      <c r="A376" s="4" t="s">
        <v>5510</v>
      </c>
      <c r="B376" s="21">
        <f t="shared" si="35"/>
        <v>374</v>
      </c>
      <c r="C376" s="13" t="str">
        <f t="shared" si="43"/>
        <v>C778_疾患開始日</v>
      </c>
      <c r="D376" s="13" t="s">
        <v>6028</v>
      </c>
      <c r="E376" s="8"/>
      <c r="F376" s="7" t="s">
        <v>4348</v>
      </c>
      <c r="G376" s="7" t="s">
        <v>99</v>
      </c>
      <c r="H376" s="58"/>
      <c r="I376" s="23"/>
      <c r="J376" s="24"/>
      <c r="M376" s="4"/>
      <c r="N376" s="76"/>
      <c r="O376" s="76"/>
      <c r="P376" s="76" t="str">
        <f t="shared" si="36"/>
        <v>,shikkan368_start_date</v>
      </c>
      <c r="Q376" s="76" t="str">
        <f t="shared" si="37"/>
        <v>DATE</v>
      </c>
      <c r="R376" s="76" t="str">
        <f t="shared" si="38"/>
        <v/>
      </c>
      <c r="S376" s="76" t="str">
        <f t="shared" si="39"/>
        <v/>
      </c>
      <c r="T376" s="76" t="str">
        <f t="shared" si="40"/>
        <v>-- C778_疾患開始日</v>
      </c>
      <c r="U376" s="4" t="str">
        <f t="shared" si="41"/>
        <v>,'shikkan368_start_date'</v>
      </c>
      <c r="V376" s="25" t="str">
        <f t="shared" si="42"/>
        <v>,'shikkan368_start_date' : 'C778_疾患開始日'</v>
      </c>
      <c r="X376" s="25">
        <v>1</v>
      </c>
      <c r="AA376" s="4"/>
      <c r="AB376" s="4"/>
      <c r="AC376" s="4"/>
      <c r="AD376" s="4"/>
      <c r="AE376" s="4"/>
      <c r="AF376" s="4"/>
      <c r="AG376" s="4"/>
      <c r="AH376" s="4"/>
      <c r="AI376" s="4"/>
      <c r="AJ376" s="76" t="str">
        <f>IF(E376="○",IF(COUNTA(E$13:E376)=1,"",",")&amp;D376,"")</f>
        <v/>
      </c>
      <c r="AK376" s="4"/>
      <c r="AL376" s="4"/>
      <c r="AM376" s="4"/>
      <c r="AN376" s="4"/>
      <c r="AO376" s="4"/>
      <c r="AP376" s="4"/>
      <c r="AQ376" s="4"/>
      <c r="AR376" s="4"/>
      <c r="AS376" s="76" t="str">
        <f>"COMMENT ON COLUMN "&amp;エンティティ一覧!$O$2&amp;"."&amp;D$8&amp;"."&amp;D376&amp;" IS '"&amp;C376&amp;"';"</f>
        <v>COMMENT ON COLUMN milscm_2023_009.main_diagnosis_start_date.shikkan368_start_date IS 'C778_疾患開始日';</v>
      </c>
    </row>
    <row r="377" spans="1:45" s="25" customFormat="1">
      <c r="A377" s="4" t="s">
        <v>5511</v>
      </c>
      <c r="B377" s="21">
        <f t="shared" si="35"/>
        <v>375</v>
      </c>
      <c r="C377" s="13" t="str">
        <f t="shared" si="43"/>
        <v>C779_疾患開始日</v>
      </c>
      <c r="D377" s="13" t="s">
        <v>6029</v>
      </c>
      <c r="E377" s="8"/>
      <c r="F377" s="7" t="s">
        <v>4348</v>
      </c>
      <c r="G377" s="7" t="s">
        <v>25</v>
      </c>
      <c r="H377" s="58"/>
      <c r="I377" s="23"/>
      <c r="J377" s="24"/>
      <c r="M377" s="4"/>
      <c r="N377" s="76"/>
      <c r="O377" s="76"/>
      <c r="P377" s="76" t="str">
        <f t="shared" si="36"/>
        <v>,shikkan369_start_date</v>
      </c>
      <c r="Q377" s="76" t="str">
        <f t="shared" si="37"/>
        <v>DATE</v>
      </c>
      <c r="R377" s="76" t="str">
        <f t="shared" si="38"/>
        <v/>
      </c>
      <c r="S377" s="76" t="str">
        <f t="shared" si="39"/>
        <v/>
      </c>
      <c r="T377" s="76" t="str">
        <f t="shared" si="40"/>
        <v>-- C779_疾患開始日</v>
      </c>
      <c r="U377" s="4" t="str">
        <f t="shared" si="41"/>
        <v>,'shikkan369_start_date'</v>
      </c>
      <c r="V377" s="25" t="str">
        <f t="shared" si="42"/>
        <v>,'shikkan369_start_date' : 'C779_疾患開始日'</v>
      </c>
      <c r="X377" s="25">
        <v>1</v>
      </c>
      <c r="AA377" s="4"/>
      <c r="AB377" s="4"/>
      <c r="AC377" s="4"/>
      <c r="AD377" s="4"/>
      <c r="AE377" s="4"/>
      <c r="AF377" s="4"/>
      <c r="AG377" s="4"/>
      <c r="AH377" s="4"/>
      <c r="AI377" s="4"/>
      <c r="AJ377" s="76" t="str">
        <f>IF(E377="○",IF(COUNTA(E$13:E377)=1,"",",")&amp;D377,"")</f>
        <v/>
      </c>
      <c r="AK377" s="4"/>
      <c r="AL377" s="4"/>
      <c r="AM377" s="4"/>
      <c r="AN377" s="4"/>
      <c r="AO377" s="4"/>
      <c r="AP377" s="4"/>
      <c r="AQ377" s="4"/>
      <c r="AR377" s="4"/>
      <c r="AS377" s="76" t="str">
        <f>"COMMENT ON COLUMN "&amp;エンティティ一覧!$O$2&amp;"."&amp;D$8&amp;"."&amp;D377&amp;" IS '"&amp;C377&amp;"';"</f>
        <v>COMMENT ON COLUMN milscm_2023_009.main_diagnosis_start_date.shikkan369_start_date IS 'C779_疾患開始日';</v>
      </c>
    </row>
    <row r="378" spans="1:45" s="25" customFormat="1">
      <c r="A378" s="4" t="s">
        <v>5512</v>
      </c>
      <c r="B378" s="21">
        <f t="shared" si="35"/>
        <v>376</v>
      </c>
      <c r="C378" s="13" t="str">
        <f t="shared" si="43"/>
        <v>C780_疾患開始日</v>
      </c>
      <c r="D378" s="13" t="s">
        <v>6030</v>
      </c>
      <c r="E378" s="8"/>
      <c r="F378" s="7" t="s">
        <v>4348</v>
      </c>
      <c r="G378" s="7" t="s">
        <v>25</v>
      </c>
      <c r="H378" s="58"/>
      <c r="I378" s="23"/>
      <c r="J378" s="24"/>
      <c r="M378" s="4"/>
      <c r="N378" s="76"/>
      <c r="O378" s="76"/>
      <c r="P378" s="76" t="str">
        <f t="shared" si="36"/>
        <v>,shikkan370_start_date</v>
      </c>
      <c r="Q378" s="76" t="str">
        <f t="shared" si="37"/>
        <v>DATE</v>
      </c>
      <c r="R378" s="76" t="str">
        <f t="shared" si="38"/>
        <v/>
      </c>
      <c r="S378" s="76" t="str">
        <f t="shared" si="39"/>
        <v/>
      </c>
      <c r="T378" s="76" t="str">
        <f t="shared" si="40"/>
        <v>-- C780_疾患開始日</v>
      </c>
      <c r="U378" s="4" t="str">
        <f t="shared" si="41"/>
        <v>,'shikkan370_start_date'</v>
      </c>
      <c r="V378" s="25" t="str">
        <f t="shared" si="42"/>
        <v>,'shikkan370_start_date' : 'C780_疾患開始日'</v>
      </c>
      <c r="X378" s="25">
        <v>1</v>
      </c>
      <c r="AA378" s="4"/>
      <c r="AB378" s="4"/>
      <c r="AC378" s="4"/>
      <c r="AD378" s="4"/>
      <c r="AE378" s="4"/>
      <c r="AF378" s="4"/>
      <c r="AG378" s="4"/>
      <c r="AH378" s="4"/>
      <c r="AI378" s="4"/>
      <c r="AJ378" s="76" t="str">
        <f>IF(E378="○",IF(COUNTA(E$13:E378)=1,"",",")&amp;D378,"")</f>
        <v/>
      </c>
      <c r="AK378" s="4"/>
      <c r="AL378" s="4"/>
      <c r="AM378" s="4"/>
      <c r="AN378" s="4"/>
      <c r="AO378" s="4"/>
      <c r="AP378" s="4"/>
      <c r="AQ378" s="4"/>
      <c r="AR378" s="4"/>
      <c r="AS378" s="76" t="str">
        <f>"COMMENT ON COLUMN "&amp;エンティティ一覧!$O$2&amp;"."&amp;D$8&amp;"."&amp;D378&amp;" IS '"&amp;C378&amp;"';"</f>
        <v>COMMENT ON COLUMN milscm_2023_009.main_diagnosis_start_date.shikkan370_start_date IS 'C780_疾患開始日';</v>
      </c>
    </row>
    <row r="379" spans="1:45" s="25" customFormat="1">
      <c r="A379" s="4" t="s">
        <v>5513</v>
      </c>
      <c r="B379" s="21">
        <f t="shared" si="35"/>
        <v>377</v>
      </c>
      <c r="C379" s="13" t="str">
        <f t="shared" si="43"/>
        <v>C781_疾患開始日</v>
      </c>
      <c r="D379" s="13" t="s">
        <v>6031</v>
      </c>
      <c r="E379" s="8"/>
      <c r="F379" s="7" t="s">
        <v>4348</v>
      </c>
      <c r="G379" s="7" t="s">
        <v>25</v>
      </c>
      <c r="H379" s="58"/>
      <c r="I379" s="23"/>
      <c r="J379" s="24"/>
      <c r="M379" s="4"/>
      <c r="N379" s="76"/>
      <c r="O379" s="76"/>
      <c r="P379" s="76" t="str">
        <f t="shared" si="36"/>
        <v>,shikkan371_start_date</v>
      </c>
      <c r="Q379" s="76" t="str">
        <f t="shared" si="37"/>
        <v>DATE</v>
      </c>
      <c r="R379" s="76" t="str">
        <f t="shared" si="38"/>
        <v/>
      </c>
      <c r="S379" s="76" t="str">
        <f t="shared" si="39"/>
        <v/>
      </c>
      <c r="T379" s="76" t="str">
        <f t="shared" si="40"/>
        <v>-- C781_疾患開始日</v>
      </c>
      <c r="U379" s="4" t="str">
        <f t="shared" si="41"/>
        <v>,'shikkan371_start_date'</v>
      </c>
      <c r="V379" s="25" t="str">
        <f t="shared" si="42"/>
        <v>,'shikkan371_start_date' : 'C781_疾患開始日'</v>
      </c>
      <c r="X379" s="25">
        <v>1</v>
      </c>
      <c r="AA379" s="4"/>
      <c r="AB379" s="4"/>
      <c r="AC379" s="4"/>
      <c r="AD379" s="4"/>
      <c r="AE379" s="4"/>
      <c r="AF379" s="4"/>
      <c r="AG379" s="4"/>
      <c r="AH379" s="4"/>
      <c r="AI379" s="4"/>
      <c r="AJ379" s="76" t="str">
        <f>IF(E379="○",IF(COUNTA(E$13:E379)=1,"",",")&amp;D379,"")</f>
        <v/>
      </c>
      <c r="AK379" s="4"/>
      <c r="AL379" s="4"/>
      <c r="AM379" s="4"/>
      <c r="AN379" s="4"/>
      <c r="AO379" s="4"/>
      <c r="AP379" s="4"/>
      <c r="AQ379" s="4"/>
      <c r="AR379" s="4"/>
      <c r="AS379" s="76" t="str">
        <f>"COMMENT ON COLUMN "&amp;エンティティ一覧!$O$2&amp;"."&amp;D$8&amp;"."&amp;D379&amp;" IS '"&amp;C379&amp;"';"</f>
        <v>COMMENT ON COLUMN milscm_2023_009.main_diagnosis_start_date.shikkan371_start_date IS 'C781_疾患開始日';</v>
      </c>
    </row>
    <row r="380" spans="1:45" s="25" customFormat="1">
      <c r="A380" s="4" t="s">
        <v>5514</v>
      </c>
      <c r="B380" s="21">
        <f t="shared" si="35"/>
        <v>378</v>
      </c>
      <c r="C380" s="13" t="str">
        <f t="shared" si="43"/>
        <v>C782_疾患開始日</v>
      </c>
      <c r="D380" s="13" t="s">
        <v>6032</v>
      </c>
      <c r="E380" s="8"/>
      <c r="F380" s="7" t="s">
        <v>4348</v>
      </c>
      <c r="G380" s="7" t="s">
        <v>25</v>
      </c>
      <c r="H380" s="58"/>
      <c r="I380" s="23"/>
      <c r="J380" s="24"/>
      <c r="M380" s="4"/>
      <c r="N380" s="76"/>
      <c r="O380" s="76"/>
      <c r="P380" s="76" t="str">
        <f t="shared" si="36"/>
        <v>,shikkan372_start_date</v>
      </c>
      <c r="Q380" s="76" t="str">
        <f t="shared" si="37"/>
        <v>DATE</v>
      </c>
      <c r="R380" s="76" t="str">
        <f t="shared" si="38"/>
        <v/>
      </c>
      <c r="S380" s="76" t="str">
        <f t="shared" si="39"/>
        <v/>
      </c>
      <c r="T380" s="76" t="str">
        <f t="shared" si="40"/>
        <v>-- C782_疾患開始日</v>
      </c>
      <c r="U380" s="4" t="str">
        <f t="shared" si="41"/>
        <v>,'shikkan372_start_date'</v>
      </c>
      <c r="V380" s="25" t="str">
        <f t="shared" si="42"/>
        <v>,'shikkan372_start_date' : 'C782_疾患開始日'</v>
      </c>
      <c r="X380" s="25">
        <v>1</v>
      </c>
      <c r="AA380" s="4"/>
      <c r="AB380" s="4"/>
      <c r="AC380" s="4"/>
      <c r="AD380" s="4"/>
      <c r="AE380" s="4"/>
      <c r="AF380" s="4"/>
      <c r="AG380" s="4"/>
      <c r="AH380" s="4"/>
      <c r="AI380" s="4"/>
      <c r="AJ380" s="76" t="str">
        <f>IF(E380="○",IF(COUNTA(E$13:E380)=1,"",",")&amp;D380,"")</f>
        <v/>
      </c>
      <c r="AK380" s="4"/>
      <c r="AL380" s="4"/>
      <c r="AM380" s="4"/>
      <c r="AN380" s="4"/>
      <c r="AO380" s="4"/>
      <c r="AP380" s="4"/>
      <c r="AQ380" s="4"/>
      <c r="AR380" s="4"/>
      <c r="AS380" s="76" t="str">
        <f>"COMMENT ON COLUMN "&amp;エンティティ一覧!$O$2&amp;"."&amp;D$8&amp;"."&amp;D380&amp;" IS '"&amp;C380&amp;"';"</f>
        <v>COMMENT ON COLUMN milscm_2023_009.main_diagnosis_start_date.shikkan372_start_date IS 'C782_疾患開始日';</v>
      </c>
    </row>
    <row r="381" spans="1:45" s="25" customFormat="1">
      <c r="A381" s="4" t="s">
        <v>5515</v>
      </c>
      <c r="B381" s="21">
        <f t="shared" si="35"/>
        <v>379</v>
      </c>
      <c r="C381" s="13" t="str">
        <f t="shared" si="43"/>
        <v>C783_疾患開始日</v>
      </c>
      <c r="D381" s="13" t="s">
        <v>6033</v>
      </c>
      <c r="E381" s="8"/>
      <c r="F381" s="7" t="s">
        <v>4348</v>
      </c>
      <c r="G381" s="7" t="s">
        <v>25</v>
      </c>
      <c r="H381" s="58"/>
      <c r="I381" s="23"/>
      <c r="J381" s="24"/>
      <c r="M381" s="4"/>
      <c r="N381" s="76"/>
      <c r="O381" s="76"/>
      <c r="P381" s="76" t="str">
        <f t="shared" si="36"/>
        <v>,shikkan373_start_date</v>
      </c>
      <c r="Q381" s="76" t="str">
        <f t="shared" si="37"/>
        <v>DATE</v>
      </c>
      <c r="R381" s="76" t="str">
        <f t="shared" si="38"/>
        <v/>
      </c>
      <c r="S381" s="76" t="str">
        <f t="shared" si="39"/>
        <v/>
      </c>
      <c r="T381" s="76" t="str">
        <f t="shared" si="40"/>
        <v>-- C783_疾患開始日</v>
      </c>
      <c r="U381" s="4" t="str">
        <f t="shared" si="41"/>
        <v>,'shikkan373_start_date'</v>
      </c>
      <c r="V381" s="25" t="str">
        <f t="shared" si="42"/>
        <v>,'shikkan373_start_date' : 'C783_疾患開始日'</v>
      </c>
      <c r="X381" s="25">
        <v>1</v>
      </c>
      <c r="AA381" s="4"/>
      <c r="AB381" s="4"/>
      <c r="AC381" s="4"/>
      <c r="AD381" s="4"/>
      <c r="AE381" s="4"/>
      <c r="AF381" s="4"/>
      <c r="AG381" s="4"/>
      <c r="AH381" s="4"/>
      <c r="AI381" s="4"/>
      <c r="AJ381" s="76" t="str">
        <f>IF(E381="○",IF(COUNTA(E$13:E381)=1,"",",")&amp;D381,"")</f>
        <v/>
      </c>
      <c r="AK381" s="4"/>
      <c r="AL381" s="4"/>
      <c r="AM381" s="4"/>
      <c r="AN381" s="4"/>
      <c r="AO381" s="4"/>
      <c r="AP381" s="4"/>
      <c r="AQ381" s="4"/>
      <c r="AR381" s="4"/>
      <c r="AS381" s="76" t="str">
        <f>"COMMENT ON COLUMN "&amp;エンティティ一覧!$O$2&amp;"."&amp;D$8&amp;"."&amp;D381&amp;" IS '"&amp;C381&amp;"';"</f>
        <v>COMMENT ON COLUMN milscm_2023_009.main_diagnosis_start_date.shikkan373_start_date IS 'C783_疾患開始日';</v>
      </c>
    </row>
    <row r="382" spans="1:45" s="25" customFormat="1">
      <c r="A382" s="4" t="s">
        <v>5516</v>
      </c>
      <c r="B382" s="21">
        <f t="shared" si="35"/>
        <v>380</v>
      </c>
      <c r="C382" s="13" t="str">
        <f t="shared" si="43"/>
        <v>C784_疾患開始日</v>
      </c>
      <c r="D382" s="13" t="s">
        <v>6034</v>
      </c>
      <c r="E382" s="8"/>
      <c r="F382" s="7" t="s">
        <v>4348</v>
      </c>
      <c r="G382" s="7" t="s">
        <v>25</v>
      </c>
      <c r="H382" s="58"/>
      <c r="I382" s="23"/>
      <c r="J382" s="24"/>
      <c r="M382" s="4"/>
      <c r="N382" s="76"/>
      <c r="O382" s="76"/>
      <c r="P382" s="76" t="str">
        <f t="shared" si="36"/>
        <v>,shikkan374_start_date</v>
      </c>
      <c r="Q382" s="76" t="str">
        <f t="shared" si="37"/>
        <v>DATE</v>
      </c>
      <c r="R382" s="76" t="str">
        <f t="shared" si="38"/>
        <v/>
      </c>
      <c r="S382" s="76" t="str">
        <f t="shared" si="39"/>
        <v/>
      </c>
      <c r="T382" s="76" t="str">
        <f t="shared" si="40"/>
        <v>-- C784_疾患開始日</v>
      </c>
      <c r="U382" s="4" t="str">
        <f t="shared" si="41"/>
        <v>,'shikkan374_start_date'</v>
      </c>
      <c r="V382" s="25" t="str">
        <f t="shared" si="42"/>
        <v>,'shikkan374_start_date' : 'C784_疾患開始日'</v>
      </c>
      <c r="X382" s="25">
        <v>1</v>
      </c>
      <c r="AA382" s="4"/>
      <c r="AB382" s="4"/>
      <c r="AC382" s="4"/>
      <c r="AD382" s="4"/>
      <c r="AE382" s="4"/>
      <c r="AF382" s="4"/>
      <c r="AG382" s="4"/>
      <c r="AH382" s="4"/>
      <c r="AI382" s="4"/>
      <c r="AJ382" s="76" t="str">
        <f>IF(E382="○",IF(COUNTA(E$13:E382)=1,"",",")&amp;D382,"")</f>
        <v/>
      </c>
      <c r="AK382" s="4"/>
      <c r="AL382" s="4"/>
      <c r="AM382" s="4"/>
      <c r="AN382" s="4"/>
      <c r="AO382" s="4"/>
      <c r="AP382" s="4"/>
      <c r="AQ382" s="4"/>
      <c r="AR382" s="4"/>
      <c r="AS382" s="76" t="str">
        <f>"COMMENT ON COLUMN "&amp;エンティティ一覧!$O$2&amp;"."&amp;D$8&amp;"."&amp;D382&amp;" IS '"&amp;C382&amp;"';"</f>
        <v>COMMENT ON COLUMN milscm_2023_009.main_diagnosis_start_date.shikkan374_start_date IS 'C784_疾患開始日';</v>
      </c>
    </row>
    <row r="383" spans="1:45" s="25" customFormat="1">
      <c r="A383" s="4" t="s">
        <v>5517</v>
      </c>
      <c r="B383" s="21">
        <f t="shared" si="35"/>
        <v>381</v>
      </c>
      <c r="C383" s="13" t="str">
        <f t="shared" si="43"/>
        <v>C785_疾患開始日</v>
      </c>
      <c r="D383" s="13" t="s">
        <v>6035</v>
      </c>
      <c r="E383" s="8"/>
      <c r="F383" s="7" t="s">
        <v>4348</v>
      </c>
      <c r="G383" s="7" t="s">
        <v>25</v>
      </c>
      <c r="H383" s="58"/>
      <c r="I383" s="23"/>
      <c r="J383" s="24"/>
      <c r="M383" s="4"/>
      <c r="N383" s="76"/>
      <c r="O383" s="76"/>
      <c r="P383" s="76" t="str">
        <f t="shared" si="36"/>
        <v>,shikkan375_start_date</v>
      </c>
      <c r="Q383" s="76" t="str">
        <f t="shared" si="37"/>
        <v>DATE</v>
      </c>
      <c r="R383" s="76" t="str">
        <f t="shared" si="38"/>
        <v/>
      </c>
      <c r="S383" s="76" t="str">
        <f t="shared" si="39"/>
        <v/>
      </c>
      <c r="T383" s="76" t="str">
        <f t="shared" si="40"/>
        <v>-- C785_疾患開始日</v>
      </c>
      <c r="U383" s="4" t="str">
        <f t="shared" si="41"/>
        <v>,'shikkan375_start_date'</v>
      </c>
      <c r="V383" s="25" t="str">
        <f t="shared" si="42"/>
        <v>,'shikkan375_start_date' : 'C785_疾患開始日'</v>
      </c>
      <c r="X383" s="25">
        <v>1</v>
      </c>
      <c r="AA383" s="4"/>
      <c r="AB383" s="4"/>
      <c r="AC383" s="4"/>
      <c r="AD383" s="4"/>
      <c r="AE383" s="4"/>
      <c r="AF383" s="4"/>
      <c r="AG383" s="4"/>
      <c r="AH383" s="4"/>
      <c r="AI383" s="4"/>
      <c r="AJ383" s="76" t="str">
        <f>IF(E383="○",IF(COUNTA(E$13:E383)=1,"",",")&amp;D383,"")</f>
        <v/>
      </c>
      <c r="AK383" s="4"/>
      <c r="AL383" s="4"/>
      <c r="AM383" s="4"/>
      <c r="AN383" s="4"/>
      <c r="AO383" s="4"/>
      <c r="AP383" s="4"/>
      <c r="AQ383" s="4"/>
      <c r="AR383" s="4"/>
      <c r="AS383" s="76" t="str">
        <f>"COMMENT ON COLUMN "&amp;エンティティ一覧!$O$2&amp;"."&amp;D$8&amp;"."&amp;D383&amp;" IS '"&amp;C383&amp;"';"</f>
        <v>COMMENT ON COLUMN milscm_2023_009.main_diagnosis_start_date.shikkan375_start_date IS 'C785_疾患開始日';</v>
      </c>
    </row>
    <row r="384" spans="1:45" s="25" customFormat="1">
      <c r="A384" s="4" t="s">
        <v>5518</v>
      </c>
      <c r="B384" s="21">
        <f t="shared" si="35"/>
        <v>382</v>
      </c>
      <c r="C384" s="13" t="str">
        <f t="shared" si="43"/>
        <v>C786_疾患開始日</v>
      </c>
      <c r="D384" s="13" t="s">
        <v>6036</v>
      </c>
      <c r="E384" s="8"/>
      <c r="F384" s="7" t="s">
        <v>4348</v>
      </c>
      <c r="G384" s="7" t="s">
        <v>25</v>
      </c>
      <c r="H384" s="58"/>
      <c r="I384" s="23"/>
      <c r="J384" s="24"/>
      <c r="M384" s="4"/>
      <c r="N384" s="76"/>
      <c r="O384" s="76"/>
      <c r="P384" s="76" t="str">
        <f t="shared" si="36"/>
        <v>,shikkan376_start_date</v>
      </c>
      <c r="Q384" s="76" t="str">
        <f t="shared" si="37"/>
        <v>DATE</v>
      </c>
      <c r="R384" s="76" t="str">
        <f t="shared" si="38"/>
        <v/>
      </c>
      <c r="S384" s="76" t="str">
        <f t="shared" si="39"/>
        <v/>
      </c>
      <c r="T384" s="76" t="str">
        <f t="shared" si="40"/>
        <v>-- C786_疾患開始日</v>
      </c>
      <c r="U384" s="4" t="str">
        <f t="shared" si="41"/>
        <v>,'shikkan376_start_date'</v>
      </c>
      <c r="V384" s="25" t="str">
        <f t="shared" si="42"/>
        <v>,'shikkan376_start_date' : 'C786_疾患開始日'</v>
      </c>
      <c r="X384" s="25">
        <v>1</v>
      </c>
      <c r="AA384" s="4"/>
      <c r="AB384" s="4"/>
      <c r="AC384" s="4"/>
      <c r="AD384" s="4"/>
      <c r="AE384" s="4"/>
      <c r="AF384" s="4"/>
      <c r="AG384" s="4"/>
      <c r="AH384" s="4"/>
      <c r="AI384" s="4"/>
      <c r="AJ384" s="76" t="str">
        <f>IF(E384="○",IF(COUNTA(E$13:E384)=1,"",",")&amp;D384,"")</f>
        <v/>
      </c>
      <c r="AK384" s="4"/>
      <c r="AL384" s="4"/>
      <c r="AM384" s="4"/>
      <c r="AN384" s="4"/>
      <c r="AO384" s="4"/>
      <c r="AP384" s="4"/>
      <c r="AQ384" s="4"/>
      <c r="AR384" s="4"/>
      <c r="AS384" s="76" t="str">
        <f>"COMMENT ON COLUMN "&amp;エンティティ一覧!$O$2&amp;"."&amp;D$8&amp;"."&amp;D384&amp;" IS '"&amp;C384&amp;"';"</f>
        <v>COMMENT ON COLUMN milscm_2023_009.main_diagnosis_start_date.shikkan376_start_date IS 'C786_疾患開始日';</v>
      </c>
    </row>
    <row r="385" spans="1:45" s="25" customFormat="1">
      <c r="A385" s="4" t="s">
        <v>5519</v>
      </c>
      <c r="B385" s="21">
        <f t="shared" si="35"/>
        <v>383</v>
      </c>
      <c r="C385" s="13" t="str">
        <f t="shared" si="43"/>
        <v>C787_疾患開始日</v>
      </c>
      <c r="D385" s="13" t="s">
        <v>6037</v>
      </c>
      <c r="E385" s="8"/>
      <c r="F385" s="7" t="s">
        <v>4348</v>
      </c>
      <c r="G385" s="7" t="s">
        <v>25</v>
      </c>
      <c r="H385" s="58"/>
      <c r="I385" s="23"/>
      <c r="J385" s="24"/>
      <c r="M385" s="4"/>
      <c r="N385" s="76"/>
      <c r="O385" s="76"/>
      <c r="P385" s="76" t="str">
        <f t="shared" si="36"/>
        <v>,shikkan377_start_date</v>
      </c>
      <c r="Q385" s="76" t="str">
        <f t="shared" si="37"/>
        <v>DATE</v>
      </c>
      <c r="R385" s="76" t="str">
        <f t="shared" si="38"/>
        <v/>
      </c>
      <c r="S385" s="76" t="str">
        <f t="shared" si="39"/>
        <v/>
      </c>
      <c r="T385" s="76" t="str">
        <f t="shared" si="40"/>
        <v>-- C787_疾患開始日</v>
      </c>
      <c r="U385" s="4" t="str">
        <f t="shared" si="41"/>
        <v>,'shikkan377_start_date'</v>
      </c>
      <c r="V385" s="25" t="str">
        <f t="shared" si="42"/>
        <v>,'shikkan377_start_date' : 'C787_疾患開始日'</v>
      </c>
      <c r="X385" s="25">
        <v>1</v>
      </c>
      <c r="AA385" s="4"/>
      <c r="AB385" s="4"/>
      <c r="AC385" s="4"/>
      <c r="AD385" s="4"/>
      <c r="AE385" s="4"/>
      <c r="AF385" s="4"/>
      <c r="AG385" s="4"/>
      <c r="AH385" s="4"/>
      <c r="AI385" s="4"/>
      <c r="AJ385" s="76" t="str">
        <f>IF(E385="○",IF(COUNTA(E$13:E385)=1,"",",")&amp;D385,"")</f>
        <v/>
      </c>
      <c r="AK385" s="4"/>
      <c r="AL385" s="4"/>
      <c r="AM385" s="4"/>
      <c r="AN385" s="4"/>
      <c r="AO385" s="4"/>
      <c r="AP385" s="4"/>
      <c r="AQ385" s="4"/>
      <c r="AR385" s="4"/>
      <c r="AS385" s="76" t="str">
        <f>"COMMENT ON COLUMN "&amp;エンティティ一覧!$O$2&amp;"."&amp;D$8&amp;"."&amp;D385&amp;" IS '"&amp;C385&amp;"';"</f>
        <v>COMMENT ON COLUMN milscm_2023_009.main_diagnosis_start_date.shikkan377_start_date IS 'C787_疾患開始日';</v>
      </c>
    </row>
    <row r="386" spans="1:45" s="25" customFormat="1">
      <c r="A386" s="4" t="s">
        <v>5520</v>
      </c>
      <c r="B386" s="21">
        <f t="shared" si="35"/>
        <v>384</v>
      </c>
      <c r="C386" s="13" t="str">
        <f t="shared" si="43"/>
        <v>C788_疾患開始日</v>
      </c>
      <c r="D386" s="13" t="s">
        <v>6038</v>
      </c>
      <c r="E386" s="8"/>
      <c r="F386" s="7" t="s">
        <v>4348</v>
      </c>
      <c r="G386" s="7" t="s">
        <v>25</v>
      </c>
      <c r="H386" s="58"/>
      <c r="I386" s="23"/>
      <c r="J386" s="24"/>
      <c r="M386" s="4"/>
      <c r="N386" s="76"/>
      <c r="O386" s="76"/>
      <c r="P386" s="76" t="str">
        <f t="shared" si="36"/>
        <v>,shikkan378_start_date</v>
      </c>
      <c r="Q386" s="76" t="str">
        <f t="shared" si="37"/>
        <v>DATE</v>
      </c>
      <c r="R386" s="76" t="str">
        <f t="shared" si="38"/>
        <v/>
      </c>
      <c r="S386" s="76" t="str">
        <f t="shared" si="39"/>
        <v/>
      </c>
      <c r="T386" s="76" t="str">
        <f t="shared" si="40"/>
        <v>-- C788_疾患開始日</v>
      </c>
      <c r="U386" s="4" t="str">
        <f t="shared" si="41"/>
        <v>,'shikkan378_start_date'</v>
      </c>
      <c r="V386" s="25" t="str">
        <f t="shared" si="42"/>
        <v>,'shikkan378_start_date' : 'C788_疾患開始日'</v>
      </c>
      <c r="X386" s="25">
        <v>1</v>
      </c>
      <c r="AA386" s="4"/>
      <c r="AB386" s="4"/>
      <c r="AC386" s="4"/>
      <c r="AD386" s="4"/>
      <c r="AE386" s="4"/>
      <c r="AF386" s="4"/>
      <c r="AG386" s="4"/>
      <c r="AH386" s="4"/>
      <c r="AI386" s="4"/>
      <c r="AJ386" s="76" t="str">
        <f>IF(E386="○",IF(COUNTA(E$13:E386)=1,"",",")&amp;D386,"")</f>
        <v/>
      </c>
      <c r="AK386" s="4"/>
      <c r="AL386" s="4"/>
      <c r="AM386" s="4"/>
      <c r="AN386" s="4"/>
      <c r="AO386" s="4"/>
      <c r="AP386" s="4"/>
      <c r="AQ386" s="4"/>
      <c r="AR386" s="4"/>
      <c r="AS386" s="76" t="str">
        <f>"COMMENT ON COLUMN "&amp;エンティティ一覧!$O$2&amp;"."&amp;D$8&amp;"."&amp;D386&amp;" IS '"&amp;C386&amp;"';"</f>
        <v>COMMENT ON COLUMN milscm_2023_009.main_diagnosis_start_date.shikkan378_start_date IS 'C788_疾患開始日';</v>
      </c>
    </row>
    <row r="387" spans="1:45" s="25" customFormat="1">
      <c r="A387" s="4" t="s">
        <v>5521</v>
      </c>
      <c r="B387" s="21">
        <f t="shared" si="35"/>
        <v>385</v>
      </c>
      <c r="C387" s="13" t="str">
        <f t="shared" si="43"/>
        <v>C790_疾患開始日</v>
      </c>
      <c r="D387" s="13" t="s">
        <v>6039</v>
      </c>
      <c r="E387" s="8"/>
      <c r="F387" s="7" t="s">
        <v>4348</v>
      </c>
      <c r="G387" s="7" t="s">
        <v>25</v>
      </c>
      <c r="H387" s="58"/>
      <c r="I387" s="23"/>
      <c r="J387" s="24"/>
      <c r="M387" s="4"/>
      <c r="N387" s="76"/>
      <c r="O387" s="76"/>
      <c r="P387" s="76" t="str">
        <f t="shared" si="36"/>
        <v>,shikkan379_start_date</v>
      </c>
      <c r="Q387" s="76" t="str">
        <f t="shared" si="37"/>
        <v>DATE</v>
      </c>
      <c r="R387" s="76" t="str">
        <f t="shared" si="38"/>
        <v/>
      </c>
      <c r="S387" s="76" t="str">
        <f t="shared" si="39"/>
        <v/>
      </c>
      <c r="T387" s="76" t="str">
        <f t="shared" si="40"/>
        <v>-- C790_疾患開始日</v>
      </c>
      <c r="U387" s="4" t="str">
        <f t="shared" si="41"/>
        <v>,'shikkan379_start_date'</v>
      </c>
      <c r="V387" s="25" t="str">
        <f t="shared" si="42"/>
        <v>,'shikkan379_start_date' : 'C790_疾患開始日'</v>
      </c>
      <c r="X387" s="25">
        <v>1</v>
      </c>
      <c r="AA387" s="4"/>
      <c r="AB387" s="4"/>
      <c r="AC387" s="4"/>
      <c r="AD387" s="4"/>
      <c r="AE387" s="4"/>
      <c r="AF387" s="4"/>
      <c r="AG387" s="4"/>
      <c r="AH387" s="4"/>
      <c r="AI387" s="4"/>
      <c r="AJ387" s="76" t="str">
        <f>IF(E387="○",IF(COUNTA(E$13:E387)=1,"",",")&amp;D387,"")</f>
        <v/>
      </c>
      <c r="AK387" s="4"/>
      <c r="AL387" s="4"/>
      <c r="AM387" s="4"/>
      <c r="AN387" s="4"/>
      <c r="AO387" s="4"/>
      <c r="AP387" s="4"/>
      <c r="AQ387" s="4"/>
      <c r="AR387" s="4"/>
      <c r="AS387" s="76" t="str">
        <f>"COMMENT ON COLUMN "&amp;エンティティ一覧!$O$2&amp;"."&amp;D$8&amp;"."&amp;D387&amp;" IS '"&amp;C387&amp;"';"</f>
        <v>COMMENT ON COLUMN milscm_2023_009.main_diagnosis_start_date.shikkan379_start_date IS 'C790_疾患開始日';</v>
      </c>
    </row>
    <row r="388" spans="1:45" s="25" customFormat="1">
      <c r="A388" s="4" t="s">
        <v>5522</v>
      </c>
      <c r="B388" s="21">
        <f t="shared" ref="B388:B451" si="44">ROW()-2</f>
        <v>386</v>
      </c>
      <c r="C388" s="13" t="str">
        <f t="shared" si="43"/>
        <v>C791_疾患開始日</v>
      </c>
      <c r="D388" s="13" t="s">
        <v>6040</v>
      </c>
      <c r="E388" s="8"/>
      <c r="F388" s="7" t="s">
        <v>4348</v>
      </c>
      <c r="G388" s="7" t="s">
        <v>25</v>
      </c>
      <c r="H388" s="58"/>
      <c r="I388" s="23"/>
      <c r="J388" s="24"/>
      <c r="M388" s="4"/>
      <c r="N388" s="76"/>
      <c r="O388" s="76"/>
      <c r="P388" s="76" t="str">
        <f t="shared" si="36"/>
        <v>,shikkan380_start_date</v>
      </c>
      <c r="Q388" s="76" t="str">
        <f t="shared" si="37"/>
        <v>DATE</v>
      </c>
      <c r="R388" s="76" t="str">
        <f t="shared" si="38"/>
        <v/>
      </c>
      <c r="S388" s="76" t="str">
        <f t="shared" si="39"/>
        <v/>
      </c>
      <c r="T388" s="76" t="str">
        <f t="shared" si="40"/>
        <v>-- C791_疾患開始日</v>
      </c>
      <c r="U388" s="4" t="str">
        <f t="shared" si="41"/>
        <v>,'shikkan380_start_date'</v>
      </c>
      <c r="V388" s="25" t="str">
        <f t="shared" si="42"/>
        <v>,'shikkan380_start_date' : 'C791_疾患開始日'</v>
      </c>
      <c r="X388" s="25">
        <v>1</v>
      </c>
      <c r="AA388" s="4"/>
      <c r="AB388" s="4"/>
      <c r="AC388" s="4"/>
      <c r="AD388" s="4"/>
      <c r="AE388" s="4"/>
      <c r="AF388" s="4"/>
      <c r="AG388" s="4"/>
      <c r="AH388" s="4"/>
      <c r="AI388" s="4"/>
      <c r="AJ388" s="76" t="str">
        <f>IF(E388="○",IF(COUNTA(E$13:E388)=1,"",",")&amp;D388,"")</f>
        <v/>
      </c>
      <c r="AK388" s="4"/>
      <c r="AL388" s="4"/>
      <c r="AM388" s="4"/>
      <c r="AN388" s="4"/>
      <c r="AO388" s="4"/>
      <c r="AP388" s="4"/>
      <c r="AQ388" s="4"/>
      <c r="AR388" s="4"/>
      <c r="AS388" s="76" t="str">
        <f>"COMMENT ON COLUMN "&amp;エンティティ一覧!$O$2&amp;"."&amp;D$8&amp;"."&amp;D388&amp;" IS '"&amp;C388&amp;"';"</f>
        <v>COMMENT ON COLUMN milscm_2023_009.main_diagnosis_start_date.shikkan380_start_date IS 'C791_疾患開始日';</v>
      </c>
    </row>
    <row r="389" spans="1:45" s="25" customFormat="1">
      <c r="A389" s="4" t="s">
        <v>5523</v>
      </c>
      <c r="B389" s="21">
        <f t="shared" si="44"/>
        <v>387</v>
      </c>
      <c r="C389" s="13" t="str">
        <f t="shared" si="43"/>
        <v>C792_疾患開始日</v>
      </c>
      <c r="D389" s="13" t="s">
        <v>6041</v>
      </c>
      <c r="E389" s="8"/>
      <c r="F389" s="7" t="s">
        <v>4348</v>
      </c>
      <c r="G389" s="7" t="s">
        <v>25</v>
      </c>
      <c r="H389" s="58"/>
      <c r="I389" s="23"/>
      <c r="J389" s="24"/>
      <c r="M389" s="4"/>
      <c r="N389" s="76"/>
      <c r="O389" s="76"/>
      <c r="P389" s="76" t="str">
        <f t="shared" si="36"/>
        <v>,shikkan381_start_date</v>
      </c>
      <c r="Q389" s="76" t="str">
        <f t="shared" si="37"/>
        <v>DATE</v>
      </c>
      <c r="R389" s="76" t="str">
        <f t="shared" si="38"/>
        <v/>
      </c>
      <c r="S389" s="76" t="str">
        <f t="shared" si="39"/>
        <v/>
      </c>
      <c r="T389" s="76" t="str">
        <f t="shared" si="40"/>
        <v>-- C792_疾患開始日</v>
      </c>
      <c r="U389" s="4" t="str">
        <f t="shared" si="41"/>
        <v>,'shikkan381_start_date'</v>
      </c>
      <c r="V389" s="25" t="str">
        <f t="shared" si="42"/>
        <v>,'shikkan381_start_date' : 'C792_疾患開始日'</v>
      </c>
      <c r="X389" s="25">
        <v>1</v>
      </c>
      <c r="AA389" s="4"/>
      <c r="AB389" s="4"/>
      <c r="AC389" s="4"/>
      <c r="AD389" s="4"/>
      <c r="AE389" s="4"/>
      <c r="AF389" s="4"/>
      <c r="AG389" s="4"/>
      <c r="AH389" s="4"/>
      <c r="AI389" s="4"/>
      <c r="AJ389" s="76" t="str">
        <f>IF(E389="○",IF(COUNTA(E$13:E389)=1,"",",")&amp;D389,"")</f>
        <v/>
      </c>
      <c r="AK389" s="4"/>
      <c r="AL389" s="4"/>
      <c r="AM389" s="4"/>
      <c r="AN389" s="4"/>
      <c r="AO389" s="4"/>
      <c r="AP389" s="4"/>
      <c r="AQ389" s="4"/>
      <c r="AR389" s="4"/>
      <c r="AS389" s="76" t="str">
        <f>"COMMENT ON COLUMN "&amp;エンティティ一覧!$O$2&amp;"."&amp;D$8&amp;"."&amp;D389&amp;" IS '"&amp;C389&amp;"';"</f>
        <v>COMMENT ON COLUMN milscm_2023_009.main_diagnosis_start_date.shikkan381_start_date IS 'C792_疾患開始日';</v>
      </c>
    </row>
    <row r="390" spans="1:45" s="25" customFormat="1">
      <c r="A390" s="4" t="s">
        <v>5524</v>
      </c>
      <c r="B390" s="21">
        <f t="shared" si="44"/>
        <v>388</v>
      </c>
      <c r="C390" s="13" t="str">
        <f t="shared" si="43"/>
        <v>C793_疾患開始日</v>
      </c>
      <c r="D390" s="13" t="s">
        <v>6042</v>
      </c>
      <c r="E390" s="8"/>
      <c r="F390" s="7" t="s">
        <v>4348</v>
      </c>
      <c r="G390" s="7" t="s">
        <v>25</v>
      </c>
      <c r="H390" s="58"/>
      <c r="I390" s="23"/>
      <c r="J390" s="24"/>
      <c r="M390" s="4"/>
      <c r="N390" s="76"/>
      <c r="O390" s="76"/>
      <c r="P390" s="76" t="str">
        <f t="shared" si="36"/>
        <v>,shikkan382_start_date</v>
      </c>
      <c r="Q390" s="76" t="str">
        <f t="shared" si="37"/>
        <v>DATE</v>
      </c>
      <c r="R390" s="76" t="str">
        <f t="shared" si="38"/>
        <v/>
      </c>
      <c r="S390" s="76" t="str">
        <f t="shared" si="39"/>
        <v/>
      </c>
      <c r="T390" s="76" t="str">
        <f t="shared" si="40"/>
        <v>-- C793_疾患開始日</v>
      </c>
      <c r="U390" s="4" t="str">
        <f t="shared" si="41"/>
        <v>,'shikkan382_start_date'</v>
      </c>
      <c r="V390" s="25" t="str">
        <f t="shared" si="42"/>
        <v>,'shikkan382_start_date' : 'C793_疾患開始日'</v>
      </c>
      <c r="X390" s="25">
        <v>1</v>
      </c>
      <c r="AA390" s="4"/>
      <c r="AB390" s="4"/>
      <c r="AC390" s="4"/>
      <c r="AD390" s="4"/>
      <c r="AE390" s="4"/>
      <c r="AF390" s="4"/>
      <c r="AG390" s="4"/>
      <c r="AH390" s="4"/>
      <c r="AI390" s="4"/>
      <c r="AJ390" s="76" t="str">
        <f>IF(E390="○",IF(COUNTA(E$13:E390)=1,"",",")&amp;D390,"")</f>
        <v/>
      </c>
      <c r="AK390" s="4"/>
      <c r="AL390" s="4"/>
      <c r="AM390" s="4"/>
      <c r="AN390" s="4"/>
      <c r="AO390" s="4"/>
      <c r="AP390" s="4"/>
      <c r="AQ390" s="4"/>
      <c r="AR390" s="4"/>
      <c r="AS390" s="76" t="str">
        <f>"COMMENT ON COLUMN "&amp;エンティティ一覧!$O$2&amp;"."&amp;D$8&amp;"."&amp;D390&amp;" IS '"&amp;C390&amp;"';"</f>
        <v>COMMENT ON COLUMN milscm_2023_009.main_diagnosis_start_date.shikkan382_start_date IS 'C793_疾患開始日';</v>
      </c>
    </row>
    <row r="391" spans="1:45" s="25" customFormat="1">
      <c r="A391" s="4" t="s">
        <v>5525</v>
      </c>
      <c r="B391" s="21">
        <f t="shared" si="44"/>
        <v>389</v>
      </c>
      <c r="C391" s="13" t="str">
        <f t="shared" si="43"/>
        <v>C794_疾患開始日</v>
      </c>
      <c r="D391" s="13" t="s">
        <v>6043</v>
      </c>
      <c r="E391" s="8"/>
      <c r="F391" s="7" t="s">
        <v>4348</v>
      </c>
      <c r="G391" s="7" t="s">
        <v>25</v>
      </c>
      <c r="H391" s="58"/>
      <c r="I391" s="23"/>
      <c r="J391" s="24"/>
      <c r="M391" s="4"/>
      <c r="N391" s="76"/>
      <c r="O391" s="76"/>
      <c r="P391" s="76" t="str">
        <f t="shared" si="36"/>
        <v>,shikkan383_start_date</v>
      </c>
      <c r="Q391" s="76" t="str">
        <f t="shared" si="37"/>
        <v>DATE</v>
      </c>
      <c r="R391" s="76" t="str">
        <f t="shared" si="38"/>
        <v/>
      </c>
      <c r="S391" s="76" t="str">
        <f t="shared" si="39"/>
        <v/>
      </c>
      <c r="T391" s="76" t="str">
        <f t="shared" si="40"/>
        <v>-- C794_疾患開始日</v>
      </c>
      <c r="U391" s="4" t="str">
        <f t="shared" si="41"/>
        <v>,'shikkan383_start_date'</v>
      </c>
      <c r="V391" s="25" t="str">
        <f t="shared" si="42"/>
        <v>,'shikkan383_start_date' : 'C794_疾患開始日'</v>
      </c>
      <c r="X391" s="25">
        <v>1</v>
      </c>
      <c r="AA391" s="4"/>
      <c r="AB391" s="4"/>
      <c r="AC391" s="4"/>
      <c r="AD391" s="4"/>
      <c r="AE391" s="4"/>
      <c r="AF391" s="4"/>
      <c r="AG391" s="4"/>
      <c r="AH391" s="4"/>
      <c r="AI391" s="4"/>
      <c r="AJ391" s="76" t="str">
        <f>IF(E391="○",IF(COUNTA(E$13:E391)=1,"",",")&amp;D391,"")</f>
        <v/>
      </c>
      <c r="AK391" s="4"/>
      <c r="AL391" s="4"/>
      <c r="AM391" s="4"/>
      <c r="AN391" s="4"/>
      <c r="AO391" s="4"/>
      <c r="AP391" s="4"/>
      <c r="AQ391" s="4"/>
      <c r="AR391" s="4"/>
      <c r="AS391" s="76" t="str">
        <f>"COMMENT ON COLUMN "&amp;エンティティ一覧!$O$2&amp;"."&amp;D$8&amp;"."&amp;D391&amp;" IS '"&amp;C391&amp;"';"</f>
        <v>COMMENT ON COLUMN milscm_2023_009.main_diagnosis_start_date.shikkan383_start_date IS 'C794_疾患開始日';</v>
      </c>
    </row>
    <row r="392" spans="1:45" s="25" customFormat="1">
      <c r="A392" s="4" t="s">
        <v>5526</v>
      </c>
      <c r="B392" s="21">
        <f t="shared" si="44"/>
        <v>390</v>
      </c>
      <c r="C392" s="13" t="str">
        <f t="shared" si="43"/>
        <v>C795_疾患開始日</v>
      </c>
      <c r="D392" s="13" t="s">
        <v>6044</v>
      </c>
      <c r="E392" s="8"/>
      <c r="F392" s="7" t="s">
        <v>4348</v>
      </c>
      <c r="G392" s="7" t="s">
        <v>99</v>
      </c>
      <c r="H392" s="58"/>
      <c r="I392" s="23"/>
      <c r="J392" s="24"/>
      <c r="M392" s="4"/>
      <c r="N392" s="76"/>
      <c r="O392" s="76"/>
      <c r="P392" s="76" t="str">
        <f t="shared" ref="P392:P455" si="45">IF(B392&lt;&gt;1,","&amp;D392,D392)</f>
        <v>,shikkan384_start_date</v>
      </c>
      <c r="Q392" s="76" t="str">
        <f t="shared" ref="Q392:Q455" si="46">UPPER(G392)</f>
        <v>DATE</v>
      </c>
      <c r="R392" s="76" t="str">
        <f t="shared" ref="R392:R455" si="47">IF(H392&lt;&gt;"","default "&amp;IF(G392="text","'"&amp;H392&amp;"'",H392),"")</f>
        <v/>
      </c>
      <c r="S392" s="76" t="str">
        <f t="shared" ref="S392:S455" si="48">IF(I392="○","NOT NULL","")</f>
        <v/>
      </c>
      <c r="T392" s="76" t="str">
        <f t="shared" ref="T392:T455" si="49">"-- "&amp;C392</f>
        <v>-- C795_疾患開始日</v>
      </c>
      <c r="U392" s="4" t="str">
        <f t="shared" si="41"/>
        <v>,'shikkan384_start_date'</v>
      </c>
      <c r="V392" s="25" t="str">
        <f t="shared" si="42"/>
        <v>,'shikkan384_start_date' : 'C795_疾患開始日'</v>
      </c>
      <c r="X392" s="25">
        <v>1</v>
      </c>
      <c r="AA392" s="4"/>
      <c r="AB392" s="4"/>
      <c r="AC392" s="4"/>
      <c r="AD392" s="4"/>
      <c r="AE392" s="4"/>
      <c r="AF392" s="4"/>
      <c r="AG392" s="4"/>
      <c r="AH392" s="4"/>
      <c r="AI392" s="4"/>
      <c r="AJ392" s="76" t="str">
        <f>IF(E392="○",IF(COUNTA(E$13:E392)=1,"",",")&amp;D392,"")</f>
        <v/>
      </c>
      <c r="AK392" s="4"/>
      <c r="AL392" s="4"/>
      <c r="AM392" s="4"/>
      <c r="AN392" s="4"/>
      <c r="AO392" s="4"/>
      <c r="AP392" s="4"/>
      <c r="AQ392" s="4"/>
      <c r="AR392" s="4"/>
      <c r="AS392" s="76" t="str">
        <f>"COMMENT ON COLUMN "&amp;エンティティ一覧!$O$2&amp;"."&amp;D$8&amp;"."&amp;D392&amp;" IS '"&amp;C392&amp;"';"</f>
        <v>COMMENT ON COLUMN milscm_2023_009.main_diagnosis_start_date.shikkan384_start_date IS 'C795_疾患開始日';</v>
      </c>
    </row>
    <row r="393" spans="1:45" s="25" customFormat="1">
      <c r="A393" s="4" t="s">
        <v>5527</v>
      </c>
      <c r="B393" s="21">
        <f t="shared" si="44"/>
        <v>391</v>
      </c>
      <c r="C393" s="13" t="str">
        <f t="shared" si="43"/>
        <v>C796_疾患開始日</v>
      </c>
      <c r="D393" s="13" t="s">
        <v>6045</v>
      </c>
      <c r="E393" s="8"/>
      <c r="F393" s="7" t="s">
        <v>4348</v>
      </c>
      <c r="G393" s="7" t="s">
        <v>25</v>
      </c>
      <c r="H393" s="58"/>
      <c r="I393" s="23"/>
      <c r="J393" s="24"/>
      <c r="M393" s="4"/>
      <c r="N393" s="76"/>
      <c r="O393" s="76"/>
      <c r="P393" s="76" t="str">
        <f t="shared" si="45"/>
        <v>,shikkan385_start_date</v>
      </c>
      <c r="Q393" s="76" t="str">
        <f t="shared" si="46"/>
        <v>DATE</v>
      </c>
      <c r="R393" s="76" t="str">
        <f t="shared" si="47"/>
        <v/>
      </c>
      <c r="S393" s="76" t="str">
        <f t="shared" si="48"/>
        <v/>
      </c>
      <c r="T393" s="76" t="str">
        <f t="shared" si="49"/>
        <v>-- C796_疾患開始日</v>
      </c>
      <c r="U393" s="4" t="str">
        <f t="shared" ref="U393:U456" si="50">IF(B393&lt;&gt;1,",","")&amp;"'"&amp;D393&amp;"'"</f>
        <v>,'shikkan385_start_date'</v>
      </c>
      <c r="V393" s="25" t="str">
        <f t="shared" ref="V393:V456" si="51">U393&amp;" : '"&amp;C393&amp;"'"</f>
        <v>,'shikkan385_start_date' : 'C796_疾患開始日'</v>
      </c>
      <c r="X393" s="25">
        <v>1</v>
      </c>
      <c r="AA393" s="4"/>
      <c r="AB393" s="4"/>
      <c r="AC393" s="4"/>
      <c r="AD393" s="4"/>
      <c r="AE393" s="4"/>
      <c r="AF393" s="4"/>
      <c r="AG393" s="4"/>
      <c r="AH393" s="4"/>
      <c r="AI393" s="4"/>
      <c r="AJ393" s="76" t="str">
        <f>IF(E393="○",IF(COUNTA(E$13:E393)=1,"",",")&amp;D393,"")</f>
        <v/>
      </c>
      <c r="AK393" s="4"/>
      <c r="AL393" s="4"/>
      <c r="AM393" s="4"/>
      <c r="AN393" s="4"/>
      <c r="AO393" s="4"/>
      <c r="AP393" s="4"/>
      <c r="AQ393" s="4"/>
      <c r="AR393" s="4"/>
      <c r="AS393" s="76" t="str">
        <f>"COMMENT ON COLUMN "&amp;エンティティ一覧!$O$2&amp;"."&amp;D$8&amp;"."&amp;D393&amp;" IS '"&amp;C393&amp;"';"</f>
        <v>COMMENT ON COLUMN milscm_2023_009.main_diagnosis_start_date.shikkan385_start_date IS 'C796_疾患開始日';</v>
      </c>
    </row>
    <row r="394" spans="1:45" s="25" customFormat="1">
      <c r="A394" s="4" t="s">
        <v>5528</v>
      </c>
      <c r="B394" s="21">
        <f t="shared" si="44"/>
        <v>392</v>
      </c>
      <c r="C394" s="13" t="str">
        <f t="shared" ref="C394:C457" si="52">A394&amp;"_疾患開始日"</f>
        <v>C797_疾患開始日</v>
      </c>
      <c r="D394" s="13" t="s">
        <v>6046</v>
      </c>
      <c r="E394" s="8"/>
      <c r="F394" s="7" t="s">
        <v>4348</v>
      </c>
      <c r="G394" s="7" t="s">
        <v>25</v>
      </c>
      <c r="H394" s="58"/>
      <c r="I394" s="23"/>
      <c r="J394" s="24"/>
      <c r="M394" s="4"/>
      <c r="N394" s="76"/>
      <c r="O394" s="76"/>
      <c r="P394" s="76" t="str">
        <f t="shared" si="45"/>
        <v>,shikkan386_start_date</v>
      </c>
      <c r="Q394" s="76" t="str">
        <f t="shared" si="46"/>
        <v>DATE</v>
      </c>
      <c r="R394" s="76" t="str">
        <f t="shared" si="47"/>
        <v/>
      </c>
      <c r="S394" s="76" t="str">
        <f t="shared" si="48"/>
        <v/>
      </c>
      <c r="T394" s="76" t="str">
        <f t="shared" si="49"/>
        <v>-- C797_疾患開始日</v>
      </c>
      <c r="U394" s="4" t="str">
        <f t="shared" si="50"/>
        <v>,'shikkan386_start_date'</v>
      </c>
      <c r="V394" s="25" t="str">
        <f t="shared" si="51"/>
        <v>,'shikkan386_start_date' : 'C797_疾患開始日'</v>
      </c>
      <c r="X394" s="25">
        <v>1</v>
      </c>
      <c r="AA394" s="4"/>
      <c r="AB394" s="4"/>
      <c r="AC394" s="4"/>
      <c r="AD394" s="4"/>
      <c r="AE394" s="4"/>
      <c r="AF394" s="4"/>
      <c r="AG394" s="4"/>
      <c r="AH394" s="4"/>
      <c r="AI394" s="4"/>
      <c r="AJ394" s="76" t="str">
        <f>IF(E394="○",IF(COUNTA(E$13:E394)=1,"",",")&amp;D394,"")</f>
        <v/>
      </c>
      <c r="AK394" s="4"/>
      <c r="AL394" s="4"/>
      <c r="AM394" s="4"/>
      <c r="AN394" s="4"/>
      <c r="AO394" s="4"/>
      <c r="AP394" s="4"/>
      <c r="AQ394" s="4"/>
      <c r="AR394" s="4"/>
      <c r="AS394" s="76" t="str">
        <f>"COMMENT ON COLUMN "&amp;エンティティ一覧!$O$2&amp;"."&amp;D$8&amp;"."&amp;D394&amp;" IS '"&amp;C394&amp;"';"</f>
        <v>COMMENT ON COLUMN milscm_2023_009.main_diagnosis_start_date.shikkan386_start_date IS 'C797_疾患開始日';</v>
      </c>
    </row>
    <row r="395" spans="1:45" s="25" customFormat="1">
      <c r="A395" s="4" t="s">
        <v>5529</v>
      </c>
      <c r="B395" s="21">
        <f t="shared" si="44"/>
        <v>393</v>
      </c>
      <c r="C395" s="13" t="str">
        <f t="shared" si="52"/>
        <v>C798_疾患開始日</v>
      </c>
      <c r="D395" s="13" t="s">
        <v>6047</v>
      </c>
      <c r="E395" s="8"/>
      <c r="F395" s="7" t="s">
        <v>4348</v>
      </c>
      <c r="G395" s="7" t="s">
        <v>25</v>
      </c>
      <c r="H395" s="58"/>
      <c r="I395" s="23"/>
      <c r="J395" s="24"/>
      <c r="M395" s="4"/>
      <c r="N395" s="76"/>
      <c r="O395" s="76"/>
      <c r="P395" s="76" t="str">
        <f t="shared" si="45"/>
        <v>,shikkan387_start_date</v>
      </c>
      <c r="Q395" s="76" t="str">
        <f t="shared" si="46"/>
        <v>DATE</v>
      </c>
      <c r="R395" s="76" t="str">
        <f t="shared" si="47"/>
        <v/>
      </c>
      <c r="S395" s="76" t="str">
        <f t="shared" si="48"/>
        <v/>
      </c>
      <c r="T395" s="76" t="str">
        <f t="shared" si="49"/>
        <v>-- C798_疾患開始日</v>
      </c>
      <c r="U395" s="4" t="str">
        <f t="shared" si="50"/>
        <v>,'shikkan387_start_date'</v>
      </c>
      <c r="V395" s="25" t="str">
        <f t="shared" si="51"/>
        <v>,'shikkan387_start_date' : 'C798_疾患開始日'</v>
      </c>
      <c r="X395" s="25">
        <v>1</v>
      </c>
      <c r="AA395" s="4"/>
      <c r="AB395" s="4"/>
      <c r="AC395" s="4"/>
      <c r="AD395" s="4"/>
      <c r="AE395" s="4"/>
      <c r="AF395" s="4"/>
      <c r="AG395" s="4"/>
      <c r="AH395" s="4"/>
      <c r="AI395" s="4"/>
      <c r="AJ395" s="76" t="str">
        <f>IF(E395="○",IF(COUNTA(E$13:E395)=1,"",",")&amp;D395,"")</f>
        <v/>
      </c>
      <c r="AK395" s="4"/>
      <c r="AL395" s="4"/>
      <c r="AM395" s="4"/>
      <c r="AN395" s="4"/>
      <c r="AO395" s="4"/>
      <c r="AP395" s="4"/>
      <c r="AQ395" s="4"/>
      <c r="AR395" s="4"/>
      <c r="AS395" s="76" t="str">
        <f>"COMMENT ON COLUMN "&amp;エンティティ一覧!$O$2&amp;"."&amp;D$8&amp;"."&amp;D395&amp;" IS '"&amp;C395&amp;"';"</f>
        <v>COMMENT ON COLUMN milscm_2023_009.main_diagnosis_start_date.shikkan387_start_date IS 'C798_疾患開始日';</v>
      </c>
    </row>
    <row r="396" spans="1:45" s="25" customFormat="1">
      <c r="A396" s="4" t="s">
        <v>5530</v>
      </c>
      <c r="B396" s="21">
        <f t="shared" si="44"/>
        <v>394</v>
      </c>
      <c r="C396" s="13" t="str">
        <f t="shared" si="52"/>
        <v>C799_疾患開始日</v>
      </c>
      <c r="D396" s="13" t="s">
        <v>6048</v>
      </c>
      <c r="E396" s="8"/>
      <c r="F396" s="7" t="s">
        <v>4348</v>
      </c>
      <c r="G396" s="7" t="s">
        <v>25</v>
      </c>
      <c r="H396" s="58"/>
      <c r="I396" s="23"/>
      <c r="J396" s="24"/>
      <c r="M396" s="4"/>
      <c r="N396" s="76"/>
      <c r="O396" s="76"/>
      <c r="P396" s="76" t="str">
        <f t="shared" si="45"/>
        <v>,shikkan388_start_date</v>
      </c>
      <c r="Q396" s="76" t="str">
        <f t="shared" si="46"/>
        <v>DATE</v>
      </c>
      <c r="R396" s="76" t="str">
        <f t="shared" si="47"/>
        <v/>
      </c>
      <c r="S396" s="76" t="str">
        <f t="shared" si="48"/>
        <v/>
      </c>
      <c r="T396" s="76" t="str">
        <f t="shared" si="49"/>
        <v>-- C799_疾患開始日</v>
      </c>
      <c r="U396" s="4" t="str">
        <f t="shared" si="50"/>
        <v>,'shikkan388_start_date'</v>
      </c>
      <c r="V396" s="25" t="str">
        <f t="shared" si="51"/>
        <v>,'shikkan388_start_date' : 'C799_疾患開始日'</v>
      </c>
      <c r="X396" s="25">
        <v>1</v>
      </c>
      <c r="AA396" s="4"/>
      <c r="AB396" s="4"/>
      <c r="AC396" s="4"/>
      <c r="AD396" s="4"/>
      <c r="AE396" s="4"/>
      <c r="AF396" s="4"/>
      <c r="AG396" s="4"/>
      <c r="AH396" s="4"/>
      <c r="AI396" s="4"/>
      <c r="AJ396" s="76" t="str">
        <f>IF(E396="○",IF(COUNTA(E$13:E396)=1,"",",")&amp;D396,"")</f>
        <v/>
      </c>
      <c r="AK396" s="4"/>
      <c r="AL396" s="4"/>
      <c r="AM396" s="4"/>
      <c r="AN396" s="4"/>
      <c r="AO396" s="4"/>
      <c r="AP396" s="4"/>
      <c r="AQ396" s="4"/>
      <c r="AR396" s="4"/>
      <c r="AS396" s="76" t="str">
        <f>"COMMENT ON COLUMN "&amp;エンティティ一覧!$O$2&amp;"."&amp;D$8&amp;"."&amp;D396&amp;" IS '"&amp;C396&amp;"';"</f>
        <v>COMMENT ON COLUMN milscm_2023_009.main_diagnosis_start_date.shikkan388_start_date IS 'C799_疾患開始日';</v>
      </c>
    </row>
    <row r="397" spans="1:45" s="25" customFormat="1">
      <c r="A397" s="4" t="s">
        <v>5531</v>
      </c>
      <c r="B397" s="21">
        <f t="shared" si="44"/>
        <v>395</v>
      </c>
      <c r="C397" s="13" t="str">
        <f t="shared" si="52"/>
        <v>C800_疾患開始日</v>
      </c>
      <c r="D397" s="13" t="s">
        <v>6049</v>
      </c>
      <c r="E397" s="8"/>
      <c r="F397" s="7" t="s">
        <v>4348</v>
      </c>
      <c r="G397" s="7" t="s">
        <v>25</v>
      </c>
      <c r="H397" s="58"/>
      <c r="I397" s="23"/>
      <c r="J397" s="24"/>
      <c r="M397" s="4"/>
      <c r="N397" s="76"/>
      <c r="O397" s="76"/>
      <c r="P397" s="76" t="str">
        <f t="shared" si="45"/>
        <v>,shikkan389_start_date</v>
      </c>
      <c r="Q397" s="76" t="str">
        <f t="shared" si="46"/>
        <v>DATE</v>
      </c>
      <c r="R397" s="76" t="str">
        <f t="shared" si="47"/>
        <v/>
      </c>
      <c r="S397" s="76" t="str">
        <f t="shared" si="48"/>
        <v/>
      </c>
      <c r="T397" s="76" t="str">
        <f t="shared" si="49"/>
        <v>-- C800_疾患開始日</v>
      </c>
      <c r="U397" s="4" t="str">
        <f t="shared" si="50"/>
        <v>,'shikkan389_start_date'</v>
      </c>
      <c r="V397" s="25" t="str">
        <f t="shared" si="51"/>
        <v>,'shikkan389_start_date' : 'C800_疾患開始日'</v>
      </c>
      <c r="X397" s="25">
        <v>1</v>
      </c>
      <c r="AA397" s="4"/>
      <c r="AB397" s="4"/>
      <c r="AC397" s="4"/>
      <c r="AD397" s="4"/>
      <c r="AE397" s="4"/>
      <c r="AF397" s="4"/>
      <c r="AG397" s="4"/>
      <c r="AH397" s="4"/>
      <c r="AI397" s="4"/>
      <c r="AJ397" s="76" t="str">
        <f>IF(E397="○",IF(COUNTA(E$13:E397)=1,"",",")&amp;D397,"")</f>
        <v/>
      </c>
      <c r="AK397" s="4"/>
      <c r="AL397" s="4"/>
      <c r="AM397" s="4"/>
      <c r="AN397" s="4"/>
      <c r="AO397" s="4"/>
      <c r="AP397" s="4"/>
      <c r="AQ397" s="4"/>
      <c r="AR397" s="4"/>
      <c r="AS397" s="76" t="str">
        <f>"COMMENT ON COLUMN "&amp;エンティティ一覧!$O$2&amp;"."&amp;D$8&amp;"."&amp;D397&amp;" IS '"&amp;C397&amp;"';"</f>
        <v>COMMENT ON COLUMN milscm_2023_009.main_diagnosis_start_date.shikkan389_start_date IS 'C800_疾患開始日';</v>
      </c>
    </row>
    <row r="398" spans="1:45" s="25" customFormat="1">
      <c r="A398" s="4" t="s">
        <v>5532</v>
      </c>
      <c r="B398" s="21">
        <f t="shared" si="44"/>
        <v>396</v>
      </c>
      <c r="C398" s="13" t="str">
        <f t="shared" si="52"/>
        <v>C809_疾患開始日</v>
      </c>
      <c r="D398" s="13" t="s">
        <v>6050</v>
      </c>
      <c r="E398" s="8"/>
      <c r="F398" s="7" t="s">
        <v>4348</v>
      </c>
      <c r="G398" s="7" t="s">
        <v>25</v>
      </c>
      <c r="H398" s="58"/>
      <c r="I398" s="23"/>
      <c r="J398" s="24"/>
      <c r="M398" s="4"/>
      <c r="N398" s="76"/>
      <c r="O398" s="76"/>
      <c r="P398" s="76" t="str">
        <f t="shared" si="45"/>
        <v>,shikkan390_start_date</v>
      </c>
      <c r="Q398" s="76" t="str">
        <f t="shared" si="46"/>
        <v>DATE</v>
      </c>
      <c r="R398" s="76" t="str">
        <f t="shared" si="47"/>
        <v/>
      </c>
      <c r="S398" s="76" t="str">
        <f t="shared" si="48"/>
        <v/>
      </c>
      <c r="T398" s="76" t="str">
        <f t="shared" si="49"/>
        <v>-- C809_疾患開始日</v>
      </c>
      <c r="U398" s="4" t="str">
        <f t="shared" si="50"/>
        <v>,'shikkan390_start_date'</v>
      </c>
      <c r="V398" s="25" t="str">
        <f t="shared" si="51"/>
        <v>,'shikkan390_start_date' : 'C809_疾患開始日'</v>
      </c>
      <c r="X398" s="25">
        <v>1</v>
      </c>
      <c r="AA398" s="4"/>
      <c r="AB398" s="4"/>
      <c r="AC398" s="4"/>
      <c r="AD398" s="4"/>
      <c r="AE398" s="4"/>
      <c r="AF398" s="4"/>
      <c r="AG398" s="4"/>
      <c r="AH398" s="4"/>
      <c r="AI398" s="4"/>
      <c r="AJ398" s="76" t="str">
        <f>IF(E398="○",IF(COUNTA(E$13:E398)=1,"",",")&amp;D398,"")</f>
        <v/>
      </c>
      <c r="AK398" s="4"/>
      <c r="AL398" s="4"/>
      <c r="AM398" s="4"/>
      <c r="AN398" s="4"/>
      <c r="AO398" s="4"/>
      <c r="AP398" s="4"/>
      <c r="AQ398" s="4"/>
      <c r="AR398" s="4"/>
      <c r="AS398" s="76" t="str">
        <f>"COMMENT ON COLUMN "&amp;エンティティ一覧!$O$2&amp;"."&amp;D$8&amp;"."&amp;D398&amp;" IS '"&amp;C398&amp;"';"</f>
        <v>COMMENT ON COLUMN milscm_2023_009.main_diagnosis_start_date.shikkan390_start_date IS 'C809_疾患開始日';</v>
      </c>
    </row>
    <row r="399" spans="1:45" s="25" customFormat="1">
      <c r="A399" s="4" t="s">
        <v>5533</v>
      </c>
      <c r="B399" s="21">
        <f t="shared" si="44"/>
        <v>397</v>
      </c>
      <c r="C399" s="13" t="str">
        <f t="shared" si="52"/>
        <v>C810_疾患開始日</v>
      </c>
      <c r="D399" s="13" t="s">
        <v>6051</v>
      </c>
      <c r="E399" s="8"/>
      <c r="F399" s="7" t="s">
        <v>4348</v>
      </c>
      <c r="G399" s="7" t="s">
        <v>25</v>
      </c>
      <c r="H399" s="58"/>
      <c r="I399" s="23"/>
      <c r="J399" s="24"/>
      <c r="M399" s="4"/>
      <c r="N399" s="76"/>
      <c r="O399" s="76"/>
      <c r="P399" s="76" t="str">
        <f t="shared" si="45"/>
        <v>,shikkan391_start_date</v>
      </c>
      <c r="Q399" s="76" t="str">
        <f t="shared" si="46"/>
        <v>DATE</v>
      </c>
      <c r="R399" s="76" t="str">
        <f t="shared" si="47"/>
        <v/>
      </c>
      <c r="S399" s="76" t="str">
        <f t="shared" si="48"/>
        <v/>
      </c>
      <c r="T399" s="76" t="str">
        <f t="shared" si="49"/>
        <v>-- C810_疾患開始日</v>
      </c>
      <c r="U399" s="4" t="str">
        <f t="shared" si="50"/>
        <v>,'shikkan391_start_date'</v>
      </c>
      <c r="V399" s="25" t="str">
        <f t="shared" si="51"/>
        <v>,'shikkan391_start_date' : 'C810_疾患開始日'</v>
      </c>
      <c r="X399" s="25">
        <v>1</v>
      </c>
      <c r="AA399" s="4"/>
      <c r="AB399" s="4"/>
      <c r="AC399" s="4"/>
      <c r="AD399" s="4"/>
      <c r="AE399" s="4"/>
      <c r="AF399" s="4"/>
      <c r="AG399" s="4"/>
      <c r="AH399" s="4"/>
      <c r="AI399" s="4"/>
      <c r="AJ399" s="76" t="str">
        <f>IF(E399="○",IF(COUNTA(E$13:E399)=1,"",",")&amp;D399,"")</f>
        <v/>
      </c>
      <c r="AK399" s="4"/>
      <c r="AL399" s="4"/>
      <c r="AM399" s="4"/>
      <c r="AN399" s="4"/>
      <c r="AO399" s="4"/>
      <c r="AP399" s="4"/>
      <c r="AQ399" s="4"/>
      <c r="AR399" s="4"/>
      <c r="AS399" s="76" t="str">
        <f>"COMMENT ON COLUMN "&amp;エンティティ一覧!$O$2&amp;"."&amp;D$8&amp;"."&amp;D399&amp;" IS '"&amp;C399&amp;"';"</f>
        <v>COMMENT ON COLUMN milscm_2023_009.main_diagnosis_start_date.shikkan391_start_date IS 'C810_疾患開始日';</v>
      </c>
    </row>
    <row r="400" spans="1:45" s="25" customFormat="1">
      <c r="A400" s="4" t="s">
        <v>5534</v>
      </c>
      <c r="B400" s="21">
        <f t="shared" si="44"/>
        <v>398</v>
      </c>
      <c r="C400" s="13" t="str">
        <f t="shared" si="52"/>
        <v>C811_疾患開始日</v>
      </c>
      <c r="D400" s="13" t="s">
        <v>6052</v>
      </c>
      <c r="E400" s="8"/>
      <c r="F400" s="7" t="s">
        <v>4348</v>
      </c>
      <c r="G400" s="7" t="s">
        <v>25</v>
      </c>
      <c r="H400" s="58"/>
      <c r="I400" s="23"/>
      <c r="J400" s="24"/>
      <c r="M400" s="4"/>
      <c r="N400" s="76"/>
      <c r="O400" s="76"/>
      <c r="P400" s="76" t="str">
        <f t="shared" si="45"/>
        <v>,shikkan392_start_date</v>
      </c>
      <c r="Q400" s="76" t="str">
        <f t="shared" si="46"/>
        <v>DATE</v>
      </c>
      <c r="R400" s="76" t="str">
        <f t="shared" si="47"/>
        <v/>
      </c>
      <c r="S400" s="76" t="str">
        <f t="shared" si="48"/>
        <v/>
      </c>
      <c r="T400" s="76" t="str">
        <f t="shared" si="49"/>
        <v>-- C811_疾患開始日</v>
      </c>
      <c r="U400" s="4" t="str">
        <f t="shared" si="50"/>
        <v>,'shikkan392_start_date'</v>
      </c>
      <c r="V400" s="25" t="str">
        <f t="shared" si="51"/>
        <v>,'shikkan392_start_date' : 'C811_疾患開始日'</v>
      </c>
      <c r="X400" s="25">
        <v>1</v>
      </c>
      <c r="AA400" s="4"/>
      <c r="AB400" s="4"/>
      <c r="AC400" s="4"/>
      <c r="AD400" s="4"/>
      <c r="AE400" s="4"/>
      <c r="AF400" s="4"/>
      <c r="AG400" s="4"/>
      <c r="AH400" s="4"/>
      <c r="AI400" s="4"/>
      <c r="AJ400" s="76" t="str">
        <f>IF(E400="○",IF(COUNTA(E$13:E400)=1,"",",")&amp;D400,"")</f>
        <v/>
      </c>
      <c r="AK400" s="4"/>
      <c r="AL400" s="4"/>
      <c r="AM400" s="4"/>
      <c r="AN400" s="4"/>
      <c r="AO400" s="4"/>
      <c r="AP400" s="4"/>
      <c r="AQ400" s="4"/>
      <c r="AR400" s="4"/>
      <c r="AS400" s="76" t="str">
        <f>"COMMENT ON COLUMN "&amp;エンティティ一覧!$O$2&amp;"."&amp;D$8&amp;"."&amp;D400&amp;" IS '"&amp;C400&amp;"';"</f>
        <v>COMMENT ON COLUMN milscm_2023_009.main_diagnosis_start_date.shikkan392_start_date IS 'C811_疾患開始日';</v>
      </c>
    </row>
    <row r="401" spans="1:45" s="25" customFormat="1">
      <c r="A401" s="4" t="s">
        <v>5535</v>
      </c>
      <c r="B401" s="21">
        <f t="shared" si="44"/>
        <v>399</v>
      </c>
      <c r="C401" s="13" t="str">
        <f t="shared" si="52"/>
        <v>C812_疾患開始日</v>
      </c>
      <c r="D401" s="13" t="s">
        <v>6053</v>
      </c>
      <c r="E401" s="8"/>
      <c r="F401" s="7" t="s">
        <v>4348</v>
      </c>
      <c r="G401" s="7" t="s">
        <v>25</v>
      </c>
      <c r="H401" s="58"/>
      <c r="I401" s="23"/>
      <c r="J401" s="24"/>
      <c r="M401" s="4"/>
      <c r="N401" s="76"/>
      <c r="O401" s="76"/>
      <c r="P401" s="76" t="str">
        <f t="shared" si="45"/>
        <v>,shikkan393_start_date</v>
      </c>
      <c r="Q401" s="76" t="str">
        <f t="shared" si="46"/>
        <v>DATE</v>
      </c>
      <c r="R401" s="76" t="str">
        <f t="shared" si="47"/>
        <v/>
      </c>
      <c r="S401" s="76" t="str">
        <f t="shared" si="48"/>
        <v/>
      </c>
      <c r="T401" s="76" t="str">
        <f t="shared" si="49"/>
        <v>-- C812_疾患開始日</v>
      </c>
      <c r="U401" s="4" t="str">
        <f t="shared" si="50"/>
        <v>,'shikkan393_start_date'</v>
      </c>
      <c r="V401" s="25" t="str">
        <f t="shared" si="51"/>
        <v>,'shikkan393_start_date' : 'C812_疾患開始日'</v>
      </c>
      <c r="X401" s="25">
        <v>1</v>
      </c>
      <c r="AA401" s="4"/>
      <c r="AB401" s="4"/>
      <c r="AC401" s="4"/>
      <c r="AD401" s="4"/>
      <c r="AE401" s="4"/>
      <c r="AF401" s="4"/>
      <c r="AG401" s="4"/>
      <c r="AH401" s="4"/>
      <c r="AI401" s="4"/>
      <c r="AJ401" s="76" t="str">
        <f>IF(E401="○",IF(COUNTA(E$13:E401)=1,"",",")&amp;D401,"")</f>
        <v/>
      </c>
      <c r="AK401" s="4"/>
      <c r="AL401" s="4"/>
      <c r="AM401" s="4"/>
      <c r="AN401" s="4"/>
      <c r="AO401" s="4"/>
      <c r="AP401" s="4"/>
      <c r="AQ401" s="4"/>
      <c r="AR401" s="4"/>
      <c r="AS401" s="76" t="str">
        <f>"COMMENT ON COLUMN "&amp;エンティティ一覧!$O$2&amp;"."&amp;D$8&amp;"."&amp;D401&amp;" IS '"&amp;C401&amp;"';"</f>
        <v>COMMENT ON COLUMN milscm_2023_009.main_diagnosis_start_date.shikkan393_start_date IS 'C812_疾患開始日';</v>
      </c>
    </row>
    <row r="402" spans="1:45" s="25" customFormat="1">
      <c r="A402" s="4" t="s">
        <v>5536</v>
      </c>
      <c r="B402" s="21">
        <f t="shared" si="44"/>
        <v>400</v>
      </c>
      <c r="C402" s="13" t="str">
        <f t="shared" si="52"/>
        <v>C813_疾患開始日</v>
      </c>
      <c r="D402" s="13" t="s">
        <v>6054</v>
      </c>
      <c r="E402" s="8"/>
      <c r="F402" s="7" t="s">
        <v>4348</v>
      </c>
      <c r="G402" s="7" t="s">
        <v>25</v>
      </c>
      <c r="H402" s="58"/>
      <c r="I402" s="23"/>
      <c r="J402" s="24"/>
      <c r="M402" s="4"/>
      <c r="N402" s="76"/>
      <c r="O402" s="76"/>
      <c r="P402" s="76" t="str">
        <f t="shared" si="45"/>
        <v>,shikkan394_start_date</v>
      </c>
      <c r="Q402" s="76" t="str">
        <f t="shared" si="46"/>
        <v>DATE</v>
      </c>
      <c r="R402" s="76" t="str">
        <f t="shared" si="47"/>
        <v/>
      </c>
      <c r="S402" s="76" t="str">
        <f t="shared" si="48"/>
        <v/>
      </c>
      <c r="T402" s="76" t="str">
        <f t="shared" si="49"/>
        <v>-- C813_疾患開始日</v>
      </c>
      <c r="U402" s="4" t="str">
        <f t="shared" si="50"/>
        <v>,'shikkan394_start_date'</v>
      </c>
      <c r="V402" s="25" t="str">
        <f t="shared" si="51"/>
        <v>,'shikkan394_start_date' : 'C813_疾患開始日'</v>
      </c>
      <c r="X402" s="25">
        <v>1</v>
      </c>
      <c r="AA402" s="4"/>
      <c r="AB402" s="4"/>
      <c r="AC402" s="4"/>
      <c r="AD402" s="4"/>
      <c r="AE402" s="4"/>
      <c r="AF402" s="4"/>
      <c r="AG402" s="4"/>
      <c r="AH402" s="4"/>
      <c r="AI402" s="4"/>
      <c r="AJ402" s="76" t="str">
        <f>IF(E402="○",IF(COUNTA(E$13:E402)=1,"",",")&amp;D402,"")</f>
        <v/>
      </c>
      <c r="AK402" s="4"/>
      <c r="AL402" s="4"/>
      <c r="AM402" s="4"/>
      <c r="AN402" s="4"/>
      <c r="AO402" s="4"/>
      <c r="AP402" s="4"/>
      <c r="AQ402" s="4"/>
      <c r="AR402" s="4"/>
      <c r="AS402" s="76" t="str">
        <f>"COMMENT ON COLUMN "&amp;エンティティ一覧!$O$2&amp;"."&amp;D$8&amp;"."&amp;D402&amp;" IS '"&amp;C402&amp;"';"</f>
        <v>COMMENT ON COLUMN milscm_2023_009.main_diagnosis_start_date.shikkan394_start_date IS 'C813_疾患開始日';</v>
      </c>
    </row>
    <row r="403" spans="1:45" s="25" customFormat="1">
      <c r="A403" s="4" t="s">
        <v>5537</v>
      </c>
      <c r="B403" s="21">
        <f t="shared" si="44"/>
        <v>401</v>
      </c>
      <c r="C403" s="13" t="str">
        <f t="shared" si="52"/>
        <v>C814_疾患開始日</v>
      </c>
      <c r="D403" s="13" t="s">
        <v>6055</v>
      </c>
      <c r="E403" s="8"/>
      <c r="F403" s="7" t="s">
        <v>4348</v>
      </c>
      <c r="G403" s="7" t="s">
        <v>25</v>
      </c>
      <c r="H403" s="58"/>
      <c r="I403" s="23"/>
      <c r="J403" s="24"/>
      <c r="M403" s="4"/>
      <c r="N403" s="76"/>
      <c r="O403" s="76"/>
      <c r="P403" s="76" t="str">
        <f t="shared" si="45"/>
        <v>,shikkan395_start_date</v>
      </c>
      <c r="Q403" s="76" t="str">
        <f t="shared" si="46"/>
        <v>DATE</v>
      </c>
      <c r="R403" s="76" t="str">
        <f t="shared" si="47"/>
        <v/>
      </c>
      <c r="S403" s="76" t="str">
        <f t="shared" si="48"/>
        <v/>
      </c>
      <c r="T403" s="76" t="str">
        <f t="shared" si="49"/>
        <v>-- C814_疾患開始日</v>
      </c>
      <c r="U403" s="4" t="str">
        <f t="shared" si="50"/>
        <v>,'shikkan395_start_date'</v>
      </c>
      <c r="V403" s="25" t="str">
        <f t="shared" si="51"/>
        <v>,'shikkan395_start_date' : 'C814_疾患開始日'</v>
      </c>
      <c r="X403" s="25">
        <v>1</v>
      </c>
      <c r="AA403" s="4"/>
      <c r="AB403" s="4"/>
      <c r="AC403" s="4"/>
      <c r="AD403" s="4"/>
      <c r="AE403" s="4"/>
      <c r="AF403" s="4"/>
      <c r="AG403" s="4"/>
      <c r="AH403" s="4"/>
      <c r="AI403" s="4"/>
      <c r="AJ403" s="76" t="str">
        <f>IF(E403="○",IF(COUNTA(E$13:E403)=1,"",",")&amp;D403,"")</f>
        <v/>
      </c>
      <c r="AK403" s="4"/>
      <c r="AL403" s="4"/>
      <c r="AM403" s="4"/>
      <c r="AN403" s="4"/>
      <c r="AO403" s="4"/>
      <c r="AP403" s="4"/>
      <c r="AQ403" s="4"/>
      <c r="AR403" s="4"/>
      <c r="AS403" s="76" t="str">
        <f>"COMMENT ON COLUMN "&amp;エンティティ一覧!$O$2&amp;"."&amp;D$8&amp;"."&amp;D403&amp;" IS '"&amp;C403&amp;"';"</f>
        <v>COMMENT ON COLUMN milscm_2023_009.main_diagnosis_start_date.shikkan395_start_date IS 'C814_疾患開始日';</v>
      </c>
    </row>
    <row r="404" spans="1:45" s="25" customFormat="1">
      <c r="A404" s="4" t="s">
        <v>5538</v>
      </c>
      <c r="B404" s="21">
        <f t="shared" si="44"/>
        <v>402</v>
      </c>
      <c r="C404" s="13" t="str">
        <f t="shared" si="52"/>
        <v>C817_疾患開始日</v>
      </c>
      <c r="D404" s="13" t="s">
        <v>6056</v>
      </c>
      <c r="E404" s="8"/>
      <c r="F404" s="7" t="s">
        <v>4348</v>
      </c>
      <c r="G404" s="7" t="s">
        <v>25</v>
      </c>
      <c r="H404" s="58"/>
      <c r="I404" s="23"/>
      <c r="J404" s="24"/>
      <c r="M404" s="4"/>
      <c r="N404" s="76"/>
      <c r="O404" s="76"/>
      <c r="P404" s="76" t="str">
        <f t="shared" si="45"/>
        <v>,shikkan396_start_date</v>
      </c>
      <c r="Q404" s="76" t="str">
        <f t="shared" si="46"/>
        <v>DATE</v>
      </c>
      <c r="R404" s="76" t="str">
        <f t="shared" si="47"/>
        <v/>
      </c>
      <c r="S404" s="76" t="str">
        <f t="shared" si="48"/>
        <v/>
      </c>
      <c r="T404" s="76" t="str">
        <f t="shared" si="49"/>
        <v>-- C817_疾患開始日</v>
      </c>
      <c r="U404" s="4" t="str">
        <f t="shared" si="50"/>
        <v>,'shikkan396_start_date'</v>
      </c>
      <c r="V404" s="25" t="str">
        <f t="shared" si="51"/>
        <v>,'shikkan396_start_date' : 'C817_疾患開始日'</v>
      </c>
      <c r="X404" s="25">
        <v>1</v>
      </c>
      <c r="AA404" s="4"/>
      <c r="AB404" s="4"/>
      <c r="AC404" s="4"/>
      <c r="AD404" s="4"/>
      <c r="AE404" s="4"/>
      <c r="AF404" s="4"/>
      <c r="AG404" s="4"/>
      <c r="AH404" s="4"/>
      <c r="AI404" s="4"/>
      <c r="AJ404" s="76" t="str">
        <f>IF(E404="○",IF(COUNTA(E$13:E404)=1,"",",")&amp;D404,"")</f>
        <v/>
      </c>
      <c r="AK404" s="4"/>
      <c r="AL404" s="4"/>
      <c r="AM404" s="4"/>
      <c r="AN404" s="4"/>
      <c r="AO404" s="4"/>
      <c r="AP404" s="4"/>
      <c r="AQ404" s="4"/>
      <c r="AR404" s="4"/>
      <c r="AS404" s="76" t="str">
        <f>"COMMENT ON COLUMN "&amp;エンティティ一覧!$O$2&amp;"."&amp;D$8&amp;"."&amp;D404&amp;" IS '"&amp;C404&amp;"';"</f>
        <v>COMMENT ON COLUMN milscm_2023_009.main_diagnosis_start_date.shikkan396_start_date IS 'C817_疾患開始日';</v>
      </c>
    </row>
    <row r="405" spans="1:45" s="25" customFormat="1">
      <c r="A405" s="4" t="s">
        <v>5539</v>
      </c>
      <c r="B405" s="21">
        <f t="shared" si="44"/>
        <v>403</v>
      </c>
      <c r="C405" s="13" t="str">
        <f t="shared" si="52"/>
        <v>C819_疾患開始日</v>
      </c>
      <c r="D405" s="13" t="s">
        <v>6057</v>
      </c>
      <c r="E405" s="8"/>
      <c r="F405" s="7" t="s">
        <v>4348</v>
      </c>
      <c r="G405" s="7" t="s">
        <v>25</v>
      </c>
      <c r="H405" s="58"/>
      <c r="I405" s="23"/>
      <c r="J405" s="24"/>
      <c r="M405" s="4"/>
      <c r="N405" s="76"/>
      <c r="O405" s="76"/>
      <c r="P405" s="76" t="str">
        <f t="shared" si="45"/>
        <v>,shikkan397_start_date</v>
      </c>
      <c r="Q405" s="76" t="str">
        <f t="shared" si="46"/>
        <v>DATE</v>
      </c>
      <c r="R405" s="76" t="str">
        <f t="shared" si="47"/>
        <v/>
      </c>
      <c r="S405" s="76" t="str">
        <f t="shared" si="48"/>
        <v/>
      </c>
      <c r="T405" s="76" t="str">
        <f t="shared" si="49"/>
        <v>-- C819_疾患開始日</v>
      </c>
      <c r="U405" s="4" t="str">
        <f t="shared" si="50"/>
        <v>,'shikkan397_start_date'</v>
      </c>
      <c r="V405" s="25" t="str">
        <f t="shared" si="51"/>
        <v>,'shikkan397_start_date' : 'C819_疾患開始日'</v>
      </c>
      <c r="X405" s="25">
        <v>1</v>
      </c>
      <c r="AA405" s="4"/>
      <c r="AB405" s="4"/>
      <c r="AC405" s="4"/>
      <c r="AD405" s="4"/>
      <c r="AE405" s="4"/>
      <c r="AF405" s="4"/>
      <c r="AG405" s="4"/>
      <c r="AH405" s="4"/>
      <c r="AI405" s="4"/>
      <c r="AJ405" s="76" t="str">
        <f>IF(E405="○",IF(COUNTA(E$13:E405)=1,"",",")&amp;D405,"")</f>
        <v/>
      </c>
      <c r="AK405" s="4"/>
      <c r="AL405" s="4"/>
      <c r="AM405" s="4"/>
      <c r="AN405" s="4"/>
      <c r="AO405" s="4"/>
      <c r="AP405" s="4"/>
      <c r="AQ405" s="4"/>
      <c r="AR405" s="4"/>
      <c r="AS405" s="76" t="str">
        <f>"COMMENT ON COLUMN "&amp;エンティティ一覧!$O$2&amp;"."&amp;D$8&amp;"."&amp;D405&amp;" IS '"&amp;C405&amp;"';"</f>
        <v>COMMENT ON COLUMN milscm_2023_009.main_diagnosis_start_date.shikkan397_start_date IS 'C819_疾患開始日';</v>
      </c>
    </row>
    <row r="406" spans="1:45" s="25" customFormat="1">
      <c r="A406" s="4" t="s">
        <v>5540</v>
      </c>
      <c r="B406" s="21">
        <f t="shared" si="44"/>
        <v>404</v>
      </c>
      <c r="C406" s="13" t="str">
        <f t="shared" si="52"/>
        <v>C820_疾患開始日</v>
      </c>
      <c r="D406" s="13" t="s">
        <v>6058</v>
      </c>
      <c r="E406" s="8"/>
      <c r="F406" s="7" t="s">
        <v>4348</v>
      </c>
      <c r="G406" s="7" t="s">
        <v>25</v>
      </c>
      <c r="H406" s="58"/>
      <c r="I406" s="23"/>
      <c r="J406" s="24"/>
      <c r="M406" s="4"/>
      <c r="N406" s="76"/>
      <c r="O406" s="76"/>
      <c r="P406" s="76" t="str">
        <f t="shared" si="45"/>
        <v>,shikkan398_start_date</v>
      </c>
      <c r="Q406" s="76" t="str">
        <f t="shared" si="46"/>
        <v>DATE</v>
      </c>
      <c r="R406" s="76" t="str">
        <f t="shared" si="47"/>
        <v/>
      </c>
      <c r="S406" s="76" t="str">
        <f t="shared" si="48"/>
        <v/>
      </c>
      <c r="T406" s="76" t="str">
        <f t="shared" si="49"/>
        <v>-- C820_疾患開始日</v>
      </c>
      <c r="U406" s="4" t="str">
        <f t="shared" si="50"/>
        <v>,'shikkan398_start_date'</v>
      </c>
      <c r="V406" s="25" t="str">
        <f t="shared" si="51"/>
        <v>,'shikkan398_start_date' : 'C820_疾患開始日'</v>
      </c>
      <c r="X406" s="25">
        <v>1</v>
      </c>
      <c r="AA406" s="4"/>
      <c r="AB406" s="4"/>
      <c r="AC406" s="4"/>
      <c r="AD406" s="4"/>
      <c r="AE406" s="4"/>
      <c r="AF406" s="4"/>
      <c r="AG406" s="4"/>
      <c r="AH406" s="4"/>
      <c r="AI406" s="4"/>
      <c r="AJ406" s="76" t="str">
        <f>IF(E406="○",IF(COUNTA(E$13:E406)=1,"",",")&amp;D406,"")</f>
        <v/>
      </c>
      <c r="AK406" s="4"/>
      <c r="AL406" s="4"/>
      <c r="AM406" s="4"/>
      <c r="AN406" s="4"/>
      <c r="AO406" s="4"/>
      <c r="AP406" s="4"/>
      <c r="AQ406" s="4"/>
      <c r="AR406" s="4"/>
      <c r="AS406" s="76" t="str">
        <f>"COMMENT ON COLUMN "&amp;エンティティ一覧!$O$2&amp;"."&amp;D$8&amp;"."&amp;D406&amp;" IS '"&amp;C406&amp;"';"</f>
        <v>COMMENT ON COLUMN milscm_2023_009.main_diagnosis_start_date.shikkan398_start_date IS 'C820_疾患開始日';</v>
      </c>
    </row>
    <row r="407" spans="1:45" s="25" customFormat="1">
      <c r="A407" s="4" t="s">
        <v>5541</v>
      </c>
      <c r="B407" s="21">
        <f t="shared" si="44"/>
        <v>405</v>
      </c>
      <c r="C407" s="13" t="str">
        <f t="shared" si="52"/>
        <v>C821_疾患開始日</v>
      </c>
      <c r="D407" s="13" t="s">
        <v>6059</v>
      </c>
      <c r="E407" s="8"/>
      <c r="F407" s="7" t="s">
        <v>4348</v>
      </c>
      <c r="G407" s="7" t="s">
        <v>25</v>
      </c>
      <c r="H407" s="58"/>
      <c r="I407" s="23"/>
      <c r="J407" s="24"/>
      <c r="M407" s="4"/>
      <c r="N407" s="76"/>
      <c r="O407" s="76"/>
      <c r="P407" s="76" t="str">
        <f t="shared" si="45"/>
        <v>,shikkan399_start_date</v>
      </c>
      <c r="Q407" s="76" t="str">
        <f t="shared" si="46"/>
        <v>DATE</v>
      </c>
      <c r="R407" s="76" t="str">
        <f t="shared" si="47"/>
        <v/>
      </c>
      <c r="S407" s="76" t="str">
        <f t="shared" si="48"/>
        <v/>
      </c>
      <c r="T407" s="76" t="str">
        <f t="shared" si="49"/>
        <v>-- C821_疾患開始日</v>
      </c>
      <c r="U407" s="4" t="str">
        <f t="shared" si="50"/>
        <v>,'shikkan399_start_date'</v>
      </c>
      <c r="V407" s="25" t="str">
        <f t="shared" si="51"/>
        <v>,'shikkan399_start_date' : 'C821_疾患開始日'</v>
      </c>
      <c r="X407" s="25">
        <v>1</v>
      </c>
      <c r="AA407" s="4"/>
      <c r="AB407" s="4"/>
      <c r="AC407" s="4"/>
      <c r="AD407" s="4"/>
      <c r="AE407" s="4"/>
      <c r="AF407" s="4"/>
      <c r="AG407" s="4"/>
      <c r="AH407" s="4"/>
      <c r="AI407" s="4"/>
      <c r="AJ407" s="76" t="str">
        <f>IF(E407="○",IF(COUNTA(E$13:E407)=1,"",",")&amp;D407,"")</f>
        <v/>
      </c>
      <c r="AK407" s="4"/>
      <c r="AL407" s="4"/>
      <c r="AM407" s="4"/>
      <c r="AN407" s="4"/>
      <c r="AO407" s="4"/>
      <c r="AP407" s="4"/>
      <c r="AQ407" s="4"/>
      <c r="AR407" s="4"/>
      <c r="AS407" s="76" t="str">
        <f>"COMMENT ON COLUMN "&amp;エンティティ一覧!$O$2&amp;"."&amp;D$8&amp;"."&amp;D407&amp;" IS '"&amp;C407&amp;"';"</f>
        <v>COMMENT ON COLUMN milscm_2023_009.main_diagnosis_start_date.shikkan399_start_date IS 'C821_疾患開始日';</v>
      </c>
    </row>
    <row r="408" spans="1:45" s="25" customFormat="1">
      <c r="A408" s="4" t="s">
        <v>5542</v>
      </c>
      <c r="B408" s="21">
        <f t="shared" si="44"/>
        <v>406</v>
      </c>
      <c r="C408" s="13" t="str">
        <f t="shared" si="52"/>
        <v>C822_疾患開始日</v>
      </c>
      <c r="D408" s="13" t="s">
        <v>6060</v>
      </c>
      <c r="E408" s="8"/>
      <c r="F408" s="7" t="s">
        <v>4348</v>
      </c>
      <c r="G408" s="7" t="s">
        <v>99</v>
      </c>
      <c r="H408" s="58"/>
      <c r="I408" s="23"/>
      <c r="J408" s="24"/>
      <c r="M408" s="4"/>
      <c r="N408" s="76"/>
      <c r="O408" s="76"/>
      <c r="P408" s="76" t="str">
        <f t="shared" si="45"/>
        <v>,shikkan400_start_date</v>
      </c>
      <c r="Q408" s="76" t="str">
        <f t="shared" si="46"/>
        <v>DATE</v>
      </c>
      <c r="R408" s="76" t="str">
        <f t="shared" si="47"/>
        <v/>
      </c>
      <c r="S408" s="76" t="str">
        <f t="shared" si="48"/>
        <v/>
      </c>
      <c r="T408" s="76" t="str">
        <f t="shared" si="49"/>
        <v>-- C822_疾患開始日</v>
      </c>
      <c r="U408" s="4" t="str">
        <f t="shared" si="50"/>
        <v>,'shikkan400_start_date'</v>
      </c>
      <c r="V408" s="25" t="str">
        <f t="shared" si="51"/>
        <v>,'shikkan400_start_date' : 'C822_疾患開始日'</v>
      </c>
      <c r="X408" s="25">
        <v>1</v>
      </c>
      <c r="AA408" s="4"/>
      <c r="AB408" s="4"/>
      <c r="AC408" s="4"/>
      <c r="AD408" s="4"/>
      <c r="AE408" s="4"/>
      <c r="AF408" s="4"/>
      <c r="AG408" s="4"/>
      <c r="AH408" s="4"/>
      <c r="AI408" s="4"/>
      <c r="AJ408" s="76" t="str">
        <f>IF(E408="○",IF(COUNTA(E$13:E408)=1,"",",")&amp;D408,"")</f>
        <v/>
      </c>
      <c r="AK408" s="4"/>
      <c r="AL408" s="4"/>
      <c r="AM408" s="4"/>
      <c r="AN408" s="4"/>
      <c r="AO408" s="4"/>
      <c r="AP408" s="4"/>
      <c r="AQ408" s="4"/>
      <c r="AR408" s="4"/>
      <c r="AS408" s="76" t="str">
        <f>"COMMENT ON COLUMN "&amp;エンティティ一覧!$O$2&amp;"."&amp;D$8&amp;"."&amp;D408&amp;" IS '"&amp;C408&amp;"';"</f>
        <v>COMMENT ON COLUMN milscm_2023_009.main_diagnosis_start_date.shikkan400_start_date IS 'C822_疾患開始日';</v>
      </c>
    </row>
    <row r="409" spans="1:45" s="25" customFormat="1">
      <c r="A409" s="4" t="s">
        <v>5543</v>
      </c>
      <c r="B409" s="21">
        <f t="shared" si="44"/>
        <v>407</v>
      </c>
      <c r="C409" s="13" t="str">
        <f t="shared" si="52"/>
        <v>C823_疾患開始日</v>
      </c>
      <c r="D409" s="13" t="s">
        <v>6061</v>
      </c>
      <c r="E409" s="8"/>
      <c r="F409" s="7" t="s">
        <v>4348</v>
      </c>
      <c r="G409" s="7" t="s">
        <v>25</v>
      </c>
      <c r="H409" s="58"/>
      <c r="I409" s="23"/>
      <c r="J409" s="24"/>
      <c r="M409" s="4"/>
      <c r="N409" s="76"/>
      <c r="O409" s="76"/>
      <c r="P409" s="76" t="str">
        <f t="shared" si="45"/>
        <v>,shikkan401_start_date</v>
      </c>
      <c r="Q409" s="76" t="str">
        <f t="shared" si="46"/>
        <v>DATE</v>
      </c>
      <c r="R409" s="76" t="str">
        <f t="shared" si="47"/>
        <v/>
      </c>
      <c r="S409" s="76" t="str">
        <f t="shared" si="48"/>
        <v/>
      </c>
      <c r="T409" s="76" t="str">
        <f t="shared" si="49"/>
        <v>-- C823_疾患開始日</v>
      </c>
      <c r="U409" s="4" t="str">
        <f t="shared" si="50"/>
        <v>,'shikkan401_start_date'</v>
      </c>
      <c r="V409" s="25" t="str">
        <f t="shared" si="51"/>
        <v>,'shikkan401_start_date' : 'C823_疾患開始日'</v>
      </c>
      <c r="X409" s="25">
        <v>1</v>
      </c>
      <c r="AA409" s="4"/>
      <c r="AB409" s="4"/>
      <c r="AC409" s="4"/>
      <c r="AD409" s="4"/>
      <c r="AE409" s="4"/>
      <c r="AF409" s="4"/>
      <c r="AG409" s="4"/>
      <c r="AH409" s="4"/>
      <c r="AI409" s="4"/>
      <c r="AJ409" s="76" t="str">
        <f>IF(E409="○",IF(COUNTA(E$13:E409)=1,"",",")&amp;D409,"")</f>
        <v/>
      </c>
      <c r="AK409" s="4"/>
      <c r="AL409" s="4"/>
      <c r="AM409" s="4"/>
      <c r="AN409" s="4"/>
      <c r="AO409" s="4"/>
      <c r="AP409" s="4"/>
      <c r="AQ409" s="4"/>
      <c r="AR409" s="4"/>
      <c r="AS409" s="76" t="str">
        <f>"COMMENT ON COLUMN "&amp;エンティティ一覧!$O$2&amp;"."&amp;D$8&amp;"."&amp;D409&amp;" IS '"&amp;C409&amp;"';"</f>
        <v>COMMENT ON COLUMN milscm_2023_009.main_diagnosis_start_date.shikkan401_start_date IS 'C823_疾患開始日';</v>
      </c>
    </row>
    <row r="410" spans="1:45" s="25" customFormat="1">
      <c r="A410" s="4" t="s">
        <v>5544</v>
      </c>
      <c r="B410" s="21">
        <f t="shared" si="44"/>
        <v>408</v>
      </c>
      <c r="C410" s="13" t="str">
        <f t="shared" si="52"/>
        <v>C824_疾患開始日</v>
      </c>
      <c r="D410" s="13" t="s">
        <v>6062</v>
      </c>
      <c r="E410" s="8"/>
      <c r="F410" s="7" t="s">
        <v>4348</v>
      </c>
      <c r="G410" s="7" t="s">
        <v>25</v>
      </c>
      <c r="H410" s="58"/>
      <c r="I410" s="23"/>
      <c r="J410" s="24"/>
      <c r="M410" s="4"/>
      <c r="N410" s="76"/>
      <c r="O410" s="76"/>
      <c r="P410" s="76" t="str">
        <f t="shared" si="45"/>
        <v>,shikkan402_start_date</v>
      </c>
      <c r="Q410" s="76" t="str">
        <f t="shared" si="46"/>
        <v>DATE</v>
      </c>
      <c r="R410" s="76" t="str">
        <f t="shared" si="47"/>
        <v/>
      </c>
      <c r="S410" s="76" t="str">
        <f t="shared" si="48"/>
        <v/>
      </c>
      <c r="T410" s="76" t="str">
        <f t="shared" si="49"/>
        <v>-- C824_疾患開始日</v>
      </c>
      <c r="U410" s="4" t="str">
        <f t="shared" si="50"/>
        <v>,'shikkan402_start_date'</v>
      </c>
      <c r="V410" s="25" t="str">
        <f t="shared" si="51"/>
        <v>,'shikkan402_start_date' : 'C824_疾患開始日'</v>
      </c>
      <c r="X410" s="25">
        <v>1</v>
      </c>
      <c r="AA410" s="4"/>
      <c r="AB410" s="4"/>
      <c r="AC410" s="4"/>
      <c r="AD410" s="4"/>
      <c r="AE410" s="4"/>
      <c r="AF410" s="4"/>
      <c r="AG410" s="4"/>
      <c r="AH410" s="4"/>
      <c r="AI410" s="4"/>
      <c r="AJ410" s="76" t="str">
        <f>IF(E410="○",IF(COUNTA(E$13:E410)=1,"",",")&amp;D410,"")</f>
        <v/>
      </c>
      <c r="AK410" s="4"/>
      <c r="AL410" s="4"/>
      <c r="AM410" s="4"/>
      <c r="AN410" s="4"/>
      <c r="AO410" s="4"/>
      <c r="AP410" s="4"/>
      <c r="AQ410" s="4"/>
      <c r="AR410" s="4"/>
      <c r="AS410" s="76" t="str">
        <f>"COMMENT ON COLUMN "&amp;エンティティ一覧!$O$2&amp;"."&amp;D$8&amp;"."&amp;D410&amp;" IS '"&amp;C410&amp;"';"</f>
        <v>COMMENT ON COLUMN milscm_2023_009.main_diagnosis_start_date.shikkan402_start_date IS 'C824_疾患開始日';</v>
      </c>
    </row>
    <row r="411" spans="1:45" s="25" customFormat="1">
      <c r="A411" s="4" t="s">
        <v>5545</v>
      </c>
      <c r="B411" s="21">
        <f t="shared" si="44"/>
        <v>409</v>
      </c>
      <c r="C411" s="13" t="str">
        <f t="shared" si="52"/>
        <v>C825_疾患開始日</v>
      </c>
      <c r="D411" s="13" t="s">
        <v>6063</v>
      </c>
      <c r="E411" s="8"/>
      <c r="F411" s="7" t="s">
        <v>4348</v>
      </c>
      <c r="G411" s="7" t="s">
        <v>25</v>
      </c>
      <c r="H411" s="58"/>
      <c r="I411" s="23"/>
      <c r="J411" s="24"/>
      <c r="M411" s="4"/>
      <c r="N411" s="76"/>
      <c r="O411" s="76"/>
      <c r="P411" s="76" t="str">
        <f t="shared" si="45"/>
        <v>,shikkan403_start_date</v>
      </c>
      <c r="Q411" s="76" t="str">
        <f t="shared" si="46"/>
        <v>DATE</v>
      </c>
      <c r="R411" s="76" t="str">
        <f t="shared" si="47"/>
        <v/>
      </c>
      <c r="S411" s="76" t="str">
        <f t="shared" si="48"/>
        <v/>
      </c>
      <c r="T411" s="76" t="str">
        <f t="shared" si="49"/>
        <v>-- C825_疾患開始日</v>
      </c>
      <c r="U411" s="4" t="str">
        <f t="shared" si="50"/>
        <v>,'shikkan403_start_date'</v>
      </c>
      <c r="V411" s="25" t="str">
        <f t="shared" si="51"/>
        <v>,'shikkan403_start_date' : 'C825_疾患開始日'</v>
      </c>
      <c r="X411" s="25">
        <v>1</v>
      </c>
      <c r="AA411" s="4"/>
      <c r="AB411" s="4"/>
      <c r="AC411" s="4"/>
      <c r="AD411" s="4"/>
      <c r="AE411" s="4"/>
      <c r="AF411" s="4"/>
      <c r="AG411" s="4"/>
      <c r="AH411" s="4"/>
      <c r="AI411" s="4"/>
      <c r="AJ411" s="76" t="str">
        <f>IF(E411="○",IF(COUNTA(E$13:E411)=1,"",",")&amp;D411,"")</f>
        <v/>
      </c>
      <c r="AK411" s="4"/>
      <c r="AL411" s="4"/>
      <c r="AM411" s="4"/>
      <c r="AN411" s="4"/>
      <c r="AO411" s="4"/>
      <c r="AP411" s="4"/>
      <c r="AQ411" s="4"/>
      <c r="AR411" s="4"/>
      <c r="AS411" s="76" t="str">
        <f>"COMMENT ON COLUMN "&amp;エンティティ一覧!$O$2&amp;"."&amp;D$8&amp;"."&amp;D411&amp;" IS '"&amp;C411&amp;"';"</f>
        <v>COMMENT ON COLUMN milscm_2023_009.main_diagnosis_start_date.shikkan403_start_date IS 'C825_疾患開始日';</v>
      </c>
    </row>
    <row r="412" spans="1:45" s="25" customFormat="1">
      <c r="A412" s="4" t="s">
        <v>5546</v>
      </c>
      <c r="B412" s="21">
        <f t="shared" si="44"/>
        <v>410</v>
      </c>
      <c r="C412" s="13" t="str">
        <f t="shared" si="52"/>
        <v>C826_疾患開始日</v>
      </c>
      <c r="D412" s="13" t="s">
        <v>6064</v>
      </c>
      <c r="E412" s="8"/>
      <c r="F412" s="7" t="s">
        <v>4348</v>
      </c>
      <c r="G412" s="7" t="s">
        <v>25</v>
      </c>
      <c r="H412" s="58"/>
      <c r="I412" s="23"/>
      <c r="J412" s="24"/>
      <c r="M412" s="4"/>
      <c r="N412" s="76"/>
      <c r="O412" s="76"/>
      <c r="P412" s="76" t="str">
        <f t="shared" si="45"/>
        <v>,shikkan404_start_date</v>
      </c>
      <c r="Q412" s="76" t="str">
        <f t="shared" si="46"/>
        <v>DATE</v>
      </c>
      <c r="R412" s="76" t="str">
        <f t="shared" si="47"/>
        <v/>
      </c>
      <c r="S412" s="76" t="str">
        <f t="shared" si="48"/>
        <v/>
      </c>
      <c r="T412" s="76" t="str">
        <f t="shared" si="49"/>
        <v>-- C826_疾患開始日</v>
      </c>
      <c r="U412" s="4" t="str">
        <f t="shared" si="50"/>
        <v>,'shikkan404_start_date'</v>
      </c>
      <c r="V412" s="25" t="str">
        <f t="shared" si="51"/>
        <v>,'shikkan404_start_date' : 'C826_疾患開始日'</v>
      </c>
      <c r="X412" s="25">
        <v>1</v>
      </c>
      <c r="AA412" s="4"/>
      <c r="AB412" s="4"/>
      <c r="AC412" s="4"/>
      <c r="AD412" s="4"/>
      <c r="AE412" s="4"/>
      <c r="AF412" s="4"/>
      <c r="AG412" s="4"/>
      <c r="AH412" s="4"/>
      <c r="AI412" s="4"/>
      <c r="AJ412" s="76" t="str">
        <f>IF(E412="○",IF(COUNTA(E$13:E412)=1,"",",")&amp;D412,"")</f>
        <v/>
      </c>
      <c r="AK412" s="4"/>
      <c r="AL412" s="4"/>
      <c r="AM412" s="4"/>
      <c r="AN412" s="4"/>
      <c r="AO412" s="4"/>
      <c r="AP412" s="4"/>
      <c r="AQ412" s="4"/>
      <c r="AR412" s="4"/>
      <c r="AS412" s="76" t="str">
        <f>"COMMENT ON COLUMN "&amp;エンティティ一覧!$O$2&amp;"."&amp;D$8&amp;"."&amp;D412&amp;" IS '"&amp;C412&amp;"';"</f>
        <v>COMMENT ON COLUMN milscm_2023_009.main_diagnosis_start_date.shikkan404_start_date IS 'C826_疾患開始日';</v>
      </c>
    </row>
    <row r="413" spans="1:45" s="25" customFormat="1">
      <c r="A413" s="4" t="s">
        <v>5547</v>
      </c>
      <c r="B413" s="21">
        <f t="shared" si="44"/>
        <v>411</v>
      </c>
      <c r="C413" s="13" t="str">
        <f t="shared" si="52"/>
        <v>C827_疾患開始日</v>
      </c>
      <c r="D413" s="13" t="s">
        <v>6065</v>
      </c>
      <c r="E413" s="8"/>
      <c r="F413" s="7" t="s">
        <v>4348</v>
      </c>
      <c r="G413" s="7" t="s">
        <v>25</v>
      </c>
      <c r="H413" s="58"/>
      <c r="I413" s="23"/>
      <c r="J413" s="24"/>
      <c r="M413" s="4"/>
      <c r="N413" s="76"/>
      <c r="O413" s="76"/>
      <c r="P413" s="76" t="str">
        <f t="shared" si="45"/>
        <v>,shikkan405_start_date</v>
      </c>
      <c r="Q413" s="76" t="str">
        <f t="shared" si="46"/>
        <v>DATE</v>
      </c>
      <c r="R413" s="76" t="str">
        <f t="shared" si="47"/>
        <v/>
      </c>
      <c r="S413" s="76" t="str">
        <f t="shared" si="48"/>
        <v/>
      </c>
      <c r="T413" s="76" t="str">
        <f t="shared" si="49"/>
        <v>-- C827_疾患開始日</v>
      </c>
      <c r="U413" s="4" t="str">
        <f t="shared" si="50"/>
        <v>,'shikkan405_start_date'</v>
      </c>
      <c r="V413" s="25" t="str">
        <f t="shared" si="51"/>
        <v>,'shikkan405_start_date' : 'C827_疾患開始日'</v>
      </c>
      <c r="X413" s="25">
        <v>1</v>
      </c>
      <c r="AA413" s="4"/>
      <c r="AB413" s="4"/>
      <c r="AC413" s="4"/>
      <c r="AD413" s="4"/>
      <c r="AE413" s="4"/>
      <c r="AF413" s="4"/>
      <c r="AG413" s="4"/>
      <c r="AH413" s="4"/>
      <c r="AI413" s="4"/>
      <c r="AJ413" s="76" t="str">
        <f>IF(E413="○",IF(COUNTA(E$13:E413)=1,"",",")&amp;D413,"")</f>
        <v/>
      </c>
      <c r="AK413" s="4"/>
      <c r="AL413" s="4"/>
      <c r="AM413" s="4"/>
      <c r="AN413" s="4"/>
      <c r="AO413" s="4"/>
      <c r="AP413" s="4"/>
      <c r="AQ413" s="4"/>
      <c r="AR413" s="4"/>
      <c r="AS413" s="76" t="str">
        <f>"COMMENT ON COLUMN "&amp;エンティティ一覧!$O$2&amp;"."&amp;D$8&amp;"."&amp;D413&amp;" IS '"&amp;C413&amp;"';"</f>
        <v>COMMENT ON COLUMN milscm_2023_009.main_diagnosis_start_date.shikkan405_start_date IS 'C827_疾患開始日';</v>
      </c>
    </row>
    <row r="414" spans="1:45" s="25" customFormat="1">
      <c r="A414" s="4" t="s">
        <v>5548</v>
      </c>
      <c r="B414" s="21">
        <f t="shared" si="44"/>
        <v>412</v>
      </c>
      <c r="C414" s="13" t="str">
        <f t="shared" si="52"/>
        <v>C829_疾患開始日</v>
      </c>
      <c r="D414" s="13" t="s">
        <v>6066</v>
      </c>
      <c r="E414" s="8"/>
      <c r="F414" s="7" t="s">
        <v>4348</v>
      </c>
      <c r="G414" s="7" t="s">
        <v>25</v>
      </c>
      <c r="H414" s="58"/>
      <c r="I414" s="23"/>
      <c r="J414" s="24"/>
      <c r="M414" s="4"/>
      <c r="N414" s="76"/>
      <c r="O414" s="76"/>
      <c r="P414" s="76" t="str">
        <f t="shared" si="45"/>
        <v>,shikkan406_start_date</v>
      </c>
      <c r="Q414" s="76" t="str">
        <f t="shared" si="46"/>
        <v>DATE</v>
      </c>
      <c r="R414" s="76" t="str">
        <f t="shared" si="47"/>
        <v/>
      </c>
      <c r="S414" s="76" t="str">
        <f t="shared" si="48"/>
        <v/>
      </c>
      <c r="T414" s="76" t="str">
        <f t="shared" si="49"/>
        <v>-- C829_疾患開始日</v>
      </c>
      <c r="U414" s="4" t="str">
        <f t="shared" si="50"/>
        <v>,'shikkan406_start_date'</v>
      </c>
      <c r="V414" s="25" t="str">
        <f t="shared" si="51"/>
        <v>,'shikkan406_start_date' : 'C829_疾患開始日'</v>
      </c>
      <c r="X414" s="25">
        <v>1</v>
      </c>
      <c r="AA414" s="4"/>
      <c r="AB414" s="4"/>
      <c r="AC414" s="4"/>
      <c r="AD414" s="4"/>
      <c r="AE414" s="4"/>
      <c r="AF414" s="4"/>
      <c r="AG414" s="4"/>
      <c r="AH414" s="4"/>
      <c r="AI414" s="4"/>
      <c r="AJ414" s="76" t="str">
        <f>IF(E414="○",IF(COUNTA(E$13:E414)=1,"",",")&amp;D414,"")</f>
        <v/>
      </c>
      <c r="AK414" s="4"/>
      <c r="AL414" s="4"/>
      <c r="AM414" s="4"/>
      <c r="AN414" s="4"/>
      <c r="AO414" s="4"/>
      <c r="AP414" s="4"/>
      <c r="AQ414" s="4"/>
      <c r="AR414" s="4"/>
      <c r="AS414" s="76" t="str">
        <f>"COMMENT ON COLUMN "&amp;エンティティ一覧!$O$2&amp;"."&amp;D$8&amp;"."&amp;D414&amp;" IS '"&amp;C414&amp;"';"</f>
        <v>COMMENT ON COLUMN milscm_2023_009.main_diagnosis_start_date.shikkan406_start_date IS 'C829_疾患開始日';</v>
      </c>
    </row>
    <row r="415" spans="1:45" s="25" customFormat="1">
      <c r="A415" s="4" t="s">
        <v>5549</v>
      </c>
      <c r="B415" s="21">
        <f t="shared" si="44"/>
        <v>413</v>
      </c>
      <c r="C415" s="13" t="str">
        <f t="shared" si="52"/>
        <v>C830_疾患開始日</v>
      </c>
      <c r="D415" s="13" t="s">
        <v>6067</v>
      </c>
      <c r="E415" s="8"/>
      <c r="F415" s="7" t="s">
        <v>4348</v>
      </c>
      <c r="G415" s="7" t="s">
        <v>25</v>
      </c>
      <c r="H415" s="58"/>
      <c r="I415" s="23"/>
      <c r="J415" s="24"/>
      <c r="M415" s="4"/>
      <c r="N415" s="76"/>
      <c r="O415" s="76"/>
      <c r="P415" s="76" t="str">
        <f t="shared" si="45"/>
        <v>,shikkan407_start_date</v>
      </c>
      <c r="Q415" s="76" t="str">
        <f t="shared" si="46"/>
        <v>DATE</v>
      </c>
      <c r="R415" s="76" t="str">
        <f t="shared" si="47"/>
        <v/>
      </c>
      <c r="S415" s="76" t="str">
        <f t="shared" si="48"/>
        <v/>
      </c>
      <c r="T415" s="76" t="str">
        <f t="shared" si="49"/>
        <v>-- C830_疾患開始日</v>
      </c>
      <c r="U415" s="4" t="str">
        <f t="shared" si="50"/>
        <v>,'shikkan407_start_date'</v>
      </c>
      <c r="V415" s="25" t="str">
        <f t="shared" si="51"/>
        <v>,'shikkan407_start_date' : 'C830_疾患開始日'</v>
      </c>
      <c r="X415" s="25">
        <v>1</v>
      </c>
      <c r="AA415" s="4"/>
      <c r="AB415" s="4"/>
      <c r="AC415" s="4"/>
      <c r="AD415" s="4"/>
      <c r="AE415" s="4"/>
      <c r="AF415" s="4"/>
      <c r="AG415" s="4"/>
      <c r="AH415" s="4"/>
      <c r="AI415" s="4"/>
      <c r="AJ415" s="76" t="str">
        <f>IF(E415="○",IF(COUNTA(E$13:E415)=1,"",",")&amp;D415,"")</f>
        <v/>
      </c>
      <c r="AK415" s="4"/>
      <c r="AL415" s="4"/>
      <c r="AM415" s="4"/>
      <c r="AN415" s="4"/>
      <c r="AO415" s="4"/>
      <c r="AP415" s="4"/>
      <c r="AQ415" s="4"/>
      <c r="AR415" s="4"/>
      <c r="AS415" s="76" t="str">
        <f>"COMMENT ON COLUMN "&amp;エンティティ一覧!$O$2&amp;"."&amp;D$8&amp;"."&amp;D415&amp;" IS '"&amp;C415&amp;"';"</f>
        <v>COMMENT ON COLUMN milscm_2023_009.main_diagnosis_start_date.shikkan407_start_date IS 'C830_疾患開始日';</v>
      </c>
    </row>
    <row r="416" spans="1:45" s="25" customFormat="1">
      <c r="A416" s="4" t="s">
        <v>5550</v>
      </c>
      <c r="B416" s="21">
        <f t="shared" si="44"/>
        <v>414</v>
      </c>
      <c r="C416" s="13" t="str">
        <f t="shared" si="52"/>
        <v>C831_疾患開始日</v>
      </c>
      <c r="D416" s="13" t="s">
        <v>6068</v>
      </c>
      <c r="E416" s="8"/>
      <c r="F416" s="7" t="s">
        <v>4348</v>
      </c>
      <c r="G416" s="7" t="s">
        <v>25</v>
      </c>
      <c r="H416" s="58"/>
      <c r="I416" s="23"/>
      <c r="J416" s="24"/>
      <c r="M416" s="4"/>
      <c r="N416" s="76"/>
      <c r="O416" s="76"/>
      <c r="P416" s="76" t="str">
        <f t="shared" si="45"/>
        <v>,shikkan408_start_date</v>
      </c>
      <c r="Q416" s="76" t="str">
        <f t="shared" si="46"/>
        <v>DATE</v>
      </c>
      <c r="R416" s="76" t="str">
        <f t="shared" si="47"/>
        <v/>
      </c>
      <c r="S416" s="76" t="str">
        <f t="shared" si="48"/>
        <v/>
      </c>
      <c r="T416" s="76" t="str">
        <f t="shared" si="49"/>
        <v>-- C831_疾患開始日</v>
      </c>
      <c r="U416" s="4" t="str">
        <f t="shared" si="50"/>
        <v>,'shikkan408_start_date'</v>
      </c>
      <c r="V416" s="25" t="str">
        <f t="shared" si="51"/>
        <v>,'shikkan408_start_date' : 'C831_疾患開始日'</v>
      </c>
      <c r="X416" s="25">
        <v>1</v>
      </c>
      <c r="AA416" s="4"/>
      <c r="AB416" s="4"/>
      <c r="AC416" s="4"/>
      <c r="AD416" s="4"/>
      <c r="AE416" s="4"/>
      <c r="AF416" s="4"/>
      <c r="AG416" s="4"/>
      <c r="AH416" s="4"/>
      <c r="AI416" s="4"/>
      <c r="AJ416" s="76" t="str">
        <f>IF(E416="○",IF(COUNTA(E$13:E416)=1,"",",")&amp;D416,"")</f>
        <v/>
      </c>
      <c r="AK416" s="4"/>
      <c r="AL416" s="4"/>
      <c r="AM416" s="4"/>
      <c r="AN416" s="4"/>
      <c r="AO416" s="4"/>
      <c r="AP416" s="4"/>
      <c r="AQ416" s="4"/>
      <c r="AR416" s="4"/>
      <c r="AS416" s="76" t="str">
        <f>"COMMENT ON COLUMN "&amp;エンティティ一覧!$O$2&amp;"."&amp;D$8&amp;"."&amp;D416&amp;" IS '"&amp;C416&amp;"';"</f>
        <v>COMMENT ON COLUMN milscm_2023_009.main_diagnosis_start_date.shikkan408_start_date IS 'C831_疾患開始日';</v>
      </c>
    </row>
    <row r="417" spans="1:45" s="25" customFormat="1">
      <c r="A417" s="4" t="s">
        <v>5551</v>
      </c>
      <c r="B417" s="21">
        <f t="shared" si="44"/>
        <v>415</v>
      </c>
      <c r="C417" s="13" t="str">
        <f t="shared" si="52"/>
        <v>C833_疾患開始日</v>
      </c>
      <c r="D417" s="13" t="s">
        <v>6069</v>
      </c>
      <c r="E417" s="8"/>
      <c r="F417" s="7" t="s">
        <v>4348</v>
      </c>
      <c r="G417" s="7" t="s">
        <v>25</v>
      </c>
      <c r="H417" s="58"/>
      <c r="I417" s="23"/>
      <c r="J417" s="24"/>
      <c r="M417" s="4"/>
      <c r="N417" s="76"/>
      <c r="O417" s="76"/>
      <c r="P417" s="76" t="str">
        <f t="shared" si="45"/>
        <v>,shikkan409_start_date</v>
      </c>
      <c r="Q417" s="76" t="str">
        <f t="shared" si="46"/>
        <v>DATE</v>
      </c>
      <c r="R417" s="76" t="str">
        <f t="shared" si="47"/>
        <v/>
      </c>
      <c r="S417" s="76" t="str">
        <f t="shared" si="48"/>
        <v/>
      </c>
      <c r="T417" s="76" t="str">
        <f t="shared" si="49"/>
        <v>-- C833_疾患開始日</v>
      </c>
      <c r="U417" s="4" t="str">
        <f t="shared" si="50"/>
        <v>,'shikkan409_start_date'</v>
      </c>
      <c r="V417" s="25" t="str">
        <f t="shared" si="51"/>
        <v>,'shikkan409_start_date' : 'C833_疾患開始日'</v>
      </c>
      <c r="X417" s="25">
        <v>1</v>
      </c>
      <c r="AA417" s="4"/>
      <c r="AB417" s="4"/>
      <c r="AC417" s="4"/>
      <c r="AD417" s="4"/>
      <c r="AE417" s="4"/>
      <c r="AF417" s="4"/>
      <c r="AG417" s="4"/>
      <c r="AH417" s="4"/>
      <c r="AI417" s="4"/>
      <c r="AJ417" s="76" t="str">
        <f>IF(E417="○",IF(COUNTA(E$13:E417)=1,"",",")&amp;D417,"")</f>
        <v/>
      </c>
      <c r="AK417" s="4"/>
      <c r="AL417" s="4"/>
      <c r="AM417" s="4"/>
      <c r="AN417" s="4"/>
      <c r="AO417" s="4"/>
      <c r="AP417" s="4"/>
      <c r="AQ417" s="4"/>
      <c r="AR417" s="4"/>
      <c r="AS417" s="76" t="str">
        <f>"COMMENT ON COLUMN "&amp;エンティティ一覧!$O$2&amp;"."&amp;D$8&amp;"."&amp;D417&amp;" IS '"&amp;C417&amp;"';"</f>
        <v>COMMENT ON COLUMN milscm_2023_009.main_diagnosis_start_date.shikkan409_start_date IS 'C833_疾患開始日';</v>
      </c>
    </row>
    <row r="418" spans="1:45" s="25" customFormat="1">
      <c r="A418" s="4" t="s">
        <v>5552</v>
      </c>
      <c r="B418" s="21">
        <f t="shared" si="44"/>
        <v>416</v>
      </c>
      <c r="C418" s="13" t="str">
        <f t="shared" si="52"/>
        <v>C835_疾患開始日</v>
      </c>
      <c r="D418" s="13" t="s">
        <v>6070</v>
      </c>
      <c r="E418" s="8"/>
      <c r="F418" s="7" t="s">
        <v>4348</v>
      </c>
      <c r="G418" s="7" t="s">
        <v>25</v>
      </c>
      <c r="H418" s="58"/>
      <c r="I418" s="23"/>
      <c r="J418" s="24"/>
      <c r="M418" s="4"/>
      <c r="N418" s="76"/>
      <c r="O418" s="76"/>
      <c r="P418" s="76" t="str">
        <f t="shared" si="45"/>
        <v>,shikkan410_start_date</v>
      </c>
      <c r="Q418" s="76" t="str">
        <f t="shared" si="46"/>
        <v>DATE</v>
      </c>
      <c r="R418" s="76" t="str">
        <f t="shared" si="47"/>
        <v/>
      </c>
      <c r="S418" s="76" t="str">
        <f t="shared" si="48"/>
        <v/>
      </c>
      <c r="T418" s="76" t="str">
        <f t="shared" si="49"/>
        <v>-- C835_疾患開始日</v>
      </c>
      <c r="U418" s="4" t="str">
        <f t="shared" si="50"/>
        <v>,'shikkan410_start_date'</v>
      </c>
      <c r="V418" s="25" t="str">
        <f t="shared" si="51"/>
        <v>,'shikkan410_start_date' : 'C835_疾患開始日'</v>
      </c>
      <c r="X418" s="25">
        <v>1</v>
      </c>
      <c r="AA418" s="4"/>
      <c r="AB418" s="4"/>
      <c r="AC418" s="4"/>
      <c r="AD418" s="4"/>
      <c r="AE418" s="4"/>
      <c r="AF418" s="4"/>
      <c r="AG418" s="4"/>
      <c r="AH418" s="4"/>
      <c r="AI418" s="4"/>
      <c r="AJ418" s="76" t="str">
        <f>IF(E418="○",IF(COUNTA(E$13:E418)=1,"",",")&amp;D418,"")</f>
        <v/>
      </c>
      <c r="AK418" s="4"/>
      <c r="AL418" s="4"/>
      <c r="AM418" s="4"/>
      <c r="AN418" s="4"/>
      <c r="AO418" s="4"/>
      <c r="AP418" s="4"/>
      <c r="AQ418" s="4"/>
      <c r="AR418" s="4"/>
      <c r="AS418" s="76" t="str">
        <f>"COMMENT ON COLUMN "&amp;エンティティ一覧!$O$2&amp;"."&amp;D$8&amp;"."&amp;D418&amp;" IS '"&amp;C418&amp;"';"</f>
        <v>COMMENT ON COLUMN milscm_2023_009.main_diagnosis_start_date.shikkan410_start_date IS 'C835_疾患開始日';</v>
      </c>
    </row>
    <row r="419" spans="1:45" s="25" customFormat="1">
      <c r="A419" s="4" t="s">
        <v>5553</v>
      </c>
      <c r="B419" s="21">
        <f t="shared" si="44"/>
        <v>417</v>
      </c>
      <c r="C419" s="13" t="str">
        <f t="shared" si="52"/>
        <v>C837_疾患開始日</v>
      </c>
      <c r="D419" s="13" t="s">
        <v>6071</v>
      </c>
      <c r="E419" s="8"/>
      <c r="F419" s="7" t="s">
        <v>4348</v>
      </c>
      <c r="G419" s="7" t="s">
        <v>25</v>
      </c>
      <c r="H419" s="58"/>
      <c r="I419" s="23"/>
      <c r="J419" s="24"/>
      <c r="M419" s="4"/>
      <c r="N419" s="76"/>
      <c r="O419" s="76"/>
      <c r="P419" s="76" t="str">
        <f t="shared" si="45"/>
        <v>,shikkan411_start_date</v>
      </c>
      <c r="Q419" s="76" t="str">
        <f t="shared" si="46"/>
        <v>DATE</v>
      </c>
      <c r="R419" s="76" t="str">
        <f t="shared" si="47"/>
        <v/>
      </c>
      <c r="S419" s="76" t="str">
        <f t="shared" si="48"/>
        <v/>
      </c>
      <c r="T419" s="76" t="str">
        <f t="shared" si="49"/>
        <v>-- C837_疾患開始日</v>
      </c>
      <c r="U419" s="4" t="str">
        <f t="shared" si="50"/>
        <v>,'shikkan411_start_date'</v>
      </c>
      <c r="V419" s="25" t="str">
        <f t="shared" si="51"/>
        <v>,'shikkan411_start_date' : 'C837_疾患開始日'</v>
      </c>
      <c r="X419" s="25">
        <v>1</v>
      </c>
      <c r="AA419" s="4"/>
      <c r="AB419" s="4"/>
      <c r="AC419" s="4"/>
      <c r="AD419" s="4"/>
      <c r="AE419" s="4"/>
      <c r="AF419" s="4"/>
      <c r="AG419" s="4"/>
      <c r="AH419" s="4"/>
      <c r="AI419" s="4"/>
      <c r="AJ419" s="76" t="str">
        <f>IF(E419="○",IF(COUNTA(E$13:E419)=1,"",",")&amp;D419,"")</f>
        <v/>
      </c>
      <c r="AK419" s="4"/>
      <c r="AL419" s="4"/>
      <c r="AM419" s="4"/>
      <c r="AN419" s="4"/>
      <c r="AO419" s="4"/>
      <c r="AP419" s="4"/>
      <c r="AQ419" s="4"/>
      <c r="AR419" s="4"/>
      <c r="AS419" s="76" t="str">
        <f>"COMMENT ON COLUMN "&amp;エンティティ一覧!$O$2&amp;"."&amp;D$8&amp;"."&amp;D419&amp;" IS '"&amp;C419&amp;"';"</f>
        <v>COMMENT ON COLUMN milscm_2023_009.main_diagnosis_start_date.shikkan411_start_date IS 'C837_疾患開始日';</v>
      </c>
    </row>
    <row r="420" spans="1:45" s="25" customFormat="1">
      <c r="A420" s="4" t="s">
        <v>5554</v>
      </c>
      <c r="B420" s="21">
        <f t="shared" si="44"/>
        <v>418</v>
      </c>
      <c r="C420" s="13" t="str">
        <f t="shared" si="52"/>
        <v>C838_疾患開始日</v>
      </c>
      <c r="D420" s="13" t="s">
        <v>6072</v>
      </c>
      <c r="E420" s="8"/>
      <c r="F420" s="7" t="s">
        <v>4348</v>
      </c>
      <c r="G420" s="7" t="s">
        <v>25</v>
      </c>
      <c r="H420" s="58"/>
      <c r="I420" s="23"/>
      <c r="J420" s="24"/>
      <c r="M420" s="4"/>
      <c r="N420" s="76"/>
      <c r="O420" s="76"/>
      <c r="P420" s="76" t="str">
        <f t="shared" si="45"/>
        <v>,shikkan412_start_date</v>
      </c>
      <c r="Q420" s="76" t="str">
        <f t="shared" si="46"/>
        <v>DATE</v>
      </c>
      <c r="R420" s="76" t="str">
        <f t="shared" si="47"/>
        <v/>
      </c>
      <c r="S420" s="76" t="str">
        <f t="shared" si="48"/>
        <v/>
      </c>
      <c r="T420" s="76" t="str">
        <f t="shared" si="49"/>
        <v>-- C838_疾患開始日</v>
      </c>
      <c r="U420" s="4" t="str">
        <f t="shared" si="50"/>
        <v>,'shikkan412_start_date'</v>
      </c>
      <c r="V420" s="25" t="str">
        <f t="shared" si="51"/>
        <v>,'shikkan412_start_date' : 'C838_疾患開始日'</v>
      </c>
      <c r="X420" s="25">
        <v>1</v>
      </c>
      <c r="AA420" s="4"/>
      <c r="AB420" s="4"/>
      <c r="AC420" s="4"/>
      <c r="AD420" s="4"/>
      <c r="AE420" s="4"/>
      <c r="AF420" s="4"/>
      <c r="AG420" s="4"/>
      <c r="AH420" s="4"/>
      <c r="AI420" s="4"/>
      <c r="AJ420" s="76" t="str">
        <f>IF(E420="○",IF(COUNTA(E$13:E420)=1,"",",")&amp;D420,"")</f>
        <v/>
      </c>
      <c r="AK420" s="4"/>
      <c r="AL420" s="4"/>
      <c r="AM420" s="4"/>
      <c r="AN420" s="4"/>
      <c r="AO420" s="4"/>
      <c r="AP420" s="4"/>
      <c r="AQ420" s="4"/>
      <c r="AR420" s="4"/>
      <c r="AS420" s="76" t="str">
        <f>"COMMENT ON COLUMN "&amp;エンティティ一覧!$O$2&amp;"."&amp;D$8&amp;"."&amp;D420&amp;" IS '"&amp;C420&amp;"';"</f>
        <v>COMMENT ON COLUMN milscm_2023_009.main_diagnosis_start_date.shikkan412_start_date IS 'C838_疾患開始日';</v>
      </c>
    </row>
    <row r="421" spans="1:45" s="25" customFormat="1">
      <c r="A421" s="4" t="s">
        <v>5555</v>
      </c>
      <c r="B421" s="21">
        <f t="shared" si="44"/>
        <v>419</v>
      </c>
      <c r="C421" s="13" t="str">
        <f t="shared" si="52"/>
        <v>C839_疾患開始日</v>
      </c>
      <c r="D421" s="13" t="s">
        <v>6073</v>
      </c>
      <c r="E421" s="8"/>
      <c r="F421" s="7" t="s">
        <v>4348</v>
      </c>
      <c r="G421" s="7" t="s">
        <v>25</v>
      </c>
      <c r="H421" s="58"/>
      <c r="I421" s="23"/>
      <c r="J421" s="24"/>
      <c r="M421" s="4"/>
      <c r="N421" s="76"/>
      <c r="O421" s="76"/>
      <c r="P421" s="76" t="str">
        <f t="shared" si="45"/>
        <v>,shikkan413_start_date</v>
      </c>
      <c r="Q421" s="76" t="str">
        <f t="shared" si="46"/>
        <v>DATE</v>
      </c>
      <c r="R421" s="76" t="str">
        <f t="shared" si="47"/>
        <v/>
      </c>
      <c r="S421" s="76" t="str">
        <f t="shared" si="48"/>
        <v/>
      </c>
      <c r="T421" s="76" t="str">
        <f t="shared" si="49"/>
        <v>-- C839_疾患開始日</v>
      </c>
      <c r="U421" s="4" t="str">
        <f t="shared" si="50"/>
        <v>,'shikkan413_start_date'</v>
      </c>
      <c r="V421" s="25" t="str">
        <f t="shared" si="51"/>
        <v>,'shikkan413_start_date' : 'C839_疾患開始日'</v>
      </c>
      <c r="X421" s="25">
        <v>1</v>
      </c>
      <c r="AA421" s="4"/>
      <c r="AB421" s="4"/>
      <c r="AC421" s="4"/>
      <c r="AD421" s="4"/>
      <c r="AE421" s="4"/>
      <c r="AF421" s="4"/>
      <c r="AG421" s="4"/>
      <c r="AH421" s="4"/>
      <c r="AI421" s="4"/>
      <c r="AJ421" s="76" t="str">
        <f>IF(E421="○",IF(COUNTA(E$13:E421)=1,"",",")&amp;D421,"")</f>
        <v/>
      </c>
      <c r="AK421" s="4"/>
      <c r="AL421" s="4"/>
      <c r="AM421" s="4"/>
      <c r="AN421" s="4"/>
      <c r="AO421" s="4"/>
      <c r="AP421" s="4"/>
      <c r="AQ421" s="4"/>
      <c r="AR421" s="4"/>
      <c r="AS421" s="76" t="str">
        <f>"COMMENT ON COLUMN "&amp;エンティティ一覧!$O$2&amp;"."&amp;D$8&amp;"."&amp;D421&amp;" IS '"&amp;C421&amp;"';"</f>
        <v>COMMENT ON COLUMN milscm_2023_009.main_diagnosis_start_date.shikkan413_start_date IS 'C839_疾患開始日';</v>
      </c>
    </row>
    <row r="422" spans="1:45" s="25" customFormat="1">
      <c r="A422" s="4" t="s">
        <v>5556</v>
      </c>
      <c r="B422" s="21">
        <f t="shared" si="44"/>
        <v>420</v>
      </c>
      <c r="C422" s="13" t="str">
        <f t="shared" si="52"/>
        <v>C840_疾患開始日</v>
      </c>
      <c r="D422" s="13" t="s">
        <v>6074</v>
      </c>
      <c r="E422" s="8"/>
      <c r="F422" s="7" t="s">
        <v>4348</v>
      </c>
      <c r="G422" s="7" t="s">
        <v>25</v>
      </c>
      <c r="H422" s="58"/>
      <c r="I422" s="23"/>
      <c r="J422" s="24"/>
      <c r="M422" s="4"/>
      <c r="N422" s="76"/>
      <c r="O422" s="76"/>
      <c r="P422" s="76" t="str">
        <f t="shared" si="45"/>
        <v>,shikkan414_start_date</v>
      </c>
      <c r="Q422" s="76" t="str">
        <f t="shared" si="46"/>
        <v>DATE</v>
      </c>
      <c r="R422" s="76" t="str">
        <f t="shared" si="47"/>
        <v/>
      </c>
      <c r="S422" s="76" t="str">
        <f t="shared" si="48"/>
        <v/>
      </c>
      <c r="T422" s="76" t="str">
        <f t="shared" si="49"/>
        <v>-- C840_疾患開始日</v>
      </c>
      <c r="U422" s="4" t="str">
        <f t="shared" si="50"/>
        <v>,'shikkan414_start_date'</v>
      </c>
      <c r="V422" s="25" t="str">
        <f t="shared" si="51"/>
        <v>,'shikkan414_start_date' : 'C840_疾患開始日'</v>
      </c>
      <c r="X422" s="25">
        <v>1</v>
      </c>
      <c r="AA422" s="4"/>
      <c r="AB422" s="4"/>
      <c r="AC422" s="4"/>
      <c r="AD422" s="4"/>
      <c r="AE422" s="4"/>
      <c r="AF422" s="4"/>
      <c r="AG422" s="4"/>
      <c r="AH422" s="4"/>
      <c r="AI422" s="4"/>
      <c r="AJ422" s="76" t="str">
        <f>IF(E422="○",IF(COUNTA(E$13:E422)=1,"",",")&amp;D422,"")</f>
        <v/>
      </c>
      <c r="AK422" s="4"/>
      <c r="AL422" s="4"/>
      <c r="AM422" s="4"/>
      <c r="AN422" s="4"/>
      <c r="AO422" s="4"/>
      <c r="AP422" s="4"/>
      <c r="AQ422" s="4"/>
      <c r="AR422" s="4"/>
      <c r="AS422" s="76" t="str">
        <f>"COMMENT ON COLUMN "&amp;エンティティ一覧!$O$2&amp;"."&amp;D$8&amp;"."&amp;D422&amp;" IS '"&amp;C422&amp;"';"</f>
        <v>COMMENT ON COLUMN milscm_2023_009.main_diagnosis_start_date.shikkan414_start_date IS 'C840_疾患開始日';</v>
      </c>
    </row>
    <row r="423" spans="1:45" s="25" customFormat="1">
      <c r="A423" s="4" t="s">
        <v>5557</v>
      </c>
      <c r="B423" s="21">
        <f t="shared" si="44"/>
        <v>421</v>
      </c>
      <c r="C423" s="13" t="str">
        <f t="shared" si="52"/>
        <v>C841_疾患開始日</v>
      </c>
      <c r="D423" s="13" t="s">
        <v>6075</v>
      </c>
      <c r="E423" s="8"/>
      <c r="F423" s="7" t="s">
        <v>4348</v>
      </c>
      <c r="G423" s="7" t="s">
        <v>25</v>
      </c>
      <c r="H423" s="58"/>
      <c r="I423" s="23"/>
      <c r="J423" s="24"/>
      <c r="M423" s="4"/>
      <c r="N423" s="76"/>
      <c r="O423" s="76"/>
      <c r="P423" s="76" t="str">
        <f t="shared" si="45"/>
        <v>,shikkan415_start_date</v>
      </c>
      <c r="Q423" s="76" t="str">
        <f t="shared" si="46"/>
        <v>DATE</v>
      </c>
      <c r="R423" s="76" t="str">
        <f t="shared" si="47"/>
        <v/>
      </c>
      <c r="S423" s="76" t="str">
        <f t="shared" si="48"/>
        <v/>
      </c>
      <c r="T423" s="76" t="str">
        <f t="shared" si="49"/>
        <v>-- C841_疾患開始日</v>
      </c>
      <c r="U423" s="4" t="str">
        <f t="shared" si="50"/>
        <v>,'shikkan415_start_date'</v>
      </c>
      <c r="V423" s="25" t="str">
        <f t="shared" si="51"/>
        <v>,'shikkan415_start_date' : 'C841_疾患開始日'</v>
      </c>
      <c r="X423" s="25">
        <v>1</v>
      </c>
      <c r="AA423" s="4"/>
      <c r="AB423" s="4"/>
      <c r="AC423" s="4"/>
      <c r="AD423" s="4"/>
      <c r="AE423" s="4"/>
      <c r="AF423" s="4"/>
      <c r="AG423" s="4"/>
      <c r="AH423" s="4"/>
      <c r="AI423" s="4"/>
      <c r="AJ423" s="76" t="str">
        <f>IF(E423="○",IF(COUNTA(E$13:E423)=1,"",",")&amp;D423,"")</f>
        <v/>
      </c>
      <c r="AK423" s="4"/>
      <c r="AL423" s="4"/>
      <c r="AM423" s="4"/>
      <c r="AN423" s="4"/>
      <c r="AO423" s="4"/>
      <c r="AP423" s="4"/>
      <c r="AQ423" s="4"/>
      <c r="AR423" s="4"/>
      <c r="AS423" s="76" t="str">
        <f>"COMMENT ON COLUMN "&amp;エンティティ一覧!$O$2&amp;"."&amp;D$8&amp;"."&amp;D423&amp;" IS '"&amp;C423&amp;"';"</f>
        <v>COMMENT ON COLUMN milscm_2023_009.main_diagnosis_start_date.shikkan415_start_date IS 'C841_疾患開始日';</v>
      </c>
    </row>
    <row r="424" spans="1:45" s="25" customFormat="1">
      <c r="A424" s="4" t="s">
        <v>5558</v>
      </c>
      <c r="B424" s="21">
        <f t="shared" si="44"/>
        <v>422</v>
      </c>
      <c r="C424" s="13" t="str">
        <f t="shared" si="52"/>
        <v>C844_疾患開始日</v>
      </c>
      <c r="D424" s="13" t="s">
        <v>6076</v>
      </c>
      <c r="E424" s="8"/>
      <c r="F424" s="7" t="s">
        <v>4348</v>
      </c>
      <c r="G424" s="7" t="s">
        <v>99</v>
      </c>
      <c r="H424" s="58"/>
      <c r="I424" s="23"/>
      <c r="J424" s="24"/>
      <c r="M424" s="4"/>
      <c r="N424" s="76"/>
      <c r="O424" s="76"/>
      <c r="P424" s="76" t="str">
        <f t="shared" si="45"/>
        <v>,shikkan416_start_date</v>
      </c>
      <c r="Q424" s="76" t="str">
        <f t="shared" si="46"/>
        <v>DATE</v>
      </c>
      <c r="R424" s="76" t="str">
        <f t="shared" si="47"/>
        <v/>
      </c>
      <c r="S424" s="76" t="str">
        <f t="shared" si="48"/>
        <v/>
      </c>
      <c r="T424" s="76" t="str">
        <f t="shared" si="49"/>
        <v>-- C844_疾患開始日</v>
      </c>
      <c r="U424" s="4" t="str">
        <f t="shared" si="50"/>
        <v>,'shikkan416_start_date'</v>
      </c>
      <c r="V424" s="25" t="str">
        <f t="shared" si="51"/>
        <v>,'shikkan416_start_date' : 'C844_疾患開始日'</v>
      </c>
      <c r="X424" s="25">
        <v>1</v>
      </c>
      <c r="AA424" s="4"/>
      <c r="AB424" s="4"/>
      <c r="AC424" s="4"/>
      <c r="AD424" s="4"/>
      <c r="AE424" s="4"/>
      <c r="AF424" s="4"/>
      <c r="AG424" s="4"/>
      <c r="AH424" s="4"/>
      <c r="AI424" s="4"/>
      <c r="AJ424" s="76" t="str">
        <f>IF(E424="○",IF(COUNTA(E$13:E424)=1,"",",")&amp;D424,"")</f>
        <v/>
      </c>
      <c r="AK424" s="4"/>
      <c r="AL424" s="4"/>
      <c r="AM424" s="4"/>
      <c r="AN424" s="4"/>
      <c r="AO424" s="4"/>
      <c r="AP424" s="4"/>
      <c r="AQ424" s="4"/>
      <c r="AR424" s="4"/>
      <c r="AS424" s="76" t="str">
        <f>"COMMENT ON COLUMN "&amp;エンティティ一覧!$O$2&amp;"."&amp;D$8&amp;"."&amp;D424&amp;" IS '"&amp;C424&amp;"';"</f>
        <v>COMMENT ON COLUMN milscm_2023_009.main_diagnosis_start_date.shikkan416_start_date IS 'C844_疾患開始日';</v>
      </c>
    </row>
    <row r="425" spans="1:45" s="25" customFormat="1">
      <c r="A425" s="4" t="s">
        <v>5559</v>
      </c>
      <c r="B425" s="21">
        <f t="shared" si="44"/>
        <v>423</v>
      </c>
      <c r="C425" s="13" t="str">
        <f t="shared" si="52"/>
        <v>C845_疾患開始日</v>
      </c>
      <c r="D425" s="13" t="s">
        <v>6077</v>
      </c>
      <c r="E425" s="8"/>
      <c r="F425" s="7" t="s">
        <v>4348</v>
      </c>
      <c r="G425" s="7" t="s">
        <v>25</v>
      </c>
      <c r="H425" s="58"/>
      <c r="I425" s="23"/>
      <c r="J425" s="24"/>
      <c r="M425" s="4"/>
      <c r="N425" s="76"/>
      <c r="O425" s="76"/>
      <c r="P425" s="76" t="str">
        <f t="shared" si="45"/>
        <v>,shikkan417_start_date</v>
      </c>
      <c r="Q425" s="76" t="str">
        <f t="shared" si="46"/>
        <v>DATE</v>
      </c>
      <c r="R425" s="76" t="str">
        <f t="shared" si="47"/>
        <v/>
      </c>
      <c r="S425" s="76" t="str">
        <f t="shared" si="48"/>
        <v/>
      </c>
      <c r="T425" s="76" t="str">
        <f t="shared" si="49"/>
        <v>-- C845_疾患開始日</v>
      </c>
      <c r="U425" s="4" t="str">
        <f t="shared" si="50"/>
        <v>,'shikkan417_start_date'</v>
      </c>
      <c r="V425" s="25" t="str">
        <f t="shared" si="51"/>
        <v>,'shikkan417_start_date' : 'C845_疾患開始日'</v>
      </c>
      <c r="X425" s="25">
        <v>1</v>
      </c>
      <c r="AA425" s="4"/>
      <c r="AB425" s="4"/>
      <c r="AC425" s="4"/>
      <c r="AD425" s="4"/>
      <c r="AE425" s="4"/>
      <c r="AF425" s="4"/>
      <c r="AG425" s="4"/>
      <c r="AH425" s="4"/>
      <c r="AI425" s="4"/>
      <c r="AJ425" s="76" t="str">
        <f>IF(E425="○",IF(COUNTA(E$13:E425)=1,"",",")&amp;D425,"")</f>
        <v/>
      </c>
      <c r="AK425" s="4"/>
      <c r="AL425" s="4"/>
      <c r="AM425" s="4"/>
      <c r="AN425" s="4"/>
      <c r="AO425" s="4"/>
      <c r="AP425" s="4"/>
      <c r="AQ425" s="4"/>
      <c r="AR425" s="4"/>
      <c r="AS425" s="76" t="str">
        <f>"COMMENT ON COLUMN "&amp;エンティティ一覧!$O$2&amp;"."&amp;D$8&amp;"."&amp;D425&amp;" IS '"&amp;C425&amp;"';"</f>
        <v>COMMENT ON COLUMN milscm_2023_009.main_diagnosis_start_date.shikkan417_start_date IS 'C845_疾患開始日';</v>
      </c>
    </row>
    <row r="426" spans="1:45" s="25" customFormat="1">
      <c r="A426" s="4" t="s">
        <v>5560</v>
      </c>
      <c r="B426" s="21">
        <f t="shared" si="44"/>
        <v>424</v>
      </c>
      <c r="C426" s="13" t="str">
        <f t="shared" si="52"/>
        <v>C846_疾患開始日</v>
      </c>
      <c r="D426" s="13" t="s">
        <v>6078</v>
      </c>
      <c r="E426" s="8"/>
      <c r="F426" s="7" t="s">
        <v>4348</v>
      </c>
      <c r="G426" s="7" t="s">
        <v>25</v>
      </c>
      <c r="H426" s="58"/>
      <c r="I426" s="23"/>
      <c r="J426" s="24"/>
      <c r="M426" s="4"/>
      <c r="N426" s="76"/>
      <c r="O426" s="76"/>
      <c r="P426" s="76" t="str">
        <f t="shared" si="45"/>
        <v>,shikkan418_start_date</v>
      </c>
      <c r="Q426" s="76" t="str">
        <f t="shared" si="46"/>
        <v>DATE</v>
      </c>
      <c r="R426" s="76" t="str">
        <f t="shared" si="47"/>
        <v/>
      </c>
      <c r="S426" s="76" t="str">
        <f t="shared" si="48"/>
        <v/>
      </c>
      <c r="T426" s="76" t="str">
        <f t="shared" si="49"/>
        <v>-- C846_疾患開始日</v>
      </c>
      <c r="U426" s="4" t="str">
        <f t="shared" si="50"/>
        <v>,'shikkan418_start_date'</v>
      </c>
      <c r="V426" s="25" t="str">
        <f t="shared" si="51"/>
        <v>,'shikkan418_start_date' : 'C846_疾患開始日'</v>
      </c>
      <c r="X426" s="25">
        <v>1</v>
      </c>
      <c r="AA426" s="4"/>
      <c r="AB426" s="4"/>
      <c r="AC426" s="4"/>
      <c r="AD426" s="4"/>
      <c r="AE426" s="4"/>
      <c r="AF426" s="4"/>
      <c r="AG426" s="4"/>
      <c r="AH426" s="4"/>
      <c r="AI426" s="4"/>
      <c r="AJ426" s="76" t="str">
        <f>IF(E426="○",IF(COUNTA(E$13:E426)=1,"",",")&amp;D426,"")</f>
        <v/>
      </c>
      <c r="AK426" s="4"/>
      <c r="AL426" s="4"/>
      <c r="AM426" s="4"/>
      <c r="AN426" s="4"/>
      <c r="AO426" s="4"/>
      <c r="AP426" s="4"/>
      <c r="AQ426" s="4"/>
      <c r="AR426" s="4"/>
      <c r="AS426" s="76" t="str">
        <f>"COMMENT ON COLUMN "&amp;エンティティ一覧!$O$2&amp;"."&amp;D$8&amp;"."&amp;D426&amp;" IS '"&amp;C426&amp;"';"</f>
        <v>COMMENT ON COLUMN milscm_2023_009.main_diagnosis_start_date.shikkan418_start_date IS 'C846_疾患開始日';</v>
      </c>
    </row>
    <row r="427" spans="1:45" s="25" customFormat="1">
      <c r="A427" s="4" t="s">
        <v>5561</v>
      </c>
      <c r="B427" s="21">
        <f t="shared" si="44"/>
        <v>425</v>
      </c>
      <c r="C427" s="13" t="str">
        <f t="shared" si="52"/>
        <v>C847_疾患開始日</v>
      </c>
      <c r="D427" s="13" t="s">
        <v>6079</v>
      </c>
      <c r="E427" s="8"/>
      <c r="F427" s="7" t="s">
        <v>4348</v>
      </c>
      <c r="G427" s="7" t="s">
        <v>25</v>
      </c>
      <c r="H427" s="58"/>
      <c r="I427" s="23"/>
      <c r="J427" s="24"/>
      <c r="M427" s="4"/>
      <c r="N427" s="76"/>
      <c r="O427" s="76"/>
      <c r="P427" s="76" t="str">
        <f t="shared" si="45"/>
        <v>,shikkan419_start_date</v>
      </c>
      <c r="Q427" s="76" t="str">
        <f t="shared" si="46"/>
        <v>DATE</v>
      </c>
      <c r="R427" s="76" t="str">
        <f t="shared" si="47"/>
        <v/>
      </c>
      <c r="S427" s="76" t="str">
        <f t="shared" si="48"/>
        <v/>
      </c>
      <c r="T427" s="76" t="str">
        <f t="shared" si="49"/>
        <v>-- C847_疾患開始日</v>
      </c>
      <c r="U427" s="4" t="str">
        <f t="shared" si="50"/>
        <v>,'shikkan419_start_date'</v>
      </c>
      <c r="V427" s="25" t="str">
        <f t="shared" si="51"/>
        <v>,'shikkan419_start_date' : 'C847_疾患開始日'</v>
      </c>
      <c r="X427" s="25">
        <v>1</v>
      </c>
      <c r="AA427" s="4"/>
      <c r="AB427" s="4"/>
      <c r="AC427" s="4"/>
      <c r="AD427" s="4"/>
      <c r="AE427" s="4"/>
      <c r="AF427" s="4"/>
      <c r="AG427" s="4"/>
      <c r="AH427" s="4"/>
      <c r="AI427" s="4"/>
      <c r="AJ427" s="76" t="str">
        <f>IF(E427="○",IF(COUNTA(E$13:E427)=1,"",",")&amp;D427,"")</f>
        <v/>
      </c>
      <c r="AK427" s="4"/>
      <c r="AL427" s="4"/>
      <c r="AM427" s="4"/>
      <c r="AN427" s="4"/>
      <c r="AO427" s="4"/>
      <c r="AP427" s="4"/>
      <c r="AQ427" s="4"/>
      <c r="AR427" s="4"/>
      <c r="AS427" s="76" t="str">
        <f>"COMMENT ON COLUMN "&amp;エンティティ一覧!$O$2&amp;"."&amp;D$8&amp;"."&amp;D427&amp;" IS '"&amp;C427&amp;"';"</f>
        <v>COMMENT ON COLUMN milscm_2023_009.main_diagnosis_start_date.shikkan419_start_date IS 'C847_疾患開始日';</v>
      </c>
    </row>
    <row r="428" spans="1:45" s="25" customFormat="1">
      <c r="A428" s="4" t="s">
        <v>5562</v>
      </c>
      <c r="B428" s="21">
        <f t="shared" si="44"/>
        <v>426</v>
      </c>
      <c r="C428" s="13" t="str">
        <f t="shared" si="52"/>
        <v>C848_疾患開始日</v>
      </c>
      <c r="D428" s="13" t="s">
        <v>6080</v>
      </c>
      <c r="E428" s="8"/>
      <c r="F428" s="7" t="s">
        <v>4348</v>
      </c>
      <c r="G428" s="7" t="s">
        <v>25</v>
      </c>
      <c r="H428" s="58"/>
      <c r="I428" s="23"/>
      <c r="J428" s="24"/>
      <c r="M428" s="4"/>
      <c r="N428" s="76"/>
      <c r="O428" s="76"/>
      <c r="P428" s="76" t="str">
        <f t="shared" si="45"/>
        <v>,shikkan420_start_date</v>
      </c>
      <c r="Q428" s="76" t="str">
        <f t="shared" si="46"/>
        <v>DATE</v>
      </c>
      <c r="R428" s="76" t="str">
        <f t="shared" si="47"/>
        <v/>
      </c>
      <c r="S428" s="76" t="str">
        <f t="shared" si="48"/>
        <v/>
      </c>
      <c r="T428" s="76" t="str">
        <f t="shared" si="49"/>
        <v>-- C848_疾患開始日</v>
      </c>
      <c r="U428" s="4" t="str">
        <f t="shared" si="50"/>
        <v>,'shikkan420_start_date'</v>
      </c>
      <c r="V428" s="25" t="str">
        <f t="shared" si="51"/>
        <v>,'shikkan420_start_date' : 'C848_疾患開始日'</v>
      </c>
      <c r="X428" s="25">
        <v>1</v>
      </c>
      <c r="AA428" s="4"/>
      <c r="AB428" s="4"/>
      <c r="AC428" s="4"/>
      <c r="AD428" s="4"/>
      <c r="AE428" s="4"/>
      <c r="AF428" s="4"/>
      <c r="AG428" s="4"/>
      <c r="AH428" s="4"/>
      <c r="AI428" s="4"/>
      <c r="AJ428" s="76" t="str">
        <f>IF(E428="○",IF(COUNTA(E$13:E428)=1,"",",")&amp;D428,"")</f>
        <v/>
      </c>
      <c r="AK428" s="4"/>
      <c r="AL428" s="4"/>
      <c r="AM428" s="4"/>
      <c r="AN428" s="4"/>
      <c r="AO428" s="4"/>
      <c r="AP428" s="4"/>
      <c r="AQ428" s="4"/>
      <c r="AR428" s="4"/>
      <c r="AS428" s="76" t="str">
        <f>"COMMENT ON COLUMN "&amp;エンティティ一覧!$O$2&amp;"."&amp;D$8&amp;"."&amp;D428&amp;" IS '"&amp;C428&amp;"';"</f>
        <v>COMMENT ON COLUMN milscm_2023_009.main_diagnosis_start_date.shikkan420_start_date IS 'C848_疾患開始日';</v>
      </c>
    </row>
    <row r="429" spans="1:45" s="25" customFormat="1">
      <c r="A429" s="4" t="s">
        <v>5563</v>
      </c>
      <c r="B429" s="21">
        <f t="shared" si="44"/>
        <v>427</v>
      </c>
      <c r="C429" s="13" t="str">
        <f t="shared" si="52"/>
        <v>C849_疾患開始日</v>
      </c>
      <c r="D429" s="13" t="s">
        <v>6081</v>
      </c>
      <c r="E429" s="8"/>
      <c r="F429" s="7" t="s">
        <v>4348</v>
      </c>
      <c r="G429" s="7" t="s">
        <v>25</v>
      </c>
      <c r="H429" s="58"/>
      <c r="I429" s="23"/>
      <c r="J429" s="24"/>
      <c r="M429" s="4"/>
      <c r="N429" s="76"/>
      <c r="O429" s="76"/>
      <c r="P429" s="76" t="str">
        <f t="shared" si="45"/>
        <v>,shikkan421_start_date</v>
      </c>
      <c r="Q429" s="76" t="str">
        <f t="shared" si="46"/>
        <v>DATE</v>
      </c>
      <c r="R429" s="76" t="str">
        <f t="shared" si="47"/>
        <v/>
      </c>
      <c r="S429" s="76" t="str">
        <f t="shared" si="48"/>
        <v/>
      </c>
      <c r="T429" s="76" t="str">
        <f t="shared" si="49"/>
        <v>-- C849_疾患開始日</v>
      </c>
      <c r="U429" s="4" t="str">
        <f t="shared" si="50"/>
        <v>,'shikkan421_start_date'</v>
      </c>
      <c r="V429" s="25" t="str">
        <f t="shared" si="51"/>
        <v>,'shikkan421_start_date' : 'C849_疾患開始日'</v>
      </c>
      <c r="X429" s="25">
        <v>1</v>
      </c>
      <c r="AA429" s="4"/>
      <c r="AB429" s="4"/>
      <c r="AC429" s="4"/>
      <c r="AD429" s="4"/>
      <c r="AE429" s="4"/>
      <c r="AF429" s="4"/>
      <c r="AG429" s="4"/>
      <c r="AH429" s="4"/>
      <c r="AI429" s="4"/>
      <c r="AJ429" s="76" t="str">
        <f>IF(E429="○",IF(COUNTA(E$13:E429)=1,"",",")&amp;D429,"")</f>
        <v/>
      </c>
      <c r="AK429" s="4"/>
      <c r="AL429" s="4"/>
      <c r="AM429" s="4"/>
      <c r="AN429" s="4"/>
      <c r="AO429" s="4"/>
      <c r="AP429" s="4"/>
      <c r="AQ429" s="4"/>
      <c r="AR429" s="4"/>
      <c r="AS429" s="76" t="str">
        <f>"COMMENT ON COLUMN "&amp;エンティティ一覧!$O$2&amp;"."&amp;D$8&amp;"."&amp;D429&amp;" IS '"&amp;C429&amp;"';"</f>
        <v>COMMENT ON COLUMN milscm_2023_009.main_diagnosis_start_date.shikkan421_start_date IS 'C849_疾患開始日';</v>
      </c>
    </row>
    <row r="430" spans="1:45" s="25" customFormat="1">
      <c r="A430" s="4" t="s">
        <v>5564</v>
      </c>
      <c r="B430" s="21">
        <f t="shared" si="44"/>
        <v>428</v>
      </c>
      <c r="C430" s="13" t="str">
        <f t="shared" si="52"/>
        <v>C851_疾患開始日</v>
      </c>
      <c r="D430" s="13" t="s">
        <v>6082</v>
      </c>
      <c r="E430" s="8"/>
      <c r="F430" s="7" t="s">
        <v>4348</v>
      </c>
      <c r="G430" s="7" t="s">
        <v>25</v>
      </c>
      <c r="H430" s="58"/>
      <c r="I430" s="23"/>
      <c r="J430" s="24"/>
      <c r="M430" s="4"/>
      <c r="N430" s="76"/>
      <c r="O430" s="76"/>
      <c r="P430" s="76" t="str">
        <f t="shared" si="45"/>
        <v>,shikkan422_start_date</v>
      </c>
      <c r="Q430" s="76" t="str">
        <f t="shared" si="46"/>
        <v>DATE</v>
      </c>
      <c r="R430" s="76" t="str">
        <f t="shared" si="47"/>
        <v/>
      </c>
      <c r="S430" s="76" t="str">
        <f t="shared" si="48"/>
        <v/>
      </c>
      <c r="T430" s="76" t="str">
        <f t="shared" si="49"/>
        <v>-- C851_疾患開始日</v>
      </c>
      <c r="U430" s="4" t="str">
        <f t="shared" si="50"/>
        <v>,'shikkan422_start_date'</v>
      </c>
      <c r="V430" s="25" t="str">
        <f t="shared" si="51"/>
        <v>,'shikkan422_start_date' : 'C851_疾患開始日'</v>
      </c>
      <c r="X430" s="25">
        <v>1</v>
      </c>
      <c r="AA430" s="4"/>
      <c r="AB430" s="4"/>
      <c r="AC430" s="4"/>
      <c r="AD430" s="4"/>
      <c r="AE430" s="4"/>
      <c r="AF430" s="4"/>
      <c r="AG430" s="4"/>
      <c r="AH430" s="4"/>
      <c r="AI430" s="4"/>
      <c r="AJ430" s="76" t="str">
        <f>IF(E430="○",IF(COUNTA(E$13:E430)=1,"",",")&amp;D430,"")</f>
        <v/>
      </c>
      <c r="AK430" s="4"/>
      <c r="AL430" s="4"/>
      <c r="AM430" s="4"/>
      <c r="AN430" s="4"/>
      <c r="AO430" s="4"/>
      <c r="AP430" s="4"/>
      <c r="AQ430" s="4"/>
      <c r="AR430" s="4"/>
      <c r="AS430" s="76" t="str">
        <f>"COMMENT ON COLUMN "&amp;エンティティ一覧!$O$2&amp;"."&amp;D$8&amp;"."&amp;D430&amp;" IS '"&amp;C430&amp;"';"</f>
        <v>COMMENT ON COLUMN milscm_2023_009.main_diagnosis_start_date.shikkan422_start_date IS 'C851_疾患開始日';</v>
      </c>
    </row>
    <row r="431" spans="1:45" s="25" customFormat="1">
      <c r="A431" s="4" t="s">
        <v>5565</v>
      </c>
      <c r="B431" s="21">
        <f t="shared" si="44"/>
        <v>429</v>
      </c>
      <c r="C431" s="13" t="str">
        <f t="shared" si="52"/>
        <v>C852_疾患開始日</v>
      </c>
      <c r="D431" s="13" t="s">
        <v>6083</v>
      </c>
      <c r="E431" s="8"/>
      <c r="F431" s="7" t="s">
        <v>4348</v>
      </c>
      <c r="G431" s="7" t="s">
        <v>25</v>
      </c>
      <c r="H431" s="58"/>
      <c r="I431" s="23"/>
      <c r="J431" s="24"/>
      <c r="M431" s="4"/>
      <c r="N431" s="76"/>
      <c r="O431" s="76"/>
      <c r="P431" s="76" t="str">
        <f t="shared" si="45"/>
        <v>,shikkan423_start_date</v>
      </c>
      <c r="Q431" s="76" t="str">
        <f t="shared" si="46"/>
        <v>DATE</v>
      </c>
      <c r="R431" s="76" t="str">
        <f t="shared" si="47"/>
        <v/>
      </c>
      <c r="S431" s="76" t="str">
        <f t="shared" si="48"/>
        <v/>
      </c>
      <c r="T431" s="76" t="str">
        <f t="shared" si="49"/>
        <v>-- C852_疾患開始日</v>
      </c>
      <c r="U431" s="4" t="str">
        <f t="shared" si="50"/>
        <v>,'shikkan423_start_date'</v>
      </c>
      <c r="V431" s="25" t="str">
        <f t="shared" si="51"/>
        <v>,'shikkan423_start_date' : 'C852_疾患開始日'</v>
      </c>
      <c r="X431" s="25">
        <v>1</v>
      </c>
      <c r="AA431" s="4"/>
      <c r="AB431" s="4"/>
      <c r="AC431" s="4"/>
      <c r="AD431" s="4"/>
      <c r="AE431" s="4"/>
      <c r="AF431" s="4"/>
      <c r="AG431" s="4"/>
      <c r="AH431" s="4"/>
      <c r="AI431" s="4"/>
      <c r="AJ431" s="76" t="str">
        <f>IF(E431="○",IF(COUNTA(E$13:E431)=1,"",",")&amp;D431,"")</f>
        <v/>
      </c>
      <c r="AK431" s="4"/>
      <c r="AL431" s="4"/>
      <c r="AM431" s="4"/>
      <c r="AN431" s="4"/>
      <c r="AO431" s="4"/>
      <c r="AP431" s="4"/>
      <c r="AQ431" s="4"/>
      <c r="AR431" s="4"/>
      <c r="AS431" s="76" t="str">
        <f>"COMMENT ON COLUMN "&amp;エンティティ一覧!$O$2&amp;"."&amp;D$8&amp;"."&amp;D431&amp;" IS '"&amp;C431&amp;"';"</f>
        <v>COMMENT ON COLUMN milscm_2023_009.main_diagnosis_start_date.shikkan423_start_date IS 'C852_疾患開始日';</v>
      </c>
    </row>
    <row r="432" spans="1:45" s="25" customFormat="1">
      <c r="A432" s="4" t="s">
        <v>5566</v>
      </c>
      <c r="B432" s="21">
        <f t="shared" si="44"/>
        <v>430</v>
      </c>
      <c r="C432" s="13" t="str">
        <f t="shared" si="52"/>
        <v>C857_疾患開始日</v>
      </c>
      <c r="D432" s="13" t="s">
        <v>6084</v>
      </c>
      <c r="E432" s="8"/>
      <c r="F432" s="7" t="s">
        <v>4348</v>
      </c>
      <c r="G432" s="7" t="s">
        <v>25</v>
      </c>
      <c r="H432" s="58"/>
      <c r="I432" s="23"/>
      <c r="J432" s="24"/>
      <c r="M432" s="4"/>
      <c r="N432" s="76"/>
      <c r="O432" s="76"/>
      <c r="P432" s="76" t="str">
        <f t="shared" si="45"/>
        <v>,shikkan424_start_date</v>
      </c>
      <c r="Q432" s="76" t="str">
        <f t="shared" si="46"/>
        <v>DATE</v>
      </c>
      <c r="R432" s="76" t="str">
        <f t="shared" si="47"/>
        <v/>
      </c>
      <c r="S432" s="76" t="str">
        <f t="shared" si="48"/>
        <v/>
      </c>
      <c r="T432" s="76" t="str">
        <f t="shared" si="49"/>
        <v>-- C857_疾患開始日</v>
      </c>
      <c r="U432" s="4" t="str">
        <f t="shared" si="50"/>
        <v>,'shikkan424_start_date'</v>
      </c>
      <c r="V432" s="25" t="str">
        <f t="shared" si="51"/>
        <v>,'shikkan424_start_date' : 'C857_疾患開始日'</v>
      </c>
      <c r="X432" s="25">
        <v>1</v>
      </c>
      <c r="AA432" s="4"/>
      <c r="AB432" s="4"/>
      <c r="AC432" s="4"/>
      <c r="AD432" s="4"/>
      <c r="AE432" s="4"/>
      <c r="AF432" s="4"/>
      <c r="AG432" s="4"/>
      <c r="AH432" s="4"/>
      <c r="AI432" s="4"/>
      <c r="AJ432" s="76" t="str">
        <f>IF(E432="○",IF(COUNTA(E$13:E432)=1,"",",")&amp;D432,"")</f>
        <v/>
      </c>
      <c r="AK432" s="4"/>
      <c r="AL432" s="4"/>
      <c r="AM432" s="4"/>
      <c r="AN432" s="4"/>
      <c r="AO432" s="4"/>
      <c r="AP432" s="4"/>
      <c r="AQ432" s="4"/>
      <c r="AR432" s="4"/>
      <c r="AS432" s="76" t="str">
        <f>"COMMENT ON COLUMN "&amp;エンティティ一覧!$O$2&amp;"."&amp;D$8&amp;"."&amp;D432&amp;" IS '"&amp;C432&amp;"';"</f>
        <v>COMMENT ON COLUMN milscm_2023_009.main_diagnosis_start_date.shikkan424_start_date IS 'C857_疾患開始日';</v>
      </c>
    </row>
    <row r="433" spans="1:45" s="25" customFormat="1">
      <c r="A433" s="4" t="s">
        <v>5567</v>
      </c>
      <c r="B433" s="21">
        <f t="shared" si="44"/>
        <v>431</v>
      </c>
      <c r="C433" s="13" t="str">
        <f t="shared" si="52"/>
        <v>C859_疾患開始日</v>
      </c>
      <c r="D433" s="13" t="s">
        <v>6085</v>
      </c>
      <c r="E433" s="8"/>
      <c r="F433" s="7" t="s">
        <v>4348</v>
      </c>
      <c r="G433" s="7" t="s">
        <v>25</v>
      </c>
      <c r="H433" s="58"/>
      <c r="I433" s="23"/>
      <c r="J433" s="24"/>
      <c r="M433" s="4"/>
      <c r="N433" s="76"/>
      <c r="O433" s="76"/>
      <c r="P433" s="76" t="str">
        <f t="shared" si="45"/>
        <v>,shikkan425_start_date</v>
      </c>
      <c r="Q433" s="76" t="str">
        <f t="shared" si="46"/>
        <v>DATE</v>
      </c>
      <c r="R433" s="76" t="str">
        <f t="shared" si="47"/>
        <v/>
      </c>
      <c r="S433" s="76" t="str">
        <f t="shared" si="48"/>
        <v/>
      </c>
      <c r="T433" s="76" t="str">
        <f t="shared" si="49"/>
        <v>-- C859_疾患開始日</v>
      </c>
      <c r="U433" s="4" t="str">
        <f t="shared" si="50"/>
        <v>,'shikkan425_start_date'</v>
      </c>
      <c r="V433" s="25" t="str">
        <f t="shared" si="51"/>
        <v>,'shikkan425_start_date' : 'C859_疾患開始日'</v>
      </c>
      <c r="X433" s="25">
        <v>1</v>
      </c>
      <c r="AA433" s="4"/>
      <c r="AB433" s="4"/>
      <c r="AC433" s="4"/>
      <c r="AD433" s="4"/>
      <c r="AE433" s="4"/>
      <c r="AF433" s="4"/>
      <c r="AG433" s="4"/>
      <c r="AH433" s="4"/>
      <c r="AI433" s="4"/>
      <c r="AJ433" s="76" t="str">
        <f>IF(E433="○",IF(COUNTA(E$13:E433)=1,"",",")&amp;D433,"")</f>
        <v/>
      </c>
      <c r="AK433" s="4"/>
      <c r="AL433" s="4"/>
      <c r="AM433" s="4"/>
      <c r="AN433" s="4"/>
      <c r="AO433" s="4"/>
      <c r="AP433" s="4"/>
      <c r="AQ433" s="4"/>
      <c r="AR433" s="4"/>
      <c r="AS433" s="76" t="str">
        <f>"COMMENT ON COLUMN "&amp;エンティティ一覧!$O$2&amp;"."&amp;D$8&amp;"."&amp;D433&amp;" IS '"&amp;C433&amp;"';"</f>
        <v>COMMENT ON COLUMN milscm_2023_009.main_diagnosis_start_date.shikkan425_start_date IS 'C859_疾患開始日';</v>
      </c>
    </row>
    <row r="434" spans="1:45" s="25" customFormat="1">
      <c r="A434" s="4" t="s">
        <v>5568</v>
      </c>
      <c r="B434" s="21">
        <f t="shared" si="44"/>
        <v>432</v>
      </c>
      <c r="C434" s="13" t="str">
        <f t="shared" si="52"/>
        <v>C880_疾患開始日</v>
      </c>
      <c r="D434" s="13" t="s">
        <v>6086</v>
      </c>
      <c r="E434" s="8"/>
      <c r="F434" s="7" t="s">
        <v>4348</v>
      </c>
      <c r="G434" s="7" t="s">
        <v>25</v>
      </c>
      <c r="H434" s="58"/>
      <c r="I434" s="23"/>
      <c r="J434" s="24"/>
      <c r="M434" s="4"/>
      <c r="N434" s="76"/>
      <c r="O434" s="76"/>
      <c r="P434" s="76" t="str">
        <f t="shared" si="45"/>
        <v>,shikkan426_start_date</v>
      </c>
      <c r="Q434" s="76" t="str">
        <f t="shared" si="46"/>
        <v>DATE</v>
      </c>
      <c r="R434" s="76" t="str">
        <f t="shared" si="47"/>
        <v/>
      </c>
      <c r="S434" s="76" t="str">
        <f t="shared" si="48"/>
        <v/>
      </c>
      <c r="T434" s="76" t="str">
        <f t="shared" si="49"/>
        <v>-- C880_疾患開始日</v>
      </c>
      <c r="U434" s="4" t="str">
        <f t="shared" si="50"/>
        <v>,'shikkan426_start_date'</v>
      </c>
      <c r="V434" s="25" t="str">
        <f t="shared" si="51"/>
        <v>,'shikkan426_start_date' : 'C880_疾患開始日'</v>
      </c>
      <c r="X434" s="25">
        <v>1</v>
      </c>
      <c r="AA434" s="4"/>
      <c r="AB434" s="4"/>
      <c r="AC434" s="4"/>
      <c r="AD434" s="4"/>
      <c r="AE434" s="4"/>
      <c r="AF434" s="4"/>
      <c r="AG434" s="4"/>
      <c r="AH434" s="4"/>
      <c r="AI434" s="4"/>
      <c r="AJ434" s="76" t="str">
        <f>IF(E434="○",IF(COUNTA(E$13:E434)=1,"",",")&amp;D434,"")</f>
        <v/>
      </c>
      <c r="AK434" s="4"/>
      <c r="AL434" s="4"/>
      <c r="AM434" s="4"/>
      <c r="AN434" s="4"/>
      <c r="AO434" s="4"/>
      <c r="AP434" s="4"/>
      <c r="AQ434" s="4"/>
      <c r="AR434" s="4"/>
      <c r="AS434" s="76" t="str">
        <f>"COMMENT ON COLUMN "&amp;エンティティ一覧!$O$2&amp;"."&amp;D$8&amp;"."&amp;D434&amp;" IS '"&amp;C434&amp;"';"</f>
        <v>COMMENT ON COLUMN milscm_2023_009.main_diagnosis_start_date.shikkan426_start_date IS 'C880_疾患開始日';</v>
      </c>
    </row>
    <row r="435" spans="1:45" s="25" customFormat="1">
      <c r="A435" s="4" t="s">
        <v>5569</v>
      </c>
      <c r="B435" s="21">
        <f t="shared" si="44"/>
        <v>433</v>
      </c>
      <c r="C435" s="13" t="str">
        <f t="shared" si="52"/>
        <v>C882_疾患開始日</v>
      </c>
      <c r="D435" s="13" t="s">
        <v>6087</v>
      </c>
      <c r="E435" s="8"/>
      <c r="F435" s="7" t="s">
        <v>4348</v>
      </c>
      <c r="G435" s="7" t="s">
        <v>25</v>
      </c>
      <c r="H435" s="58"/>
      <c r="I435" s="23"/>
      <c r="J435" s="24"/>
      <c r="M435" s="4"/>
      <c r="N435" s="76"/>
      <c r="O435" s="76"/>
      <c r="P435" s="76" t="str">
        <f t="shared" si="45"/>
        <v>,shikkan427_start_date</v>
      </c>
      <c r="Q435" s="76" t="str">
        <f t="shared" si="46"/>
        <v>DATE</v>
      </c>
      <c r="R435" s="76" t="str">
        <f t="shared" si="47"/>
        <v/>
      </c>
      <c r="S435" s="76" t="str">
        <f t="shared" si="48"/>
        <v/>
      </c>
      <c r="T435" s="76" t="str">
        <f t="shared" si="49"/>
        <v>-- C882_疾患開始日</v>
      </c>
      <c r="U435" s="4" t="str">
        <f t="shared" si="50"/>
        <v>,'shikkan427_start_date'</v>
      </c>
      <c r="V435" s="25" t="str">
        <f t="shared" si="51"/>
        <v>,'shikkan427_start_date' : 'C882_疾患開始日'</v>
      </c>
      <c r="X435" s="25">
        <v>1</v>
      </c>
      <c r="AA435" s="4"/>
      <c r="AB435" s="4"/>
      <c r="AC435" s="4"/>
      <c r="AD435" s="4"/>
      <c r="AE435" s="4"/>
      <c r="AF435" s="4"/>
      <c r="AG435" s="4"/>
      <c r="AH435" s="4"/>
      <c r="AI435" s="4"/>
      <c r="AJ435" s="76" t="str">
        <f>IF(E435="○",IF(COUNTA(E$13:E435)=1,"",",")&amp;D435,"")</f>
        <v/>
      </c>
      <c r="AK435" s="4"/>
      <c r="AL435" s="4"/>
      <c r="AM435" s="4"/>
      <c r="AN435" s="4"/>
      <c r="AO435" s="4"/>
      <c r="AP435" s="4"/>
      <c r="AQ435" s="4"/>
      <c r="AR435" s="4"/>
      <c r="AS435" s="76" t="str">
        <f>"COMMENT ON COLUMN "&amp;エンティティ一覧!$O$2&amp;"."&amp;D$8&amp;"."&amp;D435&amp;" IS '"&amp;C435&amp;"';"</f>
        <v>COMMENT ON COLUMN milscm_2023_009.main_diagnosis_start_date.shikkan427_start_date IS 'C882_疾患開始日';</v>
      </c>
    </row>
    <row r="436" spans="1:45" s="25" customFormat="1">
      <c r="A436" s="4" t="s">
        <v>5570</v>
      </c>
      <c r="B436" s="21">
        <f t="shared" si="44"/>
        <v>434</v>
      </c>
      <c r="C436" s="13" t="str">
        <f t="shared" si="52"/>
        <v>C883_疾患開始日</v>
      </c>
      <c r="D436" s="13" t="s">
        <v>6088</v>
      </c>
      <c r="E436" s="8"/>
      <c r="F436" s="7" t="s">
        <v>4348</v>
      </c>
      <c r="G436" s="7" t="s">
        <v>25</v>
      </c>
      <c r="H436" s="58"/>
      <c r="I436" s="23"/>
      <c r="J436" s="24"/>
      <c r="M436" s="4"/>
      <c r="N436" s="76"/>
      <c r="O436" s="76"/>
      <c r="P436" s="76" t="str">
        <f t="shared" si="45"/>
        <v>,shikkan428_start_date</v>
      </c>
      <c r="Q436" s="76" t="str">
        <f t="shared" si="46"/>
        <v>DATE</v>
      </c>
      <c r="R436" s="76" t="str">
        <f t="shared" si="47"/>
        <v/>
      </c>
      <c r="S436" s="76" t="str">
        <f t="shared" si="48"/>
        <v/>
      </c>
      <c r="T436" s="76" t="str">
        <f t="shared" si="49"/>
        <v>-- C883_疾患開始日</v>
      </c>
      <c r="U436" s="4" t="str">
        <f t="shared" si="50"/>
        <v>,'shikkan428_start_date'</v>
      </c>
      <c r="V436" s="25" t="str">
        <f t="shared" si="51"/>
        <v>,'shikkan428_start_date' : 'C883_疾患開始日'</v>
      </c>
      <c r="X436" s="25">
        <v>1</v>
      </c>
      <c r="AA436" s="4"/>
      <c r="AB436" s="4"/>
      <c r="AC436" s="4"/>
      <c r="AD436" s="4"/>
      <c r="AE436" s="4"/>
      <c r="AF436" s="4"/>
      <c r="AG436" s="4"/>
      <c r="AH436" s="4"/>
      <c r="AI436" s="4"/>
      <c r="AJ436" s="76" t="str">
        <f>IF(E436="○",IF(COUNTA(E$13:E436)=1,"",",")&amp;D436,"")</f>
        <v/>
      </c>
      <c r="AK436" s="4"/>
      <c r="AL436" s="4"/>
      <c r="AM436" s="4"/>
      <c r="AN436" s="4"/>
      <c r="AO436" s="4"/>
      <c r="AP436" s="4"/>
      <c r="AQ436" s="4"/>
      <c r="AR436" s="4"/>
      <c r="AS436" s="76" t="str">
        <f>"COMMENT ON COLUMN "&amp;エンティティ一覧!$O$2&amp;"."&amp;D$8&amp;"."&amp;D436&amp;" IS '"&amp;C436&amp;"';"</f>
        <v>COMMENT ON COLUMN milscm_2023_009.main_diagnosis_start_date.shikkan428_start_date IS 'C883_疾患開始日';</v>
      </c>
    </row>
    <row r="437" spans="1:45" s="25" customFormat="1">
      <c r="A437" s="4" t="s">
        <v>5571</v>
      </c>
      <c r="B437" s="21">
        <f t="shared" si="44"/>
        <v>435</v>
      </c>
      <c r="C437" s="13" t="str">
        <f t="shared" si="52"/>
        <v>C884_疾患開始日</v>
      </c>
      <c r="D437" s="13" t="s">
        <v>6089</v>
      </c>
      <c r="E437" s="8"/>
      <c r="F437" s="7" t="s">
        <v>4348</v>
      </c>
      <c r="G437" s="7" t="s">
        <v>25</v>
      </c>
      <c r="H437" s="58"/>
      <c r="I437" s="23"/>
      <c r="J437" s="24"/>
      <c r="M437" s="4"/>
      <c r="N437" s="76"/>
      <c r="O437" s="76"/>
      <c r="P437" s="76" t="str">
        <f t="shared" si="45"/>
        <v>,shikkan429_start_date</v>
      </c>
      <c r="Q437" s="76" t="str">
        <f t="shared" si="46"/>
        <v>DATE</v>
      </c>
      <c r="R437" s="76" t="str">
        <f t="shared" si="47"/>
        <v/>
      </c>
      <c r="S437" s="76" t="str">
        <f t="shared" si="48"/>
        <v/>
      </c>
      <c r="T437" s="76" t="str">
        <f t="shared" si="49"/>
        <v>-- C884_疾患開始日</v>
      </c>
      <c r="U437" s="4" t="str">
        <f t="shared" si="50"/>
        <v>,'shikkan429_start_date'</v>
      </c>
      <c r="V437" s="25" t="str">
        <f t="shared" si="51"/>
        <v>,'shikkan429_start_date' : 'C884_疾患開始日'</v>
      </c>
      <c r="X437" s="25">
        <v>1</v>
      </c>
      <c r="AA437" s="4"/>
      <c r="AB437" s="4"/>
      <c r="AC437" s="4"/>
      <c r="AD437" s="4"/>
      <c r="AE437" s="4"/>
      <c r="AF437" s="4"/>
      <c r="AG437" s="4"/>
      <c r="AH437" s="4"/>
      <c r="AI437" s="4"/>
      <c r="AJ437" s="76" t="str">
        <f>IF(E437="○",IF(COUNTA(E$13:E437)=1,"",",")&amp;D437,"")</f>
        <v/>
      </c>
      <c r="AK437" s="4"/>
      <c r="AL437" s="4"/>
      <c r="AM437" s="4"/>
      <c r="AN437" s="4"/>
      <c r="AO437" s="4"/>
      <c r="AP437" s="4"/>
      <c r="AQ437" s="4"/>
      <c r="AR437" s="4"/>
      <c r="AS437" s="76" t="str">
        <f>"COMMENT ON COLUMN "&amp;エンティティ一覧!$O$2&amp;"."&amp;D$8&amp;"."&amp;D437&amp;" IS '"&amp;C437&amp;"';"</f>
        <v>COMMENT ON COLUMN milscm_2023_009.main_diagnosis_start_date.shikkan429_start_date IS 'C884_疾患開始日';</v>
      </c>
    </row>
    <row r="438" spans="1:45" s="25" customFormat="1">
      <c r="A438" s="4" t="s">
        <v>5572</v>
      </c>
      <c r="B438" s="21">
        <f t="shared" si="44"/>
        <v>436</v>
      </c>
      <c r="C438" s="13" t="str">
        <f t="shared" si="52"/>
        <v>C887_疾患開始日</v>
      </c>
      <c r="D438" s="13" t="s">
        <v>6090</v>
      </c>
      <c r="E438" s="8"/>
      <c r="F438" s="7" t="s">
        <v>4348</v>
      </c>
      <c r="G438" s="7" t="s">
        <v>25</v>
      </c>
      <c r="H438" s="58"/>
      <c r="I438" s="23"/>
      <c r="J438" s="24"/>
      <c r="M438" s="4"/>
      <c r="N438" s="76"/>
      <c r="O438" s="76"/>
      <c r="P438" s="76" t="str">
        <f t="shared" si="45"/>
        <v>,shikkan430_start_date</v>
      </c>
      <c r="Q438" s="76" t="str">
        <f t="shared" si="46"/>
        <v>DATE</v>
      </c>
      <c r="R438" s="76" t="str">
        <f t="shared" si="47"/>
        <v/>
      </c>
      <c r="S438" s="76" t="str">
        <f t="shared" si="48"/>
        <v/>
      </c>
      <c r="T438" s="76" t="str">
        <f t="shared" si="49"/>
        <v>-- C887_疾患開始日</v>
      </c>
      <c r="U438" s="4" t="str">
        <f t="shared" si="50"/>
        <v>,'shikkan430_start_date'</v>
      </c>
      <c r="V438" s="25" t="str">
        <f t="shared" si="51"/>
        <v>,'shikkan430_start_date' : 'C887_疾患開始日'</v>
      </c>
      <c r="X438" s="25">
        <v>1</v>
      </c>
      <c r="AA438" s="4"/>
      <c r="AB438" s="4"/>
      <c r="AC438" s="4"/>
      <c r="AD438" s="4"/>
      <c r="AE438" s="4"/>
      <c r="AF438" s="4"/>
      <c r="AG438" s="4"/>
      <c r="AH438" s="4"/>
      <c r="AI438" s="4"/>
      <c r="AJ438" s="76" t="str">
        <f>IF(E438="○",IF(COUNTA(E$13:E438)=1,"",",")&amp;D438,"")</f>
        <v/>
      </c>
      <c r="AK438" s="4"/>
      <c r="AL438" s="4"/>
      <c r="AM438" s="4"/>
      <c r="AN438" s="4"/>
      <c r="AO438" s="4"/>
      <c r="AP438" s="4"/>
      <c r="AQ438" s="4"/>
      <c r="AR438" s="4"/>
      <c r="AS438" s="76" t="str">
        <f>"COMMENT ON COLUMN "&amp;エンティティ一覧!$O$2&amp;"."&amp;D$8&amp;"."&amp;D438&amp;" IS '"&amp;C438&amp;"';"</f>
        <v>COMMENT ON COLUMN milscm_2023_009.main_diagnosis_start_date.shikkan430_start_date IS 'C887_疾患開始日';</v>
      </c>
    </row>
    <row r="439" spans="1:45" s="25" customFormat="1">
      <c r="A439" s="4" t="s">
        <v>5573</v>
      </c>
      <c r="B439" s="21">
        <f t="shared" si="44"/>
        <v>437</v>
      </c>
      <c r="C439" s="13" t="str">
        <f t="shared" si="52"/>
        <v>C889_疾患開始日</v>
      </c>
      <c r="D439" s="13" t="s">
        <v>6091</v>
      </c>
      <c r="E439" s="8"/>
      <c r="F439" s="7" t="s">
        <v>4348</v>
      </c>
      <c r="G439" s="7" t="s">
        <v>25</v>
      </c>
      <c r="H439" s="58"/>
      <c r="I439" s="23"/>
      <c r="J439" s="24"/>
      <c r="M439" s="4"/>
      <c r="N439" s="76"/>
      <c r="O439" s="76"/>
      <c r="P439" s="76" t="str">
        <f t="shared" si="45"/>
        <v>,shikkan431_start_date</v>
      </c>
      <c r="Q439" s="76" t="str">
        <f t="shared" si="46"/>
        <v>DATE</v>
      </c>
      <c r="R439" s="76" t="str">
        <f t="shared" si="47"/>
        <v/>
      </c>
      <c r="S439" s="76" t="str">
        <f t="shared" si="48"/>
        <v/>
      </c>
      <c r="T439" s="76" t="str">
        <f t="shared" si="49"/>
        <v>-- C889_疾患開始日</v>
      </c>
      <c r="U439" s="4" t="str">
        <f t="shared" si="50"/>
        <v>,'shikkan431_start_date'</v>
      </c>
      <c r="V439" s="25" t="str">
        <f t="shared" si="51"/>
        <v>,'shikkan431_start_date' : 'C889_疾患開始日'</v>
      </c>
      <c r="X439" s="25">
        <v>1</v>
      </c>
      <c r="AA439" s="4"/>
      <c r="AB439" s="4"/>
      <c r="AC439" s="4"/>
      <c r="AD439" s="4"/>
      <c r="AE439" s="4"/>
      <c r="AF439" s="4"/>
      <c r="AG439" s="4"/>
      <c r="AH439" s="4"/>
      <c r="AI439" s="4"/>
      <c r="AJ439" s="76" t="str">
        <f>IF(E439="○",IF(COUNTA(E$13:E439)=1,"",",")&amp;D439,"")</f>
        <v/>
      </c>
      <c r="AK439" s="4"/>
      <c r="AL439" s="4"/>
      <c r="AM439" s="4"/>
      <c r="AN439" s="4"/>
      <c r="AO439" s="4"/>
      <c r="AP439" s="4"/>
      <c r="AQ439" s="4"/>
      <c r="AR439" s="4"/>
      <c r="AS439" s="76" t="str">
        <f>"COMMENT ON COLUMN "&amp;エンティティ一覧!$O$2&amp;"."&amp;D$8&amp;"."&amp;D439&amp;" IS '"&amp;C439&amp;"';"</f>
        <v>COMMENT ON COLUMN milscm_2023_009.main_diagnosis_start_date.shikkan431_start_date IS 'C889_疾患開始日';</v>
      </c>
    </row>
    <row r="440" spans="1:45" s="25" customFormat="1">
      <c r="A440" s="4" t="s">
        <v>5574</v>
      </c>
      <c r="B440" s="21">
        <f t="shared" si="44"/>
        <v>438</v>
      </c>
      <c r="C440" s="13" t="str">
        <f t="shared" si="52"/>
        <v>C900_疾患開始日</v>
      </c>
      <c r="D440" s="13" t="s">
        <v>6092</v>
      </c>
      <c r="E440" s="8"/>
      <c r="F440" s="7" t="s">
        <v>4348</v>
      </c>
      <c r="G440" s="7" t="s">
        <v>99</v>
      </c>
      <c r="H440" s="58"/>
      <c r="I440" s="23"/>
      <c r="J440" s="24"/>
      <c r="M440" s="4"/>
      <c r="N440" s="76"/>
      <c r="O440" s="76"/>
      <c r="P440" s="76" t="str">
        <f t="shared" si="45"/>
        <v>,shikkan432_start_date</v>
      </c>
      <c r="Q440" s="76" t="str">
        <f t="shared" si="46"/>
        <v>DATE</v>
      </c>
      <c r="R440" s="76" t="str">
        <f t="shared" si="47"/>
        <v/>
      </c>
      <c r="S440" s="76" t="str">
        <f t="shared" si="48"/>
        <v/>
      </c>
      <c r="T440" s="76" t="str">
        <f t="shared" si="49"/>
        <v>-- C900_疾患開始日</v>
      </c>
      <c r="U440" s="4" t="str">
        <f t="shared" si="50"/>
        <v>,'shikkan432_start_date'</v>
      </c>
      <c r="V440" s="25" t="str">
        <f t="shared" si="51"/>
        <v>,'shikkan432_start_date' : 'C900_疾患開始日'</v>
      </c>
      <c r="X440" s="25">
        <v>1</v>
      </c>
      <c r="AA440" s="4"/>
      <c r="AB440" s="4"/>
      <c r="AC440" s="4"/>
      <c r="AD440" s="4"/>
      <c r="AE440" s="4"/>
      <c r="AF440" s="4"/>
      <c r="AG440" s="4"/>
      <c r="AH440" s="4"/>
      <c r="AI440" s="4"/>
      <c r="AJ440" s="76" t="str">
        <f>IF(E440="○",IF(COUNTA(E$13:E440)=1,"",",")&amp;D440,"")</f>
        <v/>
      </c>
      <c r="AK440" s="4"/>
      <c r="AL440" s="4"/>
      <c r="AM440" s="4"/>
      <c r="AN440" s="4"/>
      <c r="AO440" s="4"/>
      <c r="AP440" s="4"/>
      <c r="AQ440" s="4"/>
      <c r="AR440" s="4"/>
      <c r="AS440" s="76" t="str">
        <f>"COMMENT ON COLUMN "&amp;エンティティ一覧!$O$2&amp;"."&amp;D$8&amp;"."&amp;D440&amp;" IS '"&amp;C440&amp;"';"</f>
        <v>COMMENT ON COLUMN milscm_2023_009.main_diagnosis_start_date.shikkan432_start_date IS 'C900_疾患開始日';</v>
      </c>
    </row>
    <row r="441" spans="1:45" s="25" customFormat="1">
      <c r="A441" s="4" t="s">
        <v>5575</v>
      </c>
      <c r="B441" s="21">
        <f t="shared" si="44"/>
        <v>439</v>
      </c>
      <c r="C441" s="13" t="str">
        <f t="shared" si="52"/>
        <v>C901_疾患開始日</v>
      </c>
      <c r="D441" s="13" t="s">
        <v>6093</v>
      </c>
      <c r="E441" s="8"/>
      <c r="F441" s="7" t="s">
        <v>4348</v>
      </c>
      <c r="G441" s="7" t="s">
        <v>25</v>
      </c>
      <c r="H441" s="58"/>
      <c r="I441" s="23"/>
      <c r="J441" s="24"/>
      <c r="M441" s="4"/>
      <c r="N441" s="76"/>
      <c r="O441" s="76"/>
      <c r="P441" s="76" t="str">
        <f t="shared" si="45"/>
        <v>,shikkan433_start_date</v>
      </c>
      <c r="Q441" s="76" t="str">
        <f t="shared" si="46"/>
        <v>DATE</v>
      </c>
      <c r="R441" s="76" t="str">
        <f t="shared" si="47"/>
        <v/>
      </c>
      <c r="S441" s="76" t="str">
        <f t="shared" si="48"/>
        <v/>
      </c>
      <c r="T441" s="76" t="str">
        <f t="shared" si="49"/>
        <v>-- C901_疾患開始日</v>
      </c>
      <c r="U441" s="4" t="str">
        <f t="shared" si="50"/>
        <v>,'shikkan433_start_date'</v>
      </c>
      <c r="V441" s="25" t="str">
        <f t="shared" si="51"/>
        <v>,'shikkan433_start_date' : 'C901_疾患開始日'</v>
      </c>
      <c r="X441" s="25">
        <v>1</v>
      </c>
      <c r="AA441" s="4"/>
      <c r="AB441" s="4"/>
      <c r="AC441" s="4"/>
      <c r="AD441" s="4"/>
      <c r="AE441" s="4"/>
      <c r="AF441" s="4"/>
      <c r="AG441" s="4"/>
      <c r="AH441" s="4"/>
      <c r="AI441" s="4"/>
      <c r="AJ441" s="76" t="str">
        <f>IF(E441="○",IF(COUNTA(E$13:E441)=1,"",",")&amp;D441,"")</f>
        <v/>
      </c>
      <c r="AK441" s="4"/>
      <c r="AL441" s="4"/>
      <c r="AM441" s="4"/>
      <c r="AN441" s="4"/>
      <c r="AO441" s="4"/>
      <c r="AP441" s="4"/>
      <c r="AQ441" s="4"/>
      <c r="AR441" s="4"/>
      <c r="AS441" s="76" t="str">
        <f>"COMMENT ON COLUMN "&amp;エンティティ一覧!$O$2&amp;"."&amp;D$8&amp;"."&amp;D441&amp;" IS '"&amp;C441&amp;"';"</f>
        <v>COMMENT ON COLUMN milscm_2023_009.main_diagnosis_start_date.shikkan433_start_date IS 'C901_疾患開始日';</v>
      </c>
    </row>
    <row r="442" spans="1:45" s="25" customFormat="1">
      <c r="A442" s="4" t="s">
        <v>5576</v>
      </c>
      <c r="B442" s="21">
        <f t="shared" si="44"/>
        <v>440</v>
      </c>
      <c r="C442" s="13" t="str">
        <f t="shared" si="52"/>
        <v>C902_疾患開始日</v>
      </c>
      <c r="D442" s="13" t="s">
        <v>6094</v>
      </c>
      <c r="E442" s="8"/>
      <c r="F442" s="7" t="s">
        <v>4348</v>
      </c>
      <c r="G442" s="7" t="s">
        <v>25</v>
      </c>
      <c r="H442" s="58"/>
      <c r="I442" s="23"/>
      <c r="J442" s="24"/>
      <c r="M442" s="4"/>
      <c r="N442" s="76"/>
      <c r="O442" s="76"/>
      <c r="P442" s="76" t="str">
        <f t="shared" si="45"/>
        <v>,shikkan434_start_date</v>
      </c>
      <c r="Q442" s="76" t="str">
        <f t="shared" si="46"/>
        <v>DATE</v>
      </c>
      <c r="R442" s="76" t="str">
        <f t="shared" si="47"/>
        <v/>
      </c>
      <c r="S442" s="76" t="str">
        <f t="shared" si="48"/>
        <v/>
      </c>
      <c r="T442" s="76" t="str">
        <f t="shared" si="49"/>
        <v>-- C902_疾患開始日</v>
      </c>
      <c r="U442" s="4" t="str">
        <f t="shared" si="50"/>
        <v>,'shikkan434_start_date'</v>
      </c>
      <c r="V442" s="25" t="str">
        <f t="shared" si="51"/>
        <v>,'shikkan434_start_date' : 'C902_疾患開始日'</v>
      </c>
      <c r="X442" s="25">
        <v>1</v>
      </c>
      <c r="AA442" s="4"/>
      <c r="AB442" s="4"/>
      <c r="AC442" s="4"/>
      <c r="AD442" s="4"/>
      <c r="AE442" s="4"/>
      <c r="AF442" s="4"/>
      <c r="AG442" s="4"/>
      <c r="AH442" s="4"/>
      <c r="AI442" s="4"/>
      <c r="AJ442" s="76" t="str">
        <f>IF(E442="○",IF(COUNTA(E$13:E442)=1,"",",")&amp;D442,"")</f>
        <v/>
      </c>
      <c r="AK442" s="4"/>
      <c r="AL442" s="4"/>
      <c r="AM442" s="4"/>
      <c r="AN442" s="4"/>
      <c r="AO442" s="4"/>
      <c r="AP442" s="4"/>
      <c r="AQ442" s="4"/>
      <c r="AR442" s="4"/>
      <c r="AS442" s="76" t="str">
        <f>"COMMENT ON COLUMN "&amp;エンティティ一覧!$O$2&amp;"."&amp;D$8&amp;"."&amp;D442&amp;" IS '"&amp;C442&amp;"';"</f>
        <v>COMMENT ON COLUMN milscm_2023_009.main_diagnosis_start_date.shikkan434_start_date IS 'C902_疾患開始日';</v>
      </c>
    </row>
    <row r="443" spans="1:45" s="25" customFormat="1">
      <c r="A443" s="4" t="s">
        <v>5577</v>
      </c>
      <c r="B443" s="21">
        <f t="shared" si="44"/>
        <v>441</v>
      </c>
      <c r="C443" s="13" t="str">
        <f t="shared" si="52"/>
        <v>C903_疾患開始日</v>
      </c>
      <c r="D443" s="13" t="s">
        <v>6095</v>
      </c>
      <c r="E443" s="8"/>
      <c r="F443" s="7" t="s">
        <v>4348</v>
      </c>
      <c r="G443" s="7" t="s">
        <v>25</v>
      </c>
      <c r="H443" s="58"/>
      <c r="I443" s="23"/>
      <c r="J443" s="24"/>
      <c r="M443" s="4"/>
      <c r="N443" s="76"/>
      <c r="O443" s="76"/>
      <c r="P443" s="76" t="str">
        <f t="shared" si="45"/>
        <v>,shikkan435_start_date</v>
      </c>
      <c r="Q443" s="76" t="str">
        <f t="shared" si="46"/>
        <v>DATE</v>
      </c>
      <c r="R443" s="76" t="str">
        <f t="shared" si="47"/>
        <v/>
      </c>
      <c r="S443" s="76" t="str">
        <f t="shared" si="48"/>
        <v/>
      </c>
      <c r="T443" s="76" t="str">
        <f t="shared" si="49"/>
        <v>-- C903_疾患開始日</v>
      </c>
      <c r="U443" s="4" t="str">
        <f t="shared" si="50"/>
        <v>,'shikkan435_start_date'</v>
      </c>
      <c r="V443" s="25" t="str">
        <f t="shared" si="51"/>
        <v>,'shikkan435_start_date' : 'C903_疾患開始日'</v>
      </c>
      <c r="X443" s="25">
        <v>1</v>
      </c>
      <c r="AA443" s="4"/>
      <c r="AB443" s="4"/>
      <c r="AC443" s="4"/>
      <c r="AD443" s="4"/>
      <c r="AE443" s="4"/>
      <c r="AF443" s="4"/>
      <c r="AG443" s="4"/>
      <c r="AH443" s="4"/>
      <c r="AI443" s="4"/>
      <c r="AJ443" s="76" t="str">
        <f>IF(E443="○",IF(COUNTA(E$13:E443)=1,"",",")&amp;D443,"")</f>
        <v/>
      </c>
      <c r="AK443" s="4"/>
      <c r="AL443" s="4"/>
      <c r="AM443" s="4"/>
      <c r="AN443" s="4"/>
      <c r="AO443" s="4"/>
      <c r="AP443" s="4"/>
      <c r="AQ443" s="4"/>
      <c r="AR443" s="4"/>
      <c r="AS443" s="76" t="str">
        <f>"COMMENT ON COLUMN "&amp;エンティティ一覧!$O$2&amp;"."&amp;D$8&amp;"."&amp;D443&amp;" IS '"&amp;C443&amp;"';"</f>
        <v>COMMENT ON COLUMN milscm_2023_009.main_diagnosis_start_date.shikkan435_start_date IS 'C903_疾患開始日';</v>
      </c>
    </row>
    <row r="444" spans="1:45" s="25" customFormat="1">
      <c r="A444" s="4" t="s">
        <v>5578</v>
      </c>
      <c r="B444" s="21">
        <f t="shared" si="44"/>
        <v>442</v>
      </c>
      <c r="C444" s="13" t="str">
        <f t="shared" si="52"/>
        <v>C910_疾患開始日</v>
      </c>
      <c r="D444" s="13" t="s">
        <v>6096</v>
      </c>
      <c r="E444" s="8"/>
      <c r="F444" s="7" t="s">
        <v>4348</v>
      </c>
      <c r="G444" s="7" t="s">
        <v>25</v>
      </c>
      <c r="H444" s="58"/>
      <c r="I444" s="23"/>
      <c r="J444" s="24"/>
      <c r="M444" s="4"/>
      <c r="N444" s="76"/>
      <c r="O444" s="76"/>
      <c r="P444" s="76" t="str">
        <f t="shared" si="45"/>
        <v>,shikkan436_start_date</v>
      </c>
      <c r="Q444" s="76" t="str">
        <f t="shared" si="46"/>
        <v>DATE</v>
      </c>
      <c r="R444" s="76" t="str">
        <f t="shared" si="47"/>
        <v/>
      </c>
      <c r="S444" s="76" t="str">
        <f t="shared" si="48"/>
        <v/>
      </c>
      <c r="T444" s="76" t="str">
        <f t="shared" si="49"/>
        <v>-- C910_疾患開始日</v>
      </c>
      <c r="U444" s="4" t="str">
        <f t="shared" si="50"/>
        <v>,'shikkan436_start_date'</v>
      </c>
      <c r="V444" s="25" t="str">
        <f t="shared" si="51"/>
        <v>,'shikkan436_start_date' : 'C910_疾患開始日'</v>
      </c>
      <c r="X444" s="25">
        <v>1</v>
      </c>
      <c r="AA444" s="4"/>
      <c r="AB444" s="4"/>
      <c r="AC444" s="4"/>
      <c r="AD444" s="4"/>
      <c r="AE444" s="4"/>
      <c r="AF444" s="4"/>
      <c r="AG444" s="4"/>
      <c r="AH444" s="4"/>
      <c r="AI444" s="4"/>
      <c r="AJ444" s="76" t="str">
        <f>IF(E444="○",IF(COUNTA(E$13:E444)=1,"",",")&amp;D444,"")</f>
        <v/>
      </c>
      <c r="AK444" s="4"/>
      <c r="AL444" s="4"/>
      <c r="AM444" s="4"/>
      <c r="AN444" s="4"/>
      <c r="AO444" s="4"/>
      <c r="AP444" s="4"/>
      <c r="AQ444" s="4"/>
      <c r="AR444" s="4"/>
      <c r="AS444" s="76" t="str">
        <f>"COMMENT ON COLUMN "&amp;エンティティ一覧!$O$2&amp;"."&amp;D$8&amp;"."&amp;D444&amp;" IS '"&amp;C444&amp;"';"</f>
        <v>COMMENT ON COLUMN milscm_2023_009.main_diagnosis_start_date.shikkan436_start_date IS 'C910_疾患開始日';</v>
      </c>
    </row>
    <row r="445" spans="1:45" s="25" customFormat="1">
      <c r="A445" s="4" t="s">
        <v>5579</v>
      </c>
      <c r="B445" s="21">
        <f t="shared" si="44"/>
        <v>443</v>
      </c>
      <c r="C445" s="13" t="str">
        <f t="shared" si="52"/>
        <v>C911_疾患開始日</v>
      </c>
      <c r="D445" s="13" t="s">
        <v>6097</v>
      </c>
      <c r="E445" s="8"/>
      <c r="F445" s="7" t="s">
        <v>4348</v>
      </c>
      <c r="G445" s="7" t="s">
        <v>25</v>
      </c>
      <c r="H445" s="58"/>
      <c r="I445" s="23"/>
      <c r="J445" s="24"/>
      <c r="M445" s="4"/>
      <c r="N445" s="76"/>
      <c r="O445" s="76"/>
      <c r="P445" s="76" t="str">
        <f t="shared" si="45"/>
        <v>,shikkan437_start_date</v>
      </c>
      <c r="Q445" s="76" t="str">
        <f t="shared" si="46"/>
        <v>DATE</v>
      </c>
      <c r="R445" s="76" t="str">
        <f t="shared" si="47"/>
        <v/>
      </c>
      <c r="S445" s="76" t="str">
        <f t="shared" si="48"/>
        <v/>
      </c>
      <c r="T445" s="76" t="str">
        <f t="shared" si="49"/>
        <v>-- C911_疾患開始日</v>
      </c>
      <c r="U445" s="4" t="str">
        <f t="shared" si="50"/>
        <v>,'shikkan437_start_date'</v>
      </c>
      <c r="V445" s="25" t="str">
        <f t="shared" si="51"/>
        <v>,'shikkan437_start_date' : 'C911_疾患開始日'</v>
      </c>
      <c r="X445" s="25">
        <v>1</v>
      </c>
      <c r="AA445" s="4"/>
      <c r="AB445" s="4"/>
      <c r="AC445" s="4"/>
      <c r="AD445" s="4"/>
      <c r="AE445" s="4"/>
      <c r="AF445" s="4"/>
      <c r="AG445" s="4"/>
      <c r="AH445" s="4"/>
      <c r="AI445" s="4"/>
      <c r="AJ445" s="76" t="str">
        <f>IF(E445="○",IF(COUNTA(E$13:E445)=1,"",",")&amp;D445,"")</f>
        <v/>
      </c>
      <c r="AK445" s="4"/>
      <c r="AL445" s="4"/>
      <c r="AM445" s="4"/>
      <c r="AN445" s="4"/>
      <c r="AO445" s="4"/>
      <c r="AP445" s="4"/>
      <c r="AQ445" s="4"/>
      <c r="AR445" s="4"/>
      <c r="AS445" s="76" t="str">
        <f>"COMMENT ON COLUMN "&amp;エンティティ一覧!$O$2&amp;"."&amp;D$8&amp;"."&amp;D445&amp;" IS '"&amp;C445&amp;"';"</f>
        <v>COMMENT ON COLUMN milscm_2023_009.main_diagnosis_start_date.shikkan437_start_date IS 'C911_疾患開始日';</v>
      </c>
    </row>
    <row r="446" spans="1:45" s="25" customFormat="1">
      <c r="A446" s="4" t="s">
        <v>5580</v>
      </c>
      <c r="B446" s="21">
        <f t="shared" si="44"/>
        <v>444</v>
      </c>
      <c r="C446" s="13" t="str">
        <f t="shared" si="52"/>
        <v>C913_疾患開始日</v>
      </c>
      <c r="D446" s="13" t="s">
        <v>6098</v>
      </c>
      <c r="E446" s="8"/>
      <c r="F446" s="7" t="s">
        <v>4348</v>
      </c>
      <c r="G446" s="7" t="s">
        <v>25</v>
      </c>
      <c r="H446" s="58"/>
      <c r="I446" s="23"/>
      <c r="J446" s="24"/>
      <c r="M446" s="4"/>
      <c r="N446" s="76"/>
      <c r="O446" s="76"/>
      <c r="P446" s="76" t="str">
        <f t="shared" si="45"/>
        <v>,shikkan438_start_date</v>
      </c>
      <c r="Q446" s="76" t="str">
        <f t="shared" si="46"/>
        <v>DATE</v>
      </c>
      <c r="R446" s="76" t="str">
        <f t="shared" si="47"/>
        <v/>
      </c>
      <c r="S446" s="76" t="str">
        <f t="shared" si="48"/>
        <v/>
      </c>
      <c r="T446" s="76" t="str">
        <f t="shared" si="49"/>
        <v>-- C913_疾患開始日</v>
      </c>
      <c r="U446" s="4" t="str">
        <f t="shared" si="50"/>
        <v>,'shikkan438_start_date'</v>
      </c>
      <c r="V446" s="25" t="str">
        <f t="shared" si="51"/>
        <v>,'shikkan438_start_date' : 'C913_疾患開始日'</v>
      </c>
      <c r="X446" s="25">
        <v>1</v>
      </c>
      <c r="AA446" s="4"/>
      <c r="AB446" s="4"/>
      <c r="AC446" s="4"/>
      <c r="AD446" s="4"/>
      <c r="AE446" s="4"/>
      <c r="AF446" s="4"/>
      <c r="AG446" s="4"/>
      <c r="AH446" s="4"/>
      <c r="AI446" s="4"/>
      <c r="AJ446" s="76" t="str">
        <f>IF(E446="○",IF(COUNTA(E$13:E446)=1,"",",")&amp;D446,"")</f>
        <v/>
      </c>
      <c r="AK446" s="4"/>
      <c r="AL446" s="4"/>
      <c r="AM446" s="4"/>
      <c r="AN446" s="4"/>
      <c r="AO446" s="4"/>
      <c r="AP446" s="4"/>
      <c r="AQ446" s="4"/>
      <c r="AR446" s="4"/>
      <c r="AS446" s="76" t="str">
        <f>"COMMENT ON COLUMN "&amp;エンティティ一覧!$O$2&amp;"."&amp;D$8&amp;"."&amp;D446&amp;" IS '"&amp;C446&amp;"';"</f>
        <v>COMMENT ON COLUMN milscm_2023_009.main_diagnosis_start_date.shikkan438_start_date IS 'C913_疾患開始日';</v>
      </c>
    </row>
    <row r="447" spans="1:45" s="25" customFormat="1">
      <c r="A447" s="4" t="s">
        <v>5581</v>
      </c>
      <c r="B447" s="21">
        <f t="shared" si="44"/>
        <v>445</v>
      </c>
      <c r="C447" s="13" t="str">
        <f t="shared" si="52"/>
        <v>C914_疾患開始日</v>
      </c>
      <c r="D447" s="13" t="s">
        <v>6099</v>
      </c>
      <c r="E447" s="8"/>
      <c r="F447" s="7" t="s">
        <v>4348</v>
      </c>
      <c r="G447" s="7" t="s">
        <v>25</v>
      </c>
      <c r="H447" s="58"/>
      <c r="I447" s="23"/>
      <c r="J447" s="24"/>
      <c r="M447" s="4"/>
      <c r="N447" s="76"/>
      <c r="O447" s="76"/>
      <c r="P447" s="76" t="str">
        <f t="shared" si="45"/>
        <v>,shikkan439_start_date</v>
      </c>
      <c r="Q447" s="76" t="str">
        <f t="shared" si="46"/>
        <v>DATE</v>
      </c>
      <c r="R447" s="76" t="str">
        <f t="shared" si="47"/>
        <v/>
      </c>
      <c r="S447" s="76" t="str">
        <f t="shared" si="48"/>
        <v/>
      </c>
      <c r="T447" s="76" t="str">
        <f t="shared" si="49"/>
        <v>-- C914_疾患開始日</v>
      </c>
      <c r="U447" s="4" t="str">
        <f t="shared" si="50"/>
        <v>,'shikkan439_start_date'</v>
      </c>
      <c r="V447" s="25" t="str">
        <f t="shared" si="51"/>
        <v>,'shikkan439_start_date' : 'C914_疾患開始日'</v>
      </c>
      <c r="X447" s="25">
        <v>1</v>
      </c>
      <c r="AA447" s="4"/>
      <c r="AB447" s="4"/>
      <c r="AC447" s="4"/>
      <c r="AD447" s="4"/>
      <c r="AE447" s="4"/>
      <c r="AF447" s="4"/>
      <c r="AG447" s="4"/>
      <c r="AH447" s="4"/>
      <c r="AI447" s="4"/>
      <c r="AJ447" s="76" t="str">
        <f>IF(E447="○",IF(COUNTA(E$13:E447)=1,"",",")&amp;D447,"")</f>
        <v/>
      </c>
      <c r="AK447" s="4"/>
      <c r="AL447" s="4"/>
      <c r="AM447" s="4"/>
      <c r="AN447" s="4"/>
      <c r="AO447" s="4"/>
      <c r="AP447" s="4"/>
      <c r="AQ447" s="4"/>
      <c r="AR447" s="4"/>
      <c r="AS447" s="76" t="str">
        <f>"COMMENT ON COLUMN "&amp;エンティティ一覧!$O$2&amp;"."&amp;D$8&amp;"."&amp;D447&amp;" IS '"&amp;C447&amp;"';"</f>
        <v>COMMENT ON COLUMN milscm_2023_009.main_diagnosis_start_date.shikkan439_start_date IS 'C914_疾患開始日';</v>
      </c>
    </row>
    <row r="448" spans="1:45" s="25" customFormat="1">
      <c r="A448" s="4" t="s">
        <v>5582</v>
      </c>
      <c r="B448" s="21">
        <f t="shared" si="44"/>
        <v>446</v>
      </c>
      <c r="C448" s="13" t="str">
        <f t="shared" si="52"/>
        <v>C915_疾患開始日</v>
      </c>
      <c r="D448" s="13" t="s">
        <v>6100</v>
      </c>
      <c r="E448" s="8"/>
      <c r="F448" s="7" t="s">
        <v>4348</v>
      </c>
      <c r="G448" s="7" t="s">
        <v>25</v>
      </c>
      <c r="H448" s="58"/>
      <c r="I448" s="23"/>
      <c r="J448" s="24"/>
      <c r="M448" s="4"/>
      <c r="N448" s="76"/>
      <c r="O448" s="76"/>
      <c r="P448" s="76" t="str">
        <f t="shared" si="45"/>
        <v>,shikkan440_start_date</v>
      </c>
      <c r="Q448" s="76" t="str">
        <f t="shared" si="46"/>
        <v>DATE</v>
      </c>
      <c r="R448" s="76" t="str">
        <f t="shared" si="47"/>
        <v/>
      </c>
      <c r="S448" s="76" t="str">
        <f t="shared" si="48"/>
        <v/>
      </c>
      <c r="T448" s="76" t="str">
        <f t="shared" si="49"/>
        <v>-- C915_疾患開始日</v>
      </c>
      <c r="U448" s="4" t="str">
        <f t="shared" si="50"/>
        <v>,'shikkan440_start_date'</v>
      </c>
      <c r="V448" s="25" t="str">
        <f t="shared" si="51"/>
        <v>,'shikkan440_start_date' : 'C915_疾患開始日'</v>
      </c>
      <c r="X448" s="25">
        <v>1</v>
      </c>
      <c r="AA448" s="4"/>
      <c r="AB448" s="4"/>
      <c r="AC448" s="4"/>
      <c r="AD448" s="4"/>
      <c r="AE448" s="4"/>
      <c r="AF448" s="4"/>
      <c r="AG448" s="4"/>
      <c r="AH448" s="4"/>
      <c r="AI448" s="4"/>
      <c r="AJ448" s="76" t="str">
        <f>IF(E448="○",IF(COUNTA(E$13:E448)=1,"",",")&amp;D448,"")</f>
        <v/>
      </c>
      <c r="AK448" s="4"/>
      <c r="AL448" s="4"/>
      <c r="AM448" s="4"/>
      <c r="AN448" s="4"/>
      <c r="AO448" s="4"/>
      <c r="AP448" s="4"/>
      <c r="AQ448" s="4"/>
      <c r="AR448" s="4"/>
      <c r="AS448" s="76" t="str">
        <f>"COMMENT ON COLUMN "&amp;エンティティ一覧!$O$2&amp;"."&amp;D$8&amp;"."&amp;D448&amp;" IS '"&amp;C448&amp;"';"</f>
        <v>COMMENT ON COLUMN milscm_2023_009.main_diagnosis_start_date.shikkan440_start_date IS 'C915_疾患開始日';</v>
      </c>
    </row>
    <row r="449" spans="1:45" s="25" customFormat="1">
      <c r="A449" s="4" t="s">
        <v>5583</v>
      </c>
      <c r="B449" s="21">
        <f t="shared" si="44"/>
        <v>447</v>
      </c>
      <c r="C449" s="13" t="str">
        <f t="shared" si="52"/>
        <v>C916_疾患開始日</v>
      </c>
      <c r="D449" s="13" t="s">
        <v>6101</v>
      </c>
      <c r="E449" s="8"/>
      <c r="F449" s="7" t="s">
        <v>4348</v>
      </c>
      <c r="G449" s="7" t="s">
        <v>25</v>
      </c>
      <c r="H449" s="58"/>
      <c r="I449" s="23"/>
      <c r="J449" s="24"/>
      <c r="M449" s="4"/>
      <c r="N449" s="76"/>
      <c r="O449" s="76"/>
      <c r="P449" s="76" t="str">
        <f t="shared" si="45"/>
        <v>,shikkan441_start_date</v>
      </c>
      <c r="Q449" s="76" t="str">
        <f t="shared" si="46"/>
        <v>DATE</v>
      </c>
      <c r="R449" s="76" t="str">
        <f t="shared" si="47"/>
        <v/>
      </c>
      <c r="S449" s="76" t="str">
        <f t="shared" si="48"/>
        <v/>
      </c>
      <c r="T449" s="76" t="str">
        <f t="shared" si="49"/>
        <v>-- C916_疾患開始日</v>
      </c>
      <c r="U449" s="4" t="str">
        <f t="shared" si="50"/>
        <v>,'shikkan441_start_date'</v>
      </c>
      <c r="V449" s="25" t="str">
        <f t="shared" si="51"/>
        <v>,'shikkan441_start_date' : 'C916_疾患開始日'</v>
      </c>
      <c r="X449" s="25">
        <v>1</v>
      </c>
      <c r="AA449" s="4"/>
      <c r="AB449" s="4"/>
      <c r="AC449" s="4"/>
      <c r="AD449" s="4"/>
      <c r="AE449" s="4"/>
      <c r="AF449" s="4"/>
      <c r="AG449" s="4"/>
      <c r="AH449" s="4"/>
      <c r="AI449" s="4"/>
      <c r="AJ449" s="76" t="str">
        <f>IF(E449="○",IF(COUNTA(E$13:E449)=1,"",",")&amp;D449,"")</f>
        <v/>
      </c>
      <c r="AK449" s="4"/>
      <c r="AL449" s="4"/>
      <c r="AM449" s="4"/>
      <c r="AN449" s="4"/>
      <c r="AO449" s="4"/>
      <c r="AP449" s="4"/>
      <c r="AQ449" s="4"/>
      <c r="AR449" s="4"/>
      <c r="AS449" s="76" t="str">
        <f>"COMMENT ON COLUMN "&amp;エンティティ一覧!$O$2&amp;"."&amp;D$8&amp;"."&amp;D449&amp;" IS '"&amp;C449&amp;"';"</f>
        <v>COMMENT ON COLUMN milscm_2023_009.main_diagnosis_start_date.shikkan441_start_date IS 'C916_疾患開始日';</v>
      </c>
    </row>
    <row r="450" spans="1:45" s="25" customFormat="1">
      <c r="A450" s="4" t="s">
        <v>5584</v>
      </c>
      <c r="B450" s="21">
        <f t="shared" si="44"/>
        <v>448</v>
      </c>
      <c r="C450" s="13" t="str">
        <f t="shared" si="52"/>
        <v>C917_疾患開始日</v>
      </c>
      <c r="D450" s="13" t="s">
        <v>6102</v>
      </c>
      <c r="E450" s="8"/>
      <c r="F450" s="7" t="s">
        <v>4348</v>
      </c>
      <c r="G450" s="7" t="s">
        <v>25</v>
      </c>
      <c r="H450" s="58"/>
      <c r="I450" s="23"/>
      <c r="J450" s="24"/>
      <c r="M450" s="4"/>
      <c r="N450" s="76"/>
      <c r="O450" s="76"/>
      <c r="P450" s="76" t="str">
        <f t="shared" si="45"/>
        <v>,shikkan442_start_date</v>
      </c>
      <c r="Q450" s="76" t="str">
        <f t="shared" si="46"/>
        <v>DATE</v>
      </c>
      <c r="R450" s="76" t="str">
        <f t="shared" si="47"/>
        <v/>
      </c>
      <c r="S450" s="76" t="str">
        <f t="shared" si="48"/>
        <v/>
      </c>
      <c r="T450" s="76" t="str">
        <f t="shared" si="49"/>
        <v>-- C917_疾患開始日</v>
      </c>
      <c r="U450" s="4" t="str">
        <f t="shared" si="50"/>
        <v>,'shikkan442_start_date'</v>
      </c>
      <c r="V450" s="25" t="str">
        <f t="shared" si="51"/>
        <v>,'shikkan442_start_date' : 'C917_疾患開始日'</v>
      </c>
      <c r="X450" s="25">
        <v>1</v>
      </c>
      <c r="AA450" s="4"/>
      <c r="AB450" s="4"/>
      <c r="AC450" s="4"/>
      <c r="AD450" s="4"/>
      <c r="AE450" s="4"/>
      <c r="AF450" s="4"/>
      <c r="AG450" s="4"/>
      <c r="AH450" s="4"/>
      <c r="AI450" s="4"/>
      <c r="AJ450" s="76" t="str">
        <f>IF(E450="○",IF(COUNTA(E$13:E450)=1,"",",")&amp;D450,"")</f>
        <v/>
      </c>
      <c r="AK450" s="4"/>
      <c r="AL450" s="4"/>
      <c r="AM450" s="4"/>
      <c r="AN450" s="4"/>
      <c r="AO450" s="4"/>
      <c r="AP450" s="4"/>
      <c r="AQ450" s="4"/>
      <c r="AR450" s="4"/>
      <c r="AS450" s="76" t="str">
        <f>"COMMENT ON COLUMN "&amp;エンティティ一覧!$O$2&amp;"."&amp;D$8&amp;"."&amp;D450&amp;" IS '"&amp;C450&amp;"';"</f>
        <v>COMMENT ON COLUMN milscm_2023_009.main_diagnosis_start_date.shikkan442_start_date IS 'C917_疾患開始日';</v>
      </c>
    </row>
    <row r="451" spans="1:45" s="25" customFormat="1">
      <c r="A451" s="4" t="s">
        <v>5585</v>
      </c>
      <c r="B451" s="21">
        <f t="shared" si="44"/>
        <v>449</v>
      </c>
      <c r="C451" s="13" t="str">
        <f t="shared" si="52"/>
        <v>C918_疾患開始日</v>
      </c>
      <c r="D451" s="13" t="s">
        <v>6103</v>
      </c>
      <c r="E451" s="8"/>
      <c r="F451" s="7" t="s">
        <v>4348</v>
      </c>
      <c r="G451" s="7" t="s">
        <v>25</v>
      </c>
      <c r="H451" s="58"/>
      <c r="I451" s="23"/>
      <c r="J451" s="24"/>
      <c r="M451" s="4"/>
      <c r="N451" s="76"/>
      <c r="O451" s="76"/>
      <c r="P451" s="76" t="str">
        <f t="shared" si="45"/>
        <v>,shikkan443_start_date</v>
      </c>
      <c r="Q451" s="76" t="str">
        <f t="shared" si="46"/>
        <v>DATE</v>
      </c>
      <c r="R451" s="76" t="str">
        <f t="shared" si="47"/>
        <v/>
      </c>
      <c r="S451" s="76" t="str">
        <f t="shared" si="48"/>
        <v/>
      </c>
      <c r="T451" s="76" t="str">
        <f t="shared" si="49"/>
        <v>-- C918_疾患開始日</v>
      </c>
      <c r="U451" s="4" t="str">
        <f t="shared" si="50"/>
        <v>,'shikkan443_start_date'</v>
      </c>
      <c r="V451" s="25" t="str">
        <f t="shared" si="51"/>
        <v>,'shikkan443_start_date' : 'C918_疾患開始日'</v>
      </c>
      <c r="X451" s="25">
        <v>1</v>
      </c>
      <c r="AA451" s="4"/>
      <c r="AB451" s="4"/>
      <c r="AC451" s="4"/>
      <c r="AD451" s="4"/>
      <c r="AE451" s="4"/>
      <c r="AF451" s="4"/>
      <c r="AG451" s="4"/>
      <c r="AH451" s="4"/>
      <c r="AI451" s="4"/>
      <c r="AJ451" s="76" t="str">
        <f>IF(E451="○",IF(COUNTA(E$13:E451)=1,"",",")&amp;D451,"")</f>
        <v/>
      </c>
      <c r="AK451" s="4"/>
      <c r="AL451" s="4"/>
      <c r="AM451" s="4"/>
      <c r="AN451" s="4"/>
      <c r="AO451" s="4"/>
      <c r="AP451" s="4"/>
      <c r="AQ451" s="4"/>
      <c r="AR451" s="4"/>
      <c r="AS451" s="76" t="str">
        <f>"COMMENT ON COLUMN "&amp;エンティティ一覧!$O$2&amp;"."&amp;D$8&amp;"."&amp;D451&amp;" IS '"&amp;C451&amp;"';"</f>
        <v>COMMENT ON COLUMN milscm_2023_009.main_diagnosis_start_date.shikkan443_start_date IS 'C918_疾患開始日';</v>
      </c>
    </row>
    <row r="452" spans="1:45" s="25" customFormat="1">
      <c r="A452" s="4" t="s">
        <v>5586</v>
      </c>
      <c r="B452" s="21">
        <f t="shared" ref="B452:B515" si="53">ROW()-2</f>
        <v>450</v>
      </c>
      <c r="C452" s="13" t="str">
        <f t="shared" si="52"/>
        <v>C919_疾患開始日</v>
      </c>
      <c r="D452" s="13" t="s">
        <v>6104</v>
      </c>
      <c r="E452" s="8"/>
      <c r="F452" s="7" t="s">
        <v>4348</v>
      </c>
      <c r="G452" s="7" t="s">
        <v>25</v>
      </c>
      <c r="H452" s="58"/>
      <c r="I452" s="23"/>
      <c r="J452" s="24"/>
      <c r="M452" s="4"/>
      <c r="N452" s="76"/>
      <c r="O452" s="76"/>
      <c r="P452" s="76" t="str">
        <f t="shared" si="45"/>
        <v>,shikkan444_start_date</v>
      </c>
      <c r="Q452" s="76" t="str">
        <f t="shared" si="46"/>
        <v>DATE</v>
      </c>
      <c r="R452" s="76" t="str">
        <f t="shared" si="47"/>
        <v/>
      </c>
      <c r="S452" s="76" t="str">
        <f t="shared" si="48"/>
        <v/>
      </c>
      <c r="T452" s="76" t="str">
        <f t="shared" si="49"/>
        <v>-- C919_疾患開始日</v>
      </c>
      <c r="U452" s="4" t="str">
        <f t="shared" si="50"/>
        <v>,'shikkan444_start_date'</v>
      </c>
      <c r="V452" s="25" t="str">
        <f t="shared" si="51"/>
        <v>,'shikkan444_start_date' : 'C919_疾患開始日'</v>
      </c>
      <c r="X452" s="25">
        <v>1</v>
      </c>
      <c r="AA452" s="4"/>
      <c r="AB452" s="4"/>
      <c r="AC452" s="4"/>
      <c r="AD452" s="4"/>
      <c r="AE452" s="4"/>
      <c r="AF452" s="4"/>
      <c r="AG452" s="4"/>
      <c r="AH452" s="4"/>
      <c r="AI452" s="4"/>
      <c r="AJ452" s="76" t="str">
        <f>IF(E452="○",IF(COUNTA(E$13:E452)=1,"",",")&amp;D452,"")</f>
        <v/>
      </c>
      <c r="AK452" s="4"/>
      <c r="AL452" s="4"/>
      <c r="AM452" s="4"/>
      <c r="AN452" s="4"/>
      <c r="AO452" s="4"/>
      <c r="AP452" s="4"/>
      <c r="AQ452" s="4"/>
      <c r="AR452" s="4"/>
      <c r="AS452" s="76" t="str">
        <f>"COMMENT ON COLUMN "&amp;エンティティ一覧!$O$2&amp;"."&amp;D$8&amp;"."&amp;D452&amp;" IS '"&amp;C452&amp;"';"</f>
        <v>COMMENT ON COLUMN milscm_2023_009.main_diagnosis_start_date.shikkan444_start_date IS 'C919_疾患開始日';</v>
      </c>
    </row>
    <row r="453" spans="1:45" s="25" customFormat="1">
      <c r="A453" s="4" t="s">
        <v>5587</v>
      </c>
      <c r="B453" s="21">
        <f t="shared" si="53"/>
        <v>451</v>
      </c>
      <c r="C453" s="13" t="str">
        <f t="shared" si="52"/>
        <v>C920_疾患開始日</v>
      </c>
      <c r="D453" s="13" t="s">
        <v>6105</v>
      </c>
      <c r="E453" s="8"/>
      <c r="F453" s="7" t="s">
        <v>4348</v>
      </c>
      <c r="G453" s="7" t="s">
        <v>25</v>
      </c>
      <c r="H453" s="58"/>
      <c r="I453" s="23"/>
      <c r="J453" s="24"/>
      <c r="M453" s="4"/>
      <c r="N453" s="76"/>
      <c r="O453" s="76"/>
      <c r="P453" s="76" t="str">
        <f t="shared" si="45"/>
        <v>,shikkan445_start_date</v>
      </c>
      <c r="Q453" s="76" t="str">
        <f t="shared" si="46"/>
        <v>DATE</v>
      </c>
      <c r="R453" s="76" t="str">
        <f t="shared" si="47"/>
        <v/>
      </c>
      <c r="S453" s="76" t="str">
        <f t="shared" si="48"/>
        <v/>
      </c>
      <c r="T453" s="76" t="str">
        <f t="shared" si="49"/>
        <v>-- C920_疾患開始日</v>
      </c>
      <c r="U453" s="4" t="str">
        <f t="shared" si="50"/>
        <v>,'shikkan445_start_date'</v>
      </c>
      <c r="V453" s="25" t="str">
        <f t="shared" si="51"/>
        <v>,'shikkan445_start_date' : 'C920_疾患開始日'</v>
      </c>
      <c r="X453" s="25">
        <v>1</v>
      </c>
      <c r="AA453" s="4"/>
      <c r="AB453" s="4"/>
      <c r="AC453" s="4"/>
      <c r="AD453" s="4"/>
      <c r="AE453" s="4"/>
      <c r="AF453" s="4"/>
      <c r="AG453" s="4"/>
      <c r="AH453" s="4"/>
      <c r="AI453" s="4"/>
      <c r="AJ453" s="76" t="str">
        <f>IF(E453="○",IF(COUNTA(E$13:E453)=1,"",",")&amp;D453,"")</f>
        <v/>
      </c>
      <c r="AK453" s="4"/>
      <c r="AL453" s="4"/>
      <c r="AM453" s="4"/>
      <c r="AN453" s="4"/>
      <c r="AO453" s="4"/>
      <c r="AP453" s="4"/>
      <c r="AQ453" s="4"/>
      <c r="AR453" s="4"/>
      <c r="AS453" s="76" t="str">
        <f>"COMMENT ON COLUMN "&amp;エンティティ一覧!$O$2&amp;"."&amp;D$8&amp;"."&amp;D453&amp;" IS '"&amp;C453&amp;"';"</f>
        <v>COMMENT ON COLUMN milscm_2023_009.main_diagnosis_start_date.shikkan445_start_date IS 'C920_疾患開始日';</v>
      </c>
    </row>
    <row r="454" spans="1:45" s="25" customFormat="1">
      <c r="A454" s="4" t="s">
        <v>5588</v>
      </c>
      <c r="B454" s="21">
        <f t="shared" si="53"/>
        <v>452</v>
      </c>
      <c r="C454" s="13" t="str">
        <f t="shared" si="52"/>
        <v>C921_疾患開始日</v>
      </c>
      <c r="D454" s="13" t="s">
        <v>6106</v>
      </c>
      <c r="E454" s="8"/>
      <c r="F454" s="7" t="s">
        <v>4348</v>
      </c>
      <c r="G454" s="7" t="s">
        <v>25</v>
      </c>
      <c r="H454" s="58"/>
      <c r="I454" s="23"/>
      <c r="J454" s="24"/>
      <c r="M454" s="4"/>
      <c r="N454" s="76"/>
      <c r="O454" s="76"/>
      <c r="P454" s="76" t="str">
        <f t="shared" si="45"/>
        <v>,shikkan446_start_date</v>
      </c>
      <c r="Q454" s="76" t="str">
        <f t="shared" si="46"/>
        <v>DATE</v>
      </c>
      <c r="R454" s="76" t="str">
        <f t="shared" si="47"/>
        <v/>
      </c>
      <c r="S454" s="76" t="str">
        <f t="shared" si="48"/>
        <v/>
      </c>
      <c r="T454" s="76" t="str">
        <f t="shared" si="49"/>
        <v>-- C921_疾患開始日</v>
      </c>
      <c r="U454" s="4" t="str">
        <f t="shared" si="50"/>
        <v>,'shikkan446_start_date'</v>
      </c>
      <c r="V454" s="25" t="str">
        <f t="shared" si="51"/>
        <v>,'shikkan446_start_date' : 'C921_疾患開始日'</v>
      </c>
      <c r="X454" s="25">
        <v>1</v>
      </c>
      <c r="AA454" s="4"/>
      <c r="AB454" s="4"/>
      <c r="AC454" s="4"/>
      <c r="AD454" s="4"/>
      <c r="AE454" s="4"/>
      <c r="AF454" s="4"/>
      <c r="AG454" s="4"/>
      <c r="AH454" s="4"/>
      <c r="AI454" s="4"/>
      <c r="AJ454" s="76" t="str">
        <f>IF(E454="○",IF(COUNTA(E$13:E454)=1,"",",")&amp;D454,"")</f>
        <v/>
      </c>
      <c r="AK454" s="4"/>
      <c r="AL454" s="4"/>
      <c r="AM454" s="4"/>
      <c r="AN454" s="4"/>
      <c r="AO454" s="4"/>
      <c r="AP454" s="4"/>
      <c r="AQ454" s="4"/>
      <c r="AR454" s="4"/>
      <c r="AS454" s="76" t="str">
        <f>"COMMENT ON COLUMN "&amp;エンティティ一覧!$O$2&amp;"."&amp;D$8&amp;"."&amp;D454&amp;" IS '"&amp;C454&amp;"';"</f>
        <v>COMMENT ON COLUMN milscm_2023_009.main_diagnosis_start_date.shikkan446_start_date IS 'C921_疾患開始日';</v>
      </c>
    </row>
    <row r="455" spans="1:45" s="25" customFormat="1">
      <c r="A455" s="4" t="s">
        <v>5589</v>
      </c>
      <c r="B455" s="21">
        <f t="shared" si="53"/>
        <v>453</v>
      </c>
      <c r="C455" s="13" t="str">
        <f t="shared" si="52"/>
        <v>C922_疾患開始日</v>
      </c>
      <c r="D455" s="13" t="s">
        <v>6107</v>
      </c>
      <c r="E455" s="8"/>
      <c r="F455" s="7" t="s">
        <v>4348</v>
      </c>
      <c r="G455" s="7" t="s">
        <v>25</v>
      </c>
      <c r="H455" s="58"/>
      <c r="I455" s="23"/>
      <c r="J455" s="24"/>
      <c r="M455" s="4"/>
      <c r="N455" s="76"/>
      <c r="O455" s="76"/>
      <c r="P455" s="76" t="str">
        <f t="shared" si="45"/>
        <v>,shikkan447_start_date</v>
      </c>
      <c r="Q455" s="76" t="str">
        <f t="shared" si="46"/>
        <v>DATE</v>
      </c>
      <c r="R455" s="76" t="str">
        <f t="shared" si="47"/>
        <v/>
      </c>
      <c r="S455" s="76" t="str">
        <f t="shared" si="48"/>
        <v/>
      </c>
      <c r="T455" s="76" t="str">
        <f t="shared" si="49"/>
        <v>-- C922_疾患開始日</v>
      </c>
      <c r="U455" s="4" t="str">
        <f t="shared" si="50"/>
        <v>,'shikkan447_start_date'</v>
      </c>
      <c r="V455" s="25" t="str">
        <f t="shared" si="51"/>
        <v>,'shikkan447_start_date' : 'C922_疾患開始日'</v>
      </c>
      <c r="X455" s="25">
        <v>1</v>
      </c>
      <c r="AA455" s="4"/>
      <c r="AB455" s="4"/>
      <c r="AC455" s="4"/>
      <c r="AD455" s="4"/>
      <c r="AE455" s="4"/>
      <c r="AF455" s="4"/>
      <c r="AG455" s="4"/>
      <c r="AH455" s="4"/>
      <c r="AI455" s="4"/>
      <c r="AJ455" s="76" t="str">
        <f>IF(E455="○",IF(COUNTA(E$13:E455)=1,"",",")&amp;D455,"")</f>
        <v/>
      </c>
      <c r="AK455" s="4"/>
      <c r="AL455" s="4"/>
      <c r="AM455" s="4"/>
      <c r="AN455" s="4"/>
      <c r="AO455" s="4"/>
      <c r="AP455" s="4"/>
      <c r="AQ455" s="4"/>
      <c r="AR455" s="4"/>
      <c r="AS455" s="76" t="str">
        <f>"COMMENT ON COLUMN "&amp;エンティティ一覧!$O$2&amp;"."&amp;D$8&amp;"."&amp;D455&amp;" IS '"&amp;C455&amp;"';"</f>
        <v>COMMENT ON COLUMN milscm_2023_009.main_diagnosis_start_date.shikkan447_start_date IS 'C922_疾患開始日';</v>
      </c>
    </row>
    <row r="456" spans="1:45" s="25" customFormat="1">
      <c r="A456" s="4" t="s">
        <v>5590</v>
      </c>
      <c r="B456" s="21">
        <f t="shared" si="53"/>
        <v>454</v>
      </c>
      <c r="C456" s="13" t="str">
        <f t="shared" si="52"/>
        <v>C923_疾患開始日</v>
      </c>
      <c r="D456" s="13" t="s">
        <v>6108</v>
      </c>
      <c r="E456" s="8"/>
      <c r="F456" s="7" t="s">
        <v>4348</v>
      </c>
      <c r="G456" s="7" t="s">
        <v>99</v>
      </c>
      <c r="H456" s="58"/>
      <c r="I456" s="23"/>
      <c r="J456" s="24"/>
      <c r="M456" s="4"/>
      <c r="N456" s="76"/>
      <c r="O456" s="76"/>
      <c r="P456" s="76" t="str">
        <f t="shared" ref="P456:P519" si="54">IF(B456&lt;&gt;1,","&amp;D456,D456)</f>
        <v>,shikkan448_start_date</v>
      </c>
      <c r="Q456" s="76" t="str">
        <f t="shared" ref="Q456:Q519" si="55">UPPER(G456)</f>
        <v>DATE</v>
      </c>
      <c r="R456" s="76" t="str">
        <f t="shared" ref="R456:R519" si="56">IF(H456&lt;&gt;"","default "&amp;IF(G456="text","'"&amp;H456&amp;"'",H456),"")</f>
        <v/>
      </c>
      <c r="S456" s="76" t="str">
        <f t="shared" ref="S456:S519" si="57">IF(I456="○","NOT NULL","")</f>
        <v/>
      </c>
      <c r="T456" s="76" t="str">
        <f t="shared" ref="T456:T519" si="58">"-- "&amp;C456</f>
        <v>-- C923_疾患開始日</v>
      </c>
      <c r="U456" s="4" t="str">
        <f t="shared" si="50"/>
        <v>,'shikkan448_start_date'</v>
      </c>
      <c r="V456" s="25" t="str">
        <f t="shared" si="51"/>
        <v>,'shikkan448_start_date' : 'C923_疾患開始日'</v>
      </c>
      <c r="X456" s="25">
        <v>1</v>
      </c>
      <c r="AA456" s="4"/>
      <c r="AB456" s="4"/>
      <c r="AC456" s="4"/>
      <c r="AD456" s="4"/>
      <c r="AE456" s="4"/>
      <c r="AF456" s="4"/>
      <c r="AG456" s="4"/>
      <c r="AH456" s="4"/>
      <c r="AI456" s="4"/>
      <c r="AJ456" s="76" t="str">
        <f>IF(E456="○",IF(COUNTA(E$13:E456)=1,"",",")&amp;D456,"")</f>
        <v/>
      </c>
      <c r="AK456" s="4"/>
      <c r="AL456" s="4"/>
      <c r="AM456" s="4"/>
      <c r="AN456" s="4"/>
      <c r="AO456" s="4"/>
      <c r="AP456" s="4"/>
      <c r="AQ456" s="4"/>
      <c r="AR456" s="4"/>
      <c r="AS456" s="76" t="str">
        <f>"COMMENT ON COLUMN "&amp;エンティティ一覧!$O$2&amp;"."&amp;D$8&amp;"."&amp;D456&amp;" IS '"&amp;C456&amp;"';"</f>
        <v>COMMENT ON COLUMN milscm_2023_009.main_diagnosis_start_date.shikkan448_start_date IS 'C923_疾患開始日';</v>
      </c>
    </row>
    <row r="457" spans="1:45" s="25" customFormat="1">
      <c r="A457" s="4" t="s">
        <v>5591</v>
      </c>
      <c r="B457" s="21">
        <f t="shared" si="53"/>
        <v>455</v>
      </c>
      <c r="C457" s="13" t="str">
        <f t="shared" si="52"/>
        <v>C924_疾患開始日</v>
      </c>
      <c r="D457" s="13" t="s">
        <v>6109</v>
      </c>
      <c r="E457" s="8"/>
      <c r="F457" s="7" t="s">
        <v>4348</v>
      </c>
      <c r="G457" s="7" t="s">
        <v>25</v>
      </c>
      <c r="H457" s="58"/>
      <c r="I457" s="23"/>
      <c r="J457" s="24"/>
      <c r="M457" s="4"/>
      <c r="N457" s="76"/>
      <c r="O457" s="76"/>
      <c r="P457" s="76" t="str">
        <f t="shared" si="54"/>
        <v>,shikkan449_start_date</v>
      </c>
      <c r="Q457" s="76" t="str">
        <f t="shared" si="55"/>
        <v>DATE</v>
      </c>
      <c r="R457" s="76" t="str">
        <f t="shared" si="56"/>
        <v/>
      </c>
      <c r="S457" s="76" t="str">
        <f t="shared" si="57"/>
        <v/>
      </c>
      <c r="T457" s="76" t="str">
        <f t="shared" si="58"/>
        <v>-- C924_疾患開始日</v>
      </c>
      <c r="U457" s="4" t="str">
        <f t="shared" ref="U457:U520" si="59">IF(B457&lt;&gt;1,",","")&amp;"'"&amp;D457&amp;"'"</f>
        <v>,'shikkan449_start_date'</v>
      </c>
      <c r="V457" s="25" t="str">
        <f t="shared" ref="V457:V520" si="60">U457&amp;" : '"&amp;C457&amp;"'"</f>
        <v>,'shikkan449_start_date' : 'C924_疾患開始日'</v>
      </c>
      <c r="X457" s="25">
        <v>1</v>
      </c>
      <c r="AA457" s="4"/>
      <c r="AB457" s="4"/>
      <c r="AC457" s="4"/>
      <c r="AD457" s="4"/>
      <c r="AE457" s="4"/>
      <c r="AF457" s="4"/>
      <c r="AG457" s="4"/>
      <c r="AH457" s="4"/>
      <c r="AI457" s="4"/>
      <c r="AJ457" s="76" t="str">
        <f>IF(E457="○",IF(COUNTA(E$13:E457)=1,"",",")&amp;D457,"")</f>
        <v/>
      </c>
      <c r="AK457" s="4"/>
      <c r="AL457" s="4"/>
      <c r="AM457" s="4"/>
      <c r="AN457" s="4"/>
      <c r="AO457" s="4"/>
      <c r="AP457" s="4"/>
      <c r="AQ457" s="4"/>
      <c r="AR457" s="4"/>
      <c r="AS457" s="76" t="str">
        <f>"COMMENT ON COLUMN "&amp;エンティティ一覧!$O$2&amp;"."&amp;D$8&amp;"."&amp;D457&amp;" IS '"&amp;C457&amp;"';"</f>
        <v>COMMENT ON COLUMN milscm_2023_009.main_diagnosis_start_date.shikkan449_start_date IS 'C924_疾患開始日';</v>
      </c>
    </row>
    <row r="458" spans="1:45" s="25" customFormat="1">
      <c r="A458" s="4" t="s">
        <v>5592</v>
      </c>
      <c r="B458" s="21">
        <f t="shared" si="53"/>
        <v>456</v>
      </c>
      <c r="C458" s="13" t="str">
        <f t="shared" ref="C458:C521" si="61">A458&amp;"_疾患開始日"</f>
        <v>C925_疾患開始日</v>
      </c>
      <c r="D458" s="13" t="s">
        <v>6110</v>
      </c>
      <c r="E458" s="8"/>
      <c r="F458" s="7" t="s">
        <v>4348</v>
      </c>
      <c r="G458" s="7" t="s">
        <v>25</v>
      </c>
      <c r="H458" s="58"/>
      <c r="I458" s="23"/>
      <c r="J458" s="24"/>
      <c r="M458" s="4"/>
      <c r="N458" s="76"/>
      <c r="O458" s="76"/>
      <c r="P458" s="76" t="str">
        <f t="shared" si="54"/>
        <v>,shikkan450_start_date</v>
      </c>
      <c r="Q458" s="76" t="str">
        <f t="shared" si="55"/>
        <v>DATE</v>
      </c>
      <c r="R458" s="76" t="str">
        <f t="shared" si="56"/>
        <v/>
      </c>
      <c r="S458" s="76" t="str">
        <f t="shared" si="57"/>
        <v/>
      </c>
      <c r="T458" s="76" t="str">
        <f t="shared" si="58"/>
        <v>-- C925_疾患開始日</v>
      </c>
      <c r="U458" s="4" t="str">
        <f t="shared" si="59"/>
        <v>,'shikkan450_start_date'</v>
      </c>
      <c r="V458" s="25" t="str">
        <f t="shared" si="60"/>
        <v>,'shikkan450_start_date' : 'C925_疾患開始日'</v>
      </c>
      <c r="X458" s="25">
        <v>1</v>
      </c>
      <c r="AA458" s="4"/>
      <c r="AB458" s="4"/>
      <c r="AC458" s="4"/>
      <c r="AD458" s="4"/>
      <c r="AE458" s="4"/>
      <c r="AF458" s="4"/>
      <c r="AG458" s="4"/>
      <c r="AH458" s="4"/>
      <c r="AI458" s="4"/>
      <c r="AJ458" s="76" t="str">
        <f>IF(E458="○",IF(COUNTA(E$13:E458)=1,"",",")&amp;D458,"")</f>
        <v/>
      </c>
      <c r="AK458" s="4"/>
      <c r="AL458" s="4"/>
      <c r="AM458" s="4"/>
      <c r="AN458" s="4"/>
      <c r="AO458" s="4"/>
      <c r="AP458" s="4"/>
      <c r="AQ458" s="4"/>
      <c r="AR458" s="4"/>
      <c r="AS458" s="76" t="str">
        <f>"COMMENT ON COLUMN "&amp;エンティティ一覧!$O$2&amp;"."&amp;D$8&amp;"."&amp;D458&amp;" IS '"&amp;C458&amp;"';"</f>
        <v>COMMENT ON COLUMN milscm_2023_009.main_diagnosis_start_date.shikkan450_start_date IS 'C925_疾患開始日';</v>
      </c>
    </row>
    <row r="459" spans="1:45" s="25" customFormat="1">
      <c r="A459" s="4" t="s">
        <v>5593</v>
      </c>
      <c r="B459" s="21">
        <f t="shared" si="53"/>
        <v>457</v>
      </c>
      <c r="C459" s="13" t="str">
        <f t="shared" si="61"/>
        <v>C926_疾患開始日</v>
      </c>
      <c r="D459" s="13" t="s">
        <v>6111</v>
      </c>
      <c r="E459" s="8"/>
      <c r="F459" s="7" t="s">
        <v>4348</v>
      </c>
      <c r="G459" s="7" t="s">
        <v>25</v>
      </c>
      <c r="H459" s="58"/>
      <c r="I459" s="23"/>
      <c r="J459" s="24"/>
      <c r="M459" s="4"/>
      <c r="N459" s="76"/>
      <c r="O459" s="76"/>
      <c r="P459" s="76" t="str">
        <f t="shared" si="54"/>
        <v>,shikkan451_start_date</v>
      </c>
      <c r="Q459" s="76" t="str">
        <f t="shared" si="55"/>
        <v>DATE</v>
      </c>
      <c r="R459" s="76" t="str">
        <f t="shared" si="56"/>
        <v/>
      </c>
      <c r="S459" s="76" t="str">
        <f t="shared" si="57"/>
        <v/>
      </c>
      <c r="T459" s="76" t="str">
        <f t="shared" si="58"/>
        <v>-- C926_疾患開始日</v>
      </c>
      <c r="U459" s="4" t="str">
        <f t="shared" si="59"/>
        <v>,'shikkan451_start_date'</v>
      </c>
      <c r="V459" s="25" t="str">
        <f t="shared" si="60"/>
        <v>,'shikkan451_start_date' : 'C926_疾患開始日'</v>
      </c>
      <c r="X459" s="25">
        <v>1</v>
      </c>
      <c r="AA459" s="4"/>
      <c r="AB459" s="4"/>
      <c r="AC459" s="4"/>
      <c r="AD459" s="4"/>
      <c r="AE459" s="4"/>
      <c r="AF459" s="4"/>
      <c r="AG459" s="4"/>
      <c r="AH459" s="4"/>
      <c r="AI459" s="4"/>
      <c r="AJ459" s="76" t="str">
        <f>IF(E459="○",IF(COUNTA(E$13:E459)=1,"",",")&amp;D459,"")</f>
        <v/>
      </c>
      <c r="AK459" s="4"/>
      <c r="AL459" s="4"/>
      <c r="AM459" s="4"/>
      <c r="AN459" s="4"/>
      <c r="AO459" s="4"/>
      <c r="AP459" s="4"/>
      <c r="AQ459" s="4"/>
      <c r="AR459" s="4"/>
      <c r="AS459" s="76" t="str">
        <f>"COMMENT ON COLUMN "&amp;エンティティ一覧!$O$2&amp;"."&amp;D$8&amp;"."&amp;D459&amp;" IS '"&amp;C459&amp;"';"</f>
        <v>COMMENT ON COLUMN milscm_2023_009.main_diagnosis_start_date.shikkan451_start_date IS 'C926_疾患開始日';</v>
      </c>
    </row>
    <row r="460" spans="1:45" s="25" customFormat="1">
      <c r="A460" s="4" t="s">
        <v>5594</v>
      </c>
      <c r="B460" s="21">
        <f t="shared" si="53"/>
        <v>458</v>
      </c>
      <c r="C460" s="13" t="str">
        <f t="shared" si="61"/>
        <v>C927_疾患開始日</v>
      </c>
      <c r="D460" s="13" t="s">
        <v>6112</v>
      </c>
      <c r="E460" s="8"/>
      <c r="F460" s="7" t="s">
        <v>4348</v>
      </c>
      <c r="G460" s="7" t="s">
        <v>25</v>
      </c>
      <c r="H460" s="58"/>
      <c r="I460" s="23"/>
      <c r="J460" s="24"/>
      <c r="M460" s="4"/>
      <c r="N460" s="76"/>
      <c r="O460" s="76"/>
      <c r="P460" s="76" t="str">
        <f t="shared" si="54"/>
        <v>,shikkan452_start_date</v>
      </c>
      <c r="Q460" s="76" t="str">
        <f t="shared" si="55"/>
        <v>DATE</v>
      </c>
      <c r="R460" s="76" t="str">
        <f t="shared" si="56"/>
        <v/>
      </c>
      <c r="S460" s="76" t="str">
        <f t="shared" si="57"/>
        <v/>
      </c>
      <c r="T460" s="76" t="str">
        <f t="shared" si="58"/>
        <v>-- C927_疾患開始日</v>
      </c>
      <c r="U460" s="4" t="str">
        <f t="shared" si="59"/>
        <v>,'shikkan452_start_date'</v>
      </c>
      <c r="V460" s="25" t="str">
        <f t="shared" si="60"/>
        <v>,'shikkan452_start_date' : 'C927_疾患開始日'</v>
      </c>
      <c r="X460" s="25">
        <v>1</v>
      </c>
      <c r="AA460" s="4"/>
      <c r="AB460" s="4"/>
      <c r="AC460" s="4"/>
      <c r="AD460" s="4"/>
      <c r="AE460" s="4"/>
      <c r="AF460" s="4"/>
      <c r="AG460" s="4"/>
      <c r="AH460" s="4"/>
      <c r="AI460" s="4"/>
      <c r="AJ460" s="76" t="str">
        <f>IF(E460="○",IF(COUNTA(E$13:E460)=1,"",",")&amp;D460,"")</f>
        <v/>
      </c>
      <c r="AK460" s="4"/>
      <c r="AL460" s="4"/>
      <c r="AM460" s="4"/>
      <c r="AN460" s="4"/>
      <c r="AO460" s="4"/>
      <c r="AP460" s="4"/>
      <c r="AQ460" s="4"/>
      <c r="AR460" s="4"/>
      <c r="AS460" s="76" t="str">
        <f>"COMMENT ON COLUMN "&amp;エンティティ一覧!$O$2&amp;"."&amp;D$8&amp;"."&amp;D460&amp;" IS '"&amp;C460&amp;"';"</f>
        <v>COMMENT ON COLUMN milscm_2023_009.main_diagnosis_start_date.shikkan452_start_date IS 'C927_疾患開始日';</v>
      </c>
    </row>
    <row r="461" spans="1:45" s="25" customFormat="1">
      <c r="A461" s="4" t="s">
        <v>5595</v>
      </c>
      <c r="B461" s="21">
        <f t="shared" si="53"/>
        <v>459</v>
      </c>
      <c r="C461" s="13" t="str">
        <f t="shared" si="61"/>
        <v>C928_疾患開始日</v>
      </c>
      <c r="D461" s="13" t="s">
        <v>6113</v>
      </c>
      <c r="E461" s="8"/>
      <c r="F461" s="7" t="s">
        <v>4348</v>
      </c>
      <c r="G461" s="7" t="s">
        <v>25</v>
      </c>
      <c r="H461" s="58"/>
      <c r="I461" s="23"/>
      <c r="J461" s="24"/>
      <c r="M461" s="4"/>
      <c r="N461" s="76"/>
      <c r="O461" s="76"/>
      <c r="P461" s="76" t="str">
        <f t="shared" si="54"/>
        <v>,shikkan453_start_date</v>
      </c>
      <c r="Q461" s="76" t="str">
        <f t="shared" si="55"/>
        <v>DATE</v>
      </c>
      <c r="R461" s="76" t="str">
        <f t="shared" si="56"/>
        <v/>
      </c>
      <c r="S461" s="76" t="str">
        <f t="shared" si="57"/>
        <v/>
      </c>
      <c r="T461" s="76" t="str">
        <f t="shared" si="58"/>
        <v>-- C928_疾患開始日</v>
      </c>
      <c r="U461" s="4" t="str">
        <f t="shared" si="59"/>
        <v>,'shikkan453_start_date'</v>
      </c>
      <c r="V461" s="25" t="str">
        <f t="shared" si="60"/>
        <v>,'shikkan453_start_date' : 'C928_疾患開始日'</v>
      </c>
      <c r="X461" s="25">
        <v>1</v>
      </c>
      <c r="AA461" s="4"/>
      <c r="AB461" s="4"/>
      <c r="AC461" s="4"/>
      <c r="AD461" s="4"/>
      <c r="AE461" s="4"/>
      <c r="AF461" s="4"/>
      <c r="AG461" s="4"/>
      <c r="AH461" s="4"/>
      <c r="AI461" s="4"/>
      <c r="AJ461" s="76" t="str">
        <f>IF(E461="○",IF(COUNTA(E$13:E461)=1,"",",")&amp;D461,"")</f>
        <v/>
      </c>
      <c r="AK461" s="4"/>
      <c r="AL461" s="4"/>
      <c r="AM461" s="4"/>
      <c r="AN461" s="4"/>
      <c r="AO461" s="4"/>
      <c r="AP461" s="4"/>
      <c r="AQ461" s="4"/>
      <c r="AR461" s="4"/>
      <c r="AS461" s="76" t="str">
        <f>"COMMENT ON COLUMN "&amp;エンティティ一覧!$O$2&amp;"."&amp;D$8&amp;"."&amp;D461&amp;" IS '"&amp;C461&amp;"';"</f>
        <v>COMMENT ON COLUMN milscm_2023_009.main_diagnosis_start_date.shikkan453_start_date IS 'C928_疾患開始日';</v>
      </c>
    </row>
    <row r="462" spans="1:45" s="25" customFormat="1">
      <c r="A462" s="4" t="s">
        <v>5596</v>
      </c>
      <c r="B462" s="21">
        <f t="shared" si="53"/>
        <v>460</v>
      </c>
      <c r="C462" s="13" t="str">
        <f t="shared" si="61"/>
        <v>C929_疾患開始日</v>
      </c>
      <c r="D462" s="13" t="s">
        <v>6114</v>
      </c>
      <c r="E462" s="8"/>
      <c r="F462" s="7" t="s">
        <v>4348</v>
      </c>
      <c r="G462" s="7" t="s">
        <v>25</v>
      </c>
      <c r="H462" s="58"/>
      <c r="I462" s="23"/>
      <c r="J462" s="24"/>
      <c r="M462" s="4"/>
      <c r="N462" s="76"/>
      <c r="O462" s="76"/>
      <c r="P462" s="76" t="str">
        <f t="shared" si="54"/>
        <v>,shikkan454_start_date</v>
      </c>
      <c r="Q462" s="76" t="str">
        <f t="shared" si="55"/>
        <v>DATE</v>
      </c>
      <c r="R462" s="76" t="str">
        <f t="shared" si="56"/>
        <v/>
      </c>
      <c r="S462" s="76" t="str">
        <f t="shared" si="57"/>
        <v/>
      </c>
      <c r="T462" s="76" t="str">
        <f t="shared" si="58"/>
        <v>-- C929_疾患開始日</v>
      </c>
      <c r="U462" s="4" t="str">
        <f t="shared" si="59"/>
        <v>,'shikkan454_start_date'</v>
      </c>
      <c r="V462" s="25" t="str">
        <f t="shared" si="60"/>
        <v>,'shikkan454_start_date' : 'C929_疾患開始日'</v>
      </c>
      <c r="X462" s="25">
        <v>1</v>
      </c>
      <c r="AA462" s="4"/>
      <c r="AB462" s="4"/>
      <c r="AC462" s="4"/>
      <c r="AD462" s="4"/>
      <c r="AE462" s="4"/>
      <c r="AF462" s="4"/>
      <c r="AG462" s="4"/>
      <c r="AH462" s="4"/>
      <c r="AI462" s="4"/>
      <c r="AJ462" s="76" t="str">
        <f>IF(E462="○",IF(COUNTA(E$13:E462)=1,"",",")&amp;D462,"")</f>
        <v/>
      </c>
      <c r="AK462" s="4"/>
      <c r="AL462" s="4"/>
      <c r="AM462" s="4"/>
      <c r="AN462" s="4"/>
      <c r="AO462" s="4"/>
      <c r="AP462" s="4"/>
      <c r="AQ462" s="4"/>
      <c r="AR462" s="4"/>
      <c r="AS462" s="76" t="str">
        <f>"COMMENT ON COLUMN "&amp;エンティティ一覧!$O$2&amp;"."&amp;D$8&amp;"."&amp;D462&amp;" IS '"&amp;C462&amp;"';"</f>
        <v>COMMENT ON COLUMN milscm_2023_009.main_diagnosis_start_date.shikkan454_start_date IS 'C929_疾患開始日';</v>
      </c>
    </row>
    <row r="463" spans="1:45" s="25" customFormat="1">
      <c r="A463" s="4" t="s">
        <v>5597</v>
      </c>
      <c r="B463" s="21">
        <f t="shared" si="53"/>
        <v>461</v>
      </c>
      <c r="C463" s="13" t="str">
        <f t="shared" si="61"/>
        <v>C930_疾患開始日</v>
      </c>
      <c r="D463" s="13" t="s">
        <v>6115</v>
      </c>
      <c r="E463" s="8"/>
      <c r="F463" s="7" t="s">
        <v>4348</v>
      </c>
      <c r="G463" s="7" t="s">
        <v>25</v>
      </c>
      <c r="H463" s="58"/>
      <c r="I463" s="23"/>
      <c r="J463" s="24"/>
      <c r="M463" s="4"/>
      <c r="N463" s="76"/>
      <c r="O463" s="76"/>
      <c r="P463" s="76" t="str">
        <f t="shared" si="54"/>
        <v>,shikkan455_start_date</v>
      </c>
      <c r="Q463" s="76" t="str">
        <f t="shared" si="55"/>
        <v>DATE</v>
      </c>
      <c r="R463" s="76" t="str">
        <f t="shared" si="56"/>
        <v/>
      </c>
      <c r="S463" s="76" t="str">
        <f t="shared" si="57"/>
        <v/>
      </c>
      <c r="T463" s="76" t="str">
        <f t="shared" si="58"/>
        <v>-- C930_疾患開始日</v>
      </c>
      <c r="U463" s="4" t="str">
        <f t="shared" si="59"/>
        <v>,'shikkan455_start_date'</v>
      </c>
      <c r="V463" s="25" t="str">
        <f t="shared" si="60"/>
        <v>,'shikkan455_start_date' : 'C930_疾患開始日'</v>
      </c>
      <c r="X463" s="25">
        <v>1</v>
      </c>
      <c r="AA463" s="4"/>
      <c r="AB463" s="4"/>
      <c r="AC463" s="4"/>
      <c r="AD463" s="4"/>
      <c r="AE463" s="4"/>
      <c r="AF463" s="4"/>
      <c r="AG463" s="4"/>
      <c r="AH463" s="4"/>
      <c r="AI463" s="4"/>
      <c r="AJ463" s="76" t="str">
        <f>IF(E463="○",IF(COUNTA(E$13:E463)=1,"",",")&amp;D463,"")</f>
        <v/>
      </c>
      <c r="AK463" s="4"/>
      <c r="AL463" s="4"/>
      <c r="AM463" s="4"/>
      <c r="AN463" s="4"/>
      <c r="AO463" s="4"/>
      <c r="AP463" s="4"/>
      <c r="AQ463" s="4"/>
      <c r="AR463" s="4"/>
      <c r="AS463" s="76" t="str">
        <f>"COMMENT ON COLUMN "&amp;エンティティ一覧!$O$2&amp;"."&amp;D$8&amp;"."&amp;D463&amp;" IS '"&amp;C463&amp;"';"</f>
        <v>COMMENT ON COLUMN milscm_2023_009.main_diagnosis_start_date.shikkan455_start_date IS 'C930_疾患開始日';</v>
      </c>
    </row>
    <row r="464" spans="1:45" s="25" customFormat="1">
      <c r="A464" s="4" t="s">
        <v>5598</v>
      </c>
      <c r="B464" s="21">
        <f t="shared" si="53"/>
        <v>462</v>
      </c>
      <c r="C464" s="13" t="str">
        <f t="shared" si="61"/>
        <v>C931_疾患開始日</v>
      </c>
      <c r="D464" s="13" t="s">
        <v>6116</v>
      </c>
      <c r="E464" s="8"/>
      <c r="F464" s="7" t="s">
        <v>4348</v>
      </c>
      <c r="G464" s="7" t="s">
        <v>25</v>
      </c>
      <c r="H464" s="58"/>
      <c r="I464" s="23"/>
      <c r="J464" s="24"/>
      <c r="M464" s="4"/>
      <c r="N464" s="76"/>
      <c r="O464" s="76"/>
      <c r="P464" s="76" t="str">
        <f t="shared" si="54"/>
        <v>,shikkan456_start_date</v>
      </c>
      <c r="Q464" s="76" t="str">
        <f t="shared" si="55"/>
        <v>DATE</v>
      </c>
      <c r="R464" s="76" t="str">
        <f t="shared" si="56"/>
        <v/>
      </c>
      <c r="S464" s="76" t="str">
        <f t="shared" si="57"/>
        <v/>
      </c>
      <c r="T464" s="76" t="str">
        <f t="shared" si="58"/>
        <v>-- C931_疾患開始日</v>
      </c>
      <c r="U464" s="4" t="str">
        <f t="shared" si="59"/>
        <v>,'shikkan456_start_date'</v>
      </c>
      <c r="V464" s="25" t="str">
        <f t="shared" si="60"/>
        <v>,'shikkan456_start_date' : 'C931_疾患開始日'</v>
      </c>
      <c r="X464" s="25">
        <v>1</v>
      </c>
      <c r="AA464" s="4"/>
      <c r="AB464" s="4"/>
      <c r="AC464" s="4"/>
      <c r="AD464" s="4"/>
      <c r="AE464" s="4"/>
      <c r="AF464" s="4"/>
      <c r="AG464" s="4"/>
      <c r="AH464" s="4"/>
      <c r="AI464" s="4"/>
      <c r="AJ464" s="76" t="str">
        <f>IF(E464="○",IF(COUNTA(E$13:E464)=1,"",",")&amp;D464,"")</f>
        <v/>
      </c>
      <c r="AK464" s="4"/>
      <c r="AL464" s="4"/>
      <c r="AM464" s="4"/>
      <c r="AN464" s="4"/>
      <c r="AO464" s="4"/>
      <c r="AP464" s="4"/>
      <c r="AQ464" s="4"/>
      <c r="AR464" s="4"/>
      <c r="AS464" s="76" t="str">
        <f>"COMMENT ON COLUMN "&amp;エンティティ一覧!$O$2&amp;"."&amp;D$8&amp;"."&amp;D464&amp;" IS '"&amp;C464&amp;"';"</f>
        <v>COMMENT ON COLUMN milscm_2023_009.main_diagnosis_start_date.shikkan456_start_date IS 'C931_疾患開始日';</v>
      </c>
    </row>
    <row r="465" spans="1:45" s="25" customFormat="1">
      <c r="A465" s="4" t="s">
        <v>5599</v>
      </c>
      <c r="B465" s="21">
        <f t="shared" si="53"/>
        <v>463</v>
      </c>
      <c r="C465" s="13" t="str">
        <f t="shared" si="61"/>
        <v>C933_疾患開始日</v>
      </c>
      <c r="D465" s="13" t="s">
        <v>6117</v>
      </c>
      <c r="E465" s="8"/>
      <c r="F465" s="7" t="s">
        <v>4348</v>
      </c>
      <c r="G465" s="7" t="s">
        <v>25</v>
      </c>
      <c r="H465" s="58"/>
      <c r="I465" s="23"/>
      <c r="J465" s="24"/>
      <c r="M465" s="4"/>
      <c r="N465" s="76"/>
      <c r="O465" s="76"/>
      <c r="P465" s="76" t="str">
        <f t="shared" si="54"/>
        <v>,shikkan457_start_date</v>
      </c>
      <c r="Q465" s="76" t="str">
        <f t="shared" si="55"/>
        <v>DATE</v>
      </c>
      <c r="R465" s="76" t="str">
        <f t="shared" si="56"/>
        <v/>
      </c>
      <c r="S465" s="76" t="str">
        <f t="shared" si="57"/>
        <v/>
      </c>
      <c r="T465" s="76" t="str">
        <f t="shared" si="58"/>
        <v>-- C933_疾患開始日</v>
      </c>
      <c r="U465" s="4" t="str">
        <f t="shared" si="59"/>
        <v>,'shikkan457_start_date'</v>
      </c>
      <c r="V465" s="25" t="str">
        <f t="shared" si="60"/>
        <v>,'shikkan457_start_date' : 'C933_疾患開始日'</v>
      </c>
      <c r="X465" s="25">
        <v>1</v>
      </c>
      <c r="AA465" s="4"/>
      <c r="AB465" s="4"/>
      <c r="AC465" s="4"/>
      <c r="AD465" s="4"/>
      <c r="AE465" s="4"/>
      <c r="AF465" s="4"/>
      <c r="AG465" s="4"/>
      <c r="AH465" s="4"/>
      <c r="AI465" s="4"/>
      <c r="AJ465" s="76" t="str">
        <f>IF(E465="○",IF(COUNTA(E$13:E465)=1,"",",")&amp;D465,"")</f>
        <v/>
      </c>
      <c r="AK465" s="4"/>
      <c r="AL465" s="4"/>
      <c r="AM465" s="4"/>
      <c r="AN465" s="4"/>
      <c r="AO465" s="4"/>
      <c r="AP465" s="4"/>
      <c r="AQ465" s="4"/>
      <c r="AR465" s="4"/>
      <c r="AS465" s="76" t="str">
        <f>"COMMENT ON COLUMN "&amp;エンティティ一覧!$O$2&amp;"."&amp;D$8&amp;"."&amp;D465&amp;" IS '"&amp;C465&amp;"';"</f>
        <v>COMMENT ON COLUMN milscm_2023_009.main_diagnosis_start_date.shikkan457_start_date IS 'C933_疾患開始日';</v>
      </c>
    </row>
    <row r="466" spans="1:45" s="25" customFormat="1">
      <c r="A466" s="4" t="s">
        <v>5600</v>
      </c>
      <c r="B466" s="21">
        <f t="shared" si="53"/>
        <v>464</v>
      </c>
      <c r="C466" s="13" t="str">
        <f t="shared" si="61"/>
        <v>C937_疾患開始日</v>
      </c>
      <c r="D466" s="13" t="s">
        <v>6118</v>
      </c>
      <c r="E466" s="8"/>
      <c r="F466" s="7" t="s">
        <v>4348</v>
      </c>
      <c r="G466" s="7" t="s">
        <v>25</v>
      </c>
      <c r="H466" s="58"/>
      <c r="I466" s="23"/>
      <c r="J466" s="24"/>
      <c r="M466" s="4"/>
      <c r="N466" s="76"/>
      <c r="O466" s="76"/>
      <c r="P466" s="76" t="str">
        <f t="shared" si="54"/>
        <v>,shikkan458_start_date</v>
      </c>
      <c r="Q466" s="76" t="str">
        <f t="shared" si="55"/>
        <v>DATE</v>
      </c>
      <c r="R466" s="76" t="str">
        <f t="shared" si="56"/>
        <v/>
      </c>
      <c r="S466" s="76" t="str">
        <f t="shared" si="57"/>
        <v/>
      </c>
      <c r="T466" s="76" t="str">
        <f t="shared" si="58"/>
        <v>-- C937_疾患開始日</v>
      </c>
      <c r="U466" s="4" t="str">
        <f t="shared" si="59"/>
        <v>,'shikkan458_start_date'</v>
      </c>
      <c r="V466" s="25" t="str">
        <f t="shared" si="60"/>
        <v>,'shikkan458_start_date' : 'C937_疾患開始日'</v>
      </c>
      <c r="X466" s="25">
        <v>1</v>
      </c>
      <c r="AA466" s="4"/>
      <c r="AB466" s="4"/>
      <c r="AC466" s="4"/>
      <c r="AD466" s="4"/>
      <c r="AE466" s="4"/>
      <c r="AF466" s="4"/>
      <c r="AG466" s="4"/>
      <c r="AH466" s="4"/>
      <c r="AI466" s="4"/>
      <c r="AJ466" s="76" t="str">
        <f>IF(E466="○",IF(COUNTA(E$13:E466)=1,"",",")&amp;D466,"")</f>
        <v/>
      </c>
      <c r="AK466" s="4"/>
      <c r="AL466" s="4"/>
      <c r="AM466" s="4"/>
      <c r="AN466" s="4"/>
      <c r="AO466" s="4"/>
      <c r="AP466" s="4"/>
      <c r="AQ466" s="4"/>
      <c r="AR466" s="4"/>
      <c r="AS466" s="76" t="str">
        <f>"COMMENT ON COLUMN "&amp;エンティティ一覧!$O$2&amp;"."&amp;D$8&amp;"."&amp;D466&amp;" IS '"&amp;C466&amp;"';"</f>
        <v>COMMENT ON COLUMN milscm_2023_009.main_diagnosis_start_date.shikkan458_start_date IS 'C937_疾患開始日';</v>
      </c>
    </row>
    <row r="467" spans="1:45" s="25" customFormat="1">
      <c r="A467" s="4" t="s">
        <v>5601</v>
      </c>
      <c r="B467" s="21">
        <f t="shared" si="53"/>
        <v>465</v>
      </c>
      <c r="C467" s="13" t="str">
        <f t="shared" si="61"/>
        <v>C939_疾患開始日</v>
      </c>
      <c r="D467" s="13" t="s">
        <v>6119</v>
      </c>
      <c r="E467" s="8"/>
      <c r="F467" s="7" t="s">
        <v>4348</v>
      </c>
      <c r="G467" s="7" t="s">
        <v>25</v>
      </c>
      <c r="H467" s="58"/>
      <c r="I467" s="23"/>
      <c r="J467" s="24"/>
      <c r="M467" s="4"/>
      <c r="N467" s="76"/>
      <c r="O467" s="76"/>
      <c r="P467" s="76" t="str">
        <f t="shared" si="54"/>
        <v>,shikkan459_start_date</v>
      </c>
      <c r="Q467" s="76" t="str">
        <f t="shared" si="55"/>
        <v>DATE</v>
      </c>
      <c r="R467" s="76" t="str">
        <f t="shared" si="56"/>
        <v/>
      </c>
      <c r="S467" s="76" t="str">
        <f t="shared" si="57"/>
        <v/>
      </c>
      <c r="T467" s="76" t="str">
        <f t="shared" si="58"/>
        <v>-- C939_疾患開始日</v>
      </c>
      <c r="U467" s="4" t="str">
        <f t="shared" si="59"/>
        <v>,'shikkan459_start_date'</v>
      </c>
      <c r="V467" s="25" t="str">
        <f t="shared" si="60"/>
        <v>,'shikkan459_start_date' : 'C939_疾患開始日'</v>
      </c>
      <c r="X467" s="25">
        <v>1</v>
      </c>
      <c r="AA467" s="4"/>
      <c r="AB467" s="4"/>
      <c r="AC467" s="4"/>
      <c r="AD467" s="4"/>
      <c r="AE467" s="4"/>
      <c r="AF467" s="4"/>
      <c r="AG467" s="4"/>
      <c r="AH467" s="4"/>
      <c r="AI467" s="4"/>
      <c r="AJ467" s="76" t="str">
        <f>IF(E467="○",IF(COUNTA(E$13:E467)=1,"",",")&amp;D467,"")</f>
        <v/>
      </c>
      <c r="AK467" s="4"/>
      <c r="AL467" s="4"/>
      <c r="AM467" s="4"/>
      <c r="AN467" s="4"/>
      <c r="AO467" s="4"/>
      <c r="AP467" s="4"/>
      <c r="AQ467" s="4"/>
      <c r="AR467" s="4"/>
      <c r="AS467" s="76" t="str">
        <f>"COMMENT ON COLUMN "&amp;エンティティ一覧!$O$2&amp;"."&amp;D$8&amp;"."&amp;D467&amp;" IS '"&amp;C467&amp;"';"</f>
        <v>COMMENT ON COLUMN milscm_2023_009.main_diagnosis_start_date.shikkan459_start_date IS 'C939_疾患開始日';</v>
      </c>
    </row>
    <row r="468" spans="1:45" s="25" customFormat="1">
      <c r="A468" s="4" t="s">
        <v>5602</v>
      </c>
      <c r="B468" s="21">
        <f t="shared" si="53"/>
        <v>466</v>
      </c>
      <c r="C468" s="13" t="str">
        <f t="shared" si="61"/>
        <v>C940_疾患開始日</v>
      </c>
      <c r="D468" s="13" t="s">
        <v>6120</v>
      </c>
      <c r="E468" s="8"/>
      <c r="F468" s="7" t="s">
        <v>4348</v>
      </c>
      <c r="G468" s="7" t="s">
        <v>25</v>
      </c>
      <c r="H468" s="58"/>
      <c r="I468" s="23"/>
      <c r="J468" s="24"/>
      <c r="M468" s="4"/>
      <c r="N468" s="76"/>
      <c r="O468" s="76"/>
      <c r="P468" s="76" t="str">
        <f t="shared" si="54"/>
        <v>,shikkan460_start_date</v>
      </c>
      <c r="Q468" s="76" t="str">
        <f t="shared" si="55"/>
        <v>DATE</v>
      </c>
      <c r="R468" s="76" t="str">
        <f t="shared" si="56"/>
        <v/>
      </c>
      <c r="S468" s="76" t="str">
        <f t="shared" si="57"/>
        <v/>
      </c>
      <c r="T468" s="76" t="str">
        <f t="shared" si="58"/>
        <v>-- C940_疾患開始日</v>
      </c>
      <c r="U468" s="4" t="str">
        <f t="shared" si="59"/>
        <v>,'shikkan460_start_date'</v>
      </c>
      <c r="V468" s="25" t="str">
        <f t="shared" si="60"/>
        <v>,'shikkan460_start_date' : 'C940_疾患開始日'</v>
      </c>
      <c r="X468" s="25">
        <v>1</v>
      </c>
      <c r="AA468" s="4"/>
      <c r="AB468" s="4"/>
      <c r="AC468" s="4"/>
      <c r="AD468" s="4"/>
      <c r="AE468" s="4"/>
      <c r="AF468" s="4"/>
      <c r="AG468" s="4"/>
      <c r="AH468" s="4"/>
      <c r="AI468" s="4"/>
      <c r="AJ468" s="76" t="str">
        <f>IF(E468="○",IF(COUNTA(E$13:E468)=1,"",",")&amp;D468,"")</f>
        <v/>
      </c>
      <c r="AK468" s="4"/>
      <c r="AL468" s="4"/>
      <c r="AM468" s="4"/>
      <c r="AN468" s="4"/>
      <c r="AO468" s="4"/>
      <c r="AP468" s="4"/>
      <c r="AQ468" s="4"/>
      <c r="AR468" s="4"/>
      <c r="AS468" s="76" t="str">
        <f>"COMMENT ON COLUMN "&amp;エンティティ一覧!$O$2&amp;"."&amp;D$8&amp;"."&amp;D468&amp;" IS '"&amp;C468&amp;"';"</f>
        <v>COMMENT ON COLUMN milscm_2023_009.main_diagnosis_start_date.shikkan460_start_date IS 'C940_疾患開始日';</v>
      </c>
    </row>
    <row r="469" spans="1:45" s="25" customFormat="1">
      <c r="A469" s="4" t="s">
        <v>5603</v>
      </c>
      <c r="B469" s="21">
        <f t="shared" si="53"/>
        <v>467</v>
      </c>
      <c r="C469" s="13" t="str">
        <f t="shared" si="61"/>
        <v>C942_疾患開始日</v>
      </c>
      <c r="D469" s="13" t="s">
        <v>6121</v>
      </c>
      <c r="E469" s="8"/>
      <c r="F469" s="7" t="s">
        <v>4348</v>
      </c>
      <c r="G469" s="7" t="s">
        <v>25</v>
      </c>
      <c r="H469" s="58"/>
      <c r="I469" s="23"/>
      <c r="J469" s="24"/>
      <c r="M469" s="4"/>
      <c r="N469" s="76"/>
      <c r="O469" s="76"/>
      <c r="P469" s="76" t="str">
        <f t="shared" si="54"/>
        <v>,shikkan461_start_date</v>
      </c>
      <c r="Q469" s="76" t="str">
        <f t="shared" si="55"/>
        <v>DATE</v>
      </c>
      <c r="R469" s="76" t="str">
        <f t="shared" si="56"/>
        <v/>
      </c>
      <c r="S469" s="76" t="str">
        <f t="shared" si="57"/>
        <v/>
      </c>
      <c r="T469" s="76" t="str">
        <f t="shared" si="58"/>
        <v>-- C942_疾患開始日</v>
      </c>
      <c r="U469" s="4" t="str">
        <f t="shared" si="59"/>
        <v>,'shikkan461_start_date'</v>
      </c>
      <c r="V469" s="25" t="str">
        <f t="shared" si="60"/>
        <v>,'shikkan461_start_date' : 'C942_疾患開始日'</v>
      </c>
      <c r="X469" s="25">
        <v>1</v>
      </c>
      <c r="AA469" s="4"/>
      <c r="AB469" s="4"/>
      <c r="AC469" s="4"/>
      <c r="AD469" s="4"/>
      <c r="AE469" s="4"/>
      <c r="AF469" s="4"/>
      <c r="AG469" s="4"/>
      <c r="AH469" s="4"/>
      <c r="AI469" s="4"/>
      <c r="AJ469" s="76" t="str">
        <f>IF(E469="○",IF(COUNTA(E$13:E469)=1,"",",")&amp;D469,"")</f>
        <v/>
      </c>
      <c r="AK469" s="4"/>
      <c r="AL469" s="4"/>
      <c r="AM469" s="4"/>
      <c r="AN469" s="4"/>
      <c r="AO469" s="4"/>
      <c r="AP469" s="4"/>
      <c r="AQ469" s="4"/>
      <c r="AR469" s="4"/>
      <c r="AS469" s="76" t="str">
        <f>"COMMENT ON COLUMN "&amp;エンティティ一覧!$O$2&amp;"."&amp;D$8&amp;"."&amp;D469&amp;" IS '"&amp;C469&amp;"';"</f>
        <v>COMMENT ON COLUMN milscm_2023_009.main_diagnosis_start_date.shikkan461_start_date IS 'C942_疾患開始日';</v>
      </c>
    </row>
    <row r="470" spans="1:45" s="25" customFormat="1">
      <c r="A470" s="4" t="s">
        <v>5604</v>
      </c>
      <c r="B470" s="21">
        <f t="shared" si="53"/>
        <v>468</v>
      </c>
      <c r="C470" s="13" t="str">
        <f t="shared" si="61"/>
        <v>C943_疾患開始日</v>
      </c>
      <c r="D470" s="13" t="s">
        <v>6122</v>
      </c>
      <c r="E470" s="8"/>
      <c r="F470" s="7" t="s">
        <v>4348</v>
      </c>
      <c r="G470" s="7" t="s">
        <v>25</v>
      </c>
      <c r="H470" s="58"/>
      <c r="I470" s="23"/>
      <c r="J470" s="24"/>
      <c r="M470" s="4"/>
      <c r="N470" s="76"/>
      <c r="O470" s="76"/>
      <c r="P470" s="76" t="str">
        <f t="shared" si="54"/>
        <v>,shikkan462_start_date</v>
      </c>
      <c r="Q470" s="76" t="str">
        <f t="shared" si="55"/>
        <v>DATE</v>
      </c>
      <c r="R470" s="76" t="str">
        <f t="shared" si="56"/>
        <v/>
      </c>
      <c r="S470" s="76" t="str">
        <f t="shared" si="57"/>
        <v/>
      </c>
      <c r="T470" s="76" t="str">
        <f t="shared" si="58"/>
        <v>-- C943_疾患開始日</v>
      </c>
      <c r="U470" s="4" t="str">
        <f t="shared" si="59"/>
        <v>,'shikkan462_start_date'</v>
      </c>
      <c r="V470" s="25" t="str">
        <f t="shared" si="60"/>
        <v>,'shikkan462_start_date' : 'C943_疾患開始日'</v>
      </c>
      <c r="X470" s="25">
        <v>1</v>
      </c>
      <c r="AA470" s="4"/>
      <c r="AB470" s="4"/>
      <c r="AC470" s="4"/>
      <c r="AD470" s="4"/>
      <c r="AE470" s="4"/>
      <c r="AF470" s="4"/>
      <c r="AG470" s="4"/>
      <c r="AH470" s="4"/>
      <c r="AI470" s="4"/>
      <c r="AJ470" s="76" t="str">
        <f>IF(E470="○",IF(COUNTA(E$13:E470)=1,"",",")&amp;D470,"")</f>
        <v/>
      </c>
      <c r="AK470" s="4"/>
      <c r="AL470" s="4"/>
      <c r="AM470" s="4"/>
      <c r="AN470" s="4"/>
      <c r="AO470" s="4"/>
      <c r="AP470" s="4"/>
      <c r="AQ470" s="4"/>
      <c r="AR470" s="4"/>
      <c r="AS470" s="76" t="str">
        <f>"COMMENT ON COLUMN "&amp;エンティティ一覧!$O$2&amp;"."&amp;D$8&amp;"."&amp;D470&amp;" IS '"&amp;C470&amp;"';"</f>
        <v>COMMENT ON COLUMN milscm_2023_009.main_diagnosis_start_date.shikkan462_start_date IS 'C943_疾患開始日';</v>
      </c>
    </row>
    <row r="471" spans="1:45" s="25" customFormat="1">
      <c r="A471" s="4" t="s">
        <v>5605</v>
      </c>
      <c r="B471" s="21">
        <f t="shared" si="53"/>
        <v>469</v>
      </c>
      <c r="C471" s="13" t="str">
        <f t="shared" si="61"/>
        <v>C944_疾患開始日</v>
      </c>
      <c r="D471" s="13" t="s">
        <v>6123</v>
      </c>
      <c r="E471" s="8"/>
      <c r="F471" s="7" t="s">
        <v>4348</v>
      </c>
      <c r="G471" s="7" t="s">
        <v>25</v>
      </c>
      <c r="H471" s="58"/>
      <c r="I471" s="23"/>
      <c r="J471" s="24"/>
      <c r="M471" s="4"/>
      <c r="N471" s="76"/>
      <c r="O471" s="76"/>
      <c r="P471" s="76" t="str">
        <f t="shared" si="54"/>
        <v>,shikkan463_start_date</v>
      </c>
      <c r="Q471" s="76" t="str">
        <f t="shared" si="55"/>
        <v>DATE</v>
      </c>
      <c r="R471" s="76" t="str">
        <f t="shared" si="56"/>
        <v/>
      </c>
      <c r="S471" s="76" t="str">
        <f t="shared" si="57"/>
        <v/>
      </c>
      <c r="T471" s="76" t="str">
        <f t="shared" si="58"/>
        <v>-- C944_疾患開始日</v>
      </c>
      <c r="U471" s="4" t="str">
        <f t="shared" si="59"/>
        <v>,'shikkan463_start_date'</v>
      </c>
      <c r="V471" s="25" t="str">
        <f t="shared" si="60"/>
        <v>,'shikkan463_start_date' : 'C944_疾患開始日'</v>
      </c>
      <c r="X471" s="25">
        <v>1</v>
      </c>
      <c r="AA471" s="4"/>
      <c r="AB471" s="4"/>
      <c r="AC471" s="4"/>
      <c r="AD471" s="4"/>
      <c r="AE471" s="4"/>
      <c r="AF471" s="4"/>
      <c r="AG471" s="4"/>
      <c r="AH471" s="4"/>
      <c r="AI471" s="4"/>
      <c r="AJ471" s="76" t="str">
        <f>IF(E471="○",IF(COUNTA(E$13:E471)=1,"",",")&amp;D471,"")</f>
        <v/>
      </c>
      <c r="AK471" s="4"/>
      <c r="AL471" s="4"/>
      <c r="AM471" s="4"/>
      <c r="AN471" s="4"/>
      <c r="AO471" s="4"/>
      <c r="AP471" s="4"/>
      <c r="AQ471" s="4"/>
      <c r="AR471" s="4"/>
      <c r="AS471" s="76" t="str">
        <f>"COMMENT ON COLUMN "&amp;エンティティ一覧!$O$2&amp;"."&amp;D$8&amp;"."&amp;D471&amp;" IS '"&amp;C471&amp;"';"</f>
        <v>COMMENT ON COLUMN milscm_2023_009.main_diagnosis_start_date.shikkan463_start_date IS 'C944_疾患開始日';</v>
      </c>
    </row>
    <row r="472" spans="1:45" s="25" customFormat="1">
      <c r="A472" s="4" t="s">
        <v>5606</v>
      </c>
      <c r="B472" s="21">
        <f t="shared" si="53"/>
        <v>470</v>
      </c>
      <c r="C472" s="13" t="str">
        <f t="shared" si="61"/>
        <v>C946_疾患開始日</v>
      </c>
      <c r="D472" s="13" t="s">
        <v>6124</v>
      </c>
      <c r="E472" s="8"/>
      <c r="F472" s="7" t="s">
        <v>4348</v>
      </c>
      <c r="G472" s="7" t="s">
        <v>99</v>
      </c>
      <c r="H472" s="58"/>
      <c r="I472" s="23"/>
      <c r="J472" s="24"/>
      <c r="M472" s="4"/>
      <c r="N472" s="76"/>
      <c r="O472" s="76"/>
      <c r="P472" s="76" t="str">
        <f t="shared" si="54"/>
        <v>,shikkan464_start_date</v>
      </c>
      <c r="Q472" s="76" t="str">
        <f t="shared" si="55"/>
        <v>DATE</v>
      </c>
      <c r="R472" s="76" t="str">
        <f t="shared" si="56"/>
        <v/>
      </c>
      <c r="S472" s="76" t="str">
        <f t="shared" si="57"/>
        <v/>
      </c>
      <c r="T472" s="76" t="str">
        <f t="shared" si="58"/>
        <v>-- C946_疾患開始日</v>
      </c>
      <c r="U472" s="4" t="str">
        <f t="shared" si="59"/>
        <v>,'shikkan464_start_date'</v>
      </c>
      <c r="V472" s="25" t="str">
        <f t="shared" si="60"/>
        <v>,'shikkan464_start_date' : 'C946_疾患開始日'</v>
      </c>
      <c r="X472" s="25">
        <v>1</v>
      </c>
      <c r="AA472" s="4"/>
      <c r="AB472" s="4"/>
      <c r="AC472" s="4"/>
      <c r="AD472" s="4"/>
      <c r="AE472" s="4"/>
      <c r="AF472" s="4"/>
      <c r="AG472" s="4"/>
      <c r="AH472" s="4"/>
      <c r="AI472" s="4"/>
      <c r="AJ472" s="76" t="str">
        <f>IF(E472="○",IF(COUNTA(E$13:E472)=1,"",",")&amp;D472,"")</f>
        <v/>
      </c>
      <c r="AK472" s="4"/>
      <c r="AL472" s="4"/>
      <c r="AM472" s="4"/>
      <c r="AN472" s="4"/>
      <c r="AO472" s="4"/>
      <c r="AP472" s="4"/>
      <c r="AQ472" s="4"/>
      <c r="AR472" s="4"/>
      <c r="AS472" s="76" t="str">
        <f>"COMMENT ON COLUMN "&amp;エンティティ一覧!$O$2&amp;"."&amp;D$8&amp;"."&amp;D472&amp;" IS '"&amp;C472&amp;"';"</f>
        <v>COMMENT ON COLUMN milscm_2023_009.main_diagnosis_start_date.shikkan464_start_date IS 'C946_疾患開始日';</v>
      </c>
    </row>
    <row r="473" spans="1:45" s="25" customFormat="1">
      <c r="A473" s="4" t="s">
        <v>5607</v>
      </c>
      <c r="B473" s="21">
        <f t="shared" si="53"/>
        <v>471</v>
      </c>
      <c r="C473" s="13" t="str">
        <f t="shared" si="61"/>
        <v>C947_疾患開始日</v>
      </c>
      <c r="D473" s="13" t="s">
        <v>6125</v>
      </c>
      <c r="E473" s="8"/>
      <c r="F473" s="7" t="s">
        <v>4348</v>
      </c>
      <c r="G473" s="7" t="s">
        <v>25</v>
      </c>
      <c r="H473" s="58"/>
      <c r="I473" s="23"/>
      <c r="J473" s="24"/>
      <c r="M473" s="4"/>
      <c r="N473" s="76"/>
      <c r="O473" s="76"/>
      <c r="P473" s="76" t="str">
        <f t="shared" si="54"/>
        <v>,shikkan465_start_date</v>
      </c>
      <c r="Q473" s="76" t="str">
        <f t="shared" si="55"/>
        <v>DATE</v>
      </c>
      <c r="R473" s="76" t="str">
        <f t="shared" si="56"/>
        <v/>
      </c>
      <c r="S473" s="76" t="str">
        <f t="shared" si="57"/>
        <v/>
      </c>
      <c r="T473" s="76" t="str">
        <f t="shared" si="58"/>
        <v>-- C947_疾患開始日</v>
      </c>
      <c r="U473" s="4" t="str">
        <f t="shared" si="59"/>
        <v>,'shikkan465_start_date'</v>
      </c>
      <c r="V473" s="25" t="str">
        <f t="shared" si="60"/>
        <v>,'shikkan465_start_date' : 'C947_疾患開始日'</v>
      </c>
      <c r="X473" s="25">
        <v>1</v>
      </c>
      <c r="AA473" s="4"/>
      <c r="AB473" s="4"/>
      <c r="AC473" s="4"/>
      <c r="AD473" s="4"/>
      <c r="AE473" s="4"/>
      <c r="AF473" s="4"/>
      <c r="AG473" s="4"/>
      <c r="AH473" s="4"/>
      <c r="AI473" s="4"/>
      <c r="AJ473" s="76" t="str">
        <f>IF(E473="○",IF(COUNTA(E$13:E473)=1,"",",")&amp;D473,"")</f>
        <v/>
      </c>
      <c r="AK473" s="4"/>
      <c r="AL473" s="4"/>
      <c r="AM473" s="4"/>
      <c r="AN473" s="4"/>
      <c r="AO473" s="4"/>
      <c r="AP473" s="4"/>
      <c r="AQ473" s="4"/>
      <c r="AR473" s="4"/>
      <c r="AS473" s="76" t="str">
        <f>"COMMENT ON COLUMN "&amp;エンティティ一覧!$O$2&amp;"."&amp;D$8&amp;"."&amp;D473&amp;" IS '"&amp;C473&amp;"';"</f>
        <v>COMMENT ON COLUMN milscm_2023_009.main_diagnosis_start_date.shikkan465_start_date IS 'C947_疾患開始日';</v>
      </c>
    </row>
    <row r="474" spans="1:45" s="25" customFormat="1">
      <c r="A474" s="4" t="s">
        <v>5608</v>
      </c>
      <c r="B474" s="21">
        <f t="shared" si="53"/>
        <v>472</v>
      </c>
      <c r="C474" s="13" t="str">
        <f t="shared" si="61"/>
        <v>C950_疾患開始日</v>
      </c>
      <c r="D474" s="13" t="s">
        <v>6126</v>
      </c>
      <c r="E474" s="8"/>
      <c r="F474" s="7" t="s">
        <v>4348</v>
      </c>
      <c r="G474" s="7" t="s">
        <v>25</v>
      </c>
      <c r="H474" s="58"/>
      <c r="I474" s="23"/>
      <c r="J474" s="24"/>
      <c r="M474" s="4"/>
      <c r="N474" s="76"/>
      <c r="O474" s="76"/>
      <c r="P474" s="76" t="str">
        <f t="shared" si="54"/>
        <v>,shikkan466_start_date</v>
      </c>
      <c r="Q474" s="76" t="str">
        <f t="shared" si="55"/>
        <v>DATE</v>
      </c>
      <c r="R474" s="76" t="str">
        <f t="shared" si="56"/>
        <v/>
      </c>
      <c r="S474" s="76" t="str">
        <f t="shared" si="57"/>
        <v/>
      </c>
      <c r="T474" s="76" t="str">
        <f t="shared" si="58"/>
        <v>-- C950_疾患開始日</v>
      </c>
      <c r="U474" s="4" t="str">
        <f t="shared" si="59"/>
        <v>,'shikkan466_start_date'</v>
      </c>
      <c r="V474" s="25" t="str">
        <f t="shared" si="60"/>
        <v>,'shikkan466_start_date' : 'C950_疾患開始日'</v>
      </c>
      <c r="X474" s="25">
        <v>1</v>
      </c>
      <c r="AA474" s="4"/>
      <c r="AB474" s="4"/>
      <c r="AC474" s="4"/>
      <c r="AD474" s="4"/>
      <c r="AE474" s="4"/>
      <c r="AF474" s="4"/>
      <c r="AG474" s="4"/>
      <c r="AH474" s="4"/>
      <c r="AI474" s="4"/>
      <c r="AJ474" s="76" t="str">
        <f>IF(E474="○",IF(COUNTA(E$13:E474)=1,"",",")&amp;D474,"")</f>
        <v/>
      </c>
      <c r="AK474" s="4"/>
      <c r="AL474" s="4"/>
      <c r="AM474" s="4"/>
      <c r="AN474" s="4"/>
      <c r="AO474" s="4"/>
      <c r="AP474" s="4"/>
      <c r="AQ474" s="4"/>
      <c r="AR474" s="4"/>
      <c r="AS474" s="76" t="str">
        <f>"COMMENT ON COLUMN "&amp;エンティティ一覧!$O$2&amp;"."&amp;D$8&amp;"."&amp;D474&amp;" IS '"&amp;C474&amp;"';"</f>
        <v>COMMENT ON COLUMN milscm_2023_009.main_diagnosis_start_date.shikkan466_start_date IS 'C950_疾患開始日';</v>
      </c>
    </row>
    <row r="475" spans="1:45" s="25" customFormat="1">
      <c r="A475" s="4" t="s">
        <v>5609</v>
      </c>
      <c r="B475" s="21">
        <f t="shared" si="53"/>
        <v>473</v>
      </c>
      <c r="C475" s="13" t="str">
        <f t="shared" si="61"/>
        <v>C951_疾患開始日</v>
      </c>
      <c r="D475" s="13" t="s">
        <v>6127</v>
      </c>
      <c r="E475" s="8"/>
      <c r="F475" s="7" t="s">
        <v>4348</v>
      </c>
      <c r="G475" s="7" t="s">
        <v>25</v>
      </c>
      <c r="H475" s="58"/>
      <c r="I475" s="23"/>
      <c r="J475" s="24"/>
      <c r="M475" s="4"/>
      <c r="N475" s="76"/>
      <c r="O475" s="76"/>
      <c r="P475" s="76" t="str">
        <f t="shared" si="54"/>
        <v>,shikkan467_start_date</v>
      </c>
      <c r="Q475" s="76" t="str">
        <f t="shared" si="55"/>
        <v>DATE</v>
      </c>
      <c r="R475" s="76" t="str">
        <f t="shared" si="56"/>
        <v/>
      </c>
      <c r="S475" s="76" t="str">
        <f t="shared" si="57"/>
        <v/>
      </c>
      <c r="T475" s="76" t="str">
        <f t="shared" si="58"/>
        <v>-- C951_疾患開始日</v>
      </c>
      <c r="U475" s="4" t="str">
        <f t="shared" si="59"/>
        <v>,'shikkan467_start_date'</v>
      </c>
      <c r="V475" s="25" t="str">
        <f t="shared" si="60"/>
        <v>,'shikkan467_start_date' : 'C951_疾患開始日'</v>
      </c>
      <c r="X475" s="25">
        <v>1</v>
      </c>
      <c r="AA475" s="4"/>
      <c r="AB475" s="4"/>
      <c r="AC475" s="4"/>
      <c r="AD475" s="4"/>
      <c r="AE475" s="4"/>
      <c r="AF475" s="4"/>
      <c r="AG475" s="4"/>
      <c r="AH475" s="4"/>
      <c r="AI475" s="4"/>
      <c r="AJ475" s="76" t="str">
        <f>IF(E475="○",IF(COUNTA(E$13:E475)=1,"",",")&amp;D475,"")</f>
        <v/>
      </c>
      <c r="AK475" s="4"/>
      <c r="AL475" s="4"/>
      <c r="AM475" s="4"/>
      <c r="AN475" s="4"/>
      <c r="AO475" s="4"/>
      <c r="AP475" s="4"/>
      <c r="AQ475" s="4"/>
      <c r="AR475" s="4"/>
      <c r="AS475" s="76" t="str">
        <f>"COMMENT ON COLUMN "&amp;エンティティ一覧!$O$2&amp;"."&amp;D$8&amp;"."&amp;D475&amp;" IS '"&amp;C475&amp;"';"</f>
        <v>COMMENT ON COLUMN milscm_2023_009.main_diagnosis_start_date.shikkan467_start_date IS 'C951_疾患開始日';</v>
      </c>
    </row>
    <row r="476" spans="1:45" s="25" customFormat="1">
      <c r="A476" s="4" t="s">
        <v>5610</v>
      </c>
      <c r="B476" s="21">
        <f t="shared" si="53"/>
        <v>474</v>
      </c>
      <c r="C476" s="13" t="str">
        <f t="shared" si="61"/>
        <v>C957_疾患開始日</v>
      </c>
      <c r="D476" s="13" t="s">
        <v>6128</v>
      </c>
      <c r="E476" s="8"/>
      <c r="F476" s="7" t="s">
        <v>4348</v>
      </c>
      <c r="G476" s="7" t="s">
        <v>25</v>
      </c>
      <c r="H476" s="58"/>
      <c r="I476" s="23"/>
      <c r="J476" s="24"/>
      <c r="M476" s="4"/>
      <c r="N476" s="76"/>
      <c r="O476" s="76"/>
      <c r="P476" s="76" t="str">
        <f t="shared" si="54"/>
        <v>,shikkan468_start_date</v>
      </c>
      <c r="Q476" s="76" t="str">
        <f t="shared" si="55"/>
        <v>DATE</v>
      </c>
      <c r="R476" s="76" t="str">
        <f t="shared" si="56"/>
        <v/>
      </c>
      <c r="S476" s="76" t="str">
        <f t="shared" si="57"/>
        <v/>
      </c>
      <c r="T476" s="76" t="str">
        <f t="shared" si="58"/>
        <v>-- C957_疾患開始日</v>
      </c>
      <c r="U476" s="4" t="str">
        <f t="shared" si="59"/>
        <v>,'shikkan468_start_date'</v>
      </c>
      <c r="V476" s="25" t="str">
        <f t="shared" si="60"/>
        <v>,'shikkan468_start_date' : 'C957_疾患開始日'</v>
      </c>
      <c r="X476" s="25">
        <v>1</v>
      </c>
      <c r="AA476" s="4"/>
      <c r="AB476" s="4"/>
      <c r="AC476" s="4"/>
      <c r="AD476" s="4"/>
      <c r="AE476" s="4"/>
      <c r="AF476" s="4"/>
      <c r="AG476" s="4"/>
      <c r="AH476" s="4"/>
      <c r="AI476" s="4"/>
      <c r="AJ476" s="76" t="str">
        <f>IF(E476="○",IF(COUNTA(E$13:E476)=1,"",",")&amp;D476,"")</f>
        <v/>
      </c>
      <c r="AK476" s="4"/>
      <c r="AL476" s="4"/>
      <c r="AM476" s="4"/>
      <c r="AN476" s="4"/>
      <c r="AO476" s="4"/>
      <c r="AP476" s="4"/>
      <c r="AQ476" s="4"/>
      <c r="AR476" s="4"/>
      <c r="AS476" s="76" t="str">
        <f>"COMMENT ON COLUMN "&amp;エンティティ一覧!$O$2&amp;"."&amp;D$8&amp;"."&amp;D476&amp;" IS '"&amp;C476&amp;"';"</f>
        <v>COMMENT ON COLUMN milscm_2023_009.main_diagnosis_start_date.shikkan468_start_date IS 'C957_疾患開始日';</v>
      </c>
    </row>
    <row r="477" spans="1:45" s="25" customFormat="1">
      <c r="A477" s="4" t="s">
        <v>5611</v>
      </c>
      <c r="B477" s="21">
        <f t="shared" si="53"/>
        <v>475</v>
      </c>
      <c r="C477" s="13" t="str">
        <f t="shared" si="61"/>
        <v>C959_疾患開始日</v>
      </c>
      <c r="D477" s="13" t="s">
        <v>6129</v>
      </c>
      <c r="E477" s="8"/>
      <c r="F477" s="7" t="s">
        <v>4348</v>
      </c>
      <c r="G477" s="7" t="s">
        <v>25</v>
      </c>
      <c r="H477" s="58"/>
      <c r="I477" s="23"/>
      <c r="J477" s="24"/>
      <c r="M477" s="4"/>
      <c r="N477" s="76"/>
      <c r="O477" s="76"/>
      <c r="P477" s="76" t="str">
        <f t="shared" si="54"/>
        <v>,shikkan469_start_date</v>
      </c>
      <c r="Q477" s="76" t="str">
        <f t="shared" si="55"/>
        <v>DATE</v>
      </c>
      <c r="R477" s="76" t="str">
        <f t="shared" si="56"/>
        <v/>
      </c>
      <c r="S477" s="76" t="str">
        <f t="shared" si="57"/>
        <v/>
      </c>
      <c r="T477" s="76" t="str">
        <f t="shared" si="58"/>
        <v>-- C959_疾患開始日</v>
      </c>
      <c r="U477" s="4" t="str">
        <f t="shared" si="59"/>
        <v>,'shikkan469_start_date'</v>
      </c>
      <c r="V477" s="25" t="str">
        <f t="shared" si="60"/>
        <v>,'shikkan469_start_date' : 'C959_疾患開始日'</v>
      </c>
      <c r="X477" s="25">
        <v>1</v>
      </c>
      <c r="AA477" s="4"/>
      <c r="AB477" s="4"/>
      <c r="AC477" s="4"/>
      <c r="AD477" s="4"/>
      <c r="AE477" s="4"/>
      <c r="AF477" s="4"/>
      <c r="AG477" s="4"/>
      <c r="AH477" s="4"/>
      <c r="AI477" s="4"/>
      <c r="AJ477" s="76" t="str">
        <f>IF(E477="○",IF(COUNTA(E$13:E477)=1,"",",")&amp;D477,"")</f>
        <v/>
      </c>
      <c r="AK477" s="4"/>
      <c r="AL477" s="4"/>
      <c r="AM477" s="4"/>
      <c r="AN477" s="4"/>
      <c r="AO477" s="4"/>
      <c r="AP477" s="4"/>
      <c r="AQ477" s="4"/>
      <c r="AR477" s="4"/>
      <c r="AS477" s="76" t="str">
        <f>"COMMENT ON COLUMN "&amp;エンティティ一覧!$O$2&amp;"."&amp;D$8&amp;"."&amp;D477&amp;" IS '"&amp;C477&amp;"';"</f>
        <v>COMMENT ON COLUMN milscm_2023_009.main_diagnosis_start_date.shikkan469_start_date IS 'C959_疾患開始日';</v>
      </c>
    </row>
    <row r="478" spans="1:45" s="25" customFormat="1">
      <c r="A478" s="4" t="s">
        <v>5612</v>
      </c>
      <c r="B478" s="21">
        <f t="shared" si="53"/>
        <v>476</v>
      </c>
      <c r="C478" s="13" t="str">
        <f t="shared" si="61"/>
        <v>C960_疾患開始日</v>
      </c>
      <c r="D478" s="13" t="s">
        <v>6130</v>
      </c>
      <c r="E478" s="8"/>
      <c r="F478" s="7" t="s">
        <v>4348</v>
      </c>
      <c r="G478" s="7" t="s">
        <v>25</v>
      </c>
      <c r="H478" s="58"/>
      <c r="I478" s="23"/>
      <c r="J478" s="24"/>
      <c r="M478" s="4"/>
      <c r="N478" s="76"/>
      <c r="O478" s="76"/>
      <c r="P478" s="76" t="str">
        <f t="shared" si="54"/>
        <v>,shikkan470_start_date</v>
      </c>
      <c r="Q478" s="76" t="str">
        <f t="shared" si="55"/>
        <v>DATE</v>
      </c>
      <c r="R478" s="76" t="str">
        <f t="shared" si="56"/>
        <v/>
      </c>
      <c r="S478" s="76" t="str">
        <f t="shared" si="57"/>
        <v/>
      </c>
      <c r="T478" s="76" t="str">
        <f t="shared" si="58"/>
        <v>-- C960_疾患開始日</v>
      </c>
      <c r="U478" s="4" t="str">
        <f t="shared" si="59"/>
        <v>,'shikkan470_start_date'</v>
      </c>
      <c r="V478" s="25" t="str">
        <f t="shared" si="60"/>
        <v>,'shikkan470_start_date' : 'C960_疾患開始日'</v>
      </c>
      <c r="X478" s="25">
        <v>1</v>
      </c>
      <c r="AA478" s="4"/>
      <c r="AB478" s="4"/>
      <c r="AC478" s="4"/>
      <c r="AD478" s="4"/>
      <c r="AE478" s="4"/>
      <c r="AF478" s="4"/>
      <c r="AG478" s="4"/>
      <c r="AH478" s="4"/>
      <c r="AI478" s="4"/>
      <c r="AJ478" s="76" t="str">
        <f>IF(E478="○",IF(COUNTA(E$13:E478)=1,"",",")&amp;D478,"")</f>
        <v/>
      </c>
      <c r="AK478" s="4"/>
      <c r="AL478" s="4"/>
      <c r="AM478" s="4"/>
      <c r="AN478" s="4"/>
      <c r="AO478" s="4"/>
      <c r="AP478" s="4"/>
      <c r="AQ478" s="4"/>
      <c r="AR478" s="4"/>
      <c r="AS478" s="76" t="str">
        <f>"COMMENT ON COLUMN "&amp;エンティティ一覧!$O$2&amp;"."&amp;D$8&amp;"."&amp;D478&amp;" IS '"&amp;C478&amp;"';"</f>
        <v>COMMENT ON COLUMN milscm_2023_009.main_diagnosis_start_date.shikkan470_start_date IS 'C960_疾患開始日';</v>
      </c>
    </row>
    <row r="479" spans="1:45" s="25" customFormat="1">
      <c r="A479" s="4" t="s">
        <v>5613</v>
      </c>
      <c r="B479" s="21">
        <f t="shared" si="53"/>
        <v>477</v>
      </c>
      <c r="C479" s="13" t="str">
        <f t="shared" si="61"/>
        <v>C962_疾患開始日</v>
      </c>
      <c r="D479" s="13" t="s">
        <v>6131</v>
      </c>
      <c r="E479" s="8"/>
      <c r="F479" s="7" t="s">
        <v>4348</v>
      </c>
      <c r="G479" s="7" t="s">
        <v>25</v>
      </c>
      <c r="H479" s="58"/>
      <c r="I479" s="23"/>
      <c r="J479" s="24"/>
      <c r="M479" s="4"/>
      <c r="N479" s="76"/>
      <c r="O479" s="76"/>
      <c r="P479" s="76" t="str">
        <f t="shared" si="54"/>
        <v>,shikkan471_start_date</v>
      </c>
      <c r="Q479" s="76" t="str">
        <f t="shared" si="55"/>
        <v>DATE</v>
      </c>
      <c r="R479" s="76" t="str">
        <f t="shared" si="56"/>
        <v/>
      </c>
      <c r="S479" s="76" t="str">
        <f t="shared" si="57"/>
        <v/>
      </c>
      <c r="T479" s="76" t="str">
        <f t="shared" si="58"/>
        <v>-- C962_疾患開始日</v>
      </c>
      <c r="U479" s="4" t="str">
        <f t="shared" si="59"/>
        <v>,'shikkan471_start_date'</v>
      </c>
      <c r="V479" s="25" t="str">
        <f t="shared" si="60"/>
        <v>,'shikkan471_start_date' : 'C962_疾患開始日'</v>
      </c>
      <c r="X479" s="25">
        <v>1</v>
      </c>
      <c r="AA479" s="4"/>
      <c r="AB479" s="4"/>
      <c r="AC479" s="4"/>
      <c r="AD479" s="4"/>
      <c r="AE479" s="4"/>
      <c r="AF479" s="4"/>
      <c r="AG479" s="4"/>
      <c r="AH479" s="4"/>
      <c r="AI479" s="4"/>
      <c r="AJ479" s="76" t="str">
        <f>IF(E479="○",IF(COUNTA(E$13:E479)=1,"",",")&amp;D479,"")</f>
        <v/>
      </c>
      <c r="AK479" s="4"/>
      <c r="AL479" s="4"/>
      <c r="AM479" s="4"/>
      <c r="AN479" s="4"/>
      <c r="AO479" s="4"/>
      <c r="AP479" s="4"/>
      <c r="AQ479" s="4"/>
      <c r="AR479" s="4"/>
      <c r="AS479" s="76" t="str">
        <f>"COMMENT ON COLUMN "&amp;エンティティ一覧!$O$2&amp;"."&amp;D$8&amp;"."&amp;D479&amp;" IS '"&amp;C479&amp;"';"</f>
        <v>COMMENT ON COLUMN milscm_2023_009.main_diagnosis_start_date.shikkan471_start_date IS 'C962_疾患開始日';</v>
      </c>
    </row>
    <row r="480" spans="1:45" s="25" customFormat="1">
      <c r="A480" s="4" t="s">
        <v>5614</v>
      </c>
      <c r="B480" s="21">
        <f t="shared" si="53"/>
        <v>478</v>
      </c>
      <c r="C480" s="13" t="str">
        <f t="shared" si="61"/>
        <v>C964_疾患開始日</v>
      </c>
      <c r="D480" s="13" t="s">
        <v>6132</v>
      </c>
      <c r="E480" s="8"/>
      <c r="F480" s="7" t="s">
        <v>4348</v>
      </c>
      <c r="G480" s="7" t="s">
        <v>25</v>
      </c>
      <c r="H480" s="58"/>
      <c r="I480" s="23"/>
      <c r="J480" s="24"/>
      <c r="M480" s="4"/>
      <c r="N480" s="76"/>
      <c r="O480" s="76"/>
      <c r="P480" s="76" t="str">
        <f t="shared" si="54"/>
        <v>,shikkan472_start_date</v>
      </c>
      <c r="Q480" s="76" t="str">
        <f t="shared" si="55"/>
        <v>DATE</v>
      </c>
      <c r="R480" s="76" t="str">
        <f t="shared" si="56"/>
        <v/>
      </c>
      <c r="S480" s="76" t="str">
        <f t="shared" si="57"/>
        <v/>
      </c>
      <c r="T480" s="76" t="str">
        <f t="shared" si="58"/>
        <v>-- C964_疾患開始日</v>
      </c>
      <c r="U480" s="4" t="str">
        <f t="shared" si="59"/>
        <v>,'shikkan472_start_date'</v>
      </c>
      <c r="V480" s="25" t="str">
        <f t="shared" si="60"/>
        <v>,'shikkan472_start_date' : 'C964_疾患開始日'</v>
      </c>
      <c r="X480" s="25">
        <v>1</v>
      </c>
      <c r="AA480" s="4"/>
      <c r="AB480" s="4"/>
      <c r="AC480" s="4"/>
      <c r="AD480" s="4"/>
      <c r="AE480" s="4"/>
      <c r="AF480" s="4"/>
      <c r="AG480" s="4"/>
      <c r="AH480" s="4"/>
      <c r="AI480" s="4"/>
      <c r="AJ480" s="76" t="str">
        <f>IF(E480="○",IF(COUNTA(E$13:E480)=1,"",",")&amp;D480,"")</f>
        <v/>
      </c>
      <c r="AK480" s="4"/>
      <c r="AL480" s="4"/>
      <c r="AM480" s="4"/>
      <c r="AN480" s="4"/>
      <c r="AO480" s="4"/>
      <c r="AP480" s="4"/>
      <c r="AQ480" s="4"/>
      <c r="AR480" s="4"/>
      <c r="AS480" s="76" t="str">
        <f>"COMMENT ON COLUMN "&amp;エンティティ一覧!$O$2&amp;"."&amp;D$8&amp;"."&amp;D480&amp;" IS '"&amp;C480&amp;"';"</f>
        <v>COMMENT ON COLUMN milscm_2023_009.main_diagnosis_start_date.shikkan472_start_date IS 'C964_疾患開始日';</v>
      </c>
    </row>
    <row r="481" spans="1:45" s="25" customFormat="1">
      <c r="A481" s="4" t="s">
        <v>5615</v>
      </c>
      <c r="B481" s="21">
        <f t="shared" si="53"/>
        <v>479</v>
      </c>
      <c r="C481" s="13" t="str">
        <f t="shared" si="61"/>
        <v>C965_疾患開始日</v>
      </c>
      <c r="D481" s="13" t="s">
        <v>6133</v>
      </c>
      <c r="E481" s="8"/>
      <c r="F481" s="7" t="s">
        <v>4348</v>
      </c>
      <c r="G481" s="7" t="s">
        <v>25</v>
      </c>
      <c r="H481" s="58"/>
      <c r="I481" s="23"/>
      <c r="J481" s="24"/>
      <c r="M481" s="4"/>
      <c r="N481" s="76"/>
      <c r="O481" s="76"/>
      <c r="P481" s="76" t="str">
        <f t="shared" si="54"/>
        <v>,shikkan473_start_date</v>
      </c>
      <c r="Q481" s="76" t="str">
        <f t="shared" si="55"/>
        <v>DATE</v>
      </c>
      <c r="R481" s="76" t="str">
        <f t="shared" si="56"/>
        <v/>
      </c>
      <c r="S481" s="76" t="str">
        <f t="shared" si="57"/>
        <v/>
      </c>
      <c r="T481" s="76" t="str">
        <f t="shared" si="58"/>
        <v>-- C965_疾患開始日</v>
      </c>
      <c r="U481" s="4" t="str">
        <f t="shared" si="59"/>
        <v>,'shikkan473_start_date'</v>
      </c>
      <c r="V481" s="25" t="str">
        <f t="shared" si="60"/>
        <v>,'shikkan473_start_date' : 'C965_疾患開始日'</v>
      </c>
      <c r="X481" s="25">
        <v>1</v>
      </c>
      <c r="AA481" s="4"/>
      <c r="AB481" s="4"/>
      <c r="AC481" s="4"/>
      <c r="AD481" s="4"/>
      <c r="AE481" s="4"/>
      <c r="AF481" s="4"/>
      <c r="AG481" s="4"/>
      <c r="AH481" s="4"/>
      <c r="AI481" s="4"/>
      <c r="AJ481" s="76" t="str">
        <f>IF(E481="○",IF(COUNTA(E$13:E481)=1,"",",")&amp;D481,"")</f>
        <v/>
      </c>
      <c r="AK481" s="4"/>
      <c r="AL481" s="4"/>
      <c r="AM481" s="4"/>
      <c r="AN481" s="4"/>
      <c r="AO481" s="4"/>
      <c r="AP481" s="4"/>
      <c r="AQ481" s="4"/>
      <c r="AR481" s="4"/>
      <c r="AS481" s="76" t="str">
        <f>"COMMENT ON COLUMN "&amp;エンティティ一覧!$O$2&amp;"."&amp;D$8&amp;"."&amp;D481&amp;" IS '"&amp;C481&amp;"';"</f>
        <v>COMMENT ON COLUMN milscm_2023_009.main_diagnosis_start_date.shikkan473_start_date IS 'C965_疾患開始日';</v>
      </c>
    </row>
    <row r="482" spans="1:45" s="25" customFormat="1">
      <c r="A482" s="4" t="s">
        <v>5616</v>
      </c>
      <c r="B482" s="21">
        <f t="shared" si="53"/>
        <v>480</v>
      </c>
      <c r="C482" s="13" t="str">
        <f t="shared" si="61"/>
        <v>C966_疾患開始日</v>
      </c>
      <c r="D482" s="13" t="s">
        <v>6134</v>
      </c>
      <c r="E482" s="8"/>
      <c r="F482" s="7" t="s">
        <v>4348</v>
      </c>
      <c r="G482" s="7" t="s">
        <v>25</v>
      </c>
      <c r="H482" s="58"/>
      <c r="I482" s="23"/>
      <c r="J482" s="24"/>
      <c r="M482" s="4"/>
      <c r="N482" s="76"/>
      <c r="O482" s="76"/>
      <c r="P482" s="76" t="str">
        <f t="shared" si="54"/>
        <v>,shikkan474_start_date</v>
      </c>
      <c r="Q482" s="76" t="str">
        <f t="shared" si="55"/>
        <v>DATE</v>
      </c>
      <c r="R482" s="76" t="str">
        <f t="shared" si="56"/>
        <v/>
      </c>
      <c r="S482" s="76" t="str">
        <f t="shared" si="57"/>
        <v/>
      </c>
      <c r="T482" s="76" t="str">
        <f t="shared" si="58"/>
        <v>-- C966_疾患開始日</v>
      </c>
      <c r="U482" s="4" t="str">
        <f t="shared" si="59"/>
        <v>,'shikkan474_start_date'</v>
      </c>
      <c r="V482" s="25" t="str">
        <f t="shared" si="60"/>
        <v>,'shikkan474_start_date' : 'C966_疾患開始日'</v>
      </c>
      <c r="X482" s="25">
        <v>1</v>
      </c>
      <c r="AA482" s="4"/>
      <c r="AB482" s="4"/>
      <c r="AC482" s="4"/>
      <c r="AD482" s="4"/>
      <c r="AE482" s="4"/>
      <c r="AF482" s="4"/>
      <c r="AG482" s="4"/>
      <c r="AH482" s="4"/>
      <c r="AI482" s="4"/>
      <c r="AJ482" s="76" t="str">
        <f>IF(E482="○",IF(COUNTA(E$13:E482)=1,"",",")&amp;D482,"")</f>
        <v/>
      </c>
      <c r="AK482" s="4"/>
      <c r="AL482" s="4"/>
      <c r="AM482" s="4"/>
      <c r="AN482" s="4"/>
      <c r="AO482" s="4"/>
      <c r="AP482" s="4"/>
      <c r="AQ482" s="4"/>
      <c r="AR482" s="4"/>
      <c r="AS482" s="76" t="str">
        <f>"COMMENT ON COLUMN "&amp;エンティティ一覧!$O$2&amp;"."&amp;D$8&amp;"."&amp;D482&amp;" IS '"&amp;C482&amp;"';"</f>
        <v>COMMENT ON COLUMN milscm_2023_009.main_diagnosis_start_date.shikkan474_start_date IS 'C966_疾患開始日';</v>
      </c>
    </row>
    <row r="483" spans="1:45" s="25" customFormat="1">
      <c r="A483" s="4" t="s">
        <v>5617</v>
      </c>
      <c r="B483" s="21">
        <f t="shared" si="53"/>
        <v>481</v>
      </c>
      <c r="C483" s="13" t="str">
        <f t="shared" si="61"/>
        <v>C967_疾患開始日</v>
      </c>
      <c r="D483" s="13" t="s">
        <v>6135</v>
      </c>
      <c r="E483" s="8"/>
      <c r="F483" s="7" t="s">
        <v>4348</v>
      </c>
      <c r="G483" s="7" t="s">
        <v>25</v>
      </c>
      <c r="H483" s="58"/>
      <c r="I483" s="23"/>
      <c r="J483" s="24"/>
      <c r="M483" s="4"/>
      <c r="N483" s="76"/>
      <c r="O483" s="76"/>
      <c r="P483" s="76" t="str">
        <f t="shared" si="54"/>
        <v>,shikkan475_start_date</v>
      </c>
      <c r="Q483" s="76" t="str">
        <f t="shared" si="55"/>
        <v>DATE</v>
      </c>
      <c r="R483" s="76" t="str">
        <f t="shared" si="56"/>
        <v/>
      </c>
      <c r="S483" s="76" t="str">
        <f t="shared" si="57"/>
        <v/>
      </c>
      <c r="T483" s="76" t="str">
        <f t="shared" si="58"/>
        <v>-- C967_疾患開始日</v>
      </c>
      <c r="U483" s="4" t="str">
        <f t="shared" si="59"/>
        <v>,'shikkan475_start_date'</v>
      </c>
      <c r="V483" s="25" t="str">
        <f t="shared" si="60"/>
        <v>,'shikkan475_start_date' : 'C967_疾患開始日'</v>
      </c>
      <c r="X483" s="25">
        <v>1</v>
      </c>
      <c r="AA483" s="4"/>
      <c r="AB483" s="4"/>
      <c r="AC483" s="4"/>
      <c r="AD483" s="4"/>
      <c r="AE483" s="4"/>
      <c r="AF483" s="4"/>
      <c r="AG483" s="4"/>
      <c r="AH483" s="4"/>
      <c r="AI483" s="4"/>
      <c r="AJ483" s="76" t="str">
        <f>IF(E483="○",IF(COUNTA(E$13:E483)=1,"",",")&amp;D483,"")</f>
        <v/>
      </c>
      <c r="AK483" s="4"/>
      <c r="AL483" s="4"/>
      <c r="AM483" s="4"/>
      <c r="AN483" s="4"/>
      <c r="AO483" s="4"/>
      <c r="AP483" s="4"/>
      <c r="AQ483" s="4"/>
      <c r="AR483" s="4"/>
      <c r="AS483" s="76" t="str">
        <f>"COMMENT ON COLUMN "&amp;エンティティ一覧!$O$2&amp;"."&amp;D$8&amp;"."&amp;D483&amp;" IS '"&amp;C483&amp;"';"</f>
        <v>COMMENT ON COLUMN milscm_2023_009.main_diagnosis_start_date.shikkan475_start_date IS 'C967_疾患開始日';</v>
      </c>
    </row>
    <row r="484" spans="1:45" s="25" customFormat="1">
      <c r="A484" s="4" t="s">
        <v>5618</v>
      </c>
      <c r="B484" s="21">
        <f t="shared" si="53"/>
        <v>482</v>
      </c>
      <c r="C484" s="13" t="str">
        <f t="shared" si="61"/>
        <v>C968_疾患開始日</v>
      </c>
      <c r="D484" s="13" t="s">
        <v>6136</v>
      </c>
      <c r="E484" s="8"/>
      <c r="F484" s="7" t="s">
        <v>4348</v>
      </c>
      <c r="G484" s="7" t="s">
        <v>25</v>
      </c>
      <c r="H484" s="58"/>
      <c r="I484" s="23"/>
      <c r="J484" s="24"/>
      <c r="M484" s="4"/>
      <c r="N484" s="76"/>
      <c r="O484" s="76"/>
      <c r="P484" s="76" t="str">
        <f t="shared" si="54"/>
        <v>,shikkan476_start_date</v>
      </c>
      <c r="Q484" s="76" t="str">
        <f t="shared" si="55"/>
        <v>DATE</v>
      </c>
      <c r="R484" s="76" t="str">
        <f t="shared" si="56"/>
        <v/>
      </c>
      <c r="S484" s="76" t="str">
        <f t="shared" si="57"/>
        <v/>
      </c>
      <c r="T484" s="76" t="str">
        <f t="shared" si="58"/>
        <v>-- C968_疾患開始日</v>
      </c>
      <c r="U484" s="4" t="str">
        <f t="shared" si="59"/>
        <v>,'shikkan476_start_date'</v>
      </c>
      <c r="V484" s="25" t="str">
        <f t="shared" si="60"/>
        <v>,'shikkan476_start_date' : 'C968_疾患開始日'</v>
      </c>
      <c r="X484" s="25">
        <v>1</v>
      </c>
      <c r="AA484" s="4"/>
      <c r="AB484" s="4"/>
      <c r="AC484" s="4"/>
      <c r="AD484" s="4"/>
      <c r="AE484" s="4"/>
      <c r="AF484" s="4"/>
      <c r="AG484" s="4"/>
      <c r="AH484" s="4"/>
      <c r="AI484" s="4"/>
      <c r="AJ484" s="76" t="str">
        <f>IF(E484="○",IF(COUNTA(E$13:E484)=1,"",",")&amp;D484,"")</f>
        <v/>
      </c>
      <c r="AK484" s="4"/>
      <c r="AL484" s="4"/>
      <c r="AM484" s="4"/>
      <c r="AN484" s="4"/>
      <c r="AO484" s="4"/>
      <c r="AP484" s="4"/>
      <c r="AQ484" s="4"/>
      <c r="AR484" s="4"/>
      <c r="AS484" s="76" t="str">
        <f>"COMMENT ON COLUMN "&amp;エンティティ一覧!$O$2&amp;"."&amp;D$8&amp;"."&amp;D484&amp;" IS '"&amp;C484&amp;"';"</f>
        <v>COMMENT ON COLUMN milscm_2023_009.main_diagnosis_start_date.shikkan476_start_date IS 'C968_疾患開始日';</v>
      </c>
    </row>
    <row r="485" spans="1:45" s="25" customFormat="1">
      <c r="A485" s="4" t="s">
        <v>5619</v>
      </c>
      <c r="B485" s="21">
        <f t="shared" si="53"/>
        <v>483</v>
      </c>
      <c r="C485" s="13" t="str">
        <f t="shared" si="61"/>
        <v>C969_疾患開始日</v>
      </c>
      <c r="D485" s="13" t="s">
        <v>6137</v>
      </c>
      <c r="E485" s="8"/>
      <c r="F485" s="7" t="s">
        <v>4348</v>
      </c>
      <c r="G485" s="7" t="s">
        <v>25</v>
      </c>
      <c r="H485" s="58"/>
      <c r="I485" s="23"/>
      <c r="J485" s="24"/>
      <c r="M485" s="4"/>
      <c r="N485" s="76"/>
      <c r="O485" s="76"/>
      <c r="P485" s="76" t="str">
        <f t="shared" si="54"/>
        <v>,shikkan477_start_date</v>
      </c>
      <c r="Q485" s="76" t="str">
        <f t="shared" si="55"/>
        <v>DATE</v>
      </c>
      <c r="R485" s="76" t="str">
        <f t="shared" si="56"/>
        <v/>
      </c>
      <c r="S485" s="76" t="str">
        <f t="shared" si="57"/>
        <v/>
      </c>
      <c r="T485" s="76" t="str">
        <f t="shared" si="58"/>
        <v>-- C969_疾患開始日</v>
      </c>
      <c r="U485" s="4" t="str">
        <f t="shared" si="59"/>
        <v>,'shikkan477_start_date'</v>
      </c>
      <c r="V485" s="25" t="str">
        <f t="shared" si="60"/>
        <v>,'shikkan477_start_date' : 'C969_疾患開始日'</v>
      </c>
      <c r="X485" s="25">
        <v>1</v>
      </c>
      <c r="AA485" s="4"/>
      <c r="AB485" s="4"/>
      <c r="AC485" s="4"/>
      <c r="AD485" s="4"/>
      <c r="AE485" s="4"/>
      <c r="AF485" s="4"/>
      <c r="AG485" s="4"/>
      <c r="AH485" s="4"/>
      <c r="AI485" s="4"/>
      <c r="AJ485" s="76" t="str">
        <f>IF(E485="○",IF(COUNTA(E$13:E485)=1,"",",")&amp;D485,"")</f>
        <v/>
      </c>
      <c r="AK485" s="4"/>
      <c r="AL485" s="4"/>
      <c r="AM485" s="4"/>
      <c r="AN485" s="4"/>
      <c r="AO485" s="4"/>
      <c r="AP485" s="4"/>
      <c r="AQ485" s="4"/>
      <c r="AR485" s="4"/>
      <c r="AS485" s="76" t="str">
        <f>"COMMENT ON COLUMN "&amp;エンティティ一覧!$O$2&amp;"."&amp;D$8&amp;"."&amp;D485&amp;" IS '"&amp;C485&amp;"';"</f>
        <v>COMMENT ON COLUMN milscm_2023_009.main_diagnosis_start_date.shikkan477_start_date IS 'C969_疾患開始日';</v>
      </c>
    </row>
    <row r="486" spans="1:45" s="25" customFormat="1">
      <c r="A486" s="4" t="s">
        <v>5157</v>
      </c>
      <c r="B486" s="21">
        <f t="shared" si="53"/>
        <v>484</v>
      </c>
      <c r="C486" s="13" t="str">
        <f t="shared" si="61"/>
        <v>C97_疾患開始日</v>
      </c>
      <c r="D486" s="13" t="s">
        <v>6138</v>
      </c>
      <c r="E486" s="8"/>
      <c r="F486" s="7" t="s">
        <v>4348</v>
      </c>
      <c r="G486" s="7" t="s">
        <v>25</v>
      </c>
      <c r="H486" s="58"/>
      <c r="I486" s="23"/>
      <c r="J486" s="24"/>
      <c r="M486" s="4"/>
      <c r="N486" s="76"/>
      <c r="O486" s="76"/>
      <c r="P486" s="76" t="str">
        <f t="shared" si="54"/>
        <v>,shikkan478_start_date</v>
      </c>
      <c r="Q486" s="76" t="str">
        <f t="shared" si="55"/>
        <v>DATE</v>
      </c>
      <c r="R486" s="76" t="str">
        <f t="shared" si="56"/>
        <v/>
      </c>
      <c r="S486" s="76" t="str">
        <f t="shared" si="57"/>
        <v/>
      </c>
      <c r="T486" s="76" t="str">
        <f t="shared" si="58"/>
        <v>-- C97_疾患開始日</v>
      </c>
      <c r="U486" s="4" t="str">
        <f t="shared" si="59"/>
        <v>,'shikkan478_start_date'</v>
      </c>
      <c r="V486" s="25" t="str">
        <f t="shared" si="60"/>
        <v>,'shikkan478_start_date' : 'C97_疾患開始日'</v>
      </c>
      <c r="X486" s="25">
        <v>1</v>
      </c>
      <c r="AA486" s="4"/>
      <c r="AB486" s="4"/>
      <c r="AC486" s="4"/>
      <c r="AD486" s="4"/>
      <c r="AE486" s="4"/>
      <c r="AF486" s="4"/>
      <c r="AG486" s="4"/>
      <c r="AH486" s="4"/>
      <c r="AI486" s="4"/>
      <c r="AJ486" s="76" t="str">
        <f>IF(E486="○",IF(COUNTA(E$13:E486)=1,"",",")&amp;D486,"")</f>
        <v/>
      </c>
      <c r="AK486" s="4"/>
      <c r="AL486" s="4"/>
      <c r="AM486" s="4"/>
      <c r="AN486" s="4"/>
      <c r="AO486" s="4"/>
      <c r="AP486" s="4"/>
      <c r="AQ486" s="4"/>
      <c r="AR486" s="4"/>
      <c r="AS486" s="76" t="str">
        <f>"COMMENT ON COLUMN "&amp;エンティティ一覧!$O$2&amp;"."&amp;D$8&amp;"."&amp;D486&amp;" IS '"&amp;C486&amp;"';"</f>
        <v>COMMENT ON COLUMN milscm_2023_009.main_diagnosis_start_date.shikkan478_start_date IS 'C97_疾患開始日';</v>
      </c>
    </row>
    <row r="487" spans="1:45" s="25" customFormat="1">
      <c r="A487" s="4" t="s">
        <v>5088</v>
      </c>
      <c r="B487" s="21">
        <f t="shared" si="53"/>
        <v>485</v>
      </c>
      <c r="C487" s="13" t="str">
        <f t="shared" si="61"/>
        <v>E100_疾患開始日</v>
      </c>
      <c r="D487" s="13" t="s">
        <v>6139</v>
      </c>
      <c r="E487" s="8"/>
      <c r="F487" s="7" t="s">
        <v>4348</v>
      </c>
      <c r="G487" s="7" t="s">
        <v>25</v>
      </c>
      <c r="H487" s="58"/>
      <c r="I487" s="23"/>
      <c r="J487" s="24"/>
      <c r="M487" s="4"/>
      <c r="N487" s="76"/>
      <c r="O487" s="76"/>
      <c r="P487" s="76" t="str">
        <f t="shared" si="54"/>
        <v>,shikkan479_start_date</v>
      </c>
      <c r="Q487" s="76" t="str">
        <f t="shared" si="55"/>
        <v>DATE</v>
      </c>
      <c r="R487" s="76" t="str">
        <f t="shared" si="56"/>
        <v/>
      </c>
      <c r="S487" s="76" t="str">
        <f t="shared" si="57"/>
        <v/>
      </c>
      <c r="T487" s="76" t="str">
        <f t="shared" si="58"/>
        <v>-- E100_疾患開始日</v>
      </c>
      <c r="U487" s="4" t="str">
        <f t="shared" si="59"/>
        <v>,'shikkan479_start_date'</v>
      </c>
      <c r="V487" s="25" t="str">
        <f t="shared" si="60"/>
        <v>,'shikkan479_start_date' : 'E100_疾患開始日'</v>
      </c>
      <c r="X487" s="25">
        <v>1</v>
      </c>
      <c r="AA487" s="4"/>
      <c r="AB487" s="4"/>
      <c r="AC487" s="4"/>
      <c r="AD487" s="4"/>
      <c r="AE487" s="4"/>
      <c r="AF487" s="4"/>
      <c r="AG487" s="4"/>
      <c r="AH487" s="4"/>
      <c r="AI487" s="4"/>
      <c r="AJ487" s="76" t="str">
        <f>IF(E487="○",IF(COUNTA(E$13:E487)=1,"",",")&amp;D487,"")</f>
        <v/>
      </c>
      <c r="AK487" s="4"/>
      <c r="AL487" s="4"/>
      <c r="AM487" s="4"/>
      <c r="AN487" s="4"/>
      <c r="AO487" s="4"/>
      <c r="AP487" s="4"/>
      <c r="AQ487" s="4"/>
      <c r="AR487" s="4"/>
      <c r="AS487" s="76" t="str">
        <f>"COMMENT ON COLUMN "&amp;エンティティ一覧!$O$2&amp;"."&amp;D$8&amp;"."&amp;D487&amp;" IS '"&amp;C487&amp;"';"</f>
        <v>COMMENT ON COLUMN milscm_2023_009.main_diagnosis_start_date.shikkan479_start_date IS 'E100_疾患開始日';</v>
      </c>
    </row>
    <row r="488" spans="1:45" s="25" customFormat="1">
      <c r="A488" s="4" t="s">
        <v>5089</v>
      </c>
      <c r="B488" s="21">
        <f t="shared" si="53"/>
        <v>486</v>
      </c>
      <c r="C488" s="13" t="str">
        <f t="shared" si="61"/>
        <v>E101_疾患開始日</v>
      </c>
      <c r="D488" s="13" t="s">
        <v>6140</v>
      </c>
      <c r="E488" s="8"/>
      <c r="F488" s="7" t="s">
        <v>4348</v>
      </c>
      <c r="G488" s="7" t="s">
        <v>99</v>
      </c>
      <c r="H488" s="58"/>
      <c r="I488" s="23"/>
      <c r="J488" s="24"/>
      <c r="M488" s="4"/>
      <c r="N488" s="76"/>
      <c r="O488" s="76"/>
      <c r="P488" s="76" t="str">
        <f t="shared" si="54"/>
        <v>,shikkan480_start_date</v>
      </c>
      <c r="Q488" s="76" t="str">
        <f t="shared" si="55"/>
        <v>DATE</v>
      </c>
      <c r="R488" s="76" t="str">
        <f t="shared" si="56"/>
        <v/>
      </c>
      <c r="S488" s="76" t="str">
        <f t="shared" si="57"/>
        <v/>
      </c>
      <c r="T488" s="76" t="str">
        <f t="shared" si="58"/>
        <v>-- E101_疾患開始日</v>
      </c>
      <c r="U488" s="4" t="str">
        <f t="shared" si="59"/>
        <v>,'shikkan480_start_date'</v>
      </c>
      <c r="V488" s="25" t="str">
        <f t="shared" si="60"/>
        <v>,'shikkan480_start_date' : 'E101_疾患開始日'</v>
      </c>
      <c r="X488" s="25">
        <v>1</v>
      </c>
      <c r="AA488" s="4"/>
      <c r="AB488" s="4"/>
      <c r="AC488" s="4"/>
      <c r="AD488" s="4"/>
      <c r="AE488" s="4"/>
      <c r="AF488" s="4"/>
      <c r="AG488" s="4"/>
      <c r="AH488" s="4"/>
      <c r="AI488" s="4"/>
      <c r="AJ488" s="76" t="str">
        <f>IF(E488="○",IF(COUNTA(E$13:E488)=1,"",",")&amp;D488,"")</f>
        <v/>
      </c>
      <c r="AK488" s="4"/>
      <c r="AL488" s="4"/>
      <c r="AM488" s="4"/>
      <c r="AN488" s="4"/>
      <c r="AO488" s="4"/>
      <c r="AP488" s="4"/>
      <c r="AQ488" s="4"/>
      <c r="AR488" s="4"/>
      <c r="AS488" s="76" t="str">
        <f>"COMMENT ON COLUMN "&amp;エンティティ一覧!$O$2&amp;"."&amp;D$8&amp;"."&amp;D488&amp;" IS '"&amp;C488&amp;"';"</f>
        <v>COMMENT ON COLUMN milscm_2023_009.main_diagnosis_start_date.shikkan480_start_date IS 'E101_疾患開始日';</v>
      </c>
    </row>
    <row r="489" spans="1:45" s="25" customFormat="1">
      <c r="A489" s="4" t="s">
        <v>5113</v>
      </c>
      <c r="B489" s="21">
        <f t="shared" si="53"/>
        <v>487</v>
      </c>
      <c r="C489" s="13" t="str">
        <f t="shared" si="61"/>
        <v>E102_疾患開始日</v>
      </c>
      <c r="D489" s="13" t="s">
        <v>6141</v>
      </c>
      <c r="E489" s="8"/>
      <c r="F489" s="7" t="s">
        <v>4348</v>
      </c>
      <c r="G489" s="7" t="s">
        <v>25</v>
      </c>
      <c r="H489" s="58"/>
      <c r="I489" s="23"/>
      <c r="J489" s="24"/>
      <c r="M489" s="4"/>
      <c r="N489" s="76"/>
      <c r="O489" s="76"/>
      <c r="P489" s="76" t="str">
        <f t="shared" si="54"/>
        <v>,shikkan481_start_date</v>
      </c>
      <c r="Q489" s="76" t="str">
        <f t="shared" si="55"/>
        <v>DATE</v>
      </c>
      <c r="R489" s="76" t="str">
        <f t="shared" si="56"/>
        <v/>
      </c>
      <c r="S489" s="76" t="str">
        <f t="shared" si="57"/>
        <v/>
      </c>
      <c r="T489" s="76" t="str">
        <f t="shared" si="58"/>
        <v>-- E102_疾患開始日</v>
      </c>
      <c r="U489" s="4" t="str">
        <f t="shared" si="59"/>
        <v>,'shikkan481_start_date'</v>
      </c>
      <c r="V489" s="25" t="str">
        <f t="shared" si="60"/>
        <v>,'shikkan481_start_date' : 'E102_疾患開始日'</v>
      </c>
      <c r="X489" s="25">
        <v>1</v>
      </c>
      <c r="AA489" s="4"/>
      <c r="AB489" s="4"/>
      <c r="AC489" s="4"/>
      <c r="AD489" s="4"/>
      <c r="AE489" s="4"/>
      <c r="AF489" s="4"/>
      <c r="AG489" s="4"/>
      <c r="AH489" s="4"/>
      <c r="AI489" s="4"/>
      <c r="AJ489" s="76" t="str">
        <f>IF(E489="○",IF(COUNTA(E$13:E489)=1,"",",")&amp;D489,"")</f>
        <v/>
      </c>
      <c r="AK489" s="4"/>
      <c r="AL489" s="4"/>
      <c r="AM489" s="4"/>
      <c r="AN489" s="4"/>
      <c r="AO489" s="4"/>
      <c r="AP489" s="4"/>
      <c r="AQ489" s="4"/>
      <c r="AR489" s="4"/>
      <c r="AS489" s="76" t="str">
        <f>"COMMENT ON COLUMN "&amp;エンティティ一覧!$O$2&amp;"."&amp;D$8&amp;"."&amp;D489&amp;" IS '"&amp;C489&amp;"';"</f>
        <v>COMMENT ON COLUMN milscm_2023_009.main_diagnosis_start_date.shikkan481_start_date IS 'E102_疾患開始日';</v>
      </c>
    </row>
    <row r="490" spans="1:45" s="25" customFormat="1">
      <c r="A490" s="4" t="s">
        <v>5114</v>
      </c>
      <c r="B490" s="21">
        <f t="shared" si="53"/>
        <v>488</v>
      </c>
      <c r="C490" s="13" t="str">
        <f t="shared" si="61"/>
        <v>E103_疾患開始日</v>
      </c>
      <c r="D490" s="13" t="s">
        <v>6142</v>
      </c>
      <c r="E490" s="8"/>
      <c r="F490" s="7" t="s">
        <v>4348</v>
      </c>
      <c r="G490" s="7" t="s">
        <v>25</v>
      </c>
      <c r="H490" s="58"/>
      <c r="I490" s="23"/>
      <c r="J490" s="24"/>
      <c r="M490" s="4"/>
      <c r="N490" s="76"/>
      <c r="O490" s="76"/>
      <c r="P490" s="76" t="str">
        <f t="shared" si="54"/>
        <v>,shikkan482_start_date</v>
      </c>
      <c r="Q490" s="76" t="str">
        <f t="shared" si="55"/>
        <v>DATE</v>
      </c>
      <c r="R490" s="76" t="str">
        <f t="shared" si="56"/>
        <v/>
      </c>
      <c r="S490" s="76" t="str">
        <f t="shared" si="57"/>
        <v/>
      </c>
      <c r="T490" s="76" t="str">
        <f t="shared" si="58"/>
        <v>-- E103_疾患開始日</v>
      </c>
      <c r="U490" s="4" t="str">
        <f t="shared" si="59"/>
        <v>,'shikkan482_start_date'</v>
      </c>
      <c r="V490" s="25" t="str">
        <f t="shared" si="60"/>
        <v>,'shikkan482_start_date' : 'E103_疾患開始日'</v>
      </c>
      <c r="X490" s="25">
        <v>1</v>
      </c>
      <c r="AA490" s="4"/>
      <c r="AB490" s="4"/>
      <c r="AC490" s="4"/>
      <c r="AD490" s="4"/>
      <c r="AE490" s="4"/>
      <c r="AF490" s="4"/>
      <c r="AG490" s="4"/>
      <c r="AH490" s="4"/>
      <c r="AI490" s="4"/>
      <c r="AJ490" s="76" t="str">
        <f>IF(E490="○",IF(COUNTA(E$13:E490)=1,"",",")&amp;D490,"")</f>
        <v/>
      </c>
      <c r="AK490" s="4"/>
      <c r="AL490" s="4"/>
      <c r="AM490" s="4"/>
      <c r="AN490" s="4"/>
      <c r="AO490" s="4"/>
      <c r="AP490" s="4"/>
      <c r="AQ490" s="4"/>
      <c r="AR490" s="4"/>
      <c r="AS490" s="76" t="str">
        <f>"COMMENT ON COLUMN "&amp;エンティティ一覧!$O$2&amp;"."&amp;D$8&amp;"."&amp;D490&amp;" IS '"&amp;C490&amp;"';"</f>
        <v>COMMENT ON COLUMN milscm_2023_009.main_diagnosis_start_date.shikkan482_start_date IS 'E103_疾患開始日';</v>
      </c>
    </row>
    <row r="491" spans="1:45" s="25" customFormat="1">
      <c r="A491" s="4" t="s">
        <v>5115</v>
      </c>
      <c r="B491" s="21">
        <f t="shared" si="53"/>
        <v>489</v>
      </c>
      <c r="C491" s="13" t="str">
        <f t="shared" si="61"/>
        <v>E104_疾患開始日</v>
      </c>
      <c r="D491" s="13" t="s">
        <v>6143</v>
      </c>
      <c r="E491" s="8"/>
      <c r="F491" s="7" t="s">
        <v>4348</v>
      </c>
      <c r="G491" s="7" t="s">
        <v>25</v>
      </c>
      <c r="H491" s="58"/>
      <c r="I491" s="23"/>
      <c r="J491" s="24"/>
      <c r="M491" s="4"/>
      <c r="N491" s="76"/>
      <c r="O491" s="76"/>
      <c r="P491" s="76" t="str">
        <f t="shared" si="54"/>
        <v>,shikkan483_start_date</v>
      </c>
      <c r="Q491" s="76" t="str">
        <f t="shared" si="55"/>
        <v>DATE</v>
      </c>
      <c r="R491" s="76" t="str">
        <f t="shared" si="56"/>
        <v/>
      </c>
      <c r="S491" s="76" t="str">
        <f t="shared" si="57"/>
        <v/>
      </c>
      <c r="T491" s="76" t="str">
        <f t="shared" si="58"/>
        <v>-- E104_疾患開始日</v>
      </c>
      <c r="U491" s="4" t="str">
        <f t="shared" si="59"/>
        <v>,'shikkan483_start_date'</v>
      </c>
      <c r="V491" s="25" t="str">
        <f t="shared" si="60"/>
        <v>,'shikkan483_start_date' : 'E104_疾患開始日'</v>
      </c>
      <c r="X491" s="25">
        <v>1</v>
      </c>
      <c r="AA491" s="4"/>
      <c r="AB491" s="4"/>
      <c r="AC491" s="4"/>
      <c r="AD491" s="4"/>
      <c r="AE491" s="4"/>
      <c r="AF491" s="4"/>
      <c r="AG491" s="4"/>
      <c r="AH491" s="4"/>
      <c r="AI491" s="4"/>
      <c r="AJ491" s="76" t="str">
        <f>IF(E491="○",IF(COUNTA(E$13:E491)=1,"",",")&amp;D491,"")</f>
        <v/>
      </c>
      <c r="AK491" s="4"/>
      <c r="AL491" s="4"/>
      <c r="AM491" s="4"/>
      <c r="AN491" s="4"/>
      <c r="AO491" s="4"/>
      <c r="AP491" s="4"/>
      <c r="AQ491" s="4"/>
      <c r="AR491" s="4"/>
      <c r="AS491" s="76" t="str">
        <f>"COMMENT ON COLUMN "&amp;エンティティ一覧!$O$2&amp;"."&amp;D$8&amp;"."&amp;D491&amp;" IS '"&amp;C491&amp;"';"</f>
        <v>COMMENT ON COLUMN milscm_2023_009.main_diagnosis_start_date.shikkan483_start_date IS 'E104_疾患開始日';</v>
      </c>
    </row>
    <row r="492" spans="1:45" s="25" customFormat="1">
      <c r="A492" s="4" t="s">
        <v>5116</v>
      </c>
      <c r="B492" s="21">
        <f t="shared" si="53"/>
        <v>490</v>
      </c>
      <c r="C492" s="13" t="str">
        <f t="shared" si="61"/>
        <v>E105_疾患開始日</v>
      </c>
      <c r="D492" s="13" t="s">
        <v>6144</v>
      </c>
      <c r="E492" s="8"/>
      <c r="F492" s="7" t="s">
        <v>4348</v>
      </c>
      <c r="G492" s="7" t="s">
        <v>25</v>
      </c>
      <c r="H492" s="58"/>
      <c r="I492" s="23"/>
      <c r="J492" s="24"/>
      <c r="M492" s="4"/>
      <c r="N492" s="76"/>
      <c r="O492" s="76"/>
      <c r="P492" s="76" t="str">
        <f t="shared" si="54"/>
        <v>,shikkan484_start_date</v>
      </c>
      <c r="Q492" s="76" t="str">
        <f t="shared" si="55"/>
        <v>DATE</v>
      </c>
      <c r="R492" s="76" t="str">
        <f t="shared" si="56"/>
        <v/>
      </c>
      <c r="S492" s="76" t="str">
        <f t="shared" si="57"/>
        <v/>
      </c>
      <c r="T492" s="76" t="str">
        <f t="shared" si="58"/>
        <v>-- E105_疾患開始日</v>
      </c>
      <c r="U492" s="4" t="str">
        <f t="shared" si="59"/>
        <v>,'shikkan484_start_date'</v>
      </c>
      <c r="V492" s="25" t="str">
        <f t="shared" si="60"/>
        <v>,'shikkan484_start_date' : 'E105_疾患開始日'</v>
      </c>
      <c r="X492" s="25">
        <v>1</v>
      </c>
      <c r="AA492" s="4"/>
      <c r="AB492" s="4"/>
      <c r="AC492" s="4"/>
      <c r="AD492" s="4"/>
      <c r="AE492" s="4"/>
      <c r="AF492" s="4"/>
      <c r="AG492" s="4"/>
      <c r="AH492" s="4"/>
      <c r="AI492" s="4"/>
      <c r="AJ492" s="76" t="str">
        <f>IF(E492="○",IF(COUNTA(E$13:E492)=1,"",",")&amp;D492,"")</f>
        <v/>
      </c>
      <c r="AK492" s="4"/>
      <c r="AL492" s="4"/>
      <c r="AM492" s="4"/>
      <c r="AN492" s="4"/>
      <c r="AO492" s="4"/>
      <c r="AP492" s="4"/>
      <c r="AQ492" s="4"/>
      <c r="AR492" s="4"/>
      <c r="AS492" s="76" t="str">
        <f>"COMMENT ON COLUMN "&amp;エンティティ一覧!$O$2&amp;"."&amp;D$8&amp;"."&amp;D492&amp;" IS '"&amp;C492&amp;"';"</f>
        <v>COMMENT ON COLUMN milscm_2023_009.main_diagnosis_start_date.shikkan484_start_date IS 'E105_疾患開始日';</v>
      </c>
    </row>
    <row r="493" spans="1:45" s="25" customFormat="1">
      <c r="A493" s="4" t="s">
        <v>5090</v>
      </c>
      <c r="B493" s="21">
        <f t="shared" si="53"/>
        <v>491</v>
      </c>
      <c r="C493" s="13" t="str">
        <f t="shared" si="61"/>
        <v>E106_疾患開始日</v>
      </c>
      <c r="D493" s="13" t="s">
        <v>6145</v>
      </c>
      <c r="E493" s="8"/>
      <c r="F493" s="7" t="s">
        <v>4348</v>
      </c>
      <c r="G493" s="7" t="s">
        <v>25</v>
      </c>
      <c r="H493" s="58"/>
      <c r="I493" s="23"/>
      <c r="J493" s="24"/>
      <c r="M493" s="4"/>
      <c r="N493" s="76"/>
      <c r="O493" s="76"/>
      <c r="P493" s="76" t="str">
        <f t="shared" si="54"/>
        <v>,shikkan485_start_date</v>
      </c>
      <c r="Q493" s="76" t="str">
        <f t="shared" si="55"/>
        <v>DATE</v>
      </c>
      <c r="R493" s="76" t="str">
        <f t="shared" si="56"/>
        <v/>
      </c>
      <c r="S493" s="76" t="str">
        <f t="shared" si="57"/>
        <v/>
      </c>
      <c r="T493" s="76" t="str">
        <f t="shared" si="58"/>
        <v>-- E106_疾患開始日</v>
      </c>
      <c r="U493" s="4" t="str">
        <f t="shared" si="59"/>
        <v>,'shikkan485_start_date'</v>
      </c>
      <c r="V493" s="25" t="str">
        <f t="shared" si="60"/>
        <v>,'shikkan485_start_date' : 'E106_疾患開始日'</v>
      </c>
      <c r="X493" s="25">
        <v>1</v>
      </c>
      <c r="AA493" s="4"/>
      <c r="AB493" s="4"/>
      <c r="AC493" s="4"/>
      <c r="AD493" s="4"/>
      <c r="AE493" s="4"/>
      <c r="AF493" s="4"/>
      <c r="AG493" s="4"/>
      <c r="AH493" s="4"/>
      <c r="AI493" s="4"/>
      <c r="AJ493" s="76" t="str">
        <f>IF(E493="○",IF(COUNTA(E$13:E493)=1,"",",")&amp;D493,"")</f>
        <v/>
      </c>
      <c r="AK493" s="4"/>
      <c r="AL493" s="4"/>
      <c r="AM493" s="4"/>
      <c r="AN493" s="4"/>
      <c r="AO493" s="4"/>
      <c r="AP493" s="4"/>
      <c r="AQ493" s="4"/>
      <c r="AR493" s="4"/>
      <c r="AS493" s="76" t="str">
        <f>"COMMENT ON COLUMN "&amp;エンティティ一覧!$O$2&amp;"."&amp;D$8&amp;"."&amp;D493&amp;" IS '"&amp;C493&amp;"';"</f>
        <v>COMMENT ON COLUMN milscm_2023_009.main_diagnosis_start_date.shikkan485_start_date IS 'E106_疾患開始日';</v>
      </c>
    </row>
    <row r="494" spans="1:45" s="25" customFormat="1">
      <c r="A494" s="4" t="s">
        <v>5091</v>
      </c>
      <c r="B494" s="21">
        <f t="shared" si="53"/>
        <v>492</v>
      </c>
      <c r="C494" s="13" t="str">
        <f t="shared" si="61"/>
        <v>E108_疾患開始日</v>
      </c>
      <c r="D494" s="13" t="s">
        <v>6146</v>
      </c>
      <c r="E494" s="8"/>
      <c r="F494" s="7" t="s">
        <v>4348</v>
      </c>
      <c r="G494" s="7" t="s">
        <v>25</v>
      </c>
      <c r="H494" s="58"/>
      <c r="I494" s="23"/>
      <c r="J494" s="24"/>
      <c r="M494" s="4"/>
      <c r="N494" s="76"/>
      <c r="O494" s="76"/>
      <c r="P494" s="76" t="str">
        <f t="shared" si="54"/>
        <v>,shikkan486_start_date</v>
      </c>
      <c r="Q494" s="76" t="str">
        <f t="shared" si="55"/>
        <v>DATE</v>
      </c>
      <c r="R494" s="76" t="str">
        <f t="shared" si="56"/>
        <v/>
      </c>
      <c r="S494" s="76" t="str">
        <f t="shared" si="57"/>
        <v/>
      </c>
      <c r="T494" s="76" t="str">
        <f t="shared" si="58"/>
        <v>-- E108_疾患開始日</v>
      </c>
      <c r="U494" s="4" t="str">
        <f t="shared" si="59"/>
        <v>,'shikkan486_start_date'</v>
      </c>
      <c r="V494" s="25" t="str">
        <f t="shared" si="60"/>
        <v>,'shikkan486_start_date' : 'E108_疾患開始日'</v>
      </c>
      <c r="X494" s="25">
        <v>1</v>
      </c>
      <c r="AA494" s="4"/>
      <c r="AB494" s="4"/>
      <c r="AC494" s="4"/>
      <c r="AD494" s="4"/>
      <c r="AE494" s="4"/>
      <c r="AF494" s="4"/>
      <c r="AG494" s="4"/>
      <c r="AH494" s="4"/>
      <c r="AI494" s="4"/>
      <c r="AJ494" s="76" t="str">
        <f>IF(E494="○",IF(COUNTA(E$13:E494)=1,"",",")&amp;D494,"")</f>
        <v/>
      </c>
      <c r="AK494" s="4"/>
      <c r="AL494" s="4"/>
      <c r="AM494" s="4"/>
      <c r="AN494" s="4"/>
      <c r="AO494" s="4"/>
      <c r="AP494" s="4"/>
      <c r="AQ494" s="4"/>
      <c r="AR494" s="4"/>
      <c r="AS494" s="76" t="str">
        <f>"COMMENT ON COLUMN "&amp;エンティティ一覧!$O$2&amp;"."&amp;D$8&amp;"."&amp;D494&amp;" IS '"&amp;C494&amp;"';"</f>
        <v>COMMENT ON COLUMN milscm_2023_009.main_diagnosis_start_date.shikkan486_start_date IS 'E108_疾患開始日';</v>
      </c>
    </row>
    <row r="495" spans="1:45" s="25" customFormat="1">
      <c r="A495" s="4" t="s">
        <v>5092</v>
      </c>
      <c r="B495" s="21">
        <f t="shared" si="53"/>
        <v>493</v>
      </c>
      <c r="C495" s="13" t="str">
        <f t="shared" si="61"/>
        <v>E109_疾患開始日</v>
      </c>
      <c r="D495" s="13" t="s">
        <v>6147</v>
      </c>
      <c r="E495" s="8"/>
      <c r="F495" s="7" t="s">
        <v>4348</v>
      </c>
      <c r="G495" s="7" t="s">
        <v>25</v>
      </c>
      <c r="H495" s="58"/>
      <c r="I495" s="23"/>
      <c r="J495" s="24"/>
      <c r="M495" s="4"/>
      <c r="N495" s="76"/>
      <c r="O495" s="76"/>
      <c r="P495" s="76" t="str">
        <f t="shared" si="54"/>
        <v>,shikkan487_start_date</v>
      </c>
      <c r="Q495" s="76" t="str">
        <f t="shared" si="55"/>
        <v>DATE</v>
      </c>
      <c r="R495" s="76" t="str">
        <f t="shared" si="56"/>
        <v/>
      </c>
      <c r="S495" s="76" t="str">
        <f t="shared" si="57"/>
        <v/>
      </c>
      <c r="T495" s="76" t="str">
        <f t="shared" si="58"/>
        <v>-- E109_疾患開始日</v>
      </c>
      <c r="U495" s="4" t="str">
        <f t="shared" si="59"/>
        <v>,'shikkan487_start_date'</v>
      </c>
      <c r="V495" s="25" t="str">
        <f t="shared" si="60"/>
        <v>,'shikkan487_start_date' : 'E109_疾患開始日'</v>
      </c>
      <c r="X495" s="25">
        <v>1</v>
      </c>
      <c r="AA495" s="4"/>
      <c r="AB495" s="4"/>
      <c r="AC495" s="4"/>
      <c r="AD495" s="4"/>
      <c r="AE495" s="4"/>
      <c r="AF495" s="4"/>
      <c r="AG495" s="4"/>
      <c r="AH495" s="4"/>
      <c r="AI495" s="4"/>
      <c r="AJ495" s="76" t="str">
        <f>IF(E495="○",IF(COUNTA(E$13:E495)=1,"",",")&amp;D495,"")</f>
        <v/>
      </c>
      <c r="AK495" s="4"/>
      <c r="AL495" s="4"/>
      <c r="AM495" s="4"/>
      <c r="AN495" s="4"/>
      <c r="AO495" s="4"/>
      <c r="AP495" s="4"/>
      <c r="AQ495" s="4"/>
      <c r="AR495" s="4"/>
      <c r="AS495" s="76" t="str">
        <f>"COMMENT ON COLUMN "&amp;エンティティ一覧!$O$2&amp;"."&amp;D$8&amp;"."&amp;D495&amp;" IS '"&amp;C495&amp;"';"</f>
        <v>COMMENT ON COLUMN milscm_2023_009.main_diagnosis_start_date.shikkan487_start_date IS 'E109_疾患開始日';</v>
      </c>
    </row>
    <row r="496" spans="1:45" s="25" customFormat="1">
      <c r="A496" s="4" t="s">
        <v>5093</v>
      </c>
      <c r="B496" s="21">
        <f t="shared" si="53"/>
        <v>494</v>
      </c>
      <c r="C496" s="13" t="str">
        <f t="shared" si="61"/>
        <v>E110_疾患開始日</v>
      </c>
      <c r="D496" s="13" t="s">
        <v>6148</v>
      </c>
      <c r="E496" s="8"/>
      <c r="F496" s="7" t="s">
        <v>4348</v>
      </c>
      <c r="G496" s="7" t="s">
        <v>25</v>
      </c>
      <c r="H496" s="58"/>
      <c r="I496" s="23"/>
      <c r="J496" s="24"/>
      <c r="M496" s="4"/>
      <c r="N496" s="76"/>
      <c r="O496" s="76"/>
      <c r="P496" s="76" t="str">
        <f t="shared" si="54"/>
        <v>,shikkan488_start_date</v>
      </c>
      <c r="Q496" s="76" t="str">
        <f t="shared" si="55"/>
        <v>DATE</v>
      </c>
      <c r="R496" s="76" t="str">
        <f t="shared" si="56"/>
        <v/>
      </c>
      <c r="S496" s="76" t="str">
        <f t="shared" si="57"/>
        <v/>
      </c>
      <c r="T496" s="76" t="str">
        <f t="shared" si="58"/>
        <v>-- E110_疾患開始日</v>
      </c>
      <c r="U496" s="4" t="str">
        <f t="shared" si="59"/>
        <v>,'shikkan488_start_date'</v>
      </c>
      <c r="V496" s="25" t="str">
        <f t="shared" si="60"/>
        <v>,'shikkan488_start_date' : 'E110_疾患開始日'</v>
      </c>
      <c r="X496" s="25">
        <v>1</v>
      </c>
      <c r="AA496" s="4"/>
      <c r="AB496" s="4"/>
      <c r="AC496" s="4"/>
      <c r="AD496" s="4"/>
      <c r="AE496" s="4"/>
      <c r="AF496" s="4"/>
      <c r="AG496" s="4"/>
      <c r="AH496" s="4"/>
      <c r="AI496" s="4"/>
      <c r="AJ496" s="76" t="str">
        <f>IF(E496="○",IF(COUNTA(E$13:E496)=1,"",",")&amp;D496,"")</f>
        <v/>
      </c>
      <c r="AK496" s="4"/>
      <c r="AL496" s="4"/>
      <c r="AM496" s="4"/>
      <c r="AN496" s="4"/>
      <c r="AO496" s="4"/>
      <c r="AP496" s="4"/>
      <c r="AQ496" s="4"/>
      <c r="AR496" s="4"/>
      <c r="AS496" s="76" t="str">
        <f>"COMMENT ON COLUMN "&amp;エンティティ一覧!$O$2&amp;"."&amp;D$8&amp;"."&amp;D496&amp;" IS '"&amp;C496&amp;"';"</f>
        <v>COMMENT ON COLUMN milscm_2023_009.main_diagnosis_start_date.shikkan488_start_date IS 'E110_疾患開始日';</v>
      </c>
    </row>
    <row r="497" spans="1:45" s="25" customFormat="1">
      <c r="A497" s="4" t="s">
        <v>5094</v>
      </c>
      <c r="B497" s="21">
        <f t="shared" si="53"/>
        <v>495</v>
      </c>
      <c r="C497" s="13" t="str">
        <f t="shared" si="61"/>
        <v>E111_疾患開始日</v>
      </c>
      <c r="D497" s="13" t="s">
        <v>6149</v>
      </c>
      <c r="E497" s="8"/>
      <c r="F497" s="7" t="s">
        <v>4348</v>
      </c>
      <c r="G497" s="7" t="s">
        <v>25</v>
      </c>
      <c r="H497" s="58"/>
      <c r="I497" s="23"/>
      <c r="J497" s="24"/>
      <c r="M497" s="4"/>
      <c r="N497" s="76"/>
      <c r="O497" s="76"/>
      <c r="P497" s="76" t="str">
        <f t="shared" si="54"/>
        <v>,shikkan489_start_date</v>
      </c>
      <c r="Q497" s="76" t="str">
        <f t="shared" si="55"/>
        <v>DATE</v>
      </c>
      <c r="R497" s="76" t="str">
        <f t="shared" si="56"/>
        <v/>
      </c>
      <c r="S497" s="76" t="str">
        <f t="shared" si="57"/>
        <v/>
      </c>
      <c r="T497" s="76" t="str">
        <f t="shared" si="58"/>
        <v>-- E111_疾患開始日</v>
      </c>
      <c r="U497" s="4" t="str">
        <f t="shared" si="59"/>
        <v>,'shikkan489_start_date'</v>
      </c>
      <c r="V497" s="25" t="str">
        <f t="shared" si="60"/>
        <v>,'shikkan489_start_date' : 'E111_疾患開始日'</v>
      </c>
      <c r="X497" s="25">
        <v>1</v>
      </c>
      <c r="AA497" s="4"/>
      <c r="AB497" s="4"/>
      <c r="AC497" s="4"/>
      <c r="AD497" s="4"/>
      <c r="AE497" s="4"/>
      <c r="AF497" s="4"/>
      <c r="AG497" s="4"/>
      <c r="AH497" s="4"/>
      <c r="AI497" s="4"/>
      <c r="AJ497" s="76" t="str">
        <f>IF(E497="○",IF(COUNTA(E$13:E497)=1,"",",")&amp;D497,"")</f>
        <v/>
      </c>
      <c r="AK497" s="4"/>
      <c r="AL497" s="4"/>
      <c r="AM497" s="4"/>
      <c r="AN497" s="4"/>
      <c r="AO497" s="4"/>
      <c r="AP497" s="4"/>
      <c r="AQ497" s="4"/>
      <c r="AR497" s="4"/>
      <c r="AS497" s="76" t="str">
        <f>"COMMENT ON COLUMN "&amp;エンティティ一覧!$O$2&amp;"."&amp;D$8&amp;"."&amp;D497&amp;" IS '"&amp;C497&amp;"';"</f>
        <v>COMMENT ON COLUMN milscm_2023_009.main_diagnosis_start_date.shikkan489_start_date IS 'E111_疾患開始日';</v>
      </c>
    </row>
    <row r="498" spans="1:45" s="25" customFormat="1">
      <c r="A498" s="4" t="s">
        <v>5117</v>
      </c>
      <c r="B498" s="21">
        <f t="shared" si="53"/>
        <v>496</v>
      </c>
      <c r="C498" s="13" t="str">
        <f t="shared" si="61"/>
        <v>E112_疾患開始日</v>
      </c>
      <c r="D498" s="13" t="s">
        <v>6150</v>
      </c>
      <c r="E498" s="8"/>
      <c r="F498" s="7" t="s">
        <v>4348</v>
      </c>
      <c r="G498" s="7" t="s">
        <v>25</v>
      </c>
      <c r="H498" s="58"/>
      <c r="I498" s="23"/>
      <c r="J498" s="24"/>
      <c r="M498" s="4"/>
      <c r="N498" s="76"/>
      <c r="O498" s="76"/>
      <c r="P498" s="76" t="str">
        <f t="shared" si="54"/>
        <v>,shikkan490_start_date</v>
      </c>
      <c r="Q498" s="76" t="str">
        <f t="shared" si="55"/>
        <v>DATE</v>
      </c>
      <c r="R498" s="76" t="str">
        <f t="shared" si="56"/>
        <v/>
      </c>
      <c r="S498" s="76" t="str">
        <f t="shared" si="57"/>
        <v/>
      </c>
      <c r="T498" s="76" t="str">
        <f t="shared" si="58"/>
        <v>-- E112_疾患開始日</v>
      </c>
      <c r="U498" s="4" t="str">
        <f t="shared" si="59"/>
        <v>,'shikkan490_start_date'</v>
      </c>
      <c r="V498" s="25" t="str">
        <f t="shared" si="60"/>
        <v>,'shikkan490_start_date' : 'E112_疾患開始日'</v>
      </c>
      <c r="X498" s="25">
        <v>1</v>
      </c>
      <c r="AA498" s="4"/>
      <c r="AB498" s="4"/>
      <c r="AC498" s="4"/>
      <c r="AD498" s="4"/>
      <c r="AE498" s="4"/>
      <c r="AF498" s="4"/>
      <c r="AG498" s="4"/>
      <c r="AH498" s="4"/>
      <c r="AI498" s="4"/>
      <c r="AJ498" s="76" t="str">
        <f>IF(E498="○",IF(COUNTA(E$13:E498)=1,"",",")&amp;D498,"")</f>
        <v/>
      </c>
      <c r="AK498" s="4"/>
      <c r="AL498" s="4"/>
      <c r="AM498" s="4"/>
      <c r="AN498" s="4"/>
      <c r="AO498" s="4"/>
      <c r="AP498" s="4"/>
      <c r="AQ498" s="4"/>
      <c r="AR498" s="4"/>
      <c r="AS498" s="76" t="str">
        <f>"COMMENT ON COLUMN "&amp;エンティティ一覧!$O$2&amp;"."&amp;D$8&amp;"."&amp;D498&amp;" IS '"&amp;C498&amp;"';"</f>
        <v>COMMENT ON COLUMN milscm_2023_009.main_diagnosis_start_date.shikkan490_start_date IS 'E112_疾患開始日';</v>
      </c>
    </row>
    <row r="499" spans="1:45" s="25" customFormat="1">
      <c r="A499" s="4" t="s">
        <v>5118</v>
      </c>
      <c r="B499" s="21">
        <f t="shared" si="53"/>
        <v>497</v>
      </c>
      <c r="C499" s="13" t="str">
        <f t="shared" si="61"/>
        <v>E113_疾患開始日</v>
      </c>
      <c r="D499" s="13" t="s">
        <v>6151</v>
      </c>
      <c r="E499" s="8"/>
      <c r="F499" s="7" t="s">
        <v>4348</v>
      </c>
      <c r="G499" s="7" t="s">
        <v>25</v>
      </c>
      <c r="H499" s="58"/>
      <c r="I499" s="23"/>
      <c r="J499" s="24"/>
      <c r="M499" s="4"/>
      <c r="N499" s="76"/>
      <c r="O499" s="76"/>
      <c r="P499" s="76" t="str">
        <f t="shared" si="54"/>
        <v>,shikkan491_start_date</v>
      </c>
      <c r="Q499" s="76" t="str">
        <f t="shared" si="55"/>
        <v>DATE</v>
      </c>
      <c r="R499" s="76" t="str">
        <f t="shared" si="56"/>
        <v/>
      </c>
      <c r="S499" s="76" t="str">
        <f t="shared" si="57"/>
        <v/>
      </c>
      <c r="T499" s="76" t="str">
        <f t="shared" si="58"/>
        <v>-- E113_疾患開始日</v>
      </c>
      <c r="U499" s="4" t="str">
        <f t="shared" si="59"/>
        <v>,'shikkan491_start_date'</v>
      </c>
      <c r="V499" s="25" t="str">
        <f t="shared" si="60"/>
        <v>,'shikkan491_start_date' : 'E113_疾患開始日'</v>
      </c>
      <c r="X499" s="25">
        <v>1</v>
      </c>
      <c r="AA499" s="4"/>
      <c r="AB499" s="4"/>
      <c r="AC499" s="4"/>
      <c r="AD499" s="4"/>
      <c r="AE499" s="4"/>
      <c r="AF499" s="4"/>
      <c r="AG499" s="4"/>
      <c r="AH499" s="4"/>
      <c r="AI499" s="4"/>
      <c r="AJ499" s="76" t="str">
        <f>IF(E499="○",IF(COUNTA(E$13:E499)=1,"",",")&amp;D499,"")</f>
        <v/>
      </c>
      <c r="AK499" s="4"/>
      <c r="AL499" s="4"/>
      <c r="AM499" s="4"/>
      <c r="AN499" s="4"/>
      <c r="AO499" s="4"/>
      <c r="AP499" s="4"/>
      <c r="AQ499" s="4"/>
      <c r="AR499" s="4"/>
      <c r="AS499" s="76" t="str">
        <f>"COMMENT ON COLUMN "&amp;エンティティ一覧!$O$2&amp;"."&amp;D$8&amp;"."&amp;D499&amp;" IS '"&amp;C499&amp;"';"</f>
        <v>COMMENT ON COLUMN milscm_2023_009.main_diagnosis_start_date.shikkan491_start_date IS 'E113_疾患開始日';</v>
      </c>
    </row>
    <row r="500" spans="1:45" s="25" customFormat="1">
      <c r="A500" s="4" t="s">
        <v>5119</v>
      </c>
      <c r="B500" s="21">
        <f t="shared" si="53"/>
        <v>498</v>
      </c>
      <c r="C500" s="13" t="str">
        <f t="shared" si="61"/>
        <v>E114_疾患開始日</v>
      </c>
      <c r="D500" s="13" t="s">
        <v>6152</v>
      </c>
      <c r="E500" s="8"/>
      <c r="F500" s="7" t="s">
        <v>4348</v>
      </c>
      <c r="G500" s="7" t="s">
        <v>25</v>
      </c>
      <c r="H500" s="58"/>
      <c r="I500" s="23"/>
      <c r="J500" s="24"/>
      <c r="M500" s="4"/>
      <c r="N500" s="76"/>
      <c r="O500" s="76"/>
      <c r="P500" s="76" t="str">
        <f t="shared" si="54"/>
        <v>,shikkan492_start_date</v>
      </c>
      <c r="Q500" s="76" t="str">
        <f t="shared" si="55"/>
        <v>DATE</v>
      </c>
      <c r="R500" s="76" t="str">
        <f t="shared" si="56"/>
        <v/>
      </c>
      <c r="S500" s="76" t="str">
        <f t="shared" si="57"/>
        <v/>
      </c>
      <c r="T500" s="76" t="str">
        <f t="shared" si="58"/>
        <v>-- E114_疾患開始日</v>
      </c>
      <c r="U500" s="4" t="str">
        <f t="shared" si="59"/>
        <v>,'shikkan492_start_date'</v>
      </c>
      <c r="V500" s="25" t="str">
        <f t="shared" si="60"/>
        <v>,'shikkan492_start_date' : 'E114_疾患開始日'</v>
      </c>
      <c r="X500" s="25">
        <v>1</v>
      </c>
      <c r="AA500" s="4"/>
      <c r="AB500" s="4"/>
      <c r="AC500" s="4"/>
      <c r="AD500" s="4"/>
      <c r="AE500" s="4"/>
      <c r="AF500" s="4"/>
      <c r="AG500" s="4"/>
      <c r="AH500" s="4"/>
      <c r="AI500" s="4"/>
      <c r="AJ500" s="76" t="str">
        <f>IF(E500="○",IF(COUNTA(E$13:E500)=1,"",",")&amp;D500,"")</f>
        <v/>
      </c>
      <c r="AK500" s="4"/>
      <c r="AL500" s="4"/>
      <c r="AM500" s="4"/>
      <c r="AN500" s="4"/>
      <c r="AO500" s="4"/>
      <c r="AP500" s="4"/>
      <c r="AQ500" s="4"/>
      <c r="AR500" s="4"/>
      <c r="AS500" s="76" t="str">
        <f>"COMMENT ON COLUMN "&amp;エンティティ一覧!$O$2&amp;"."&amp;D$8&amp;"."&amp;D500&amp;" IS '"&amp;C500&amp;"';"</f>
        <v>COMMENT ON COLUMN milscm_2023_009.main_diagnosis_start_date.shikkan492_start_date IS 'E114_疾患開始日';</v>
      </c>
    </row>
    <row r="501" spans="1:45" s="25" customFormat="1">
      <c r="A501" s="4" t="s">
        <v>5120</v>
      </c>
      <c r="B501" s="21">
        <f t="shared" si="53"/>
        <v>499</v>
      </c>
      <c r="C501" s="13" t="str">
        <f t="shared" si="61"/>
        <v>E115_疾患開始日</v>
      </c>
      <c r="D501" s="13" t="s">
        <v>6153</v>
      </c>
      <c r="E501" s="8"/>
      <c r="F501" s="7" t="s">
        <v>4348</v>
      </c>
      <c r="G501" s="7" t="s">
        <v>25</v>
      </c>
      <c r="H501" s="58"/>
      <c r="I501" s="23"/>
      <c r="J501" s="24"/>
      <c r="M501" s="4"/>
      <c r="N501" s="76"/>
      <c r="O501" s="76"/>
      <c r="P501" s="76" t="str">
        <f t="shared" si="54"/>
        <v>,shikkan493_start_date</v>
      </c>
      <c r="Q501" s="76" t="str">
        <f t="shared" si="55"/>
        <v>DATE</v>
      </c>
      <c r="R501" s="76" t="str">
        <f t="shared" si="56"/>
        <v/>
      </c>
      <c r="S501" s="76" t="str">
        <f t="shared" si="57"/>
        <v/>
      </c>
      <c r="T501" s="76" t="str">
        <f t="shared" si="58"/>
        <v>-- E115_疾患開始日</v>
      </c>
      <c r="U501" s="4" t="str">
        <f t="shared" si="59"/>
        <v>,'shikkan493_start_date'</v>
      </c>
      <c r="V501" s="25" t="str">
        <f t="shared" si="60"/>
        <v>,'shikkan493_start_date' : 'E115_疾患開始日'</v>
      </c>
      <c r="X501" s="25">
        <v>1</v>
      </c>
      <c r="AA501" s="4"/>
      <c r="AB501" s="4"/>
      <c r="AC501" s="4"/>
      <c r="AD501" s="4"/>
      <c r="AE501" s="4"/>
      <c r="AF501" s="4"/>
      <c r="AG501" s="4"/>
      <c r="AH501" s="4"/>
      <c r="AI501" s="4"/>
      <c r="AJ501" s="76" t="str">
        <f>IF(E501="○",IF(COUNTA(E$13:E501)=1,"",",")&amp;D501,"")</f>
        <v/>
      </c>
      <c r="AK501" s="4"/>
      <c r="AL501" s="4"/>
      <c r="AM501" s="4"/>
      <c r="AN501" s="4"/>
      <c r="AO501" s="4"/>
      <c r="AP501" s="4"/>
      <c r="AQ501" s="4"/>
      <c r="AR501" s="4"/>
      <c r="AS501" s="76" t="str">
        <f>"COMMENT ON COLUMN "&amp;エンティティ一覧!$O$2&amp;"."&amp;D$8&amp;"."&amp;D501&amp;" IS '"&amp;C501&amp;"';"</f>
        <v>COMMENT ON COLUMN milscm_2023_009.main_diagnosis_start_date.shikkan493_start_date IS 'E115_疾患開始日';</v>
      </c>
    </row>
    <row r="502" spans="1:45" s="25" customFormat="1">
      <c r="A502" s="4" t="s">
        <v>5095</v>
      </c>
      <c r="B502" s="21">
        <f t="shared" si="53"/>
        <v>500</v>
      </c>
      <c r="C502" s="13" t="str">
        <f t="shared" si="61"/>
        <v>E116_疾患開始日</v>
      </c>
      <c r="D502" s="13" t="s">
        <v>6154</v>
      </c>
      <c r="E502" s="8"/>
      <c r="F502" s="7" t="s">
        <v>4348</v>
      </c>
      <c r="G502" s="7" t="s">
        <v>25</v>
      </c>
      <c r="H502" s="58"/>
      <c r="I502" s="23"/>
      <c r="J502" s="24"/>
      <c r="M502" s="4"/>
      <c r="N502" s="76"/>
      <c r="O502" s="76"/>
      <c r="P502" s="76" t="str">
        <f t="shared" si="54"/>
        <v>,shikkan494_start_date</v>
      </c>
      <c r="Q502" s="76" t="str">
        <f t="shared" si="55"/>
        <v>DATE</v>
      </c>
      <c r="R502" s="76" t="str">
        <f t="shared" si="56"/>
        <v/>
      </c>
      <c r="S502" s="76" t="str">
        <f t="shared" si="57"/>
        <v/>
      </c>
      <c r="T502" s="76" t="str">
        <f t="shared" si="58"/>
        <v>-- E116_疾患開始日</v>
      </c>
      <c r="U502" s="4" t="str">
        <f t="shared" si="59"/>
        <v>,'shikkan494_start_date'</v>
      </c>
      <c r="V502" s="25" t="str">
        <f t="shared" si="60"/>
        <v>,'shikkan494_start_date' : 'E116_疾患開始日'</v>
      </c>
      <c r="X502" s="25">
        <v>1</v>
      </c>
      <c r="AA502" s="4"/>
      <c r="AB502" s="4"/>
      <c r="AC502" s="4"/>
      <c r="AD502" s="4"/>
      <c r="AE502" s="4"/>
      <c r="AF502" s="4"/>
      <c r="AG502" s="4"/>
      <c r="AH502" s="4"/>
      <c r="AI502" s="4"/>
      <c r="AJ502" s="76" t="str">
        <f>IF(E502="○",IF(COUNTA(E$13:E502)=1,"",",")&amp;D502,"")</f>
        <v/>
      </c>
      <c r="AK502" s="4"/>
      <c r="AL502" s="4"/>
      <c r="AM502" s="4"/>
      <c r="AN502" s="4"/>
      <c r="AO502" s="4"/>
      <c r="AP502" s="4"/>
      <c r="AQ502" s="4"/>
      <c r="AR502" s="4"/>
      <c r="AS502" s="76" t="str">
        <f>"COMMENT ON COLUMN "&amp;エンティティ一覧!$O$2&amp;"."&amp;D$8&amp;"."&amp;D502&amp;" IS '"&amp;C502&amp;"';"</f>
        <v>COMMENT ON COLUMN milscm_2023_009.main_diagnosis_start_date.shikkan494_start_date IS 'E116_疾患開始日';</v>
      </c>
    </row>
    <row r="503" spans="1:45" s="25" customFormat="1">
      <c r="A503" s="4" t="s">
        <v>5121</v>
      </c>
      <c r="B503" s="21">
        <f t="shared" si="53"/>
        <v>501</v>
      </c>
      <c r="C503" s="13" t="str">
        <f t="shared" si="61"/>
        <v>E117_疾患開始日</v>
      </c>
      <c r="D503" s="13" t="s">
        <v>6155</v>
      </c>
      <c r="E503" s="8"/>
      <c r="F503" s="7" t="s">
        <v>4348</v>
      </c>
      <c r="G503" s="7" t="s">
        <v>25</v>
      </c>
      <c r="H503" s="58"/>
      <c r="I503" s="23"/>
      <c r="J503" s="24"/>
      <c r="M503" s="4"/>
      <c r="N503" s="76"/>
      <c r="O503" s="76"/>
      <c r="P503" s="76" t="str">
        <f t="shared" si="54"/>
        <v>,shikkan495_start_date</v>
      </c>
      <c r="Q503" s="76" t="str">
        <f t="shared" si="55"/>
        <v>DATE</v>
      </c>
      <c r="R503" s="76" t="str">
        <f t="shared" si="56"/>
        <v/>
      </c>
      <c r="S503" s="76" t="str">
        <f t="shared" si="57"/>
        <v/>
      </c>
      <c r="T503" s="76" t="str">
        <f t="shared" si="58"/>
        <v>-- E117_疾患開始日</v>
      </c>
      <c r="U503" s="4" t="str">
        <f t="shared" si="59"/>
        <v>,'shikkan495_start_date'</v>
      </c>
      <c r="V503" s="25" t="str">
        <f t="shared" si="60"/>
        <v>,'shikkan495_start_date' : 'E117_疾患開始日'</v>
      </c>
      <c r="X503" s="25">
        <v>1</v>
      </c>
      <c r="AA503" s="4"/>
      <c r="AB503" s="4"/>
      <c r="AC503" s="4"/>
      <c r="AD503" s="4"/>
      <c r="AE503" s="4"/>
      <c r="AF503" s="4"/>
      <c r="AG503" s="4"/>
      <c r="AH503" s="4"/>
      <c r="AI503" s="4"/>
      <c r="AJ503" s="76" t="str">
        <f>IF(E503="○",IF(COUNTA(E$13:E503)=1,"",",")&amp;D503,"")</f>
        <v/>
      </c>
      <c r="AK503" s="4"/>
      <c r="AL503" s="4"/>
      <c r="AM503" s="4"/>
      <c r="AN503" s="4"/>
      <c r="AO503" s="4"/>
      <c r="AP503" s="4"/>
      <c r="AQ503" s="4"/>
      <c r="AR503" s="4"/>
      <c r="AS503" s="76" t="str">
        <f>"COMMENT ON COLUMN "&amp;エンティティ一覧!$O$2&amp;"."&amp;D$8&amp;"."&amp;D503&amp;" IS '"&amp;C503&amp;"';"</f>
        <v>COMMENT ON COLUMN milscm_2023_009.main_diagnosis_start_date.shikkan495_start_date IS 'E117_疾患開始日';</v>
      </c>
    </row>
    <row r="504" spans="1:45" s="25" customFormat="1">
      <c r="A504" s="4" t="s">
        <v>5096</v>
      </c>
      <c r="B504" s="21">
        <f t="shared" si="53"/>
        <v>502</v>
      </c>
      <c r="C504" s="13" t="str">
        <f t="shared" si="61"/>
        <v>E118_疾患開始日</v>
      </c>
      <c r="D504" s="13" t="s">
        <v>6156</v>
      </c>
      <c r="E504" s="8"/>
      <c r="F504" s="7" t="s">
        <v>4348</v>
      </c>
      <c r="G504" s="7" t="s">
        <v>99</v>
      </c>
      <c r="H504" s="58"/>
      <c r="I504" s="23"/>
      <c r="J504" s="24"/>
      <c r="M504" s="4"/>
      <c r="N504" s="76"/>
      <c r="O504" s="76"/>
      <c r="P504" s="76" t="str">
        <f t="shared" si="54"/>
        <v>,shikkan496_start_date</v>
      </c>
      <c r="Q504" s="76" t="str">
        <f t="shared" si="55"/>
        <v>DATE</v>
      </c>
      <c r="R504" s="76" t="str">
        <f t="shared" si="56"/>
        <v/>
      </c>
      <c r="S504" s="76" t="str">
        <f t="shared" si="57"/>
        <v/>
      </c>
      <c r="T504" s="76" t="str">
        <f t="shared" si="58"/>
        <v>-- E118_疾患開始日</v>
      </c>
      <c r="U504" s="4" t="str">
        <f t="shared" si="59"/>
        <v>,'shikkan496_start_date'</v>
      </c>
      <c r="V504" s="25" t="str">
        <f t="shared" si="60"/>
        <v>,'shikkan496_start_date' : 'E118_疾患開始日'</v>
      </c>
      <c r="X504" s="25">
        <v>1</v>
      </c>
      <c r="AA504" s="4"/>
      <c r="AB504" s="4"/>
      <c r="AC504" s="4"/>
      <c r="AD504" s="4"/>
      <c r="AE504" s="4"/>
      <c r="AF504" s="4"/>
      <c r="AG504" s="4"/>
      <c r="AH504" s="4"/>
      <c r="AI504" s="4"/>
      <c r="AJ504" s="76" t="str">
        <f>IF(E504="○",IF(COUNTA(E$13:E504)=1,"",",")&amp;D504,"")</f>
        <v/>
      </c>
      <c r="AK504" s="4"/>
      <c r="AL504" s="4"/>
      <c r="AM504" s="4"/>
      <c r="AN504" s="4"/>
      <c r="AO504" s="4"/>
      <c r="AP504" s="4"/>
      <c r="AQ504" s="4"/>
      <c r="AR504" s="4"/>
      <c r="AS504" s="76" t="str">
        <f>"COMMENT ON COLUMN "&amp;エンティティ一覧!$O$2&amp;"."&amp;D$8&amp;"."&amp;D504&amp;" IS '"&amp;C504&amp;"';"</f>
        <v>COMMENT ON COLUMN milscm_2023_009.main_diagnosis_start_date.shikkan496_start_date IS 'E118_疾患開始日';</v>
      </c>
    </row>
    <row r="505" spans="1:45" s="25" customFormat="1">
      <c r="A505" s="4" t="s">
        <v>5097</v>
      </c>
      <c r="B505" s="21">
        <f t="shared" si="53"/>
        <v>503</v>
      </c>
      <c r="C505" s="13" t="str">
        <f t="shared" si="61"/>
        <v>E119_疾患開始日</v>
      </c>
      <c r="D505" s="13" t="s">
        <v>6157</v>
      </c>
      <c r="E505" s="8"/>
      <c r="F505" s="7" t="s">
        <v>4348</v>
      </c>
      <c r="G505" s="7" t="s">
        <v>25</v>
      </c>
      <c r="H505" s="58"/>
      <c r="I505" s="23"/>
      <c r="J505" s="24"/>
      <c r="M505" s="4"/>
      <c r="N505" s="76"/>
      <c r="O505" s="76"/>
      <c r="P505" s="76" t="str">
        <f t="shared" si="54"/>
        <v>,shikkan497_start_date</v>
      </c>
      <c r="Q505" s="76" t="str">
        <f t="shared" si="55"/>
        <v>DATE</v>
      </c>
      <c r="R505" s="76" t="str">
        <f t="shared" si="56"/>
        <v/>
      </c>
      <c r="S505" s="76" t="str">
        <f t="shared" si="57"/>
        <v/>
      </c>
      <c r="T505" s="76" t="str">
        <f t="shared" si="58"/>
        <v>-- E119_疾患開始日</v>
      </c>
      <c r="U505" s="4" t="str">
        <f t="shared" si="59"/>
        <v>,'shikkan497_start_date'</v>
      </c>
      <c r="V505" s="25" t="str">
        <f t="shared" si="60"/>
        <v>,'shikkan497_start_date' : 'E119_疾患開始日'</v>
      </c>
      <c r="X505" s="25">
        <v>1</v>
      </c>
      <c r="AA505" s="4"/>
      <c r="AB505" s="4"/>
      <c r="AC505" s="4"/>
      <c r="AD505" s="4"/>
      <c r="AE505" s="4"/>
      <c r="AF505" s="4"/>
      <c r="AG505" s="4"/>
      <c r="AH505" s="4"/>
      <c r="AI505" s="4"/>
      <c r="AJ505" s="76" t="str">
        <f>IF(E505="○",IF(COUNTA(E$13:E505)=1,"",",")&amp;D505,"")</f>
        <v/>
      </c>
      <c r="AK505" s="4"/>
      <c r="AL505" s="4"/>
      <c r="AM505" s="4"/>
      <c r="AN505" s="4"/>
      <c r="AO505" s="4"/>
      <c r="AP505" s="4"/>
      <c r="AQ505" s="4"/>
      <c r="AR505" s="4"/>
      <c r="AS505" s="76" t="str">
        <f>"COMMENT ON COLUMN "&amp;エンティティ一覧!$O$2&amp;"."&amp;D$8&amp;"."&amp;D505&amp;" IS '"&amp;C505&amp;"';"</f>
        <v>COMMENT ON COLUMN milscm_2023_009.main_diagnosis_start_date.shikkan497_start_date IS 'E119_疾患開始日';</v>
      </c>
    </row>
    <row r="506" spans="1:45" s="25" customFormat="1">
      <c r="A506" s="4" t="s">
        <v>5098</v>
      </c>
      <c r="B506" s="21">
        <f t="shared" si="53"/>
        <v>504</v>
      </c>
      <c r="C506" s="13" t="str">
        <f t="shared" si="61"/>
        <v>E120_疾患開始日</v>
      </c>
      <c r="D506" s="13" t="s">
        <v>6158</v>
      </c>
      <c r="E506" s="8"/>
      <c r="F506" s="7" t="s">
        <v>4348</v>
      </c>
      <c r="G506" s="7" t="s">
        <v>25</v>
      </c>
      <c r="H506" s="58"/>
      <c r="I506" s="23"/>
      <c r="J506" s="24"/>
      <c r="M506" s="4"/>
      <c r="N506" s="76"/>
      <c r="O506" s="76"/>
      <c r="P506" s="76" t="str">
        <f t="shared" si="54"/>
        <v>,shikkan498_start_date</v>
      </c>
      <c r="Q506" s="76" t="str">
        <f t="shared" si="55"/>
        <v>DATE</v>
      </c>
      <c r="R506" s="76" t="str">
        <f t="shared" si="56"/>
        <v/>
      </c>
      <c r="S506" s="76" t="str">
        <f t="shared" si="57"/>
        <v/>
      </c>
      <c r="T506" s="76" t="str">
        <f t="shared" si="58"/>
        <v>-- E120_疾患開始日</v>
      </c>
      <c r="U506" s="4" t="str">
        <f t="shared" si="59"/>
        <v>,'shikkan498_start_date'</v>
      </c>
      <c r="V506" s="25" t="str">
        <f t="shared" si="60"/>
        <v>,'shikkan498_start_date' : 'E120_疾患開始日'</v>
      </c>
      <c r="X506" s="25">
        <v>1</v>
      </c>
      <c r="AA506" s="4"/>
      <c r="AB506" s="4"/>
      <c r="AC506" s="4"/>
      <c r="AD506" s="4"/>
      <c r="AE506" s="4"/>
      <c r="AF506" s="4"/>
      <c r="AG506" s="4"/>
      <c r="AH506" s="4"/>
      <c r="AI506" s="4"/>
      <c r="AJ506" s="76" t="str">
        <f>IF(E506="○",IF(COUNTA(E$13:E506)=1,"",",")&amp;D506,"")</f>
        <v/>
      </c>
      <c r="AK506" s="4"/>
      <c r="AL506" s="4"/>
      <c r="AM506" s="4"/>
      <c r="AN506" s="4"/>
      <c r="AO506" s="4"/>
      <c r="AP506" s="4"/>
      <c r="AQ506" s="4"/>
      <c r="AR506" s="4"/>
      <c r="AS506" s="76" t="str">
        <f>"COMMENT ON COLUMN "&amp;エンティティ一覧!$O$2&amp;"."&amp;D$8&amp;"."&amp;D506&amp;" IS '"&amp;C506&amp;"';"</f>
        <v>COMMENT ON COLUMN milscm_2023_009.main_diagnosis_start_date.shikkan498_start_date IS 'E120_疾患開始日';</v>
      </c>
    </row>
    <row r="507" spans="1:45" s="25" customFormat="1">
      <c r="A507" s="4" t="s">
        <v>5099</v>
      </c>
      <c r="B507" s="21">
        <f t="shared" si="53"/>
        <v>505</v>
      </c>
      <c r="C507" s="13" t="str">
        <f t="shared" si="61"/>
        <v>E121_疾患開始日</v>
      </c>
      <c r="D507" s="13" t="s">
        <v>6159</v>
      </c>
      <c r="E507" s="8"/>
      <c r="F507" s="7" t="s">
        <v>4348</v>
      </c>
      <c r="G507" s="7" t="s">
        <v>25</v>
      </c>
      <c r="H507" s="58"/>
      <c r="I507" s="23"/>
      <c r="J507" s="24"/>
      <c r="M507" s="4"/>
      <c r="N507" s="76"/>
      <c r="O507" s="76"/>
      <c r="P507" s="76" t="str">
        <f t="shared" si="54"/>
        <v>,shikkan499_start_date</v>
      </c>
      <c r="Q507" s="76" t="str">
        <f t="shared" si="55"/>
        <v>DATE</v>
      </c>
      <c r="R507" s="76" t="str">
        <f t="shared" si="56"/>
        <v/>
      </c>
      <c r="S507" s="76" t="str">
        <f t="shared" si="57"/>
        <v/>
      </c>
      <c r="T507" s="76" t="str">
        <f t="shared" si="58"/>
        <v>-- E121_疾患開始日</v>
      </c>
      <c r="U507" s="4" t="str">
        <f t="shared" si="59"/>
        <v>,'shikkan499_start_date'</v>
      </c>
      <c r="V507" s="25" t="str">
        <f t="shared" si="60"/>
        <v>,'shikkan499_start_date' : 'E121_疾患開始日'</v>
      </c>
      <c r="X507" s="25">
        <v>1</v>
      </c>
      <c r="AA507" s="4"/>
      <c r="AB507" s="4"/>
      <c r="AC507" s="4"/>
      <c r="AD507" s="4"/>
      <c r="AE507" s="4"/>
      <c r="AF507" s="4"/>
      <c r="AG507" s="4"/>
      <c r="AH507" s="4"/>
      <c r="AI507" s="4"/>
      <c r="AJ507" s="76" t="str">
        <f>IF(E507="○",IF(COUNTA(E$13:E507)=1,"",",")&amp;D507,"")</f>
        <v/>
      </c>
      <c r="AK507" s="4"/>
      <c r="AL507" s="4"/>
      <c r="AM507" s="4"/>
      <c r="AN507" s="4"/>
      <c r="AO507" s="4"/>
      <c r="AP507" s="4"/>
      <c r="AQ507" s="4"/>
      <c r="AR507" s="4"/>
      <c r="AS507" s="76" t="str">
        <f>"COMMENT ON COLUMN "&amp;エンティティ一覧!$O$2&amp;"."&amp;D$8&amp;"."&amp;D507&amp;" IS '"&amp;C507&amp;"';"</f>
        <v>COMMENT ON COLUMN milscm_2023_009.main_diagnosis_start_date.shikkan499_start_date IS 'E121_疾患開始日';</v>
      </c>
    </row>
    <row r="508" spans="1:45" s="25" customFormat="1">
      <c r="A508" s="4" t="s">
        <v>5122</v>
      </c>
      <c r="B508" s="21">
        <f t="shared" si="53"/>
        <v>506</v>
      </c>
      <c r="C508" s="13" t="str">
        <f t="shared" si="61"/>
        <v>E122_疾患開始日</v>
      </c>
      <c r="D508" s="13" t="s">
        <v>6160</v>
      </c>
      <c r="E508" s="8"/>
      <c r="F508" s="7" t="s">
        <v>4348</v>
      </c>
      <c r="G508" s="7" t="s">
        <v>25</v>
      </c>
      <c r="H508" s="58"/>
      <c r="I508" s="23"/>
      <c r="J508" s="24"/>
      <c r="M508" s="4"/>
      <c r="N508" s="76"/>
      <c r="O508" s="76"/>
      <c r="P508" s="76" t="str">
        <f t="shared" si="54"/>
        <v>,shikkan500_start_date</v>
      </c>
      <c r="Q508" s="76" t="str">
        <f t="shared" si="55"/>
        <v>DATE</v>
      </c>
      <c r="R508" s="76" t="str">
        <f t="shared" si="56"/>
        <v/>
      </c>
      <c r="S508" s="76" t="str">
        <f t="shared" si="57"/>
        <v/>
      </c>
      <c r="T508" s="76" t="str">
        <f t="shared" si="58"/>
        <v>-- E122_疾患開始日</v>
      </c>
      <c r="U508" s="4" t="str">
        <f t="shared" si="59"/>
        <v>,'shikkan500_start_date'</v>
      </c>
      <c r="V508" s="25" t="str">
        <f t="shared" si="60"/>
        <v>,'shikkan500_start_date' : 'E122_疾患開始日'</v>
      </c>
      <c r="X508" s="25">
        <v>1</v>
      </c>
      <c r="AA508" s="4"/>
      <c r="AB508" s="4"/>
      <c r="AC508" s="4"/>
      <c r="AD508" s="4"/>
      <c r="AE508" s="4"/>
      <c r="AF508" s="4"/>
      <c r="AG508" s="4"/>
      <c r="AH508" s="4"/>
      <c r="AI508" s="4"/>
      <c r="AJ508" s="76" t="str">
        <f>IF(E508="○",IF(COUNTA(E$13:E508)=1,"",",")&amp;D508,"")</f>
        <v/>
      </c>
      <c r="AK508" s="4"/>
      <c r="AL508" s="4"/>
      <c r="AM508" s="4"/>
      <c r="AN508" s="4"/>
      <c r="AO508" s="4"/>
      <c r="AP508" s="4"/>
      <c r="AQ508" s="4"/>
      <c r="AR508" s="4"/>
      <c r="AS508" s="76" t="str">
        <f>"COMMENT ON COLUMN "&amp;エンティティ一覧!$O$2&amp;"."&amp;D$8&amp;"."&amp;D508&amp;" IS '"&amp;C508&amp;"';"</f>
        <v>COMMENT ON COLUMN milscm_2023_009.main_diagnosis_start_date.shikkan500_start_date IS 'E122_疾患開始日';</v>
      </c>
    </row>
    <row r="509" spans="1:45" s="25" customFormat="1">
      <c r="A509" s="4" t="s">
        <v>5123</v>
      </c>
      <c r="B509" s="21">
        <f t="shared" si="53"/>
        <v>507</v>
      </c>
      <c r="C509" s="13" t="str">
        <f t="shared" si="61"/>
        <v>E123_疾患開始日</v>
      </c>
      <c r="D509" s="13" t="s">
        <v>6161</v>
      </c>
      <c r="E509" s="8"/>
      <c r="F509" s="7" t="s">
        <v>4348</v>
      </c>
      <c r="G509" s="7" t="s">
        <v>25</v>
      </c>
      <c r="H509" s="58"/>
      <c r="I509" s="23"/>
      <c r="J509" s="24"/>
      <c r="M509" s="4"/>
      <c r="N509" s="76"/>
      <c r="O509" s="76"/>
      <c r="P509" s="76" t="str">
        <f t="shared" si="54"/>
        <v>,shikkan501_start_date</v>
      </c>
      <c r="Q509" s="76" t="str">
        <f t="shared" si="55"/>
        <v>DATE</v>
      </c>
      <c r="R509" s="76" t="str">
        <f t="shared" si="56"/>
        <v/>
      </c>
      <c r="S509" s="76" t="str">
        <f t="shared" si="57"/>
        <v/>
      </c>
      <c r="T509" s="76" t="str">
        <f t="shared" si="58"/>
        <v>-- E123_疾患開始日</v>
      </c>
      <c r="U509" s="4" t="str">
        <f t="shared" si="59"/>
        <v>,'shikkan501_start_date'</v>
      </c>
      <c r="V509" s="25" t="str">
        <f t="shared" si="60"/>
        <v>,'shikkan501_start_date' : 'E123_疾患開始日'</v>
      </c>
      <c r="X509" s="25">
        <v>1</v>
      </c>
      <c r="AA509" s="4"/>
      <c r="AB509" s="4"/>
      <c r="AC509" s="4"/>
      <c r="AD509" s="4"/>
      <c r="AE509" s="4"/>
      <c r="AF509" s="4"/>
      <c r="AG509" s="4"/>
      <c r="AH509" s="4"/>
      <c r="AI509" s="4"/>
      <c r="AJ509" s="76" t="str">
        <f>IF(E509="○",IF(COUNTA(E$13:E509)=1,"",",")&amp;D509,"")</f>
        <v/>
      </c>
      <c r="AK509" s="4"/>
      <c r="AL509" s="4"/>
      <c r="AM509" s="4"/>
      <c r="AN509" s="4"/>
      <c r="AO509" s="4"/>
      <c r="AP509" s="4"/>
      <c r="AQ509" s="4"/>
      <c r="AR509" s="4"/>
      <c r="AS509" s="76" t="str">
        <f>"COMMENT ON COLUMN "&amp;エンティティ一覧!$O$2&amp;"."&amp;D$8&amp;"."&amp;D509&amp;" IS '"&amp;C509&amp;"';"</f>
        <v>COMMENT ON COLUMN milscm_2023_009.main_diagnosis_start_date.shikkan501_start_date IS 'E123_疾患開始日';</v>
      </c>
    </row>
    <row r="510" spans="1:45" s="25" customFormat="1">
      <c r="A510" s="4" t="s">
        <v>5124</v>
      </c>
      <c r="B510" s="21">
        <f t="shared" si="53"/>
        <v>508</v>
      </c>
      <c r="C510" s="13" t="str">
        <f t="shared" si="61"/>
        <v>E124_疾患開始日</v>
      </c>
      <c r="D510" s="13" t="s">
        <v>6162</v>
      </c>
      <c r="E510" s="8"/>
      <c r="F510" s="7" t="s">
        <v>4348</v>
      </c>
      <c r="G510" s="7" t="s">
        <v>25</v>
      </c>
      <c r="H510" s="58"/>
      <c r="I510" s="23"/>
      <c r="J510" s="24"/>
      <c r="M510" s="4"/>
      <c r="N510" s="76"/>
      <c r="O510" s="76"/>
      <c r="P510" s="76" t="str">
        <f t="shared" si="54"/>
        <v>,shikkan502_start_date</v>
      </c>
      <c r="Q510" s="76" t="str">
        <f t="shared" si="55"/>
        <v>DATE</v>
      </c>
      <c r="R510" s="76" t="str">
        <f t="shared" si="56"/>
        <v/>
      </c>
      <c r="S510" s="76" t="str">
        <f t="shared" si="57"/>
        <v/>
      </c>
      <c r="T510" s="76" t="str">
        <f t="shared" si="58"/>
        <v>-- E124_疾患開始日</v>
      </c>
      <c r="U510" s="4" t="str">
        <f t="shared" si="59"/>
        <v>,'shikkan502_start_date'</v>
      </c>
      <c r="V510" s="25" t="str">
        <f t="shared" si="60"/>
        <v>,'shikkan502_start_date' : 'E124_疾患開始日'</v>
      </c>
      <c r="X510" s="25">
        <v>1</v>
      </c>
      <c r="AA510" s="4"/>
      <c r="AB510" s="4"/>
      <c r="AC510" s="4"/>
      <c r="AD510" s="4"/>
      <c r="AE510" s="4"/>
      <c r="AF510" s="4"/>
      <c r="AG510" s="4"/>
      <c r="AH510" s="4"/>
      <c r="AI510" s="4"/>
      <c r="AJ510" s="76" t="str">
        <f>IF(E510="○",IF(COUNTA(E$13:E510)=1,"",",")&amp;D510,"")</f>
        <v/>
      </c>
      <c r="AK510" s="4"/>
      <c r="AL510" s="4"/>
      <c r="AM510" s="4"/>
      <c r="AN510" s="4"/>
      <c r="AO510" s="4"/>
      <c r="AP510" s="4"/>
      <c r="AQ510" s="4"/>
      <c r="AR510" s="4"/>
      <c r="AS510" s="76" t="str">
        <f>"COMMENT ON COLUMN "&amp;エンティティ一覧!$O$2&amp;"."&amp;D$8&amp;"."&amp;D510&amp;" IS '"&amp;C510&amp;"';"</f>
        <v>COMMENT ON COLUMN milscm_2023_009.main_diagnosis_start_date.shikkan502_start_date IS 'E124_疾患開始日';</v>
      </c>
    </row>
    <row r="511" spans="1:45" s="25" customFormat="1">
      <c r="A511" s="4" t="s">
        <v>5125</v>
      </c>
      <c r="B511" s="21">
        <f t="shared" si="53"/>
        <v>509</v>
      </c>
      <c r="C511" s="13" t="str">
        <f t="shared" si="61"/>
        <v>E125_疾患開始日</v>
      </c>
      <c r="D511" s="13" t="s">
        <v>6163</v>
      </c>
      <c r="E511" s="8"/>
      <c r="F511" s="7" t="s">
        <v>4348</v>
      </c>
      <c r="G511" s="7" t="s">
        <v>25</v>
      </c>
      <c r="H511" s="58"/>
      <c r="I511" s="23"/>
      <c r="J511" s="24"/>
      <c r="M511" s="4"/>
      <c r="N511" s="76"/>
      <c r="O511" s="76"/>
      <c r="P511" s="76" t="str">
        <f t="shared" si="54"/>
        <v>,shikkan503_start_date</v>
      </c>
      <c r="Q511" s="76" t="str">
        <f t="shared" si="55"/>
        <v>DATE</v>
      </c>
      <c r="R511" s="76" t="str">
        <f t="shared" si="56"/>
        <v/>
      </c>
      <c r="S511" s="76" t="str">
        <f t="shared" si="57"/>
        <v/>
      </c>
      <c r="T511" s="76" t="str">
        <f t="shared" si="58"/>
        <v>-- E125_疾患開始日</v>
      </c>
      <c r="U511" s="4" t="str">
        <f t="shared" si="59"/>
        <v>,'shikkan503_start_date'</v>
      </c>
      <c r="V511" s="25" t="str">
        <f t="shared" si="60"/>
        <v>,'shikkan503_start_date' : 'E125_疾患開始日'</v>
      </c>
      <c r="X511" s="25">
        <v>1</v>
      </c>
      <c r="AA511" s="4"/>
      <c r="AB511" s="4"/>
      <c r="AC511" s="4"/>
      <c r="AD511" s="4"/>
      <c r="AE511" s="4"/>
      <c r="AF511" s="4"/>
      <c r="AG511" s="4"/>
      <c r="AH511" s="4"/>
      <c r="AI511" s="4"/>
      <c r="AJ511" s="76" t="str">
        <f>IF(E511="○",IF(COUNTA(E$13:E511)=1,"",",")&amp;D511,"")</f>
        <v/>
      </c>
      <c r="AK511" s="4"/>
      <c r="AL511" s="4"/>
      <c r="AM511" s="4"/>
      <c r="AN511" s="4"/>
      <c r="AO511" s="4"/>
      <c r="AP511" s="4"/>
      <c r="AQ511" s="4"/>
      <c r="AR511" s="4"/>
      <c r="AS511" s="76" t="str">
        <f>"COMMENT ON COLUMN "&amp;エンティティ一覧!$O$2&amp;"."&amp;D$8&amp;"."&amp;D511&amp;" IS '"&amp;C511&amp;"';"</f>
        <v>COMMENT ON COLUMN milscm_2023_009.main_diagnosis_start_date.shikkan503_start_date IS 'E125_疾患開始日';</v>
      </c>
    </row>
    <row r="512" spans="1:45" s="25" customFormat="1">
      <c r="A512" s="4" t="s">
        <v>5100</v>
      </c>
      <c r="B512" s="21">
        <f t="shared" si="53"/>
        <v>510</v>
      </c>
      <c r="C512" s="13" t="str">
        <f t="shared" si="61"/>
        <v>E126_疾患開始日</v>
      </c>
      <c r="D512" s="13" t="s">
        <v>6164</v>
      </c>
      <c r="E512" s="8"/>
      <c r="F512" s="7" t="s">
        <v>4348</v>
      </c>
      <c r="G512" s="7" t="s">
        <v>25</v>
      </c>
      <c r="H512" s="58"/>
      <c r="I512" s="23"/>
      <c r="J512" s="24"/>
      <c r="M512" s="4"/>
      <c r="N512" s="76"/>
      <c r="O512" s="76"/>
      <c r="P512" s="76" t="str">
        <f t="shared" si="54"/>
        <v>,shikkan504_start_date</v>
      </c>
      <c r="Q512" s="76" t="str">
        <f t="shared" si="55"/>
        <v>DATE</v>
      </c>
      <c r="R512" s="76" t="str">
        <f t="shared" si="56"/>
        <v/>
      </c>
      <c r="S512" s="76" t="str">
        <f t="shared" si="57"/>
        <v/>
      </c>
      <c r="T512" s="76" t="str">
        <f t="shared" si="58"/>
        <v>-- E126_疾患開始日</v>
      </c>
      <c r="U512" s="4" t="str">
        <f t="shared" si="59"/>
        <v>,'shikkan504_start_date'</v>
      </c>
      <c r="V512" s="25" t="str">
        <f t="shared" si="60"/>
        <v>,'shikkan504_start_date' : 'E126_疾患開始日'</v>
      </c>
      <c r="X512" s="25">
        <v>1</v>
      </c>
      <c r="AA512" s="4"/>
      <c r="AB512" s="4"/>
      <c r="AC512" s="4"/>
      <c r="AD512" s="4"/>
      <c r="AE512" s="4"/>
      <c r="AF512" s="4"/>
      <c r="AG512" s="4"/>
      <c r="AH512" s="4"/>
      <c r="AI512" s="4"/>
      <c r="AJ512" s="76" t="str">
        <f>IF(E512="○",IF(COUNTA(E$13:E512)=1,"",",")&amp;D512,"")</f>
        <v/>
      </c>
      <c r="AK512" s="4"/>
      <c r="AL512" s="4"/>
      <c r="AM512" s="4"/>
      <c r="AN512" s="4"/>
      <c r="AO512" s="4"/>
      <c r="AP512" s="4"/>
      <c r="AQ512" s="4"/>
      <c r="AR512" s="4"/>
      <c r="AS512" s="76" t="str">
        <f>"COMMENT ON COLUMN "&amp;エンティティ一覧!$O$2&amp;"."&amp;D$8&amp;"."&amp;D512&amp;" IS '"&amp;C512&amp;"';"</f>
        <v>COMMENT ON COLUMN milscm_2023_009.main_diagnosis_start_date.shikkan504_start_date IS 'E126_疾患開始日';</v>
      </c>
    </row>
    <row r="513" spans="1:45" s="25" customFormat="1">
      <c r="A513" s="4" t="s">
        <v>5126</v>
      </c>
      <c r="B513" s="21">
        <f t="shared" si="53"/>
        <v>511</v>
      </c>
      <c r="C513" s="13" t="str">
        <f t="shared" si="61"/>
        <v>E127_疾患開始日</v>
      </c>
      <c r="D513" s="13" t="s">
        <v>6165</v>
      </c>
      <c r="E513" s="8"/>
      <c r="F513" s="7" t="s">
        <v>4348</v>
      </c>
      <c r="G513" s="7" t="s">
        <v>25</v>
      </c>
      <c r="H513" s="58"/>
      <c r="I513" s="23"/>
      <c r="J513" s="24"/>
      <c r="M513" s="4"/>
      <c r="N513" s="76"/>
      <c r="O513" s="76"/>
      <c r="P513" s="76" t="str">
        <f t="shared" si="54"/>
        <v>,shikkan505_start_date</v>
      </c>
      <c r="Q513" s="76" t="str">
        <f t="shared" si="55"/>
        <v>DATE</v>
      </c>
      <c r="R513" s="76" t="str">
        <f t="shared" si="56"/>
        <v/>
      </c>
      <c r="S513" s="76" t="str">
        <f t="shared" si="57"/>
        <v/>
      </c>
      <c r="T513" s="76" t="str">
        <f t="shared" si="58"/>
        <v>-- E127_疾患開始日</v>
      </c>
      <c r="U513" s="4" t="str">
        <f t="shared" si="59"/>
        <v>,'shikkan505_start_date'</v>
      </c>
      <c r="V513" s="25" t="str">
        <f t="shared" si="60"/>
        <v>,'shikkan505_start_date' : 'E127_疾患開始日'</v>
      </c>
      <c r="X513" s="25">
        <v>1</v>
      </c>
      <c r="AA513" s="4"/>
      <c r="AB513" s="4"/>
      <c r="AC513" s="4"/>
      <c r="AD513" s="4"/>
      <c r="AE513" s="4"/>
      <c r="AF513" s="4"/>
      <c r="AG513" s="4"/>
      <c r="AH513" s="4"/>
      <c r="AI513" s="4"/>
      <c r="AJ513" s="76" t="str">
        <f>IF(E513="○",IF(COUNTA(E$13:E513)=1,"",",")&amp;D513,"")</f>
        <v/>
      </c>
      <c r="AK513" s="4"/>
      <c r="AL513" s="4"/>
      <c r="AM513" s="4"/>
      <c r="AN513" s="4"/>
      <c r="AO513" s="4"/>
      <c r="AP513" s="4"/>
      <c r="AQ513" s="4"/>
      <c r="AR513" s="4"/>
      <c r="AS513" s="76" t="str">
        <f>"COMMENT ON COLUMN "&amp;エンティティ一覧!$O$2&amp;"."&amp;D$8&amp;"."&amp;D513&amp;" IS '"&amp;C513&amp;"';"</f>
        <v>COMMENT ON COLUMN milscm_2023_009.main_diagnosis_start_date.shikkan505_start_date IS 'E127_疾患開始日';</v>
      </c>
    </row>
    <row r="514" spans="1:45" s="25" customFormat="1">
      <c r="A514" s="4" t="s">
        <v>5101</v>
      </c>
      <c r="B514" s="21">
        <f t="shared" si="53"/>
        <v>512</v>
      </c>
      <c r="C514" s="13" t="str">
        <f t="shared" si="61"/>
        <v>E128_疾患開始日</v>
      </c>
      <c r="D514" s="13" t="s">
        <v>6166</v>
      </c>
      <c r="E514" s="8"/>
      <c r="F514" s="7" t="s">
        <v>4348</v>
      </c>
      <c r="G514" s="7" t="s">
        <v>25</v>
      </c>
      <c r="H514" s="58"/>
      <c r="I514" s="23"/>
      <c r="J514" s="24"/>
      <c r="M514" s="4"/>
      <c r="N514" s="76"/>
      <c r="O514" s="76"/>
      <c r="P514" s="76" t="str">
        <f t="shared" si="54"/>
        <v>,shikkan506_start_date</v>
      </c>
      <c r="Q514" s="76" t="str">
        <f t="shared" si="55"/>
        <v>DATE</v>
      </c>
      <c r="R514" s="76" t="str">
        <f t="shared" si="56"/>
        <v/>
      </c>
      <c r="S514" s="76" t="str">
        <f t="shared" si="57"/>
        <v/>
      </c>
      <c r="T514" s="76" t="str">
        <f t="shared" si="58"/>
        <v>-- E128_疾患開始日</v>
      </c>
      <c r="U514" s="4" t="str">
        <f t="shared" si="59"/>
        <v>,'shikkan506_start_date'</v>
      </c>
      <c r="V514" s="25" t="str">
        <f t="shared" si="60"/>
        <v>,'shikkan506_start_date' : 'E128_疾患開始日'</v>
      </c>
      <c r="X514" s="25">
        <v>1</v>
      </c>
      <c r="AA514" s="4"/>
      <c r="AB514" s="4"/>
      <c r="AC514" s="4"/>
      <c r="AD514" s="4"/>
      <c r="AE514" s="4"/>
      <c r="AF514" s="4"/>
      <c r="AG514" s="4"/>
      <c r="AH514" s="4"/>
      <c r="AI514" s="4"/>
      <c r="AJ514" s="76" t="str">
        <f>IF(E514="○",IF(COUNTA(E$13:E514)=1,"",",")&amp;D514,"")</f>
        <v/>
      </c>
      <c r="AK514" s="4"/>
      <c r="AL514" s="4"/>
      <c r="AM514" s="4"/>
      <c r="AN514" s="4"/>
      <c r="AO514" s="4"/>
      <c r="AP514" s="4"/>
      <c r="AQ514" s="4"/>
      <c r="AR514" s="4"/>
      <c r="AS514" s="76" t="str">
        <f>"COMMENT ON COLUMN "&amp;エンティティ一覧!$O$2&amp;"."&amp;D$8&amp;"."&amp;D514&amp;" IS '"&amp;C514&amp;"';"</f>
        <v>COMMENT ON COLUMN milscm_2023_009.main_diagnosis_start_date.shikkan506_start_date IS 'E128_疾患開始日';</v>
      </c>
    </row>
    <row r="515" spans="1:45" s="25" customFormat="1">
      <c r="A515" s="4" t="s">
        <v>5102</v>
      </c>
      <c r="B515" s="21">
        <f t="shared" si="53"/>
        <v>513</v>
      </c>
      <c r="C515" s="13" t="str">
        <f t="shared" si="61"/>
        <v>E129_疾患開始日</v>
      </c>
      <c r="D515" s="13" t="s">
        <v>6167</v>
      </c>
      <c r="E515" s="8"/>
      <c r="F515" s="7" t="s">
        <v>4348</v>
      </c>
      <c r="G515" s="7" t="s">
        <v>25</v>
      </c>
      <c r="H515" s="58"/>
      <c r="I515" s="23"/>
      <c r="J515" s="24"/>
      <c r="M515" s="4"/>
      <c r="N515" s="76"/>
      <c r="O515" s="76"/>
      <c r="P515" s="76" t="str">
        <f t="shared" si="54"/>
        <v>,shikkan507_start_date</v>
      </c>
      <c r="Q515" s="76" t="str">
        <f t="shared" si="55"/>
        <v>DATE</v>
      </c>
      <c r="R515" s="76" t="str">
        <f t="shared" si="56"/>
        <v/>
      </c>
      <c r="S515" s="76" t="str">
        <f t="shared" si="57"/>
        <v/>
      </c>
      <c r="T515" s="76" t="str">
        <f t="shared" si="58"/>
        <v>-- E129_疾患開始日</v>
      </c>
      <c r="U515" s="4" t="str">
        <f t="shared" si="59"/>
        <v>,'shikkan507_start_date'</v>
      </c>
      <c r="V515" s="25" t="str">
        <f t="shared" si="60"/>
        <v>,'shikkan507_start_date' : 'E129_疾患開始日'</v>
      </c>
      <c r="X515" s="25">
        <v>1</v>
      </c>
      <c r="AA515" s="4"/>
      <c r="AB515" s="4"/>
      <c r="AC515" s="4"/>
      <c r="AD515" s="4"/>
      <c r="AE515" s="4"/>
      <c r="AF515" s="4"/>
      <c r="AG515" s="4"/>
      <c r="AH515" s="4"/>
      <c r="AI515" s="4"/>
      <c r="AJ515" s="76" t="str">
        <f>IF(E515="○",IF(COUNTA(E$13:E515)=1,"",",")&amp;D515,"")</f>
        <v/>
      </c>
      <c r="AK515" s="4"/>
      <c r="AL515" s="4"/>
      <c r="AM515" s="4"/>
      <c r="AN515" s="4"/>
      <c r="AO515" s="4"/>
      <c r="AP515" s="4"/>
      <c r="AQ515" s="4"/>
      <c r="AR515" s="4"/>
      <c r="AS515" s="76" t="str">
        <f>"COMMENT ON COLUMN "&amp;エンティティ一覧!$O$2&amp;"."&amp;D$8&amp;"."&amp;D515&amp;" IS '"&amp;C515&amp;"';"</f>
        <v>COMMENT ON COLUMN milscm_2023_009.main_diagnosis_start_date.shikkan507_start_date IS 'E129_疾患開始日';</v>
      </c>
    </row>
    <row r="516" spans="1:45" s="25" customFormat="1">
      <c r="A516" s="4" t="s">
        <v>5103</v>
      </c>
      <c r="B516" s="21">
        <f t="shared" ref="B516:B579" si="62">ROW()-2</f>
        <v>514</v>
      </c>
      <c r="C516" s="13" t="str">
        <f t="shared" si="61"/>
        <v>E130_疾患開始日</v>
      </c>
      <c r="D516" s="13" t="s">
        <v>6168</v>
      </c>
      <c r="E516" s="8"/>
      <c r="F516" s="7" t="s">
        <v>4348</v>
      </c>
      <c r="G516" s="7" t="s">
        <v>25</v>
      </c>
      <c r="H516" s="58"/>
      <c r="I516" s="23"/>
      <c r="J516" s="24"/>
      <c r="M516" s="4"/>
      <c r="N516" s="76"/>
      <c r="O516" s="76"/>
      <c r="P516" s="76" t="str">
        <f t="shared" si="54"/>
        <v>,shikkan508_start_date</v>
      </c>
      <c r="Q516" s="76" t="str">
        <f t="shared" si="55"/>
        <v>DATE</v>
      </c>
      <c r="R516" s="76" t="str">
        <f t="shared" si="56"/>
        <v/>
      </c>
      <c r="S516" s="76" t="str">
        <f t="shared" si="57"/>
        <v/>
      </c>
      <c r="T516" s="76" t="str">
        <f t="shared" si="58"/>
        <v>-- E130_疾患開始日</v>
      </c>
      <c r="U516" s="4" t="str">
        <f t="shared" si="59"/>
        <v>,'shikkan508_start_date'</v>
      </c>
      <c r="V516" s="25" t="str">
        <f t="shared" si="60"/>
        <v>,'shikkan508_start_date' : 'E130_疾患開始日'</v>
      </c>
      <c r="X516" s="25">
        <v>1</v>
      </c>
      <c r="AA516" s="4"/>
      <c r="AB516" s="4"/>
      <c r="AC516" s="4"/>
      <c r="AD516" s="4"/>
      <c r="AE516" s="4"/>
      <c r="AF516" s="4"/>
      <c r="AG516" s="4"/>
      <c r="AH516" s="4"/>
      <c r="AI516" s="4"/>
      <c r="AJ516" s="76" t="str">
        <f>IF(E516="○",IF(COUNTA(E$13:E516)=1,"",",")&amp;D516,"")</f>
        <v/>
      </c>
      <c r="AK516" s="4"/>
      <c r="AL516" s="4"/>
      <c r="AM516" s="4"/>
      <c r="AN516" s="4"/>
      <c r="AO516" s="4"/>
      <c r="AP516" s="4"/>
      <c r="AQ516" s="4"/>
      <c r="AR516" s="4"/>
      <c r="AS516" s="76" t="str">
        <f>"COMMENT ON COLUMN "&amp;エンティティ一覧!$O$2&amp;"."&amp;D$8&amp;"."&amp;D516&amp;" IS '"&amp;C516&amp;"';"</f>
        <v>COMMENT ON COLUMN milscm_2023_009.main_diagnosis_start_date.shikkan508_start_date IS 'E130_疾患開始日';</v>
      </c>
    </row>
    <row r="517" spans="1:45" s="25" customFormat="1">
      <c r="A517" s="4" t="s">
        <v>5104</v>
      </c>
      <c r="B517" s="21">
        <f t="shared" si="62"/>
        <v>515</v>
      </c>
      <c r="C517" s="13" t="str">
        <f t="shared" si="61"/>
        <v>E131_疾患開始日</v>
      </c>
      <c r="D517" s="13" t="s">
        <v>6169</v>
      </c>
      <c r="E517" s="8"/>
      <c r="F517" s="7" t="s">
        <v>4348</v>
      </c>
      <c r="G517" s="7" t="s">
        <v>25</v>
      </c>
      <c r="H517" s="58"/>
      <c r="I517" s="23"/>
      <c r="J517" s="24"/>
      <c r="M517" s="4"/>
      <c r="N517" s="76"/>
      <c r="O517" s="76"/>
      <c r="P517" s="76" t="str">
        <f t="shared" si="54"/>
        <v>,shikkan509_start_date</v>
      </c>
      <c r="Q517" s="76" t="str">
        <f t="shared" si="55"/>
        <v>DATE</v>
      </c>
      <c r="R517" s="76" t="str">
        <f t="shared" si="56"/>
        <v/>
      </c>
      <c r="S517" s="76" t="str">
        <f t="shared" si="57"/>
        <v/>
      </c>
      <c r="T517" s="76" t="str">
        <f t="shared" si="58"/>
        <v>-- E131_疾患開始日</v>
      </c>
      <c r="U517" s="4" t="str">
        <f t="shared" si="59"/>
        <v>,'shikkan509_start_date'</v>
      </c>
      <c r="V517" s="25" t="str">
        <f t="shared" si="60"/>
        <v>,'shikkan509_start_date' : 'E131_疾患開始日'</v>
      </c>
      <c r="X517" s="25">
        <v>1</v>
      </c>
      <c r="AA517" s="4"/>
      <c r="AB517" s="4"/>
      <c r="AC517" s="4"/>
      <c r="AD517" s="4"/>
      <c r="AE517" s="4"/>
      <c r="AF517" s="4"/>
      <c r="AG517" s="4"/>
      <c r="AH517" s="4"/>
      <c r="AI517" s="4"/>
      <c r="AJ517" s="76" t="str">
        <f>IF(E517="○",IF(COUNTA(E$13:E517)=1,"",",")&amp;D517,"")</f>
        <v/>
      </c>
      <c r="AK517" s="4"/>
      <c r="AL517" s="4"/>
      <c r="AM517" s="4"/>
      <c r="AN517" s="4"/>
      <c r="AO517" s="4"/>
      <c r="AP517" s="4"/>
      <c r="AQ517" s="4"/>
      <c r="AR517" s="4"/>
      <c r="AS517" s="76" t="str">
        <f>"COMMENT ON COLUMN "&amp;エンティティ一覧!$O$2&amp;"."&amp;D$8&amp;"."&amp;D517&amp;" IS '"&amp;C517&amp;"';"</f>
        <v>COMMENT ON COLUMN milscm_2023_009.main_diagnosis_start_date.shikkan509_start_date IS 'E131_疾患開始日';</v>
      </c>
    </row>
    <row r="518" spans="1:45" s="25" customFormat="1">
      <c r="A518" s="4" t="s">
        <v>5127</v>
      </c>
      <c r="B518" s="21">
        <f t="shared" si="62"/>
        <v>516</v>
      </c>
      <c r="C518" s="13" t="str">
        <f t="shared" si="61"/>
        <v>E132_疾患開始日</v>
      </c>
      <c r="D518" s="13" t="s">
        <v>6170</v>
      </c>
      <c r="E518" s="8"/>
      <c r="F518" s="7" t="s">
        <v>4348</v>
      </c>
      <c r="G518" s="7" t="s">
        <v>25</v>
      </c>
      <c r="H518" s="58"/>
      <c r="I518" s="23"/>
      <c r="J518" s="24"/>
      <c r="M518" s="4"/>
      <c r="N518" s="76"/>
      <c r="O518" s="76"/>
      <c r="P518" s="76" t="str">
        <f t="shared" si="54"/>
        <v>,shikkan510_start_date</v>
      </c>
      <c r="Q518" s="76" t="str">
        <f t="shared" si="55"/>
        <v>DATE</v>
      </c>
      <c r="R518" s="76" t="str">
        <f t="shared" si="56"/>
        <v/>
      </c>
      <c r="S518" s="76" t="str">
        <f t="shared" si="57"/>
        <v/>
      </c>
      <c r="T518" s="76" t="str">
        <f t="shared" si="58"/>
        <v>-- E132_疾患開始日</v>
      </c>
      <c r="U518" s="4" t="str">
        <f t="shared" si="59"/>
        <v>,'shikkan510_start_date'</v>
      </c>
      <c r="V518" s="25" t="str">
        <f t="shared" si="60"/>
        <v>,'shikkan510_start_date' : 'E132_疾患開始日'</v>
      </c>
      <c r="X518" s="25">
        <v>1</v>
      </c>
      <c r="AA518" s="4"/>
      <c r="AB518" s="4"/>
      <c r="AC518" s="4"/>
      <c r="AD518" s="4"/>
      <c r="AE518" s="4"/>
      <c r="AF518" s="4"/>
      <c r="AG518" s="4"/>
      <c r="AH518" s="4"/>
      <c r="AI518" s="4"/>
      <c r="AJ518" s="76" t="str">
        <f>IF(E518="○",IF(COUNTA(E$13:E518)=1,"",",")&amp;D518,"")</f>
        <v/>
      </c>
      <c r="AK518" s="4"/>
      <c r="AL518" s="4"/>
      <c r="AM518" s="4"/>
      <c r="AN518" s="4"/>
      <c r="AO518" s="4"/>
      <c r="AP518" s="4"/>
      <c r="AQ518" s="4"/>
      <c r="AR518" s="4"/>
      <c r="AS518" s="76" t="str">
        <f>"COMMENT ON COLUMN "&amp;エンティティ一覧!$O$2&amp;"."&amp;D$8&amp;"."&amp;D518&amp;" IS '"&amp;C518&amp;"';"</f>
        <v>COMMENT ON COLUMN milscm_2023_009.main_diagnosis_start_date.shikkan510_start_date IS 'E132_疾患開始日';</v>
      </c>
    </row>
    <row r="519" spans="1:45" s="25" customFormat="1">
      <c r="A519" s="4" t="s">
        <v>5128</v>
      </c>
      <c r="B519" s="21">
        <f t="shared" si="62"/>
        <v>517</v>
      </c>
      <c r="C519" s="13" t="str">
        <f t="shared" si="61"/>
        <v>E133_疾患開始日</v>
      </c>
      <c r="D519" s="13" t="s">
        <v>6171</v>
      </c>
      <c r="E519" s="8"/>
      <c r="F519" s="7" t="s">
        <v>4348</v>
      </c>
      <c r="G519" s="7" t="s">
        <v>25</v>
      </c>
      <c r="H519" s="58"/>
      <c r="I519" s="23"/>
      <c r="J519" s="24"/>
      <c r="M519" s="4"/>
      <c r="N519" s="76"/>
      <c r="O519" s="76"/>
      <c r="P519" s="76" t="str">
        <f t="shared" si="54"/>
        <v>,shikkan511_start_date</v>
      </c>
      <c r="Q519" s="76" t="str">
        <f t="shared" si="55"/>
        <v>DATE</v>
      </c>
      <c r="R519" s="76" t="str">
        <f t="shared" si="56"/>
        <v/>
      </c>
      <c r="S519" s="76" t="str">
        <f t="shared" si="57"/>
        <v/>
      </c>
      <c r="T519" s="76" t="str">
        <f t="shared" si="58"/>
        <v>-- E133_疾患開始日</v>
      </c>
      <c r="U519" s="4" t="str">
        <f t="shared" si="59"/>
        <v>,'shikkan511_start_date'</v>
      </c>
      <c r="V519" s="25" t="str">
        <f t="shared" si="60"/>
        <v>,'shikkan511_start_date' : 'E133_疾患開始日'</v>
      </c>
      <c r="X519" s="25">
        <v>1</v>
      </c>
      <c r="AA519" s="4"/>
      <c r="AB519" s="4"/>
      <c r="AC519" s="4"/>
      <c r="AD519" s="4"/>
      <c r="AE519" s="4"/>
      <c r="AF519" s="4"/>
      <c r="AG519" s="4"/>
      <c r="AH519" s="4"/>
      <c r="AI519" s="4"/>
      <c r="AJ519" s="76" t="str">
        <f>IF(E519="○",IF(COUNTA(E$13:E519)=1,"",",")&amp;D519,"")</f>
        <v/>
      </c>
      <c r="AK519" s="4"/>
      <c r="AL519" s="4"/>
      <c r="AM519" s="4"/>
      <c r="AN519" s="4"/>
      <c r="AO519" s="4"/>
      <c r="AP519" s="4"/>
      <c r="AQ519" s="4"/>
      <c r="AR519" s="4"/>
      <c r="AS519" s="76" t="str">
        <f>"COMMENT ON COLUMN "&amp;エンティティ一覧!$O$2&amp;"."&amp;D$8&amp;"."&amp;D519&amp;" IS '"&amp;C519&amp;"';"</f>
        <v>COMMENT ON COLUMN milscm_2023_009.main_diagnosis_start_date.shikkan511_start_date IS 'E133_疾患開始日';</v>
      </c>
    </row>
    <row r="520" spans="1:45" s="25" customFormat="1">
      <c r="A520" s="4" t="s">
        <v>5129</v>
      </c>
      <c r="B520" s="21">
        <f t="shared" si="62"/>
        <v>518</v>
      </c>
      <c r="C520" s="13" t="str">
        <f t="shared" si="61"/>
        <v>E134_疾患開始日</v>
      </c>
      <c r="D520" s="13" t="s">
        <v>6172</v>
      </c>
      <c r="E520" s="8"/>
      <c r="F520" s="7" t="s">
        <v>4348</v>
      </c>
      <c r="G520" s="7" t="s">
        <v>99</v>
      </c>
      <c r="H520" s="58"/>
      <c r="I520" s="23"/>
      <c r="J520" s="24"/>
      <c r="M520" s="4"/>
      <c r="N520" s="76"/>
      <c r="O520" s="76"/>
      <c r="P520" s="76" t="str">
        <f t="shared" ref="P520:P583" si="63">IF(B520&lt;&gt;1,","&amp;D520,D520)</f>
        <v>,shikkan512_start_date</v>
      </c>
      <c r="Q520" s="76" t="str">
        <f t="shared" ref="Q520:Q583" si="64">UPPER(G520)</f>
        <v>DATE</v>
      </c>
      <c r="R520" s="76" t="str">
        <f t="shared" ref="R520:R583" si="65">IF(H520&lt;&gt;"","default "&amp;IF(G520="text","'"&amp;H520&amp;"'",H520),"")</f>
        <v/>
      </c>
      <c r="S520" s="76" t="str">
        <f t="shared" ref="S520:S583" si="66">IF(I520="○","NOT NULL","")</f>
        <v/>
      </c>
      <c r="T520" s="76" t="str">
        <f t="shared" ref="T520:T583" si="67">"-- "&amp;C520</f>
        <v>-- E134_疾患開始日</v>
      </c>
      <c r="U520" s="4" t="str">
        <f t="shared" si="59"/>
        <v>,'shikkan512_start_date'</v>
      </c>
      <c r="V520" s="25" t="str">
        <f t="shared" si="60"/>
        <v>,'shikkan512_start_date' : 'E134_疾患開始日'</v>
      </c>
      <c r="X520" s="25">
        <v>1</v>
      </c>
      <c r="AA520" s="4"/>
      <c r="AB520" s="4"/>
      <c r="AC520" s="4"/>
      <c r="AD520" s="4"/>
      <c r="AE520" s="4"/>
      <c r="AF520" s="4"/>
      <c r="AG520" s="4"/>
      <c r="AH520" s="4"/>
      <c r="AI520" s="4"/>
      <c r="AJ520" s="76" t="str">
        <f>IF(E520="○",IF(COUNTA(E$13:E520)=1,"",",")&amp;D520,"")</f>
        <v/>
      </c>
      <c r="AK520" s="4"/>
      <c r="AL520" s="4"/>
      <c r="AM520" s="4"/>
      <c r="AN520" s="4"/>
      <c r="AO520" s="4"/>
      <c r="AP520" s="4"/>
      <c r="AQ520" s="4"/>
      <c r="AR520" s="4"/>
      <c r="AS520" s="76" t="str">
        <f>"COMMENT ON COLUMN "&amp;エンティティ一覧!$O$2&amp;"."&amp;D$8&amp;"."&amp;D520&amp;" IS '"&amp;C520&amp;"';"</f>
        <v>COMMENT ON COLUMN milscm_2023_009.main_diagnosis_start_date.shikkan512_start_date IS 'E134_疾患開始日';</v>
      </c>
    </row>
    <row r="521" spans="1:45" s="25" customFormat="1">
      <c r="A521" s="4" t="s">
        <v>5130</v>
      </c>
      <c r="B521" s="21">
        <f t="shared" si="62"/>
        <v>519</v>
      </c>
      <c r="C521" s="13" t="str">
        <f t="shared" si="61"/>
        <v>E135_疾患開始日</v>
      </c>
      <c r="D521" s="13" t="s">
        <v>6173</v>
      </c>
      <c r="E521" s="8"/>
      <c r="F521" s="7" t="s">
        <v>4348</v>
      </c>
      <c r="G521" s="7" t="s">
        <v>25</v>
      </c>
      <c r="H521" s="58"/>
      <c r="I521" s="23"/>
      <c r="J521" s="24"/>
      <c r="M521" s="4"/>
      <c r="N521" s="76"/>
      <c r="O521" s="76"/>
      <c r="P521" s="76" t="str">
        <f t="shared" si="63"/>
        <v>,shikkan513_start_date</v>
      </c>
      <c r="Q521" s="76" t="str">
        <f t="shared" si="64"/>
        <v>DATE</v>
      </c>
      <c r="R521" s="76" t="str">
        <f t="shared" si="65"/>
        <v/>
      </c>
      <c r="S521" s="76" t="str">
        <f t="shared" si="66"/>
        <v/>
      </c>
      <c r="T521" s="76" t="str">
        <f t="shared" si="67"/>
        <v>-- E135_疾患開始日</v>
      </c>
      <c r="U521" s="4" t="str">
        <f t="shared" ref="U521:U584" si="68">IF(B521&lt;&gt;1,",","")&amp;"'"&amp;D521&amp;"'"</f>
        <v>,'shikkan513_start_date'</v>
      </c>
      <c r="V521" s="25" t="str">
        <f t="shared" ref="V521:V584" si="69">U521&amp;" : '"&amp;C521&amp;"'"</f>
        <v>,'shikkan513_start_date' : 'E135_疾患開始日'</v>
      </c>
      <c r="X521" s="25">
        <v>1</v>
      </c>
      <c r="AA521" s="4"/>
      <c r="AB521" s="4"/>
      <c r="AC521" s="4"/>
      <c r="AD521" s="4"/>
      <c r="AE521" s="4"/>
      <c r="AF521" s="4"/>
      <c r="AG521" s="4"/>
      <c r="AH521" s="4"/>
      <c r="AI521" s="4"/>
      <c r="AJ521" s="76" t="str">
        <f>IF(E521="○",IF(COUNTA(E$13:E521)=1,"",",")&amp;D521,"")</f>
        <v/>
      </c>
      <c r="AK521" s="4"/>
      <c r="AL521" s="4"/>
      <c r="AM521" s="4"/>
      <c r="AN521" s="4"/>
      <c r="AO521" s="4"/>
      <c r="AP521" s="4"/>
      <c r="AQ521" s="4"/>
      <c r="AR521" s="4"/>
      <c r="AS521" s="76" t="str">
        <f>"COMMENT ON COLUMN "&amp;エンティティ一覧!$O$2&amp;"."&amp;D$8&amp;"."&amp;D521&amp;" IS '"&amp;C521&amp;"';"</f>
        <v>COMMENT ON COLUMN milscm_2023_009.main_diagnosis_start_date.shikkan513_start_date IS 'E135_疾患開始日';</v>
      </c>
    </row>
    <row r="522" spans="1:45" s="25" customFormat="1">
      <c r="A522" s="4" t="s">
        <v>5105</v>
      </c>
      <c r="B522" s="21">
        <f t="shared" si="62"/>
        <v>520</v>
      </c>
      <c r="C522" s="13" t="str">
        <f t="shared" ref="C522:C585" si="70">A522&amp;"_疾患開始日"</f>
        <v>E136_疾患開始日</v>
      </c>
      <c r="D522" s="13" t="s">
        <v>6174</v>
      </c>
      <c r="E522" s="8"/>
      <c r="F522" s="7" t="s">
        <v>4348</v>
      </c>
      <c r="G522" s="7" t="s">
        <v>25</v>
      </c>
      <c r="H522" s="58"/>
      <c r="I522" s="23"/>
      <c r="J522" s="24"/>
      <c r="M522" s="4"/>
      <c r="N522" s="76"/>
      <c r="O522" s="76"/>
      <c r="P522" s="76" t="str">
        <f t="shared" si="63"/>
        <v>,shikkan514_start_date</v>
      </c>
      <c r="Q522" s="76" t="str">
        <f t="shared" si="64"/>
        <v>DATE</v>
      </c>
      <c r="R522" s="76" t="str">
        <f t="shared" si="65"/>
        <v/>
      </c>
      <c r="S522" s="76" t="str">
        <f t="shared" si="66"/>
        <v/>
      </c>
      <c r="T522" s="76" t="str">
        <f t="shared" si="67"/>
        <v>-- E136_疾患開始日</v>
      </c>
      <c r="U522" s="4" t="str">
        <f t="shared" si="68"/>
        <v>,'shikkan514_start_date'</v>
      </c>
      <c r="V522" s="25" t="str">
        <f t="shared" si="69"/>
        <v>,'shikkan514_start_date' : 'E136_疾患開始日'</v>
      </c>
      <c r="X522" s="25">
        <v>1</v>
      </c>
      <c r="AA522" s="4"/>
      <c r="AB522" s="4"/>
      <c r="AC522" s="4"/>
      <c r="AD522" s="4"/>
      <c r="AE522" s="4"/>
      <c r="AF522" s="4"/>
      <c r="AG522" s="4"/>
      <c r="AH522" s="4"/>
      <c r="AI522" s="4"/>
      <c r="AJ522" s="76" t="str">
        <f>IF(E522="○",IF(COUNTA(E$13:E522)=1,"",",")&amp;D522,"")</f>
        <v/>
      </c>
      <c r="AK522" s="4"/>
      <c r="AL522" s="4"/>
      <c r="AM522" s="4"/>
      <c r="AN522" s="4"/>
      <c r="AO522" s="4"/>
      <c r="AP522" s="4"/>
      <c r="AQ522" s="4"/>
      <c r="AR522" s="4"/>
      <c r="AS522" s="76" t="str">
        <f>"COMMENT ON COLUMN "&amp;エンティティ一覧!$O$2&amp;"."&amp;D$8&amp;"."&amp;D522&amp;" IS '"&amp;C522&amp;"';"</f>
        <v>COMMENT ON COLUMN milscm_2023_009.main_diagnosis_start_date.shikkan514_start_date IS 'E136_疾患開始日';</v>
      </c>
    </row>
    <row r="523" spans="1:45" s="25" customFormat="1">
      <c r="A523" s="4" t="s">
        <v>5131</v>
      </c>
      <c r="B523" s="21">
        <f t="shared" si="62"/>
        <v>521</v>
      </c>
      <c r="C523" s="13" t="str">
        <f t="shared" si="70"/>
        <v>E137_疾患開始日</v>
      </c>
      <c r="D523" s="13" t="s">
        <v>6175</v>
      </c>
      <c r="E523" s="8"/>
      <c r="F523" s="7" t="s">
        <v>4348</v>
      </c>
      <c r="G523" s="7" t="s">
        <v>25</v>
      </c>
      <c r="H523" s="58"/>
      <c r="I523" s="23"/>
      <c r="J523" s="24"/>
      <c r="M523" s="4"/>
      <c r="N523" s="76"/>
      <c r="O523" s="76"/>
      <c r="P523" s="76" t="str">
        <f t="shared" si="63"/>
        <v>,shikkan515_start_date</v>
      </c>
      <c r="Q523" s="76" t="str">
        <f t="shared" si="64"/>
        <v>DATE</v>
      </c>
      <c r="R523" s="76" t="str">
        <f t="shared" si="65"/>
        <v/>
      </c>
      <c r="S523" s="76" t="str">
        <f t="shared" si="66"/>
        <v/>
      </c>
      <c r="T523" s="76" t="str">
        <f t="shared" si="67"/>
        <v>-- E137_疾患開始日</v>
      </c>
      <c r="U523" s="4" t="str">
        <f t="shared" si="68"/>
        <v>,'shikkan515_start_date'</v>
      </c>
      <c r="V523" s="25" t="str">
        <f t="shared" si="69"/>
        <v>,'shikkan515_start_date' : 'E137_疾患開始日'</v>
      </c>
      <c r="X523" s="25">
        <v>1</v>
      </c>
      <c r="AA523" s="4"/>
      <c r="AB523" s="4"/>
      <c r="AC523" s="4"/>
      <c r="AD523" s="4"/>
      <c r="AE523" s="4"/>
      <c r="AF523" s="4"/>
      <c r="AG523" s="4"/>
      <c r="AH523" s="4"/>
      <c r="AI523" s="4"/>
      <c r="AJ523" s="76" t="str">
        <f>IF(E523="○",IF(COUNTA(E$13:E523)=1,"",",")&amp;D523,"")</f>
        <v/>
      </c>
      <c r="AK523" s="4"/>
      <c r="AL523" s="4"/>
      <c r="AM523" s="4"/>
      <c r="AN523" s="4"/>
      <c r="AO523" s="4"/>
      <c r="AP523" s="4"/>
      <c r="AQ523" s="4"/>
      <c r="AR523" s="4"/>
      <c r="AS523" s="76" t="str">
        <f>"COMMENT ON COLUMN "&amp;エンティティ一覧!$O$2&amp;"."&amp;D$8&amp;"."&amp;D523&amp;" IS '"&amp;C523&amp;"';"</f>
        <v>COMMENT ON COLUMN milscm_2023_009.main_diagnosis_start_date.shikkan515_start_date IS 'E137_疾患開始日';</v>
      </c>
    </row>
    <row r="524" spans="1:45" s="25" customFormat="1">
      <c r="A524" s="4" t="s">
        <v>5106</v>
      </c>
      <c r="B524" s="21">
        <f t="shared" si="62"/>
        <v>522</v>
      </c>
      <c r="C524" s="13" t="str">
        <f t="shared" si="70"/>
        <v>E138_疾患開始日</v>
      </c>
      <c r="D524" s="13" t="s">
        <v>6176</v>
      </c>
      <c r="E524" s="8"/>
      <c r="F524" s="7" t="s">
        <v>4348</v>
      </c>
      <c r="G524" s="7" t="s">
        <v>25</v>
      </c>
      <c r="H524" s="58"/>
      <c r="I524" s="23"/>
      <c r="J524" s="24"/>
      <c r="M524" s="4"/>
      <c r="N524" s="76"/>
      <c r="O524" s="76"/>
      <c r="P524" s="76" t="str">
        <f t="shared" si="63"/>
        <v>,shikkan516_start_date</v>
      </c>
      <c r="Q524" s="76" t="str">
        <f t="shared" si="64"/>
        <v>DATE</v>
      </c>
      <c r="R524" s="76" t="str">
        <f t="shared" si="65"/>
        <v/>
      </c>
      <c r="S524" s="76" t="str">
        <f t="shared" si="66"/>
        <v/>
      </c>
      <c r="T524" s="76" t="str">
        <f t="shared" si="67"/>
        <v>-- E138_疾患開始日</v>
      </c>
      <c r="U524" s="4" t="str">
        <f t="shared" si="68"/>
        <v>,'shikkan516_start_date'</v>
      </c>
      <c r="V524" s="25" t="str">
        <f t="shared" si="69"/>
        <v>,'shikkan516_start_date' : 'E138_疾患開始日'</v>
      </c>
      <c r="X524" s="25">
        <v>1</v>
      </c>
      <c r="AA524" s="4"/>
      <c r="AB524" s="4"/>
      <c r="AC524" s="4"/>
      <c r="AD524" s="4"/>
      <c r="AE524" s="4"/>
      <c r="AF524" s="4"/>
      <c r="AG524" s="4"/>
      <c r="AH524" s="4"/>
      <c r="AI524" s="4"/>
      <c r="AJ524" s="76" t="str">
        <f>IF(E524="○",IF(COUNTA(E$13:E524)=1,"",",")&amp;D524,"")</f>
        <v/>
      </c>
      <c r="AK524" s="4"/>
      <c r="AL524" s="4"/>
      <c r="AM524" s="4"/>
      <c r="AN524" s="4"/>
      <c r="AO524" s="4"/>
      <c r="AP524" s="4"/>
      <c r="AQ524" s="4"/>
      <c r="AR524" s="4"/>
      <c r="AS524" s="76" t="str">
        <f>"COMMENT ON COLUMN "&amp;エンティティ一覧!$O$2&amp;"."&amp;D$8&amp;"."&amp;D524&amp;" IS '"&amp;C524&amp;"';"</f>
        <v>COMMENT ON COLUMN milscm_2023_009.main_diagnosis_start_date.shikkan516_start_date IS 'E138_疾患開始日';</v>
      </c>
    </row>
    <row r="525" spans="1:45" s="25" customFormat="1">
      <c r="A525" s="4" t="s">
        <v>5107</v>
      </c>
      <c r="B525" s="21">
        <f t="shared" si="62"/>
        <v>523</v>
      </c>
      <c r="C525" s="13" t="str">
        <f t="shared" si="70"/>
        <v>E139_疾患開始日</v>
      </c>
      <c r="D525" s="13" t="s">
        <v>6177</v>
      </c>
      <c r="E525" s="8"/>
      <c r="F525" s="7" t="s">
        <v>4348</v>
      </c>
      <c r="G525" s="7" t="s">
        <v>25</v>
      </c>
      <c r="H525" s="58"/>
      <c r="I525" s="23"/>
      <c r="J525" s="24"/>
      <c r="M525" s="4"/>
      <c r="N525" s="76"/>
      <c r="O525" s="76"/>
      <c r="P525" s="76" t="str">
        <f t="shared" si="63"/>
        <v>,shikkan517_start_date</v>
      </c>
      <c r="Q525" s="76" t="str">
        <f t="shared" si="64"/>
        <v>DATE</v>
      </c>
      <c r="R525" s="76" t="str">
        <f t="shared" si="65"/>
        <v/>
      </c>
      <c r="S525" s="76" t="str">
        <f t="shared" si="66"/>
        <v/>
      </c>
      <c r="T525" s="76" t="str">
        <f t="shared" si="67"/>
        <v>-- E139_疾患開始日</v>
      </c>
      <c r="U525" s="4" t="str">
        <f t="shared" si="68"/>
        <v>,'shikkan517_start_date'</v>
      </c>
      <c r="V525" s="25" t="str">
        <f t="shared" si="69"/>
        <v>,'shikkan517_start_date' : 'E139_疾患開始日'</v>
      </c>
      <c r="X525" s="25">
        <v>1</v>
      </c>
      <c r="AA525" s="4"/>
      <c r="AB525" s="4"/>
      <c r="AC525" s="4"/>
      <c r="AD525" s="4"/>
      <c r="AE525" s="4"/>
      <c r="AF525" s="4"/>
      <c r="AG525" s="4"/>
      <c r="AH525" s="4"/>
      <c r="AI525" s="4"/>
      <c r="AJ525" s="76" t="str">
        <f>IF(E525="○",IF(COUNTA(E$13:E525)=1,"",",")&amp;D525,"")</f>
        <v/>
      </c>
      <c r="AK525" s="4"/>
      <c r="AL525" s="4"/>
      <c r="AM525" s="4"/>
      <c r="AN525" s="4"/>
      <c r="AO525" s="4"/>
      <c r="AP525" s="4"/>
      <c r="AQ525" s="4"/>
      <c r="AR525" s="4"/>
      <c r="AS525" s="76" t="str">
        <f>"COMMENT ON COLUMN "&amp;エンティティ一覧!$O$2&amp;"."&amp;D$8&amp;"."&amp;D525&amp;" IS '"&amp;C525&amp;"';"</f>
        <v>COMMENT ON COLUMN milscm_2023_009.main_diagnosis_start_date.shikkan517_start_date IS 'E139_疾患開始日';</v>
      </c>
    </row>
    <row r="526" spans="1:45" s="25" customFormat="1">
      <c r="A526" s="4" t="s">
        <v>5108</v>
      </c>
      <c r="B526" s="21">
        <f t="shared" si="62"/>
        <v>524</v>
      </c>
      <c r="C526" s="13" t="str">
        <f t="shared" si="70"/>
        <v>E140_疾患開始日</v>
      </c>
      <c r="D526" s="13" t="s">
        <v>6178</v>
      </c>
      <c r="E526" s="8"/>
      <c r="F526" s="7" t="s">
        <v>4348</v>
      </c>
      <c r="G526" s="7" t="s">
        <v>25</v>
      </c>
      <c r="H526" s="58"/>
      <c r="I526" s="23"/>
      <c r="J526" s="24"/>
      <c r="M526" s="4"/>
      <c r="N526" s="76"/>
      <c r="O526" s="76"/>
      <c r="P526" s="76" t="str">
        <f t="shared" si="63"/>
        <v>,shikkan518_start_date</v>
      </c>
      <c r="Q526" s="76" t="str">
        <f t="shared" si="64"/>
        <v>DATE</v>
      </c>
      <c r="R526" s="76" t="str">
        <f t="shared" si="65"/>
        <v/>
      </c>
      <c r="S526" s="76" t="str">
        <f t="shared" si="66"/>
        <v/>
      </c>
      <c r="T526" s="76" t="str">
        <f t="shared" si="67"/>
        <v>-- E140_疾患開始日</v>
      </c>
      <c r="U526" s="4" t="str">
        <f t="shared" si="68"/>
        <v>,'shikkan518_start_date'</v>
      </c>
      <c r="V526" s="25" t="str">
        <f t="shared" si="69"/>
        <v>,'shikkan518_start_date' : 'E140_疾患開始日'</v>
      </c>
      <c r="X526" s="25">
        <v>1</v>
      </c>
      <c r="AA526" s="4"/>
      <c r="AB526" s="4"/>
      <c r="AC526" s="4"/>
      <c r="AD526" s="4"/>
      <c r="AE526" s="4"/>
      <c r="AF526" s="4"/>
      <c r="AG526" s="4"/>
      <c r="AH526" s="4"/>
      <c r="AI526" s="4"/>
      <c r="AJ526" s="76" t="str">
        <f>IF(E526="○",IF(COUNTA(E$13:E526)=1,"",",")&amp;D526,"")</f>
        <v/>
      </c>
      <c r="AK526" s="4"/>
      <c r="AL526" s="4"/>
      <c r="AM526" s="4"/>
      <c r="AN526" s="4"/>
      <c r="AO526" s="4"/>
      <c r="AP526" s="4"/>
      <c r="AQ526" s="4"/>
      <c r="AR526" s="4"/>
      <c r="AS526" s="76" t="str">
        <f>"COMMENT ON COLUMN "&amp;エンティティ一覧!$O$2&amp;"."&amp;D$8&amp;"."&amp;D526&amp;" IS '"&amp;C526&amp;"';"</f>
        <v>COMMENT ON COLUMN milscm_2023_009.main_diagnosis_start_date.shikkan518_start_date IS 'E140_疾患開始日';</v>
      </c>
    </row>
    <row r="527" spans="1:45" s="25" customFormat="1">
      <c r="A527" s="4" t="s">
        <v>5109</v>
      </c>
      <c r="B527" s="21">
        <f t="shared" si="62"/>
        <v>525</v>
      </c>
      <c r="C527" s="13" t="str">
        <f t="shared" si="70"/>
        <v>E141_疾患開始日</v>
      </c>
      <c r="D527" s="13" t="s">
        <v>6179</v>
      </c>
      <c r="E527" s="8"/>
      <c r="F527" s="7" t="s">
        <v>4348</v>
      </c>
      <c r="G527" s="7" t="s">
        <v>25</v>
      </c>
      <c r="H527" s="58"/>
      <c r="I527" s="23"/>
      <c r="J527" s="24"/>
      <c r="M527" s="4"/>
      <c r="N527" s="76"/>
      <c r="O527" s="76"/>
      <c r="P527" s="76" t="str">
        <f t="shared" si="63"/>
        <v>,shikkan519_start_date</v>
      </c>
      <c r="Q527" s="76" t="str">
        <f t="shared" si="64"/>
        <v>DATE</v>
      </c>
      <c r="R527" s="76" t="str">
        <f t="shared" si="65"/>
        <v/>
      </c>
      <c r="S527" s="76" t="str">
        <f t="shared" si="66"/>
        <v/>
      </c>
      <c r="T527" s="76" t="str">
        <f t="shared" si="67"/>
        <v>-- E141_疾患開始日</v>
      </c>
      <c r="U527" s="4" t="str">
        <f t="shared" si="68"/>
        <v>,'shikkan519_start_date'</v>
      </c>
      <c r="V527" s="25" t="str">
        <f t="shared" si="69"/>
        <v>,'shikkan519_start_date' : 'E141_疾患開始日'</v>
      </c>
      <c r="X527" s="25">
        <v>1</v>
      </c>
      <c r="AA527" s="4"/>
      <c r="AB527" s="4"/>
      <c r="AC527" s="4"/>
      <c r="AD527" s="4"/>
      <c r="AE527" s="4"/>
      <c r="AF527" s="4"/>
      <c r="AG527" s="4"/>
      <c r="AH527" s="4"/>
      <c r="AI527" s="4"/>
      <c r="AJ527" s="76" t="str">
        <f>IF(E527="○",IF(COUNTA(E$13:E527)=1,"",",")&amp;D527,"")</f>
        <v/>
      </c>
      <c r="AK527" s="4"/>
      <c r="AL527" s="4"/>
      <c r="AM527" s="4"/>
      <c r="AN527" s="4"/>
      <c r="AO527" s="4"/>
      <c r="AP527" s="4"/>
      <c r="AQ527" s="4"/>
      <c r="AR527" s="4"/>
      <c r="AS527" s="76" t="str">
        <f>"COMMENT ON COLUMN "&amp;エンティティ一覧!$O$2&amp;"."&amp;D$8&amp;"."&amp;D527&amp;" IS '"&amp;C527&amp;"';"</f>
        <v>COMMENT ON COLUMN milscm_2023_009.main_diagnosis_start_date.shikkan519_start_date IS 'E141_疾患開始日';</v>
      </c>
    </row>
    <row r="528" spans="1:45" s="25" customFormat="1">
      <c r="A528" s="4" t="s">
        <v>5132</v>
      </c>
      <c r="B528" s="21">
        <f t="shared" si="62"/>
        <v>526</v>
      </c>
      <c r="C528" s="13" t="str">
        <f t="shared" si="70"/>
        <v>E142_疾患開始日</v>
      </c>
      <c r="D528" s="13" t="s">
        <v>6180</v>
      </c>
      <c r="E528" s="8"/>
      <c r="F528" s="7" t="s">
        <v>4348</v>
      </c>
      <c r="G528" s="7" t="s">
        <v>25</v>
      </c>
      <c r="H528" s="58"/>
      <c r="I528" s="23"/>
      <c r="J528" s="24"/>
      <c r="M528" s="4"/>
      <c r="N528" s="76"/>
      <c r="O528" s="76"/>
      <c r="P528" s="76" t="str">
        <f t="shared" si="63"/>
        <v>,shikkan520_start_date</v>
      </c>
      <c r="Q528" s="76" t="str">
        <f t="shared" si="64"/>
        <v>DATE</v>
      </c>
      <c r="R528" s="76" t="str">
        <f t="shared" si="65"/>
        <v/>
      </c>
      <c r="S528" s="76" t="str">
        <f t="shared" si="66"/>
        <v/>
      </c>
      <c r="T528" s="76" t="str">
        <f t="shared" si="67"/>
        <v>-- E142_疾患開始日</v>
      </c>
      <c r="U528" s="4" t="str">
        <f t="shared" si="68"/>
        <v>,'shikkan520_start_date'</v>
      </c>
      <c r="V528" s="25" t="str">
        <f t="shared" si="69"/>
        <v>,'shikkan520_start_date' : 'E142_疾患開始日'</v>
      </c>
      <c r="X528" s="25">
        <v>1</v>
      </c>
      <c r="AA528" s="4"/>
      <c r="AB528" s="4"/>
      <c r="AC528" s="4"/>
      <c r="AD528" s="4"/>
      <c r="AE528" s="4"/>
      <c r="AF528" s="4"/>
      <c r="AG528" s="4"/>
      <c r="AH528" s="4"/>
      <c r="AI528" s="4"/>
      <c r="AJ528" s="76" t="str">
        <f>IF(E528="○",IF(COUNTA(E$13:E528)=1,"",",")&amp;D528,"")</f>
        <v/>
      </c>
      <c r="AK528" s="4"/>
      <c r="AL528" s="4"/>
      <c r="AM528" s="4"/>
      <c r="AN528" s="4"/>
      <c r="AO528" s="4"/>
      <c r="AP528" s="4"/>
      <c r="AQ528" s="4"/>
      <c r="AR528" s="4"/>
      <c r="AS528" s="76" t="str">
        <f>"COMMENT ON COLUMN "&amp;エンティティ一覧!$O$2&amp;"."&amp;D$8&amp;"."&amp;D528&amp;" IS '"&amp;C528&amp;"';"</f>
        <v>COMMENT ON COLUMN milscm_2023_009.main_diagnosis_start_date.shikkan520_start_date IS 'E142_疾患開始日';</v>
      </c>
    </row>
    <row r="529" spans="1:45" s="25" customFormat="1">
      <c r="A529" s="4" t="s">
        <v>5133</v>
      </c>
      <c r="B529" s="21">
        <f t="shared" si="62"/>
        <v>527</v>
      </c>
      <c r="C529" s="13" t="str">
        <f t="shared" si="70"/>
        <v>E143_疾患開始日</v>
      </c>
      <c r="D529" s="13" t="s">
        <v>6181</v>
      </c>
      <c r="E529" s="8"/>
      <c r="F529" s="7" t="s">
        <v>4348</v>
      </c>
      <c r="G529" s="7" t="s">
        <v>25</v>
      </c>
      <c r="H529" s="58"/>
      <c r="I529" s="23"/>
      <c r="J529" s="24"/>
      <c r="M529" s="4"/>
      <c r="N529" s="76"/>
      <c r="O529" s="76"/>
      <c r="P529" s="76" t="str">
        <f t="shared" si="63"/>
        <v>,shikkan521_start_date</v>
      </c>
      <c r="Q529" s="76" t="str">
        <f t="shared" si="64"/>
        <v>DATE</v>
      </c>
      <c r="R529" s="76" t="str">
        <f t="shared" si="65"/>
        <v/>
      </c>
      <c r="S529" s="76" t="str">
        <f t="shared" si="66"/>
        <v/>
      </c>
      <c r="T529" s="76" t="str">
        <f t="shared" si="67"/>
        <v>-- E143_疾患開始日</v>
      </c>
      <c r="U529" s="4" t="str">
        <f t="shared" si="68"/>
        <v>,'shikkan521_start_date'</v>
      </c>
      <c r="V529" s="25" t="str">
        <f t="shared" si="69"/>
        <v>,'shikkan521_start_date' : 'E143_疾患開始日'</v>
      </c>
      <c r="X529" s="25">
        <v>1</v>
      </c>
      <c r="AA529" s="4"/>
      <c r="AB529" s="4"/>
      <c r="AC529" s="4"/>
      <c r="AD529" s="4"/>
      <c r="AE529" s="4"/>
      <c r="AF529" s="4"/>
      <c r="AG529" s="4"/>
      <c r="AH529" s="4"/>
      <c r="AI529" s="4"/>
      <c r="AJ529" s="76" t="str">
        <f>IF(E529="○",IF(COUNTA(E$13:E529)=1,"",",")&amp;D529,"")</f>
        <v/>
      </c>
      <c r="AK529" s="4"/>
      <c r="AL529" s="4"/>
      <c r="AM529" s="4"/>
      <c r="AN529" s="4"/>
      <c r="AO529" s="4"/>
      <c r="AP529" s="4"/>
      <c r="AQ529" s="4"/>
      <c r="AR529" s="4"/>
      <c r="AS529" s="76" t="str">
        <f>"COMMENT ON COLUMN "&amp;エンティティ一覧!$O$2&amp;"."&amp;D$8&amp;"."&amp;D529&amp;" IS '"&amp;C529&amp;"';"</f>
        <v>COMMENT ON COLUMN milscm_2023_009.main_diagnosis_start_date.shikkan521_start_date IS 'E143_疾患開始日';</v>
      </c>
    </row>
    <row r="530" spans="1:45" s="25" customFormat="1">
      <c r="A530" s="4" t="s">
        <v>5134</v>
      </c>
      <c r="B530" s="21">
        <f t="shared" si="62"/>
        <v>528</v>
      </c>
      <c r="C530" s="13" t="str">
        <f t="shared" si="70"/>
        <v>E144_疾患開始日</v>
      </c>
      <c r="D530" s="13" t="s">
        <v>6182</v>
      </c>
      <c r="E530" s="8"/>
      <c r="F530" s="7" t="s">
        <v>4348</v>
      </c>
      <c r="G530" s="7" t="s">
        <v>25</v>
      </c>
      <c r="H530" s="58"/>
      <c r="I530" s="23"/>
      <c r="J530" s="24"/>
      <c r="M530" s="4"/>
      <c r="N530" s="76"/>
      <c r="O530" s="76"/>
      <c r="P530" s="76" t="str">
        <f t="shared" si="63"/>
        <v>,shikkan522_start_date</v>
      </c>
      <c r="Q530" s="76" t="str">
        <f t="shared" si="64"/>
        <v>DATE</v>
      </c>
      <c r="R530" s="76" t="str">
        <f t="shared" si="65"/>
        <v/>
      </c>
      <c r="S530" s="76" t="str">
        <f t="shared" si="66"/>
        <v/>
      </c>
      <c r="T530" s="76" t="str">
        <f t="shared" si="67"/>
        <v>-- E144_疾患開始日</v>
      </c>
      <c r="U530" s="4" t="str">
        <f t="shared" si="68"/>
        <v>,'shikkan522_start_date'</v>
      </c>
      <c r="V530" s="25" t="str">
        <f t="shared" si="69"/>
        <v>,'shikkan522_start_date' : 'E144_疾患開始日'</v>
      </c>
      <c r="X530" s="25">
        <v>1</v>
      </c>
      <c r="AA530" s="4"/>
      <c r="AB530" s="4"/>
      <c r="AC530" s="4"/>
      <c r="AD530" s="4"/>
      <c r="AE530" s="4"/>
      <c r="AF530" s="4"/>
      <c r="AG530" s="4"/>
      <c r="AH530" s="4"/>
      <c r="AI530" s="4"/>
      <c r="AJ530" s="76" t="str">
        <f>IF(E530="○",IF(COUNTA(E$13:E530)=1,"",",")&amp;D530,"")</f>
        <v/>
      </c>
      <c r="AK530" s="4"/>
      <c r="AL530" s="4"/>
      <c r="AM530" s="4"/>
      <c r="AN530" s="4"/>
      <c r="AO530" s="4"/>
      <c r="AP530" s="4"/>
      <c r="AQ530" s="4"/>
      <c r="AR530" s="4"/>
      <c r="AS530" s="76" t="str">
        <f>"COMMENT ON COLUMN "&amp;エンティティ一覧!$O$2&amp;"."&amp;D$8&amp;"."&amp;D530&amp;" IS '"&amp;C530&amp;"';"</f>
        <v>COMMENT ON COLUMN milscm_2023_009.main_diagnosis_start_date.shikkan522_start_date IS 'E144_疾患開始日';</v>
      </c>
    </row>
    <row r="531" spans="1:45" s="25" customFormat="1">
      <c r="A531" s="4" t="s">
        <v>5135</v>
      </c>
      <c r="B531" s="21">
        <f t="shared" si="62"/>
        <v>529</v>
      </c>
      <c r="C531" s="13" t="str">
        <f t="shared" si="70"/>
        <v>E145_疾患開始日</v>
      </c>
      <c r="D531" s="13" t="s">
        <v>6183</v>
      </c>
      <c r="E531" s="8"/>
      <c r="F531" s="7" t="s">
        <v>4348</v>
      </c>
      <c r="G531" s="7" t="s">
        <v>25</v>
      </c>
      <c r="H531" s="58"/>
      <c r="I531" s="23"/>
      <c r="J531" s="24"/>
      <c r="M531" s="4"/>
      <c r="N531" s="76"/>
      <c r="O531" s="76"/>
      <c r="P531" s="76" t="str">
        <f t="shared" si="63"/>
        <v>,shikkan523_start_date</v>
      </c>
      <c r="Q531" s="76" t="str">
        <f t="shared" si="64"/>
        <v>DATE</v>
      </c>
      <c r="R531" s="76" t="str">
        <f t="shared" si="65"/>
        <v/>
      </c>
      <c r="S531" s="76" t="str">
        <f t="shared" si="66"/>
        <v/>
      </c>
      <c r="T531" s="76" t="str">
        <f t="shared" si="67"/>
        <v>-- E145_疾患開始日</v>
      </c>
      <c r="U531" s="4" t="str">
        <f t="shared" si="68"/>
        <v>,'shikkan523_start_date'</v>
      </c>
      <c r="V531" s="25" t="str">
        <f t="shared" si="69"/>
        <v>,'shikkan523_start_date' : 'E145_疾患開始日'</v>
      </c>
      <c r="X531" s="25">
        <v>1</v>
      </c>
      <c r="AA531" s="4"/>
      <c r="AB531" s="4"/>
      <c r="AC531" s="4"/>
      <c r="AD531" s="4"/>
      <c r="AE531" s="4"/>
      <c r="AF531" s="4"/>
      <c r="AG531" s="4"/>
      <c r="AH531" s="4"/>
      <c r="AI531" s="4"/>
      <c r="AJ531" s="76" t="str">
        <f>IF(E531="○",IF(COUNTA(E$13:E531)=1,"",",")&amp;D531,"")</f>
        <v/>
      </c>
      <c r="AK531" s="4"/>
      <c r="AL531" s="4"/>
      <c r="AM531" s="4"/>
      <c r="AN531" s="4"/>
      <c r="AO531" s="4"/>
      <c r="AP531" s="4"/>
      <c r="AQ531" s="4"/>
      <c r="AR531" s="4"/>
      <c r="AS531" s="76" t="str">
        <f>"COMMENT ON COLUMN "&amp;エンティティ一覧!$O$2&amp;"."&amp;D$8&amp;"."&amp;D531&amp;" IS '"&amp;C531&amp;"';"</f>
        <v>COMMENT ON COLUMN milscm_2023_009.main_diagnosis_start_date.shikkan523_start_date IS 'E145_疾患開始日';</v>
      </c>
    </row>
    <row r="532" spans="1:45" s="25" customFormat="1">
      <c r="A532" s="4" t="s">
        <v>5110</v>
      </c>
      <c r="B532" s="21">
        <f t="shared" si="62"/>
        <v>530</v>
      </c>
      <c r="C532" s="13" t="str">
        <f t="shared" si="70"/>
        <v>E146_疾患開始日</v>
      </c>
      <c r="D532" s="13" t="s">
        <v>6184</v>
      </c>
      <c r="E532" s="8"/>
      <c r="F532" s="7" t="s">
        <v>4348</v>
      </c>
      <c r="G532" s="7" t="s">
        <v>25</v>
      </c>
      <c r="H532" s="58"/>
      <c r="I532" s="23"/>
      <c r="J532" s="24"/>
      <c r="M532" s="4"/>
      <c r="N532" s="76"/>
      <c r="O532" s="76"/>
      <c r="P532" s="76" t="str">
        <f t="shared" si="63"/>
        <v>,shikkan524_start_date</v>
      </c>
      <c r="Q532" s="76" t="str">
        <f t="shared" si="64"/>
        <v>DATE</v>
      </c>
      <c r="R532" s="76" t="str">
        <f t="shared" si="65"/>
        <v/>
      </c>
      <c r="S532" s="76" t="str">
        <f t="shared" si="66"/>
        <v/>
      </c>
      <c r="T532" s="76" t="str">
        <f t="shared" si="67"/>
        <v>-- E146_疾患開始日</v>
      </c>
      <c r="U532" s="4" t="str">
        <f t="shared" si="68"/>
        <v>,'shikkan524_start_date'</v>
      </c>
      <c r="V532" s="25" t="str">
        <f t="shared" si="69"/>
        <v>,'shikkan524_start_date' : 'E146_疾患開始日'</v>
      </c>
      <c r="X532" s="25">
        <v>1</v>
      </c>
      <c r="AA532" s="4"/>
      <c r="AB532" s="4"/>
      <c r="AC532" s="4"/>
      <c r="AD532" s="4"/>
      <c r="AE532" s="4"/>
      <c r="AF532" s="4"/>
      <c r="AG532" s="4"/>
      <c r="AH532" s="4"/>
      <c r="AI532" s="4"/>
      <c r="AJ532" s="76" t="str">
        <f>IF(E532="○",IF(COUNTA(E$13:E532)=1,"",",")&amp;D532,"")</f>
        <v/>
      </c>
      <c r="AK532" s="4"/>
      <c r="AL532" s="4"/>
      <c r="AM532" s="4"/>
      <c r="AN532" s="4"/>
      <c r="AO532" s="4"/>
      <c r="AP532" s="4"/>
      <c r="AQ532" s="4"/>
      <c r="AR532" s="4"/>
      <c r="AS532" s="76" t="str">
        <f>"COMMENT ON COLUMN "&amp;エンティティ一覧!$O$2&amp;"."&amp;D$8&amp;"."&amp;D532&amp;" IS '"&amp;C532&amp;"';"</f>
        <v>COMMENT ON COLUMN milscm_2023_009.main_diagnosis_start_date.shikkan524_start_date IS 'E146_疾患開始日';</v>
      </c>
    </row>
    <row r="533" spans="1:45" s="25" customFormat="1">
      <c r="A533" s="4" t="s">
        <v>5136</v>
      </c>
      <c r="B533" s="21">
        <f t="shared" si="62"/>
        <v>531</v>
      </c>
      <c r="C533" s="13" t="str">
        <f t="shared" si="70"/>
        <v>E147_疾患開始日</v>
      </c>
      <c r="D533" s="13" t="s">
        <v>6185</v>
      </c>
      <c r="E533" s="8"/>
      <c r="F533" s="7" t="s">
        <v>4348</v>
      </c>
      <c r="G533" s="7" t="s">
        <v>25</v>
      </c>
      <c r="H533" s="58"/>
      <c r="I533" s="23"/>
      <c r="J533" s="24"/>
      <c r="M533" s="4"/>
      <c r="N533" s="76"/>
      <c r="O533" s="76"/>
      <c r="P533" s="76" t="str">
        <f t="shared" si="63"/>
        <v>,shikkan525_start_date</v>
      </c>
      <c r="Q533" s="76" t="str">
        <f t="shared" si="64"/>
        <v>DATE</v>
      </c>
      <c r="R533" s="76" t="str">
        <f t="shared" si="65"/>
        <v/>
      </c>
      <c r="S533" s="76" t="str">
        <f t="shared" si="66"/>
        <v/>
      </c>
      <c r="T533" s="76" t="str">
        <f t="shared" si="67"/>
        <v>-- E147_疾患開始日</v>
      </c>
      <c r="U533" s="4" t="str">
        <f t="shared" si="68"/>
        <v>,'shikkan525_start_date'</v>
      </c>
      <c r="V533" s="25" t="str">
        <f t="shared" si="69"/>
        <v>,'shikkan525_start_date' : 'E147_疾患開始日'</v>
      </c>
      <c r="X533" s="25">
        <v>1</v>
      </c>
      <c r="AA533" s="4"/>
      <c r="AB533" s="4"/>
      <c r="AC533" s="4"/>
      <c r="AD533" s="4"/>
      <c r="AE533" s="4"/>
      <c r="AF533" s="4"/>
      <c r="AG533" s="4"/>
      <c r="AH533" s="4"/>
      <c r="AI533" s="4"/>
      <c r="AJ533" s="76" t="str">
        <f>IF(E533="○",IF(COUNTA(E$13:E533)=1,"",",")&amp;D533,"")</f>
        <v/>
      </c>
      <c r="AK533" s="4"/>
      <c r="AL533" s="4"/>
      <c r="AM533" s="4"/>
      <c r="AN533" s="4"/>
      <c r="AO533" s="4"/>
      <c r="AP533" s="4"/>
      <c r="AQ533" s="4"/>
      <c r="AR533" s="4"/>
      <c r="AS533" s="76" t="str">
        <f>"COMMENT ON COLUMN "&amp;エンティティ一覧!$O$2&amp;"."&amp;D$8&amp;"."&amp;D533&amp;" IS '"&amp;C533&amp;"';"</f>
        <v>COMMENT ON COLUMN milscm_2023_009.main_diagnosis_start_date.shikkan525_start_date IS 'E147_疾患開始日';</v>
      </c>
    </row>
    <row r="534" spans="1:45" s="25" customFormat="1">
      <c r="A534" s="4" t="s">
        <v>5111</v>
      </c>
      <c r="B534" s="21">
        <f t="shared" si="62"/>
        <v>532</v>
      </c>
      <c r="C534" s="13" t="str">
        <f t="shared" si="70"/>
        <v>E148_疾患開始日</v>
      </c>
      <c r="D534" s="13" t="s">
        <v>6186</v>
      </c>
      <c r="E534" s="8"/>
      <c r="F534" s="7" t="s">
        <v>4348</v>
      </c>
      <c r="G534" s="7" t="s">
        <v>25</v>
      </c>
      <c r="H534" s="58"/>
      <c r="I534" s="23"/>
      <c r="J534" s="24"/>
      <c r="M534" s="4"/>
      <c r="N534" s="76"/>
      <c r="O534" s="76"/>
      <c r="P534" s="76" t="str">
        <f t="shared" si="63"/>
        <v>,shikkan526_start_date</v>
      </c>
      <c r="Q534" s="76" t="str">
        <f t="shared" si="64"/>
        <v>DATE</v>
      </c>
      <c r="R534" s="76" t="str">
        <f t="shared" si="65"/>
        <v/>
      </c>
      <c r="S534" s="76" t="str">
        <f t="shared" si="66"/>
        <v/>
      </c>
      <c r="T534" s="76" t="str">
        <f t="shared" si="67"/>
        <v>-- E148_疾患開始日</v>
      </c>
      <c r="U534" s="4" t="str">
        <f t="shared" si="68"/>
        <v>,'shikkan526_start_date'</v>
      </c>
      <c r="V534" s="25" t="str">
        <f t="shared" si="69"/>
        <v>,'shikkan526_start_date' : 'E148_疾患開始日'</v>
      </c>
      <c r="X534" s="25">
        <v>1</v>
      </c>
      <c r="AA534" s="4"/>
      <c r="AB534" s="4"/>
      <c r="AC534" s="4"/>
      <c r="AD534" s="4"/>
      <c r="AE534" s="4"/>
      <c r="AF534" s="4"/>
      <c r="AG534" s="4"/>
      <c r="AH534" s="4"/>
      <c r="AI534" s="4"/>
      <c r="AJ534" s="76" t="str">
        <f>IF(E534="○",IF(COUNTA(E$13:E534)=1,"",",")&amp;D534,"")</f>
        <v/>
      </c>
      <c r="AK534" s="4"/>
      <c r="AL534" s="4"/>
      <c r="AM534" s="4"/>
      <c r="AN534" s="4"/>
      <c r="AO534" s="4"/>
      <c r="AP534" s="4"/>
      <c r="AQ534" s="4"/>
      <c r="AR534" s="4"/>
      <c r="AS534" s="76" t="str">
        <f>"COMMENT ON COLUMN "&amp;エンティティ一覧!$O$2&amp;"."&amp;D$8&amp;"."&amp;D534&amp;" IS '"&amp;C534&amp;"';"</f>
        <v>COMMENT ON COLUMN milscm_2023_009.main_diagnosis_start_date.shikkan526_start_date IS 'E148_疾患開始日';</v>
      </c>
    </row>
    <row r="535" spans="1:45" s="25" customFormat="1">
      <c r="A535" s="4" t="s">
        <v>5112</v>
      </c>
      <c r="B535" s="21">
        <f t="shared" si="62"/>
        <v>533</v>
      </c>
      <c r="C535" s="13" t="str">
        <f t="shared" si="70"/>
        <v>E149_疾患開始日</v>
      </c>
      <c r="D535" s="13" t="s">
        <v>6187</v>
      </c>
      <c r="E535" s="8"/>
      <c r="F535" s="7" t="s">
        <v>4348</v>
      </c>
      <c r="G535" s="7" t="s">
        <v>25</v>
      </c>
      <c r="H535" s="58"/>
      <c r="I535" s="23"/>
      <c r="J535" s="24"/>
      <c r="M535" s="4"/>
      <c r="N535" s="76"/>
      <c r="O535" s="76"/>
      <c r="P535" s="76" t="str">
        <f t="shared" si="63"/>
        <v>,shikkan527_start_date</v>
      </c>
      <c r="Q535" s="76" t="str">
        <f t="shared" si="64"/>
        <v>DATE</v>
      </c>
      <c r="R535" s="76" t="str">
        <f t="shared" si="65"/>
        <v/>
      </c>
      <c r="S535" s="76" t="str">
        <f t="shared" si="66"/>
        <v/>
      </c>
      <c r="T535" s="76" t="str">
        <f t="shared" si="67"/>
        <v>-- E149_疾患開始日</v>
      </c>
      <c r="U535" s="4" t="str">
        <f t="shared" si="68"/>
        <v>,'shikkan527_start_date'</v>
      </c>
      <c r="V535" s="25" t="str">
        <f t="shared" si="69"/>
        <v>,'shikkan527_start_date' : 'E149_疾患開始日'</v>
      </c>
      <c r="X535" s="25">
        <v>1</v>
      </c>
      <c r="AA535" s="4"/>
      <c r="AB535" s="4"/>
      <c r="AC535" s="4"/>
      <c r="AD535" s="4"/>
      <c r="AE535" s="4"/>
      <c r="AF535" s="4"/>
      <c r="AG535" s="4"/>
      <c r="AH535" s="4"/>
      <c r="AI535" s="4"/>
      <c r="AJ535" s="76" t="str">
        <f>IF(E535="○",IF(COUNTA(E$13:E535)=1,"",",")&amp;D535,"")</f>
        <v/>
      </c>
      <c r="AK535" s="4"/>
      <c r="AL535" s="4"/>
      <c r="AM535" s="4"/>
      <c r="AN535" s="4"/>
      <c r="AO535" s="4"/>
      <c r="AP535" s="4"/>
      <c r="AQ535" s="4"/>
      <c r="AR535" s="4"/>
      <c r="AS535" s="76" t="str">
        <f>"COMMENT ON COLUMN "&amp;エンティティ一覧!$O$2&amp;"."&amp;D$8&amp;"."&amp;D535&amp;" IS '"&amp;C535&amp;"';"</f>
        <v>COMMENT ON COLUMN milscm_2023_009.main_diagnosis_start_date.shikkan527_start_date IS 'E149_疾患開始日';</v>
      </c>
    </row>
    <row r="536" spans="1:45" s="25" customFormat="1">
      <c r="A536" s="4" t="s">
        <v>5620</v>
      </c>
      <c r="B536" s="21">
        <f t="shared" si="62"/>
        <v>534</v>
      </c>
      <c r="C536" s="13" t="str">
        <f t="shared" si="70"/>
        <v>F000_疾患開始日</v>
      </c>
      <c r="D536" s="13" t="s">
        <v>6188</v>
      </c>
      <c r="E536" s="8"/>
      <c r="F536" s="7" t="s">
        <v>4348</v>
      </c>
      <c r="G536" s="7" t="s">
        <v>99</v>
      </c>
      <c r="H536" s="58"/>
      <c r="I536" s="23"/>
      <c r="J536" s="24"/>
      <c r="M536" s="4"/>
      <c r="N536" s="76"/>
      <c r="O536" s="76"/>
      <c r="P536" s="76" t="str">
        <f t="shared" si="63"/>
        <v>,shikkan528_start_date</v>
      </c>
      <c r="Q536" s="76" t="str">
        <f t="shared" si="64"/>
        <v>DATE</v>
      </c>
      <c r="R536" s="76" t="str">
        <f t="shared" si="65"/>
        <v/>
      </c>
      <c r="S536" s="76" t="str">
        <f t="shared" si="66"/>
        <v/>
      </c>
      <c r="T536" s="76" t="str">
        <f t="shared" si="67"/>
        <v>-- F000_疾患開始日</v>
      </c>
      <c r="U536" s="4" t="str">
        <f t="shared" si="68"/>
        <v>,'shikkan528_start_date'</v>
      </c>
      <c r="V536" s="25" t="str">
        <f t="shared" si="69"/>
        <v>,'shikkan528_start_date' : 'F000_疾患開始日'</v>
      </c>
      <c r="X536" s="25">
        <v>1</v>
      </c>
      <c r="AA536" s="4"/>
      <c r="AB536" s="4"/>
      <c r="AC536" s="4"/>
      <c r="AD536" s="4"/>
      <c r="AE536" s="4"/>
      <c r="AF536" s="4"/>
      <c r="AG536" s="4"/>
      <c r="AH536" s="4"/>
      <c r="AI536" s="4"/>
      <c r="AJ536" s="76" t="str">
        <f>IF(E536="○",IF(COUNTA(E$13:E536)=1,"",",")&amp;D536,"")</f>
        <v/>
      </c>
      <c r="AK536" s="4"/>
      <c r="AL536" s="4"/>
      <c r="AM536" s="4"/>
      <c r="AN536" s="4"/>
      <c r="AO536" s="4"/>
      <c r="AP536" s="4"/>
      <c r="AQ536" s="4"/>
      <c r="AR536" s="4"/>
      <c r="AS536" s="76" t="str">
        <f>"COMMENT ON COLUMN "&amp;エンティティ一覧!$O$2&amp;"."&amp;D$8&amp;"."&amp;D536&amp;" IS '"&amp;C536&amp;"';"</f>
        <v>COMMENT ON COLUMN milscm_2023_009.main_diagnosis_start_date.shikkan528_start_date IS 'F000_疾患開始日';</v>
      </c>
    </row>
    <row r="537" spans="1:45" s="25" customFormat="1">
      <c r="A537" s="4" t="s">
        <v>5621</v>
      </c>
      <c r="B537" s="21">
        <f t="shared" si="62"/>
        <v>535</v>
      </c>
      <c r="C537" s="13" t="str">
        <f t="shared" si="70"/>
        <v>F001_疾患開始日</v>
      </c>
      <c r="D537" s="13" t="s">
        <v>6189</v>
      </c>
      <c r="E537" s="8"/>
      <c r="F537" s="7" t="s">
        <v>4348</v>
      </c>
      <c r="G537" s="7" t="s">
        <v>25</v>
      </c>
      <c r="H537" s="58"/>
      <c r="I537" s="23"/>
      <c r="J537" s="24"/>
      <c r="M537" s="4"/>
      <c r="N537" s="76"/>
      <c r="O537" s="76"/>
      <c r="P537" s="76" t="str">
        <f t="shared" si="63"/>
        <v>,shikkan529_start_date</v>
      </c>
      <c r="Q537" s="76" t="str">
        <f t="shared" si="64"/>
        <v>DATE</v>
      </c>
      <c r="R537" s="76" t="str">
        <f t="shared" si="65"/>
        <v/>
      </c>
      <c r="S537" s="76" t="str">
        <f t="shared" si="66"/>
        <v/>
      </c>
      <c r="T537" s="76" t="str">
        <f t="shared" si="67"/>
        <v>-- F001_疾患開始日</v>
      </c>
      <c r="U537" s="4" t="str">
        <f t="shared" si="68"/>
        <v>,'shikkan529_start_date'</v>
      </c>
      <c r="V537" s="25" t="str">
        <f t="shared" si="69"/>
        <v>,'shikkan529_start_date' : 'F001_疾患開始日'</v>
      </c>
      <c r="X537" s="25">
        <v>1</v>
      </c>
      <c r="AA537" s="4"/>
      <c r="AB537" s="4"/>
      <c r="AC537" s="4"/>
      <c r="AD537" s="4"/>
      <c r="AE537" s="4"/>
      <c r="AF537" s="4"/>
      <c r="AG537" s="4"/>
      <c r="AH537" s="4"/>
      <c r="AI537" s="4"/>
      <c r="AJ537" s="76" t="str">
        <f>IF(E537="○",IF(COUNTA(E$13:E537)=1,"",",")&amp;D537,"")</f>
        <v/>
      </c>
      <c r="AK537" s="4"/>
      <c r="AL537" s="4"/>
      <c r="AM537" s="4"/>
      <c r="AN537" s="4"/>
      <c r="AO537" s="4"/>
      <c r="AP537" s="4"/>
      <c r="AQ537" s="4"/>
      <c r="AR537" s="4"/>
      <c r="AS537" s="76" t="str">
        <f>"COMMENT ON COLUMN "&amp;エンティティ一覧!$O$2&amp;"."&amp;D$8&amp;"."&amp;D537&amp;" IS '"&amp;C537&amp;"';"</f>
        <v>COMMENT ON COLUMN milscm_2023_009.main_diagnosis_start_date.shikkan529_start_date IS 'F001_疾患開始日';</v>
      </c>
    </row>
    <row r="538" spans="1:45" s="25" customFormat="1">
      <c r="A538" s="4" t="s">
        <v>5622</v>
      </c>
      <c r="B538" s="21">
        <f t="shared" si="62"/>
        <v>536</v>
      </c>
      <c r="C538" s="13" t="str">
        <f t="shared" si="70"/>
        <v>F002_疾患開始日</v>
      </c>
      <c r="D538" s="13" t="s">
        <v>6190</v>
      </c>
      <c r="E538" s="8"/>
      <c r="F538" s="7" t="s">
        <v>4348</v>
      </c>
      <c r="G538" s="7" t="s">
        <v>25</v>
      </c>
      <c r="H538" s="58"/>
      <c r="I538" s="23"/>
      <c r="J538" s="24"/>
      <c r="M538" s="4"/>
      <c r="N538" s="76"/>
      <c r="O538" s="76"/>
      <c r="P538" s="76" t="str">
        <f t="shared" si="63"/>
        <v>,shikkan530_start_date</v>
      </c>
      <c r="Q538" s="76" t="str">
        <f t="shared" si="64"/>
        <v>DATE</v>
      </c>
      <c r="R538" s="76" t="str">
        <f t="shared" si="65"/>
        <v/>
      </c>
      <c r="S538" s="76" t="str">
        <f t="shared" si="66"/>
        <v/>
      </c>
      <c r="T538" s="76" t="str">
        <f t="shared" si="67"/>
        <v>-- F002_疾患開始日</v>
      </c>
      <c r="U538" s="4" t="str">
        <f t="shared" si="68"/>
        <v>,'shikkan530_start_date'</v>
      </c>
      <c r="V538" s="25" t="str">
        <f t="shared" si="69"/>
        <v>,'shikkan530_start_date' : 'F002_疾患開始日'</v>
      </c>
      <c r="X538" s="25">
        <v>1</v>
      </c>
      <c r="AA538" s="4"/>
      <c r="AB538" s="4"/>
      <c r="AC538" s="4"/>
      <c r="AD538" s="4"/>
      <c r="AE538" s="4"/>
      <c r="AF538" s="4"/>
      <c r="AG538" s="4"/>
      <c r="AH538" s="4"/>
      <c r="AI538" s="4"/>
      <c r="AJ538" s="76" t="str">
        <f>IF(E538="○",IF(COUNTA(E$13:E538)=1,"",",")&amp;D538,"")</f>
        <v/>
      </c>
      <c r="AK538" s="4"/>
      <c r="AL538" s="4"/>
      <c r="AM538" s="4"/>
      <c r="AN538" s="4"/>
      <c r="AO538" s="4"/>
      <c r="AP538" s="4"/>
      <c r="AQ538" s="4"/>
      <c r="AR538" s="4"/>
      <c r="AS538" s="76" t="str">
        <f>"COMMENT ON COLUMN "&amp;エンティティ一覧!$O$2&amp;"."&amp;D$8&amp;"."&amp;D538&amp;" IS '"&amp;C538&amp;"';"</f>
        <v>COMMENT ON COLUMN milscm_2023_009.main_diagnosis_start_date.shikkan530_start_date IS 'F002_疾患開始日';</v>
      </c>
    </row>
    <row r="539" spans="1:45" s="25" customFormat="1">
      <c r="A539" s="4" t="s">
        <v>5623</v>
      </c>
      <c r="B539" s="21">
        <f t="shared" si="62"/>
        <v>537</v>
      </c>
      <c r="C539" s="13" t="str">
        <f t="shared" si="70"/>
        <v>F009_疾患開始日</v>
      </c>
      <c r="D539" s="13" t="s">
        <v>6191</v>
      </c>
      <c r="E539" s="8"/>
      <c r="F539" s="7" t="s">
        <v>4348</v>
      </c>
      <c r="G539" s="7" t="s">
        <v>25</v>
      </c>
      <c r="H539" s="58"/>
      <c r="I539" s="23"/>
      <c r="J539" s="24"/>
      <c r="M539" s="4"/>
      <c r="N539" s="76"/>
      <c r="O539" s="76"/>
      <c r="P539" s="76" t="str">
        <f t="shared" si="63"/>
        <v>,shikkan531_start_date</v>
      </c>
      <c r="Q539" s="76" t="str">
        <f t="shared" si="64"/>
        <v>DATE</v>
      </c>
      <c r="R539" s="76" t="str">
        <f t="shared" si="65"/>
        <v/>
      </c>
      <c r="S539" s="76" t="str">
        <f t="shared" si="66"/>
        <v/>
      </c>
      <c r="T539" s="76" t="str">
        <f t="shared" si="67"/>
        <v>-- F009_疾患開始日</v>
      </c>
      <c r="U539" s="4" t="str">
        <f t="shared" si="68"/>
        <v>,'shikkan531_start_date'</v>
      </c>
      <c r="V539" s="25" t="str">
        <f t="shared" si="69"/>
        <v>,'shikkan531_start_date' : 'F009_疾患開始日'</v>
      </c>
      <c r="X539" s="25">
        <v>1</v>
      </c>
      <c r="AA539" s="4"/>
      <c r="AB539" s="4"/>
      <c r="AC539" s="4"/>
      <c r="AD539" s="4"/>
      <c r="AE539" s="4"/>
      <c r="AF539" s="4"/>
      <c r="AG539" s="4"/>
      <c r="AH539" s="4"/>
      <c r="AI539" s="4"/>
      <c r="AJ539" s="76" t="str">
        <f>IF(E539="○",IF(COUNTA(E$13:E539)=1,"",",")&amp;D539,"")</f>
        <v/>
      </c>
      <c r="AK539" s="4"/>
      <c r="AL539" s="4"/>
      <c r="AM539" s="4"/>
      <c r="AN539" s="4"/>
      <c r="AO539" s="4"/>
      <c r="AP539" s="4"/>
      <c r="AQ539" s="4"/>
      <c r="AR539" s="4"/>
      <c r="AS539" s="76" t="str">
        <f>"COMMENT ON COLUMN "&amp;エンティティ一覧!$O$2&amp;"."&amp;D$8&amp;"."&amp;D539&amp;" IS '"&amp;C539&amp;"';"</f>
        <v>COMMENT ON COLUMN milscm_2023_009.main_diagnosis_start_date.shikkan531_start_date IS 'F009_疾患開始日';</v>
      </c>
    </row>
    <row r="540" spans="1:45" s="25" customFormat="1">
      <c r="A540" s="4" t="s">
        <v>5624</v>
      </c>
      <c r="B540" s="21">
        <f t="shared" si="62"/>
        <v>538</v>
      </c>
      <c r="C540" s="13" t="str">
        <f t="shared" si="70"/>
        <v>F010_疾患開始日</v>
      </c>
      <c r="D540" s="13" t="s">
        <v>6192</v>
      </c>
      <c r="E540" s="8"/>
      <c r="F540" s="7" t="s">
        <v>4348</v>
      </c>
      <c r="G540" s="7" t="s">
        <v>25</v>
      </c>
      <c r="H540" s="58"/>
      <c r="I540" s="23"/>
      <c r="J540" s="24"/>
      <c r="M540" s="4"/>
      <c r="N540" s="76"/>
      <c r="O540" s="76"/>
      <c r="P540" s="76" t="str">
        <f t="shared" si="63"/>
        <v>,shikkan532_start_date</v>
      </c>
      <c r="Q540" s="76" t="str">
        <f t="shared" si="64"/>
        <v>DATE</v>
      </c>
      <c r="R540" s="76" t="str">
        <f t="shared" si="65"/>
        <v/>
      </c>
      <c r="S540" s="76" t="str">
        <f t="shared" si="66"/>
        <v/>
      </c>
      <c r="T540" s="76" t="str">
        <f t="shared" si="67"/>
        <v>-- F010_疾患開始日</v>
      </c>
      <c r="U540" s="4" t="str">
        <f t="shared" si="68"/>
        <v>,'shikkan532_start_date'</v>
      </c>
      <c r="V540" s="25" t="str">
        <f t="shared" si="69"/>
        <v>,'shikkan532_start_date' : 'F010_疾患開始日'</v>
      </c>
      <c r="X540" s="25">
        <v>1</v>
      </c>
      <c r="AA540" s="4"/>
      <c r="AB540" s="4"/>
      <c r="AC540" s="4"/>
      <c r="AD540" s="4"/>
      <c r="AE540" s="4"/>
      <c r="AF540" s="4"/>
      <c r="AG540" s="4"/>
      <c r="AH540" s="4"/>
      <c r="AI540" s="4"/>
      <c r="AJ540" s="76" t="str">
        <f>IF(E540="○",IF(COUNTA(E$13:E540)=1,"",",")&amp;D540,"")</f>
        <v/>
      </c>
      <c r="AK540" s="4"/>
      <c r="AL540" s="4"/>
      <c r="AM540" s="4"/>
      <c r="AN540" s="4"/>
      <c r="AO540" s="4"/>
      <c r="AP540" s="4"/>
      <c r="AQ540" s="4"/>
      <c r="AR540" s="4"/>
      <c r="AS540" s="76" t="str">
        <f>"COMMENT ON COLUMN "&amp;エンティティ一覧!$O$2&amp;"."&amp;D$8&amp;"."&amp;D540&amp;" IS '"&amp;C540&amp;"';"</f>
        <v>COMMENT ON COLUMN milscm_2023_009.main_diagnosis_start_date.shikkan532_start_date IS 'F010_疾患開始日';</v>
      </c>
    </row>
    <row r="541" spans="1:45" s="25" customFormat="1">
      <c r="A541" s="4" t="s">
        <v>5625</v>
      </c>
      <c r="B541" s="21">
        <f t="shared" si="62"/>
        <v>539</v>
      </c>
      <c r="C541" s="13" t="str">
        <f t="shared" si="70"/>
        <v>F011_疾患開始日</v>
      </c>
      <c r="D541" s="13" t="s">
        <v>6193</v>
      </c>
      <c r="E541" s="8"/>
      <c r="F541" s="7" t="s">
        <v>4348</v>
      </c>
      <c r="G541" s="7" t="s">
        <v>25</v>
      </c>
      <c r="H541" s="58"/>
      <c r="I541" s="23"/>
      <c r="J541" s="24"/>
      <c r="M541" s="4"/>
      <c r="N541" s="76"/>
      <c r="O541" s="76"/>
      <c r="P541" s="76" t="str">
        <f t="shared" si="63"/>
        <v>,shikkan533_start_date</v>
      </c>
      <c r="Q541" s="76" t="str">
        <f t="shared" si="64"/>
        <v>DATE</v>
      </c>
      <c r="R541" s="76" t="str">
        <f t="shared" si="65"/>
        <v/>
      </c>
      <c r="S541" s="76" t="str">
        <f t="shared" si="66"/>
        <v/>
      </c>
      <c r="T541" s="76" t="str">
        <f t="shared" si="67"/>
        <v>-- F011_疾患開始日</v>
      </c>
      <c r="U541" s="4" t="str">
        <f t="shared" si="68"/>
        <v>,'shikkan533_start_date'</v>
      </c>
      <c r="V541" s="25" t="str">
        <f t="shared" si="69"/>
        <v>,'shikkan533_start_date' : 'F011_疾患開始日'</v>
      </c>
      <c r="X541" s="25">
        <v>1</v>
      </c>
      <c r="AA541" s="4"/>
      <c r="AB541" s="4"/>
      <c r="AC541" s="4"/>
      <c r="AD541" s="4"/>
      <c r="AE541" s="4"/>
      <c r="AF541" s="4"/>
      <c r="AG541" s="4"/>
      <c r="AH541" s="4"/>
      <c r="AI541" s="4"/>
      <c r="AJ541" s="76" t="str">
        <f>IF(E541="○",IF(COUNTA(E$13:E541)=1,"",",")&amp;D541,"")</f>
        <v/>
      </c>
      <c r="AK541" s="4"/>
      <c r="AL541" s="4"/>
      <c r="AM541" s="4"/>
      <c r="AN541" s="4"/>
      <c r="AO541" s="4"/>
      <c r="AP541" s="4"/>
      <c r="AQ541" s="4"/>
      <c r="AR541" s="4"/>
      <c r="AS541" s="76" t="str">
        <f>"COMMENT ON COLUMN "&amp;エンティティ一覧!$O$2&amp;"."&amp;D$8&amp;"."&amp;D541&amp;" IS '"&amp;C541&amp;"';"</f>
        <v>COMMENT ON COLUMN milscm_2023_009.main_diagnosis_start_date.shikkan533_start_date IS 'F011_疾患開始日';</v>
      </c>
    </row>
    <row r="542" spans="1:45" s="25" customFormat="1">
      <c r="A542" s="4" t="s">
        <v>5626</v>
      </c>
      <c r="B542" s="21">
        <f t="shared" si="62"/>
        <v>540</v>
      </c>
      <c r="C542" s="13" t="str">
        <f t="shared" si="70"/>
        <v>F012_疾患開始日</v>
      </c>
      <c r="D542" s="13" t="s">
        <v>6194</v>
      </c>
      <c r="E542" s="8"/>
      <c r="F542" s="7" t="s">
        <v>4348</v>
      </c>
      <c r="G542" s="7" t="s">
        <v>25</v>
      </c>
      <c r="H542" s="58"/>
      <c r="I542" s="23"/>
      <c r="J542" s="24"/>
      <c r="M542" s="4"/>
      <c r="N542" s="76"/>
      <c r="O542" s="76"/>
      <c r="P542" s="76" t="str">
        <f t="shared" si="63"/>
        <v>,shikkan534_start_date</v>
      </c>
      <c r="Q542" s="76" t="str">
        <f t="shared" si="64"/>
        <v>DATE</v>
      </c>
      <c r="R542" s="76" t="str">
        <f t="shared" si="65"/>
        <v/>
      </c>
      <c r="S542" s="76" t="str">
        <f t="shared" si="66"/>
        <v/>
      </c>
      <c r="T542" s="76" t="str">
        <f t="shared" si="67"/>
        <v>-- F012_疾患開始日</v>
      </c>
      <c r="U542" s="4" t="str">
        <f t="shared" si="68"/>
        <v>,'shikkan534_start_date'</v>
      </c>
      <c r="V542" s="25" t="str">
        <f t="shared" si="69"/>
        <v>,'shikkan534_start_date' : 'F012_疾患開始日'</v>
      </c>
      <c r="X542" s="25">
        <v>1</v>
      </c>
      <c r="AA542" s="4"/>
      <c r="AB542" s="4"/>
      <c r="AC542" s="4"/>
      <c r="AD542" s="4"/>
      <c r="AE542" s="4"/>
      <c r="AF542" s="4"/>
      <c r="AG542" s="4"/>
      <c r="AH542" s="4"/>
      <c r="AI542" s="4"/>
      <c r="AJ542" s="76" t="str">
        <f>IF(E542="○",IF(COUNTA(E$13:E542)=1,"",",")&amp;D542,"")</f>
        <v/>
      </c>
      <c r="AK542" s="4"/>
      <c r="AL542" s="4"/>
      <c r="AM542" s="4"/>
      <c r="AN542" s="4"/>
      <c r="AO542" s="4"/>
      <c r="AP542" s="4"/>
      <c r="AQ542" s="4"/>
      <c r="AR542" s="4"/>
      <c r="AS542" s="76" t="str">
        <f>"COMMENT ON COLUMN "&amp;エンティティ一覧!$O$2&amp;"."&amp;D$8&amp;"."&amp;D542&amp;" IS '"&amp;C542&amp;"';"</f>
        <v>COMMENT ON COLUMN milscm_2023_009.main_diagnosis_start_date.shikkan534_start_date IS 'F012_疾患開始日';</v>
      </c>
    </row>
    <row r="543" spans="1:45" s="25" customFormat="1">
      <c r="A543" s="4" t="s">
        <v>5627</v>
      </c>
      <c r="B543" s="21">
        <f t="shared" si="62"/>
        <v>541</v>
      </c>
      <c r="C543" s="13" t="str">
        <f t="shared" si="70"/>
        <v>F013_疾患開始日</v>
      </c>
      <c r="D543" s="13" t="s">
        <v>6195</v>
      </c>
      <c r="E543" s="8"/>
      <c r="F543" s="7" t="s">
        <v>4348</v>
      </c>
      <c r="G543" s="7" t="s">
        <v>25</v>
      </c>
      <c r="H543" s="58"/>
      <c r="I543" s="23"/>
      <c r="J543" s="24"/>
      <c r="M543" s="4"/>
      <c r="N543" s="76"/>
      <c r="O543" s="76"/>
      <c r="P543" s="76" t="str">
        <f t="shared" si="63"/>
        <v>,shikkan535_start_date</v>
      </c>
      <c r="Q543" s="76" t="str">
        <f t="shared" si="64"/>
        <v>DATE</v>
      </c>
      <c r="R543" s="76" t="str">
        <f t="shared" si="65"/>
        <v/>
      </c>
      <c r="S543" s="76" t="str">
        <f t="shared" si="66"/>
        <v/>
      </c>
      <c r="T543" s="76" t="str">
        <f t="shared" si="67"/>
        <v>-- F013_疾患開始日</v>
      </c>
      <c r="U543" s="4" t="str">
        <f t="shared" si="68"/>
        <v>,'shikkan535_start_date'</v>
      </c>
      <c r="V543" s="25" t="str">
        <f t="shared" si="69"/>
        <v>,'shikkan535_start_date' : 'F013_疾患開始日'</v>
      </c>
      <c r="X543" s="25">
        <v>1</v>
      </c>
      <c r="AA543" s="4"/>
      <c r="AB543" s="4"/>
      <c r="AC543" s="4"/>
      <c r="AD543" s="4"/>
      <c r="AE543" s="4"/>
      <c r="AF543" s="4"/>
      <c r="AG543" s="4"/>
      <c r="AH543" s="4"/>
      <c r="AI543" s="4"/>
      <c r="AJ543" s="76" t="str">
        <f>IF(E543="○",IF(COUNTA(E$13:E543)=1,"",",")&amp;D543,"")</f>
        <v/>
      </c>
      <c r="AK543" s="4"/>
      <c r="AL543" s="4"/>
      <c r="AM543" s="4"/>
      <c r="AN543" s="4"/>
      <c r="AO543" s="4"/>
      <c r="AP543" s="4"/>
      <c r="AQ543" s="4"/>
      <c r="AR543" s="4"/>
      <c r="AS543" s="76" t="str">
        <f>"COMMENT ON COLUMN "&amp;エンティティ一覧!$O$2&amp;"."&amp;D$8&amp;"."&amp;D543&amp;" IS '"&amp;C543&amp;"';"</f>
        <v>COMMENT ON COLUMN milscm_2023_009.main_diagnosis_start_date.shikkan535_start_date IS 'F013_疾患開始日';</v>
      </c>
    </row>
    <row r="544" spans="1:45" s="25" customFormat="1">
      <c r="A544" s="4" t="s">
        <v>5628</v>
      </c>
      <c r="B544" s="21">
        <f t="shared" si="62"/>
        <v>542</v>
      </c>
      <c r="C544" s="13" t="str">
        <f t="shared" si="70"/>
        <v>F018_疾患開始日</v>
      </c>
      <c r="D544" s="13" t="s">
        <v>6196</v>
      </c>
      <c r="E544" s="8"/>
      <c r="F544" s="7" t="s">
        <v>4348</v>
      </c>
      <c r="G544" s="7" t="s">
        <v>25</v>
      </c>
      <c r="H544" s="58"/>
      <c r="I544" s="23"/>
      <c r="J544" s="24"/>
      <c r="M544" s="4"/>
      <c r="N544" s="76"/>
      <c r="O544" s="76"/>
      <c r="P544" s="76" t="str">
        <f t="shared" si="63"/>
        <v>,shikkan536_start_date</v>
      </c>
      <c r="Q544" s="76" t="str">
        <f t="shared" si="64"/>
        <v>DATE</v>
      </c>
      <c r="R544" s="76" t="str">
        <f t="shared" si="65"/>
        <v/>
      </c>
      <c r="S544" s="76" t="str">
        <f t="shared" si="66"/>
        <v/>
      </c>
      <c r="T544" s="76" t="str">
        <f t="shared" si="67"/>
        <v>-- F018_疾患開始日</v>
      </c>
      <c r="U544" s="4" t="str">
        <f t="shared" si="68"/>
        <v>,'shikkan536_start_date'</v>
      </c>
      <c r="V544" s="25" t="str">
        <f t="shared" si="69"/>
        <v>,'shikkan536_start_date' : 'F018_疾患開始日'</v>
      </c>
      <c r="X544" s="25">
        <v>1</v>
      </c>
      <c r="AA544" s="4"/>
      <c r="AB544" s="4"/>
      <c r="AC544" s="4"/>
      <c r="AD544" s="4"/>
      <c r="AE544" s="4"/>
      <c r="AF544" s="4"/>
      <c r="AG544" s="4"/>
      <c r="AH544" s="4"/>
      <c r="AI544" s="4"/>
      <c r="AJ544" s="76" t="str">
        <f>IF(E544="○",IF(COUNTA(E$13:E544)=1,"",",")&amp;D544,"")</f>
        <v/>
      </c>
      <c r="AK544" s="4"/>
      <c r="AL544" s="4"/>
      <c r="AM544" s="4"/>
      <c r="AN544" s="4"/>
      <c r="AO544" s="4"/>
      <c r="AP544" s="4"/>
      <c r="AQ544" s="4"/>
      <c r="AR544" s="4"/>
      <c r="AS544" s="76" t="str">
        <f>"COMMENT ON COLUMN "&amp;エンティティ一覧!$O$2&amp;"."&amp;D$8&amp;"."&amp;D544&amp;" IS '"&amp;C544&amp;"';"</f>
        <v>COMMENT ON COLUMN milscm_2023_009.main_diagnosis_start_date.shikkan536_start_date IS 'F018_疾患開始日';</v>
      </c>
    </row>
    <row r="545" spans="1:45" s="25" customFormat="1">
      <c r="A545" s="4" t="s">
        <v>5629</v>
      </c>
      <c r="B545" s="21">
        <f t="shared" si="62"/>
        <v>543</v>
      </c>
      <c r="C545" s="13" t="str">
        <f t="shared" si="70"/>
        <v>F019_疾患開始日</v>
      </c>
      <c r="D545" s="13" t="s">
        <v>6197</v>
      </c>
      <c r="E545" s="8"/>
      <c r="F545" s="7" t="s">
        <v>4348</v>
      </c>
      <c r="G545" s="7" t="s">
        <v>25</v>
      </c>
      <c r="H545" s="58"/>
      <c r="I545" s="23"/>
      <c r="J545" s="24"/>
      <c r="M545" s="4"/>
      <c r="N545" s="76"/>
      <c r="O545" s="76"/>
      <c r="P545" s="76" t="str">
        <f t="shared" si="63"/>
        <v>,shikkan537_start_date</v>
      </c>
      <c r="Q545" s="76" t="str">
        <f t="shared" si="64"/>
        <v>DATE</v>
      </c>
      <c r="R545" s="76" t="str">
        <f t="shared" si="65"/>
        <v/>
      </c>
      <c r="S545" s="76" t="str">
        <f t="shared" si="66"/>
        <v/>
      </c>
      <c r="T545" s="76" t="str">
        <f t="shared" si="67"/>
        <v>-- F019_疾患開始日</v>
      </c>
      <c r="U545" s="4" t="str">
        <f t="shared" si="68"/>
        <v>,'shikkan537_start_date'</v>
      </c>
      <c r="V545" s="25" t="str">
        <f t="shared" si="69"/>
        <v>,'shikkan537_start_date' : 'F019_疾患開始日'</v>
      </c>
      <c r="X545" s="25">
        <v>1</v>
      </c>
      <c r="AA545" s="4"/>
      <c r="AB545" s="4"/>
      <c r="AC545" s="4"/>
      <c r="AD545" s="4"/>
      <c r="AE545" s="4"/>
      <c r="AF545" s="4"/>
      <c r="AG545" s="4"/>
      <c r="AH545" s="4"/>
      <c r="AI545" s="4"/>
      <c r="AJ545" s="76" t="str">
        <f>IF(E545="○",IF(COUNTA(E$13:E545)=1,"",",")&amp;D545,"")</f>
        <v/>
      </c>
      <c r="AK545" s="4"/>
      <c r="AL545" s="4"/>
      <c r="AM545" s="4"/>
      <c r="AN545" s="4"/>
      <c r="AO545" s="4"/>
      <c r="AP545" s="4"/>
      <c r="AQ545" s="4"/>
      <c r="AR545" s="4"/>
      <c r="AS545" s="76" t="str">
        <f>"COMMENT ON COLUMN "&amp;エンティティ一覧!$O$2&amp;"."&amp;D$8&amp;"."&amp;D545&amp;" IS '"&amp;C545&amp;"';"</f>
        <v>COMMENT ON COLUMN milscm_2023_009.main_diagnosis_start_date.shikkan537_start_date IS 'F019_疾患開始日';</v>
      </c>
    </row>
    <row r="546" spans="1:45" s="25" customFormat="1">
      <c r="A546" s="4" t="s">
        <v>5630</v>
      </c>
      <c r="B546" s="21">
        <f t="shared" si="62"/>
        <v>544</v>
      </c>
      <c r="C546" s="13" t="str">
        <f t="shared" si="70"/>
        <v>F020_疾患開始日</v>
      </c>
      <c r="D546" s="13" t="s">
        <v>6198</v>
      </c>
      <c r="E546" s="8"/>
      <c r="F546" s="7" t="s">
        <v>4348</v>
      </c>
      <c r="G546" s="7" t="s">
        <v>25</v>
      </c>
      <c r="H546" s="58"/>
      <c r="I546" s="23"/>
      <c r="J546" s="24"/>
      <c r="M546" s="4"/>
      <c r="N546" s="76"/>
      <c r="O546" s="76"/>
      <c r="P546" s="76" t="str">
        <f t="shared" si="63"/>
        <v>,shikkan538_start_date</v>
      </c>
      <c r="Q546" s="76" t="str">
        <f t="shared" si="64"/>
        <v>DATE</v>
      </c>
      <c r="R546" s="76" t="str">
        <f t="shared" si="65"/>
        <v/>
      </c>
      <c r="S546" s="76" t="str">
        <f t="shared" si="66"/>
        <v/>
      </c>
      <c r="T546" s="76" t="str">
        <f t="shared" si="67"/>
        <v>-- F020_疾患開始日</v>
      </c>
      <c r="U546" s="4" t="str">
        <f t="shared" si="68"/>
        <v>,'shikkan538_start_date'</v>
      </c>
      <c r="V546" s="25" t="str">
        <f t="shared" si="69"/>
        <v>,'shikkan538_start_date' : 'F020_疾患開始日'</v>
      </c>
      <c r="X546" s="25">
        <v>1</v>
      </c>
      <c r="AA546" s="4"/>
      <c r="AB546" s="4"/>
      <c r="AC546" s="4"/>
      <c r="AD546" s="4"/>
      <c r="AE546" s="4"/>
      <c r="AF546" s="4"/>
      <c r="AG546" s="4"/>
      <c r="AH546" s="4"/>
      <c r="AI546" s="4"/>
      <c r="AJ546" s="76" t="str">
        <f>IF(E546="○",IF(COUNTA(E$13:E546)=1,"",",")&amp;D546,"")</f>
        <v/>
      </c>
      <c r="AK546" s="4"/>
      <c r="AL546" s="4"/>
      <c r="AM546" s="4"/>
      <c r="AN546" s="4"/>
      <c r="AO546" s="4"/>
      <c r="AP546" s="4"/>
      <c r="AQ546" s="4"/>
      <c r="AR546" s="4"/>
      <c r="AS546" s="76" t="str">
        <f>"COMMENT ON COLUMN "&amp;エンティティ一覧!$O$2&amp;"."&amp;D$8&amp;"."&amp;D546&amp;" IS '"&amp;C546&amp;"';"</f>
        <v>COMMENT ON COLUMN milscm_2023_009.main_diagnosis_start_date.shikkan538_start_date IS 'F020_疾患開始日';</v>
      </c>
    </row>
    <row r="547" spans="1:45" s="25" customFormat="1">
      <c r="A547" s="4" t="s">
        <v>5631</v>
      </c>
      <c r="B547" s="21">
        <f t="shared" si="62"/>
        <v>545</v>
      </c>
      <c r="C547" s="13" t="str">
        <f t="shared" si="70"/>
        <v>F021_疾患開始日</v>
      </c>
      <c r="D547" s="13" t="s">
        <v>6199</v>
      </c>
      <c r="E547" s="8"/>
      <c r="F547" s="7" t="s">
        <v>4348</v>
      </c>
      <c r="G547" s="7" t="s">
        <v>25</v>
      </c>
      <c r="H547" s="58"/>
      <c r="I547" s="23"/>
      <c r="J547" s="24"/>
      <c r="M547" s="4"/>
      <c r="N547" s="76"/>
      <c r="O547" s="76"/>
      <c r="P547" s="76" t="str">
        <f t="shared" si="63"/>
        <v>,shikkan539_start_date</v>
      </c>
      <c r="Q547" s="76" t="str">
        <f t="shared" si="64"/>
        <v>DATE</v>
      </c>
      <c r="R547" s="76" t="str">
        <f t="shared" si="65"/>
        <v/>
      </c>
      <c r="S547" s="76" t="str">
        <f t="shared" si="66"/>
        <v/>
      </c>
      <c r="T547" s="76" t="str">
        <f t="shared" si="67"/>
        <v>-- F021_疾患開始日</v>
      </c>
      <c r="U547" s="4" t="str">
        <f t="shared" si="68"/>
        <v>,'shikkan539_start_date'</v>
      </c>
      <c r="V547" s="25" t="str">
        <f t="shared" si="69"/>
        <v>,'shikkan539_start_date' : 'F021_疾患開始日'</v>
      </c>
      <c r="X547" s="25">
        <v>1</v>
      </c>
      <c r="AA547" s="4"/>
      <c r="AB547" s="4"/>
      <c r="AC547" s="4"/>
      <c r="AD547" s="4"/>
      <c r="AE547" s="4"/>
      <c r="AF547" s="4"/>
      <c r="AG547" s="4"/>
      <c r="AH547" s="4"/>
      <c r="AI547" s="4"/>
      <c r="AJ547" s="76" t="str">
        <f>IF(E547="○",IF(COUNTA(E$13:E547)=1,"",",")&amp;D547,"")</f>
        <v/>
      </c>
      <c r="AK547" s="4"/>
      <c r="AL547" s="4"/>
      <c r="AM547" s="4"/>
      <c r="AN547" s="4"/>
      <c r="AO547" s="4"/>
      <c r="AP547" s="4"/>
      <c r="AQ547" s="4"/>
      <c r="AR547" s="4"/>
      <c r="AS547" s="76" t="str">
        <f>"COMMENT ON COLUMN "&amp;エンティティ一覧!$O$2&amp;"."&amp;D$8&amp;"."&amp;D547&amp;" IS '"&amp;C547&amp;"';"</f>
        <v>COMMENT ON COLUMN milscm_2023_009.main_diagnosis_start_date.shikkan539_start_date IS 'F021_疾患開始日';</v>
      </c>
    </row>
    <row r="548" spans="1:45" s="25" customFormat="1">
      <c r="A548" s="4" t="s">
        <v>5632</v>
      </c>
      <c r="B548" s="21">
        <f t="shared" si="62"/>
        <v>546</v>
      </c>
      <c r="C548" s="13" t="str">
        <f t="shared" si="70"/>
        <v>F022_疾患開始日</v>
      </c>
      <c r="D548" s="13" t="s">
        <v>6200</v>
      </c>
      <c r="E548" s="8"/>
      <c r="F548" s="7" t="s">
        <v>4348</v>
      </c>
      <c r="G548" s="7" t="s">
        <v>25</v>
      </c>
      <c r="H548" s="58"/>
      <c r="I548" s="23"/>
      <c r="J548" s="24"/>
      <c r="M548" s="4"/>
      <c r="N548" s="76"/>
      <c r="O548" s="76"/>
      <c r="P548" s="76" t="str">
        <f t="shared" si="63"/>
        <v>,shikkan540_start_date</v>
      </c>
      <c r="Q548" s="76" t="str">
        <f t="shared" si="64"/>
        <v>DATE</v>
      </c>
      <c r="R548" s="76" t="str">
        <f t="shared" si="65"/>
        <v/>
      </c>
      <c r="S548" s="76" t="str">
        <f t="shared" si="66"/>
        <v/>
      </c>
      <c r="T548" s="76" t="str">
        <f t="shared" si="67"/>
        <v>-- F022_疾患開始日</v>
      </c>
      <c r="U548" s="4" t="str">
        <f t="shared" si="68"/>
        <v>,'shikkan540_start_date'</v>
      </c>
      <c r="V548" s="25" t="str">
        <f t="shared" si="69"/>
        <v>,'shikkan540_start_date' : 'F022_疾患開始日'</v>
      </c>
      <c r="X548" s="25">
        <v>1</v>
      </c>
      <c r="AA548" s="4"/>
      <c r="AB548" s="4"/>
      <c r="AC548" s="4"/>
      <c r="AD548" s="4"/>
      <c r="AE548" s="4"/>
      <c r="AF548" s="4"/>
      <c r="AG548" s="4"/>
      <c r="AH548" s="4"/>
      <c r="AI548" s="4"/>
      <c r="AJ548" s="76" t="str">
        <f>IF(E548="○",IF(COUNTA(E$13:E548)=1,"",",")&amp;D548,"")</f>
        <v/>
      </c>
      <c r="AK548" s="4"/>
      <c r="AL548" s="4"/>
      <c r="AM548" s="4"/>
      <c r="AN548" s="4"/>
      <c r="AO548" s="4"/>
      <c r="AP548" s="4"/>
      <c r="AQ548" s="4"/>
      <c r="AR548" s="4"/>
      <c r="AS548" s="76" t="str">
        <f>"COMMENT ON COLUMN "&amp;エンティティ一覧!$O$2&amp;"."&amp;D$8&amp;"."&amp;D548&amp;" IS '"&amp;C548&amp;"';"</f>
        <v>COMMENT ON COLUMN milscm_2023_009.main_diagnosis_start_date.shikkan540_start_date IS 'F022_疾患開始日';</v>
      </c>
    </row>
    <row r="549" spans="1:45" s="25" customFormat="1">
      <c r="A549" s="4" t="s">
        <v>5633</v>
      </c>
      <c r="B549" s="21">
        <f t="shared" si="62"/>
        <v>547</v>
      </c>
      <c r="C549" s="13" t="str">
        <f t="shared" si="70"/>
        <v>F023_疾患開始日</v>
      </c>
      <c r="D549" s="13" t="s">
        <v>6201</v>
      </c>
      <c r="E549" s="8"/>
      <c r="F549" s="7" t="s">
        <v>4348</v>
      </c>
      <c r="G549" s="7" t="s">
        <v>25</v>
      </c>
      <c r="H549" s="58"/>
      <c r="I549" s="23"/>
      <c r="J549" s="24"/>
      <c r="M549" s="4"/>
      <c r="N549" s="76"/>
      <c r="O549" s="76"/>
      <c r="P549" s="76" t="str">
        <f t="shared" si="63"/>
        <v>,shikkan541_start_date</v>
      </c>
      <c r="Q549" s="76" t="str">
        <f t="shared" si="64"/>
        <v>DATE</v>
      </c>
      <c r="R549" s="76" t="str">
        <f t="shared" si="65"/>
        <v/>
      </c>
      <c r="S549" s="76" t="str">
        <f t="shared" si="66"/>
        <v/>
      </c>
      <c r="T549" s="76" t="str">
        <f t="shared" si="67"/>
        <v>-- F023_疾患開始日</v>
      </c>
      <c r="U549" s="4" t="str">
        <f t="shared" si="68"/>
        <v>,'shikkan541_start_date'</v>
      </c>
      <c r="V549" s="25" t="str">
        <f t="shared" si="69"/>
        <v>,'shikkan541_start_date' : 'F023_疾患開始日'</v>
      </c>
      <c r="X549" s="25">
        <v>1</v>
      </c>
      <c r="AA549" s="4"/>
      <c r="AB549" s="4"/>
      <c r="AC549" s="4"/>
      <c r="AD549" s="4"/>
      <c r="AE549" s="4"/>
      <c r="AF549" s="4"/>
      <c r="AG549" s="4"/>
      <c r="AH549" s="4"/>
      <c r="AI549" s="4"/>
      <c r="AJ549" s="76" t="str">
        <f>IF(E549="○",IF(COUNTA(E$13:E549)=1,"",",")&amp;D549,"")</f>
        <v/>
      </c>
      <c r="AK549" s="4"/>
      <c r="AL549" s="4"/>
      <c r="AM549" s="4"/>
      <c r="AN549" s="4"/>
      <c r="AO549" s="4"/>
      <c r="AP549" s="4"/>
      <c r="AQ549" s="4"/>
      <c r="AR549" s="4"/>
      <c r="AS549" s="76" t="str">
        <f>"COMMENT ON COLUMN "&amp;エンティティ一覧!$O$2&amp;"."&amp;D$8&amp;"."&amp;D549&amp;" IS '"&amp;C549&amp;"';"</f>
        <v>COMMENT ON COLUMN milscm_2023_009.main_diagnosis_start_date.shikkan541_start_date IS 'F023_疾患開始日';</v>
      </c>
    </row>
    <row r="550" spans="1:45" s="25" customFormat="1">
      <c r="A550" s="4" t="s">
        <v>5634</v>
      </c>
      <c r="B550" s="21">
        <f t="shared" si="62"/>
        <v>548</v>
      </c>
      <c r="C550" s="13" t="str">
        <f t="shared" si="70"/>
        <v>F024_疾患開始日</v>
      </c>
      <c r="D550" s="13" t="s">
        <v>6202</v>
      </c>
      <c r="E550" s="8"/>
      <c r="F550" s="7" t="s">
        <v>4348</v>
      </c>
      <c r="G550" s="7" t="s">
        <v>25</v>
      </c>
      <c r="H550" s="58"/>
      <c r="I550" s="23"/>
      <c r="J550" s="24"/>
      <c r="M550" s="4"/>
      <c r="N550" s="76"/>
      <c r="O550" s="76"/>
      <c r="P550" s="76" t="str">
        <f t="shared" si="63"/>
        <v>,shikkan542_start_date</v>
      </c>
      <c r="Q550" s="76" t="str">
        <f t="shared" si="64"/>
        <v>DATE</v>
      </c>
      <c r="R550" s="76" t="str">
        <f t="shared" si="65"/>
        <v/>
      </c>
      <c r="S550" s="76" t="str">
        <f t="shared" si="66"/>
        <v/>
      </c>
      <c r="T550" s="76" t="str">
        <f t="shared" si="67"/>
        <v>-- F024_疾患開始日</v>
      </c>
      <c r="U550" s="4" t="str">
        <f t="shared" si="68"/>
        <v>,'shikkan542_start_date'</v>
      </c>
      <c r="V550" s="25" t="str">
        <f t="shared" si="69"/>
        <v>,'shikkan542_start_date' : 'F024_疾患開始日'</v>
      </c>
      <c r="X550" s="25">
        <v>1</v>
      </c>
      <c r="AA550" s="4"/>
      <c r="AB550" s="4"/>
      <c r="AC550" s="4"/>
      <c r="AD550" s="4"/>
      <c r="AE550" s="4"/>
      <c r="AF550" s="4"/>
      <c r="AG550" s="4"/>
      <c r="AH550" s="4"/>
      <c r="AI550" s="4"/>
      <c r="AJ550" s="76" t="str">
        <f>IF(E550="○",IF(COUNTA(E$13:E550)=1,"",",")&amp;D550,"")</f>
        <v/>
      </c>
      <c r="AK550" s="4"/>
      <c r="AL550" s="4"/>
      <c r="AM550" s="4"/>
      <c r="AN550" s="4"/>
      <c r="AO550" s="4"/>
      <c r="AP550" s="4"/>
      <c r="AQ550" s="4"/>
      <c r="AR550" s="4"/>
      <c r="AS550" s="76" t="str">
        <f>"COMMENT ON COLUMN "&amp;エンティティ一覧!$O$2&amp;"."&amp;D$8&amp;"."&amp;D550&amp;" IS '"&amp;C550&amp;"';"</f>
        <v>COMMENT ON COLUMN milscm_2023_009.main_diagnosis_start_date.shikkan542_start_date IS 'F024_疾患開始日';</v>
      </c>
    </row>
    <row r="551" spans="1:45" s="25" customFormat="1">
      <c r="A551" s="4" t="s">
        <v>5635</v>
      </c>
      <c r="B551" s="21">
        <f t="shared" si="62"/>
        <v>549</v>
      </c>
      <c r="C551" s="13" t="str">
        <f t="shared" si="70"/>
        <v>F028_疾患開始日</v>
      </c>
      <c r="D551" s="13" t="s">
        <v>6203</v>
      </c>
      <c r="E551" s="8"/>
      <c r="F551" s="7" t="s">
        <v>4348</v>
      </c>
      <c r="G551" s="7" t="s">
        <v>25</v>
      </c>
      <c r="H551" s="58"/>
      <c r="I551" s="23"/>
      <c r="J551" s="24"/>
      <c r="M551" s="4"/>
      <c r="N551" s="76"/>
      <c r="O551" s="76"/>
      <c r="P551" s="76" t="str">
        <f t="shared" si="63"/>
        <v>,shikkan543_start_date</v>
      </c>
      <c r="Q551" s="76" t="str">
        <f t="shared" si="64"/>
        <v>DATE</v>
      </c>
      <c r="R551" s="76" t="str">
        <f t="shared" si="65"/>
        <v/>
      </c>
      <c r="S551" s="76" t="str">
        <f t="shared" si="66"/>
        <v/>
      </c>
      <c r="T551" s="76" t="str">
        <f t="shared" si="67"/>
        <v>-- F028_疾患開始日</v>
      </c>
      <c r="U551" s="4" t="str">
        <f t="shared" si="68"/>
        <v>,'shikkan543_start_date'</v>
      </c>
      <c r="V551" s="25" t="str">
        <f t="shared" si="69"/>
        <v>,'shikkan543_start_date' : 'F028_疾患開始日'</v>
      </c>
      <c r="X551" s="25">
        <v>1</v>
      </c>
      <c r="AA551" s="4"/>
      <c r="AB551" s="4"/>
      <c r="AC551" s="4"/>
      <c r="AD551" s="4"/>
      <c r="AE551" s="4"/>
      <c r="AF551" s="4"/>
      <c r="AG551" s="4"/>
      <c r="AH551" s="4"/>
      <c r="AI551" s="4"/>
      <c r="AJ551" s="76" t="str">
        <f>IF(E551="○",IF(COUNTA(E$13:E551)=1,"",",")&amp;D551,"")</f>
        <v/>
      </c>
      <c r="AK551" s="4"/>
      <c r="AL551" s="4"/>
      <c r="AM551" s="4"/>
      <c r="AN551" s="4"/>
      <c r="AO551" s="4"/>
      <c r="AP551" s="4"/>
      <c r="AQ551" s="4"/>
      <c r="AR551" s="4"/>
      <c r="AS551" s="76" t="str">
        <f>"COMMENT ON COLUMN "&amp;エンティティ一覧!$O$2&amp;"."&amp;D$8&amp;"."&amp;D551&amp;" IS '"&amp;C551&amp;"';"</f>
        <v>COMMENT ON COLUMN milscm_2023_009.main_diagnosis_start_date.shikkan543_start_date IS 'F028_疾患開始日';</v>
      </c>
    </row>
    <row r="552" spans="1:45" s="25" customFormat="1">
      <c r="A552" s="4" t="s">
        <v>5063</v>
      </c>
      <c r="B552" s="21">
        <f t="shared" si="62"/>
        <v>550</v>
      </c>
      <c r="C552" s="13" t="str">
        <f t="shared" si="70"/>
        <v>F03_疾患開始日</v>
      </c>
      <c r="D552" s="13" t="s">
        <v>6204</v>
      </c>
      <c r="E552" s="8"/>
      <c r="F552" s="7" t="s">
        <v>4348</v>
      </c>
      <c r="G552" s="7" t="s">
        <v>25</v>
      </c>
      <c r="H552" s="58"/>
      <c r="I552" s="23"/>
      <c r="J552" s="24"/>
      <c r="M552" s="4"/>
      <c r="N552" s="76"/>
      <c r="O552" s="76"/>
      <c r="P552" s="76" t="str">
        <f t="shared" si="63"/>
        <v>,shikkan544_start_date</v>
      </c>
      <c r="Q552" s="76" t="str">
        <f t="shared" si="64"/>
        <v>DATE</v>
      </c>
      <c r="R552" s="76" t="str">
        <f t="shared" si="65"/>
        <v/>
      </c>
      <c r="S552" s="76" t="str">
        <f t="shared" si="66"/>
        <v/>
      </c>
      <c r="T552" s="76" t="str">
        <f t="shared" si="67"/>
        <v>-- F03_疾患開始日</v>
      </c>
      <c r="U552" s="4" t="str">
        <f t="shared" si="68"/>
        <v>,'shikkan544_start_date'</v>
      </c>
      <c r="V552" s="25" t="str">
        <f t="shared" si="69"/>
        <v>,'shikkan544_start_date' : 'F03_疾患開始日'</v>
      </c>
      <c r="X552" s="25">
        <v>1</v>
      </c>
      <c r="AA552" s="4"/>
      <c r="AB552" s="4"/>
      <c r="AC552" s="4"/>
      <c r="AD552" s="4"/>
      <c r="AE552" s="4"/>
      <c r="AF552" s="4"/>
      <c r="AG552" s="4"/>
      <c r="AH552" s="4"/>
      <c r="AI552" s="4"/>
      <c r="AJ552" s="76" t="str">
        <f>IF(E552="○",IF(COUNTA(E$13:E552)=1,"",",")&amp;D552,"")</f>
        <v/>
      </c>
      <c r="AK552" s="4"/>
      <c r="AL552" s="4"/>
      <c r="AM552" s="4"/>
      <c r="AN552" s="4"/>
      <c r="AO552" s="4"/>
      <c r="AP552" s="4"/>
      <c r="AQ552" s="4"/>
      <c r="AR552" s="4"/>
      <c r="AS552" s="76" t="str">
        <f>"COMMENT ON COLUMN "&amp;エンティティ一覧!$O$2&amp;"."&amp;D$8&amp;"."&amp;D552&amp;" IS '"&amp;C552&amp;"';"</f>
        <v>COMMENT ON COLUMN milscm_2023_009.main_diagnosis_start_date.shikkan544_start_date IS 'F03_疾患開始日';</v>
      </c>
    </row>
    <row r="553" spans="1:45" s="25" customFormat="1">
      <c r="A553" s="4" t="s">
        <v>5636</v>
      </c>
      <c r="B553" s="21">
        <f t="shared" si="62"/>
        <v>551</v>
      </c>
      <c r="C553" s="13" t="str">
        <f t="shared" si="70"/>
        <v>F051_疾患開始日</v>
      </c>
      <c r="D553" s="13" t="s">
        <v>6205</v>
      </c>
      <c r="E553" s="8"/>
      <c r="F553" s="7" t="s">
        <v>4348</v>
      </c>
      <c r="G553" s="7" t="s">
        <v>25</v>
      </c>
      <c r="H553" s="58"/>
      <c r="I553" s="23"/>
      <c r="J553" s="24"/>
      <c r="M553" s="4"/>
      <c r="N553" s="76"/>
      <c r="O553" s="76"/>
      <c r="P553" s="76" t="str">
        <f t="shared" si="63"/>
        <v>,shikkan545_start_date</v>
      </c>
      <c r="Q553" s="76" t="str">
        <f t="shared" si="64"/>
        <v>DATE</v>
      </c>
      <c r="R553" s="76" t="str">
        <f t="shared" si="65"/>
        <v/>
      </c>
      <c r="S553" s="76" t="str">
        <f t="shared" si="66"/>
        <v/>
      </c>
      <c r="T553" s="76" t="str">
        <f t="shared" si="67"/>
        <v>-- F051_疾患開始日</v>
      </c>
      <c r="U553" s="4" t="str">
        <f t="shared" si="68"/>
        <v>,'shikkan545_start_date'</v>
      </c>
      <c r="V553" s="25" t="str">
        <f t="shared" si="69"/>
        <v>,'shikkan545_start_date' : 'F051_疾患開始日'</v>
      </c>
      <c r="X553" s="25">
        <v>1</v>
      </c>
      <c r="AA553" s="4"/>
      <c r="AB553" s="4"/>
      <c r="AC553" s="4"/>
      <c r="AD553" s="4"/>
      <c r="AE553" s="4"/>
      <c r="AF553" s="4"/>
      <c r="AG553" s="4"/>
      <c r="AH553" s="4"/>
      <c r="AI553" s="4"/>
      <c r="AJ553" s="76" t="str">
        <f>IF(E553="○",IF(COUNTA(E$13:E553)=1,"",",")&amp;D553,"")</f>
        <v/>
      </c>
      <c r="AK553" s="4"/>
      <c r="AL553" s="4"/>
      <c r="AM553" s="4"/>
      <c r="AN553" s="4"/>
      <c r="AO553" s="4"/>
      <c r="AP553" s="4"/>
      <c r="AQ553" s="4"/>
      <c r="AR553" s="4"/>
      <c r="AS553" s="76" t="str">
        <f>"COMMENT ON COLUMN "&amp;エンティティ一覧!$O$2&amp;"."&amp;D$8&amp;"."&amp;D553&amp;" IS '"&amp;C553&amp;"';"</f>
        <v>COMMENT ON COLUMN milscm_2023_009.main_diagnosis_start_date.shikkan545_start_date IS 'F051_疾患開始日';</v>
      </c>
    </row>
    <row r="554" spans="1:45" s="25" customFormat="1">
      <c r="A554" s="4" t="s">
        <v>5637</v>
      </c>
      <c r="B554" s="21">
        <f t="shared" si="62"/>
        <v>552</v>
      </c>
      <c r="C554" s="13" t="str">
        <f t="shared" si="70"/>
        <v>G041_疾患開始日</v>
      </c>
      <c r="D554" s="13" t="s">
        <v>6206</v>
      </c>
      <c r="E554" s="8"/>
      <c r="F554" s="7" t="s">
        <v>4348</v>
      </c>
      <c r="G554" s="7" t="s">
        <v>25</v>
      </c>
      <c r="H554" s="58"/>
      <c r="I554" s="23"/>
      <c r="J554" s="24"/>
      <c r="M554" s="4"/>
      <c r="N554" s="76"/>
      <c r="O554" s="76"/>
      <c r="P554" s="76" t="str">
        <f t="shared" si="63"/>
        <v>,shikkan546_start_date</v>
      </c>
      <c r="Q554" s="76" t="str">
        <f t="shared" si="64"/>
        <v>DATE</v>
      </c>
      <c r="R554" s="76" t="str">
        <f t="shared" si="65"/>
        <v/>
      </c>
      <c r="S554" s="76" t="str">
        <f t="shared" si="66"/>
        <v/>
      </c>
      <c r="T554" s="76" t="str">
        <f t="shared" si="67"/>
        <v>-- G041_疾患開始日</v>
      </c>
      <c r="U554" s="4" t="str">
        <f t="shared" si="68"/>
        <v>,'shikkan546_start_date'</v>
      </c>
      <c r="V554" s="25" t="str">
        <f t="shared" si="69"/>
        <v>,'shikkan546_start_date' : 'G041_疾患開始日'</v>
      </c>
      <c r="X554" s="25">
        <v>1</v>
      </c>
      <c r="AA554" s="4"/>
      <c r="AB554" s="4"/>
      <c r="AC554" s="4"/>
      <c r="AD554" s="4"/>
      <c r="AE554" s="4"/>
      <c r="AF554" s="4"/>
      <c r="AG554" s="4"/>
      <c r="AH554" s="4"/>
      <c r="AI554" s="4"/>
      <c r="AJ554" s="76" t="str">
        <f>IF(E554="○",IF(COUNTA(E$13:E554)=1,"",",")&amp;D554,"")</f>
        <v/>
      </c>
      <c r="AK554" s="4"/>
      <c r="AL554" s="4"/>
      <c r="AM554" s="4"/>
      <c r="AN554" s="4"/>
      <c r="AO554" s="4"/>
      <c r="AP554" s="4"/>
      <c r="AQ554" s="4"/>
      <c r="AR554" s="4"/>
      <c r="AS554" s="76" t="str">
        <f>"COMMENT ON COLUMN "&amp;エンティティ一覧!$O$2&amp;"."&amp;D$8&amp;"."&amp;D554&amp;" IS '"&amp;C554&amp;"';"</f>
        <v>COMMENT ON COLUMN milscm_2023_009.main_diagnosis_start_date.shikkan546_start_date IS 'G041_疾患開始日';</v>
      </c>
    </row>
    <row r="555" spans="1:45" s="25" customFormat="1">
      <c r="A555" s="4" t="s">
        <v>5638</v>
      </c>
      <c r="B555" s="21">
        <f t="shared" si="62"/>
        <v>553</v>
      </c>
      <c r="C555" s="13" t="str">
        <f t="shared" si="70"/>
        <v>G114_疾患開始日</v>
      </c>
      <c r="D555" s="13" t="s">
        <v>6207</v>
      </c>
      <c r="E555" s="8"/>
      <c r="F555" s="7" t="s">
        <v>4348</v>
      </c>
      <c r="G555" s="7" t="s">
        <v>25</v>
      </c>
      <c r="H555" s="58"/>
      <c r="I555" s="23"/>
      <c r="J555" s="24"/>
      <c r="M555" s="4"/>
      <c r="N555" s="76"/>
      <c r="O555" s="76"/>
      <c r="P555" s="76" t="str">
        <f t="shared" si="63"/>
        <v>,shikkan547_start_date</v>
      </c>
      <c r="Q555" s="76" t="str">
        <f t="shared" si="64"/>
        <v>DATE</v>
      </c>
      <c r="R555" s="76" t="str">
        <f t="shared" si="65"/>
        <v/>
      </c>
      <c r="S555" s="76" t="str">
        <f t="shared" si="66"/>
        <v/>
      </c>
      <c r="T555" s="76" t="str">
        <f t="shared" si="67"/>
        <v>-- G114_疾患開始日</v>
      </c>
      <c r="U555" s="4" t="str">
        <f t="shared" si="68"/>
        <v>,'shikkan547_start_date'</v>
      </c>
      <c r="V555" s="25" t="str">
        <f t="shared" si="69"/>
        <v>,'shikkan547_start_date' : 'G114_疾患開始日'</v>
      </c>
      <c r="X555" s="25">
        <v>1</v>
      </c>
      <c r="AA555" s="4"/>
      <c r="AB555" s="4"/>
      <c r="AC555" s="4"/>
      <c r="AD555" s="4"/>
      <c r="AE555" s="4"/>
      <c r="AF555" s="4"/>
      <c r="AG555" s="4"/>
      <c r="AH555" s="4"/>
      <c r="AI555" s="4"/>
      <c r="AJ555" s="76" t="str">
        <f>IF(E555="○",IF(COUNTA(E$13:E555)=1,"",",")&amp;D555,"")</f>
        <v/>
      </c>
      <c r="AK555" s="4"/>
      <c r="AL555" s="4"/>
      <c r="AM555" s="4"/>
      <c r="AN555" s="4"/>
      <c r="AO555" s="4"/>
      <c r="AP555" s="4"/>
      <c r="AQ555" s="4"/>
      <c r="AR555" s="4"/>
      <c r="AS555" s="76" t="str">
        <f>"COMMENT ON COLUMN "&amp;エンティティ一覧!$O$2&amp;"."&amp;D$8&amp;"."&amp;D555&amp;" IS '"&amp;C555&amp;"';"</f>
        <v>COMMENT ON COLUMN milscm_2023_009.main_diagnosis_start_date.shikkan547_start_date IS 'G114_疾患開始日';</v>
      </c>
    </row>
    <row r="556" spans="1:45" s="25" customFormat="1">
      <c r="A556" s="4" t="s">
        <v>5639</v>
      </c>
      <c r="B556" s="21">
        <f t="shared" si="62"/>
        <v>554</v>
      </c>
      <c r="C556" s="13" t="str">
        <f t="shared" si="70"/>
        <v>G300_疾患開始日</v>
      </c>
      <c r="D556" s="13" t="s">
        <v>6208</v>
      </c>
      <c r="E556" s="8"/>
      <c r="F556" s="7" t="s">
        <v>4348</v>
      </c>
      <c r="G556" s="7" t="s">
        <v>25</v>
      </c>
      <c r="H556" s="58"/>
      <c r="I556" s="23"/>
      <c r="J556" s="24"/>
      <c r="M556" s="4"/>
      <c r="N556" s="76"/>
      <c r="O556" s="76"/>
      <c r="P556" s="76" t="str">
        <f t="shared" si="63"/>
        <v>,shikkan548_start_date</v>
      </c>
      <c r="Q556" s="76" t="str">
        <f t="shared" si="64"/>
        <v>DATE</v>
      </c>
      <c r="R556" s="76" t="str">
        <f t="shared" si="65"/>
        <v/>
      </c>
      <c r="S556" s="76" t="str">
        <f t="shared" si="66"/>
        <v/>
      </c>
      <c r="T556" s="76" t="str">
        <f t="shared" si="67"/>
        <v>-- G300_疾患開始日</v>
      </c>
      <c r="U556" s="4" t="str">
        <f t="shared" si="68"/>
        <v>,'shikkan548_start_date'</v>
      </c>
      <c r="V556" s="25" t="str">
        <f t="shared" si="69"/>
        <v>,'shikkan548_start_date' : 'G300_疾患開始日'</v>
      </c>
      <c r="X556" s="25">
        <v>1</v>
      </c>
      <c r="AA556" s="4"/>
      <c r="AB556" s="4"/>
      <c r="AC556" s="4"/>
      <c r="AD556" s="4"/>
      <c r="AE556" s="4"/>
      <c r="AF556" s="4"/>
      <c r="AG556" s="4"/>
      <c r="AH556" s="4"/>
      <c r="AI556" s="4"/>
      <c r="AJ556" s="76" t="str">
        <f>IF(E556="○",IF(COUNTA(E$13:E556)=1,"",",")&amp;D556,"")</f>
        <v/>
      </c>
      <c r="AK556" s="4"/>
      <c r="AL556" s="4"/>
      <c r="AM556" s="4"/>
      <c r="AN556" s="4"/>
      <c r="AO556" s="4"/>
      <c r="AP556" s="4"/>
      <c r="AQ556" s="4"/>
      <c r="AR556" s="4"/>
      <c r="AS556" s="76" t="str">
        <f>"COMMENT ON COLUMN "&amp;エンティティ一覧!$O$2&amp;"."&amp;D$8&amp;"."&amp;D556&amp;" IS '"&amp;C556&amp;"';"</f>
        <v>COMMENT ON COLUMN milscm_2023_009.main_diagnosis_start_date.shikkan548_start_date IS 'G300_疾患開始日';</v>
      </c>
    </row>
    <row r="557" spans="1:45" s="25" customFormat="1">
      <c r="A557" s="4" t="s">
        <v>5640</v>
      </c>
      <c r="B557" s="21">
        <f t="shared" si="62"/>
        <v>555</v>
      </c>
      <c r="C557" s="13" t="str">
        <f t="shared" si="70"/>
        <v>G301_疾患開始日</v>
      </c>
      <c r="D557" s="13" t="s">
        <v>6209</v>
      </c>
      <c r="E557" s="8"/>
      <c r="F557" s="7" t="s">
        <v>4348</v>
      </c>
      <c r="G557" s="7" t="s">
        <v>25</v>
      </c>
      <c r="H557" s="58"/>
      <c r="I557" s="23"/>
      <c r="J557" s="24"/>
      <c r="M557" s="4"/>
      <c r="N557" s="76"/>
      <c r="O557" s="76"/>
      <c r="P557" s="76" t="str">
        <f t="shared" si="63"/>
        <v>,shikkan549_start_date</v>
      </c>
      <c r="Q557" s="76" t="str">
        <f t="shared" si="64"/>
        <v>DATE</v>
      </c>
      <c r="R557" s="76" t="str">
        <f t="shared" si="65"/>
        <v/>
      </c>
      <c r="S557" s="76" t="str">
        <f t="shared" si="66"/>
        <v/>
      </c>
      <c r="T557" s="76" t="str">
        <f t="shared" si="67"/>
        <v>-- G301_疾患開始日</v>
      </c>
      <c r="U557" s="4" t="str">
        <f t="shared" si="68"/>
        <v>,'shikkan549_start_date'</v>
      </c>
      <c r="V557" s="25" t="str">
        <f t="shared" si="69"/>
        <v>,'shikkan549_start_date' : 'G301_疾患開始日'</v>
      </c>
      <c r="X557" s="25">
        <v>1</v>
      </c>
      <c r="AA557" s="4"/>
      <c r="AB557" s="4"/>
      <c r="AC557" s="4"/>
      <c r="AD557" s="4"/>
      <c r="AE557" s="4"/>
      <c r="AF557" s="4"/>
      <c r="AG557" s="4"/>
      <c r="AH557" s="4"/>
      <c r="AI557" s="4"/>
      <c r="AJ557" s="76" t="str">
        <f>IF(E557="○",IF(COUNTA(E$13:E557)=1,"",",")&amp;D557,"")</f>
        <v/>
      </c>
      <c r="AK557" s="4"/>
      <c r="AL557" s="4"/>
      <c r="AM557" s="4"/>
      <c r="AN557" s="4"/>
      <c r="AO557" s="4"/>
      <c r="AP557" s="4"/>
      <c r="AQ557" s="4"/>
      <c r="AR557" s="4"/>
      <c r="AS557" s="76" t="str">
        <f>"COMMENT ON COLUMN "&amp;エンティティ一覧!$O$2&amp;"."&amp;D$8&amp;"."&amp;D557&amp;" IS '"&amp;C557&amp;"';"</f>
        <v>COMMENT ON COLUMN milscm_2023_009.main_diagnosis_start_date.shikkan549_start_date IS 'G301_疾患開始日';</v>
      </c>
    </row>
    <row r="558" spans="1:45" s="25" customFormat="1">
      <c r="A558" s="4" t="s">
        <v>5641</v>
      </c>
      <c r="B558" s="21">
        <f t="shared" si="62"/>
        <v>556</v>
      </c>
      <c r="C558" s="13" t="str">
        <f t="shared" si="70"/>
        <v>G308_疾患開始日</v>
      </c>
      <c r="D558" s="13" t="s">
        <v>6210</v>
      </c>
      <c r="E558" s="8"/>
      <c r="F558" s="7" t="s">
        <v>4348</v>
      </c>
      <c r="G558" s="7" t="s">
        <v>25</v>
      </c>
      <c r="H558" s="58"/>
      <c r="I558" s="23"/>
      <c r="J558" s="24"/>
      <c r="M558" s="4"/>
      <c r="N558" s="76"/>
      <c r="O558" s="76"/>
      <c r="P558" s="76" t="str">
        <f t="shared" si="63"/>
        <v>,shikkan550_start_date</v>
      </c>
      <c r="Q558" s="76" t="str">
        <f t="shared" si="64"/>
        <v>DATE</v>
      </c>
      <c r="R558" s="76" t="str">
        <f t="shared" si="65"/>
        <v/>
      </c>
      <c r="S558" s="76" t="str">
        <f t="shared" si="66"/>
        <v/>
      </c>
      <c r="T558" s="76" t="str">
        <f t="shared" si="67"/>
        <v>-- G308_疾患開始日</v>
      </c>
      <c r="U558" s="4" t="str">
        <f t="shared" si="68"/>
        <v>,'shikkan550_start_date'</v>
      </c>
      <c r="V558" s="25" t="str">
        <f t="shared" si="69"/>
        <v>,'shikkan550_start_date' : 'G308_疾患開始日'</v>
      </c>
      <c r="X558" s="25">
        <v>1</v>
      </c>
      <c r="AA558" s="4"/>
      <c r="AB558" s="4"/>
      <c r="AC558" s="4"/>
      <c r="AD558" s="4"/>
      <c r="AE558" s="4"/>
      <c r="AF558" s="4"/>
      <c r="AG558" s="4"/>
      <c r="AH558" s="4"/>
      <c r="AI558" s="4"/>
      <c r="AJ558" s="76" t="str">
        <f>IF(E558="○",IF(COUNTA(E$13:E558)=1,"",",")&amp;D558,"")</f>
        <v/>
      </c>
      <c r="AK558" s="4"/>
      <c r="AL558" s="4"/>
      <c r="AM558" s="4"/>
      <c r="AN558" s="4"/>
      <c r="AO558" s="4"/>
      <c r="AP558" s="4"/>
      <c r="AQ558" s="4"/>
      <c r="AR558" s="4"/>
      <c r="AS558" s="76" t="str">
        <f>"COMMENT ON COLUMN "&amp;エンティティ一覧!$O$2&amp;"."&amp;D$8&amp;"."&amp;D558&amp;" IS '"&amp;C558&amp;"';"</f>
        <v>COMMENT ON COLUMN milscm_2023_009.main_diagnosis_start_date.shikkan550_start_date IS 'G308_疾患開始日';</v>
      </c>
    </row>
    <row r="559" spans="1:45" s="25" customFormat="1">
      <c r="A559" s="4" t="s">
        <v>5642</v>
      </c>
      <c r="B559" s="21">
        <f t="shared" si="62"/>
        <v>557</v>
      </c>
      <c r="C559" s="13" t="str">
        <f t="shared" si="70"/>
        <v>G309_疾患開始日</v>
      </c>
      <c r="D559" s="13" t="s">
        <v>6211</v>
      </c>
      <c r="E559" s="8"/>
      <c r="F559" s="7" t="s">
        <v>4348</v>
      </c>
      <c r="G559" s="7" t="s">
        <v>25</v>
      </c>
      <c r="H559" s="58"/>
      <c r="I559" s="23"/>
      <c r="J559" s="24"/>
      <c r="M559" s="4"/>
      <c r="N559" s="76"/>
      <c r="O559" s="76"/>
      <c r="P559" s="76" t="str">
        <f t="shared" si="63"/>
        <v>,shikkan551_start_date</v>
      </c>
      <c r="Q559" s="76" t="str">
        <f t="shared" si="64"/>
        <v>DATE</v>
      </c>
      <c r="R559" s="76" t="str">
        <f t="shared" si="65"/>
        <v/>
      </c>
      <c r="S559" s="76" t="str">
        <f t="shared" si="66"/>
        <v/>
      </c>
      <c r="T559" s="76" t="str">
        <f t="shared" si="67"/>
        <v>-- G309_疾患開始日</v>
      </c>
      <c r="U559" s="4" t="str">
        <f t="shared" si="68"/>
        <v>,'shikkan551_start_date'</v>
      </c>
      <c r="V559" s="25" t="str">
        <f t="shared" si="69"/>
        <v>,'shikkan551_start_date' : 'G309_疾患開始日'</v>
      </c>
      <c r="X559" s="25">
        <v>1</v>
      </c>
      <c r="AA559" s="4"/>
      <c r="AB559" s="4"/>
      <c r="AC559" s="4"/>
      <c r="AD559" s="4"/>
      <c r="AE559" s="4"/>
      <c r="AF559" s="4"/>
      <c r="AG559" s="4"/>
      <c r="AH559" s="4"/>
      <c r="AI559" s="4"/>
      <c r="AJ559" s="76" t="str">
        <f>IF(E559="○",IF(COUNTA(E$13:E559)=1,"",",")&amp;D559,"")</f>
        <v/>
      </c>
      <c r="AK559" s="4"/>
      <c r="AL559" s="4"/>
      <c r="AM559" s="4"/>
      <c r="AN559" s="4"/>
      <c r="AO559" s="4"/>
      <c r="AP559" s="4"/>
      <c r="AQ559" s="4"/>
      <c r="AR559" s="4"/>
      <c r="AS559" s="76" t="str">
        <f>"COMMENT ON COLUMN "&amp;エンティティ一覧!$O$2&amp;"."&amp;D$8&amp;"."&amp;D559&amp;" IS '"&amp;C559&amp;"';"</f>
        <v>COMMENT ON COLUMN milscm_2023_009.main_diagnosis_start_date.shikkan551_start_date IS 'G309_疾患開始日';</v>
      </c>
    </row>
    <row r="560" spans="1:45" s="25" customFormat="1">
      <c r="A560" s="4" t="s">
        <v>5643</v>
      </c>
      <c r="B560" s="21">
        <f t="shared" si="62"/>
        <v>558</v>
      </c>
      <c r="C560" s="13" t="str">
        <f t="shared" si="70"/>
        <v>G311_疾患開始日</v>
      </c>
      <c r="D560" s="13" t="s">
        <v>6212</v>
      </c>
      <c r="E560" s="8"/>
      <c r="F560" s="7" t="s">
        <v>4348</v>
      </c>
      <c r="G560" s="7" t="s">
        <v>25</v>
      </c>
      <c r="H560" s="58"/>
      <c r="I560" s="23"/>
      <c r="J560" s="24"/>
      <c r="M560" s="4"/>
      <c r="N560" s="76"/>
      <c r="O560" s="76"/>
      <c r="P560" s="76" t="str">
        <f t="shared" si="63"/>
        <v>,shikkan552_start_date</v>
      </c>
      <c r="Q560" s="76" t="str">
        <f t="shared" si="64"/>
        <v>DATE</v>
      </c>
      <c r="R560" s="76" t="str">
        <f t="shared" si="65"/>
        <v/>
      </c>
      <c r="S560" s="76" t="str">
        <f t="shared" si="66"/>
        <v/>
      </c>
      <c r="T560" s="76" t="str">
        <f t="shared" si="67"/>
        <v>-- G311_疾患開始日</v>
      </c>
      <c r="U560" s="4" t="str">
        <f t="shared" si="68"/>
        <v>,'shikkan552_start_date'</v>
      </c>
      <c r="V560" s="25" t="str">
        <f t="shared" si="69"/>
        <v>,'shikkan552_start_date' : 'G311_疾患開始日'</v>
      </c>
      <c r="X560" s="25">
        <v>1</v>
      </c>
      <c r="AA560" s="4"/>
      <c r="AB560" s="4"/>
      <c r="AC560" s="4"/>
      <c r="AD560" s="4"/>
      <c r="AE560" s="4"/>
      <c r="AF560" s="4"/>
      <c r="AG560" s="4"/>
      <c r="AH560" s="4"/>
      <c r="AI560" s="4"/>
      <c r="AJ560" s="76" t="str">
        <f>IF(E560="○",IF(COUNTA(E$13:E560)=1,"",",")&amp;D560,"")</f>
        <v/>
      </c>
      <c r="AK560" s="4"/>
      <c r="AL560" s="4"/>
      <c r="AM560" s="4"/>
      <c r="AN560" s="4"/>
      <c r="AO560" s="4"/>
      <c r="AP560" s="4"/>
      <c r="AQ560" s="4"/>
      <c r="AR560" s="4"/>
      <c r="AS560" s="76" t="str">
        <f>"COMMENT ON COLUMN "&amp;エンティティ一覧!$O$2&amp;"."&amp;D$8&amp;"."&amp;D560&amp;" IS '"&amp;C560&amp;"';"</f>
        <v>COMMENT ON COLUMN milscm_2023_009.main_diagnosis_start_date.shikkan552_start_date IS 'G311_疾患開始日';</v>
      </c>
    </row>
    <row r="561" spans="1:45" s="25" customFormat="1">
      <c r="A561" s="4" t="s">
        <v>5644</v>
      </c>
      <c r="B561" s="21">
        <f t="shared" si="62"/>
        <v>559</v>
      </c>
      <c r="C561" s="13" t="str">
        <f t="shared" si="70"/>
        <v>G450_疾患開始日</v>
      </c>
      <c r="D561" s="13" t="s">
        <v>6213</v>
      </c>
      <c r="E561" s="8"/>
      <c r="F561" s="7" t="s">
        <v>4348</v>
      </c>
      <c r="G561" s="7" t="s">
        <v>25</v>
      </c>
      <c r="H561" s="58"/>
      <c r="I561" s="23"/>
      <c r="J561" s="24"/>
      <c r="M561" s="4"/>
      <c r="N561" s="76"/>
      <c r="O561" s="76"/>
      <c r="P561" s="76" t="str">
        <f t="shared" si="63"/>
        <v>,shikkan553_start_date</v>
      </c>
      <c r="Q561" s="76" t="str">
        <f t="shared" si="64"/>
        <v>DATE</v>
      </c>
      <c r="R561" s="76" t="str">
        <f t="shared" si="65"/>
        <v/>
      </c>
      <c r="S561" s="76" t="str">
        <f t="shared" si="66"/>
        <v/>
      </c>
      <c r="T561" s="76" t="str">
        <f t="shared" si="67"/>
        <v>-- G450_疾患開始日</v>
      </c>
      <c r="U561" s="4" t="str">
        <f t="shared" si="68"/>
        <v>,'shikkan553_start_date'</v>
      </c>
      <c r="V561" s="25" t="str">
        <f t="shared" si="69"/>
        <v>,'shikkan553_start_date' : 'G450_疾患開始日'</v>
      </c>
      <c r="X561" s="25">
        <v>1</v>
      </c>
      <c r="AA561" s="4"/>
      <c r="AB561" s="4"/>
      <c r="AC561" s="4"/>
      <c r="AD561" s="4"/>
      <c r="AE561" s="4"/>
      <c r="AF561" s="4"/>
      <c r="AG561" s="4"/>
      <c r="AH561" s="4"/>
      <c r="AI561" s="4"/>
      <c r="AJ561" s="76" t="str">
        <f>IF(E561="○",IF(COUNTA(E$13:E561)=1,"",",")&amp;D561,"")</f>
        <v/>
      </c>
      <c r="AK561" s="4"/>
      <c r="AL561" s="4"/>
      <c r="AM561" s="4"/>
      <c r="AN561" s="4"/>
      <c r="AO561" s="4"/>
      <c r="AP561" s="4"/>
      <c r="AQ561" s="4"/>
      <c r="AR561" s="4"/>
      <c r="AS561" s="76" t="str">
        <f>"COMMENT ON COLUMN "&amp;エンティティ一覧!$O$2&amp;"."&amp;D$8&amp;"."&amp;D561&amp;" IS '"&amp;C561&amp;"';"</f>
        <v>COMMENT ON COLUMN milscm_2023_009.main_diagnosis_start_date.shikkan553_start_date IS 'G450_疾患開始日';</v>
      </c>
    </row>
    <row r="562" spans="1:45" s="25" customFormat="1">
      <c r="A562" s="4" t="s">
        <v>5645</v>
      </c>
      <c r="B562" s="21">
        <f t="shared" si="62"/>
        <v>560</v>
      </c>
      <c r="C562" s="13" t="str">
        <f t="shared" si="70"/>
        <v>G451_疾患開始日</v>
      </c>
      <c r="D562" s="13" t="s">
        <v>6214</v>
      </c>
      <c r="E562" s="8"/>
      <c r="F562" s="7" t="s">
        <v>4348</v>
      </c>
      <c r="G562" s="7" t="s">
        <v>25</v>
      </c>
      <c r="H562" s="58"/>
      <c r="I562" s="23"/>
      <c r="J562" s="24"/>
      <c r="M562" s="4"/>
      <c r="N562" s="76"/>
      <c r="O562" s="76"/>
      <c r="P562" s="76" t="str">
        <f t="shared" si="63"/>
        <v>,shikkan554_start_date</v>
      </c>
      <c r="Q562" s="76" t="str">
        <f t="shared" si="64"/>
        <v>DATE</v>
      </c>
      <c r="R562" s="76" t="str">
        <f t="shared" si="65"/>
        <v/>
      </c>
      <c r="S562" s="76" t="str">
        <f t="shared" si="66"/>
        <v/>
      </c>
      <c r="T562" s="76" t="str">
        <f t="shared" si="67"/>
        <v>-- G451_疾患開始日</v>
      </c>
      <c r="U562" s="4" t="str">
        <f t="shared" si="68"/>
        <v>,'shikkan554_start_date'</v>
      </c>
      <c r="V562" s="25" t="str">
        <f t="shared" si="69"/>
        <v>,'shikkan554_start_date' : 'G451_疾患開始日'</v>
      </c>
      <c r="X562" s="25">
        <v>1</v>
      </c>
      <c r="AA562" s="4"/>
      <c r="AB562" s="4"/>
      <c r="AC562" s="4"/>
      <c r="AD562" s="4"/>
      <c r="AE562" s="4"/>
      <c r="AF562" s="4"/>
      <c r="AG562" s="4"/>
      <c r="AH562" s="4"/>
      <c r="AI562" s="4"/>
      <c r="AJ562" s="76" t="str">
        <f>IF(E562="○",IF(COUNTA(E$13:E562)=1,"",",")&amp;D562,"")</f>
        <v/>
      </c>
      <c r="AK562" s="4"/>
      <c r="AL562" s="4"/>
      <c r="AM562" s="4"/>
      <c r="AN562" s="4"/>
      <c r="AO562" s="4"/>
      <c r="AP562" s="4"/>
      <c r="AQ562" s="4"/>
      <c r="AR562" s="4"/>
      <c r="AS562" s="76" t="str">
        <f>"COMMENT ON COLUMN "&amp;エンティティ一覧!$O$2&amp;"."&amp;D$8&amp;"."&amp;D562&amp;" IS '"&amp;C562&amp;"';"</f>
        <v>COMMENT ON COLUMN milscm_2023_009.main_diagnosis_start_date.shikkan554_start_date IS 'G451_疾患開始日';</v>
      </c>
    </row>
    <row r="563" spans="1:45" s="25" customFormat="1">
      <c r="A563" s="4" t="s">
        <v>5646</v>
      </c>
      <c r="B563" s="21">
        <f t="shared" si="62"/>
        <v>561</v>
      </c>
      <c r="C563" s="13" t="str">
        <f t="shared" si="70"/>
        <v>G452_疾患開始日</v>
      </c>
      <c r="D563" s="13" t="s">
        <v>6215</v>
      </c>
      <c r="E563" s="8"/>
      <c r="F563" s="7" t="s">
        <v>4348</v>
      </c>
      <c r="G563" s="7" t="s">
        <v>25</v>
      </c>
      <c r="H563" s="58"/>
      <c r="I563" s="23"/>
      <c r="J563" s="24"/>
      <c r="M563" s="4"/>
      <c r="N563" s="76"/>
      <c r="O563" s="76"/>
      <c r="P563" s="76" t="str">
        <f t="shared" si="63"/>
        <v>,shikkan555_start_date</v>
      </c>
      <c r="Q563" s="76" t="str">
        <f t="shared" si="64"/>
        <v>DATE</v>
      </c>
      <c r="R563" s="76" t="str">
        <f t="shared" si="65"/>
        <v/>
      </c>
      <c r="S563" s="76" t="str">
        <f t="shared" si="66"/>
        <v/>
      </c>
      <c r="T563" s="76" t="str">
        <f t="shared" si="67"/>
        <v>-- G452_疾患開始日</v>
      </c>
      <c r="U563" s="4" t="str">
        <f t="shared" si="68"/>
        <v>,'shikkan555_start_date'</v>
      </c>
      <c r="V563" s="25" t="str">
        <f t="shared" si="69"/>
        <v>,'shikkan555_start_date' : 'G452_疾患開始日'</v>
      </c>
      <c r="X563" s="25">
        <v>1</v>
      </c>
      <c r="AA563" s="4"/>
      <c r="AB563" s="4"/>
      <c r="AC563" s="4"/>
      <c r="AD563" s="4"/>
      <c r="AE563" s="4"/>
      <c r="AF563" s="4"/>
      <c r="AG563" s="4"/>
      <c r="AH563" s="4"/>
      <c r="AI563" s="4"/>
      <c r="AJ563" s="76" t="str">
        <f>IF(E563="○",IF(COUNTA(E$13:E563)=1,"",",")&amp;D563,"")</f>
        <v/>
      </c>
      <c r="AK563" s="4"/>
      <c r="AL563" s="4"/>
      <c r="AM563" s="4"/>
      <c r="AN563" s="4"/>
      <c r="AO563" s="4"/>
      <c r="AP563" s="4"/>
      <c r="AQ563" s="4"/>
      <c r="AR563" s="4"/>
      <c r="AS563" s="76" t="str">
        <f>"COMMENT ON COLUMN "&amp;エンティティ一覧!$O$2&amp;"."&amp;D$8&amp;"."&amp;D563&amp;" IS '"&amp;C563&amp;"';"</f>
        <v>COMMENT ON COLUMN milscm_2023_009.main_diagnosis_start_date.shikkan555_start_date IS 'G452_疾患開始日';</v>
      </c>
    </row>
    <row r="564" spans="1:45" s="25" customFormat="1">
      <c r="A564" s="4" t="s">
        <v>5647</v>
      </c>
      <c r="B564" s="21">
        <f t="shared" si="62"/>
        <v>562</v>
      </c>
      <c r="C564" s="13" t="str">
        <f t="shared" si="70"/>
        <v>G453_疾患開始日</v>
      </c>
      <c r="D564" s="13" t="s">
        <v>6216</v>
      </c>
      <c r="E564" s="8"/>
      <c r="F564" s="7" t="s">
        <v>4348</v>
      </c>
      <c r="G564" s="7" t="s">
        <v>25</v>
      </c>
      <c r="H564" s="58"/>
      <c r="I564" s="23"/>
      <c r="J564" s="24"/>
      <c r="M564" s="4"/>
      <c r="N564" s="76"/>
      <c r="O564" s="76"/>
      <c r="P564" s="76" t="str">
        <f t="shared" si="63"/>
        <v>,shikkan556_start_date</v>
      </c>
      <c r="Q564" s="76" t="str">
        <f t="shared" si="64"/>
        <v>DATE</v>
      </c>
      <c r="R564" s="76" t="str">
        <f t="shared" si="65"/>
        <v/>
      </c>
      <c r="S564" s="76" t="str">
        <f t="shared" si="66"/>
        <v/>
      </c>
      <c r="T564" s="76" t="str">
        <f t="shared" si="67"/>
        <v>-- G453_疾患開始日</v>
      </c>
      <c r="U564" s="4" t="str">
        <f t="shared" si="68"/>
        <v>,'shikkan556_start_date'</v>
      </c>
      <c r="V564" s="25" t="str">
        <f t="shared" si="69"/>
        <v>,'shikkan556_start_date' : 'G453_疾患開始日'</v>
      </c>
      <c r="X564" s="25">
        <v>1</v>
      </c>
      <c r="AA564" s="4"/>
      <c r="AB564" s="4"/>
      <c r="AC564" s="4"/>
      <c r="AD564" s="4"/>
      <c r="AE564" s="4"/>
      <c r="AF564" s="4"/>
      <c r="AG564" s="4"/>
      <c r="AH564" s="4"/>
      <c r="AI564" s="4"/>
      <c r="AJ564" s="76" t="str">
        <f>IF(E564="○",IF(COUNTA(E$13:E564)=1,"",",")&amp;D564,"")</f>
        <v/>
      </c>
      <c r="AK564" s="4"/>
      <c r="AL564" s="4"/>
      <c r="AM564" s="4"/>
      <c r="AN564" s="4"/>
      <c r="AO564" s="4"/>
      <c r="AP564" s="4"/>
      <c r="AQ564" s="4"/>
      <c r="AR564" s="4"/>
      <c r="AS564" s="76" t="str">
        <f>"COMMENT ON COLUMN "&amp;エンティティ一覧!$O$2&amp;"."&amp;D$8&amp;"."&amp;D564&amp;" IS '"&amp;C564&amp;"';"</f>
        <v>COMMENT ON COLUMN milscm_2023_009.main_diagnosis_start_date.shikkan556_start_date IS 'G453_疾患開始日';</v>
      </c>
    </row>
    <row r="565" spans="1:45" s="25" customFormat="1">
      <c r="A565" s="4" t="s">
        <v>5648</v>
      </c>
      <c r="B565" s="21">
        <f t="shared" si="62"/>
        <v>563</v>
      </c>
      <c r="C565" s="13" t="str">
        <f t="shared" si="70"/>
        <v>G454_疾患開始日</v>
      </c>
      <c r="D565" s="13" t="s">
        <v>6217</v>
      </c>
      <c r="E565" s="8"/>
      <c r="F565" s="7" t="s">
        <v>4348</v>
      </c>
      <c r="G565" s="7" t="s">
        <v>25</v>
      </c>
      <c r="H565" s="58"/>
      <c r="I565" s="23"/>
      <c r="J565" s="24"/>
      <c r="M565" s="4"/>
      <c r="N565" s="76"/>
      <c r="O565" s="76"/>
      <c r="P565" s="76" t="str">
        <f t="shared" si="63"/>
        <v>,shikkan557_start_date</v>
      </c>
      <c r="Q565" s="76" t="str">
        <f t="shared" si="64"/>
        <v>DATE</v>
      </c>
      <c r="R565" s="76" t="str">
        <f t="shared" si="65"/>
        <v/>
      </c>
      <c r="S565" s="76" t="str">
        <f t="shared" si="66"/>
        <v/>
      </c>
      <c r="T565" s="76" t="str">
        <f t="shared" si="67"/>
        <v>-- G454_疾患開始日</v>
      </c>
      <c r="U565" s="4" t="str">
        <f t="shared" si="68"/>
        <v>,'shikkan557_start_date'</v>
      </c>
      <c r="V565" s="25" t="str">
        <f t="shared" si="69"/>
        <v>,'shikkan557_start_date' : 'G454_疾患開始日'</v>
      </c>
      <c r="X565" s="25">
        <v>1</v>
      </c>
      <c r="AA565" s="4"/>
      <c r="AB565" s="4"/>
      <c r="AC565" s="4"/>
      <c r="AD565" s="4"/>
      <c r="AE565" s="4"/>
      <c r="AF565" s="4"/>
      <c r="AG565" s="4"/>
      <c r="AH565" s="4"/>
      <c r="AI565" s="4"/>
      <c r="AJ565" s="76" t="str">
        <f>IF(E565="○",IF(COUNTA(E$13:E565)=1,"",",")&amp;D565,"")</f>
        <v/>
      </c>
      <c r="AK565" s="4"/>
      <c r="AL565" s="4"/>
      <c r="AM565" s="4"/>
      <c r="AN565" s="4"/>
      <c r="AO565" s="4"/>
      <c r="AP565" s="4"/>
      <c r="AQ565" s="4"/>
      <c r="AR565" s="4"/>
      <c r="AS565" s="76" t="str">
        <f>"COMMENT ON COLUMN "&amp;エンティティ一覧!$O$2&amp;"."&amp;D$8&amp;"."&amp;D565&amp;" IS '"&amp;C565&amp;"';"</f>
        <v>COMMENT ON COLUMN milscm_2023_009.main_diagnosis_start_date.shikkan557_start_date IS 'G454_疾患開始日';</v>
      </c>
    </row>
    <row r="566" spans="1:45" s="25" customFormat="1">
      <c r="A566" s="4" t="s">
        <v>5649</v>
      </c>
      <c r="B566" s="21">
        <f t="shared" si="62"/>
        <v>564</v>
      </c>
      <c r="C566" s="13" t="str">
        <f t="shared" si="70"/>
        <v>G458_疾患開始日</v>
      </c>
      <c r="D566" s="13" t="s">
        <v>6218</v>
      </c>
      <c r="E566" s="8"/>
      <c r="F566" s="7" t="s">
        <v>4348</v>
      </c>
      <c r="G566" s="7" t="s">
        <v>25</v>
      </c>
      <c r="H566" s="58"/>
      <c r="I566" s="23"/>
      <c r="J566" s="24"/>
      <c r="M566" s="4"/>
      <c r="N566" s="76"/>
      <c r="O566" s="76"/>
      <c r="P566" s="76" t="str">
        <f t="shared" si="63"/>
        <v>,shikkan558_start_date</v>
      </c>
      <c r="Q566" s="76" t="str">
        <f t="shared" si="64"/>
        <v>DATE</v>
      </c>
      <c r="R566" s="76" t="str">
        <f t="shared" si="65"/>
        <v/>
      </c>
      <c r="S566" s="76" t="str">
        <f t="shared" si="66"/>
        <v/>
      </c>
      <c r="T566" s="76" t="str">
        <f t="shared" si="67"/>
        <v>-- G458_疾患開始日</v>
      </c>
      <c r="U566" s="4" t="str">
        <f t="shared" si="68"/>
        <v>,'shikkan558_start_date'</v>
      </c>
      <c r="V566" s="25" t="str">
        <f t="shared" si="69"/>
        <v>,'shikkan558_start_date' : 'G458_疾患開始日'</v>
      </c>
      <c r="X566" s="25">
        <v>1</v>
      </c>
      <c r="AA566" s="4"/>
      <c r="AB566" s="4"/>
      <c r="AC566" s="4"/>
      <c r="AD566" s="4"/>
      <c r="AE566" s="4"/>
      <c r="AF566" s="4"/>
      <c r="AG566" s="4"/>
      <c r="AH566" s="4"/>
      <c r="AI566" s="4"/>
      <c r="AJ566" s="76" t="str">
        <f>IF(E566="○",IF(COUNTA(E$13:E566)=1,"",",")&amp;D566,"")</f>
        <v/>
      </c>
      <c r="AK566" s="4"/>
      <c r="AL566" s="4"/>
      <c r="AM566" s="4"/>
      <c r="AN566" s="4"/>
      <c r="AO566" s="4"/>
      <c r="AP566" s="4"/>
      <c r="AQ566" s="4"/>
      <c r="AR566" s="4"/>
      <c r="AS566" s="76" t="str">
        <f>"COMMENT ON COLUMN "&amp;エンティティ一覧!$O$2&amp;"."&amp;D$8&amp;"."&amp;D566&amp;" IS '"&amp;C566&amp;"';"</f>
        <v>COMMENT ON COLUMN milscm_2023_009.main_diagnosis_start_date.shikkan558_start_date IS 'G458_疾患開始日';</v>
      </c>
    </row>
    <row r="567" spans="1:45" s="25" customFormat="1">
      <c r="A567" s="4" t="s">
        <v>5650</v>
      </c>
      <c r="B567" s="21">
        <f t="shared" si="62"/>
        <v>565</v>
      </c>
      <c r="C567" s="13" t="str">
        <f t="shared" si="70"/>
        <v>G459_疾患開始日</v>
      </c>
      <c r="D567" s="13" t="s">
        <v>6219</v>
      </c>
      <c r="E567" s="8"/>
      <c r="F567" s="7" t="s">
        <v>4348</v>
      </c>
      <c r="G567" s="7" t="s">
        <v>25</v>
      </c>
      <c r="H567" s="58"/>
      <c r="I567" s="23"/>
      <c r="J567" s="24"/>
      <c r="M567" s="4"/>
      <c r="N567" s="76"/>
      <c r="O567" s="76"/>
      <c r="P567" s="76" t="str">
        <f t="shared" si="63"/>
        <v>,shikkan559_start_date</v>
      </c>
      <c r="Q567" s="76" t="str">
        <f t="shared" si="64"/>
        <v>DATE</v>
      </c>
      <c r="R567" s="76" t="str">
        <f t="shared" si="65"/>
        <v/>
      </c>
      <c r="S567" s="76" t="str">
        <f t="shared" si="66"/>
        <v/>
      </c>
      <c r="T567" s="76" t="str">
        <f t="shared" si="67"/>
        <v>-- G459_疾患開始日</v>
      </c>
      <c r="U567" s="4" t="str">
        <f t="shared" si="68"/>
        <v>,'shikkan559_start_date'</v>
      </c>
      <c r="V567" s="25" t="str">
        <f t="shared" si="69"/>
        <v>,'shikkan559_start_date' : 'G459_疾患開始日'</v>
      </c>
      <c r="X567" s="25">
        <v>1</v>
      </c>
      <c r="AA567" s="4"/>
      <c r="AB567" s="4"/>
      <c r="AC567" s="4"/>
      <c r="AD567" s="4"/>
      <c r="AE567" s="4"/>
      <c r="AF567" s="4"/>
      <c r="AG567" s="4"/>
      <c r="AH567" s="4"/>
      <c r="AI567" s="4"/>
      <c r="AJ567" s="76" t="str">
        <f>IF(E567="○",IF(COUNTA(E$13:E567)=1,"",",")&amp;D567,"")</f>
        <v/>
      </c>
      <c r="AK567" s="4"/>
      <c r="AL567" s="4"/>
      <c r="AM567" s="4"/>
      <c r="AN567" s="4"/>
      <c r="AO567" s="4"/>
      <c r="AP567" s="4"/>
      <c r="AQ567" s="4"/>
      <c r="AR567" s="4"/>
      <c r="AS567" s="76" t="str">
        <f>"COMMENT ON COLUMN "&amp;エンティティ一覧!$O$2&amp;"."&amp;D$8&amp;"."&amp;D567&amp;" IS '"&amp;C567&amp;"';"</f>
        <v>COMMENT ON COLUMN milscm_2023_009.main_diagnosis_start_date.shikkan559_start_date IS 'G459_疾患開始日';</v>
      </c>
    </row>
    <row r="568" spans="1:45" s="25" customFormat="1">
      <c r="A568" s="4" t="s">
        <v>5651</v>
      </c>
      <c r="B568" s="21">
        <f t="shared" si="62"/>
        <v>566</v>
      </c>
      <c r="C568" s="13" t="str">
        <f t="shared" si="70"/>
        <v>G460_疾患開始日</v>
      </c>
      <c r="D568" s="13" t="s">
        <v>6220</v>
      </c>
      <c r="E568" s="8"/>
      <c r="F568" s="7" t="s">
        <v>4348</v>
      </c>
      <c r="G568" s="7" t="s">
        <v>25</v>
      </c>
      <c r="H568" s="58"/>
      <c r="I568" s="23"/>
      <c r="J568" s="24"/>
      <c r="M568" s="4"/>
      <c r="N568" s="76"/>
      <c r="O568" s="76"/>
      <c r="P568" s="76" t="str">
        <f t="shared" si="63"/>
        <v>,shikkan560_start_date</v>
      </c>
      <c r="Q568" s="76" t="str">
        <f t="shared" si="64"/>
        <v>DATE</v>
      </c>
      <c r="R568" s="76" t="str">
        <f t="shared" si="65"/>
        <v/>
      </c>
      <c r="S568" s="76" t="str">
        <f t="shared" si="66"/>
        <v/>
      </c>
      <c r="T568" s="76" t="str">
        <f t="shared" si="67"/>
        <v>-- G460_疾患開始日</v>
      </c>
      <c r="U568" s="4" t="str">
        <f t="shared" si="68"/>
        <v>,'shikkan560_start_date'</v>
      </c>
      <c r="V568" s="25" t="str">
        <f t="shared" si="69"/>
        <v>,'shikkan560_start_date' : 'G460_疾患開始日'</v>
      </c>
      <c r="X568" s="25">
        <v>1</v>
      </c>
      <c r="AA568" s="4"/>
      <c r="AB568" s="4"/>
      <c r="AC568" s="4"/>
      <c r="AD568" s="4"/>
      <c r="AE568" s="4"/>
      <c r="AF568" s="4"/>
      <c r="AG568" s="4"/>
      <c r="AH568" s="4"/>
      <c r="AI568" s="4"/>
      <c r="AJ568" s="76" t="str">
        <f>IF(E568="○",IF(COUNTA(E$13:E568)=1,"",",")&amp;D568,"")</f>
        <v/>
      </c>
      <c r="AK568" s="4"/>
      <c r="AL568" s="4"/>
      <c r="AM568" s="4"/>
      <c r="AN568" s="4"/>
      <c r="AO568" s="4"/>
      <c r="AP568" s="4"/>
      <c r="AQ568" s="4"/>
      <c r="AR568" s="4"/>
      <c r="AS568" s="76" t="str">
        <f>"COMMENT ON COLUMN "&amp;エンティティ一覧!$O$2&amp;"."&amp;D$8&amp;"."&amp;D568&amp;" IS '"&amp;C568&amp;"';"</f>
        <v>COMMENT ON COLUMN milscm_2023_009.main_diagnosis_start_date.shikkan560_start_date IS 'G460_疾患開始日';</v>
      </c>
    </row>
    <row r="569" spans="1:45" s="25" customFormat="1">
      <c r="A569" s="4" t="s">
        <v>5652</v>
      </c>
      <c r="B569" s="21">
        <f t="shared" si="62"/>
        <v>567</v>
      </c>
      <c r="C569" s="13" t="str">
        <f t="shared" si="70"/>
        <v>G461_疾患開始日</v>
      </c>
      <c r="D569" s="13" t="s">
        <v>6221</v>
      </c>
      <c r="E569" s="8"/>
      <c r="F569" s="7" t="s">
        <v>4348</v>
      </c>
      <c r="G569" s="7" t="s">
        <v>25</v>
      </c>
      <c r="H569" s="58"/>
      <c r="I569" s="23"/>
      <c r="J569" s="24"/>
      <c r="M569" s="4"/>
      <c r="N569" s="76"/>
      <c r="O569" s="76"/>
      <c r="P569" s="76" t="str">
        <f t="shared" si="63"/>
        <v>,shikkan561_start_date</v>
      </c>
      <c r="Q569" s="76" t="str">
        <f t="shared" si="64"/>
        <v>DATE</v>
      </c>
      <c r="R569" s="76" t="str">
        <f t="shared" si="65"/>
        <v/>
      </c>
      <c r="S569" s="76" t="str">
        <f t="shared" si="66"/>
        <v/>
      </c>
      <c r="T569" s="76" t="str">
        <f t="shared" si="67"/>
        <v>-- G461_疾患開始日</v>
      </c>
      <c r="U569" s="4" t="str">
        <f t="shared" si="68"/>
        <v>,'shikkan561_start_date'</v>
      </c>
      <c r="V569" s="25" t="str">
        <f t="shared" si="69"/>
        <v>,'shikkan561_start_date' : 'G461_疾患開始日'</v>
      </c>
      <c r="X569" s="25">
        <v>1</v>
      </c>
      <c r="AA569" s="4"/>
      <c r="AB569" s="4"/>
      <c r="AC569" s="4"/>
      <c r="AD569" s="4"/>
      <c r="AE569" s="4"/>
      <c r="AF569" s="4"/>
      <c r="AG569" s="4"/>
      <c r="AH569" s="4"/>
      <c r="AI569" s="4"/>
      <c r="AJ569" s="76" t="str">
        <f>IF(E569="○",IF(COUNTA(E$13:E569)=1,"",",")&amp;D569,"")</f>
        <v/>
      </c>
      <c r="AK569" s="4"/>
      <c r="AL569" s="4"/>
      <c r="AM569" s="4"/>
      <c r="AN569" s="4"/>
      <c r="AO569" s="4"/>
      <c r="AP569" s="4"/>
      <c r="AQ569" s="4"/>
      <c r="AR569" s="4"/>
      <c r="AS569" s="76" t="str">
        <f>"COMMENT ON COLUMN "&amp;エンティティ一覧!$O$2&amp;"."&amp;D$8&amp;"."&amp;D569&amp;" IS '"&amp;C569&amp;"';"</f>
        <v>COMMENT ON COLUMN milscm_2023_009.main_diagnosis_start_date.shikkan561_start_date IS 'G461_疾患開始日';</v>
      </c>
    </row>
    <row r="570" spans="1:45" s="25" customFormat="1">
      <c r="A570" s="4" t="s">
        <v>5653</v>
      </c>
      <c r="B570" s="21">
        <f t="shared" si="62"/>
        <v>568</v>
      </c>
      <c r="C570" s="13" t="str">
        <f t="shared" si="70"/>
        <v>G462_疾患開始日</v>
      </c>
      <c r="D570" s="13" t="s">
        <v>6222</v>
      </c>
      <c r="E570" s="8"/>
      <c r="F570" s="7" t="s">
        <v>4348</v>
      </c>
      <c r="G570" s="7" t="s">
        <v>25</v>
      </c>
      <c r="H570" s="58"/>
      <c r="I570" s="23"/>
      <c r="J570" s="24"/>
      <c r="M570" s="4"/>
      <c r="N570" s="76"/>
      <c r="O570" s="76"/>
      <c r="P570" s="76" t="str">
        <f t="shared" si="63"/>
        <v>,shikkan562_start_date</v>
      </c>
      <c r="Q570" s="76" t="str">
        <f t="shared" si="64"/>
        <v>DATE</v>
      </c>
      <c r="R570" s="76" t="str">
        <f t="shared" si="65"/>
        <v/>
      </c>
      <c r="S570" s="76" t="str">
        <f t="shared" si="66"/>
        <v/>
      </c>
      <c r="T570" s="76" t="str">
        <f t="shared" si="67"/>
        <v>-- G462_疾患開始日</v>
      </c>
      <c r="U570" s="4" t="str">
        <f t="shared" si="68"/>
        <v>,'shikkan562_start_date'</v>
      </c>
      <c r="V570" s="25" t="str">
        <f t="shared" si="69"/>
        <v>,'shikkan562_start_date' : 'G462_疾患開始日'</v>
      </c>
      <c r="X570" s="25">
        <v>1</v>
      </c>
      <c r="AA570" s="4"/>
      <c r="AB570" s="4"/>
      <c r="AC570" s="4"/>
      <c r="AD570" s="4"/>
      <c r="AE570" s="4"/>
      <c r="AF570" s="4"/>
      <c r="AG570" s="4"/>
      <c r="AH570" s="4"/>
      <c r="AI570" s="4"/>
      <c r="AJ570" s="76" t="str">
        <f>IF(E570="○",IF(COUNTA(E$13:E570)=1,"",",")&amp;D570,"")</f>
        <v/>
      </c>
      <c r="AK570" s="4"/>
      <c r="AL570" s="4"/>
      <c r="AM570" s="4"/>
      <c r="AN570" s="4"/>
      <c r="AO570" s="4"/>
      <c r="AP570" s="4"/>
      <c r="AQ570" s="4"/>
      <c r="AR570" s="4"/>
      <c r="AS570" s="76" t="str">
        <f>"COMMENT ON COLUMN "&amp;エンティティ一覧!$O$2&amp;"."&amp;D$8&amp;"."&amp;D570&amp;" IS '"&amp;C570&amp;"';"</f>
        <v>COMMENT ON COLUMN milscm_2023_009.main_diagnosis_start_date.shikkan562_start_date IS 'G462_疾患開始日';</v>
      </c>
    </row>
    <row r="571" spans="1:45" s="25" customFormat="1">
      <c r="A571" s="4" t="s">
        <v>5654</v>
      </c>
      <c r="B571" s="21">
        <f t="shared" si="62"/>
        <v>569</v>
      </c>
      <c r="C571" s="13" t="str">
        <f t="shared" si="70"/>
        <v>G463_疾患開始日</v>
      </c>
      <c r="D571" s="13" t="s">
        <v>6223</v>
      </c>
      <c r="E571" s="8"/>
      <c r="F571" s="7" t="s">
        <v>4348</v>
      </c>
      <c r="G571" s="7" t="s">
        <v>25</v>
      </c>
      <c r="H571" s="58"/>
      <c r="I571" s="23"/>
      <c r="J571" s="24"/>
      <c r="M571" s="4"/>
      <c r="N571" s="76"/>
      <c r="O571" s="76"/>
      <c r="P571" s="76" t="str">
        <f t="shared" si="63"/>
        <v>,shikkan563_start_date</v>
      </c>
      <c r="Q571" s="76" t="str">
        <f t="shared" si="64"/>
        <v>DATE</v>
      </c>
      <c r="R571" s="76" t="str">
        <f t="shared" si="65"/>
        <v/>
      </c>
      <c r="S571" s="76" t="str">
        <f t="shared" si="66"/>
        <v/>
      </c>
      <c r="T571" s="76" t="str">
        <f t="shared" si="67"/>
        <v>-- G463_疾患開始日</v>
      </c>
      <c r="U571" s="4" t="str">
        <f t="shared" si="68"/>
        <v>,'shikkan563_start_date'</v>
      </c>
      <c r="V571" s="25" t="str">
        <f t="shared" si="69"/>
        <v>,'shikkan563_start_date' : 'G463_疾患開始日'</v>
      </c>
      <c r="X571" s="25">
        <v>1</v>
      </c>
      <c r="AA571" s="4"/>
      <c r="AB571" s="4"/>
      <c r="AC571" s="4"/>
      <c r="AD571" s="4"/>
      <c r="AE571" s="4"/>
      <c r="AF571" s="4"/>
      <c r="AG571" s="4"/>
      <c r="AH571" s="4"/>
      <c r="AI571" s="4"/>
      <c r="AJ571" s="76" t="str">
        <f>IF(E571="○",IF(COUNTA(E$13:E571)=1,"",",")&amp;D571,"")</f>
        <v/>
      </c>
      <c r="AK571" s="4"/>
      <c r="AL571" s="4"/>
      <c r="AM571" s="4"/>
      <c r="AN571" s="4"/>
      <c r="AO571" s="4"/>
      <c r="AP571" s="4"/>
      <c r="AQ571" s="4"/>
      <c r="AR571" s="4"/>
      <c r="AS571" s="76" t="str">
        <f>"COMMENT ON COLUMN "&amp;エンティティ一覧!$O$2&amp;"."&amp;D$8&amp;"."&amp;D571&amp;" IS '"&amp;C571&amp;"';"</f>
        <v>COMMENT ON COLUMN milscm_2023_009.main_diagnosis_start_date.shikkan563_start_date IS 'G463_疾患開始日';</v>
      </c>
    </row>
    <row r="572" spans="1:45" s="25" customFormat="1">
      <c r="A572" s="4" t="s">
        <v>5655</v>
      </c>
      <c r="B572" s="21">
        <f t="shared" si="62"/>
        <v>570</v>
      </c>
      <c r="C572" s="13" t="str">
        <f t="shared" si="70"/>
        <v>G464_疾患開始日</v>
      </c>
      <c r="D572" s="13" t="s">
        <v>6224</v>
      </c>
      <c r="E572" s="8"/>
      <c r="F572" s="7" t="s">
        <v>4348</v>
      </c>
      <c r="G572" s="7" t="s">
        <v>25</v>
      </c>
      <c r="H572" s="58"/>
      <c r="I572" s="23"/>
      <c r="J572" s="24"/>
      <c r="M572" s="4"/>
      <c r="N572" s="76"/>
      <c r="O572" s="76"/>
      <c r="P572" s="76" t="str">
        <f t="shared" si="63"/>
        <v>,shikkan564_start_date</v>
      </c>
      <c r="Q572" s="76" t="str">
        <f t="shared" si="64"/>
        <v>DATE</v>
      </c>
      <c r="R572" s="76" t="str">
        <f t="shared" si="65"/>
        <v/>
      </c>
      <c r="S572" s="76" t="str">
        <f t="shared" si="66"/>
        <v/>
      </c>
      <c r="T572" s="76" t="str">
        <f t="shared" si="67"/>
        <v>-- G464_疾患開始日</v>
      </c>
      <c r="U572" s="4" t="str">
        <f t="shared" si="68"/>
        <v>,'shikkan564_start_date'</v>
      </c>
      <c r="V572" s="25" t="str">
        <f t="shared" si="69"/>
        <v>,'shikkan564_start_date' : 'G464_疾患開始日'</v>
      </c>
      <c r="X572" s="25">
        <v>1</v>
      </c>
      <c r="AA572" s="4"/>
      <c r="AB572" s="4"/>
      <c r="AC572" s="4"/>
      <c r="AD572" s="4"/>
      <c r="AE572" s="4"/>
      <c r="AF572" s="4"/>
      <c r="AG572" s="4"/>
      <c r="AH572" s="4"/>
      <c r="AI572" s="4"/>
      <c r="AJ572" s="76" t="str">
        <f>IF(E572="○",IF(COUNTA(E$13:E572)=1,"",",")&amp;D572,"")</f>
        <v/>
      </c>
      <c r="AK572" s="4"/>
      <c r="AL572" s="4"/>
      <c r="AM572" s="4"/>
      <c r="AN572" s="4"/>
      <c r="AO572" s="4"/>
      <c r="AP572" s="4"/>
      <c r="AQ572" s="4"/>
      <c r="AR572" s="4"/>
      <c r="AS572" s="76" t="str">
        <f>"COMMENT ON COLUMN "&amp;エンティティ一覧!$O$2&amp;"."&amp;D$8&amp;"."&amp;D572&amp;" IS '"&amp;C572&amp;"';"</f>
        <v>COMMENT ON COLUMN milscm_2023_009.main_diagnosis_start_date.shikkan564_start_date IS 'G464_疾患開始日';</v>
      </c>
    </row>
    <row r="573" spans="1:45" s="25" customFormat="1">
      <c r="A573" s="4" t="s">
        <v>5656</v>
      </c>
      <c r="B573" s="21">
        <f t="shared" si="62"/>
        <v>571</v>
      </c>
      <c r="C573" s="13" t="str">
        <f t="shared" si="70"/>
        <v>G465_疾患開始日</v>
      </c>
      <c r="D573" s="13" t="s">
        <v>6225</v>
      </c>
      <c r="E573" s="8"/>
      <c r="F573" s="7" t="s">
        <v>4348</v>
      </c>
      <c r="G573" s="7" t="s">
        <v>25</v>
      </c>
      <c r="H573" s="58"/>
      <c r="I573" s="23"/>
      <c r="J573" s="24"/>
      <c r="M573" s="4"/>
      <c r="N573" s="76"/>
      <c r="O573" s="76"/>
      <c r="P573" s="76" t="str">
        <f t="shared" si="63"/>
        <v>,shikkan565_start_date</v>
      </c>
      <c r="Q573" s="76" t="str">
        <f t="shared" si="64"/>
        <v>DATE</v>
      </c>
      <c r="R573" s="76" t="str">
        <f t="shared" si="65"/>
        <v/>
      </c>
      <c r="S573" s="76" t="str">
        <f t="shared" si="66"/>
        <v/>
      </c>
      <c r="T573" s="76" t="str">
        <f t="shared" si="67"/>
        <v>-- G465_疾患開始日</v>
      </c>
      <c r="U573" s="4" t="str">
        <f t="shared" si="68"/>
        <v>,'shikkan565_start_date'</v>
      </c>
      <c r="V573" s="25" t="str">
        <f t="shared" si="69"/>
        <v>,'shikkan565_start_date' : 'G465_疾患開始日'</v>
      </c>
      <c r="X573" s="25">
        <v>1</v>
      </c>
      <c r="AA573" s="4"/>
      <c r="AB573" s="4"/>
      <c r="AC573" s="4"/>
      <c r="AD573" s="4"/>
      <c r="AE573" s="4"/>
      <c r="AF573" s="4"/>
      <c r="AG573" s="4"/>
      <c r="AH573" s="4"/>
      <c r="AI573" s="4"/>
      <c r="AJ573" s="76" t="str">
        <f>IF(E573="○",IF(COUNTA(E$13:E573)=1,"",",")&amp;D573,"")</f>
        <v/>
      </c>
      <c r="AK573" s="4"/>
      <c r="AL573" s="4"/>
      <c r="AM573" s="4"/>
      <c r="AN573" s="4"/>
      <c r="AO573" s="4"/>
      <c r="AP573" s="4"/>
      <c r="AQ573" s="4"/>
      <c r="AR573" s="4"/>
      <c r="AS573" s="76" t="str">
        <f>"COMMENT ON COLUMN "&amp;エンティティ一覧!$O$2&amp;"."&amp;D$8&amp;"."&amp;D573&amp;" IS '"&amp;C573&amp;"';"</f>
        <v>COMMENT ON COLUMN milscm_2023_009.main_diagnosis_start_date.shikkan565_start_date IS 'G465_疾患開始日';</v>
      </c>
    </row>
    <row r="574" spans="1:45" s="25" customFormat="1">
      <c r="A574" s="4" t="s">
        <v>5657</v>
      </c>
      <c r="B574" s="21">
        <f t="shared" si="62"/>
        <v>572</v>
      </c>
      <c r="C574" s="13" t="str">
        <f t="shared" si="70"/>
        <v>G466_疾患開始日</v>
      </c>
      <c r="D574" s="13" t="s">
        <v>6226</v>
      </c>
      <c r="E574" s="8"/>
      <c r="F574" s="7" t="s">
        <v>4348</v>
      </c>
      <c r="G574" s="7" t="s">
        <v>25</v>
      </c>
      <c r="H574" s="58"/>
      <c r="I574" s="23"/>
      <c r="J574" s="24"/>
      <c r="M574" s="4"/>
      <c r="N574" s="76"/>
      <c r="O574" s="76"/>
      <c r="P574" s="76" t="str">
        <f t="shared" si="63"/>
        <v>,shikkan566_start_date</v>
      </c>
      <c r="Q574" s="76" t="str">
        <f t="shared" si="64"/>
        <v>DATE</v>
      </c>
      <c r="R574" s="76" t="str">
        <f t="shared" si="65"/>
        <v/>
      </c>
      <c r="S574" s="76" t="str">
        <f t="shared" si="66"/>
        <v/>
      </c>
      <c r="T574" s="76" t="str">
        <f t="shared" si="67"/>
        <v>-- G466_疾患開始日</v>
      </c>
      <c r="U574" s="4" t="str">
        <f t="shared" si="68"/>
        <v>,'shikkan566_start_date'</v>
      </c>
      <c r="V574" s="25" t="str">
        <f t="shared" si="69"/>
        <v>,'shikkan566_start_date' : 'G466_疾患開始日'</v>
      </c>
      <c r="X574" s="25">
        <v>1</v>
      </c>
      <c r="AA574" s="4"/>
      <c r="AB574" s="4"/>
      <c r="AC574" s="4"/>
      <c r="AD574" s="4"/>
      <c r="AE574" s="4"/>
      <c r="AF574" s="4"/>
      <c r="AG574" s="4"/>
      <c r="AH574" s="4"/>
      <c r="AI574" s="4"/>
      <c r="AJ574" s="76" t="str">
        <f>IF(E574="○",IF(COUNTA(E$13:E574)=1,"",",")&amp;D574,"")</f>
        <v/>
      </c>
      <c r="AK574" s="4"/>
      <c r="AL574" s="4"/>
      <c r="AM574" s="4"/>
      <c r="AN574" s="4"/>
      <c r="AO574" s="4"/>
      <c r="AP574" s="4"/>
      <c r="AQ574" s="4"/>
      <c r="AR574" s="4"/>
      <c r="AS574" s="76" t="str">
        <f>"COMMENT ON COLUMN "&amp;エンティティ一覧!$O$2&amp;"."&amp;D$8&amp;"."&amp;D574&amp;" IS '"&amp;C574&amp;"';"</f>
        <v>COMMENT ON COLUMN milscm_2023_009.main_diagnosis_start_date.shikkan566_start_date IS 'G466_疾患開始日';</v>
      </c>
    </row>
    <row r="575" spans="1:45" s="25" customFormat="1">
      <c r="A575" s="4" t="s">
        <v>5658</v>
      </c>
      <c r="B575" s="21">
        <f t="shared" si="62"/>
        <v>573</v>
      </c>
      <c r="C575" s="13" t="str">
        <f t="shared" si="70"/>
        <v>G467_疾患開始日</v>
      </c>
      <c r="D575" s="13" t="s">
        <v>6227</v>
      </c>
      <c r="E575" s="8"/>
      <c r="F575" s="7" t="s">
        <v>4348</v>
      </c>
      <c r="G575" s="7" t="s">
        <v>25</v>
      </c>
      <c r="H575" s="58"/>
      <c r="I575" s="23"/>
      <c r="J575" s="24"/>
      <c r="M575" s="4"/>
      <c r="N575" s="76"/>
      <c r="O575" s="76"/>
      <c r="P575" s="76" t="str">
        <f t="shared" si="63"/>
        <v>,shikkan567_start_date</v>
      </c>
      <c r="Q575" s="76" t="str">
        <f t="shared" si="64"/>
        <v>DATE</v>
      </c>
      <c r="R575" s="76" t="str">
        <f t="shared" si="65"/>
        <v/>
      </c>
      <c r="S575" s="76" t="str">
        <f t="shared" si="66"/>
        <v/>
      </c>
      <c r="T575" s="76" t="str">
        <f t="shared" si="67"/>
        <v>-- G467_疾患開始日</v>
      </c>
      <c r="U575" s="4" t="str">
        <f t="shared" si="68"/>
        <v>,'shikkan567_start_date'</v>
      </c>
      <c r="V575" s="25" t="str">
        <f t="shared" si="69"/>
        <v>,'shikkan567_start_date' : 'G467_疾患開始日'</v>
      </c>
      <c r="X575" s="25">
        <v>1</v>
      </c>
      <c r="AA575" s="4"/>
      <c r="AB575" s="4"/>
      <c r="AC575" s="4"/>
      <c r="AD575" s="4"/>
      <c r="AE575" s="4"/>
      <c r="AF575" s="4"/>
      <c r="AG575" s="4"/>
      <c r="AH575" s="4"/>
      <c r="AI575" s="4"/>
      <c r="AJ575" s="76" t="str">
        <f>IF(E575="○",IF(COUNTA(E$13:E575)=1,"",",")&amp;D575,"")</f>
        <v/>
      </c>
      <c r="AK575" s="4"/>
      <c r="AL575" s="4"/>
      <c r="AM575" s="4"/>
      <c r="AN575" s="4"/>
      <c r="AO575" s="4"/>
      <c r="AP575" s="4"/>
      <c r="AQ575" s="4"/>
      <c r="AR575" s="4"/>
      <c r="AS575" s="76" t="str">
        <f>"COMMENT ON COLUMN "&amp;エンティティ一覧!$O$2&amp;"."&amp;D$8&amp;"."&amp;D575&amp;" IS '"&amp;C575&amp;"';"</f>
        <v>COMMENT ON COLUMN milscm_2023_009.main_diagnosis_start_date.shikkan567_start_date IS 'G467_疾患開始日';</v>
      </c>
    </row>
    <row r="576" spans="1:45" s="25" customFormat="1">
      <c r="A576" s="4" t="s">
        <v>5659</v>
      </c>
      <c r="B576" s="21">
        <f t="shared" si="62"/>
        <v>574</v>
      </c>
      <c r="C576" s="13" t="str">
        <f t="shared" si="70"/>
        <v>G468_疾患開始日</v>
      </c>
      <c r="D576" s="13" t="s">
        <v>6228</v>
      </c>
      <c r="E576" s="8"/>
      <c r="F576" s="7" t="s">
        <v>4348</v>
      </c>
      <c r="G576" s="7" t="s">
        <v>25</v>
      </c>
      <c r="H576" s="58"/>
      <c r="I576" s="23"/>
      <c r="J576" s="24"/>
      <c r="M576" s="4"/>
      <c r="N576" s="76"/>
      <c r="O576" s="76"/>
      <c r="P576" s="76" t="str">
        <f t="shared" si="63"/>
        <v>,shikkan568_start_date</v>
      </c>
      <c r="Q576" s="76" t="str">
        <f t="shared" si="64"/>
        <v>DATE</v>
      </c>
      <c r="R576" s="76" t="str">
        <f t="shared" si="65"/>
        <v/>
      </c>
      <c r="S576" s="76" t="str">
        <f t="shared" si="66"/>
        <v/>
      </c>
      <c r="T576" s="76" t="str">
        <f t="shared" si="67"/>
        <v>-- G468_疾患開始日</v>
      </c>
      <c r="U576" s="4" t="str">
        <f t="shared" si="68"/>
        <v>,'shikkan568_start_date'</v>
      </c>
      <c r="V576" s="25" t="str">
        <f t="shared" si="69"/>
        <v>,'shikkan568_start_date' : 'G468_疾患開始日'</v>
      </c>
      <c r="X576" s="25">
        <v>1</v>
      </c>
      <c r="AA576" s="4"/>
      <c r="AB576" s="4"/>
      <c r="AC576" s="4"/>
      <c r="AD576" s="4"/>
      <c r="AE576" s="4"/>
      <c r="AF576" s="4"/>
      <c r="AG576" s="4"/>
      <c r="AH576" s="4"/>
      <c r="AI576" s="4"/>
      <c r="AJ576" s="76" t="str">
        <f>IF(E576="○",IF(COUNTA(E$13:E576)=1,"",",")&amp;D576,"")</f>
        <v/>
      </c>
      <c r="AK576" s="4"/>
      <c r="AL576" s="4"/>
      <c r="AM576" s="4"/>
      <c r="AN576" s="4"/>
      <c r="AO576" s="4"/>
      <c r="AP576" s="4"/>
      <c r="AQ576" s="4"/>
      <c r="AR576" s="4"/>
      <c r="AS576" s="76" t="str">
        <f>"COMMENT ON COLUMN "&amp;エンティティ一覧!$O$2&amp;"."&amp;D$8&amp;"."&amp;D576&amp;" IS '"&amp;C576&amp;"';"</f>
        <v>COMMENT ON COLUMN milscm_2023_009.main_diagnosis_start_date.shikkan568_start_date IS 'G468_疾患開始日';</v>
      </c>
    </row>
    <row r="577" spans="1:45" s="25" customFormat="1">
      <c r="A577" s="4" t="s">
        <v>5660</v>
      </c>
      <c r="B577" s="21">
        <f t="shared" si="62"/>
        <v>575</v>
      </c>
      <c r="C577" s="13" t="str">
        <f t="shared" si="70"/>
        <v>G801_疾患開始日</v>
      </c>
      <c r="D577" s="13" t="s">
        <v>6229</v>
      </c>
      <c r="E577" s="8"/>
      <c r="F577" s="7" t="s">
        <v>4348</v>
      </c>
      <c r="G577" s="7" t="s">
        <v>25</v>
      </c>
      <c r="H577" s="58"/>
      <c r="I577" s="23"/>
      <c r="J577" s="24"/>
      <c r="M577" s="4"/>
      <c r="N577" s="76"/>
      <c r="O577" s="76"/>
      <c r="P577" s="76" t="str">
        <f t="shared" si="63"/>
        <v>,shikkan569_start_date</v>
      </c>
      <c r="Q577" s="76" t="str">
        <f t="shared" si="64"/>
        <v>DATE</v>
      </c>
      <c r="R577" s="76" t="str">
        <f t="shared" si="65"/>
        <v/>
      </c>
      <c r="S577" s="76" t="str">
        <f t="shared" si="66"/>
        <v/>
      </c>
      <c r="T577" s="76" t="str">
        <f t="shared" si="67"/>
        <v>-- G801_疾患開始日</v>
      </c>
      <c r="U577" s="4" t="str">
        <f t="shared" si="68"/>
        <v>,'shikkan569_start_date'</v>
      </c>
      <c r="V577" s="25" t="str">
        <f t="shared" si="69"/>
        <v>,'shikkan569_start_date' : 'G801_疾患開始日'</v>
      </c>
      <c r="X577" s="25">
        <v>1</v>
      </c>
      <c r="AA577" s="4"/>
      <c r="AB577" s="4"/>
      <c r="AC577" s="4"/>
      <c r="AD577" s="4"/>
      <c r="AE577" s="4"/>
      <c r="AF577" s="4"/>
      <c r="AG577" s="4"/>
      <c r="AH577" s="4"/>
      <c r="AI577" s="4"/>
      <c r="AJ577" s="76" t="str">
        <f>IF(E577="○",IF(COUNTA(E$13:E577)=1,"",",")&amp;D577,"")</f>
        <v/>
      </c>
      <c r="AK577" s="4"/>
      <c r="AL577" s="4"/>
      <c r="AM577" s="4"/>
      <c r="AN577" s="4"/>
      <c r="AO577" s="4"/>
      <c r="AP577" s="4"/>
      <c r="AQ577" s="4"/>
      <c r="AR577" s="4"/>
      <c r="AS577" s="76" t="str">
        <f>"COMMENT ON COLUMN "&amp;エンティティ一覧!$O$2&amp;"."&amp;D$8&amp;"."&amp;D577&amp;" IS '"&amp;C577&amp;"';"</f>
        <v>COMMENT ON COLUMN milscm_2023_009.main_diagnosis_start_date.shikkan569_start_date IS 'G801_疾患開始日';</v>
      </c>
    </row>
    <row r="578" spans="1:45" s="25" customFormat="1">
      <c r="A578" s="4" t="s">
        <v>5661</v>
      </c>
      <c r="B578" s="21">
        <f t="shared" si="62"/>
        <v>576</v>
      </c>
      <c r="C578" s="13" t="str">
        <f t="shared" si="70"/>
        <v>G802_疾患開始日</v>
      </c>
      <c r="D578" s="13" t="s">
        <v>6230</v>
      </c>
      <c r="E578" s="8"/>
      <c r="F578" s="7" t="s">
        <v>4348</v>
      </c>
      <c r="G578" s="7" t="s">
        <v>25</v>
      </c>
      <c r="H578" s="58"/>
      <c r="I578" s="23"/>
      <c r="J578" s="24"/>
      <c r="M578" s="4"/>
      <c r="N578" s="76"/>
      <c r="O578" s="76"/>
      <c r="P578" s="76" t="str">
        <f t="shared" si="63"/>
        <v>,shikkan570_start_date</v>
      </c>
      <c r="Q578" s="76" t="str">
        <f t="shared" si="64"/>
        <v>DATE</v>
      </c>
      <c r="R578" s="76" t="str">
        <f t="shared" si="65"/>
        <v/>
      </c>
      <c r="S578" s="76" t="str">
        <f t="shared" si="66"/>
        <v/>
      </c>
      <c r="T578" s="76" t="str">
        <f t="shared" si="67"/>
        <v>-- G802_疾患開始日</v>
      </c>
      <c r="U578" s="4" t="str">
        <f t="shared" si="68"/>
        <v>,'shikkan570_start_date'</v>
      </c>
      <c r="V578" s="25" t="str">
        <f t="shared" si="69"/>
        <v>,'shikkan570_start_date' : 'G802_疾患開始日'</v>
      </c>
      <c r="X578" s="25">
        <v>1</v>
      </c>
      <c r="AA578" s="4"/>
      <c r="AB578" s="4"/>
      <c r="AC578" s="4"/>
      <c r="AD578" s="4"/>
      <c r="AE578" s="4"/>
      <c r="AF578" s="4"/>
      <c r="AG578" s="4"/>
      <c r="AH578" s="4"/>
      <c r="AI578" s="4"/>
      <c r="AJ578" s="76" t="str">
        <f>IF(E578="○",IF(COUNTA(E$13:E578)=1,"",",")&amp;D578,"")</f>
        <v/>
      </c>
      <c r="AK578" s="4"/>
      <c r="AL578" s="4"/>
      <c r="AM578" s="4"/>
      <c r="AN578" s="4"/>
      <c r="AO578" s="4"/>
      <c r="AP578" s="4"/>
      <c r="AQ578" s="4"/>
      <c r="AR578" s="4"/>
      <c r="AS578" s="76" t="str">
        <f>"COMMENT ON COLUMN "&amp;エンティティ一覧!$O$2&amp;"."&amp;D$8&amp;"."&amp;D578&amp;" IS '"&amp;C578&amp;"';"</f>
        <v>COMMENT ON COLUMN milscm_2023_009.main_diagnosis_start_date.shikkan570_start_date IS 'G802_疾患開始日';</v>
      </c>
    </row>
    <row r="579" spans="1:45" s="25" customFormat="1">
      <c r="A579" s="4" t="s">
        <v>5662</v>
      </c>
      <c r="B579" s="21">
        <f t="shared" si="62"/>
        <v>577</v>
      </c>
      <c r="C579" s="13" t="str">
        <f t="shared" si="70"/>
        <v>G810_疾患開始日</v>
      </c>
      <c r="D579" s="13" t="s">
        <v>6231</v>
      </c>
      <c r="E579" s="8"/>
      <c r="F579" s="7" t="s">
        <v>4348</v>
      </c>
      <c r="G579" s="7" t="s">
        <v>25</v>
      </c>
      <c r="H579" s="58"/>
      <c r="I579" s="23"/>
      <c r="J579" s="24"/>
      <c r="M579" s="4"/>
      <c r="N579" s="76"/>
      <c r="O579" s="76"/>
      <c r="P579" s="76" t="str">
        <f t="shared" si="63"/>
        <v>,shikkan571_start_date</v>
      </c>
      <c r="Q579" s="76" t="str">
        <f t="shared" si="64"/>
        <v>DATE</v>
      </c>
      <c r="R579" s="76" t="str">
        <f t="shared" si="65"/>
        <v/>
      </c>
      <c r="S579" s="76" t="str">
        <f t="shared" si="66"/>
        <v/>
      </c>
      <c r="T579" s="76" t="str">
        <f t="shared" si="67"/>
        <v>-- G810_疾患開始日</v>
      </c>
      <c r="U579" s="4" t="str">
        <f t="shared" si="68"/>
        <v>,'shikkan571_start_date'</v>
      </c>
      <c r="V579" s="25" t="str">
        <f t="shared" si="69"/>
        <v>,'shikkan571_start_date' : 'G810_疾患開始日'</v>
      </c>
      <c r="X579" s="25">
        <v>1</v>
      </c>
      <c r="AA579" s="4"/>
      <c r="AB579" s="4"/>
      <c r="AC579" s="4"/>
      <c r="AD579" s="4"/>
      <c r="AE579" s="4"/>
      <c r="AF579" s="4"/>
      <c r="AG579" s="4"/>
      <c r="AH579" s="4"/>
      <c r="AI579" s="4"/>
      <c r="AJ579" s="76" t="str">
        <f>IF(E579="○",IF(COUNTA(E$13:E579)=1,"",",")&amp;D579,"")</f>
        <v/>
      </c>
      <c r="AK579" s="4"/>
      <c r="AL579" s="4"/>
      <c r="AM579" s="4"/>
      <c r="AN579" s="4"/>
      <c r="AO579" s="4"/>
      <c r="AP579" s="4"/>
      <c r="AQ579" s="4"/>
      <c r="AR579" s="4"/>
      <c r="AS579" s="76" t="str">
        <f>"COMMENT ON COLUMN "&amp;エンティティ一覧!$O$2&amp;"."&amp;D$8&amp;"."&amp;D579&amp;" IS '"&amp;C579&amp;"';"</f>
        <v>COMMENT ON COLUMN milscm_2023_009.main_diagnosis_start_date.shikkan571_start_date IS 'G810_疾患開始日';</v>
      </c>
    </row>
    <row r="580" spans="1:45" s="25" customFormat="1">
      <c r="A580" s="4" t="s">
        <v>5663</v>
      </c>
      <c r="B580" s="21">
        <f t="shared" ref="B580:B643" si="71">ROW()-2</f>
        <v>578</v>
      </c>
      <c r="C580" s="13" t="str">
        <f t="shared" si="70"/>
        <v>G811_疾患開始日</v>
      </c>
      <c r="D580" s="13" t="s">
        <v>6232</v>
      </c>
      <c r="E580" s="8"/>
      <c r="F580" s="7" t="s">
        <v>4348</v>
      </c>
      <c r="G580" s="7" t="s">
        <v>25</v>
      </c>
      <c r="H580" s="58"/>
      <c r="I580" s="23"/>
      <c r="J580" s="24"/>
      <c r="M580" s="4"/>
      <c r="N580" s="76"/>
      <c r="O580" s="76"/>
      <c r="P580" s="76" t="str">
        <f t="shared" si="63"/>
        <v>,shikkan572_start_date</v>
      </c>
      <c r="Q580" s="76" t="str">
        <f t="shared" si="64"/>
        <v>DATE</v>
      </c>
      <c r="R580" s="76" t="str">
        <f t="shared" si="65"/>
        <v/>
      </c>
      <c r="S580" s="76" t="str">
        <f t="shared" si="66"/>
        <v/>
      </c>
      <c r="T580" s="76" t="str">
        <f t="shared" si="67"/>
        <v>-- G811_疾患開始日</v>
      </c>
      <c r="U580" s="4" t="str">
        <f t="shared" si="68"/>
        <v>,'shikkan572_start_date'</v>
      </c>
      <c r="V580" s="25" t="str">
        <f t="shared" si="69"/>
        <v>,'shikkan572_start_date' : 'G811_疾患開始日'</v>
      </c>
      <c r="X580" s="25">
        <v>1</v>
      </c>
      <c r="AA580" s="4"/>
      <c r="AB580" s="4"/>
      <c r="AC580" s="4"/>
      <c r="AD580" s="4"/>
      <c r="AE580" s="4"/>
      <c r="AF580" s="4"/>
      <c r="AG580" s="4"/>
      <c r="AH580" s="4"/>
      <c r="AI580" s="4"/>
      <c r="AJ580" s="76" t="str">
        <f>IF(E580="○",IF(COUNTA(E$13:E580)=1,"",",")&amp;D580,"")</f>
        <v/>
      </c>
      <c r="AK580" s="4"/>
      <c r="AL580" s="4"/>
      <c r="AM580" s="4"/>
      <c r="AN580" s="4"/>
      <c r="AO580" s="4"/>
      <c r="AP580" s="4"/>
      <c r="AQ580" s="4"/>
      <c r="AR580" s="4"/>
      <c r="AS580" s="76" t="str">
        <f>"COMMENT ON COLUMN "&amp;エンティティ一覧!$O$2&amp;"."&amp;D$8&amp;"."&amp;D580&amp;" IS '"&amp;C580&amp;"';"</f>
        <v>COMMENT ON COLUMN milscm_2023_009.main_diagnosis_start_date.shikkan572_start_date IS 'G811_疾患開始日';</v>
      </c>
    </row>
    <row r="581" spans="1:45" s="25" customFormat="1">
      <c r="A581" s="4" t="s">
        <v>5664</v>
      </c>
      <c r="B581" s="21">
        <f t="shared" si="71"/>
        <v>579</v>
      </c>
      <c r="C581" s="13" t="str">
        <f t="shared" si="70"/>
        <v>G819_疾患開始日</v>
      </c>
      <c r="D581" s="13" t="s">
        <v>6233</v>
      </c>
      <c r="E581" s="8"/>
      <c r="F581" s="7" t="s">
        <v>4348</v>
      </c>
      <c r="G581" s="7" t="s">
        <v>25</v>
      </c>
      <c r="H581" s="58"/>
      <c r="I581" s="23"/>
      <c r="J581" s="24"/>
      <c r="M581" s="4"/>
      <c r="N581" s="76"/>
      <c r="O581" s="76"/>
      <c r="P581" s="76" t="str">
        <f t="shared" si="63"/>
        <v>,shikkan573_start_date</v>
      </c>
      <c r="Q581" s="76" t="str">
        <f t="shared" si="64"/>
        <v>DATE</v>
      </c>
      <c r="R581" s="76" t="str">
        <f t="shared" si="65"/>
        <v/>
      </c>
      <c r="S581" s="76" t="str">
        <f t="shared" si="66"/>
        <v/>
      </c>
      <c r="T581" s="76" t="str">
        <f t="shared" si="67"/>
        <v>-- G819_疾患開始日</v>
      </c>
      <c r="U581" s="4" t="str">
        <f t="shared" si="68"/>
        <v>,'shikkan573_start_date'</v>
      </c>
      <c r="V581" s="25" t="str">
        <f t="shared" si="69"/>
        <v>,'shikkan573_start_date' : 'G819_疾患開始日'</v>
      </c>
      <c r="X581" s="25">
        <v>1</v>
      </c>
      <c r="AA581" s="4"/>
      <c r="AB581" s="4"/>
      <c r="AC581" s="4"/>
      <c r="AD581" s="4"/>
      <c r="AE581" s="4"/>
      <c r="AF581" s="4"/>
      <c r="AG581" s="4"/>
      <c r="AH581" s="4"/>
      <c r="AI581" s="4"/>
      <c r="AJ581" s="76" t="str">
        <f>IF(E581="○",IF(COUNTA(E$13:E581)=1,"",",")&amp;D581,"")</f>
        <v/>
      </c>
      <c r="AK581" s="4"/>
      <c r="AL581" s="4"/>
      <c r="AM581" s="4"/>
      <c r="AN581" s="4"/>
      <c r="AO581" s="4"/>
      <c r="AP581" s="4"/>
      <c r="AQ581" s="4"/>
      <c r="AR581" s="4"/>
      <c r="AS581" s="76" t="str">
        <f>"COMMENT ON COLUMN "&amp;エンティティ一覧!$O$2&amp;"."&amp;D$8&amp;"."&amp;D581&amp;" IS '"&amp;C581&amp;"';"</f>
        <v>COMMENT ON COLUMN milscm_2023_009.main_diagnosis_start_date.shikkan573_start_date IS 'G819_疾患開始日';</v>
      </c>
    </row>
    <row r="582" spans="1:45" s="25" customFormat="1">
      <c r="A582" s="4" t="s">
        <v>5665</v>
      </c>
      <c r="B582" s="21">
        <f t="shared" si="71"/>
        <v>580</v>
      </c>
      <c r="C582" s="13" t="str">
        <f t="shared" si="70"/>
        <v>G820_疾患開始日</v>
      </c>
      <c r="D582" s="13" t="s">
        <v>6234</v>
      </c>
      <c r="E582" s="8"/>
      <c r="F582" s="7" t="s">
        <v>4348</v>
      </c>
      <c r="G582" s="7" t="s">
        <v>25</v>
      </c>
      <c r="H582" s="58"/>
      <c r="I582" s="23"/>
      <c r="J582" s="24"/>
      <c r="M582" s="4"/>
      <c r="N582" s="76"/>
      <c r="O582" s="76"/>
      <c r="P582" s="76" t="str">
        <f t="shared" si="63"/>
        <v>,shikkan574_start_date</v>
      </c>
      <c r="Q582" s="76" t="str">
        <f t="shared" si="64"/>
        <v>DATE</v>
      </c>
      <c r="R582" s="76" t="str">
        <f t="shared" si="65"/>
        <v/>
      </c>
      <c r="S582" s="76" t="str">
        <f t="shared" si="66"/>
        <v/>
      </c>
      <c r="T582" s="76" t="str">
        <f t="shared" si="67"/>
        <v>-- G820_疾患開始日</v>
      </c>
      <c r="U582" s="4" t="str">
        <f t="shared" si="68"/>
        <v>,'shikkan574_start_date'</v>
      </c>
      <c r="V582" s="25" t="str">
        <f t="shared" si="69"/>
        <v>,'shikkan574_start_date' : 'G820_疾患開始日'</v>
      </c>
      <c r="X582" s="25">
        <v>1</v>
      </c>
      <c r="AA582" s="4"/>
      <c r="AB582" s="4"/>
      <c r="AC582" s="4"/>
      <c r="AD582" s="4"/>
      <c r="AE582" s="4"/>
      <c r="AF582" s="4"/>
      <c r="AG582" s="4"/>
      <c r="AH582" s="4"/>
      <c r="AI582" s="4"/>
      <c r="AJ582" s="76" t="str">
        <f>IF(E582="○",IF(COUNTA(E$13:E582)=1,"",",")&amp;D582,"")</f>
        <v/>
      </c>
      <c r="AK582" s="4"/>
      <c r="AL582" s="4"/>
      <c r="AM582" s="4"/>
      <c r="AN582" s="4"/>
      <c r="AO582" s="4"/>
      <c r="AP582" s="4"/>
      <c r="AQ582" s="4"/>
      <c r="AR582" s="4"/>
      <c r="AS582" s="76" t="str">
        <f>"COMMENT ON COLUMN "&amp;エンティティ一覧!$O$2&amp;"."&amp;D$8&amp;"."&amp;D582&amp;" IS '"&amp;C582&amp;"';"</f>
        <v>COMMENT ON COLUMN milscm_2023_009.main_diagnosis_start_date.shikkan574_start_date IS 'G820_疾患開始日';</v>
      </c>
    </row>
    <row r="583" spans="1:45" s="25" customFormat="1">
      <c r="A583" s="4" t="s">
        <v>5666</v>
      </c>
      <c r="B583" s="21">
        <f t="shared" si="71"/>
        <v>581</v>
      </c>
      <c r="C583" s="13" t="str">
        <f t="shared" si="70"/>
        <v>G821_疾患開始日</v>
      </c>
      <c r="D583" s="13" t="s">
        <v>6235</v>
      </c>
      <c r="E583" s="8"/>
      <c r="F583" s="7" t="s">
        <v>4348</v>
      </c>
      <c r="G583" s="7" t="s">
        <v>25</v>
      </c>
      <c r="H583" s="58"/>
      <c r="I583" s="23"/>
      <c r="J583" s="24"/>
      <c r="M583" s="4"/>
      <c r="N583" s="76"/>
      <c r="O583" s="76"/>
      <c r="P583" s="76" t="str">
        <f t="shared" si="63"/>
        <v>,shikkan575_start_date</v>
      </c>
      <c r="Q583" s="76" t="str">
        <f t="shared" si="64"/>
        <v>DATE</v>
      </c>
      <c r="R583" s="76" t="str">
        <f t="shared" si="65"/>
        <v/>
      </c>
      <c r="S583" s="76" t="str">
        <f t="shared" si="66"/>
        <v/>
      </c>
      <c r="T583" s="76" t="str">
        <f t="shared" si="67"/>
        <v>-- G821_疾患開始日</v>
      </c>
      <c r="U583" s="4" t="str">
        <f t="shared" si="68"/>
        <v>,'shikkan575_start_date'</v>
      </c>
      <c r="V583" s="25" t="str">
        <f t="shared" si="69"/>
        <v>,'shikkan575_start_date' : 'G821_疾患開始日'</v>
      </c>
      <c r="X583" s="25">
        <v>1</v>
      </c>
      <c r="AA583" s="4"/>
      <c r="AB583" s="4"/>
      <c r="AC583" s="4"/>
      <c r="AD583" s="4"/>
      <c r="AE583" s="4"/>
      <c r="AF583" s="4"/>
      <c r="AG583" s="4"/>
      <c r="AH583" s="4"/>
      <c r="AI583" s="4"/>
      <c r="AJ583" s="76" t="str">
        <f>IF(E583="○",IF(COUNTA(E$13:E583)=1,"",",")&amp;D583,"")</f>
        <v/>
      </c>
      <c r="AK583" s="4"/>
      <c r="AL583" s="4"/>
      <c r="AM583" s="4"/>
      <c r="AN583" s="4"/>
      <c r="AO583" s="4"/>
      <c r="AP583" s="4"/>
      <c r="AQ583" s="4"/>
      <c r="AR583" s="4"/>
      <c r="AS583" s="76" t="str">
        <f>"COMMENT ON COLUMN "&amp;エンティティ一覧!$O$2&amp;"."&amp;D$8&amp;"."&amp;D583&amp;" IS '"&amp;C583&amp;"';"</f>
        <v>COMMENT ON COLUMN milscm_2023_009.main_diagnosis_start_date.shikkan575_start_date IS 'G821_疾患開始日';</v>
      </c>
    </row>
    <row r="584" spans="1:45" s="25" customFormat="1">
      <c r="A584" s="4" t="s">
        <v>5667</v>
      </c>
      <c r="B584" s="21">
        <f t="shared" si="71"/>
        <v>582</v>
      </c>
      <c r="C584" s="13" t="str">
        <f t="shared" si="70"/>
        <v>G822_疾患開始日</v>
      </c>
      <c r="D584" s="13" t="s">
        <v>6236</v>
      </c>
      <c r="E584" s="8"/>
      <c r="F584" s="7" t="s">
        <v>4348</v>
      </c>
      <c r="G584" s="7" t="s">
        <v>25</v>
      </c>
      <c r="H584" s="58"/>
      <c r="I584" s="23"/>
      <c r="J584" s="24"/>
      <c r="M584" s="4"/>
      <c r="N584" s="76"/>
      <c r="O584" s="76"/>
      <c r="P584" s="76" t="str">
        <f t="shared" ref="P584:P647" si="72">IF(B584&lt;&gt;1,","&amp;D584,D584)</f>
        <v>,shikkan576_start_date</v>
      </c>
      <c r="Q584" s="76" t="str">
        <f t="shared" ref="Q584:Q647" si="73">UPPER(G584)</f>
        <v>DATE</v>
      </c>
      <c r="R584" s="76" t="str">
        <f t="shared" ref="R584:R647" si="74">IF(H584&lt;&gt;"","default "&amp;IF(G584="text","'"&amp;H584&amp;"'",H584),"")</f>
        <v/>
      </c>
      <c r="S584" s="76" t="str">
        <f t="shared" ref="S584:S647" si="75">IF(I584="○","NOT NULL","")</f>
        <v/>
      </c>
      <c r="T584" s="76" t="str">
        <f t="shared" ref="T584:T647" si="76">"-- "&amp;C584</f>
        <v>-- G822_疾患開始日</v>
      </c>
      <c r="U584" s="4" t="str">
        <f t="shared" si="68"/>
        <v>,'shikkan576_start_date'</v>
      </c>
      <c r="V584" s="25" t="str">
        <f t="shared" si="69"/>
        <v>,'shikkan576_start_date' : 'G822_疾患開始日'</v>
      </c>
      <c r="X584" s="25">
        <v>1</v>
      </c>
      <c r="AA584" s="4"/>
      <c r="AB584" s="4"/>
      <c r="AC584" s="4"/>
      <c r="AD584" s="4"/>
      <c r="AE584" s="4"/>
      <c r="AF584" s="4"/>
      <c r="AG584" s="4"/>
      <c r="AH584" s="4"/>
      <c r="AI584" s="4"/>
      <c r="AJ584" s="76" t="str">
        <f>IF(E584="○",IF(COUNTA(E$13:E584)=1,"",",")&amp;D584,"")</f>
        <v/>
      </c>
      <c r="AK584" s="4"/>
      <c r="AL584" s="4"/>
      <c r="AM584" s="4"/>
      <c r="AN584" s="4"/>
      <c r="AO584" s="4"/>
      <c r="AP584" s="4"/>
      <c r="AQ584" s="4"/>
      <c r="AR584" s="4"/>
      <c r="AS584" s="76" t="str">
        <f>"COMMENT ON COLUMN "&amp;エンティティ一覧!$O$2&amp;"."&amp;D$8&amp;"."&amp;D584&amp;" IS '"&amp;C584&amp;"';"</f>
        <v>COMMENT ON COLUMN milscm_2023_009.main_diagnosis_start_date.shikkan576_start_date IS 'G822_疾患開始日';</v>
      </c>
    </row>
    <row r="585" spans="1:45" s="25" customFormat="1">
      <c r="A585" s="4" t="s">
        <v>5668</v>
      </c>
      <c r="B585" s="21">
        <f t="shared" si="71"/>
        <v>583</v>
      </c>
      <c r="C585" s="13" t="str">
        <f t="shared" si="70"/>
        <v>G823_疾患開始日</v>
      </c>
      <c r="D585" s="13" t="s">
        <v>6237</v>
      </c>
      <c r="E585" s="8"/>
      <c r="F585" s="7" t="s">
        <v>4348</v>
      </c>
      <c r="G585" s="7" t="s">
        <v>25</v>
      </c>
      <c r="H585" s="58"/>
      <c r="I585" s="23"/>
      <c r="J585" s="24"/>
      <c r="M585" s="4"/>
      <c r="N585" s="76"/>
      <c r="O585" s="76"/>
      <c r="P585" s="76" t="str">
        <f t="shared" si="72"/>
        <v>,shikkan577_start_date</v>
      </c>
      <c r="Q585" s="76" t="str">
        <f t="shared" si="73"/>
        <v>DATE</v>
      </c>
      <c r="R585" s="76" t="str">
        <f t="shared" si="74"/>
        <v/>
      </c>
      <c r="S585" s="76" t="str">
        <f t="shared" si="75"/>
        <v/>
      </c>
      <c r="T585" s="76" t="str">
        <f t="shared" si="76"/>
        <v>-- G823_疾患開始日</v>
      </c>
      <c r="U585" s="4" t="str">
        <f t="shared" ref="U585:U648" si="77">IF(B585&lt;&gt;1,",","")&amp;"'"&amp;D585&amp;"'"</f>
        <v>,'shikkan577_start_date'</v>
      </c>
      <c r="V585" s="25" t="str">
        <f t="shared" ref="V585:V648" si="78">U585&amp;" : '"&amp;C585&amp;"'"</f>
        <v>,'shikkan577_start_date' : 'G823_疾患開始日'</v>
      </c>
      <c r="X585" s="25">
        <v>1</v>
      </c>
      <c r="AA585" s="4"/>
      <c r="AB585" s="4"/>
      <c r="AC585" s="4"/>
      <c r="AD585" s="4"/>
      <c r="AE585" s="4"/>
      <c r="AF585" s="4"/>
      <c r="AG585" s="4"/>
      <c r="AH585" s="4"/>
      <c r="AI585" s="4"/>
      <c r="AJ585" s="76" t="str">
        <f>IF(E585="○",IF(COUNTA(E$13:E585)=1,"",",")&amp;D585,"")</f>
        <v/>
      </c>
      <c r="AK585" s="4"/>
      <c r="AL585" s="4"/>
      <c r="AM585" s="4"/>
      <c r="AN585" s="4"/>
      <c r="AO585" s="4"/>
      <c r="AP585" s="4"/>
      <c r="AQ585" s="4"/>
      <c r="AR585" s="4"/>
      <c r="AS585" s="76" t="str">
        <f>"COMMENT ON COLUMN "&amp;エンティティ一覧!$O$2&amp;"."&amp;D$8&amp;"."&amp;D585&amp;" IS '"&amp;C585&amp;"';"</f>
        <v>COMMENT ON COLUMN milscm_2023_009.main_diagnosis_start_date.shikkan577_start_date IS 'G823_疾患開始日';</v>
      </c>
    </row>
    <row r="586" spans="1:45" s="25" customFormat="1">
      <c r="A586" s="4" t="s">
        <v>5669</v>
      </c>
      <c r="B586" s="21">
        <f t="shared" si="71"/>
        <v>584</v>
      </c>
      <c r="C586" s="13" t="str">
        <f t="shared" ref="C586:C649" si="79">A586&amp;"_疾患開始日"</f>
        <v>G824_疾患開始日</v>
      </c>
      <c r="D586" s="13" t="s">
        <v>6238</v>
      </c>
      <c r="E586" s="8"/>
      <c r="F586" s="7" t="s">
        <v>4348</v>
      </c>
      <c r="G586" s="7" t="s">
        <v>25</v>
      </c>
      <c r="H586" s="58"/>
      <c r="I586" s="23"/>
      <c r="J586" s="24"/>
      <c r="M586" s="4"/>
      <c r="N586" s="76"/>
      <c r="O586" s="76"/>
      <c r="P586" s="76" t="str">
        <f t="shared" si="72"/>
        <v>,shikkan578_start_date</v>
      </c>
      <c r="Q586" s="76" t="str">
        <f t="shared" si="73"/>
        <v>DATE</v>
      </c>
      <c r="R586" s="76" t="str">
        <f t="shared" si="74"/>
        <v/>
      </c>
      <c r="S586" s="76" t="str">
        <f t="shared" si="75"/>
        <v/>
      </c>
      <c r="T586" s="76" t="str">
        <f t="shared" si="76"/>
        <v>-- G824_疾患開始日</v>
      </c>
      <c r="U586" s="4" t="str">
        <f t="shared" si="77"/>
        <v>,'shikkan578_start_date'</v>
      </c>
      <c r="V586" s="25" t="str">
        <f t="shared" si="78"/>
        <v>,'shikkan578_start_date' : 'G824_疾患開始日'</v>
      </c>
      <c r="X586" s="25">
        <v>1</v>
      </c>
      <c r="AA586" s="4"/>
      <c r="AB586" s="4"/>
      <c r="AC586" s="4"/>
      <c r="AD586" s="4"/>
      <c r="AE586" s="4"/>
      <c r="AF586" s="4"/>
      <c r="AG586" s="4"/>
      <c r="AH586" s="4"/>
      <c r="AI586" s="4"/>
      <c r="AJ586" s="76" t="str">
        <f>IF(E586="○",IF(COUNTA(E$13:E586)=1,"",",")&amp;D586,"")</f>
        <v/>
      </c>
      <c r="AK586" s="4"/>
      <c r="AL586" s="4"/>
      <c r="AM586" s="4"/>
      <c r="AN586" s="4"/>
      <c r="AO586" s="4"/>
      <c r="AP586" s="4"/>
      <c r="AQ586" s="4"/>
      <c r="AR586" s="4"/>
      <c r="AS586" s="76" t="str">
        <f>"COMMENT ON COLUMN "&amp;エンティティ一覧!$O$2&amp;"."&amp;D$8&amp;"."&amp;D586&amp;" IS '"&amp;C586&amp;"';"</f>
        <v>COMMENT ON COLUMN milscm_2023_009.main_diagnosis_start_date.shikkan578_start_date IS 'G824_疾患開始日';</v>
      </c>
    </row>
    <row r="587" spans="1:45" s="25" customFormat="1">
      <c r="A587" s="4" t="s">
        <v>5670</v>
      </c>
      <c r="B587" s="21">
        <f t="shared" si="71"/>
        <v>585</v>
      </c>
      <c r="C587" s="13" t="str">
        <f t="shared" si="79"/>
        <v>G825_疾患開始日</v>
      </c>
      <c r="D587" s="13" t="s">
        <v>6239</v>
      </c>
      <c r="E587" s="8"/>
      <c r="F587" s="7" t="s">
        <v>4348</v>
      </c>
      <c r="G587" s="7" t="s">
        <v>25</v>
      </c>
      <c r="H587" s="58"/>
      <c r="I587" s="23"/>
      <c r="J587" s="24"/>
      <c r="M587" s="4"/>
      <c r="N587" s="76"/>
      <c r="O587" s="76"/>
      <c r="P587" s="76" t="str">
        <f t="shared" si="72"/>
        <v>,shikkan579_start_date</v>
      </c>
      <c r="Q587" s="76" t="str">
        <f t="shared" si="73"/>
        <v>DATE</v>
      </c>
      <c r="R587" s="76" t="str">
        <f t="shared" si="74"/>
        <v/>
      </c>
      <c r="S587" s="76" t="str">
        <f t="shared" si="75"/>
        <v/>
      </c>
      <c r="T587" s="76" t="str">
        <f t="shared" si="76"/>
        <v>-- G825_疾患開始日</v>
      </c>
      <c r="U587" s="4" t="str">
        <f t="shared" si="77"/>
        <v>,'shikkan579_start_date'</v>
      </c>
      <c r="V587" s="25" t="str">
        <f t="shared" si="78"/>
        <v>,'shikkan579_start_date' : 'G825_疾患開始日'</v>
      </c>
      <c r="X587" s="25">
        <v>1</v>
      </c>
      <c r="AA587" s="4"/>
      <c r="AB587" s="4"/>
      <c r="AC587" s="4"/>
      <c r="AD587" s="4"/>
      <c r="AE587" s="4"/>
      <c r="AF587" s="4"/>
      <c r="AG587" s="4"/>
      <c r="AH587" s="4"/>
      <c r="AI587" s="4"/>
      <c r="AJ587" s="76" t="str">
        <f>IF(E587="○",IF(COUNTA(E$13:E587)=1,"",",")&amp;D587,"")</f>
        <v/>
      </c>
      <c r="AK587" s="4"/>
      <c r="AL587" s="4"/>
      <c r="AM587" s="4"/>
      <c r="AN587" s="4"/>
      <c r="AO587" s="4"/>
      <c r="AP587" s="4"/>
      <c r="AQ587" s="4"/>
      <c r="AR587" s="4"/>
      <c r="AS587" s="76" t="str">
        <f>"COMMENT ON COLUMN "&amp;エンティティ一覧!$O$2&amp;"."&amp;D$8&amp;"."&amp;D587&amp;" IS '"&amp;C587&amp;"';"</f>
        <v>COMMENT ON COLUMN milscm_2023_009.main_diagnosis_start_date.shikkan579_start_date IS 'G825_疾患開始日';</v>
      </c>
    </row>
    <row r="588" spans="1:45" s="25" customFormat="1">
      <c r="A588" s="4" t="s">
        <v>5671</v>
      </c>
      <c r="B588" s="21">
        <f t="shared" si="71"/>
        <v>586</v>
      </c>
      <c r="C588" s="13" t="str">
        <f t="shared" si="79"/>
        <v>G830_疾患開始日</v>
      </c>
      <c r="D588" s="13" t="s">
        <v>6240</v>
      </c>
      <c r="E588" s="8"/>
      <c r="F588" s="7" t="s">
        <v>4348</v>
      </c>
      <c r="G588" s="7" t="s">
        <v>25</v>
      </c>
      <c r="H588" s="58"/>
      <c r="I588" s="23"/>
      <c r="J588" s="24"/>
      <c r="M588" s="4"/>
      <c r="N588" s="76"/>
      <c r="O588" s="76"/>
      <c r="P588" s="76" t="str">
        <f t="shared" si="72"/>
        <v>,shikkan580_start_date</v>
      </c>
      <c r="Q588" s="76" t="str">
        <f t="shared" si="73"/>
        <v>DATE</v>
      </c>
      <c r="R588" s="76" t="str">
        <f t="shared" si="74"/>
        <v/>
      </c>
      <c r="S588" s="76" t="str">
        <f t="shared" si="75"/>
        <v/>
      </c>
      <c r="T588" s="76" t="str">
        <f t="shared" si="76"/>
        <v>-- G830_疾患開始日</v>
      </c>
      <c r="U588" s="4" t="str">
        <f t="shared" si="77"/>
        <v>,'shikkan580_start_date'</v>
      </c>
      <c r="V588" s="25" t="str">
        <f t="shared" si="78"/>
        <v>,'shikkan580_start_date' : 'G830_疾患開始日'</v>
      </c>
      <c r="X588" s="25">
        <v>1</v>
      </c>
      <c r="AA588" s="4"/>
      <c r="AB588" s="4"/>
      <c r="AC588" s="4"/>
      <c r="AD588" s="4"/>
      <c r="AE588" s="4"/>
      <c r="AF588" s="4"/>
      <c r="AG588" s="4"/>
      <c r="AH588" s="4"/>
      <c r="AI588" s="4"/>
      <c r="AJ588" s="76" t="str">
        <f>IF(E588="○",IF(COUNTA(E$13:E588)=1,"",",")&amp;D588,"")</f>
        <v/>
      </c>
      <c r="AK588" s="4"/>
      <c r="AL588" s="4"/>
      <c r="AM588" s="4"/>
      <c r="AN588" s="4"/>
      <c r="AO588" s="4"/>
      <c r="AP588" s="4"/>
      <c r="AQ588" s="4"/>
      <c r="AR588" s="4"/>
      <c r="AS588" s="76" t="str">
        <f>"COMMENT ON COLUMN "&amp;エンティティ一覧!$O$2&amp;"."&amp;D$8&amp;"."&amp;D588&amp;" IS '"&amp;C588&amp;"';"</f>
        <v>COMMENT ON COLUMN milscm_2023_009.main_diagnosis_start_date.shikkan580_start_date IS 'G830_疾患開始日';</v>
      </c>
    </row>
    <row r="589" spans="1:45" s="25" customFormat="1">
      <c r="A589" s="4" t="s">
        <v>5672</v>
      </c>
      <c r="B589" s="21">
        <f t="shared" si="71"/>
        <v>587</v>
      </c>
      <c r="C589" s="13" t="str">
        <f t="shared" si="79"/>
        <v>G831_疾患開始日</v>
      </c>
      <c r="D589" s="13" t="s">
        <v>6241</v>
      </c>
      <c r="E589" s="8"/>
      <c r="F589" s="7" t="s">
        <v>4348</v>
      </c>
      <c r="G589" s="7" t="s">
        <v>25</v>
      </c>
      <c r="H589" s="58"/>
      <c r="I589" s="23"/>
      <c r="J589" s="24"/>
      <c r="M589" s="4"/>
      <c r="N589" s="76"/>
      <c r="O589" s="76"/>
      <c r="P589" s="76" t="str">
        <f t="shared" si="72"/>
        <v>,shikkan581_start_date</v>
      </c>
      <c r="Q589" s="76" t="str">
        <f t="shared" si="73"/>
        <v>DATE</v>
      </c>
      <c r="R589" s="76" t="str">
        <f t="shared" si="74"/>
        <v/>
      </c>
      <c r="S589" s="76" t="str">
        <f t="shared" si="75"/>
        <v/>
      </c>
      <c r="T589" s="76" t="str">
        <f t="shared" si="76"/>
        <v>-- G831_疾患開始日</v>
      </c>
      <c r="U589" s="4" t="str">
        <f t="shared" si="77"/>
        <v>,'shikkan581_start_date'</v>
      </c>
      <c r="V589" s="25" t="str">
        <f t="shared" si="78"/>
        <v>,'shikkan581_start_date' : 'G831_疾患開始日'</v>
      </c>
      <c r="X589" s="25">
        <v>1</v>
      </c>
      <c r="AA589" s="4"/>
      <c r="AB589" s="4"/>
      <c r="AC589" s="4"/>
      <c r="AD589" s="4"/>
      <c r="AE589" s="4"/>
      <c r="AF589" s="4"/>
      <c r="AG589" s="4"/>
      <c r="AH589" s="4"/>
      <c r="AI589" s="4"/>
      <c r="AJ589" s="76" t="str">
        <f>IF(E589="○",IF(COUNTA(E$13:E589)=1,"",",")&amp;D589,"")</f>
        <v/>
      </c>
      <c r="AK589" s="4"/>
      <c r="AL589" s="4"/>
      <c r="AM589" s="4"/>
      <c r="AN589" s="4"/>
      <c r="AO589" s="4"/>
      <c r="AP589" s="4"/>
      <c r="AQ589" s="4"/>
      <c r="AR589" s="4"/>
      <c r="AS589" s="76" t="str">
        <f>"COMMENT ON COLUMN "&amp;エンティティ一覧!$O$2&amp;"."&amp;D$8&amp;"."&amp;D589&amp;" IS '"&amp;C589&amp;"';"</f>
        <v>COMMENT ON COLUMN milscm_2023_009.main_diagnosis_start_date.shikkan581_start_date IS 'G831_疾患開始日';</v>
      </c>
    </row>
    <row r="590" spans="1:45" s="25" customFormat="1">
      <c r="A590" s="4" t="s">
        <v>5673</v>
      </c>
      <c r="B590" s="21">
        <f t="shared" si="71"/>
        <v>588</v>
      </c>
      <c r="C590" s="13" t="str">
        <f t="shared" si="79"/>
        <v>G832_疾患開始日</v>
      </c>
      <c r="D590" s="13" t="s">
        <v>6242</v>
      </c>
      <c r="E590" s="8"/>
      <c r="F590" s="7" t="s">
        <v>4348</v>
      </c>
      <c r="G590" s="7" t="s">
        <v>25</v>
      </c>
      <c r="H590" s="58"/>
      <c r="I590" s="23"/>
      <c r="J590" s="24"/>
      <c r="M590" s="4"/>
      <c r="N590" s="76"/>
      <c r="O590" s="76"/>
      <c r="P590" s="76" t="str">
        <f t="shared" si="72"/>
        <v>,shikkan582_start_date</v>
      </c>
      <c r="Q590" s="76" t="str">
        <f t="shared" si="73"/>
        <v>DATE</v>
      </c>
      <c r="R590" s="76" t="str">
        <f t="shared" si="74"/>
        <v/>
      </c>
      <c r="S590" s="76" t="str">
        <f t="shared" si="75"/>
        <v/>
      </c>
      <c r="T590" s="76" t="str">
        <f t="shared" si="76"/>
        <v>-- G832_疾患開始日</v>
      </c>
      <c r="U590" s="4" t="str">
        <f t="shared" si="77"/>
        <v>,'shikkan582_start_date'</v>
      </c>
      <c r="V590" s="25" t="str">
        <f t="shared" si="78"/>
        <v>,'shikkan582_start_date' : 'G832_疾患開始日'</v>
      </c>
      <c r="X590" s="25">
        <v>1</v>
      </c>
      <c r="AA590" s="4"/>
      <c r="AB590" s="4"/>
      <c r="AC590" s="4"/>
      <c r="AD590" s="4"/>
      <c r="AE590" s="4"/>
      <c r="AF590" s="4"/>
      <c r="AG590" s="4"/>
      <c r="AH590" s="4"/>
      <c r="AI590" s="4"/>
      <c r="AJ590" s="76" t="str">
        <f>IF(E590="○",IF(COUNTA(E$13:E590)=1,"",",")&amp;D590,"")</f>
        <v/>
      </c>
      <c r="AK590" s="4"/>
      <c r="AL590" s="4"/>
      <c r="AM590" s="4"/>
      <c r="AN590" s="4"/>
      <c r="AO590" s="4"/>
      <c r="AP590" s="4"/>
      <c r="AQ590" s="4"/>
      <c r="AR590" s="4"/>
      <c r="AS590" s="76" t="str">
        <f>"COMMENT ON COLUMN "&amp;エンティティ一覧!$O$2&amp;"."&amp;D$8&amp;"."&amp;D590&amp;" IS '"&amp;C590&amp;"';"</f>
        <v>COMMENT ON COLUMN milscm_2023_009.main_diagnosis_start_date.shikkan582_start_date IS 'G832_疾患開始日';</v>
      </c>
    </row>
    <row r="591" spans="1:45" s="25" customFormat="1">
      <c r="A591" s="4" t="s">
        <v>5674</v>
      </c>
      <c r="B591" s="21">
        <f t="shared" si="71"/>
        <v>589</v>
      </c>
      <c r="C591" s="13" t="str">
        <f t="shared" si="79"/>
        <v>G833_疾患開始日</v>
      </c>
      <c r="D591" s="13" t="s">
        <v>6243</v>
      </c>
      <c r="E591" s="8"/>
      <c r="F591" s="7" t="s">
        <v>4348</v>
      </c>
      <c r="G591" s="7" t="s">
        <v>25</v>
      </c>
      <c r="H591" s="58"/>
      <c r="I591" s="23"/>
      <c r="J591" s="24"/>
      <c r="M591" s="4"/>
      <c r="N591" s="76"/>
      <c r="O591" s="76"/>
      <c r="P591" s="76" t="str">
        <f t="shared" si="72"/>
        <v>,shikkan583_start_date</v>
      </c>
      <c r="Q591" s="76" t="str">
        <f t="shared" si="73"/>
        <v>DATE</v>
      </c>
      <c r="R591" s="76" t="str">
        <f t="shared" si="74"/>
        <v/>
      </c>
      <c r="S591" s="76" t="str">
        <f t="shared" si="75"/>
        <v/>
      </c>
      <c r="T591" s="76" t="str">
        <f t="shared" si="76"/>
        <v>-- G833_疾患開始日</v>
      </c>
      <c r="U591" s="4" t="str">
        <f t="shared" si="77"/>
        <v>,'shikkan583_start_date'</v>
      </c>
      <c r="V591" s="25" t="str">
        <f t="shared" si="78"/>
        <v>,'shikkan583_start_date' : 'G833_疾患開始日'</v>
      </c>
      <c r="X591" s="25">
        <v>1</v>
      </c>
      <c r="AA591" s="4"/>
      <c r="AB591" s="4"/>
      <c r="AC591" s="4"/>
      <c r="AD591" s="4"/>
      <c r="AE591" s="4"/>
      <c r="AF591" s="4"/>
      <c r="AG591" s="4"/>
      <c r="AH591" s="4"/>
      <c r="AI591" s="4"/>
      <c r="AJ591" s="76" t="str">
        <f>IF(E591="○",IF(COUNTA(E$13:E591)=1,"",",")&amp;D591,"")</f>
        <v/>
      </c>
      <c r="AK591" s="4"/>
      <c r="AL591" s="4"/>
      <c r="AM591" s="4"/>
      <c r="AN591" s="4"/>
      <c r="AO591" s="4"/>
      <c r="AP591" s="4"/>
      <c r="AQ591" s="4"/>
      <c r="AR591" s="4"/>
      <c r="AS591" s="76" t="str">
        <f>"COMMENT ON COLUMN "&amp;エンティティ一覧!$O$2&amp;"."&amp;D$8&amp;"."&amp;D591&amp;" IS '"&amp;C591&amp;"';"</f>
        <v>COMMENT ON COLUMN milscm_2023_009.main_diagnosis_start_date.shikkan583_start_date IS 'G833_疾患開始日';</v>
      </c>
    </row>
    <row r="592" spans="1:45" s="25" customFormat="1">
      <c r="A592" s="4" t="s">
        <v>5675</v>
      </c>
      <c r="B592" s="21">
        <f t="shared" si="71"/>
        <v>590</v>
      </c>
      <c r="C592" s="13" t="str">
        <f t="shared" si="79"/>
        <v>G834_疾患開始日</v>
      </c>
      <c r="D592" s="13" t="s">
        <v>6244</v>
      </c>
      <c r="E592" s="8"/>
      <c r="F592" s="7" t="s">
        <v>4348</v>
      </c>
      <c r="G592" s="7" t="s">
        <v>25</v>
      </c>
      <c r="H592" s="58"/>
      <c r="I592" s="23"/>
      <c r="J592" s="24"/>
      <c r="M592" s="4"/>
      <c r="N592" s="76"/>
      <c r="O592" s="76"/>
      <c r="P592" s="76" t="str">
        <f t="shared" si="72"/>
        <v>,shikkan584_start_date</v>
      </c>
      <c r="Q592" s="76" t="str">
        <f t="shared" si="73"/>
        <v>DATE</v>
      </c>
      <c r="R592" s="76" t="str">
        <f t="shared" si="74"/>
        <v/>
      </c>
      <c r="S592" s="76" t="str">
        <f t="shared" si="75"/>
        <v/>
      </c>
      <c r="T592" s="76" t="str">
        <f t="shared" si="76"/>
        <v>-- G834_疾患開始日</v>
      </c>
      <c r="U592" s="4" t="str">
        <f t="shared" si="77"/>
        <v>,'shikkan584_start_date'</v>
      </c>
      <c r="V592" s="25" t="str">
        <f t="shared" si="78"/>
        <v>,'shikkan584_start_date' : 'G834_疾患開始日'</v>
      </c>
      <c r="X592" s="25">
        <v>1</v>
      </c>
      <c r="AA592" s="4"/>
      <c r="AB592" s="4"/>
      <c r="AC592" s="4"/>
      <c r="AD592" s="4"/>
      <c r="AE592" s="4"/>
      <c r="AF592" s="4"/>
      <c r="AG592" s="4"/>
      <c r="AH592" s="4"/>
      <c r="AI592" s="4"/>
      <c r="AJ592" s="76" t="str">
        <f>IF(E592="○",IF(COUNTA(E$13:E592)=1,"",",")&amp;D592,"")</f>
        <v/>
      </c>
      <c r="AK592" s="4"/>
      <c r="AL592" s="4"/>
      <c r="AM592" s="4"/>
      <c r="AN592" s="4"/>
      <c r="AO592" s="4"/>
      <c r="AP592" s="4"/>
      <c r="AQ592" s="4"/>
      <c r="AR592" s="4"/>
      <c r="AS592" s="76" t="str">
        <f>"COMMENT ON COLUMN "&amp;エンティティ一覧!$O$2&amp;"."&amp;D$8&amp;"."&amp;D592&amp;" IS '"&amp;C592&amp;"';"</f>
        <v>COMMENT ON COLUMN milscm_2023_009.main_diagnosis_start_date.shikkan584_start_date IS 'G834_疾患開始日';</v>
      </c>
    </row>
    <row r="593" spans="1:45" s="25" customFormat="1">
      <c r="A593" s="4" t="s">
        <v>5676</v>
      </c>
      <c r="B593" s="21">
        <f t="shared" si="71"/>
        <v>591</v>
      </c>
      <c r="C593" s="13" t="str">
        <f t="shared" si="79"/>
        <v>G839_疾患開始日</v>
      </c>
      <c r="D593" s="13" t="s">
        <v>6245</v>
      </c>
      <c r="E593" s="8"/>
      <c r="F593" s="7" t="s">
        <v>4348</v>
      </c>
      <c r="G593" s="7" t="s">
        <v>25</v>
      </c>
      <c r="H593" s="58"/>
      <c r="I593" s="23"/>
      <c r="J593" s="24"/>
      <c r="M593" s="4"/>
      <c r="N593" s="76"/>
      <c r="O593" s="76"/>
      <c r="P593" s="76" t="str">
        <f t="shared" si="72"/>
        <v>,shikkan585_start_date</v>
      </c>
      <c r="Q593" s="76" t="str">
        <f t="shared" si="73"/>
        <v>DATE</v>
      </c>
      <c r="R593" s="76" t="str">
        <f t="shared" si="74"/>
        <v/>
      </c>
      <c r="S593" s="76" t="str">
        <f t="shared" si="75"/>
        <v/>
      </c>
      <c r="T593" s="76" t="str">
        <f t="shared" si="76"/>
        <v>-- G839_疾患開始日</v>
      </c>
      <c r="U593" s="4" t="str">
        <f t="shared" si="77"/>
        <v>,'shikkan585_start_date'</v>
      </c>
      <c r="V593" s="25" t="str">
        <f t="shared" si="78"/>
        <v>,'shikkan585_start_date' : 'G839_疾患開始日'</v>
      </c>
      <c r="X593" s="25">
        <v>1</v>
      </c>
      <c r="AA593" s="4"/>
      <c r="AB593" s="4"/>
      <c r="AC593" s="4"/>
      <c r="AD593" s="4"/>
      <c r="AE593" s="4"/>
      <c r="AF593" s="4"/>
      <c r="AG593" s="4"/>
      <c r="AH593" s="4"/>
      <c r="AI593" s="4"/>
      <c r="AJ593" s="76" t="str">
        <f>IF(E593="○",IF(COUNTA(E$13:E593)=1,"",",")&amp;D593,"")</f>
        <v/>
      </c>
      <c r="AK593" s="4"/>
      <c r="AL593" s="4"/>
      <c r="AM593" s="4"/>
      <c r="AN593" s="4"/>
      <c r="AO593" s="4"/>
      <c r="AP593" s="4"/>
      <c r="AQ593" s="4"/>
      <c r="AR593" s="4"/>
      <c r="AS593" s="76" t="str">
        <f>"COMMENT ON COLUMN "&amp;エンティティ一覧!$O$2&amp;"."&amp;D$8&amp;"."&amp;D593&amp;" IS '"&amp;C593&amp;"';"</f>
        <v>COMMENT ON COLUMN milscm_2023_009.main_diagnosis_start_date.shikkan585_start_date IS 'G839_疾患開始日';</v>
      </c>
    </row>
    <row r="594" spans="1:45" s="25" customFormat="1">
      <c r="A594" s="4" t="s">
        <v>5677</v>
      </c>
      <c r="B594" s="21">
        <f t="shared" si="71"/>
        <v>592</v>
      </c>
      <c r="C594" s="13" t="str">
        <f t="shared" si="79"/>
        <v>H340_疾患開始日</v>
      </c>
      <c r="D594" s="13" t="s">
        <v>6246</v>
      </c>
      <c r="E594" s="8"/>
      <c r="F594" s="7" t="s">
        <v>4348</v>
      </c>
      <c r="G594" s="7" t="s">
        <v>25</v>
      </c>
      <c r="H594" s="58"/>
      <c r="I594" s="23"/>
      <c r="J594" s="24"/>
      <c r="M594" s="4"/>
      <c r="N594" s="76"/>
      <c r="O594" s="76"/>
      <c r="P594" s="76" t="str">
        <f t="shared" si="72"/>
        <v>,shikkan586_start_date</v>
      </c>
      <c r="Q594" s="76" t="str">
        <f t="shared" si="73"/>
        <v>DATE</v>
      </c>
      <c r="R594" s="76" t="str">
        <f t="shared" si="74"/>
        <v/>
      </c>
      <c r="S594" s="76" t="str">
        <f t="shared" si="75"/>
        <v/>
      </c>
      <c r="T594" s="76" t="str">
        <f t="shared" si="76"/>
        <v>-- H340_疾患開始日</v>
      </c>
      <c r="U594" s="4" t="str">
        <f t="shared" si="77"/>
        <v>,'shikkan586_start_date'</v>
      </c>
      <c r="V594" s="25" t="str">
        <f t="shared" si="78"/>
        <v>,'shikkan586_start_date' : 'H340_疾患開始日'</v>
      </c>
      <c r="X594" s="25">
        <v>1</v>
      </c>
      <c r="AA594" s="4"/>
      <c r="AB594" s="4"/>
      <c r="AC594" s="4"/>
      <c r="AD594" s="4"/>
      <c r="AE594" s="4"/>
      <c r="AF594" s="4"/>
      <c r="AG594" s="4"/>
      <c r="AH594" s="4"/>
      <c r="AI594" s="4"/>
      <c r="AJ594" s="76" t="str">
        <f>IF(E594="○",IF(COUNTA(E$13:E594)=1,"",",")&amp;D594,"")</f>
        <v/>
      </c>
      <c r="AK594" s="4"/>
      <c r="AL594" s="4"/>
      <c r="AM594" s="4"/>
      <c r="AN594" s="4"/>
      <c r="AO594" s="4"/>
      <c r="AP594" s="4"/>
      <c r="AQ594" s="4"/>
      <c r="AR594" s="4"/>
      <c r="AS594" s="76" t="str">
        <f>"COMMENT ON COLUMN "&amp;エンティティ一覧!$O$2&amp;"."&amp;D$8&amp;"."&amp;D594&amp;" IS '"&amp;C594&amp;"';"</f>
        <v>COMMENT ON COLUMN milscm_2023_009.main_diagnosis_start_date.shikkan586_start_date IS 'H340_疾患開始日';</v>
      </c>
    </row>
    <row r="595" spans="1:45" s="25" customFormat="1">
      <c r="A595" s="4" t="s">
        <v>5678</v>
      </c>
      <c r="B595" s="21">
        <f t="shared" si="71"/>
        <v>593</v>
      </c>
      <c r="C595" s="13" t="str">
        <f t="shared" si="79"/>
        <v>I099_疾患開始日</v>
      </c>
      <c r="D595" s="13" t="s">
        <v>6247</v>
      </c>
      <c r="E595" s="8"/>
      <c r="F595" s="7" t="s">
        <v>4348</v>
      </c>
      <c r="G595" s="7" t="s">
        <v>25</v>
      </c>
      <c r="H595" s="58"/>
      <c r="I595" s="23"/>
      <c r="J595" s="24"/>
      <c r="M595" s="4"/>
      <c r="N595" s="76"/>
      <c r="O595" s="76"/>
      <c r="P595" s="76" t="str">
        <f t="shared" si="72"/>
        <v>,shikkan587_start_date</v>
      </c>
      <c r="Q595" s="76" t="str">
        <f t="shared" si="73"/>
        <v>DATE</v>
      </c>
      <c r="R595" s="76" t="str">
        <f t="shared" si="74"/>
        <v/>
      </c>
      <c r="S595" s="76" t="str">
        <f t="shared" si="75"/>
        <v/>
      </c>
      <c r="T595" s="76" t="str">
        <f t="shared" si="76"/>
        <v>-- I099_疾患開始日</v>
      </c>
      <c r="U595" s="4" t="str">
        <f t="shared" si="77"/>
        <v>,'shikkan587_start_date'</v>
      </c>
      <c r="V595" s="25" t="str">
        <f t="shared" si="78"/>
        <v>,'shikkan587_start_date' : 'I099_疾患開始日'</v>
      </c>
      <c r="X595" s="25">
        <v>1</v>
      </c>
      <c r="AA595" s="4"/>
      <c r="AB595" s="4"/>
      <c r="AC595" s="4"/>
      <c r="AD595" s="4"/>
      <c r="AE595" s="4"/>
      <c r="AF595" s="4"/>
      <c r="AG595" s="4"/>
      <c r="AH595" s="4"/>
      <c r="AI595" s="4"/>
      <c r="AJ595" s="76" t="str">
        <f>IF(E595="○",IF(COUNTA(E$13:E595)=1,"",",")&amp;D595,"")</f>
        <v/>
      </c>
      <c r="AK595" s="4"/>
      <c r="AL595" s="4"/>
      <c r="AM595" s="4"/>
      <c r="AN595" s="4"/>
      <c r="AO595" s="4"/>
      <c r="AP595" s="4"/>
      <c r="AQ595" s="4"/>
      <c r="AR595" s="4"/>
      <c r="AS595" s="76" t="str">
        <f>"COMMENT ON COLUMN "&amp;エンティティ一覧!$O$2&amp;"."&amp;D$8&amp;"."&amp;D595&amp;" IS '"&amp;C595&amp;"';"</f>
        <v>COMMENT ON COLUMN milscm_2023_009.main_diagnosis_start_date.shikkan587_start_date IS 'I099_疾患開始日';</v>
      </c>
    </row>
    <row r="596" spans="1:45" s="25" customFormat="1">
      <c r="A596" s="4" t="s">
        <v>5679</v>
      </c>
      <c r="B596" s="21">
        <f t="shared" si="71"/>
        <v>594</v>
      </c>
      <c r="C596" s="13" t="str">
        <f t="shared" si="79"/>
        <v>I110_疾患開始日</v>
      </c>
      <c r="D596" s="13" t="s">
        <v>6248</v>
      </c>
      <c r="E596" s="8"/>
      <c r="F596" s="7" t="s">
        <v>4348</v>
      </c>
      <c r="G596" s="7" t="s">
        <v>25</v>
      </c>
      <c r="H596" s="58"/>
      <c r="I596" s="23"/>
      <c r="J596" s="24"/>
      <c r="M596" s="4"/>
      <c r="N596" s="76"/>
      <c r="O596" s="76"/>
      <c r="P596" s="76" t="str">
        <f t="shared" si="72"/>
        <v>,shikkan588_start_date</v>
      </c>
      <c r="Q596" s="76" t="str">
        <f t="shared" si="73"/>
        <v>DATE</v>
      </c>
      <c r="R596" s="76" t="str">
        <f t="shared" si="74"/>
        <v/>
      </c>
      <c r="S596" s="76" t="str">
        <f t="shared" si="75"/>
        <v/>
      </c>
      <c r="T596" s="76" t="str">
        <f t="shared" si="76"/>
        <v>-- I110_疾患開始日</v>
      </c>
      <c r="U596" s="4" t="str">
        <f t="shared" si="77"/>
        <v>,'shikkan588_start_date'</v>
      </c>
      <c r="V596" s="25" t="str">
        <f t="shared" si="78"/>
        <v>,'shikkan588_start_date' : 'I110_疾患開始日'</v>
      </c>
      <c r="X596" s="25">
        <v>1</v>
      </c>
      <c r="AA596" s="4"/>
      <c r="AB596" s="4"/>
      <c r="AC596" s="4"/>
      <c r="AD596" s="4"/>
      <c r="AE596" s="4"/>
      <c r="AF596" s="4"/>
      <c r="AG596" s="4"/>
      <c r="AH596" s="4"/>
      <c r="AI596" s="4"/>
      <c r="AJ596" s="76" t="str">
        <f>IF(E596="○",IF(COUNTA(E$13:E596)=1,"",",")&amp;D596,"")</f>
        <v/>
      </c>
      <c r="AK596" s="4"/>
      <c r="AL596" s="4"/>
      <c r="AM596" s="4"/>
      <c r="AN596" s="4"/>
      <c r="AO596" s="4"/>
      <c r="AP596" s="4"/>
      <c r="AQ596" s="4"/>
      <c r="AR596" s="4"/>
      <c r="AS596" s="76" t="str">
        <f>"COMMENT ON COLUMN "&amp;エンティティ一覧!$O$2&amp;"."&amp;D$8&amp;"."&amp;D596&amp;" IS '"&amp;C596&amp;"';"</f>
        <v>COMMENT ON COLUMN milscm_2023_009.main_diagnosis_start_date.shikkan588_start_date IS 'I110_疾患開始日';</v>
      </c>
    </row>
    <row r="597" spans="1:45" s="25" customFormat="1">
      <c r="A597" s="4" t="s">
        <v>5680</v>
      </c>
      <c r="B597" s="21">
        <f t="shared" si="71"/>
        <v>595</v>
      </c>
      <c r="C597" s="13" t="str">
        <f t="shared" si="79"/>
        <v>I120_疾患開始日</v>
      </c>
      <c r="D597" s="13" t="s">
        <v>6249</v>
      </c>
      <c r="E597" s="8"/>
      <c r="F597" s="7" t="s">
        <v>4348</v>
      </c>
      <c r="G597" s="7" t="s">
        <v>25</v>
      </c>
      <c r="H597" s="58"/>
      <c r="I597" s="23"/>
      <c r="J597" s="24"/>
      <c r="M597" s="4"/>
      <c r="N597" s="76"/>
      <c r="O597" s="76"/>
      <c r="P597" s="76" t="str">
        <f t="shared" si="72"/>
        <v>,shikkan589_start_date</v>
      </c>
      <c r="Q597" s="76" t="str">
        <f t="shared" si="73"/>
        <v>DATE</v>
      </c>
      <c r="R597" s="76" t="str">
        <f t="shared" si="74"/>
        <v/>
      </c>
      <c r="S597" s="76" t="str">
        <f t="shared" si="75"/>
        <v/>
      </c>
      <c r="T597" s="76" t="str">
        <f t="shared" si="76"/>
        <v>-- I120_疾患開始日</v>
      </c>
      <c r="U597" s="4" t="str">
        <f t="shared" si="77"/>
        <v>,'shikkan589_start_date'</v>
      </c>
      <c r="V597" s="25" t="str">
        <f t="shared" si="78"/>
        <v>,'shikkan589_start_date' : 'I120_疾患開始日'</v>
      </c>
      <c r="X597" s="25">
        <v>1</v>
      </c>
      <c r="AA597" s="4"/>
      <c r="AB597" s="4"/>
      <c r="AC597" s="4"/>
      <c r="AD597" s="4"/>
      <c r="AE597" s="4"/>
      <c r="AF597" s="4"/>
      <c r="AG597" s="4"/>
      <c r="AH597" s="4"/>
      <c r="AI597" s="4"/>
      <c r="AJ597" s="76" t="str">
        <f>IF(E597="○",IF(COUNTA(E$13:E597)=1,"",",")&amp;D597,"")</f>
        <v/>
      </c>
      <c r="AK597" s="4"/>
      <c r="AL597" s="4"/>
      <c r="AM597" s="4"/>
      <c r="AN597" s="4"/>
      <c r="AO597" s="4"/>
      <c r="AP597" s="4"/>
      <c r="AQ597" s="4"/>
      <c r="AR597" s="4"/>
      <c r="AS597" s="76" t="str">
        <f>"COMMENT ON COLUMN "&amp;エンティティ一覧!$O$2&amp;"."&amp;D$8&amp;"."&amp;D597&amp;" IS '"&amp;C597&amp;"';"</f>
        <v>COMMENT ON COLUMN milscm_2023_009.main_diagnosis_start_date.shikkan589_start_date IS 'I120_疾患開始日';</v>
      </c>
    </row>
    <row r="598" spans="1:45" s="25" customFormat="1">
      <c r="A598" s="4" t="s">
        <v>5059</v>
      </c>
      <c r="B598" s="21">
        <f t="shared" si="71"/>
        <v>596</v>
      </c>
      <c r="C598" s="13" t="str">
        <f t="shared" si="79"/>
        <v>I130_疾患開始日</v>
      </c>
      <c r="D598" s="13" t="s">
        <v>6250</v>
      </c>
      <c r="E598" s="8"/>
      <c r="F598" s="7" t="s">
        <v>4348</v>
      </c>
      <c r="G598" s="7" t="s">
        <v>25</v>
      </c>
      <c r="H598" s="58"/>
      <c r="I598" s="23"/>
      <c r="J598" s="24"/>
      <c r="M598" s="4"/>
      <c r="N598" s="76"/>
      <c r="O598" s="76"/>
      <c r="P598" s="76" t="str">
        <f t="shared" si="72"/>
        <v>,shikkan590_start_date</v>
      </c>
      <c r="Q598" s="76" t="str">
        <f t="shared" si="73"/>
        <v>DATE</v>
      </c>
      <c r="R598" s="76" t="str">
        <f t="shared" si="74"/>
        <v/>
      </c>
      <c r="S598" s="76" t="str">
        <f t="shared" si="75"/>
        <v/>
      </c>
      <c r="T598" s="76" t="str">
        <f t="shared" si="76"/>
        <v>-- I130_疾患開始日</v>
      </c>
      <c r="U598" s="4" t="str">
        <f t="shared" si="77"/>
        <v>,'shikkan590_start_date'</v>
      </c>
      <c r="V598" s="25" t="str">
        <f t="shared" si="78"/>
        <v>,'shikkan590_start_date' : 'I130_疾患開始日'</v>
      </c>
      <c r="X598" s="25">
        <v>1</v>
      </c>
      <c r="AA598" s="4"/>
      <c r="AB598" s="4"/>
      <c r="AC598" s="4"/>
      <c r="AD598" s="4"/>
      <c r="AE598" s="4"/>
      <c r="AF598" s="4"/>
      <c r="AG598" s="4"/>
      <c r="AH598" s="4"/>
      <c r="AI598" s="4"/>
      <c r="AJ598" s="76" t="str">
        <f>IF(E598="○",IF(COUNTA(E$13:E598)=1,"",",")&amp;D598,"")</f>
        <v/>
      </c>
      <c r="AK598" s="4"/>
      <c r="AL598" s="4"/>
      <c r="AM598" s="4"/>
      <c r="AN598" s="4"/>
      <c r="AO598" s="4"/>
      <c r="AP598" s="4"/>
      <c r="AQ598" s="4"/>
      <c r="AR598" s="4"/>
      <c r="AS598" s="76" t="str">
        <f>"COMMENT ON COLUMN "&amp;エンティティ一覧!$O$2&amp;"."&amp;D$8&amp;"."&amp;D598&amp;" IS '"&amp;C598&amp;"';"</f>
        <v>COMMENT ON COLUMN milscm_2023_009.main_diagnosis_start_date.shikkan590_start_date IS 'I130_疾患開始日';</v>
      </c>
    </row>
    <row r="599" spans="1:45" s="25" customFormat="1">
      <c r="A599" s="4" t="s">
        <v>5137</v>
      </c>
      <c r="B599" s="21">
        <f t="shared" si="71"/>
        <v>597</v>
      </c>
      <c r="C599" s="13" t="str">
        <f t="shared" si="79"/>
        <v>I131_疾患開始日</v>
      </c>
      <c r="D599" s="13" t="s">
        <v>6251</v>
      </c>
      <c r="E599" s="8"/>
      <c r="F599" s="7" t="s">
        <v>4348</v>
      </c>
      <c r="G599" s="7" t="s">
        <v>99</v>
      </c>
      <c r="H599" s="58"/>
      <c r="I599" s="23"/>
      <c r="J599" s="24"/>
      <c r="M599" s="4"/>
      <c r="N599" s="76"/>
      <c r="O599" s="76"/>
      <c r="P599" s="76" t="str">
        <f t="shared" si="72"/>
        <v>,shikkan591_start_date</v>
      </c>
      <c r="Q599" s="76" t="str">
        <f t="shared" si="73"/>
        <v>DATE</v>
      </c>
      <c r="R599" s="76" t="str">
        <f t="shared" si="74"/>
        <v/>
      </c>
      <c r="S599" s="76" t="str">
        <f t="shared" si="75"/>
        <v/>
      </c>
      <c r="T599" s="76" t="str">
        <f t="shared" si="76"/>
        <v>-- I131_疾患開始日</v>
      </c>
      <c r="U599" s="4" t="str">
        <f t="shared" si="77"/>
        <v>,'shikkan591_start_date'</v>
      </c>
      <c r="V599" s="25" t="str">
        <f t="shared" si="78"/>
        <v>,'shikkan591_start_date' : 'I131_疾患開始日'</v>
      </c>
      <c r="X599" s="25">
        <v>1</v>
      </c>
      <c r="AA599" s="4"/>
      <c r="AB599" s="4"/>
      <c r="AC599" s="4"/>
      <c r="AD599" s="4"/>
      <c r="AE599" s="4"/>
      <c r="AF599" s="4"/>
      <c r="AG599" s="4"/>
      <c r="AH599" s="4"/>
      <c r="AI599" s="4"/>
      <c r="AJ599" s="76" t="str">
        <f>IF(E599="○",IF(COUNTA(E$13:E599)=1,"",",")&amp;D599,"")</f>
        <v/>
      </c>
      <c r="AK599" s="4"/>
      <c r="AL599" s="4"/>
      <c r="AM599" s="4"/>
      <c r="AN599" s="4"/>
      <c r="AO599" s="4"/>
      <c r="AP599" s="4"/>
      <c r="AQ599" s="4"/>
      <c r="AR599" s="4"/>
      <c r="AS599" s="76" t="str">
        <f>"COMMENT ON COLUMN "&amp;エンティティ一覧!$O$2&amp;"."&amp;D$8&amp;"."&amp;D599&amp;" IS '"&amp;C599&amp;"';"</f>
        <v>COMMENT ON COLUMN milscm_2023_009.main_diagnosis_start_date.shikkan591_start_date IS 'I131_疾患開始日';</v>
      </c>
    </row>
    <row r="600" spans="1:45" s="25" customFormat="1">
      <c r="A600" s="4" t="s">
        <v>5060</v>
      </c>
      <c r="B600" s="21">
        <f t="shared" si="71"/>
        <v>598</v>
      </c>
      <c r="C600" s="13" t="str">
        <f t="shared" si="79"/>
        <v>I132_疾患開始日</v>
      </c>
      <c r="D600" s="13" t="s">
        <v>6252</v>
      </c>
      <c r="E600" s="8"/>
      <c r="F600" s="7" t="s">
        <v>4348</v>
      </c>
      <c r="G600" s="7" t="s">
        <v>25</v>
      </c>
      <c r="H600" s="58"/>
      <c r="I600" s="23"/>
      <c r="J600" s="24"/>
      <c r="M600" s="4"/>
      <c r="N600" s="76"/>
      <c r="O600" s="76"/>
      <c r="P600" s="76" t="str">
        <f t="shared" si="72"/>
        <v>,shikkan592_start_date</v>
      </c>
      <c r="Q600" s="76" t="str">
        <f t="shared" si="73"/>
        <v>DATE</v>
      </c>
      <c r="R600" s="76" t="str">
        <f t="shared" si="74"/>
        <v/>
      </c>
      <c r="S600" s="76" t="str">
        <f t="shared" si="75"/>
        <v/>
      </c>
      <c r="T600" s="76" t="str">
        <f t="shared" si="76"/>
        <v>-- I132_疾患開始日</v>
      </c>
      <c r="U600" s="4" t="str">
        <f t="shared" si="77"/>
        <v>,'shikkan592_start_date'</v>
      </c>
      <c r="V600" s="25" t="str">
        <f t="shared" si="78"/>
        <v>,'shikkan592_start_date' : 'I132_疾患開始日'</v>
      </c>
      <c r="X600" s="25">
        <v>1</v>
      </c>
      <c r="AA600" s="4"/>
      <c r="AB600" s="4"/>
      <c r="AC600" s="4"/>
      <c r="AD600" s="4"/>
      <c r="AE600" s="4"/>
      <c r="AF600" s="4"/>
      <c r="AG600" s="4"/>
      <c r="AH600" s="4"/>
      <c r="AI600" s="4"/>
      <c r="AJ600" s="76" t="str">
        <f>IF(E600="○",IF(COUNTA(E$13:E600)=1,"",",")&amp;D600,"")</f>
        <v/>
      </c>
      <c r="AK600" s="4"/>
      <c r="AL600" s="4"/>
      <c r="AM600" s="4"/>
      <c r="AN600" s="4"/>
      <c r="AO600" s="4"/>
      <c r="AP600" s="4"/>
      <c r="AQ600" s="4"/>
      <c r="AR600" s="4"/>
      <c r="AS600" s="76" t="str">
        <f>"COMMENT ON COLUMN "&amp;エンティティ一覧!$O$2&amp;"."&amp;D$8&amp;"."&amp;D600&amp;" IS '"&amp;C600&amp;"';"</f>
        <v>COMMENT ON COLUMN milscm_2023_009.main_diagnosis_start_date.shikkan592_start_date IS 'I132_疾患開始日';</v>
      </c>
    </row>
    <row r="601" spans="1:45" s="25" customFormat="1">
      <c r="A601" s="4" t="s">
        <v>5681</v>
      </c>
      <c r="B601" s="21">
        <f t="shared" si="71"/>
        <v>599</v>
      </c>
      <c r="C601" s="13" t="str">
        <f t="shared" si="79"/>
        <v>I210_疾患開始日</v>
      </c>
      <c r="D601" s="13" t="s">
        <v>6253</v>
      </c>
      <c r="E601" s="8"/>
      <c r="F601" s="7" t="s">
        <v>4348</v>
      </c>
      <c r="G601" s="7" t="s">
        <v>25</v>
      </c>
      <c r="H601" s="58"/>
      <c r="I601" s="23"/>
      <c r="J601" s="24"/>
      <c r="M601" s="4"/>
      <c r="N601" s="76"/>
      <c r="O601" s="76"/>
      <c r="P601" s="76" t="str">
        <f t="shared" si="72"/>
        <v>,shikkan593_start_date</v>
      </c>
      <c r="Q601" s="76" t="str">
        <f t="shared" si="73"/>
        <v>DATE</v>
      </c>
      <c r="R601" s="76" t="str">
        <f t="shared" si="74"/>
        <v/>
      </c>
      <c r="S601" s="76" t="str">
        <f t="shared" si="75"/>
        <v/>
      </c>
      <c r="T601" s="76" t="str">
        <f t="shared" si="76"/>
        <v>-- I210_疾患開始日</v>
      </c>
      <c r="U601" s="4" t="str">
        <f t="shared" si="77"/>
        <v>,'shikkan593_start_date'</v>
      </c>
      <c r="V601" s="25" t="str">
        <f t="shared" si="78"/>
        <v>,'shikkan593_start_date' : 'I210_疾患開始日'</v>
      </c>
      <c r="X601" s="25">
        <v>1</v>
      </c>
      <c r="AA601" s="4"/>
      <c r="AB601" s="4"/>
      <c r="AC601" s="4"/>
      <c r="AD601" s="4"/>
      <c r="AE601" s="4"/>
      <c r="AF601" s="4"/>
      <c r="AG601" s="4"/>
      <c r="AH601" s="4"/>
      <c r="AI601" s="4"/>
      <c r="AJ601" s="76" t="str">
        <f>IF(E601="○",IF(COUNTA(E$13:E601)=1,"",",")&amp;D601,"")</f>
        <v/>
      </c>
      <c r="AK601" s="4"/>
      <c r="AL601" s="4"/>
      <c r="AM601" s="4"/>
      <c r="AN601" s="4"/>
      <c r="AO601" s="4"/>
      <c r="AP601" s="4"/>
      <c r="AQ601" s="4"/>
      <c r="AR601" s="4"/>
      <c r="AS601" s="76" t="str">
        <f>"COMMENT ON COLUMN "&amp;エンティティ一覧!$O$2&amp;"."&amp;D$8&amp;"."&amp;D601&amp;" IS '"&amp;C601&amp;"';"</f>
        <v>COMMENT ON COLUMN milscm_2023_009.main_diagnosis_start_date.shikkan593_start_date IS 'I210_疾患開始日';</v>
      </c>
    </row>
    <row r="602" spans="1:45" s="25" customFormat="1">
      <c r="A602" s="4" t="s">
        <v>5682</v>
      </c>
      <c r="B602" s="21">
        <f t="shared" si="71"/>
        <v>600</v>
      </c>
      <c r="C602" s="13" t="str">
        <f t="shared" si="79"/>
        <v>I211_疾患開始日</v>
      </c>
      <c r="D602" s="13" t="s">
        <v>6254</v>
      </c>
      <c r="E602" s="8"/>
      <c r="F602" s="7" t="s">
        <v>4348</v>
      </c>
      <c r="G602" s="7" t="s">
        <v>25</v>
      </c>
      <c r="H602" s="58"/>
      <c r="I602" s="23"/>
      <c r="J602" s="24"/>
      <c r="M602" s="4"/>
      <c r="N602" s="76"/>
      <c r="O602" s="76"/>
      <c r="P602" s="76" t="str">
        <f t="shared" si="72"/>
        <v>,shikkan594_start_date</v>
      </c>
      <c r="Q602" s="76" t="str">
        <f t="shared" si="73"/>
        <v>DATE</v>
      </c>
      <c r="R602" s="76" t="str">
        <f t="shared" si="74"/>
        <v/>
      </c>
      <c r="S602" s="76" t="str">
        <f t="shared" si="75"/>
        <v/>
      </c>
      <c r="T602" s="76" t="str">
        <f t="shared" si="76"/>
        <v>-- I211_疾患開始日</v>
      </c>
      <c r="U602" s="4" t="str">
        <f t="shared" si="77"/>
        <v>,'shikkan594_start_date'</v>
      </c>
      <c r="V602" s="25" t="str">
        <f t="shared" si="78"/>
        <v>,'shikkan594_start_date' : 'I211_疾患開始日'</v>
      </c>
      <c r="X602" s="25">
        <v>1</v>
      </c>
      <c r="AA602" s="4"/>
      <c r="AB602" s="4"/>
      <c r="AC602" s="4"/>
      <c r="AD602" s="4"/>
      <c r="AE602" s="4"/>
      <c r="AF602" s="4"/>
      <c r="AG602" s="4"/>
      <c r="AH602" s="4"/>
      <c r="AI602" s="4"/>
      <c r="AJ602" s="76" t="str">
        <f>IF(E602="○",IF(COUNTA(E$13:E602)=1,"",",")&amp;D602,"")</f>
        <v/>
      </c>
      <c r="AK602" s="4"/>
      <c r="AL602" s="4"/>
      <c r="AM602" s="4"/>
      <c r="AN602" s="4"/>
      <c r="AO602" s="4"/>
      <c r="AP602" s="4"/>
      <c r="AQ602" s="4"/>
      <c r="AR602" s="4"/>
      <c r="AS602" s="76" t="str">
        <f>"COMMENT ON COLUMN "&amp;エンティティ一覧!$O$2&amp;"."&amp;D$8&amp;"."&amp;D602&amp;" IS '"&amp;C602&amp;"';"</f>
        <v>COMMENT ON COLUMN milscm_2023_009.main_diagnosis_start_date.shikkan594_start_date IS 'I211_疾患開始日';</v>
      </c>
    </row>
    <row r="603" spans="1:45" s="25" customFormat="1">
      <c r="A603" s="4" t="s">
        <v>5683</v>
      </c>
      <c r="B603" s="21">
        <f t="shared" si="71"/>
        <v>601</v>
      </c>
      <c r="C603" s="13" t="str">
        <f t="shared" si="79"/>
        <v>I212_疾患開始日</v>
      </c>
      <c r="D603" s="13" t="s">
        <v>6255</v>
      </c>
      <c r="E603" s="8"/>
      <c r="F603" s="7" t="s">
        <v>4348</v>
      </c>
      <c r="G603" s="7" t="s">
        <v>25</v>
      </c>
      <c r="H603" s="58"/>
      <c r="I603" s="23"/>
      <c r="J603" s="24"/>
      <c r="M603" s="4"/>
      <c r="N603" s="76"/>
      <c r="O603" s="76"/>
      <c r="P603" s="76" t="str">
        <f t="shared" si="72"/>
        <v>,shikkan595_start_date</v>
      </c>
      <c r="Q603" s="76" t="str">
        <f t="shared" si="73"/>
        <v>DATE</v>
      </c>
      <c r="R603" s="76" t="str">
        <f t="shared" si="74"/>
        <v/>
      </c>
      <c r="S603" s="76" t="str">
        <f t="shared" si="75"/>
        <v/>
      </c>
      <c r="T603" s="76" t="str">
        <f t="shared" si="76"/>
        <v>-- I212_疾患開始日</v>
      </c>
      <c r="U603" s="4" t="str">
        <f t="shared" si="77"/>
        <v>,'shikkan595_start_date'</v>
      </c>
      <c r="V603" s="25" t="str">
        <f t="shared" si="78"/>
        <v>,'shikkan595_start_date' : 'I212_疾患開始日'</v>
      </c>
      <c r="X603" s="25">
        <v>1</v>
      </c>
      <c r="AA603" s="4"/>
      <c r="AB603" s="4"/>
      <c r="AC603" s="4"/>
      <c r="AD603" s="4"/>
      <c r="AE603" s="4"/>
      <c r="AF603" s="4"/>
      <c r="AG603" s="4"/>
      <c r="AH603" s="4"/>
      <c r="AI603" s="4"/>
      <c r="AJ603" s="76" t="str">
        <f>IF(E603="○",IF(COUNTA(E$13:E603)=1,"",",")&amp;D603,"")</f>
        <v/>
      </c>
      <c r="AK603" s="4"/>
      <c r="AL603" s="4"/>
      <c r="AM603" s="4"/>
      <c r="AN603" s="4"/>
      <c r="AO603" s="4"/>
      <c r="AP603" s="4"/>
      <c r="AQ603" s="4"/>
      <c r="AR603" s="4"/>
      <c r="AS603" s="76" t="str">
        <f>"COMMENT ON COLUMN "&amp;エンティティ一覧!$O$2&amp;"."&amp;D$8&amp;"."&amp;D603&amp;" IS '"&amp;C603&amp;"';"</f>
        <v>COMMENT ON COLUMN milscm_2023_009.main_diagnosis_start_date.shikkan595_start_date IS 'I212_疾患開始日';</v>
      </c>
    </row>
    <row r="604" spans="1:45" s="25" customFormat="1">
      <c r="A604" s="4" t="s">
        <v>5684</v>
      </c>
      <c r="B604" s="21">
        <f t="shared" si="71"/>
        <v>602</v>
      </c>
      <c r="C604" s="13" t="str">
        <f t="shared" si="79"/>
        <v>I213_疾患開始日</v>
      </c>
      <c r="D604" s="13" t="s">
        <v>6256</v>
      </c>
      <c r="E604" s="8"/>
      <c r="F604" s="7" t="s">
        <v>4348</v>
      </c>
      <c r="G604" s="7" t="s">
        <v>25</v>
      </c>
      <c r="H604" s="58"/>
      <c r="I604" s="23"/>
      <c r="J604" s="24"/>
      <c r="M604" s="4"/>
      <c r="N604" s="76"/>
      <c r="O604" s="76"/>
      <c r="P604" s="76" t="str">
        <f t="shared" si="72"/>
        <v>,shikkan596_start_date</v>
      </c>
      <c r="Q604" s="76" t="str">
        <f t="shared" si="73"/>
        <v>DATE</v>
      </c>
      <c r="R604" s="76" t="str">
        <f t="shared" si="74"/>
        <v/>
      </c>
      <c r="S604" s="76" t="str">
        <f t="shared" si="75"/>
        <v/>
      </c>
      <c r="T604" s="76" t="str">
        <f t="shared" si="76"/>
        <v>-- I213_疾患開始日</v>
      </c>
      <c r="U604" s="4" t="str">
        <f t="shared" si="77"/>
        <v>,'shikkan596_start_date'</v>
      </c>
      <c r="V604" s="25" t="str">
        <f t="shared" si="78"/>
        <v>,'shikkan596_start_date' : 'I213_疾患開始日'</v>
      </c>
      <c r="X604" s="25">
        <v>1</v>
      </c>
      <c r="AA604" s="4"/>
      <c r="AB604" s="4"/>
      <c r="AC604" s="4"/>
      <c r="AD604" s="4"/>
      <c r="AE604" s="4"/>
      <c r="AF604" s="4"/>
      <c r="AG604" s="4"/>
      <c r="AH604" s="4"/>
      <c r="AI604" s="4"/>
      <c r="AJ604" s="76" t="str">
        <f>IF(E604="○",IF(COUNTA(E$13:E604)=1,"",",")&amp;D604,"")</f>
        <v/>
      </c>
      <c r="AK604" s="4"/>
      <c r="AL604" s="4"/>
      <c r="AM604" s="4"/>
      <c r="AN604" s="4"/>
      <c r="AO604" s="4"/>
      <c r="AP604" s="4"/>
      <c r="AQ604" s="4"/>
      <c r="AR604" s="4"/>
      <c r="AS604" s="76" t="str">
        <f>"COMMENT ON COLUMN "&amp;エンティティ一覧!$O$2&amp;"."&amp;D$8&amp;"."&amp;D604&amp;" IS '"&amp;C604&amp;"';"</f>
        <v>COMMENT ON COLUMN milscm_2023_009.main_diagnosis_start_date.shikkan596_start_date IS 'I213_疾患開始日';</v>
      </c>
    </row>
    <row r="605" spans="1:45" s="25" customFormat="1">
      <c r="A605" s="4" t="s">
        <v>5685</v>
      </c>
      <c r="B605" s="21">
        <f t="shared" si="71"/>
        <v>603</v>
      </c>
      <c r="C605" s="13" t="str">
        <f t="shared" si="79"/>
        <v>I214_疾患開始日</v>
      </c>
      <c r="D605" s="13" t="s">
        <v>6257</v>
      </c>
      <c r="E605" s="8"/>
      <c r="F605" s="7" t="s">
        <v>4348</v>
      </c>
      <c r="G605" s="7" t="s">
        <v>25</v>
      </c>
      <c r="H605" s="58"/>
      <c r="I605" s="23"/>
      <c r="J605" s="24"/>
      <c r="M605" s="4"/>
      <c r="N605" s="76"/>
      <c r="O605" s="76"/>
      <c r="P605" s="76" t="str">
        <f t="shared" si="72"/>
        <v>,shikkan597_start_date</v>
      </c>
      <c r="Q605" s="76" t="str">
        <f t="shared" si="73"/>
        <v>DATE</v>
      </c>
      <c r="R605" s="76" t="str">
        <f t="shared" si="74"/>
        <v/>
      </c>
      <c r="S605" s="76" t="str">
        <f t="shared" si="75"/>
        <v/>
      </c>
      <c r="T605" s="76" t="str">
        <f t="shared" si="76"/>
        <v>-- I214_疾患開始日</v>
      </c>
      <c r="U605" s="4" t="str">
        <f t="shared" si="77"/>
        <v>,'shikkan597_start_date'</v>
      </c>
      <c r="V605" s="25" t="str">
        <f t="shared" si="78"/>
        <v>,'shikkan597_start_date' : 'I214_疾患開始日'</v>
      </c>
      <c r="X605" s="25">
        <v>1</v>
      </c>
      <c r="AA605" s="4"/>
      <c r="AB605" s="4"/>
      <c r="AC605" s="4"/>
      <c r="AD605" s="4"/>
      <c r="AE605" s="4"/>
      <c r="AF605" s="4"/>
      <c r="AG605" s="4"/>
      <c r="AH605" s="4"/>
      <c r="AI605" s="4"/>
      <c r="AJ605" s="76" t="str">
        <f>IF(E605="○",IF(COUNTA(E$13:E605)=1,"",",")&amp;D605,"")</f>
        <v/>
      </c>
      <c r="AK605" s="4"/>
      <c r="AL605" s="4"/>
      <c r="AM605" s="4"/>
      <c r="AN605" s="4"/>
      <c r="AO605" s="4"/>
      <c r="AP605" s="4"/>
      <c r="AQ605" s="4"/>
      <c r="AR605" s="4"/>
      <c r="AS605" s="76" t="str">
        <f>"COMMENT ON COLUMN "&amp;エンティティ一覧!$O$2&amp;"."&amp;D$8&amp;"."&amp;D605&amp;" IS '"&amp;C605&amp;"';"</f>
        <v>COMMENT ON COLUMN milscm_2023_009.main_diagnosis_start_date.shikkan597_start_date IS 'I214_疾患開始日';</v>
      </c>
    </row>
    <row r="606" spans="1:45" s="25" customFormat="1">
      <c r="A606" s="4" t="s">
        <v>5686</v>
      </c>
      <c r="B606" s="21">
        <f t="shared" si="71"/>
        <v>604</v>
      </c>
      <c r="C606" s="13" t="str">
        <f t="shared" si="79"/>
        <v>I219_疾患開始日</v>
      </c>
      <c r="D606" s="13" t="s">
        <v>6258</v>
      </c>
      <c r="E606" s="8"/>
      <c r="F606" s="7" t="s">
        <v>4348</v>
      </c>
      <c r="G606" s="7" t="s">
        <v>25</v>
      </c>
      <c r="H606" s="58"/>
      <c r="I606" s="23"/>
      <c r="J606" s="24"/>
      <c r="M606" s="4"/>
      <c r="N606" s="76"/>
      <c r="O606" s="76"/>
      <c r="P606" s="76" t="str">
        <f t="shared" si="72"/>
        <v>,shikkan598_start_date</v>
      </c>
      <c r="Q606" s="76" t="str">
        <f t="shared" si="73"/>
        <v>DATE</v>
      </c>
      <c r="R606" s="76" t="str">
        <f t="shared" si="74"/>
        <v/>
      </c>
      <c r="S606" s="76" t="str">
        <f t="shared" si="75"/>
        <v/>
      </c>
      <c r="T606" s="76" t="str">
        <f t="shared" si="76"/>
        <v>-- I219_疾患開始日</v>
      </c>
      <c r="U606" s="4" t="str">
        <f t="shared" si="77"/>
        <v>,'shikkan598_start_date'</v>
      </c>
      <c r="V606" s="25" t="str">
        <f t="shared" si="78"/>
        <v>,'shikkan598_start_date' : 'I219_疾患開始日'</v>
      </c>
      <c r="X606" s="25">
        <v>1</v>
      </c>
      <c r="AA606" s="4"/>
      <c r="AB606" s="4"/>
      <c r="AC606" s="4"/>
      <c r="AD606" s="4"/>
      <c r="AE606" s="4"/>
      <c r="AF606" s="4"/>
      <c r="AG606" s="4"/>
      <c r="AH606" s="4"/>
      <c r="AI606" s="4"/>
      <c r="AJ606" s="76" t="str">
        <f>IF(E606="○",IF(COUNTA(E$13:E606)=1,"",",")&amp;D606,"")</f>
        <v/>
      </c>
      <c r="AK606" s="4"/>
      <c r="AL606" s="4"/>
      <c r="AM606" s="4"/>
      <c r="AN606" s="4"/>
      <c r="AO606" s="4"/>
      <c r="AP606" s="4"/>
      <c r="AQ606" s="4"/>
      <c r="AR606" s="4"/>
      <c r="AS606" s="76" t="str">
        <f>"COMMENT ON COLUMN "&amp;エンティティ一覧!$O$2&amp;"."&amp;D$8&amp;"."&amp;D606&amp;" IS '"&amp;C606&amp;"';"</f>
        <v>COMMENT ON COLUMN milscm_2023_009.main_diagnosis_start_date.shikkan598_start_date IS 'I219_疾患開始日';</v>
      </c>
    </row>
    <row r="607" spans="1:45" s="25" customFormat="1">
      <c r="A607" s="4" t="s">
        <v>5687</v>
      </c>
      <c r="B607" s="21">
        <f t="shared" si="71"/>
        <v>605</v>
      </c>
      <c r="C607" s="13" t="str">
        <f t="shared" si="79"/>
        <v>I220_疾患開始日</v>
      </c>
      <c r="D607" s="13" t="s">
        <v>6259</v>
      </c>
      <c r="E607" s="8"/>
      <c r="F607" s="7" t="s">
        <v>4348</v>
      </c>
      <c r="G607" s="7" t="s">
        <v>25</v>
      </c>
      <c r="H607" s="58"/>
      <c r="I607" s="23"/>
      <c r="J607" s="24"/>
      <c r="M607" s="4"/>
      <c r="N607" s="76"/>
      <c r="O607" s="76"/>
      <c r="P607" s="76" t="str">
        <f t="shared" si="72"/>
        <v>,shikkan599_start_date</v>
      </c>
      <c r="Q607" s="76" t="str">
        <f t="shared" si="73"/>
        <v>DATE</v>
      </c>
      <c r="R607" s="76" t="str">
        <f t="shared" si="74"/>
        <v/>
      </c>
      <c r="S607" s="76" t="str">
        <f t="shared" si="75"/>
        <v/>
      </c>
      <c r="T607" s="76" t="str">
        <f t="shared" si="76"/>
        <v>-- I220_疾患開始日</v>
      </c>
      <c r="U607" s="4" t="str">
        <f t="shared" si="77"/>
        <v>,'shikkan599_start_date'</v>
      </c>
      <c r="V607" s="25" t="str">
        <f t="shared" si="78"/>
        <v>,'shikkan599_start_date' : 'I220_疾患開始日'</v>
      </c>
      <c r="X607" s="25">
        <v>1</v>
      </c>
      <c r="AA607" s="4"/>
      <c r="AB607" s="4"/>
      <c r="AC607" s="4"/>
      <c r="AD607" s="4"/>
      <c r="AE607" s="4"/>
      <c r="AF607" s="4"/>
      <c r="AG607" s="4"/>
      <c r="AH607" s="4"/>
      <c r="AI607" s="4"/>
      <c r="AJ607" s="76" t="str">
        <f>IF(E607="○",IF(COUNTA(E$13:E607)=1,"",",")&amp;D607,"")</f>
        <v/>
      </c>
      <c r="AK607" s="4"/>
      <c r="AL607" s="4"/>
      <c r="AM607" s="4"/>
      <c r="AN607" s="4"/>
      <c r="AO607" s="4"/>
      <c r="AP607" s="4"/>
      <c r="AQ607" s="4"/>
      <c r="AR607" s="4"/>
      <c r="AS607" s="76" t="str">
        <f>"COMMENT ON COLUMN "&amp;エンティティ一覧!$O$2&amp;"."&amp;D$8&amp;"."&amp;D607&amp;" IS '"&amp;C607&amp;"';"</f>
        <v>COMMENT ON COLUMN milscm_2023_009.main_diagnosis_start_date.shikkan599_start_date IS 'I220_疾患開始日';</v>
      </c>
    </row>
    <row r="608" spans="1:45" s="25" customFormat="1">
      <c r="A608" s="4" t="s">
        <v>5688</v>
      </c>
      <c r="B608" s="21">
        <f t="shared" si="71"/>
        <v>606</v>
      </c>
      <c r="C608" s="13" t="str">
        <f t="shared" si="79"/>
        <v>I221_疾患開始日</v>
      </c>
      <c r="D608" s="13" t="s">
        <v>6260</v>
      </c>
      <c r="E608" s="8"/>
      <c r="F608" s="7" t="s">
        <v>4348</v>
      </c>
      <c r="G608" s="7" t="s">
        <v>25</v>
      </c>
      <c r="H608" s="58"/>
      <c r="I608" s="23"/>
      <c r="J608" s="24"/>
      <c r="M608" s="4"/>
      <c r="N608" s="76"/>
      <c r="O608" s="76"/>
      <c r="P608" s="76" t="str">
        <f t="shared" si="72"/>
        <v>,shikkan600_start_date</v>
      </c>
      <c r="Q608" s="76" t="str">
        <f t="shared" si="73"/>
        <v>DATE</v>
      </c>
      <c r="R608" s="76" t="str">
        <f t="shared" si="74"/>
        <v/>
      </c>
      <c r="S608" s="76" t="str">
        <f t="shared" si="75"/>
        <v/>
      </c>
      <c r="T608" s="76" t="str">
        <f t="shared" si="76"/>
        <v>-- I221_疾患開始日</v>
      </c>
      <c r="U608" s="4" t="str">
        <f t="shared" si="77"/>
        <v>,'shikkan600_start_date'</v>
      </c>
      <c r="V608" s="25" t="str">
        <f t="shared" si="78"/>
        <v>,'shikkan600_start_date' : 'I221_疾患開始日'</v>
      </c>
      <c r="X608" s="25">
        <v>1</v>
      </c>
      <c r="AA608" s="4"/>
      <c r="AB608" s="4"/>
      <c r="AC608" s="4"/>
      <c r="AD608" s="4"/>
      <c r="AE608" s="4"/>
      <c r="AF608" s="4"/>
      <c r="AG608" s="4"/>
      <c r="AH608" s="4"/>
      <c r="AI608" s="4"/>
      <c r="AJ608" s="76" t="str">
        <f>IF(E608="○",IF(COUNTA(E$13:E608)=1,"",",")&amp;D608,"")</f>
        <v/>
      </c>
      <c r="AK608" s="4"/>
      <c r="AL608" s="4"/>
      <c r="AM608" s="4"/>
      <c r="AN608" s="4"/>
      <c r="AO608" s="4"/>
      <c r="AP608" s="4"/>
      <c r="AQ608" s="4"/>
      <c r="AR608" s="4"/>
      <c r="AS608" s="76" t="str">
        <f>"COMMENT ON COLUMN "&amp;エンティティ一覧!$O$2&amp;"."&amp;D$8&amp;"."&amp;D608&amp;" IS '"&amp;C608&amp;"';"</f>
        <v>COMMENT ON COLUMN milscm_2023_009.main_diagnosis_start_date.shikkan600_start_date IS 'I221_疾患開始日';</v>
      </c>
    </row>
    <row r="609" spans="1:45" s="25" customFormat="1">
      <c r="A609" s="4" t="s">
        <v>5689</v>
      </c>
      <c r="B609" s="21">
        <f t="shared" si="71"/>
        <v>607</v>
      </c>
      <c r="C609" s="13" t="str">
        <f t="shared" si="79"/>
        <v>I228_疾患開始日</v>
      </c>
      <c r="D609" s="13" t="s">
        <v>6261</v>
      </c>
      <c r="E609" s="8"/>
      <c r="F609" s="7" t="s">
        <v>4348</v>
      </c>
      <c r="G609" s="7" t="s">
        <v>25</v>
      </c>
      <c r="H609" s="58"/>
      <c r="I609" s="23"/>
      <c r="J609" s="24"/>
      <c r="M609" s="4"/>
      <c r="N609" s="76"/>
      <c r="O609" s="76"/>
      <c r="P609" s="76" t="str">
        <f t="shared" si="72"/>
        <v>,shikkan601_start_date</v>
      </c>
      <c r="Q609" s="76" t="str">
        <f t="shared" si="73"/>
        <v>DATE</v>
      </c>
      <c r="R609" s="76" t="str">
        <f t="shared" si="74"/>
        <v/>
      </c>
      <c r="S609" s="76" t="str">
        <f t="shared" si="75"/>
        <v/>
      </c>
      <c r="T609" s="76" t="str">
        <f t="shared" si="76"/>
        <v>-- I228_疾患開始日</v>
      </c>
      <c r="U609" s="4" t="str">
        <f t="shared" si="77"/>
        <v>,'shikkan601_start_date'</v>
      </c>
      <c r="V609" s="25" t="str">
        <f t="shared" si="78"/>
        <v>,'shikkan601_start_date' : 'I228_疾患開始日'</v>
      </c>
      <c r="X609" s="25">
        <v>1</v>
      </c>
      <c r="AA609" s="4"/>
      <c r="AB609" s="4"/>
      <c r="AC609" s="4"/>
      <c r="AD609" s="4"/>
      <c r="AE609" s="4"/>
      <c r="AF609" s="4"/>
      <c r="AG609" s="4"/>
      <c r="AH609" s="4"/>
      <c r="AI609" s="4"/>
      <c r="AJ609" s="76" t="str">
        <f>IF(E609="○",IF(COUNTA(E$13:E609)=1,"",",")&amp;D609,"")</f>
        <v/>
      </c>
      <c r="AK609" s="4"/>
      <c r="AL609" s="4"/>
      <c r="AM609" s="4"/>
      <c r="AN609" s="4"/>
      <c r="AO609" s="4"/>
      <c r="AP609" s="4"/>
      <c r="AQ609" s="4"/>
      <c r="AR609" s="4"/>
      <c r="AS609" s="76" t="str">
        <f>"COMMENT ON COLUMN "&amp;エンティティ一覧!$O$2&amp;"."&amp;D$8&amp;"."&amp;D609&amp;" IS '"&amp;C609&amp;"';"</f>
        <v>COMMENT ON COLUMN milscm_2023_009.main_diagnosis_start_date.shikkan601_start_date IS 'I228_疾患開始日';</v>
      </c>
    </row>
    <row r="610" spans="1:45" s="25" customFormat="1">
      <c r="A610" s="4" t="s">
        <v>5690</v>
      </c>
      <c r="B610" s="21">
        <f t="shared" si="71"/>
        <v>608</v>
      </c>
      <c r="C610" s="13" t="str">
        <f t="shared" si="79"/>
        <v>I229_疾患開始日</v>
      </c>
      <c r="D610" s="13" t="s">
        <v>6262</v>
      </c>
      <c r="E610" s="8"/>
      <c r="F610" s="7" t="s">
        <v>4348</v>
      </c>
      <c r="G610" s="7" t="s">
        <v>25</v>
      </c>
      <c r="H610" s="58"/>
      <c r="I610" s="23"/>
      <c r="J610" s="24"/>
      <c r="M610" s="4"/>
      <c r="N610" s="76"/>
      <c r="O610" s="76"/>
      <c r="P610" s="76" t="str">
        <f t="shared" si="72"/>
        <v>,shikkan602_start_date</v>
      </c>
      <c r="Q610" s="76" t="str">
        <f t="shared" si="73"/>
        <v>DATE</v>
      </c>
      <c r="R610" s="76" t="str">
        <f t="shared" si="74"/>
        <v/>
      </c>
      <c r="S610" s="76" t="str">
        <f t="shared" si="75"/>
        <v/>
      </c>
      <c r="T610" s="76" t="str">
        <f t="shared" si="76"/>
        <v>-- I229_疾患開始日</v>
      </c>
      <c r="U610" s="4" t="str">
        <f t="shared" si="77"/>
        <v>,'shikkan602_start_date'</v>
      </c>
      <c r="V610" s="25" t="str">
        <f t="shared" si="78"/>
        <v>,'shikkan602_start_date' : 'I229_疾患開始日'</v>
      </c>
      <c r="X610" s="25">
        <v>1</v>
      </c>
      <c r="AA610" s="4"/>
      <c r="AB610" s="4"/>
      <c r="AC610" s="4"/>
      <c r="AD610" s="4"/>
      <c r="AE610" s="4"/>
      <c r="AF610" s="4"/>
      <c r="AG610" s="4"/>
      <c r="AH610" s="4"/>
      <c r="AI610" s="4"/>
      <c r="AJ610" s="76" t="str">
        <f>IF(E610="○",IF(COUNTA(E$13:E610)=1,"",",")&amp;D610,"")</f>
        <v/>
      </c>
      <c r="AK610" s="4"/>
      <c r="AL610" s="4"/>
      <c r="AM610" s="4"/>
      <c r="AN610" s="4"/>
      <c r="AO610" s="4"/>
      <c r="AP610" s="4"/>
      <c r="AQ610" s="4"/>
      <c r="AR610" s="4"/>
      <c r="AS610" s="76" t="str">
        <f>"COMMENT ON COLUMN "&amp;エンティティ一覧!$O$2&amp;"."&amp;D$8&amp;"."&amp;D610&amp;" IS '"&amp;C610&amp;"';"</f>
        <v>COMMENT ON COLUMN milscm_2023_009.main_diagnosis_start_date.shikkan602_start_date IS 'I229_疾患開始日';</v>
      </c>
    </row>
    <row r="611" spans="1:45" s="25" customFormat="1">
      <c r="A611" s="4" t="s">
        <v>5058</v>
      </c>
      <c r="B611" s="21">
        <f t="shared" si="71"/>
        <v>609</v>
      </c>
      <c r="C611" s="13" t="str">
        <f t="shared" si="79"/>
        <v>I252_疾患開始日</v>
      </c>
      <c r="D611" s="13" t="s">
        <v>6263</v>
      </c>
      <c r="E611" s="8"/>
      <c r="F611" s="7" t="s">
        <v>4348</v>
      </c>
      <c r="G611" s="7" t="s">
        <v>25</v>
      </c>
      <c r="H611" s="58"/>
      <c r="I611" s="23"/>
      <c r="J611" s="24"/>
      <c r="M611" s="4"/>
      <c r="N611" s="76"/>
      <c r="O611" s="76"/>
      <c r="P611" s="76" t="str">
        <f t="shared" si="72"/>
        <v>,shikkan603_start_date</v>
      </c>
      <c r="Q611" s="76" t="str">
        <f t="shared" si="73"/>
        <v>DATE</v>
      </c>
      <c r="R611" s="76" t="str">
        <f t="shared" si="74"/>
        <v/>
      </c>
      <c r="S611" s="76" t="str">
        <f t="shared" si="75"/>
        <v/>
      </c>
      <c r="T611" s="76" t="str">
        <f t="shared" si="76"/>
        <v>-- I252_疾患開始日</v>
      </c>
      <c r="U611" s="4" t="str">
        <f t="shared" si="77"/>
        <v>,'shikkan603_start_date'</v>
      </c>
      <c r="V611" s="25" t="str">
        <f t="shared" si="78"/>
        <v>,'shikkan603_start_date' : 'I252_疾患開始日'</v>
      </c>
      <c r="X611" s="25">
        <v>1</v>
      </c>
      <c r="AA611" s="4"/>
      <c r="AB611" s="4"/>
      <c r="AC611" s="4"/>
      <c r="AD611" s="4"/>
      <c r="AE611" s="4"/>
      <c r="AF611" s="4"/>
      <c r="AG611" s="4"/>
      <c r="AH611" s="4"/>
      <c r="AI611" s="4"/>
      <c r="AJ611" s="76" t="str">
        <f>IF(E611="○",IF(COUNTA(E$13:E611)=1,"",",")&amp;D611,"")</f>
        <v/>
      </c>
      <c r="AK611" s="4"/>
      <c r="AL611" s="4"/>
      <c r="AM611" s="4"/>
      <c r="AN611" s="4"/>
      <c r="AO611" s="4"/>
      <c r="AP611" s="4"/>
      <c r="AQ611" s="4"/>
      <c r="AR611" s="4"/>
      <c r="AS611" s="76" t="str">
        <f>"COMMENT ON COLUMN "&amp;エンティティ一覧!$O$2&amp;"."&amp;D$8&amp;"."&amp;D611&amp;" IS '"&amp;C611&amp;"';"</f>
        <v>COMMENT ON COLUMN milscm_2023_009.main_diagnosis_start_date.shikkan603_start_date IS 'I252_疾患開始日';</v>
      </c>
    </row>
    <row r="612" spans="1:45" s="25" customFormat="1">
      <c r="A612" s="4" t="s">
        <v>5061</v>
      </c>
      <c r="B612" s="21">
        <f t="shared" si="71"/>
        <v>610</v>
      </c>
      <c r="C612" s="13" t="str">
        <f t="shared" si="79"/>
        <v>I255_疾患開始日</v>
      </c>
      <c r="D612" s="13" t="s">
        <v>6264</v>
      </c>
      <c r="E612" s="8"/>
      <c r="F612" s="7" t="s">
        <v>4348</v>
      </c>
      <c r="G612" s="7" t="s">
        <v>25</v>
      </c>
      <c r="H612" s="58"/>
      <c r="I612" s="23"/>
      <c r="J612" s="24"/>
      <c r="M612" s="4"/>
      <c r="N612" s="76"/>
      <c r="O612" s="76"/>
      <c r="P612" s="76" t="str">
        <f t="shared" si="72"/>
        <v>,shikkan604_start_date</v>
      </c>
      <c r="Q612" s="76" t="str">
        <f t="shared" si="73"/>
        <v>DATE</v>
      </c>
      <c r="R612" s="76" t="str">
        <f t="shared" si="74"/>
        <v/>
      </c>
      <c r="S612" s="76" t="str">
        <f t="shared" si="75"/>
        <v/>
      </c>
      <c r="T612" s="76" t="str">
        <f t="shared" si="76"/>
        <v>-- I255_疾患開始日</v>
      </c>
      <c r="U612" s="4" t="str">
        <f t="shared" si="77"/>
        <v>,'shikkan604_start_date'</v>
      </c>
      <c r="V612" s="25" t="str">
        <f t="shared" si="78"/>
        <v>,'shikkan604_start_date' : 'I255_疾患開始日'</v>
      </c>
      <c r="X612" s="25">
        <v>1</v>
      </c>
      <c r="AA612" s="4"/>
      <c r="AB612" s="4"/>
      <c r="AC612" s="4"/>
      <c r="AD612" s="4"/>
      <c r="AE612" s="4"/>
      <c r="AF612" s="4"/>
      <c r="AG612" s="4"/>
      <c r="AH612" s="4"/>
      <c r="AI612" s="4"/>
      <c r="AJ612" s="76" t="str">
        <f>IF(E612="○",IF(COUNTA(E$13:E612)=1,"",",")&amp;D612,"")</f>
        <v/>
      </c>
      <c r="AK612" s="4"/>
      <c r="AL612" s="4"/>
      <c r="AM612" s="4"/>
      <c r="AN612" s="4"/>
      <c r="AO612" s="4"/>
      <c r="AP612" s="4"/>
      <c r="AQ612" s="4"/>
      <c r="AR612" s="4"/>
      <c r="AS612" s="76" t="str">
        <f>"COMMENT ON COLUMN "&amp;エンティティ一覧!$O$2&amp;"."&amp;D$8&amp;"."&amp;D612&amp;" IS '"&amp;C612&amp;"';"</f>
        <v>COMMENT ON COLUMN milscm_2023_009.main_diagnosis_start_date.shikkan604_start_date IS 'I255_疾患開始日';</v>
      </c>
    </row>
    <row r="613" spans="1:45" s="25" customFormat="1">
      <c r="A613" s="4" t="s">
        <v>5691</v>
      </c>
      <c r="B613" s="21">
        <f t="shared" si="71"/>
        <v>611</v>
      </c>
      <c r="C613" s="13" t="str">
        <f t="shared" si="79"/>
        <v>I278_疾患開始日</v>
      </c>
      <c r="D613" s="13" t="s">
        <v>6265</v>
      </c>
      <c r="E613" s="8"/>
      <c r="F613" s="7" t="s">
        <v>4348</v>
      </c>
      <c r="G613" s="7" t="s">
        <v>25</v>
      </c>
      <c r="H613" s="58"/>
      <c r="I613" s="23"/>
      <c r="J613" s="24"/>
      <c r="M613" s="4"/>
      <c r="N613" s="76"/>
      <c r="O613" s="76"/>
      <c r="P613" s="76" t="str">
        <f t="shared" si="72"/>
        <v>,shikkan605_start_date</v>
      </c>
      <c r="Q613" s="76" t="str">
        <f t="shared" si="73"/>
        <v>DATE</v>
      </c>
      <c r="R613" s="76" t="str">
        <f t="shared" si="74"/>
        <v/>
      </c>
      <c r="S613" s="76" t="str">
        <f t="shared" si="75"/>
        <v/>
      </c>
      <c r="T613" s="76" t="str">
        <f t="shared" si="76"/>
        <v>-- I278_疾患開始日</v>
      </c>
      <c r="U613" s="4" t="str">
        <f t="shared" si="77"/>
        <v>,'shikkan605_start_date'</v>
      </c>
      <c r="V613" s="25" t="str">
        <f t="shared" si="78"/>
        <v>,'shikkan605_start_date' : 'I278_疾患開始日'</v>
      </c>
      <c r="X613" s="25">
        <v>1</v>
      </c>
      <c r="AA613" s="4"/>
      <c r="AB613" s="4"/>
      <c r="AC613" s="4"/>
      <c r="AD613" s="4"/>
      <c r="AE613" s="4"/>
      <c r="AF613" s="4"/>
      <c r="AG613" s="4"/>
      <c r="AH613" s="4"/>
      <c r="AI613" s="4"/>
      <c r="AJ613" s="76" t="str">
        <f>IF(E613="○",IF(COUNTA(E$13:E613)=1,"",",")&amp;D613,"")</f>
        <v/>
      </c>
      <c r="AK613" s="4"/>
      <c r="AL613" s="4"/>
      <c r="AM613" s="4"/>
      <c r="AN613" s="4"/>
      <c r="AO613" s="4"/>
      <c r="AP613" s="4"/>
      <c r="AQ613" s="4"/>
      <c r="AR613" s="4"/>
      <c r="AS613" s="76" t="str">
        <f>"COMMENT ON COLUMN "&amp;エンティティ一覧!$O$2&amp;"."&amp;D$8&amp;"."&amp;D613&amp;" IS '"&amp;C613&amp;"';"</f>
        <v>COMMENT ON COLUMN milscm_2023_009.main_diagnosis_start_date.shikkan605_start_date IS 'I278_疾患開始日';</v>
      </c>
    </row>
    <row r="614" spans="1:45" s="25" customFormat="1">
      <c r="A614" s="4" t="s">
        <v>5692</v>
      </c>
      <c r="B614" s="21">
        <f t="shared" si="71"/>
        <v>612</v>
      </c>
      <c r="C614" s="13" t="str">
        <f t="shared" si="79"/>
        <v>I279_疾患開始日</v>
      </c>
      <c r="D614" s="13" t="s">
        <v>6266</v>
      </c>
      <c r="E614" s="8"/>
      <c r="F614" s="7" t="s">
        <v>4348</v>
      </c>
      <c r="G614" s="7" t="s">
        <v>25</v>
      </c>
      <c r="H614" s="58"/>
      <c r="I614" s="23"/>
      <c r="J614" s="24"/>
      <c r="M614" s="4"/>
      <c r="N614" s="76"/>
      <c r="O614" s="76"/>
      <c r="P614" s="76" t="str">
        <f t="shared" si="72"/>
        <v>,shikkan606_start_date</v>
      </c>
      <c r="Q614" s="76" t="str">
        <f t="shared" si="73"/>
        <v>DATE</v>
      </c>
      <c r="R614" s="76" t="str">
        <f t="shared" si="74"/>
        <v/>
      </c>
      <c r="S614" s="76" t="str">
        <f t="shared" si="75"/>
        <v/>
      </c>
      <c r="T614" s="76" t="str">
        <f t="shared" si="76"/>
        <v>-- I279_疾患開始日</v>
      </c>
      <c r="U614" s="4" t="str">
        <f t="shared" si="77"/>
        <v>,'shikkan606_start_date'</v>
      </c>
      <c r="V614" s="25" t="str">
        <f t="shared" si="78"/>
        <v>,'shikkan606_start_date' : 'I279_疾患開始日'</v>
      </c>
      <c r="X614" s="25">
        <v>1</v>
      </c>
      <c r="AA614" s="4"/>
      <c r="AB614" s="4"/>
      <c r="AC614" s="4"/>
      <c r="AD614" s="4"/>
      <c r="AE614" s="4"/>
      <c r="AF614" s="4"/>
      <c r="AG614" s="4"/>
      <c r="AH614" s="4"/>
      <c r="AI614" s="4"/>
      <c r="AJ614" s="76" t="str">
        <f>IF(E614="○",IF(COUNTA(E$13:E614)=1,"",",")&amp;D614,"")</f>
        <v/>
      </c>
      <c r="AK614" s="4"/>
      <c r="AL614" s="4"/>
      <c r="AM614" s="4"/>
      <c r="AN614" s="4"/>
      <c r="AO614" s="4"/>
      <c r="AP614" s="4"/>
      <c r="AQ614" s="4"/>
      <c r="AR614" s="4"/>
      <c r="AS614" s="76" t="str">
        <f>"COMMENT ON COLUMN "&amp;エンティティ一覧!$O$2&amp;"."&amp;D$8&amp;"."&amp;D614&amp;" IS '"&amp;C614&amp;"';"</f>
        <v>COMMENT ON COLUMN milscm_2023_009.main_diagnosis_start_date.shikkan606_start_date IS 'I279_疾患開始日';</v>
      </c>
    </row>
    <row r="615" spans="1:45" s="25" customFormat="1">
      <c r="A615" s="4" t="s">
        <v>5693</v>
      </c>
      <c r="B615" s="21">
        <f t="shared" si="71"/>
        <v>613</v>
      </c>
      <c r="C615" s="13" t="str">
        <f t="shared" si="79"/>
        <v>I420_疾患開始日</v>
      </c>
      <c r="D615" s="13" t="s">
        <v>6267</v>
      </c>
      <c r="E615" s="8"/>
      <c r="F615" s="7" t="s">
        <v>4348</v>
      </c>
      <c r="G615" s="7" t="s">
        <v>99</v>
      </c>
      <c r="H615" s="58"/>
      <c r="I615" s="23"/>
      <c r="J615" s="24"/>
      <c r="M615" s="4"/>
      <c r="N615" s="76"/>
      <c r="O615" s="76"/>
      <c r="P615" s="76" t="str">
        <f t="shared" si="72"/>
        <v>,shikkan607_start_date</v>
      </c>
      <c r="Q615" s="76" t="str">
        <f t="shared" si="73"/>
        <v>DATE</v>
      </c>
      <c r="R615" s="76" t="str">
        <f t="shared" si="74"/>
        <v/>
      </c>
      <c r="S615" s="76" t="str">
        <f t="shared" si="75"/>
        <v/>
      </c>
      <c r="T615" s="76" t="str">
        <f t="shared" si="76"/>
        <v>-- I420_疾患開始日</v>
      </c>
      <c r="U615" s="4" t="str">
        <f t="shared" si="77"/>
        <v>,'shikkan607_start_date'</v>
      </c>
      <c r="V615" s="25" t="str">
        <f t="shared" si="78"/>
        <v>,'shikkan607_start_date' : 'I420_疾患開始日'</v>
      </c>
      <c r="X615" s="25">
        <v>1</v>
      </c>
      <c r="AA615" s="4"/>
      <c r="AB615" s="4"/>
      <c r="AC615" s="4"/>
      <c r="AD615" s="4"/>
      <c r="AE615" s="4"/>
      <c r="AF615" s="4"/>
      <c r="AG615" s="4"/>
      <c r="AH615" s="4"/>
      <c r="AI615" s="4"/>
      <c r="AJ615" s="76" t="str">
        <f>IF(E615="○",IF(COUNTA(E$13:E615)=1,"",",")&amp;D615,"")</f>
        <v/>
      </c>
      <c r="AK615" s="4"/>
      <c r="AL615" s="4"/>
      <c r="AM615" s="4"/>
      <c r="AN615" s="4"/>
      <c r="AO615" s="4"/>
      <c r="AP615" s="4"/>
      <c r="AQ615" s="4"/>
      <c r="AR615" s="4"/>
      <c r="AS615" s="76" t="str">
        <f>"COMMENT ON COLUMN "&amp;エンティティ一覧!$O$2&amp;"."&amp;D$8&amp;"."&amp;D615&amp;" IS '"&amp;C615&amp;"';"</f>
        <v>COMMENT ON COLUMN milscm_2023_009.main_diagnosis_start_date.shikkan607_start_date IS 'I420_疾患開始日';</v>
      </c>
    </row>
    <row r="616" spans="1:45" s="25" customFormat="1">
      <c r="A616" s="4" t="s">
        <v>5694</v>
      </c>
      <c r="B616" s="21">
        <f t="shared" si="71"/>
        <v>614</v>
      </c>
      <c r="C616" s="13" t="str">
        <f t="shared" si="79"/>
        <v>I425_疾患開始日</v>
      </c>
      <c r="D616" s="13" t="s">
        <v>6268</v>
      </c>
      <c r="E616" s="8"/>
      <c r="F616" s="7" t="s">
        <v>4348</v>
      </c>
      <c r="G616" s="7" t="s">
        <v>25</v>
      </c>
      <c r="H616" s="58"/>
      <c r="I616" s="23"/>
      <c r="J616" s="24"/>
      <c r="M616" s="4"/>
      <c r="N616" s="76"/>
      <c r="O616" s="76"/>
      <c r="P616" s="76" t="str">
        <f t="shared" si="72"/>
        <v>,shikkan608_start_date</v>
      </c>
      <c r="Q616" s="76" t="str">
        <f t="shared" si="73"/>
        <v>DATE</v>
      </c>
      <c r="R616" s="76" t="str">
        <f t="shared" si="74"/>
        <v/>
      </c>
      <c r="S616" s="76" t="str">
        <f t="shared" si="75"/>
        <v/>
      </c>
      <c r="T616" s="76" t="str">
        <f t="shared" si="76"/>
        <v>-- I425_疾患開始日</v>
      </c>
      <c r="U616" s="4" t="str">
        <f t="shared" si="77"/>
        <v>,'shikkan608_start_date'</v>
      </c>
      <c r="V616" s="25" t="str">
        <f t="shared" si="78"/>
        <v>,'shikkan608_start_date' : 'I425_疾患開始日'</v>
      </c>
      <c r="X616" s="25">
        <v>1</v>
      </c>
      <c r="AA616" s="4"/>
      <c r="AB616" s="4"/>
      <c r="AC616" s="4"/>
      <c r="AD616" s="4"/>
      <c r="AE616" s="4"/>
      <c r="AF616" s="4"/>
      <c r="AG616" s="4"/>
      <c r="AH616" s="4"/>
      <c r="AI616" s="4"/>
      <c r="AJ616" s="76" t="str">
        <f>IF(E616="○",IF(COUNTA(E$13:E616)=1,"",",")&amp;D616,"")</f>
        <v/>
      </c>
      <c r="AK616" s="4"/>
      <c r="AL616" s="4"/>
      <c r="AM616" s="4"/>
      <c r="AN616" s="4"/>
      <c r="AO616" s="4"/>
      <c r="AP616" s="4"/>
      <c r="AQ616" s="4"/>
      <c r="AR616" s="4"/>
      <c r="AS616" s="76" t="str">
        <f>"COMMENT ON COLUMN "&amp;エンティティ一覧!$O$2&amp;"."&amp;D$8&amp;"."&amp;D616&amp;" IS '"&amp;C616&amp;"';"</f>
        <v>COMMENT ON COLUMN milscm_2023_009.main_diagnosis_start_date.shikkan608_start_date IS 'I425_疾患開始日';</v>
      </c>
    </row>
    <row r="617" spans="1:45" s="25" customFormat="1">
      <c r="A617" s="4" t="s">
        <v>5695</v>
      </c>
      <c r="B617" s="21">
        <f t="shared" si="71"/>
        <v>615</v>
      </c>
      <c r="C617" s="13" t="str">
        <f t="shared" si="79"/>
        <v>I426_疾患開始日</v>
      </c>
      <c r="D617" s="13" t="s">
        <v>6269</v>
      </c>
      <c r="E617" s="8"/>
      <c r="F617" s="7" t="s">
        <v>4348</v>
      </c>
      <c r="G617" s="7" t="s">
        <v>25</v>
      </c>
      <c r="H617" s="58"/>
      <c r="I617" s="23"/>
      <c r="J617" s="24"/>
      <c r="M617" s="4"/>
      <c r="N617" s="76"/>
      <c r="O617" s="76"/>
      <c r="P617" s="76" t="str">
        <f t="shared" si="72"/>
        <v>,shikkan609_start_date</v>
      </c>
      <c r="Q617" s="76" t="str">
        <f t="shared" si="73"/>
        <v>DATE</v>
      </c>
      <c r="R617" s="76" t="str">
        <f t="shared" si="74"/>
        <v/>
      </c>
      <c r="S617" s="76" t="str">
        <f t="shared" si="75"/>
        <v/>
      </c>
      <c r="T617" s="76" t="str">
        <f t="shared" si="76"/>
        <v>-- I426_疾患開始日</v>
      </c>
      <c r="U617" s="4" t="str">
        <f t="shared" si="77"/>
        <v>,'shikkan609_start_date'</v>
      </c>
      <c r="V617" s="25" t="str">
        <f t="shared" si="78"/>
        <v>,'shikkan609_start_date' : 'I426_疾患開始日'</v>
      </c>
      <c r="X617" s="25">
        <v>1</v>
      </c>
      <c r="AA617" s="4"/>
      <c r="AB617" s="4"/>
      <c r="AC617" s="4"/>
      <c r="AD617" s="4"/>
      <c r="AE617" s="4"/>
      <c r="AF617" s="4"/>
      <c r="AG617" s="4"/>
      <c r="AH617" s="4"/>
      <c r="AI617" s="4"/>
      <c r="AJ617" s="76" t="str">
        <f>IF(E617="○",IF(COUNTA(E$13:E617)=1,"",",")&amp;D617,"")</f>
        <v/>
      </c>
      <c r="AK617" s="4"/>
      <c r="AL617" s="4"/>
      <c r="AM617" s="4"/>
      <c r="AN617" s="4"/>
      <c r="AO617" s="4"/>
      <c r="AP617" s="4"/>
      <c r="AQ617" s="4"/>
      <c r="AR617" s="4"/>
      <c r="AS617" s="76" t="str">
        <f>"COMMENT ON COLUMN "&amp;エンティティ一覧!$O$2&amp;"."&amp;D$8&amp;"."&amp;D617&amp;" IS '"&amp;C617&amp;"';"</f>
        <v>COMMENT ON COLUMN milscm_2023_009.main_diagnosis_start_date.shikkan609_start_date IS 'I426_疾患開始日';</v>
      </c>
    </row>
    <row r="618" spans="1:45" s="25" customFormat="1">
      <c r="A618" s="4" t="s">
        <v>5696</v>
      </c>
      <c r="B618" s="21">
        <f t="shared" si="71"/>
        <v>616</v>
      </c>
      <c r="C618" s="13" t="str">
        <f t="shared" si="79"/>
        <v>I427_疾患開始日</v>
      </c>
      <c r="D618" s="13" t="s">
        <v>6270</v>
      </c>
      <c r="E618" s="8"/>
      <c r="F618" s="7" t="s">
        <v>4348</v>
      </c>
      <c r="G618" s="7" t="s">
        <v>25</v>
      </c>
      <c r="H618" s="58"/>
      <c r="I618" s="23"/>
      <c r="J618" s="24"/>
      <c r="M618" s="4"/>
      <c r="N618" s="76"/>
      <c r="O618" s="76"/>
      <c r="P618" s="76" t="str">
        <f t="shared" si="72"/>
        <v>,shikkan610_start_date</v>
      </c>
      <c r="Q618" s="76" t="str">
        <f t="shared" si="73"/>
        <v>DATE</v>
      </c>
      <c r="R618" s="76" t="str">
        <f t="shared" si="74"/>
        <v/>
      </c>
      <c r="S618" s="76" t="str">
        <f t="shared" si="75"/>
        <v/>
      </c>
      <c r="T618" s="76" t="str">
        <f t="shared" si="76"/>
        <v>-- I427_疾患開始日</v>
      </c>
      <c r="U618" s="4" t="str">
        <f t="shared" si="77"/>
        <v>,'shikkan610_start_date'</v>
      </c>
      <c r="V618" s="25" t="str">
        <f t="shared" si="78"/>
        <v>,'shikkan610_start_date' : 'I427_疾患開始日'</v>
      </c>
      <c r="X618" s="25">
        <v>1</v>
      </c>
      <c r="AA618" s="4"/>
      <c r="AB618" s="4"/>
      <c r="AC618" s="4"/>
      <c r="AD618" s="4"/>
      <c r="AE618" s="4"/>
      <c r="AF618" s="4"/>
      <c r="AG618" s="4"/>
      <c r="AH618" s="4"/>
      <c r="AI618" s="4"/>
      <c r="AJ618" s="76" t="str">
        <f>IF(E618="○",IF(COUNTA(E$13:E618)=1,"",",")&amp;D618,"")</f>
        <v/>
      </c>
      <c r="AK618" s="4"/>
      <c r="AL618" s="4"/>
      <c r="AM618" s="4"/>
      <c r="AN618" s="4"/>
      <c r="AO618" s="4"/>
      <c r="AP618" s="4"/>
      <c r="AQ618" s="4"/>
      <c r="AR618" s="4"/>
      <c r="AS618" s="76" t="str">
        <f>"COMMENT ON COLUMN "&amp;エンティティ一覧!$O$2&amp;"."&amp;D$8&amp;"."&amp;D618&amp;" IS '"&amp;C618&amp;"';"</f>
        <v>COMMENT ON COLUMN milscm_2023_009.main_diagnosis_start_date.shikkan610_start_date IS 'I427_疾患開始日';</v>
      </c>
    </row>
    <row r="619" spans="1:45" s="25" customFormat="1">
      <c r="A619" s="4" t="s">
        <v>5697</v>
      </c>
      <c r="B619" s="21">
        <f t="shared" si="71"/>
        <v>617</v>
      </c>
      <c r="C619" s="13" t="str">
        <f t="shared" si="79"/>
        <v>I428_疾患開始日</v>
      </c>
      <c r="D619" s="13" t="s">
        <v>6271</v>
      </c>
      <c r="E619" s="8"/>
      <c r="F619" s="7" t="s">
        <v>4348</v>
      </c>
      <c r="G619" s="7" t="s">
        <v>25</v>
      </c>
      <c r="H619" s="58"/>
      <c r="I619" s="23"/>
      <c r="J619" s="24"/>
      <c r="M619" s="4"/>
      <c r="N619" s="76"/>
      <c r="O619" s="76"/>
      <c r="P619" s="76" t="str">
        <f t="shared" si="72"/>
        <v>,shikkan611_start_date</v>
      </c>
      <c r="Q619" s="76" t="str">
        <f t="shared" si="73"/>
        <v>DATE</v>
      </c>
      <c r="R619" s="76" t="str">
        <f t="shared" si="74"/>
        <v/>
      </c>
      <c r="S619" s="76" t="str">
        <f t="shared" si="75"/>
        <v/>
      </c>
      <c r="T619" s="76" t="str">
        <f t="shared" si="76"/>
        <v>-- I428_疾患開始日</v>
      </c>
      <c r="U619" s="4" t="str">
        <f t="shared" si="77"/>
        <v>,'shikkan611_start_date'</v>
      </c>
      <c r="V619" s="25" t="str">
        <f t="shared" si="78"/>
        <v>,'shikkan611_start_date' : 'I428_疾患開始日'</v>
      </c>
      <c r="X619" s="25">
        <v>1</v>
      </c>
      <c r="AA619" s="4"/>
      <c r="AB619" s="4"/>
      <c r="AC619" s="4"/>
      <c r="AD619" s="4"/>
      <c r="AE619" s="4"/>
      <c r="AF619" s="4"/>
      <c r="AG619" s="4"/>
      <c r="AH619" s="4"/>
      <c r="AI619" s="4"/>
      <c r="AJ619" s="76" t="str">
        <f>IF(E619="○",IF(COUNTA(E$13:E619)=1,"",",")&amp;D619,"")</f>
        <v/>
      </c>
      <c r="AK619" s="4"/>
      <c r="AL619" s="4"/>
      <c r="AM619" s="4"/>
      <c r="AN619" s="4"/>
      <c r="AO619" s="4"/>
      <c r="AP619" s="4"/>
      <c r="AQ619" s="4"/>
      <c r="AR619" s="4"/>
      <c r="AS619" s="76" t="str">
        <f>"COMMENT ON COLUMN "&amp;エンティティ一覧!$O$2&amp;"."&amp;D$8&amp;"."&amp;D619&amp;" IS '"&amp;C619&amp;"';"</f>
        <v>COMMENT ON COLUMN milscm_2023_009.main_diagnosis_start_date.shikkan611_start_date IS 'I428_疾患開始日';</v>
      </c>
    </row>
    <row r="620" spans="1:45" s="25" customFormat="1">
      <c r="A620" s="4" t="s">
        <v>5698</v>
      </c>
      <c r="B620" s="21">
        <f t="shared" si="71"/>
        <v>618</v>
      </c>
      <c r="C620" s="13" t="str">
        <f t="shared" si="79"/>
        <v>I429_疾患開始日</v>
      </c>
      <c r="D620" s="13" t="s">
        <v>6272</v>
      </c>
      <c r="E620" s="8"/>
      <c r="F620" s="7" t="s">
        <v>4348</v>
      </c>
      <c r="G620" s="7" t="s">
        <v>25</v>
      </c>
      <c r="H620" s="58"/>
      <c r="I620" s="23"/>
      <c r="J620" s="24"/>
      <c r="M620" s="4"/>
      <c r="N620" s="76"/>
      <c r="O620" s="76"/>
      <c r="P620" s="76" t="str">
        <f t="shared" si="72"/>
        <v>,shikkan612_start_date</v>
      </c>
      <c r="Q620" s="76" t="str">
        <f t="shared" si="73"/>
        <v>DATE</v>
      </c>
      <c r="R620" s="76" t="str">
        <f t="shared" si="74"/>
        <v/>
      </c>
      <c r="S620" s="76" t="str">
        <f t="shared" si="75"/>
        <v/>
      </c>
      <c r="T620" s="76" t="str">
        <f t="shared" si="76"/>
        <v>-- I429_疾患開始日</v>
      </c>
      <c r="U620" s="4" t="str">
        <f t="shared" si="77"/>
        <v>,'shikkan612_start_date'</v>
      </c>
      <c r="V620" s="25" t="str">
        <f t="shared" si="78"/>
        <v>,'shikkan612_start_date' : 'I429_疾患開始日'</v>
      </c>
      <c r="X620" s="25">
        <v>1</v>
      </c>
      <c r="AA620" s="4"/>
      <c r="AB620" s="4"/>
      <c r="AC620" s="4"/>
      <c r="AD620" s="4"/>
      <c r="AE620" s="4"/>
      <c r="AF620" s="4"/>
      <c r="AG620" s="4"/>
      <c r="AH620" s="4"/>
      <c r="AI620" s="4"/>
      <c r="AJ620" s="76" t="str">
        <f>IF(E620="○",IF(COUNTA(E$13:E620)=1,"",",")&amp;D620,"")</f>
        <v/>
      </c>
      <c r="AK620" s="4"/>
      <c r="AL620" s="4"/>
      <c r="AM620" s="4"/>
      <c r="AN620" s="4"/>
      <c r="AO620" s="4"/>
      <c r="AP620" s="4"/>
      <c r="AQ620" s="4"/>
      <c r="AR620" s="4"/>
      <c r="AS620" s="76" t="str">
        <f>"COMMENT ON COLUMN "&amp;エンティティ一覧!$O$2&amp;"."&amp;D$8&amp;"."&amp;D620&amp;" IS '"&amp;C620&amp;"';"</f>
        <v>COMMENT ON COLUMN milscm_2023_009.main_diagnosis_start_date.shikkan612_start_date IS 'I429_疾患開始日';</v>
      </c>
    </row>
    <row r="621" spans="1:45" s="25" customFormat="1">
      <c r="A621" s="4" t="s">
        <v>5699</v>
      </c>
      <c r="B621" s="21">
        <f t="shared" si="71"/>
        <v>619</v>
      </c>
      <c r="C621" s="13" t="str">
        <f t="shared" si="79"/>
        <v>I430_疾患開始日</v>
      </c>
      <c r="D621" s="13" t="s">
        <v>6273</v>
      </c>
      <c r="E621" s="8"/>
      <c r="F621" s="7" t="s">
        <v>4348</v>
      </c>
      <c r="G621" s="7" t="s">
        <v>25</v>
      </c>
      <c r="H621" s="58"/>
      <c r="I621" s="23"/>
      <c r="J621" s="24"/>
      <c r="M621" s="4"/>
      <c r="N621" s="76"/>
      <c r="O621" s="76"/>
      <c r="P621" s="76" t="str">
        <f t="shared" si="72"/>
        <v>,shikkan613_start_date</v>
      </c>
      <c r="Q621" s="76" t="str">
        <f t="shared" si="73"/>
        <v>DATE</v>
      </c>
      <c r="R621" s="76" t="str">
        <f t="shared" si="74"/>
        <v/>
      </c>
      <c r="S621" s="76" t="str">
        <f t="shared" si="75"/>
        <v/>
      </c>
      <c r="T621" s="76" t="str">
        <f t="shared" si="76"/>
        <v>-- I430_疾患開始日</v>
      </c>
      <c r="U621" s="4" t="str">
        <f t="shared" si="77"/>
        <v>,'shikkan613_start_date'</v>
      </c>
      <c r="V621" s="25" t="str">
        <f t="shared" si="78"/>
        <v>,'shikkan613_start_date' : 'I430_疾患開始日'</v>
      </c>
      <c r="X621" s="25">
        <v>1</v>
      </c>
      <c r="AA621" s="4"/>
      <c r="AB621" s="4"/>
      <c r="AC621" s="4"/>
      <c r="AD621" s="4"/>
      <c r="AE621" s="4"/>
      <c r="AF621" s="4"/>
      <c r="AG621" s="4"/>
      <c r="AH621" s="4"/>
      <c r="AI621" s="4"/>
      <c r="AJ621" s="76" t="str">
        <f>IF(E621="○",IF(COUNTA(E$13:E621)=1,"",",")&amp;D621,"")</f>
        <v/>
      </c>
      <c r="AK621" s="4"/>
      <c r="AL621" s="4"/>
      <c r="AM621" s="4"/>
      <c r="AN621" s="4"/>
      <c r="AO621" s="4"/>
      <c r="AP621" s="4"/>
      <c r="AQ621" s="4"/>
      <c r="AR621" s="4"/>
      <c r="AS621" s="76" t="str">
        <f>"COMMENT ON COLUMN "&amp;エンティティ一覧!$O$2&amp;"."&amp;D$8&amp;"."&amp;D621&amp;" IS '"&amp;C621&amp;"';"</f>
        <v>COMMENT ON COLUMN milscm_2023_009.main_diagnosis_start_date.shikkan613_start_date IS 'I430_疾患開始日';</v>
      </c>
    </row>
    <row r="622" spans="1:45" s="25" customFormat="1">
      <c r="A622" s="4" t="s">
        <v>5700</v>
      </c>
      <c r="B622" s="21">
        <f t="shared" si="71"/>
        <v>620</v>
      </c>
      <c r="C622" s="13" t="str">
        <f t="shared" si="79"/>
        <v>I431_疾患開始日</v>
      </c>
      <c r="D622" s="13" t="s">
        <v>6274</v>
      </c>
      <c r="E622" s="8"/>
      <c r="F622" s="7" t="s">
        <v>4348</v>
      </c>
      <c r="G622" s="7" t="s">
        <v>25</v>
      </c>
      <c r="H622" s="58"/>
      <c r="I622" s="23"/>
      <c r="J622" s="24"/>
      <c r="M622" s="4"/>
      <c r="N622" s="76"/>
      <c r="O622" s="76"/>
      <c r="P622" s="76" t="str">
        <f t="shared" si="72"/>
        <v>,shikkan614_start_date</v>
      </c>
      <c r="Q622" s="76" t="str">
        <f t="shared" si="73"/>
        <v>DATE</v>
      </c>
      <c r="R622" s="76" t="str">
        <f t="shared" si="74"/>
        <v/>
      </c>
      <c r="S622" s="76" t="str">
        <f t="shared" si="75"/>
        <v/>
      </c>
      <c r="T622" s="76" t="str">
        <f t="shared" si="76"/>
        <v>-- I431_疾患開始日</v>
      </c>
      <c r="U622" s="4" t="str">
        <f t="shared" si="77"/>
        <v>,'shikkan614_start_date'</v>
      </c>
      <c r="V622" s="25" t="str">
        <f t="shared" si="78"/>
        <v>,'shikkan614_start_date' : 'I431_疾患開始日'</v>
      </c>
      <c r="X622" s="25">
        <v>1</v>
      </c>
      <c r="AA622" s="4"/>
      <c r="AB622" s="4"/>
      <c r="AC622" s="4"/>
      <c r="AD622" s="4"/>
      <c r="AE622" s="4"/>
      <c r="AF622" s="4"/>
      <c r="AG622" s="4"/>
      <c r="AH622" s="4"/>
      <c r="AI622" s="4"/>
      <c r="AJ622" s="76" t="str">
        <f>IF(E622="○",IF(COUNTA(E$13:E622)=1,"",",")&amp;D622,"")</f>
        <v/>
      </c>
      <c r="AK622" s="4"/>
      <c r="AL622" s="4"/>
      <c r="AM622" s="4"/>
      <c r="AN622" s="4"/>
      <c r="AO622" s="4"/>
      <c r="AP622" s="4"/>
      <c r="AQ622" s="4"/>
      <c r="AR622" s="4"/>
      <c r="AS622" s="76" t="str">
        <f>"COMMENT ON COLUMN "&amp;エンティティ一覧!$O$2&amp;"."&amp;D$8&amp;"."&amp;D622&amp;" IS '"&amp;C622&amp;"';"</f>
        <v>COMMENT ON COLUMN milscm_2023_009.main_diagnosis_start_date.shikkan614_start_date IS 'I431_疾患開始日';</v>
      </c>
    </row>
    <row r="623" spans="1:45" s="25" customFormat="1">
      <c r="A623" s="4" t="s">
        <v>5701</v>
      </c>
      <c r="B623" s="21">
        <f t="shared" si="71"/>
        <v>621</v>
      </c>
      <c r="C623" s="13" t="str">
        <f t="shared" si="79"/>
        <v>I432_疾患開始日</v>
      </c>
      <c r="D623" s="13" t="s">
        <v>6275</v>
      </c>
      <c r="E623" s="8"/>
      <c r="F623" s="7" t="s">
        <v>4348</v>
      </c>
      <c r="G623" s="7" t="s">
        <v>25</v>
      </c>
      <c r="H623" s="58"/>
      <c r="I623" s="23"/>
      <c r="J623" s="24"/>
      <c r="M623" s="4"/>
      <c r="N623" s="76"/>
      <c r="O623" s="76"/>
      <c r="P623" s="76" t="str">
        <f t="shared" si="72"/>
        <v>,shikkan615_start_date</v>
      </c>
      <c r="Q623" s="76" t="str">
        <f t="shared" si="73"/>
        <v>DATE</v>
      </c>
      <c r="R623" s="76" t="str">
        <f t="shared" si="74"/>
        <v/>
      </c>
      <c r="S623" s="76" t="str">
        <f t="shared" si="75"/>
        <v/>
      </c>
      <c r="T623" s="76" t="str">
        <f t="shared" si="76"/>
        <v>-- I432_疾患開始日</v>
      </c>
      <c r="U623" s="4" t="str">
        <f t="shared" si="77"/>
        <v>,'shikkan615_start_date'</v>
      </c>
      <c r="V623" s="25" t="str">
        <f t="shared" si="78"/>
        <v>,'shikkan615_start_date' : 'I432_疾患開始日'</v>
      </c>
      <c r="X623" s="25">
        <v>1</v>
      </c>
      <c r="AA623" s="4"/>
      <c r="AB623" s="4"/>
      <c r="AC623" s="4"/>
      <c r="AD623" s="4"/>
      <c r="AE623" s="4"/>
      <c r="AF623" s="4"/>
      <c r="AG623" s="4"/>
      <c r="AH623" s="4"/>
      <c r="AI623" s="4"/>
      <c r="AJ623" s="76" t="str">
        <f>IF(E623="○",IF(COUNTA(E$13:E623)=1,"",",")&amp;D623,"")</f>
        <v/>
      </c>
      <c r="AK623" s="4"/>
      <c r="AL623" s="4"/>
      <c r="AM623" s="4"/>
      <c r="AN623" s="4"/>
      <c r="AO623" s="4"/>
      <c r="AP623" s="4"/>
      <c r="AQ623" s="4"/>
      <c r="AR623" s="4"/>
      <c r="AS623" s="76" t="str">
        <f>"COMMENT ON COLUMN "&amp;エンティティ一覧!$O$2&amp;"."&amp;D$8&amp;"."&amp;D623&amp;" IS '"&amp;C623&amp;"';"</f>
        <v>COMMENT ON COLUMN milscm_2023_009.main_diagnosis_start_date.shikkan615_start_date IS 'I432_疾患開始日';</v>
      </c>
    </row>
    <row r="624" spans="1:45" s="25" customFormat="1">
      <c r="A624" s="4" t="s">
        <v>5702</v>
      </c>
      <c r="B624" s="21">
        <f t="shared" si="71"/>
        <v>622</v>
      </c>
      <c r="C624" s="13" t="str">
        <f t="shared" si="79"/>
        <v>I438_疾患開始日</v>
      </c>
      <c r="D624" s="13" t="s">
        <v>6276</v>
      </c>
      <c r="E624" s="8"/>
      <c r="F624" s="7" t="s">
        <v>4348</v>
      </c>
      <c r="G624" s="7" t="s">
        <v>25</v>
      </c>
      <c r="H624" s="58"/>
      <c r="I624" s="23"/>
      <c r="J624" s="24"/>
      <c r="M624" s="4"/>
      <c r="N624" s="76"/>
      <c r="O624" s="76"/>
      <c r="P624" s="76" t="str">
        <f t="shared" si="72"/>
        <v>,shikkan616_start_date</v>
      </c>
      <c r="Q624" s="76" t="str">
        <f t="shared" si="73"/>
        <v>DATE</v>
      </c>
      <c r="R624" s="76" t="str">
        <f t="shared" si="74"/>
        <v/>
      </c>
      <c r="S624" s="76" t="str">
        <f t="shared" si="75"/>
        <v/>
      </c>
      <c r="T624" s="76" t="str">
        <f t="shared" si="76"/>
        <v>-- I438_疾患開始日</v>
      </c>
      <c r="U624" s="4" t="str">
        <f t="shared" si="77"/>
        <v>,'shikkan616_start_date'</v>
      </c>
      <c r="V624" s="25" t="str">
        <f t="shared" si="78"/>
        <v>,'shikkan616_start_date' : 'I438_疾患開始日'</v>
      </c>
      <c r="X624" s="25">
        <v>1</v>
      </c>
      <c r="AA624" s="4"/>
      <c r="AB624" s="4"/>
      <c r="AC624" s="4"/>
      <c r="AD624" s="4"/>
      <c r="AE624" s="4"/>
      <c r="AF624" s="4"/>
      <c r="AG624" s="4"/>
      <c r="AH624" s="4"/>
      <c r="AI624" s="4"/>
      <c r="AJ624" s="76" t="str">
        <f>IF(E624="○",IF(COUNTA(E$13:E624)=1,"",",")&amp;D624,"")</f>
        <v/>
      </c>
      <c r="AK624" s="4"/>
      <c r="AL624" s="4"/>
      <c r="AM624" s="4"/>
      <c r="AN624" s="4"/>
      <c r="AO624" s="4"/>
      <c r="AP624" s="4"/>
      <c r="AQ624" s="4"/>
      <c r="AR624" s="4"/>
      <c r="AS624" s="76" t="str">
        <f>"COMMENT ON COLUMN "&amp;エンティティ一覧!$O$2&amp;"."&amp;D$8&amp;"."&amp;D624&amp;" IS '"&amp;C624&amp;"';"</f>
        <v>COMMENT ON COLUMN milscm_2023_009.main_diagnosis_start_date.shikkan616_start_date IS 'I438_疾患開始日';</v>
      </c>
    </row>
    <row r="625" spans="1:45" s="25" customFormat="1">
      <c r="A625" s="4" t="s">
        <v>5703</v>
      </c>
      <c r="B625" s="21">
        <f t="shared" si="71"/>
        <v>623</v>
      </c>
      <c r="C625" s="13" t="str">
        <f t="shared" si="79"/>
        <v>I500_疾患開始日</v>
      </c>
      <c r="D625" s="13" t="s">
        <v>6277</v>
      </c>
      <c r="E625" s="8"/>
      <c r="F625" s="7" t="s">
        <v>4348</v>
      </c>
      <c r="G625" s="7" t="s">
        <v>25</v>
      </c>
      <c r="H625" s="58"/>
      <c r="I625" s="23"/>
      <c r="J625" s="24"/>
      <c r="M625" s="4"/>
      <c r="N625" s="76"/>
      <c r="O625" s="76"/>
      <c r="P625" s="76" t="str">
        <f t="shared" si="72"/>
        <v>,shikkan617_start_date</v>
      </c>
      <c r="Q625" s="76" t="str">
        <f t="shared" si="73"/>
        <v>DATE</v>
      </c>
      <c r="R625" s="76" t="str">
        <f t="shared" si="74"/>
        <v/>
      </c>
      <c r="S625" s="76" t="str">
        <f t="shared" si="75"/>
        <v/>
      </c>
      <c r="T625" s="76" t="str">
        <f t="shared" si="76"/>
        <v>-- I500_疾患開始日</v>
      </c>
      <c r="U625" s="4" t="str">
        <f t="shared" si="77"/>
        <v>,'shikkan617_start_date'</v>
      </c>
      <c r="V625" s="25" t="str">
        <f t="shared" si="78"/>
        <v>,'shikkan617_start_date' : 'I500_疾患開始日'</v>
      </c>
      <c r="X625" s="25">
        <v>1</v>
      </c>
      <c r="AA625" s="4"/>
      <c r="AB625" s="4"/>
      <c r="AC625" s="4"/>
      <c r="AD625" s="4"/>
      <c r="AE625" s="4"/>
      <c r="AF625" s="4"/>
      <c r="AG625" s="4"/>
      <c r="AH625" s="4"/>
      <c r="AI625" s="4"/>
      <c r="AJ625" s="76" t="str">
        <f>IF(E625="○",IF(COUNTA(E$13:E625)=1,"",",")&amp;D625,"")</f>
        <v/>
      </c>
      <c r="AK625" s="4"/>
      <c r="AL625" s="4"/>
      <c r="AM625" s="4"/>
      <c r="AN625" s="4"/>
      <c r="AO625" s="4"/>
      <c r="AP625" s="4"/>
      <c r="AQ625" s="4"/>
      <c r="AR625" s="4"/>
      <c r="AS625" s="76" t="str">
        <f>"COMMENT ON COLUMN "&amp;エンティティ一覧!$O$2&amp;"."&amp;D$8&amp;"."&amp;D625&amp;" IS '"&amp;C625&amp;"';"</f>
        <v>COMMENT ON COLUMN milscm_2023_009.main_diagnosis_start_date.shikkan617_start_date IS 'I500_疾患開始日';</v>
      </c>
    </row>
    <row r="626" spans="1:45" s="25" customFormat="1">
      <c r="A626" s="4" t="s">
        <v>5704</v>
      </c>
      <c r="B626" s="21">
        <f t="shared" si="71"/>
        <v>624</v>
      </c>
      <c r="C626" s="13" t="str">
        <f t="shared" si="79"/>
        <v>I501_疾患開始日</v>
      </c>
      <c r="D626" s="13" t="s">
        <v>6278</v>
      </c>
      <c r="E626" s="8"/>
      <c r="F626" s="7" t="s">
        <v>4348</v>
      </c>
      <c r="G626" s="7" t="s">
        <v>25</v>
      </c>
      <c r="H626" s="58"/>
      <c r="I626" s="23"/>
      <c r="J626" s="24"/>
      <c r="M626" s="4"/>
      <c r="N626" s="76"/>
      <c r="O626" s="76"/>
      <c r="P626" s="76" t="str">
        <f t="shared" si="72"/>
        <v>,shikkan618_start_date</v>
      </c>
      <c r="Q626" s="76" t="str">
        <f t="shared" si="73"/>
        <v>DATE</v>
      </c>
      <c r="R626" s="76" t="str">
        <f t="shared" si="74"/>
        <v/>
      </c>
      <c r="S626" s="76" t="str">
        <f t="shared" si="75"/>
        <v/>
      </c>
      <c r="T626" s="76" t="str">
        <f t="shared" si="76"/>
        <v>-- I501_疾患開始日</v>
      </c>
      <c r="U626" s="4" t="str">
        <f t="shared" si="77"/>
        <v>,'shikkan618_start_date'</v>
      </c>
      <c r="V626" s="25" t="str">
        <f t="shared" si="78"/>
        <v>,'shikkan618_start_date' : 'I501_疾患開始日'</v>
      </c>
      <c r="X626" s="25">
        <v>1</v>
      </c>
      <c r="AA626" s="4"/>
      <c r="AB626" s="4"/>
      <c r="AC626" s="4"/>
      <c r="AD626" s="4"/>
      <c r="AE626" s="4"/>
      <c r="AF626" s="4"/>
      <c r="AG626" s="4"/>
      <c r="AH626" s="4"/>
      <c r="AI626" s="4"/>
      <c r="AJ626" s="76" t="str">
        <f>IF(E626="○",IF(COUNTA(E$13:E626)=1,"",",")&amp;D626,"")</f>
        <v/>
      </c>
      <c r="AK626" s="4"/>
      <c r="AL626" s="4"/>
      <c r="AM626" s="4"/>
      <c r="AN626" s="4"/>
      <c r="AO626" s="4"/>
      <c r="AP626" s="4"/>
      <c r="AQ626" s="4"/>
      <c r="AR626" s="4"/>
      <c r="AS626" s="76" t="str">
        <f>"COMMENT ON COLUMN "&amp;エンティティ一覧!$O$2&amp;"."&amp;D$8&amp;"."&amp;D626&amp;" IS '"&amp;C626&amp;"';"</f>
        <v>COMMENT ON COLUMN milscm_2023_009.main_diagnosis_start_date.shikkan618_start_date IS 'I501_疾患開始日';</v>
      </c>
    </row>
    <row r="627" spans="1:45" s="25" customFormat="1">
      <c r="A627" s="4" t="s">
        <v>5705</v>
      </c>
      <c r="B627" s="21">
        <f t="shared" si="71"/>
        <v>625</v>
      </c>
      <c r="C627" s="13" t="str">
        <f t="shared" si="79"/>
        <v>I509_疾患開始日</v>
      </c>
      <c r="D627" s="13" t="s">
        <v>6279</v>
      </c>
      <c r="E627" s="8"/>
      <c r="F627" s="7" t="s">
        <v>4348</v>
      </c>
      <c r="G627" s="7" t="s">
        <v>25</v>
      </c>
      <c r="H627" s="58"/>
      <c r="I627" s="23"/>
      <c r="J627" s="24"/>
      <c r="M627" s="4"/>
      <c r="N627" s="76"/>
      <c r="O627" s="76"/>
      <c r="P627" s="76" t="str">
        <f t="shared" si="72"/>
        <v>,shikkan619_start_date</v>
      </c>
      <c r="Q627" s="76" t="str">
        <f t="shared" si="73"/>
        <v>DATE</v>
      </c>
      <c r="R627" s="76" t="str">
        <f t="shared" si="74"/>
        <v/>
      </c>
      <c r="S627" s="76" t="str">
        <f t="shared" si="75"/>
        <v/>
      </c>
      <c r="T627" s="76" t="str">
        <f t="shared" si="76"/>
        <v>-- I509_疾患開始日</v>
      </c>
      <c r="U627" s="4" t="str">
        <f t="shared" si="77"/>
        <v>,'shikkan619_start_date'</v>
      </c>
      <c r="V627" s="25" t="str">
        <f t="shared" si="78"/>
        <v>,'shikkan619_start_date' : 'I509_疾患開始日'</v>
      </c>
      <c r="X627" s="25">
        <v>1</v>
      </c>
      <c r="AA627" s="4"/>
      <c r="AB627" s="4"/>
      <c r="AC627" s="4"/>
      <c r="AD627" s="4"/>
      <c r="AE627" s="4"/>
      <c r="AF627" s="4"/>
      <c r="AG627" s="4"/>
      <c r="AH627" s="4"/>
      <c r="AI627" s="4"/>
      <c r="AJ627" s="76" t="str">
        <f>IF(E627="○",IF(COUNTA(E$13:E627)=1,"",",")&amp;D627,"")</f>
        <v/>
      </c>
      <c r="AK627" s="4"/>
      <c r="AL627" s="4"/>
      <c r="AM627" s="4"/>
      <c r="AN627" s="4"/>
      <c r="AO627" s="4"/>
      <c r="AP627" s="4"/>
      <c r="AQ627" s="4"/>
      <c r="AR627" s="4"/>
      <c r="AS627" s="76" t="str">
        <f>"COMMENT ON COLUMN "&amp;エンティティ一覧!$O$2&amp;"."&amp;D$8&amp;"."&amp;D627&amp;" IS '"&amp;C627&amp;"';"</f>
        <v>COMMENT ON COLUMN milscm_2023_009.main_diagnosis_start_date.shikkan619_start_date IS 'I509_疾患開始日';</v>
      </c>
    </row>
    <row r="628" spans="1:45" s="25" customFormat="1">
      <c r="A628" s="4" t="s">
        <v>5706</v>
      </c>
      <c r="B628" s="21">
        <f t="shared" si="71"/>
        <v>626</v>
      </c>
      <c r="C628" s="13" t="str">
        <f t="shared" si="79"/>
        <v>I600_疾患開始日</v>
      </c>
      <c r="D628" s="13" t="s">
        <v>6280</v>
      </c>
      <c r="E628" s="8"/>
      <c r="F628" s="7" t="s">
        <v>4348</v>
      </c>
      <c r="G628" s="7" t="s">
        <v>25</v>
      </c>
      <c r="H628" s="58"/>
      <c r="I628" s="23"/>
      <c r="J628" s="24"/>
      <c r="M628" s="4"/>
      <c r="N628" s="76"/>
      <c r="O628" s="76"/>
      <c r="P628" s="76" t="str">
        <f t="shared" si="72"/>
        <v>,shikkan620_start_date</v>
      </c>
      <c r="Q628" s="76" t="str">
        <f t="shared" si="73"/>
        <v>DATE</v>
      </c>
      <c r="R628" s="76" t="str">
        <f t="shared" si="74"/>
        <v/>
      </c>
      <c r="S628" s="76" t="str">
        <f t="shared" si="75"/>
        <v/>
      </c>
      <c r="T628" s="76" t="str">
        <f t="shared" si="76"/>
        <v>-- I600_疾患開始日</v>
      </c>
      <c r="U628" s="4" t="str">
        <f t="shared" si="77"/>
        <v>,'shikkan620_start_date'</v>
      </c>
      <c r="V628" s="25" t="str">
        <f t="shared" si="78"/>
        <v>,'shikkan620_start_date' : 'I600_疾患開始日'</v>
      </c>
      <c r="X628" s="25">
        <v>1</v>
      </c>
      <c r="AA628" s="4"/>
      <c r="AB628" s="4"/>
      <c r="AC628" s="4"/>
      <c r="AD628" s="4"/>
      <c r="AE628" s="4"/>
      <c r="AF628" s="4"/>
      <c r="AG628" s="4"/>
      <c r="AH628" s="4"/>
      <c r="AI628" s="4"/>
      <c r="AJ628" s="76" t="str">
        <f>IF(E628="○",IF(COUNTA(E$13:E628)=1,"",",")&amp;D628,"")</f>
        <v/>
      </c>
      <c r="AK628" s="4"/>
      <c r="AL628" s="4"/>
      <c r="AM628" s="4"/>
      <c r="AN628" s="4"/>
      <c r="AO628" s="4"/>
      <c r="AP628" s="4"/>
      <c r="AQ628" s="4"/>
      <c r="AR628" s="4"/>
      <c r="AS628" s="76" t="str">
        <f>"COMMENT ON COLUMN "&amp;エンティティ一覧!$O$2&amp;"."&amp;D$8&amp;"."&amp;D628&amp;" IS '"&amp;C628&amp;"';"</f>
        <v>COMMENT ON COLUMN milscm_2023_009.main_diagnosis_start_date.shikkan620_start_date IS 'I600_疾患開始日';</v>
      </c>
    </row>
    <row r="629" spans="1:45" s="25" customFormat="1">
      <c r="A629" s="4" t="s">
        <v>5707</v>
      </c>
      <c r="B629" s="21">
        <f t="shared" si="71"/>
        <v>627</v>
      </c>
      <c r="C629" s="13" t="str">
        <f t="shared" si="79"/>
        <v>I601_疾患開始日</v>
      </c>
      <c r="D629" s="13" t="s">
        <v>6281</v>
      </c>
      <c r="E629" s="8"/>
      <c r="F629" s="7" t="s">
        <v>4348</v>
      </c>
      <c r="G629" s="7" t="s">
        <v>25</v>
      </c>
      <c r="H629" s="58"/>
      <c r="I629" s="23"/>
      <c r="J629" s="24"/>
      <c r="M629" s="4"/>
      <c r="N629" s="76"/>
      <c r="O629" s="76"/>
      <c r="P629" s="76" t="str">
        <f t="shared" si="72"/>
        <v>,shikkan621_start_date</v>
      </c>
      <c r="Q629" s="76" t="str">
        <f t="shared" si="73"/>
        <v>DATE</v>
      </c>
      <c r="R629" s="76" t="str">
        <f t="shared" si="74"/>
        <v/>
      </c>
      <c r="S629" s="76" t="str">
        <f t="shared" si="75"/>
        <v/>
      </c>
      <c r="T629" s="76" t="str">
        <f t="shared" si="76"/>
        <v>-- I601_疾患開始日</v>
      </c>
      <c r="U629" s="4" t="str">
        <f t="shared" si="77"/>
        <v>,'shikkan621_start_date'</v>
      </c>
      <c r="V629" s="25" t="str">
        <f t="shared" si="78"/>
        <v>,'shikkan621_start_date' : 'I601_疾患開始日'</v>
      </c>
      <c r="X629" s="25">
        <v>1</v>
      </c>
      <c r="AA629" s="4"/>
      <c r="AB629" s="4"/>
      <c r="AC629" s="4"/>
      <c r="AD629" s="4"/>
      <c r="AE629" s="4"/>
      <c r="AF629" s="4"/>
      <c r="AG629" s="4"/>
      <c r="AH629" s="4"/>
      <c r="AI629" s="4"/>
      <c r="AJ629" s="76" t="str">
        <f>IF(E629="○",IF(COUNTA(E$13:E629)=1,"",",")&amp;D629,"")</f>
        <v/>
      </c>
      <c r="AK629" s="4"/>
      <c r="AL629" s="4"/>
      <c r="AM629" s="4"/>
      <c r="AN629" s="4"/>
      <c r="AO629" s="4"/>
      <c r="AP629" s="4"/>
      <c r="AQ629" s="4"/>
      <c r="AR629" s="4"/>
      <c r="AS629" s="76" t="str">
        <f>"COMMENT ON COLUMN "&amp;エンティティ一覧!$O$2&amp;"."&amp;D$8&amp;"."&amp;D629&amp;" IS '"&amp;C629&amp;"';"</f>
        <v>COMMENT ON COLUMN milscm_2023_009.main_diagnosis_start_date.shikkan621_start_date IS 'I601_疾患開始日';</v>
      </c>
    </row>
    <row r="630" spans="1:45" s="25" customFormat="1">
      <c r="A630" s="4" t="s">
        <v>5708</v>
      </c>
      <c r="B630" s="21">
        <f t="shared" si="71"/>
        <v>628</v>
      </c>
      <c r="C630" s="13" t="str">
        <f t="shared" si="79"/>
        <v>I602_疾患開始日</v>
      </c>
      <c r="D630" s="13" t="s">
        <v>6282</v>
      </c>
      <c r="E630" s="8"/>
      <c r="F630" s="7" t="s">
        <v>4348</v>
      </c>
      <c r="G630" s="7" t="s">
        <v>25</v>
      </c>
      <c r="H630" s="58"/>
      <c r="I630" s="23"/>
      <c r="J630" s="24"/>
      <c r="M630" s="4"/>
      <c r="N630" s="76"/>
      <c r="O630" s="76"/>
      <c r="P630" s="76" t="str">
        <f t="shared" si="72"/>
        <v>,shikkan622_start_date</v>
      </c>
      <c r="Q630" s="76" t="str">
        <f t="shared" si="73"/>
        <v>DATE</v>
      </c>
      <c r="R630" s="76" t="str">
        <f t="shared" si="74"/>
        <v/>
      </c>
      <c r="S630" s="76" t="str">
        <f t="shared" si="75"/>
        <v/>
      </c>
      <c r="T630" s="76" t="str">
        <f t="shared" si="76"/>
        <v>-- I602_疾患開始日</v>
      </c>
      <c r="U630" s="4" t="str">
        <f t="shared" si="77"/>
        <v>,'shikkan622_start_date'</v>
      </c>
      <c r="V630" s="25" t="str">
        <f t="shared" si="78"/>
        <v>,'shikkan622_start_date' : 'I602_疾患開始日'</v>
      </c>
      <c r="X630" s="25">
        <v>1</v>
      </c>
      <c r="AA630" s="4"/>
      <c r="AB630" s="4"/>
      <c r="AC630" s="4"/>
      <c r="AD630" s="4"/>
      <c r="AE630" s="4"/>
      <c r="AF630" s="4"/>
      <c r="AG630" s="4"/>
      <c r="AH630" s="4"/>
      <c r="AI630" s="4"/>
      <c r="AJ630" s="76" t="str">
        <f>IF(E630="○",IF(COUNTA(E$13:E630)=1,"",",")&amp;D630,"")</f>
        <v/>
      </c>
      <c r="AK630" s="4"/>
      <c r="AL630" s="4"/>
      <c r="AM630" s="4"/>
      <c r="AN630" s="4"/>
      <c r="AO630" s="4"/>
      <c r="AP630" s="4"/>
      <c r="AQ630" s="4"/>
      <c r="AR630" s="4"/>
      <c r="AS630" s="76" t="str">
        <f>"COMMENT ON COLUMN "&amp;エンティティ一覧!$O$2&amp;"."&amp;D$8&amp;"."&amp;D630&amp;" IS '"&amp;C630&amp;"';"</f>
        <v>COMMENT ON COLUMN milscm_2023_009.main_diagnosis_start_date.shikkan622_start_date IS 'I602_疾患開始日';</v>
      </c>
    </row>
    <row r="631" spans="1:45" s="25" customFormat="1">
      <c r="A631" s="4" t="s">
        <v>5709</v>
      </c>
      <c r="B631" s="21">
        <f t="shared" si="71"/>
        <v>629</v>
      </c>
      <c r="C631" s="13" t="str">
        <f t="shared" si="79"/>
        <v>I603_疾患開始日</v>
      </c>
      <c r="D631" s="13" t="s">
        <v>6283</v>
      </c>
      <c r="E631" s="8"/>
      <c r="F631" s="7" t="s">
        <v>4348</v>
      </c>
      <c r="G631" s="7" t="s">
        <v>99</v>
      </c>
      <c r="H631" s="58"/>
      <c r="I631" s="23"/>
      <c r="J631" s="24"/>
      <c r="M631" s="4"/>
      <c r="N631" s="76"/>
      <c r="O631" s="76"/>
      <c r="P631" s="76" t="str">
        <f t="shared" si="72"/>
        <v>,shikkan623_start_date</v>
      </c>
      <c r="Q631" s="76" t="str">
        <f t="shared" si="73"/>
        <v>DATE</v>
      </c>
      <c r="R631" s="76" t="str">
        <f t="shared" si="74"/>
        <v/>
      </c>
      <c r="S631" s="76" t="str">
        <f t="shared" si="75"/>
        <v/>
      </c>
      <c r="T631" s="76" t="str">
        <f t="shared" si="76"/>
        <v>-- I603_疾患開始日</v>
      </c>
      <c r="U631" s="4" t="str">
        <f t="shared" si="77"/>
        <v>,'shikkan623_start_date'</v>
      </c>
      <c r="V631" s="25" t="str">
        <f t="shared" si="78"/>
        <v>,'shikkan623_start_date' : 'I603_疾患開始日'</v>
      </c>
      <c r="X631" s="25">
        <v>1</v>
      </c>
      <c r="AA631" s="4"/>
      <c r="AB631" s="4"/>
      <c r="AC631" s="4"/>
      <c r="AD631" s="4"/>
      <c r="AE631" s="4"/>
      <c r="AF631" s="4"/>
      <c r="AG631" s="4"/>
      <c r="AH631" s="4"/>
      <c r="AI631" s="4"/>
      <c r="AJ631" s="76" t="str">
        <f>IF(E631="○",IF(COUNTA(E$13:E631)=1,"",",")&amp;D631,"")</f>
        <v/>
      </c>
      <c r="AK631" s="4"/>
      <c r="AL631" s="4"/>
      <c r="AM631" s="4"/>
      <c r="AN631" s="4"/>
      <c r="AO631" s="4"/>
      <c r="AP631" s="4"/>
      <c r="AQ631" s="4"/>
      <c r="AR631" s="4"/>
      <c r="AS631" s="76" t="str">
        <f>"COMMENT ON COLUMN "&amp;エンティティ一覧!$O$2&amp;"."&amp;D$8&amp;"."&amp;D631&amp;" IS '"&amp;C631&amp;"';"</f>
        <v>COMMENT ON COLUMN milscm_2023_009.main_diagnosis_start_date.shikkan623_start_date IS 'I603_疾患開始日';</v>
      </c>
    </row>
    <row r="632" spans="1:45" s="25" customFormat="1">
      <c r="A632" s="4" t="s">
        <v>5710</v>
      </c>
      <c r="B632" s="21">
        <f t="shared" si="71"/>
        <v>630</v>
      </c>
      <c r="C632" s="13" t="str">
        <f t="shared" si="79"/>
        <v>I604_疾患開始日</v>
      </c>
      <c r="D632" s="13" t="s">
        <v>6284</v>
      </c>
      <c r="E632" s="8"/>
      <c r="F632" s="7" t="s">
        <v>4348</v>
      </c>
      <c r="G632" s="7" t="s">
        <v>25</v>
      </c>
      <c r="H632" s="58"/>
      <c r="I632" s="23"/>
      <c r="J632" s="24"/>
      <c r="M632" s="4"/>
      <c r="N632" s="76"/>
      <c r="O632" s="76"/>
      <c r="P632" s="76" t="str">
        <f t="shared" si="72"/>
        <v>,shikkan624_start_date</v>
      </c>
      <c r="Q632" s="76" t="str">
        <f t="shared" si="73"/>
        <v>DATE</v>
      </c>
      <c r="R632" s="76" t="str">
        <f t="shared" si="74"/>
        <v/>
      </c>
      <c r="S632" s="76" t="str">
        <f t="shared" si="75"/>
        <v/>
      </c>
      <c r="T632" s="76" t="str">
        <f t="shared" si="76"/>
        <v>-- I604_疾患開始日</v>
      </c>
      <c r="U632" s="4" t="str">
        <f t="shared" si="77"/>
        <v>,'shikkan624_start_date'</v>
      </c>
      <c r="V632" s="25" t="str">
        <f t="shared" si="78"/>
        <v>,'shikkan624_start_date' : 'I604_疾患開始日'</v>
      </c>
      <c r="X632" s="25">
        <v>1</v>
      </c>
      <c r="AA632" s="4"/>
      <c r="AB632" s="4"/>
      <c r="AC632" s="4"/>
      <c r="AD632" s="4"/>
      <c r="AE632" s="4"/>
      <c r="AF632" s="4"/>
      <c r="AG632" s="4"/>
      <c r="AH632" s="4"/>
      <c r="AI632" s="4"/>
      <c r="AJ632" s="76" t="str">
        <f>IF(E632="○",IF(COUNTA(E$13:E632)=1,"",",")&amp;D632,"")</f>
        <v/>
      </c>
      <c r="AK632" s="4"/>
      <c r="AL632" s="4"/>
      <c r="AM632" s="4"/>
      <c r="AN632" s="4"/>
      <c r="AO632" s="4"/>
      <c r="AP632" s="4"/>
      <c r="AQ632" s="4"/>
      <c r="AR632" s="4"/>
      <c r="AS632" s="76" t="str">
        <f>"COMMENT ON COLUMN "&amp;エンティティ一覧!$O$2&amp;"."&amp;D$8&amp;"."&amp;D632&amp;" IS '"&amp;C632&amp;"';"</f>
        <v>COMMENT ON COLUMN milscm_2023_009.main_diagnosis_start_date.shikkan624_start_date IS 'I604_疾患開始日';</v>
      </c>
    </row>
    <row r="633" spans="1:45" s="25" customFormat="1">
      <c r="A633" s="4" t="s">
        <v>5711</v>
      </c>
      <c r="B633" s="21">
        <f t="shared" si="71"/>
        <v>631</v>
      </c>
      <c r="C633" s="13" t="str">
        <f t="shared" si="79"/>
        <v>I605_疾患開始日</v>
      </c>
      <c r="D633" s="13" t="s">
        <v>6285</v>
      </c>
      <c r="E633" s="8"/>
      <c r="F633" s="7" t="s">
        <v>4348</v>
      </c>
      <c r="G633" s="7" t="s">
        <v>25</v>
      </c>
      <c r="H633" s="58"/>
      <c r="I633" s="23"/>
      <c r="J633" s="24"/>
      <c r="M633" s="4"/>
      <c r="N633" s="76"/>
      <c r="O633" s="76"/>
      <c r="P633" s="76" t="str">
        <f t="shared" si="72"/>
        <v>,shikkan625_start_date</v>
      </c>
      <c r="Q633" s="76" t="str">
        <f t="shared" si="73"/>
        <v>DATE</v>
      </c>
      <c r="R633" s="76" t="str">
        <f t="shared" si="74"/>
        <v/>
      </c>
      <c r="S633" s="76" t="str">
        <f t="shared" si="75"/>
        <v/>
      </c>
      <c r="T633" s="76" t="str">
        <f t="shared" si="76"/>
        <v>-- I605_疾患開始日</v>
      </c>
      <c r="U633" s="4" t="str">
        <f t="shared" si="77"/>
        <v>,'shikkan625_start_date'</v>
      </c>
      <c r="V633" s="25" t="str">
        <f t="shared" si="78"/>
        <v>,'shikkan625_start_date' : 'I605_疾患開始日'</v>
      </c>
      <c r="X633" s="25">
        <v>1</v>
      </c>
      <c r="AA633" s="4"/>
      <c r="AB633" s="4"/>
      <c r="AC633" s="4"/>
      <c r="AD633" s="4"/>
      <c r="AE633" s="4"/>
      <c r="AF633" s="4"/>
      <c r="AG633" s="4"/>
      <c r="AH633" s="4"/>
      <c r="AI633" s="4"/>
      <c r="AJ633" s="76" t="str">
        <f>IF(E633="○",IF(COUNTA(E$13:E633)=1,"",",")&amp;D633,"")</f>
        <v/>
      </c>
      <c r="AK633" s="4"/>
      <c r="AL633" s="4"/>
      <c r="AM633" s="4"/>
      <c r="AN633" s="4"/>
      <c r="AO633" s="4"/>
      <c r="AP633" s="4"/>
      <c r="AQ633" s="4"/>
      <c r="AR633" s="4"/>
      <c r="AS633" s="76" t="str">
        <f>"COMMENT ON COLUMN "&amp;エンティティ一覧!$O$2&amp;"."&amp;D$8&amp;"."&amp;D633&amp;" IS '"&amp;C633&amp;"';"</f>
        <v>COMMENT ON COLUMN milscm_2023_009.main_diagnosis_start_date.shikkan625_start_date IS 'I605_疾患開始日';</v>
      </c>
    </row>
    <row r="634" spans="1:45" s="25" customFormat="1">
      <c r="A634" s="4" t="s">
        <v>5712</v>
      </c>
      <c r="B634" s="21">
        <f t="shared" si="71"/>
        <v>632</v>
      </c>
      <c r="C634" s="13" t="str">
        <f t="shared" si="79"/>
        <v>I606_疾患開始日</v>
      </c>
      <c r="D634" s="13" t="s">
        <v>6286</v>
      </c>
      <c r="E634" s="8"/>
      <c r="F634" s="7" t="s">
        <v>4348</v>
      </c>
      <c r="G634" s="7" t="s">
        <v>25</v>
      </c>
      <c r="H634" s="58"/>
      <c r="I634" s="23"/>
      <c r="J634" s="24"/>
      <c r="M634" s="4"/>
      <c r="N634" s="76"/>
      <c r="O634" s="76"/>
      <c r="P634" s="76" t="str">
        <f t="shared" si="72"/>
        <v>,shikkan626_start_date</v>
      </c>
      <c r="Q634" s="76" t="str">
        <f t="shared" si="73"/>
        <v>DATE</v>
      </c>
      <c r="R634" s="76" t="str">
        <f t="shared" si="74"/>
        <v/>
      </c>
      <c r="S634" s="76" t="str">
        <f t="shared" si="75"/>
        <v/>
      </c>
      <c r="T634" s="76" t="str">
        <f t="shared" si="76"/>
        <v>-- I606_疾患開始日</v>
      </c>
      <c r="U634" s="4" t="str">
        <f t="shared" si="77"/>
        <v>,'shikkan626_start_date'</v>
      </c>
      <c r="V634" s="25" t="str">
        <f t="shared" si="78"/>
        <v>,'shikkan626_start_date' : 'I606_疾患開始日'</v>
      </c>
      <c r="X634" s="25">
        <v>1</v>
      </c>
      <c r="AA634" s="4"/>
      <c r="AB634" s="4"/>
      <c r="AC634" s="4"/>
      <c r="AD634" s="4"/>
      <c r="AE634" s="4"/>
      <c r="AF634" s="4"/>
      <c r="AG634" s="4"/>
      <c r="AH634" s="4"/>
      <c r="AI634" s="4"/>
      <c r="AJ634" s="76" t="str">
        <f>IF(E634="○",IF(COUNTA(E$13:E634)=1,"",",")&amp;D634,"")</f>
        <v/>
      </c>
      <c r="AK634" s="4"/>
      <c r="AL634" s="4"/>
      <c r="AM634" s="4"/>
      <c r="AN634" s="4"/>
      <c r="AO634" s="4"/>
      <c r="AP634" s="4"/>
      <c r="AQ634" s="4"/>
      <c r="AR634" s="4"/>
      <c r="AS634" s="76" t="str">
        <f>"COMMENT ON COLUMN "&amp;エンティティ一覧!$O$2&amp;"."&amp;D$8&amp;"."&amp;D634&amp;" IS '"&amp;C634&amp;"';"</f>
        <v>COMMENT ON COLUMN milscm_2023_009.main_diagnosis_start_date.shikkan626_start_date IS 'I606_疾患開始日';</v>
      </c>
    </row>
    <row r="635" spans="1:45" s="25" customFormat="1">
      <c r="A635" s="4" t="s">
        <v>5713</v>
      </c>
      <c r="B635" s="21">
        <f t="shared" si="71"/>
        <v>633</v>
      </c>
      <c r="C635" s="13" t="str">
        <f t="shared" si="79"/>
        <v>I607_疾患開始日</v>
      </c>
      <c r="D635" s="13" t="s">
        <v>6287</v>
      </c>
      <c r="E635" s="8"/>
      <c r="F635" s="7" t="s">
        <v>4348</v>
      </c>
      <c r="G635" s="7" t="s">
        <v>25</v>
      </c>
      <c r="H635" s="58"/>
      <c r="I635" s="23"/>
      <c r="J635" s="24"/>
      <c r="M635" s="4"/>
      <c r="N635" s="76"/>
      <c r="O635" s="76"/>
      <c r="P635" s="76" t="str">
        <f t="shared" si="72"/>
        <v>,shikkan627_start_date</v>
      </c>
      <c r="Q635" s="76" t="str">
        <f t="shared" si="73"/>
        <v>DATE</v>
      </c>
      <c r="R635" s="76" t="str">
        <f t="shared" si="74"/>
        <v/>
      </c>
      <c r="S635" s="76" t="str">
        <f t="shared" si="75"/>
        <v/>
      </c>
      <c r="T635" s="76" t="str">
        <f t="shared" si="76"/>
        <v>-- I607_疾患開始日</v>
      </c>
      <c r="U635" s="4" t="str">
        <f t="shared" si="77"/>
        <v>,'shikkan627_start_date'</v>
      </c>
      <c r="V635" s="25" t="str">
        <f t="shared" si="78"/>
        <v>,'shikkan627_start_date' : 'I607_疾患開始日'</v>
      </c>
      <c r="X635" s="25">
        <v>1</v>
      </c>
      <c r="AA635" s="4"/>
      <c r="AB635" s="4"/>
      <c r="AC635" s="4"/>
      <c r="AD635" s="4"/>
      <c r="AE635" s="4"/>
      <c r="AF635" s="4"/>
      <c r="AG635" s="4"/>
      <c r="AH635" s="4"/>
      <c r="AI635" s="4"/>
      <c r="AJ635" s="76" t="str">
        <f>IF(E635="○",IF(COUNTA(E$13:E635)=1,"",",")&amp;D635,"")</f>
        <v/>
      </c>
      <c r="AK635" s="4"/>
      <c r="AL635" s="4"/>
      <c r="AM635" s="4"/>
      <c r="AN635" s="4"/>
      <c r="AO635" s="4"/>
      <c r="AP635" s="4"/>
      <c r="AQ635" s="4"/>
      <c r="AR635" s="4"/>
      <c r="AS635" s="76" t="str">
        <f>"COMMENT ON COLUMN "&amp;エンティティ一覧!$O$2&amp;"."&amp;D$8&amp;"."&amp;D635&amp;" IS '"&amp;C635&amp;"';"</f>
        <v>COMMENT ON COLUMN milscm_2023_009.main_diagnosis_start_date.shikkan627_start_date IS 'I607_疾患開始日';</v>
      </c>
    </row>
    <row r="636" spans="1:45" s="25" customFormat="1">
      <c r="A636" s="4" t="s">
        <v>5714</v>
      </c>
      <c r="B636" s="21">
        <f t="shared" si="71"/>
        <v>634</v>
      </c>
      <c r="C636" s="13" t="str">
        <f t="shared" si="79"/>
        <v>I608_疾患開始日</v>
      </c>
      <c r="D636" s="13" t="s">
        <v>6288</v>
      </c>
      <c r="E636" s="8"/>
      <c r="F636" s="7" t="s">
        <v>4348</v>
      </c>
      <c r="G636" s="7" t="s">
        <v>25</v>
      </c>
      <c r="H636" s="58"/>
      <c r="I636" s="23"/>
      <c r="J636" s="24"/>
      <c r="M636" s="4"/>
      <c r="N636" s="76"/>
      <c r="O636" s="76"/>
      <c r="P636" s="76" t="str">
        <f t="shared" si="72"/>
        <v>,shikkan628_start_date</v>
      </c>
      <c r="Q636" s="76" t="str">
        <f t="shared" si="73"/>
        <v>DATE</v>
      </c>
      <c r="R636" s="76" t="str">
        <f t="shared" si="74"/>
        <v/>
      </c>
      <c r="S636" s="76" t="str">
        <f t="shared" si="75"/>
        <v/>
      </c>
      <c r="T636" s="76" t="str">
        <f t="shared" si="76"/>
        <v>-- I608_疾患開始日</v>
      </c>
      <c r="U636" s="4" t="str">
        <f t="shared" si="77"/>
        <v>,'shikkan628_start_date'</v>
      </c>
      <c r="V636" s="25" t="str">
        <f t="shared" si="78"/>
        <v>,'shikkan628_start_date' : 'I608_疾患開始日'</v>
      </c>
      <c r="X636" s="25">
        <v>1</v>
      </c>
      <c r="AA636" s="4"/>
      <c r="AB636" s="4"/>
      <c r="AC636" s="4"/>
      <c r="AD636" s="4"/>
      <c r="AE636" s="4"/>
      <c r="AF636" s="4"/>
      <c r="AG636" s="4"/>
      <c r="AH636" s="4"/>
      <c r="AI636" s="4"/>
      <c r="AJ636" s="76" t="str">
        <f>IF(E636="○",IF(COUNTA(E$13:E636)=1,"",",")&amp;D636,"")</f>
        <v/>
      </c>
      <c r="AK636" s="4"/>
      <c r="AL636" s="4"/>
      <c r="AM636" s="4"/>
      <c r="AN636" s="4"/>
      <c r="AO636" s="4"/>
      <c r="AP636" s="4"/>
      <c r="AQ636" s="4"/>
      <c r="AR636" s="4"/>
      <c r="AS636" s="76" t="str">
        <f>"COMMENT ON COLUMN "&amp;エンティティ一覧!$O$2&amp;"."&amp;D$8&amp;"."&amp;D636&amp;" IS '"&amp;C636&amp;"';"</f>
        <v>COMMENT ON COLUMN milscm_2023_009.main_diagnosis_start_date.shikkan628_start_date IS 'I608_疾患開始日';</v>
      </c>
    </row>
    <row r="637" spans="1:45" s="25" customFormat="1">
      <c r="A637" s="4" t="s">
        <v>5715</v>
      </c>
      <c r="B637" s="21">
        <f t="shared" si="71"/>
        <v>635</v>
      </c>
      <c r="C637" s="13" t="str">
        <f t="shared" si="79"/>
        <v>I609_疾患開始日</v>
      </c>
      <c r="D637" s="13" t="s">
        <v>6289</v>
      </c>
      <c r="E637" s="8"/>
      <c r="F637" s="7" t="s">
        <v>4348</v>
      </c>
      <c r="G637" s="7" t="s">
        <v>25</v>
      </c>
      <c r="H637" s="58"/>
      <c r="I637" s="23"/>
      <c r="J637" s="24"/>
      <c r="M637" s="4"/>
      <c r="N637" s="76"/>
      <c r="O637" s="76"/>
      <c r="P637" s="76" t="str">
        <f t="shared" si="72"/>
        <v>,shikkan629_start_date</v>
      </c>
      <c r="Q637" s="76" t="str">
        <f t="shared" si="73"/>
        <v>DATE</v>
      </c>
      <c r="R637" s="76" t="str">
        <f t="shared" si="74"/>
        <v/>
      </c>
      <c r="S637" s="76" t="str">
        <f t="shared" si="75"/>
        <v/>
      </c>
      <c r="T637" s="76" t="str">
        <f t="shared" si="76"/>
        <v>-- I609_疾患開始日</v>
      </c>
      <c r="U637" s="4" t="str">
        <f t="shared" si="77"/>
        <v>,'shikkan629_start_date'</v>
      </c>
      <c r="V637" s="25" t="str">
        <f t="shared" si="78"/>
        <v>,'shikkan629_start_date' : 'I609_疾患開始日'</v>
      </c>
      <c r="X637" s="25">
        <v>1</v>
      </c>
      <c r="AA637" s="4"/>
      <c r="AB637" s="4"/>
      <c r="AC637" s="4"/>
      <c r="AD637" s="4"/>
      <c r="AE637" s="4"/>
      <c r="AF637" s="4"/>
      <c r="AG637" s="4"/>
      <c r="AH637" s="4"/>
      <c r="AI637" s="4"/>
      <c r="AJ637" s="76" t="str">
        <f>IF(E637="○",IF(COUNTA(E$13:E637)=1,"",",")&amp;D637,"")</f>
        <v/>
      </c>
      <c r="AK637" s="4"/>
      <c r="AL637" s="4"/>
      <c r="AM637" s="4"/>
      <c r="AN637" s="4"/>
      <c r="AO637" s="4"/>
      <c r="AP637" s="4"/>
      <c r="AQ637" s="4"/>
      <c r="AR637" s="4"/>
      <c r="AS637" s="76" t="str">
        <f>"COMMENT ON COLUMN "&amp;エンティティ一覧!$O$2&amp;"."&amp;D$8&amp;"."&amp;D637&amp;" IS '"&amp;C637&amp;"';"</f>
        <v>COMMENT ON COLUMN milscm_2023_009.main_diagnosis_start_date.shikkan629_start_date IS 'I609_疾患開始日';</v>
      </c>
    </row>
    <row r="638" spans="1:45" s="25" customFormat="1">
      <c r="A638" s="4" t="s">
        <v>5716</v>
      </c>
      <c r="B638" s="21">
        <f t="shared" si="71"/>
        <v>636</v>
      </c>
      <c r="C638" s="13" t="str">
        <f t="shared" si="79"/>
        <v>I610_疾患開始日</v>
      </c>
      <c r="D638" s="13" t="s">
        <v>6290</v>
      </c>
      <c r="E638" s="8"/>
      <c r="F638" s="7" t="s">
        <v>4348</v>
      </c>
      <c r="G638" s="7" t="s">
        <v>25</v>
      </c>
      <c r="H638" s="58"/>
      <c r="I638" s="23"/>
      <c r="J638" s="24"/>
      <c r="M638" s="4"/>
      <c r="N638" s="76"/>
      <c r="O638" s="76"/>
      <c r="P638" s="76" t="str">
        <f t="shared" si="72"/>
        <v>,shikkan630_start_date</v>
      </c>
      <c r="Q638" s="76" t="str">
        <f t="shared" si="73"/>
        <v>DATE</v>
      </c>
      <c r="R638" s="76" t="str">
        <f t="shared" si="74"/>
        <v/>
      </c>
      <c r="S638" s="76" t="str">
        <f t="shared" si="75"/>
        <v/>
      </c>
      <c r="T638" s="76" t="str">
        <f t="shared" si="76"/>
        <v>-- I610_疾患開始日</v>
      </c>
      <c r="U638" s="4" t="str">
        <f t="shared" si="77"/>
        <v>,'shikkan630_start_date'</v>
      </c>
      <c r="V638" s="25" t="str">
        <f t="shared" si="78"/>
        <v>,'shikkan630_start_date' : 'I610_疾患開始日'</v>
      </c>
      <c r="X638" s="25">
        <v>1</v>
      </c>
      <c r="AA638" s="4"/>
      <c r="AB638" s="4"/>
      <c r="AC638" s="4"/>
      <c r="AD638" s="4"/>
      <c r="AE638" s="4"/>
      <c r="AF638" s="4"/>
      <c r="AG638" s="4"/>
      <c r="AH638" s="4"/>
      <c r="AI638" s="4"/>
      <c r="AJ638" s="76" t="str">
        <f>IF(E638="○",IF(COUNTA(E$13:E638)=1,"",",")&amp;D638,"")</f>
        <v/>
      </c>
      <c r="AK638" s="4"/>
      <c r="AL638" s="4"/>
      <c r="AM638" s="4"/>
      <c r="AN638" s="4"/>
      <c r="AO638" s="4"/>
      <c r="AP638" s="4"/>
      <c r="AQ638" s="4"/>
      <c r="AR638" s="4"/>
      <c r="AS638" s="76" t="str">
        <f>"COMMENT ON COLUMN "&amp;エンティティ一覧!$O$2&amp;"."&amp;D$8&amp;"."&amp;D638&amp;" IS '"&amp;C638&amp;"';"</f>
        <v>COMMENT ON COLUMN milscm_2023_009.main_diagnosis_start_date.shikkan630_start_date IS 'I610_疾患開始日';</v>
      </c>
    </row>
    <row r="639" spans="1:45" s="25" customFormat="1">
      <c r="A639" s="4" t="s">
        <v>5717</v>
      </c>
      <c r="B639" s="21">
        <f t="shared" si="71"/>
        <v>637</v>
      </c>
      <c r="C639" s="13" t="str">
        <f t="shared" si="79"/>
        <v>I611_疾患開始日</v>
      </c>
      <c r="D639" s="13" t="s">
        <v>6291</v>
      </c>
      <c r="E639" s="8"/>
      <c r="F639" s="7" t="s">
        <v>4348</v>
      </c>
      <c r="G639" s="7" t="s">
        <v>25</v>
      </c>
      <c r="H639" s="58"/>
      <c r="I639" s="23"/>
      <c r="J639" s="24"/>
      <c r="M639" s="4"/>
      <c r="N639" s="76"/>
      <c r="O639" s="76"/>
      <c r="P639" s="76" t="str">
        <f t="shared" si="72"/>
        <v>,shikkan631_start_date</v>
      </c>
      <c r="Q639" s="76" t="str">
        <f t="shared" si="73"/>
        <v>DATE</v>
      </c>
      <c r="R639" s="76" t="str">
        <f t="shared" si="74"/>
        <v/>
      </c>
      <c r="S639" s="76" t="str">
        <f t="shared" si="75"/>
        <v/>
      </c>
      <c r="T639" s="76" t="str">
        <f t="shared" si="76"/>
        <v>-- I611_疾患開始日</v>
      </c>
      <c r="U639" s="4" t="str">
        <f t="shared" si="77"/>
        <v>,'shikkan631_start_date'</v>
      </c>
      <c r="V639" s="25" t="str">
        <f t="shared" si="78"/>
        <v>,'shikkan631_start_date' : 'I611_疾患開始日'</v>
      </c>
      <c r="X639" s="25">
        <v>1</v>
      </c>
      <c r="AA639" s="4"/>
      <c r="AB639" s="4"/>
      <c r="AC639" s="4"/>
      <c r="AD639" s="4"/>
      <c r="AE639" s="4"/>
      <c r="AF639" s="4"/>
      <c r="AG639" s="4"/>
      <c r="AH639" s="4"/>
      <c r="AI639" s="4"/>
      <c r="AJ639" s="76" t="str">
        <f>IF(E639="○",IF(COUNTA(E$13:E639)=1,"",",")&amp;D639,"")</f>
        <v/>
      </c>
      <c r="AK639" s="4"/>
      <c r="AL639" s="4"/>
      <c r="AM639" s="4"/>
      <c r="AN639" s="4"/>
      <c r="AO639" s="4"/>
      <c r="AP639" s="4"/>
      <c r="AQ639" s="4"/>
      <c r="AR639" s="4"/>
      <c r="AS639" s="76" t="str">
        <f>"COMMENT ON COLUMN "&amp;エンティティ一覧!$O$2&amp;"."&amp;D$8&amp;"."&amp;D639&amp;" IS '"&amp;C639&amp;"';"</f>
        <v>COMMENT ON COLUMN milscm_2023_009.main_diagnosis_start_date.shikkan631_start_date IS 'I611_疾患開始日';</v>
      </c>
    </row>
    <row r="640" spans="1:45" s="25" customFormat="1">
      <c r="A640" s="4" t="s">
        <v>5718</v>
      </c>
      <c r="B640" s="21">
        <f t="shared" si="71"/>
        <v>638</v>
      </c>
      <c r="C640" s="13" t="str">
        <f t="shared" si="79"/>
        <v>I612_疾患開始日</v>
      </c>
      <c r="D640" s="13" t="s">
        <v>6292</v>
      </c>
      <c r="E640" s="8"/>
      <c r="F640" s="7" t="s">
        <v>4348</v>
      </c>
      <c r="G640" s="7" t="s">
        <v>25</v>
      </c>
      <c r="H640" s="58"/>
      <c r="I640" s="23"/>
      <c r="J640" s="24"/>
      <c r="M640" s="4"/>
      <c r="N640" s="76"/>
      <c r="O640" s="76"/>
      <c r="P640" s="76" t="str">
        <f t="shared" si="72"/>
        <v>,shikkan632_start_date</v>
      </c>
      <c r="Q640" s="76" t="str">
        <f t="shared" si="73"/>
        <v>DATE</v>
      </c>
      <c r="R640" s="76" t="str">
        <f t="shared" si="74"/>
        <v/>
      </c>
      <c r="S640" s="76" t="str">
        <f t="shared" si="75"/>
        <v/>
      </c>
      <c r="T640" s="76" t="str">
        <f t="shared" si="76"/>
        <v>-- I612_疾患開始日</v>
      </c>
      <c r="U640" s="4" t="str">
        <f t="shared" si="77"/>
        <v>,'shikkan632_start_date'</v>
      </c>
      <c r="V640" s="25" t="str">
        <f t="shared" si="78"/>
        <v>,'shikkan632_start_date' : 'I612_疾患開始日'</v>
      </c>
      <c r="X640" s="25">
        <v>1</v>
      </c>
      <c r="AA640" s="4"/>
      <c r="AB640" s="4"/>
      <c r="AC640" s="4"/>
      <c r="AD640" s="4"/>
      <c r="AE640" s="4"/>
      <c r="AF640" s="4"/>
      <c r="AG640" s="4"/>
      <c r="AH640" s="4"/>
      <c r="AI640" s="4"/>
      <c r="AJ640" s="76" t="str">
        <f>IF(E640="○",IF(COUNTA(E$13:E640)=1,"",",")&amp;D640,"")</f>
        <v/>
      </c>
      <c r="AK640" s="4"/>
      <c r="AL640" s="4"/>
      <c r="AM640" s="4"/>
      <c r="AN640" s="4"/>
      <c r="AO640" s="4"/>
      <c r="AP640" s="4"/>
      <c r="AQ640" s="4"/>
      <c r="AR640" s="4"/>
      <c r="AS640" s="76" t="str">
        <f>"COMMENT ON COLUMN "&amp;エンティティ一覧!$O$2&amp;"."&amp;D$8&amp;"."&amp;D640&amp;" IS '"&amp;C640&amp;"';"</f>
        <v>COMMENT ON COLUMN milscm_2023_009.main_diagnosis_start_date.shikkan632_start_date IS 'I612_疾患開始日';</v>
      </c>
    </row>
    <row r="641" spans="1:45" s="25" customFormat="1">
      <c r="A641" s="4" t="s">
        <v>5719</v>
      </c>
      <c r="B641" s="21">
        <f t="shared" si="71"/>
        <v>639</v>
      </c>
      <c r="C641" s="13" t="str">
        <f t="shared" si="79"/>
        <v>I613_疾患開始日</v>
      </c>
      <c r="D641" s="13" t="s">
        <v>6293</v>
      </c>
      <c r="E641" s="8"/>
      <c r="F641" s="7" t="s">
        <v>4348</v>
      </c>
      <c r="G641" s="7" t="s">
        <v>25</v>
      </c>
      <c r="H641" s="58"/>
      <c r="I641" s="23"/>
      <c r="J641" s="24"/>
      <c r="M641" s="4"/>
      <c r="N641" s="76"/>
      <c r="O641" s="76"/>
      <c r="P641" s="76" t="str">
        <f t="shared" si="72"/>
        <v>,shikkan633_start_date</v>
      </c>
      <c r="Q641" s="76" t="str">
        <f t="shared" si="73"/>
        <v>DATE</v>
      </c>
      <c r="R641" s="76" t="str">
        <f t="shared" si="74"/>
        <v/>
      </c>
      <c r="S641" s="76" t="str">
        <f t="shared" si="75"/>
        <v/>
      </c>
      <c r="T641" s="76" t="str">
        <f t="shared" si="76"/>
        <v>-- I613_疾患開始日</v>
      </c>
      <c r="U641" s="4" t="str">
        <f t="shared" si="77"/>
        <v>,'shikkan633_start_date'</v>
      </c>
      <c r="V641" s="25" t="str">
        <f t="shared" si="78"/>
        <v>,'shikkan633_start_date' : 'I613_疾患開始日'</v>
      </c>
      <c r="X641" s="25">
        <v>1</v>
      </c>
      <c r="AA641" s="4"/>
      <c r="AB641" s="4"/>
      <c r="AC641" s="4"/>
      <c r="AD641" s="4"/>
      <c r="AE641" s="4"/>
      <c r="AF641" s="4"/>
      <c r="AG641" s="4"/>
      <c r="AH641" s="4"/>
      <c r="AI641" s="4"/>
      <c r="AJ641" s="76" t="str">
        <f>IF(E641="○",IF(COUNTA(E$13:E641)=1,"",",")&amp;D641,"")</f>
        <v/>
      </c>
      <c r="AK641" s="4"/>
      <c r="AL641" s="4"/>
      <c r="AM641" s="4"/>
      <c r="AN641" s="4"/>
      <c r="AO641" s="4"/>
      <c r="AP641" s="4"/>
      <c r="AQ641" s="4"/>
      <c r="AR641" s="4"/>
      <c r="AS641" s="76" t="str">
        <f>"COMMENT ON COLUMN "&amp;エンティティ一覧!$O$2&amp;"."&amp;D$8&amp;"."&amp;D641&amp;" IS '"&amp;C641&amp;"';"</f>
        <v>COMMENT ON COLUMN milscm_2023_009.main_diagnosis_start_date.shikkan633_start_date IS 'I613_疾患開始日';</v>
      </c>
    </row>
    <row r="642" spans="1:45" s="25" customFormat="1">
      <c r="A642" s="4" t="s">
        <v>5720</v>
      </c>
      <c r="B642" s="21">
        <f t="shared" si="71"/>
        <v>640</v>
      </c>
      <c r="C642" s="13" t="str">
        <f t="shared" si="79"/>
        <v>I614_疾患開始日</v>
      </c>
      <c r="D642" s="13" t="s">
        <v>6294</v>
      </c>
      <c r="E642" s="8"/>
      <c r="F642" s="7" t="s">
        <v>4348</v>
      </c>
      <c r="G642" s="7" t="s">
        <v>25</v>
      </c>
      <c r="H642" s="58"/>
      <c r="I642" s="23"/>
      <c r="J642" s="24"/>
      <c r="M642" s="4"/>
      <c r="N642" s="76"/>
      <c r="O642" s="76"/>
      <c r="P642" s="76" t="str">
        <f t="shared" si="72"/>
        <v>,shikkan634_start_date</v>
      </c>
      <c r="Q642" s="76" t="str">
        <f t="shared" si="73"/>
        <v>DATE</v>
      </c>
      <c r="R642" s="76" t="str">
        <f t="shared" si="74"/>
        <v/>
      </c>
      <c r="S642" s="76" t="str">
        <f t="shared" si="75"/>
        <v/>
      </c>
      <c r="T642" s="76" t="str">
        <f t="shared" si="76"/>
        <v>-- I614_疾患開始日</v>
      </c>
      <c r="U642" s="4" t="str">
        <f t="shared" si="77"/>
        <v>,'shikkan634_start_date'</v>
      </c>
      <c r="V642" s="25" t="str">
        <f t="shared" si="78"/>
        <v>,'shikkan634_start_date' : 'I614_疾患開始日'</v>
      </c>
      <c r="X642" s="25">
        <v>1</v>
      </c>
      <c r="AA642" s="4"/>
      <c r="AB642" s="4"/>
      <c r="AC642" s="4"/>
      <c r="AD642" s="4"/>
      <c r="AE642" s="4"/>
      <c r="AF642" s="4"/>
      <c r="AG642" s="4"/>
      <c r="AH642" s="4"/>
      <c r="AI642" s="4"/>
      <c r="AJ642" s="76" t="str">
        <f>IF(E642="○",IF(COUNTA(E$13:E642)=1,"",",")&amp;D642,"")</f>
        <v/>
      </c>
      <c r="AK642" s="4"/>
      <c r="AL642" s="4"/>
      <c r="AM642" s="4"/>
      <c r="AN642" s="4"/>
      <c r="AO642" s="4"/>
      <c r="AP642" s="4"/>
      <c r="AQ642" s="4"/>
      <c r="AR642" s="4"/>
      <c r="AS642" s="76" t="str">
        <f>"COMMENT ON COLUMN "&amp;エンティティ一覧!$O$2&amp;"."&amp;D$8&amp;"."&amp;D642&amp;" IS '"&amp;C642&amp;"';"</f>
        <v>COMMENT ON COLUMN milscm_2023_009.main_diagnosis_start_date.shikkan634_start_date IS 'I614_疾患開始日';</v>
      </c>
    </row>
    <row r="643" spans="1:45" s="25" customFormat="1">
      <c r="A643" s="4" t="s">
        <v>5721</v>
      </c>
      <c r="B643" s="21">
        <f t="shared" si="71"/>
        <v>641</v>
      </c>
      <c r="C643" s="13" t="str">
        <f t="shared" si="79"/>
        <v>I615_疾患開始日</v>
      </c>
      <c r="D643" s="13" t="s">
        <v>6295</v>
      </c>
      <c r="E643" s="8"/>
      <c r="F643" s="7" t="s">
        <v>4348</v>
      </c>
      <c r="G643" s="7" t="s">
        <v>25</v>
      </c>
      <c r="H643" s="58"/>
      <c r="I643" s="23"/>
      <c r="J643" s="24"/>
      <c r="M643" s="4"/>
      <c r="N643" s="76"/>
      <c r="O643" s="76"/>
      <c r="P643" s="76" t="str">
        <f t="shared" si="72"/>
        <v>,shikkan635_start_date</v>
      </c>
      <c r="Q643" s="76" t="str">
        <f t="shared" si="73"/>
        <v>DATE</v>
      </c>
      <c r="R643" s="76" t="str">
        <f t="shared" si="74"/>
        <v/>
      </c>
      <c r="S643" s="76" t="str">
        <f t="shared" si="75"/>
        <v/>
      </c>
      <c r="T643" s="76" t="str">
        <f t="shared" si="76"/>
        <v>-- I615_疾患開始日</v>
      </c>
      <c r="U643" s="4" t="str">
        <f t="shared" si="77"/>
        <v>,'shikkan635_start_date'</v>
      </c>
      <c r="V643" s="25" t="str">
        <f t="shared" si="78"/>
        <v>,'shikkan635_start_date' : 'I615_疾患開始日'</v>
      </c>
      <c r="X643" s="25">
        <v>1</v>
      </c>
      <c r="AA643" s="4"/>
      <c r="AB643" s="4"/>
      <c r="AC643" s="4"/>
      <c r="AD643" s="4"/>
      <c r="AE643" s="4"/>
      <c r="AF643" s="4"/>
      <c r="AG643" s="4"/>
      <c r="AH643" s="4"/>
      <c r="AI643" s="4"/>
      <c r="AJ643" s="76" t="str">
        <f>IF(E643="○",IF(COUNTA(E$13:E643)=1,"",",")&amp;D643,"")</f>
        <v/>
      </c>
      <c r="AK643" s="4"/>
      <c r="AL643" s="4"/>
      <c r="AM643" s="4"/>
      <c r="AN643" s="4"/>
      <c r="AO643" s="4"/>
      <c r="AP643" s="4"/>
      <c r="AQ643" s="4"/>
      <c r="AR643" s="4"/>
      <c r="AS643" s="76" t="str">
        <f>"COMMENT ON COLUMN "&amp;エンティティ一覧!$O$2&amp;"."&amp;D$8&amp;"."&amp;D643&amp;" IS '"&amp;C643&amp;"';"</f>
        <v>COMMENT ON COLUMN milscm_2023_009.main_diagnosis_start_date.shikkan635_start_date IS 'I615_疾患開始日';</v>
      </c>
    </row>
    <row r="644" spans="1:45" s="25" customFormat="1">
      <c r="A644" s="4" t="s">
        <v>5722</v>
      </c>
      <c r="B644" s="21">
        <f t="shared" ref="B644:B707" si="80">ROW()-2</f>
        <v>642</v>
      </c>
      <c r="C644" s="13" t="str">
        <f t="shared" si="79"/>
        <v>I616_疾患開始日</v>
      </c>
      <c r="D644" s="13" t="s">
        <v>6296</v>
      </c>
      <c r="E644" s="8"/>
      <c r="F644" s="7" t="s">
        <v>4348</v>
      </c>
      <c r="G644" s="7" t="s">
        <v>25</v>
      </c>
      <c r="H644" s="58"/>
      <c r="I644" s="23"/>
      <c r="J644" s="24"/>
      <c r="M644" s="4"/>
      <c r="N644" s="76"/>
      <c r="O644" s="76"/>
      <c r="P644" s="76" t="str">
        <f t="shared" si="72"/>
        <v>,shikkan636_start_date</v>
      </c>
      <c r="Q644" s="76" t="str">
        <f t="shared" si="73"/>
        <v>DATE</v>
      </c>
      <c r="R644" s="76" t="str">
        <f t="shared" si="74"/>
        <v/>
      </c>
      <c r="S644" s="76" t="str">
        <f t="shared" si="75"/>
        <v/>
      </c>
      <c r="T644" s="76" t="str">
        <f t="shared" si="76"/>
        <v>-- I616_疾患開始日</v>
      </c>
      <c r="U644" s="4" t="str">
        <f t="shared" si="77"/>
        <v>,'shikkan636_start_date'</v>
      </c>
      <c r="V644" s="25" t="str">
        <f t="shared" si="78"/>
        <v>,'shikkan636_start_date' : 'I616_疾患開始日'</v>
      </c>
      <c r="X644" s="25">
        <v>1</v>
      </c>
      <c r="AA644" s="4"/>
      <c r="AB644" s="4"/>
      <c r="AC644" s="4"/>
      <c r="AD644" s="4"/>
      <c r="AE644" s="4"/>
      <c r="AF644" s="4"/>
      <c r="AG644" s="4"/>
      <c r="AH644" s="4"/>
      <c r="AI644" s="4"/>
      <c r="AJ644" s="76" t="str">
        <f>IF(E644="○",IF(COUNTA(E$13:E644)=1,"",",")&amp;D644,"")</f>
        <v/>
      </c>
      <c r="AK644" s="4"/>
      <c r="AL644" s="4"/>
      <c r="AM644" s="4"/>
      <c r="AN644" s="4"/>
      <c r="AO644" s="4"/>
      <c r="AP644" s="4"/>
      <c r="AQ644" s="4"/>
      <c r="AR644" s="4"/>
      <c r="AS644" s="76" t="str">
        <f>"COMMENT ON COLUMN "&amp;エンティティ一覧!$O$2&amp;"."&amp;D$8&amp;"."&amp;D644&amp;" IS '"&amp;C644&amp;"';"</f>
        <v>COMMENT ON COLUMN milscm_2023_009.main_diagnosis_start_date.shikkan636_start_date IS 'I616_疾患開始日';</v>
      </c>
    </row>
    <row r="645" spans="1:45" s="25" customFormat="1">
      <c r="A645" s="4" t="s">
        <v>5723</v>
      </c>
      <c r="B645" s="21">
        <f t="shared" si="80"/>
        <v>643</v>
      </c>
      <c r="C645" s="13" t="str">
        <f t="shared" si="79"/>
        <v>I618_疾患開始日</v>
      </c>
      <c r="D645" s="13" t="s">
        <v>6297</v>
      </c>
      <c r="E645" s="8"/>
      <c r="F645" s="7" t="s">
        <v>4348</v>
      </c>
      <c r="G645" s="7" t="s">
        <v>25</v>
      </c>
      <c r="H645" s="58"/>
      <c r="I645" s="23"/>
      <c r="J645" s="24"/>
      <c r="M645" s="4"/>
      <c r="N645" s="76"/>
      <c r="O645" s="76"/>
      <c r="P645" s="76" t="str">
        <f t="shared" si="72"/>
        <v>,shikkan637_start_date</v>
      </c>
      <c r="Q645" s="76" t="str">
        <f t="shared" si="73"/>
        <v>DATE</v>
      </c>
      <c r="R645" s="76" t="str">
        <f t="shared" si="74"/>
        <v/>
      </c>
      <c r="S645" s="76" t="str">
        <f t="shared" si="75"/>
        <v/>
      </c>
      <c r="T645" s="76" t="str">
        <f t="shared" si="76"/>
        <v>-- I618_疾患開始日</v>
      </c>
      <c r="U645" s="4" t="str">
        <f t="shared" si="77"/>
        <v>,'shikkan637_start_date'</v>
      </c>
      <c r="V645" s="25" t="str">
        <f t="shared" si="78"/>
        <v>,'shikkan637_start_date' : 'I618_疾患開始日'</v>
      </c>
      <c r="X645" s="25">
        <v>1</v>
      </c>
      <c r="AA645" s="4"/>
      <c r="AB645" s="4"/>
      <c r="AC645" s="4"/>
      <c r="AD645" s="4"/>
      <c r="AE645" s="4"/>
      <c r="AF645" s="4"/>
      <c r="AG645" s="4"/>
      <c r="AH645" s="4"/>
      <c r="AI645" s="4"/>
      <c r="AJ645" s="76" t="str">
        <f>IF(E645="○",IF(COUNTA(E$13:E645)=1,"",",")&amp;D645,"")</f>
        <v/>
      </c>
      <c r="AK645" s="4"/>
      <c r="AL645" s="4"/>
      <c r="AM645" s="4"/>
      <c r="AN645" s="4"/>
      <c r="AO645" s="4"/>
      <c r="AP645" s="4"/>
      <c r="AQ645" s="4"/>
      <c r="AR645" s="4"/>
      <c r="AS645" s="76" t="str">
        <f>"COMMENT ON COLUMN "&amp;エンティティ一覧!$O$2&amp;"."&amp;D$8&amp;"."&amp;D645&amp;" IS '"&amp;C645&amp;"';"</f>
        <v>COMMENT ON COLUMN milscm_2023_009.main_diagnosis_start_date.shikkan637_start_date IS 'I618_疾患開始日';</v>
      </c>
    </row>
    <row r="646" spans="1:45" s="25" customFormat="1">
      <c r="A646" s="4" t="s">
        <v>5724</v>
      </c>
      <c r="B646" s="21">
        <f t="shared" si="80"/>
        <v>644</v>
      </c>
      <c r="C646" s="13" t="str">
        <f t="shared" si="79"/>
        <v>I619_疾患開始日</v>
      </c>
      <c r="D646" s="13" t="s">
        <v>6298</v>
      </c>
      <c r="E646" s="8"/>
      <c r="F646" s="7" t="s">
        <v>4348</v>
      </c>
      <c r="G646" s="7" t="s">
        <v>25</v>
      </c>
      <c r="H646" s="58"/>
      <c r="I646" s="23"/>
      <c r="J646" s="24"/>
      <c r="M646" s="4"/>
      <c r="N646" s="76"/>
      <c r="O646" s="76"/>
      <c r="P646" s="76" t="str">
        <f t="shared" si="72"/>
        <v>,shikkan638_start_date</v>
      </c>
      <c r="Q646" s="76" t="str">
        <f t="shared" si="73"/>
        <v>DATE</v>
      </c>
      <c r="R646" s="76" t="str">
        <f t="shared" si="74"/>
        <v/>
      </c>
      <c r="S646" s="76" t="str">
        <f t="shared" si="75"/>
        <v/>
      </c>
      <c r="T646" s="76" t="str">
        <f t="shared" si="76"/>
        <v>-- I619_疾患開始日</v>
      </c>
      <c r="U646" s="4" t="str">
        <f t="shared" si="77"/>
        <v>,'shikkan638_start_date'</v>
      </c>
      <c r="V646" s="25" t="str">
        <f t="shared" si="78"/>
        <v>,'shikkan638_start_date' : 'I619_疾患開始日'</v>
      </c>
      <c r="X646" s="25">
        <v>1</v>
      </c>
      <c r="AA646" s="4"/>
      <c r="AB646" s="4"/>
      <c r="AC646" s="4"/>
      <c r="AD646" s="4"/>
      <c r="AE646" s="4"/>
      <c r="AF646" s="4"/>
      <c r="AG646" s="4"/>
      <c r="AH646" s="4"/>
      <c r="AI646" s="4"/>
      <c r="AJ646" s="76" t="str">
        <f>IF(E646="○",IF(COUNTA(E$13:E646)=1,"",",")&amp;D646,"")</f>
        <v/>
      </c>
      <c r="AK646" s="4"/>
      <c r="AL646" s="4"/>
      <c r="AM646" s="4"/>
      <c r="AN646" s="4"/>
      <c r="AO646" s="4"/>
      <c r="AP646" s="4"/>
      <c r="AQ646" s="4"/>
      <c r="AR646" s="4"/>
      <c r="AS646" s="76" t="str">
        <f>"COMMENT ON COLUMN "&amp;エンティティ一覧!$O$2&amp;"."&amp;D$8&amp;"."&amp;D646&amp;" IS '"&amp;C646&amp;"';"</f>
        <v>COMMENT ON COLUMN milscm_2023_009.main_diagnosis_start_date.shikkan638_start_date IS 'I619_疾患開始日';</v>
      </c>
    </row>
    <row r="647" spans="1:45" s="25" customFormat="1">
      <c r="A647" s="4" t="s">
        <v>5725</v>
      </c>
      <c r="B647" s="21">
        <f t="shared" si="80"/>
        <v>645</v>
      </c>
      <c r="C647" s="13" t="str">
        <f t="shared" si="79"/>
        <v>I620_疾患開始日</v>
      </c>
      <c r="D647" s="13" t="s">
        <v>6299</v>
      </c>
      <c r="E647" s="8"/>
      <c r="F647" s="7" t="s">
        <v>4348</v>
      </c>
      <c r="G647" s="7" t="s">
        <v>99</v>
      </c>
      <c r="H647" s="58"/>
      <c r="I647" s="23"/>
      <c r="J647" s="24"/>
      <c r="M647" s="4"/>
      <c r="N647" s="76"/>
      <c r="O647" s="76"/>
      <c r="P647" s="76" t="str">
        <f t="shared" si="72"/>
        <v>,shikkan639_start_date</v>
      </c>
      <c r="Q647" s="76" t="str">
        <f t="shared" si="73"/>
        <v>DATE</v>
      </c>
      <c r="R647" s="76" t="str">
        <f t="shared" si="74"/>
        <v/>
      </c>
      <c r="S647" s="76" t="str">
        <f t="shared" si="75"/>
        <v/>
      </c>
      <c r="T647" s="76" t="str">
        <f t="shared" si="76"/>
        <v>-- I620_疾患開始日</v>
      </c>
      <c r="U647" s="4" t="str">
        <f t="shared" si="77"/>
        <v>,'shikkan639_start_date'</v>
      </c>
      <c r="V647" s="25" t="str">
        <f t="shared" si="78"/>
        <v>,'shikkan639_start_date' : 'I620_疾患開始日'</v>
      </c>
      <c r="X647" s="25">
        <v>1</v>
      </c>
      <c r="AA647" s="4"/>
      <c r="AB647" s="4"/>
      <c r="AC647" s="4"/>
      <c r="AD647" s="4"/>
      <c r="AE647" s="4"/>
      <c r="AF647" s="4"/>
      <c r="AG647" s="4"/>
      <c r="AH647" s="4"/>
      <c r="AI647" s="4"/>
      <c r="AJ647" s="76" t="str">
        <f>IF(E647="○",IF(COUNTA(E$13:E647)=1,"",",")&amp;D647,"")</f>
        <v/>
      </c>
      <c r="AK647" s="4"/>
      <c r="AL647" s="4"/>
      <c r="AM647" s="4"/>
      <c r="AN647" s="4"/>
      <c r="AO647" s="4"/>
      <c r="AP647" s="4"/>
      <c r="AQ647" s="4"/>
      <c r="AR647" s="4"/>
      <c r="AS647" s="76" t="str">
        <f>"COMMENT ON COLUMN "&amp;エンティティ一覧!$O$2&amp;"."&amp;D$8&amp;"."&amp;D647&amp;" IS '"&amp;C647&amp;"';"</f>
        <v>COMMENT ON COLUMN milscm_2023_009.main_diagnosis_start_date.shikkan639_start_date IS 'I620_疾患開始日';</v>
      </c>
    </row>
    <row r="648" spans="1:45" s="25" customFormat="1">
      <c r="A648" s="4" t="s">
        <v>5726</v>
      </c>
      <c r="B648" s="21">
        <f t="shared" si="80"/>
        <v>646</v>
      </c>
      <c r="C648" s="13" t="str">
        <f t="shared" si="79"/>
        <v>I621_疾患開始日</v>
      </c>
      <c r="D648" s="13" t="s">
        <v>6300</v>
      </c>
      <c r="E648" s="8"/>
      <c r="F648" s="7" t="s">
        <v>4348</v>
      </c>
      <c r="G648" s="7" t="s">
        <v>25</v>
      </c>
      <c r="H648" s="58"/>
      <c r="I648" s="23"/>
      <c r="J648" s="24"/>
      <c r="M648" s="4"/>
      <c r="N648" s="76"/>
      <c r="O648" s="76"/>
      <c r="P648" s="76" t="str">
        <f t="shared" ref="P648:P711" si="81">IF(B648&lt;&gt;1,","&amp;D648,D648)</f>
        <v>,shikkan640_start_date</v>
      </c>
      <c r="Q648" s="76" t="str">
        <f t="shared" ref="Q648:Q711" si="82">UPPER(G648)</f>
        <v>DATE</v>
      </c>
      <c r="R648" s="76" t="str">
        <f t="shared" ref="R648:R711" si="83">IF(H648&lt;&gt;"","default "&amp;IF(G648="text","'"&amp;H648&amp;"'",H648),"")</f>
        <v/>
      </c>
      <c r="S648" s="76" t="str">
        <f t="shared" ref="S648:S711" si="84">IF(I648="○","NOT NULL","")</f>
        <v/>
      </c>
      <c r="T648" s="76" t="str">
        <f t="shared" ref="T648:T711" si="85">"-- "&amp;C648</f>
        <v>-- I621_疾患開始日</v>
      </c>
      <c r="U648" s="4" t="str">
        <f t="shared" si="77"/>
        <v>,'shikkan640_start_date'</v>
      </c>
      <c r="V648" s="25" t="str">
        <f t="shared" si="78"/>
        <v>,'shikkan640_start_date' : 'I621_疾患開始日'</v>
      </c>
      <c r="X648" s="25">
        <v>1</v>
      </c>
      <c r="AA648" s="4"/>
      <c r="AB648" s="4"/>
      <c r="AC648" s="4"/>
      <c r="AD648" s="4"/>
      <c r="AE648" s="4"/>
      <c r="AF648" s="4"/>
      <c r="AG648" s="4"/>
      <c r="AH648" s="4"/>
      <c r="AI648" s="4"/>
      <c r="AJ648" s="76" t="str">
        <f>IF(E648="○",IF(COUNTA(E$13:E648)=1,"",",")&amp;D648,"")</f>
        <v/>
      </c>
      <c r="AK648" s="4"/>
      <c r="AL648" s="4"/>
      <c r="AM648" s="4"/>
      <c r="AN648" s="4"/>
      <c r="AO648" s="4"/>
      <c r="AP648" s="4"/>
      <c r="AQ648" s="4"/>
      <c r="AR648" s="4"/>
      <c r="AS648" s="76" t="str">
        <f>"COMMENT ON COLUMN "&amp;エンティティ一覧!$O$2&amp;"."&amp;D$8&amp;"."&amp;D648&amp;" IS '"&amp;C648&amp;"';"</f>
        <v>COMMENT ON COLUMN milscm_2023_009.main_diagnosis_start_date.shikkan640_start_date IS 'I621_疾患開始日';</v>
      </c>
    </row>
    <row r="649" spans="1:45" s="25" customFormat="1">
      <c r="A649" s="4" t="s">
        <v>5727</v>
      </c>
      <c r="B649" s="21">
        <f t="shared" si="80"/>
        <v>647</v>
      </c>
      <c r="C649" s="13" t="str">
        <f t="shared" si="79"/>
        <v>I629_疾患開始日</v>
      </c>
      <c r="D649" s="13" t="s">
        <v>6301</v>
      </c>
      <c r="E649" s="8"/>
      <c r="F649" s="7" t="s">
        <v>4348</v>
      </c>
      <c r="G649" s="7" t="s">
        <v>25</v>
      </c>
      <c r="H649" s="58"/>
      <c r="I649" s="23"/>
      <c r="J649" s="24"/>
      <c r="M649" s="4"/>
      <c r="N649" s="76"/>
      <c r="O649" s="76"/>
      <c r="P649" s="76" t="str">
        <f t="shared" si="81"/>
        <v>,shikkan641_start_date</v>
      </c>
      <c r="Q649" s="76" t="str">
        <f t="shared" si="82"/>
        <v>DATE</v>
      </c>
      <c r="R649" s="76" t="str">
        <f t="shared" si="83"/>
        <v/>
      </c>
      <c r="S649" s="76" t="str">
        <f t="shared" si="84"/>
        <v/>
      </c>
      <c r="T649" s="76" t="str">
        <f t="shared" si="85"/>
        <v>-- I629_疾患開始日</v>
      </c>
      <c r="U649" s="4" t="str">
        <f t="shared" ref="U649:U712" si="86">IF(B649&lt;&gt;1,",","")&amp;"'"&amp;D649&amp;"'"</f>
        <v>,'shikkan641_start_date'</v>
      </c>
      <c r="V649" s="25" t="str">
        <f t="shared" ref="V649:V712" si="87">U649&amp;" : '"&amp;C649&amp;"'"</f>
        <v>,'shikkan641_start_date' : 'I629_疾患開始日'</v>
      </c>
      <c r="X649" s="25">
        <v>1</v>
      </c>
      <c r="AA649" s="4"/>
      <c r="AB649" s="4"/>
      <c r="AC649" s="4"/>
      <c r="AD649" s="4"/>
      <c r="AE649" s="4"/>
      <c r="AF649" s="4"/>
      <c r="AG649" s="4"/>
      <c r="AH649" s="4"/>
      <c r="AI649" s="4"/>
      <c r="AJ649" s="76" t="str">
        <f>IF(E649="○",IF(COUNTA(E$13:E649)=1,"",",")&amp;D649,"")</f>
        <v/>
      </c>
      <c r="AK649" s="4"/>
      <c r="AL649" s="4"/>
      <c r="AM649" s="4"/>
      <c r="AN649" s="4"/>
      <c r="AO649" s="4"/>
      <c r="AP649" s="4"/>
      <c r="AQ649" s="4"/>
      <c r="AR649" s="4"/>
      <c r="AS649" s="76" t="str">
        <f>"COMMENT ON COLUMN "&amp;エンティティ一覧!$O$2&amp;"."&amp;D$8&amp;"."&amp;D649&amp;" IS '"&amp;C649&amp;"';"</f>
        <v>COMMENT ON COLUMN milscm_2023_009.main_diagnosis_start_date.shikkan641_start_date IS 'I629_疾患開始日';</v>
      </c>
    </row>
    <row r="650" spans="1:45" s="25" customFormat="1">
      <c r="A650" s="4" t="s">
        <v>5728</v>
      </c>
      <c r="B650" s="21">
        <f t="shared" si="80"/>
        <v>648</v>
      </c>
      <c r="C650" s="13" t="str">
        <f t="shared" ref="C650:C713" si="88">A650&amp;"_疾患開始日"</f>
        <v>I630_疾患開始日</v>
      </c>
      <c r="D650" s="13" t="s">
        <v>6302</v>
      </c>
      <c r="E650" s="8"/>
      <c r="F650" s="7" t="s">
        <v>4348</v>
      </c>
      <c r="G650" s="7" t="s">
        <v>25</v>
      </c>
      <c r="H650" s="58"/>
      <c r="I650" s="23"/>
      <c r="J650" s="24"/>
      <c r="M650" s="4"/>
      <c r="N650" s="76"/>
      <c r="O650" s="76"/>
      <c r="P650" s="76" t="str">
        <f t="shared" si="81"/>
        <v>,shikkan642_start_date</v>
      </c>
      <c r="Q650" s="76" t="str">
        <f t="shared" si="82"/>
        <v>DATE</v>
      </c>
      <c r="R650" s="76" t="str">
        <f t="shared" si="83"/>
        <v/>
      </c>
      <c r="S650" s="76" t="str">
        <f t="shared" si="84"/>
        <v/>
      </c>
      <c r="T650" s="76" t="str">
        <f t="shared" si="85"/>
        <v>-- I630_疾患開始日</v>
      </c>
      <c r="U650" s="4" t="str">
        <f t="shared" si="86"/>
        <v>,'shikkan642_start_date'</v>
      </c>
      <c r="V650" s="25" t="str">
        <f t="shared" si="87"/>
        <v>,'shikkan642_start_date' : 'I630_疾患開始日'</v>
      </c>
      <c r="X650" s="25">
        <v>1</v>
      </c>
      <c r="AA650" s="4"/>
      <c r="AB650" s="4"/>
      <c r="AC650" s="4"/>
      <c r="AD650" s="4"/>
      <c r="AE650" s="4"/>
      <c r="AF650" s="4"/>
      <c r="AG650" s="4"/>
      <c r="AH650" s="4"/>
      <c r="AI650" s="4"/>
      <c r="AJ650" s="76" t="str">
        <f>IF(E650="○",IF(COUNTA(E$13:E650)=1,"",",")&amp;D650,"")</f>
        <v/>
      </c>
      <c r="AK650" s="4"/>
      <c r="AL650" s="4"/>
      <c r="AM650" s="4"/>
      <c r="AN650" s="4"/>
      <c r="AO650" s="4"/>
      <c r="AP650" s="4"/>
      <c r="AQ650" s="4"/>
      <c r="AR650" s="4"/>
      <c r="AS650" s="76" t="str">
        <f>"COMMENT ON COLUMN "&amp;エンティティ一覧!$O$2&amp;"."&amp;D$8&amp;"."&amp;D650&amp;" IS '"&amp;C650&amp;"';"</f>
        <v>COMMENT ON COLUMN milscm_2023_009.main_diagnosis_start_date.shikkan642_start_date IS 'I630_疾患開始日';</v>
      </c>
    </row>
    <row r="651" spans="1:45" s="25" customFormat="1">
      <c r="A651" s="4" t="s">
        <v>5729</v>
      </c>
      <c r="B651" s="21">
        <f t="shared" si="80"/>
        <v>649</v>
      </c>
      <c r="C651" s="13" t="str">
        <f t="shared" si="88"/>
        <v>I631_疾患開始日</v>
      </c>
      <c r="D651" s="13" t="s">
        <v>6303</v>
      </c>
      <c r="E651" s="8"/>
      <c r="F651" s="7" t="s">
        <v>4348</v>
      </c>
      <c r="G651" s="7" t="s">
        <v>25</v>
      </c>
      <c r="H651" s="58"/>
      <c r="I651" s="23"/>
      <c r="J651" s="24"/>
      <c r="M651" s="4"/>
      <c r="N651" s="76"/>
      <c r="O651" s="76"/>
      <c r="P651" s="76" t="str">
        <f t="shared" si="81"/>
        <v>,shikkan643_start_date</v>
      </c>
      <c r="Q651" s="76" t="str">
        <f t="shared" si="82"/>
        <v>DATE</v>
      </c>
      <c r="R651" s="76" t="str">
        <f t="shared" si="83"/>
        <v/>
      </c>
      <c r="S651" s="76" t="str">
        <f t="shared" si="84"/>
        <v/>
      </c>
      <c r="T651" s="76" t="str">
        <f t="shared" si="85"/>
        <v>-- I631_疾患開始日</v>
      </c>
      <c r="U651" s="4" t="str">
        <f t="shared" si="86"/>
        <v>,'shikkan643_start_date'</v>
      </c>
      <c r="V651" s="25" t="str">
        <f t="shared" si="87"/>
        <v>,'shikkan643_start_date' : 'I631_疾患開始日'</v>
      </c>
      <c r="X651" s="25">
        <v>1</v>
      </c>
      <c r="AA651" s="4"/>
      <c r="AB651" s="4"/>
      <c r="AC651" s="4"/>
      <c r="AD651" s="4"/>
      <c r="AE651" s="4"/>
      <c r="AF651" s="4"/>
      <c r="AG651" s="4"/>
      <c r="AH651" s="4"/>
      <c r="AI651" s="4"/>
      <c r="AJ651" s="76" t="str">
        <f>IF(E651="○",IF(COUNTA(E$13:E651)=1,"",",")&amp;D651,"")</f>
        <v/>
      </c>
      <c r="AK651" s="4"/>
      <c r="AL651" s="4"/>
      <c r="AM651" s="4"/>
      <c r="AN651" s="4"/>
      <c r="AO651" s="4"/>
      <c r="AP651" s="4"/>
      <c r="AQ651" s="4"/>
      <c r="AR651" s="4"/>
      <c r="AS651" s="76" t="str">
        <f>"COMMENT ON COLUMN "&amp;エンティティ一覧!$O$2&amp;"."&amp;D$8&amp;"."&amp;D651&amp;" IS '"&amp;C651&amp;"';"</f>
        <v>COMMENT ON COLUMN milscm_2023_009.main_diagnosis_start_date.shikkan643_start_date IS 'I631_疾患開始日';</v>
      </c>
    </row>
    <row r="652" spans="1:45" s="25" customFormat="1">
      <c r="A652" s="4" t="s">
        <v>5730</v>
      </c>
      <c r="B652" s="21">
        <f t="shared" si="80"/>
        <v>650</v>
      </c>
      <c r="C652" s="13" t="str">
        <f t="shared" si="88"/>
        <v>I632_疾患開始日</v>
      </c>
      <c r="D652" s="13" t="s">
        <v>6304</v>
      </c>
      <c r="E652" s="8"/>
      <c r="F652" s="7" t="s">
        <v>4348</v>
      </c>
      <c r="G652" s="7" t="s">
        <v>25</v>
      </c>
      <c r="H652" s="58"/>
      <c r="I652" s="23"/>
      <c r="J652" s="24"/>
      <c r="M652" s="4"/>
      <c r="N652" s="76"/>
      <c r="O652" s="76"/>
      <c r="P652" s="76" t="str">
        <f t="shared" si="81"/>
        <v>,shikkan644_start_date</v>
      </c>
      <c r="Q652" s="76" t="str">
        <f t="shared" si="82"/>
        <v>DATE</v>
      </c>
      <c r="R652" s="76" t="str">
        <f t="shared" si="83"/>
        <v/>
      </c>
      <c r="S652" s="76" t="str">
        <f t="shared" si="84"/>
        <v/>
      </c>
      <c r="T652" s="76" t="str">
        <f t="shared" si="85"/>
        <v>-- I632_疾患開始日</v>
      </c>
      <c r="U652" s="4" t="str">
        <f t="shared" si="86"/>
        <v>,'shikkan644_start_date'</v>
      </c>
      <c r="V652" s="25" t="str">
        <f t="shared" si="87"/>
        <v>,'shikkan644_start_date' : 'I632_疾患開始日'</v>
      </c>
      <c r="X652" s="25">
        <v>1</v>
      </c>
      <c r="AA652" s="4"/>
      <c r="AB652" s="4"/>
      <c r="AC652" s="4"/>
      <c r="AD652" s="4"/>
      <c r="AE652" s="4"/>
      <c r="AF652" s="4"/>
      <c r="AG652" s="4"/>
      <c r="AH652" s="4"/>
      <c r="AI652" s="4"/>
      <c r="AJ652" s="76" t="str">
        <f>IF(E652="○",IF(COUNTA(E$13:E652)=1,"",",")&amp;D652,"")</f>
        <v/>
      </c>
      <c r="AK652" s="4"/>
      <c r="AL652" s="4"/>
      <c r="AM652" s="4"/>
      <c r="AN652" s="4"/>
      <c r="AO652" s="4"/>
      <c r="AP652" s="4"/>
      <c r="AQ652" s="4"/>
      <c r="AR652" s="4"/>
      <c r="AS652" s="76" t="str">
        <f>"COMMENT ON COLUMN "&amp;エンティティ一覧!$O$2&amp;"."&amp;D$8&amp;"."&amp;D652&amp;" IS '"&amp;C652&amp;"';"</f>
        <v>COMMENT ON COLUMN milscm_2023_009.main_diagnosis_start_date.shikkan644_start_date IS 'I632_疾患開始日';</v>
      </c>
    </row>
    <row r="653" spans="1:45" s="25" customFormat="1">
      <c r="A653" s="4" t="s">
        <v>5731</v>
      </c>
      <c r="B653" s="21">
        <f t="shared" si="80"/>
        <v>651</v>
      </c>
      <c r="C653" s="13" t="str">
        <f t="shared" si="88"/>
        <v>I633_疾患開始日</v>
      </c>
      <c r="D653" s="13" t="s">
        <v>6305</v>
      </c>
      <c r="E653" s="8"/>
      <c r="F653" s="7" t="s">
        <v>4348</v>
      </c>
      <c r="G653" s="7" t="s">
        <v>25</v>
      </c>
      <c r="H653" s="58"/>
      <c r="I653" s="23"/>
      <c r="J653" s="24"/>
      <c r="M653" s="4"/>
      <c r="N653" s="76"/>
      <c r="O653" s="76"/>
      <c r="P653" s="76" t="str">
        <f t="shared" si="81"/>
        <v>,shikkan645_start_date</v>
      </c>
      <c r="Q653" s="76" t="str">
        <f t="shared" si="82"/>
        <v>DATE</v>
      </c>
      <c r="R653" s="76" t="str">
        <f t="shared" si="83"/>
        <v/>
      </c>
      <c r="S653" s="76" t="str">
        <f t="shared" si="84"/>
        <v/>
      </c>
      <c r="T653" s="76" t="str">
        <f t="shared" si="85"/>
        <v>-- I633_疾患開始日</v>
      </c>
      <c r="U653" s="4" t="str">
        <f t="shared" si="86"/>
        <v>,'shikkan645_start_date'</v>
      </c>
      <c r="V653" s="25" t="str">
        <f t="shared" si="87"/>
        <v>,'shikkan645_start_date' : 'I633_疾患開始日'</v>
      </c>
      <c r="X653" s="25">
        <v>1</v>
      </c>
      <c r="AA653" s="4"/>
      <c r="AB653" s="4"/>
      <c r="AC653" s="4"/>
      <c r="AD653" s="4"/>
      <c r="AE653" s="4"/>
      <c r="AF653" s="4"/>
      <c r="AG653" s="4"/>
      <c r="AH653" s="4"/>
      <c r="AI653" s="4"/>
      <c r="AJ653" s="76" t="str">
        <f>IF(E653="○",IF(COUNTA(E$13:E653)=1,"",",")&amp;D653,"")</f>
        <v/>
      </c>
      <c r="AK653" s="4"/>
      <c r="AL653" s="4"/>
      <c r="AM653" s="4"/>
      <c r="AN653" s="4"/>
      <c r="AO653" s="4"/>
      <c r="AP653" s="4"/>
      <c r="AQ653" s="4"/>
      <c r="AR653" s="4"/>
      <c r="AS653" s="76" t="str">
        <f>"COMMENT ON COLUMN "&amp;エンティティ一覧!$O$2&amp;"."&amp;D$8&amp;"."&amp;D653&amp;" IS '"&amp;C653&amp;"';"</f>
        <v>COMMENT ON COLUMN milscm_2023_009.main_diagnosis_start_date.shikkan645_start_date IS 'I633_疾患開始日';</v>
      </c>
    </row>
    <row r="654" spans="1:45" s="25" customFormat="1">
      <c r="A654" s="4" t="s">
        <v>5732</v>
      </c>
      <c r="B654" s="21">
        <f t="shared" si="80"/>
        <v>652</v>
      </c>
      <c r="C654" s="13" t="str">
        <f t="shared" si="88"/>
        <v>I634_疾患開始日</v>
      </c>
      <c r="D654" s="13" t="s">
        <v>6306</v>
      </c>
      <c r="E654" s="8"/>
      <c r="F654" s="7" t="s">
        <v>4348</v>
      </c>
      <c r="G654" s="7" t="s">
        <v>25</v>
      </c>
      <c r="H654" s="58"/>
      <c r="I654" s="23"/>
      <c r="J654" s="24"/>
      <c r="M654" s="4"/>
      <c r="N654" s="76"/>
      <c r="O654" s="76"/>
      <c r="P654" s="76" t="str">
        <f t="shared" si="81"/>
        <v>,shikkan646_start_date</v>
      </c>
      <c r="Q654" s="76" t="str">
        <f t="shared" si="82"/>
        <v>DATE</v>
      </c>
      <c r="R654" s="76" t="str">
        <f t="shared" si="83"/>
        <v/>
      </c>
      <c r="S654" s="76" t="str">
        <f t="shared" si="84"/>
        <v/>
      </c>
      <c r="T654" s="76" t="str">
        <f t="shared" si="85"/>
        <v>-- I634_疾患開始日</v>
      </c>
      <c r="U654" s="4" t="str">
        <f t="shared" si="86"/>
        <v>,'shikkan646_start_date'</v>
      </c>
      <c r="V654" s="25" t="str">
        <f t="shared" si="87"/>
        <v>,'shikkan646_start_date' : 'I634_疾患開始日'</v>
      </c>
      <c r="X654" s="25">
        <v>1</v>
      </c>
      <c r="AA654" s="4"/>
      <c r="AB654" s="4"/>
      <c r="AC654" s="4"/>
      <c r="AD654" s="4"/>
      <c r="AE654" s="4"/>
      <c r="AF654" s="4"/>
      <c r="AG654" s="4"/>
      <c r="AH654" s="4"/>
      <c r="AI654" s="4"/>
      <c r="AJ654" s="76" t="str">
        <f>IF(E654="○",IF(COUNTA(E$13:E654)=1,"",",")&amp;D654,"")</f>
        <v/>
      </c>
      <c r="AK654" s="4"/>
      <c r="AL654" s="4"/>
      <c r="AM654" s="4"/>
      <c r="AN654" s="4"/>
      <c r="AO654" s="4"/>
      <c r="AP654" s="4"/>
      <c r="AQ654" s="4"/>
      <c r="AR654" s="4"/>
      <c r="AS654" s="76" t="str">
        <f>"COMMENT ON COLUMN "&amp;エンティティ一覧!$O$2&amp;"."&amp;D$8&amp;"."&amp;D654&amp;" IS '"&amp;C654&amp;"';"</f>
        <v>COMMENT ON COLUMN milscm_2023_009.main_diagnosis_start_date.shikkan646_start_date IS 'I634_疾患開始日';</v>
      </c>
    </row>
    <row r="655" spans="1:45" s="25" customFormat="1">
      <c r="A655" s="4" t="s">
        <v>5733</v>
      </c>
      <c r="B655" s="21">
        <f t="shared" si="80"/>
        <v>653</v>
      </c>
      <c r="C655" s="13" t="str">
        <f t="shared" si="88"/>
        <v>I635_疾患開始日</v>
      </c>
      <c r="D655" s="13" t="s">
        <v>6307</v>
      </c>
      <c r="E655" s="8"/>
      <c r="F655" s="7" t="s">
        <v>4348</v>
      </c>
      <c r="G655" s="7" t="s">
        <v>25</v>
      </c>
      <c r="H655" s="58"/>
      <c r="I655" s="23"/>
      <c r="J655" s="24"/>
      <c r="M655" s="4"/>
      <c r="N655" s="76"/>
      <c r="O655" s="76"/>
      <c r="P655" s="76" t="str">
        <f t="shared" si="81"/>
        <v>,shikkan647_start_date</v>
      </c>
      <c r="Q655" s="76" t="str">
        <f t="shared" si="82"/>
        <v>DATE</v>
      </c>
      <c r="R655" s="76" t="str">
        <f t="shared" si="83"/>
        <v/>
      </c>
      <c r="S655" s="76" t="str">
        <f t="shared" si="84"/>
        <v/>
      </c>
      <c r="T655" s="76" t="str">
        <f t="shared" si="85"/>
        <v>-- I635_疾患開始日</v>
      </c>
      <c r="U655" s="4" t="str">
        <f t="shared" si="86"/>
        <v>,'shikkan647_start_date'</v>
      </c>
      <c r="V655" s="25" t="str">
        <f t="shared" si="87"/>
        <v>,'shikkan647_start_date' : 'I635_疾患開始日'</v>
      </c>
      <c r="X655" s="25">
        <v>1</v>
      </c>
      <c r="AA655" s="4"/>
      <c r="AB655" s="4"/>
      <c r="AC655" s="4"/>
      <c r="AD655" s="4"/>
      <c r="AE655" s="4"/>
      <c r="AF655" s="4"/>
      <c r="AG655" s="4"/>
      <c r="AH655" s="4"/>
      <c r="AI655" s="4"/>
      <c r="AJ655" s="76" t="str">
        <f>IF(E655="○",IF(COUNTA(E$13:E655)=1,"",",")&amp;D655,"")</f>
        <v/>
      </c>
      <c r="AK655" s="4"/>
      <c r="AL655" s="4"/>
      <c r="AM655" s="4"/>
      <c r="AN655" s="4"/>
      <c r="AO655" s="4"/>
      <c r="AP655" s="4"/>
      <c r="AQ655" s="4"/>
      <c r="AR655" s="4"/>
      <c r="AS655" s="76" t="str">
        <f>"COMMENT ON COLUMN "&amp;エンティティ一覧!$O$2&amp;"."&amp;D$8&amp;"."&amp;D655&amp;" IS '"&amp;C655&amp;"';"</f>
        <v>COMMENT ON COLUMN milscm_2023_009.main_diagnosis_start_date.shikkan647_start_date IS 'I635_疾患開始日';</v>
      </c>
    </row>
    <row r="656" spans="1:45" s="25" customFormat="1">
      <c r="A656" s="4" t="s">
        <v>5734</v>
      </c>
      <c r="B656" s="21">
        <f t="shared" si="80"/>
        <v>654</v>
      </c>
      <c r="C656" s="13" t="str">
        <f t="shared" si="88"/>
        <v>I636_疾患開始日</v>
      </c>
      <c r="D656" s="13" t="s">
        <v>6308</v>
      </c>
      <c r="E656" s="8"/>
      <c r="F656" s="7" t="s">
        <v>4348</v>
      </c>
      <c r="G656" s="7" t="s">
        <v>25</v>
      </c>
      <c r="H656" s="58"/>
      <c r="I656" s="23"/>
      <c r="J656" s="24"/>
      <c r="M656" s="4"/>
      <c r="N656" s="76"/>
      <c r="O656" s="76"/>
      <c r="P656" s="76" t="str">
        <f t="shared" si="81"/>
        <v>,shikkan648_start_date</v>
      </c>
      <c r="Q656" s="76" t="str">
        <f t="shared" si="82"/>
        <v>DATE</v>
      </c>
      <c r="R656" s="76" t="str">
        <f t="shared" si="83"/>
        <v/>
      </c>
      <c r="S656" s="76" t="str">
        <f t="shared" si="84"/>
        <v/>
      </c>
      <c r="T656" s="76" t="str">
        <f t="shared" si="85"/>
        <v>-- I636_疾患開始日</v>
      </c>
      <c r="U656" s="4" t="str">
        <f t="shared" si="86"/>
        <v>,'shikkan648_start_date'</v>
      </c>
      <c r="V656" s="25" t="str">
        <f t="shared" si="87"/>
        <v>,'shikkan648_start_date' : 'I636_疾患開始日'</v>
      </c>
      <c r="X656" s="25">
        <v>1</v>
      </c>
      <c r="AA656" s="4"/>
      <c r="AB656" s="4"/>
      <c r="AC656" s="4"/>
      <c r="AD656" s="4"/>
      <c r="AE656" s="4"/>
      <c r="AF656" s="4"/>
      <c r="AG656" s="4"/>
      <c r="AH656" s="4"/>
      <c r="AI656" s="4"/>
      <c r="AJ656" s="76" t="str">
        <f>IF(E656="○",IF(COUNTA(E$13:E656)=1,"",",")&amp;D656,"")</f>
        <v/>
      </c>
      <c r="AK656" s="4"/>
      <c r="AL656" s="4"/>
      <c r="AM656" s="4"/>
      <c r="AN656" s="4"/>
      <c r="AO656" s="4"/>
      <c r="AP656" s="4"/>
      <c r="AQ656" s="4"/>
      <c r="AR656" s="4"/>
      <c r="AS656" s="76" t="str">
        <f>"COMMENT ON COLUMN "&amp;エンティティ一覧!$O$2&amp;"."&amp;D$8&amp;"."&amp;D656&amp;" IS '"&amp;C656&amp;"';"</f>
        <v>COMMENT ON COLUMN milscm_2023_009.main_diagnosis_start_date.shikkan648_start_date IS 'I636_疾患開始日';</v>
      </c>
    </row>
    <row r="657" spans="1:45" s="25" customFormat="1">
      <c r="A657" s="4" t="s">
        <v>5735</v>
      </c>
      <c r="B657" s="21">
        <f t="shared" si="80"/>
        <v>655</v>
      </c>
      <c r="C657" s="13" t="str">
        <f t="shared" si="88"/>
        <v>I638_疾患開始日</v>
      </c>
      <c r="D657" s="13" t="s">
        <v>6309</v>
      </c>
      <c r="E657" s="8"/>
      <c r="F657" s="7" t="s">
        <v>4348</v>
      </c>
      <c r="G657" s="7" t="s">
        <v>25</v>
      </c>
      <c r="H657" s="58"/>
      <c r="I657" s="23"/>
      <c r="J657" s="24"/>
      <c r="M657" s="4"/>
      <c r="N657" s="76"/>
      <c r="O657" s="76"/>
      <c r="P657" s="76" t="str">
        <f t="shared" si="81"/>
        <v>,shikkan649_start_date</v>
      </c>
      <c r="Q657" s="76" t="str">
        <f t="shared" si="82"/>
        <v>DATE</v>
      </c>
      <c r="R657" s="76" t="str">
        <f t="shared" si="83"/>
        <v/>
      </c>
      <c r="S657" s="76" t="str">
        <f t="shared" si="84"/>
        <v/>
      </c>
      <c r="T657" s="76" t="str">
        <f t="shared" si="85"/>
        <v>-- I638_疾患開始日</v>
      </c>
      <c r="U657" s="4" t="str">
        <f t="shared" si="86"/>
        <v>,'shikkan649_start_date'</v>
      </c>
      <c r="V657" s="25" t="str">
        <f t="shared" si="87"/>
        <v>,'shikkan649_start_date' : 'I638_疾患開始日'</v>
      </c>
      <c r="X657" s="25">
        <v>1</v>
      </c>
      <c r="AA657" s="4"/>
      <c r="AB657" s="4"/>
      <c r="AC657" s="4"/>
      <c r="AD657" s="4"/>
      <c r="AE657" s="4"/>
      <c r="AF657" s="4"/>
      <c r="AG657" s="4"/>
      <c r="AH657" s="4"/>
      <c r="AI657" s="4"/>
      <c r="AJ657" s="76" t="str">
        <f>IF(E657="○",IF(COUNTA(E$13:E657)=1,"",",")&amp;D657,"")</f>
        <v/>
      </c>
      <c r="AK657" s="4"/>
      <c r="AL657" s="4"/>
      <c r="AM657" s="4"/>
      <c r="AN657" s="4"/>
      <c r="AO657" s="4"/>
      <c r="AP657" s="4"/>
      <c r="AQ657" s="4"/>
      <c r="AR657" s="4"/>
      <c r="AS657" s="76" t="str">
        <f>"COMMENT ON COLUMN "&amp;エンティティ一覧!$O$2&amp;"."&amp;D$8&amp;"."&amp;D657&amp;" IS '"&amp;C657&amp;"';"</f>
        <v>COMMENT ON COLUMN milscm_2023_009.main_diagnosis_start_date.shikkan649_start_date IS 'I638_疾患開始日';</v>
      </c>
    </row>
    <row r="658" spans="1:45" s="25" customFormat="1">
      <c r="A658" s="4" t="s">
        <v>5736</v>
      </c>
      <c r="B658" s="21">
        <f t="shared" si="80"/>
        <v>656</v>
      </c>
      <c r="C658" s="13" t="str">
        <f t="shared" si="88"/>
        <v>I639_疾患開始日</v>
      </c>
      <c r="D658" s="13" t="s">
        <v>6310</v>
      </c>
      <c r="E658" s="8"/>
      <c r="F658" s="7" t="s">
        <v>4348</v>
      </c>
      <c r="G658" s="7" t="s">
        <v>25</v>
      </c>
      <c r="H658" s="58"/>
      <c r="I658" s="23"/>
      <c r="J658" s="24"/>
      <c r="M658" s="4"/>
      <c r="N658" s="76"/>
      <c r="O658" s="76"/>
      <c r="P658" s="76" t="str">
        <f t="shared" si="81"/>
        <v>,shikkan650_start_date</v>
      </c>
      <c r="Q658" s="76" t="str">
        <f t="shared" si="82"/>
        <v>DATE</v>
      </c>
      <c r="R658" s="76" t="str">
        <f t="shared" si="83"/>
        <v/>
      </c>
      <c r="S658" s="76" t="str">
        <f t="shared" si="84"/>
        <v/>
      </c>
      <c r="T658" s="76" t="str">
        <f t="shared" si="85"/>
        <v>-- I639_疾患開始日</v>
      </c>
      <c r="U658" s="4" t="str">
        <f t="shared" si="86"/>
        <v>,'shikkan650_start_date'</v>
      </c>
      <c r="V658" s="25" t="str">
        <f t="shared" si="87"/>
        <v>,'shikkan650_start_date' : 'I639_疾患開始日'</v>
      </c>
      <c r="X658" s="25">
        <v>1</v>
      </c>
      <c r="AA658" s="4"/>
      <c r="AB658" s="4"/>
      <c r="AC658" s="4"/>
      <c r="AD658" s="4"/>
      <c r="AE658" s="4"/>
      <c r="AF658" s="4"/>
      <c r="AG658" s="4"/>
      <c r="AH658" s="4"/>
      <c r="AI658" s="4"/>
      <c r="AJ658" s="76" t="str">
        <f>IF(E658="○",IF(COUNTA(E$13:E658)=1,"",",")&amp;D658,"")</f>
        <v/>
      </c>
      <c r="AK658" s="4"/>
      <c r="AL658" s="4"/>
      <c r="AM658" s="4"/>
      <c r="AN658" s="4"/>
      <c r="AO658" s="4"/>
      <c r="AP658" s="4"/>
      <c r="AQ658" s="4"/>
      <c r="AR658" s="4"/>
      <c r="AS658" s="76" t="str">
        <f>"COMMENT ON COLUMN "&amp;エンティティ一覧!$O$2&amp;"."&amp;D$8&amp;"."&amp;D658&amp;" IS '"&amp;C658&amp;"';"</f>
        <v>COMMENT ON COLUMN milscm_2023_009.main_diagnosis_start_date.shikkan650_start_date IS 'I639_疾患開始日';</v>
      </c>
    </row>
    <row r="659" spans="1:45" s="25" customFormat="1">
      <c r="A659" s="4" t="s">
        <v>5062</v>
      </c>
      <c r="B659" s="21">
        <f t="shared" si="80"/>
        <v>657</v>
      </c>
      <c r="C659" s="13" t="str">
        <f t="shared" si="88"/>
        <v>I64_疾患開始日</v>
      </c>
      <c r="D659" s="13" t="s">
        <v>6311</v>
      </c>
      <c r="E659" s="8"/>
      <c r="F659" s="7" t="s">
        <v>4348</v>
      </c>
      <c r="G659" s="7" t="s">
        <v>25</v>
      </c>
      <c r="H659" s="58"/>
      <c r="I659" s="23"/>
      <c r="J659" s="24"/>
      <c r="M659" s="4"/>
      <c r="N659" s="76"/>
      <c r="O659" s="76"/>
      <c r="P659" s="76" t="str">
        <f t="shared" si="81"/>
        <v>,shikkan651_start_date</v>
      </c>
      <c r="Q659" s="76" t="str">
        <f t="shared" si="82"/>
        <v>DATE</v>
      </c>
      <c r="R659" s="76" t="str">
        <f t="shared" si="83"/>
        <v/>
      </c>
      <c r="S659" s="76" t="str">
        <f t="shared" si="84"/>
        <v/>
      </c>
      <c r="T659" s="76" t="str">
        <f t="shared" si="85"/>
        <v>-- I64_疾患開始日</v>
      </c>
      <c r="U659" s="4" t="str">
        <f t="shared" si="86"/>
        <v>,'shikkan651_start_date'</v>
      </c>
      <c r="V659" s="25" t="str">
        <f t="shared" si="87"/>
        <v>,'shikkan651_start_date' : 'I64_疾患開始日'</v>
      </c>
      <c r="X659" s="25">
        <v>1</v>
      </c>
      <c r="AA659" s="4"/>
      <c r="AB659" s="4"/>
      <c r="AC659" s="4"/>
      <c r="AD659" s="4"/>
      <c r="AE659" s="4"/>
      <c r="AF659" s="4"/>
      <c r="AG659" s="4"/>
      <c r="AH659" s="4"/>
      <c r="AI659" s="4"/>
      <c r="AJ659" s="76" t="str">
        <f>IF(E659="○",IF(COUNTA(E$13:E659)=1,"",",")&amp;D659,"")</f>
        <v/>
      </c>
      <c r="AK659" s="4"/>
      <c r="AL659" s="4"/>
      <c r="AM659" s="4"/>
      <c r="AN659" s="4"/>
      <c r="AO659" s="4"/>
      <c r="AP659" s="4"/>
      <c r="AQ659" s="4"/>
      <c r="AR659" s="4"/>
      <c r="AS659" s="76" t="str">
        <f>"COMMENT ON COLUMN "&amp;エンティティ一覧!$O$2&amp;"."&amp;D$8&amp;"."&amp;D659&amp;" IS '"&amp;C659&amp;"';"</f>
        <v>COMMENT ON COLUMN milscm_2023_009.main_diagnosis_start_date.shikkan651_start_date IS 'I64_疾患開始日';</v>
      </c>
    </row>
    <row r="660" spans="1:45" s="25" customFormat="1">
      <c r="A660" s="4" t="s">
        <v>5737</v>
      </c>
      <c r="B660" s="21">
        <f t="shared" si="80"/>
        <v>658</v>
      </c>
      <c r="C660" s="13" t="str">
        <f t="shared" si="88"/>
        <v>I650_疾患開始日</v>
      </c>
      <c r="D660" s="13" t="s">
        <v>6312</v>
      </c>
      <c r="E660" s="8"/>
      <c r="F660" s="7" t="s">
        <v>4348</v>
      </c>
      <c r="G660" s="7" t="s">
        <v>25</v>
      </c>
      <c r="H660" s="58"/>
      <c r="I660" s="23"/>
      <c r="J660" s="24"/>
      <c r="M660" s="4"/>
      <c r="N660" s="76"/>
      <c r="O660" s="76"/>
      <c r="P660" s="76" t="str">
        <f t="shared" si="81"/>
        <v>,shikkan652_start_date</v>
      </c>
      <c r="Q660" s="76" t="str">
        <f t="shared" si="82"/>
        <v>DATE</v>
      </c>
      <c r="R660" s="76" t="str">
        <f t="shared" si="83"/>
        <v/>
      </c>
      <c r="S660" s="76" t="str">
        <f t="shared" si="84"/>
        <v/>
      </c>
      <c r="T660" s="76" t="str">
        <f t="shared" si="85"/>
        <v>-- I650_疾患開始日</v>
      </c>
      <c r="U660" s="4" t="str">
        <f t="shared" si="86"/>
        <v>,'shikkan652_start_date'</v>
      </c>
      <c r="V660" s="25" t="str">
        <f t="shared" si="87"/>
        <v>,'shikkan652_start_date' : 'I650_疾患開始日'</v>
      </c>
      <c r="X660" s="25">
        <v>1</v>
      </c>
      <c r="AA660" s="4"/>
      <c r="AB660" s="4"/>
      <c r="AC660" s="4"/>
      <c r="AD660" s="4"/>
      <c r="AE660" s="4"/>
      <c r="AF660" s="4"/>
      <c r="AG660" s="4"/>
      <c r="AH660" s="4"/>
      <c r="AI660" s="4"/>
      <c r="AJ660" s="76" t="str">
        <f>IF(E660="○",IF(COUNTA(E$13:E660)=1,"",",")&amp;D660,"")</f>
        <v/>
      </c>
      <c r="AK660" s="4"/>
      <c r="AL660" s="4"/>
      <c r="AM660" s="4"/>
      <c r="AN660" s="4"/>
      <c r="AO660" s="4"/>
      <c r="AP660" s="4"/>
      <c r="AQ660" s="4"/>
      <c r="AR660" s="4"/>
      <c r="AS660" s="76" t="str">
        <f>"COMMENT ON COLUMN "&amp;エンティティ一覧!$O$2&amp;"."&amp;D$8&amp;"."&amp;D660&amp;" IS '"&amp;C660&amp;"';"</f>
        <v>COMMENT ON COLUMN milscm_2023_009.main_diagnosis_start_date.shikkan652_start_date IS 'I650_疾患開始日';</v>
      </c>
    </row>
    <row r="661" spans="1:45" s="25" customFormat="1">
      <c r="A661" s="4" t="s">
        <v>5738</v>
      </c>
      <c r="B661" s="21">
        <f t="shared" si="80"/>
        <v>659</v>
      </c>
      <c r="C661" s="13" t="str">
        <f t="shared" si="88"/>
        <v>I651_疾患開始日</v>
      </c>
      <c r="D661" s="13" t="s">
        <v>6313</v>
      </c>
      <c r="E661" s="8"/>
      <c r="F661" s="7" t="s">
        <v>4348</v>
      </c>
      <c r="G661" s="7" t="s">
        <v>25</v>
      </c>
      <c r="H661" s="58"/>
      <c r="I661" s="23"/>
      <c r="J661" s="24"/>
      <c r="M661" s="4"/>
      <c r="N661" s="76"/>
      <c r="O661" s="76"/>
      <c r="P661" s="76" t="str">
        <f t="shared" si="81"/>
        <v>,shikkan653_start_date</v>
      </c>
      <c r="Q661" s="76" t="str">
        <f t="shared" si="82"/>
        <v>DATE</v>
      </c>
      <c r="R661" s="76" t="str">
        <f t="shared" si="83"/>
        <v/>
      </c>
      <c r="S661" s="76" t="str">
        <f t="shared" si="84"/>
        <v/>
      </c>
      <c r="T661" s="76" t="str">
        <f t="shared" si="85"/>
        <v>-- I651_疾患開始日</v>
      </c>
      <c r="U661" s="4" t="str">
        <f t="shared" si="86"/>
        <v>,'shikkan653_start_date'</v>
      </c>
      <c r="V661" s="25" t="str">
        <f t="shared" si="87"/>
        <v>,'shikkan653_start_date' : 'I651_疾患開始日'</v>
      </c>
      <c r="X661" s="25">
        <v>1</v>
      </c>
      <c r="AA661" s="4"/>
      <c r="AB661" s="4"/>
      <c r="AC661" s="4"/>
      <c r="AD661" s="4"/>
      <c r="AE661" s="4"/>
      <c r="AF661" s="4"/>
      <c r="AG661" s="4"/>
      <c r="AH661" s="4"/>
      <c r="AI661" s="4"/>
      <c r="AJ661" s="76" t="str">
        <f>IF(E661="○",IF(COUNTA(E$13:E661)=1,"",",")&amp;D661,"")</f>
        <v/>
      </c>
      <c r="AK661" s="4"/>
      <c r="AL661" s="4"/>
      <c r="AM661" s="4"/>
      <c r="AN661" s="4"/>
      <c r="AO661" s="4"/>
      <c r="AP661" s="4"/>
      <c r="AQ661" s="4"/>
      <c r="AR661" s="4"/>
      <c r="AS661" s="76" t="str">
        <f>"COMMENT ON COLUMN "&amp;エンティティ一覧!$O$2&amp;"."&amp;D$8&amp;"."&amp;D661&amp;" IS '"&amp;C661&amp;"';"</f>
        <v>COMMENT ON COLUMN milscm_2023_009.main_diagnosis_start_date.shikkan653_start_date IS 'I651_疾患開始日';</v>
      </c>
    </row>
    <row r="662" spans="1:45" s="25" customFormat="1">
      <c r="A662" s="4" t="s">
        <v>5739</v>
      </c>
      <c r="B662" s="21">
        <f t="shared" si="80"/>
        <v>660</v>
      </c>
      <c r="C662" s="13" t="str">
        <f t="shared" si="88"/>
        <v>I652_疾患開始日</v>
      </c>
      <c r="D662" s="13" t="s">
        <v>6314</v>
      </c>
      <c r="E662" s="8"/>
      <c r="F662" s="7" t="s">
        <v>4348</v>
      </c>
      <c r="G662" s="7" t="s">
        <v>25</v>
      </c>
      <c r="H662" s="58"/>
      <c r="I662" s="23"/>
      <c r="J662" s="24"/>
      <c r="M662" s="4"/>
      <c r="N662" s="76"/>
      <c r="O662" s="76"/>
      <c r="P662" s="76" t="str">
        <f t="shared" si="81"/>
        <v>,shikkan654_start_date</v>
      </c>
      <c r="Q662" s="76" t="str">
        <f t="shared" si="82"/>
        <v>DATE</v>
      </c>
      <c r="R662" s="76" t="str">
        <f t="shared" si="83"/>
        <v/>
      </c>
      <c r="S662" s="76" t="str">
        <f t="shared" si="84"/>
        <v/>
      </c>
      <c r="T662" s="76" t="str">
        <f t="shared" si="85"/>
        <v>-- I652_疾患開始日</v>
      </c>
      <c r="U662" s="4" t="str">
        <f t="shared" si="86"/>
        <v>,'shikkan654_start_date'</v>
      </c>
      <c r="V662" s="25" t="str">
        <f t="shared" si="87"/>
        <v>,'shikkan654_start_date' : 'I652_疾患開始日'</v>
      </c>
      <c r="X662" s="25">
        <v>1</v>
      </c>
      <c r="AA662" s="4"/>
      <c r="AB662" s="4"/>
      <c r="AC662" s="4"/>
      <c r="AD662" s="4"/>
      <c r="AE662" s="4"/>
      <c r="AF662" s="4"/>
      <c r="AG662" s="4"/>
      <c r="AH662" s="4"/>
      <c r="AI662" s="4"/>
      <c r="AJ662" s="76" t="str">
        <f>IF(E662="○",IF(COUNTA(E$13:E662)=1,"",",")&amp;D662,"")</f>
        <v/>
      </c>
      <c r="AK662" s="4"/>
      <c r="AL662" s="4"/>
      <c r="AM662" s="4"/>
      <c r="AN662" s="4"/>
      <c r="AO662" s="4"/>
      <c r="AP662" s="4"/>
      <c r="AQ662" s="4"/>
      <c r="AR662" s="4"/>
      <c r="AS662" s="76" t="str">
        <f>"COMMENT ON COLUMN "&amp;エンティティ一覧!$O$2&amp;"."&amp;D$8&amp;"."&amp;D662&amp;" IS '"&amp;C662&amp;"';"</f>
        <v>COMMENT ON COLUMN milscm_2023_009.main_diagnosis_start_date.shikkan654_start_date IS 'I652_疾患開始日';</v>
      </c>
    </row>
    <row r="663" spans="1:45" s="25" customFormat="1">
      <c r="A663" s="4" t="s">
        <v>5740</v>
      </c>
      <c r="B663" s="21">
        <f t="shared" si="80"/>
        <v>661</v>
      </c>
      <c r="C663" s="13" t="str">
        <f t="shared" si="88"/>
        <v>I653_疾患開始日</v>
      </c>
      <c r="D663" s="13" t="s">
        <v>6315</v>
      </c>
      <c r="E663" s="8"/>
      <c r="F663" s="7" t="s">
        <v>4348</v>
      </c>
      <c r="G663" s="7" t="s">
        <v>99</v>
      </c>
      <c r="H663" s="58"/>
      <c r="I663" s="23"/>
      <c r="J663" s="24"/>
      <c r="M663" s="4"/>
      <c r="N663" s="76"/>
      <c r="O663" s="76"/>
      <c r="P663" s="76" t="str">
        <f t="shared" si="81"/>
        <v>,shikkan655_start_date</v>
      </c>
      <c r="Q663" s="76" t="str">
        <f t="shared" si="82"/>
        <v>DATE</v>
      </c>
      <c r="R663" s="76" t="str">
        <f t="shared" si="83"/>
        <v/>
      </c>
      <c r="S663" s="76" t="str">
        <f t="shared" si="84"/>
        <v/>
      </c>
      <c r="T663" s="76" t="str">
        <f t="shared" si="85"/>
        <v>-- I653_疾患開始日</v>
      </c>
      <c r="U663" s="4" t="str">
        <f t="shared" si="86"/>
        <v>,'shikkan655_start_date'</v>
      </c>
      <c r="V663" s="25" t="str">
        <f t="shared" si="87"/>
        <v>,'shikkan655_start_date' : 'I653_疾患開始日'</v>
      </c>
      <c r="X663" s="25">
        <v>1</v>
      </c>
      <c r="AA663" s="4"/>
      <c r="AB663" s="4"/>
      <c r="AC663" s="4"/>
      <c r="AD663" s="4"/>
      <c r="AE663" s="4"/>
      <c r="AF663" s="4"/>
      <c r="AG663" s="4"/>
      <c r="AH663" s="4"/>
      <c r="AI663" s="4"/>
      <c r="AJ663" s="76" t="str">
        <f>IF(E663="○",IF(COUNTA(E$13:E663)=1,"",",")&amp;D663,"")</f>
        <v/>
      </c>
      <c r="AK663" s="4"/>
      <c r="AL663" s="4"/>
      <c r="AM663" s="4"/>
      <c r="AN663" s="4"/>
      <c r="AO663" s="4"/>
      <c r="AP663" s="4"/>
      <c r="AQ663" s="4"/>
      <c r="AR663" s="4"/>
      <c r="AS663" s="76" t="str">
        <f>"COMMENT ON COLUMN "&amp;エンティティ一覧!$O$2&amp;"."&amp;D$8&amp;"."&amp;D663&amp;" IS '"&amp;C663&amp;"';"</f>
        <v>COMMENT ON COLUMN milscm_2023_009.main_diagnosis_start_date.shikkan655_start_date IS 'I653_疾患開始日';</v>
      </c>
    </row>
    <row r="664" spans="1:45" s="25" customFormat="1">
      <c r="A664" s="4" t="s">
        <v>5741</v>
      </c>
      <c r="B664" s="21">
        <f t="shared" si="80"/>
        <v>662</v>
      </c>
      <c r="C664" s="13" t="str">
        <f t="shared" si="88"/>
        <v>I658_疾患開始日</v>
      </c>
      <c r="D664" s="13" t="s">
        <v>6316</v>
      </c>
      <c r="E664" s="8"/>
      <c r="F664" s="7" t="s">
        <v>4348</v>
      </c>
      <c r="G664" s="7" t="s">
        <v>25</v>
      </c>
      <c r="H664" s="58"/>
      <c r="I664" s="23"/>
      <c r="J664" s="24"/>
      <c r="M664" s="4"/>
      <c r="N664" s="76"/>
      <c r="O664" s="76"/>
      <c r="P664" s="76" t="str">
        <f t="shared" si="81"/>
        <v>,shikkan656_start_date</v>
      </c>
      <c r="Q664" s="76" t="str">
        <f t="shared" si="82"/>
        <v>DATE</v>
      </c>
      <c r="R664" s="76" t="str">
        <f t="shared" si="83"/>
        <v/>
      </c>
      <c r="S664" s="76" t="str">
        <f t="shared" si="84"/>
        <v/>
      </c>
      <c r="T664" s="76" t="str">
        <f t="shared" si="85"/>
        <v>-- I658_疾患開始日</v>
      </c>
      <c r="U664" s="4" t="str">
        <f t="shared" si="86"/>
        <v>,'shikkan656_start_date'</v>
      </c>
      <c r="V664" s="25" t="str">
        <f t="shared" si="87"/>
        <v>,'shikkan656_start_date' : 'I658_疾患開始日'</v>
      </c>
      <c r="X664" s="25">
        <v>1</v>
      </c>
      <c r="AA664" s="4"/>
      <c r="AB664" s="4"/>
      <c r="AC664" s="4"/>
      <c r="AD664" s="4"/>
      <c r="AE664" s="4"/>
      <c r="AF664" s="4"/>
      <c r="AG664" s="4"/>
      <c r="AH664" s="4"/>
      <c r="AI664" s="4"/>
      <c r="AJ664" s="76" t="str">
        <f>IF(E664="○",IF(COUNTA(E$13:E664)=1,"",",")&amp;D664,"")</f>
        <v/>
      </c>
      <c r="AK664" s="4"/>
      <c r="AL664" s="4"/>
      <c r="AM664" s="4"/>
      <c r="AN664" s="4"/>
      <c r="AO664" s="4"/>
      <c r="AP664" s="4"/>
      <c r="AQ664" s="4"/>
      <c r="AR664" s="4"/>
      <c r="AS664" s="76" t="str">
        <f>"COMMENT ON COLUMN "&amp;エンティティ一覧!$O$2&amp;"."&amp;D$8&amp;"."&amp;D664&amp;" IS '"&amp;C664&amp;"';"</f>
        <v>COMMENT ON COLUMN milscm_2023_009.main_diagnosis_start_date.shikkan656_start_date IS 'I658_疾患開始日';</v>
      </c>
    </row>
    <row r="665" spans="1:45" s="25" customFormat="1">
      <c r="A665" s="4" t="s">
        <v>5742</v>
      </c>
      <c r="B665" s="21">
        <f t="shared" si="80"/>
        <v>663</v>
      </c>
      <c r="C665" s="13" t="str">
        <f t="shared" si="88"/>
        <v>I659_疾患開始日</v>
      </c>
      <c r="D665" s="13" t="s">
        <v>6317</v>
      </c>
      <c r="E665" s="8"/>
      <c r="F665" s="7" t="s">
        <v>4348</v>
      </c>
      <c r="G665" s="7" t="s">
        <v>25</v>
      </c>
      <c r="H665" s="58"/>
      <c r="I665" s="23"/>
      <c r="J665" s="24"/>
      <c r="M665" s="4"/>
      <c r="N665" s="76"/>
      <c r="O665" s="76"/>
      <c r="P665" s="76" t="str">
        <f t="shared" si="81"/>
        <v>,shikkan657_start_date</v>
      </c>
      <c r="Q665" s="76" t="str">
        <f t="shared" si="82"/>
        <v>DATE</v>
      </c>
      <c r="R665" s="76" t="str">
        <f t="shared" si="83"/>
        <v/>
      </c>
      <c r="S665" s="76" t="str">
        <f t="shared" si="84"/>
        <v/>
      </c>
      <c r="T665" s="76" t="str">
        <f t="shared" si="85"/>
        <v>-- I659_疾患開始日</v>
      </c>
      <c r="U665" s="4" t="str">
        <f t="shared" si="86"/>
        <v>,'shikkan657_start_date'</v>
      </c>
      <c r="V665" s="25" t="str">
        <f t="shared" si="87"/>
        <v>,'shikkan657_start_date' : 'I659_疾患開始日'</v>
      </c>
      <c r="X665" s="25">
        <v>1</v>
      </c>
      <c r="AA665" s="4"/>
      <c r="AB665" s="4"/>
      <c r="AC665" s="4"/>
      <c r="AD665" s="4"/>
      <c r="AE665" s="4"/>
      <c r="AF665" s="4"/>
      <c r="AG665" s="4"/>
      <c r="AH665" s="4"/>
      <c r="AI665" s="4"/>
      <c r="AJ665" s="76" t="str">
        <f>IF(E665="○",IF(COUNTA(E$13:E665)=1,"",",")&amp;D665,"")</f>
        <v/>
      </c>
      <c r="AK665" s="4"/>
      <c r="AL665" s="4"/>
      <c r="AM665" s="4"/>
      <c r="AN665" s="4"/>
      <c r="AO665" s="4"/>
      <c r="AP665" s="4"/>
      <c r="AQ665" s="4"/>
      <c r="AR665" s="4"/>
      <c r="AS665" s="76" t="str">
        <f>"COMMENT ON COLUMN "&amp;エンティティ一覧!$O$2&amp;"."&amp;D$8&amp;"."&amp;D665&amp;" IS '"&amp;C665&amp;"';"</f>
        <v>COMMENT ON COLUMN milscm_2023_009.main_diagnosis_start_date.shikkan657_start_date IS 'I659_疾患開始日';</v>
      </c>
    </row>
    <row r="666" spans="1:45" s="25" customFormat="1">
      <c r="A666" s="4" t="s">
        <v>5743</v>
      </c>
      <c r="B666" s="21">
        <f t="shared" si="80"/>
        <v>664</v>
      </c>
      <c r="C666" s="13" t="str">
        <f t="shared" si="88"/>
        <v>I660_疾患開始日</v>
      </c>
      <c r="D666" s="13" t="s">
        <v>6318</v>
      </c>
      <c r="E666" s="8"/>
      <c r="F666" s="7" t="s">
        <v>4348</v>
      </c>
      <c r="G666" s="7" t="s">
        <v>25</v>
      </c>
      <c r="H666" s="58"/>
      <c r="I666" s="23"/>
      <c r="J666" s="24"/>
      <c r="M666" s="4"/>
      <c r="N666" s="76"/>
      <c r="O666" s="76"/>
      <c r="P666" s="76" t="str">
        <f t="shared" si="81"/>
        <v>,shikkan658_start_date</v>
      </c>
      <c r="Q666" s="76" t="str">
        <f t="shared" si="82"/>
        <v>DATE</v>
      </c>
      <c r="R666" s="76" t="str">
        <f t="shared" si="83"/>
        <v/>
      </c>
      <c r="S666" s="76" t="str">
        <f t="shared" si="84"/>
        <v/>
      </c>
      <c r="T666" s="76" t="str">
        <f t="shared" si="85"/>
        <v>-- I660_疾患開始日</v>
      </c>
      <c r="U666" s="4" t="str">
        <f t="shared" si="86"/>
        <v>,'shikkan658_start_date'</v>
      </c>
      <c r="V666" s="25" t="str">
        <f t="shared" si="87"/>
        <v>,'shikkan658_start_date' : 'I660_疾患開始日'</v>
      </c>
      <c r="X666" s="25">
        <v>1</v>
      </c>
      <c r="AA666" s="4"/>
      <c r="AB666" s="4"/>
      <c r="AC666" s="4"/>
      <c r="AD666" s="4"/>
      <c r="AE666" s="4"/>
      <c r="AF666" s="4"/>
      <c r="AG666" s="4"/>
      <c r="AH666" s="4"/>
      <c r="AI666" s="4"/>
      <c r="AJ666" s="76" t="str">
        <f>IF(E666="○",IF(COUNTA(E$13:E666)=1,"",",")&amp;D666,"")</f>
        <v/>
      </c>
      <c r="AK666" s="4"/>
      <c r="AL666" s="4"/>
      <c r="AM666" s="4"/>
      <c r="AN666" s="4"/>
      <c r="AO666" s="4"/>
      <c r="AP666" s="4"/>
      <c r="AQ666" s="4"/>
      <c r="AR666" s="4"/>
      <c r="AS666" s="76" t="str">
        <f>"COMMENT ON COLUMN "&amp;エンティティ一覧!$O$2&amp;"."&amp;D$8&amp;"."&amp;D666&amp;" IS '"&amp;C666&amp;"';"</f>
        <v>COMMENT ON COLUMN milscm_2023_009.main_diagnosis_start_date.shikkan658_start_date IS 'I660_疾患開始日';</v>
      </c>
    </row>
    <row r="667" spans="1:45" s="25" customFormat="1">
      <c r="A667" s="4" t="s">
        <v>5744</v>
      </c>
      <c r="B667" s="21">
        <f t="shared" si="80"/>
        <v>665</v>
      </c>
      <c r="C667" s="13" t="str">
        <f t="shared" si="88"/>
        <v>I661_疾患開始日</v>
      </c>
      <c r="D667" s="13" t="s">
        <v>6319</v>
      </c>
      <c r="E667" s="8"/>
      <c r="F667" s="7" t="s">
        <v>4348</v>
      </c>
      <c r="G667" s="7" t="s">
        <v>25</v>
      </c>
      <c r="H667" s="58"/>
      <c r="I667" s="23"/>
      <c r="J667" s="24"/>
      <c r="M667" s="4"/>
      <c r="N667" s="76"/>
      <c r="O667" s="76"/>
      <c r="P667" s="76" t="str">
        <f t="shared" si="81"/>
        <v>,shikkan659_start_date</v>
      </c>
      <c r="Q667" s="76" t="str">
        <f t="shared" si="82"/>
        <v>DATE</v>
      </c>
      <c r="R667" s="76" t="str">
        <f t="shared" si="83"/>
        <v/>
      </c>
      <c r="S667" s="76" t="str">
        <f t="shared" si="84"/>
        <v/>
      </c>
      <c r="T667" s="76" t="str">
        <f t="shared" si="85"/>
        <v>-- I661_疾患開始日</v>
      </c>
      <c r="U667" s="4" t="str">
        <f t="shared" si="86"/>
        <v>,'shikkan659_start_date'</v>
      </c>
      <c r="V667" s="25" t="str">
        <f t="shared" si="87"/>
        <v>,'shikkan659_start_date' : 'I661_疾患開始日'</v>
      </c>
      <c r="X667" s="25">
        <v>1</v>
      </c>
      <c r="AA667" s="4"/>
      <c r="AB667" s="4"/>
      <c r="AC667" s="4"/>
      <c r="AD667" s="4"/>
      <c r="AE667" s="4"/>
      <c r="AF667" s="4"/>
      <c r="AG667" s="4"/>
      <c r="AH667" s="4"/>
      <c r="AI667" s="4"/>
      <c r="AJ667" s="76" t="str">
        <f>IF(E667="○",IF(COUNTA(E$13:E667)=1,"",",")&amp;D667,"")</f>
        <v/>
      </c>
      <c r="AK667" s="4"/>
      <c r="AL667" s="4"/>
      <c r="AM667" s="4"/>
      <c r="AN667" s="4"/>
      <c r="AO667" s="4"/>
      <c r="AP667" s="4"/>
      <c r="AQ667" s="4"/>
      <c r="AR667" s="4"/>
      <c r="AS667" s="76" t="str">
        <f>"COMMENT ON COLUMN "&amp;エンティティ一覧!$O$2&amp;"."&amp;D$8&amp;"."&amp;D667&amp;" IS '"&amp;C667&amp;"';"</f>
        <v>COMMENT ON COLUMN milscm_2023_009.main_diagnosis_start_date.shikkan659_start_date IS 'I661_疾患開始日';</v>
      </c>
    </row>
    <row r="668" spans="1:45" s="25" customFormat="1">
      <c r="A668" s="4" t="s">
        <v>5745</v>
      </c>
      <c r="B668" s="21">
        <f t="shared" si="80"/>
        <v>666</v>
      </c>
      <c r="C668" s="13" t="str">
        <f t="shared" si="88"/>
        <v>I662_疾患開始日</v>
      </c>
      <c r="D668" s="13" t="s">
        <v>6320</v>
      </c>
      <c r="E668" s="8"/>
      <c r="F668" s="7" t="s">
        <v>4348</v>
      </c>
      <c r="G668" s="7" t="s">
        <v>25</v>
      </c>
      <c r="H668" s="58"/>
      <c r="I668" s="23"/>
      <c r="J668" s="24"/>
      <c r="M668" s="4"/>
      <c r="N668" s="76"/>
      <c r="O668" s="76"/>
      <c r="P668" s="76" t="str">
        <f t="shared" si="81"/>
        <v>,shikkan660_start_date</v>
      </c>
      <c r="Q668" s="76" t="str">
        <f t="shared" si="82"/>
        <v>DATE</v>
      </c>
      <c r="R668" s="76" t="str">
        <f t="shared" si="83"/>
        <v/>
      </c>
      <c r="S668" s="76" t="str">
        <f t="shared" si="84"/>
        <v/>
      </c>
      <c r="T668" s="76" t="str">
        <f t="shared" si="85"/>
        <v>-- I662_疾患開始日</v>
      </c>
      <c r="U668" s="4" t="str">
        <f t="shared" si="86"/>
        <v>,'shikkan660_start_date'</v>
      </c>
      <c r="V668" s="25" t="str">
        <f t="shared" si="87"/>
        <v>,'shikkan660_start_date' : 'I662_疾患開始日'</v>
      </c>
      <c r="X668" s="25">
        <v>1</v>
      </c>
      <c r="AA668" s="4"/>
      <c r="AB668" s="4"/>
      <c r="AC668" s="4"/>
      <c r="AD668" s="4"/>
      <c r="AE668" s="4"/>
      <c r="AF668" s="4"/>
      <c r="AG668" s="4"/>
      <c r="AH668" s="4"/>
      <c r="AI668" s="4"/>
      <c r="AJ668" s="76" t="str">
        <f>IF(E668="○",IF(COUNTA(E$13:E668)=1,"",",")&amp;D668,"")</f>
        <v/>
      </c>
      <c r="AK668" s="4"/>
      <c r="AL668" s="4"/>
      <c r="AM668" s="4"/>
      <c r="AN668" s="4"/>
      <c r="AO668" s="4"/>
      <c r="AP668" s="4"/>
      <c r="AQ668" s="4"/>
      <c r="AR668" s="4"/>
      <c r="AS668" s="76" t="str">
        <f>"COMMENT ON COLUMN "&amp;エンティティ一覧!$O$2&amp;"."&amp;D$8&amp;"."&amp;D668&amp;" IS '"&amp;C668&amp;"';"</f>
        <v>COMMENT ON COLUMN milscm_2023_009.main_diagnosis_start_date.shikkan660_start_date IS 'I662_疾患開始日';</v>
      </c>
    </row>
    <row r="669" spans="1:45" s="25" customFormat="1">
      <c r="A669" s="4" t="s">
        <v>5746</v>
      </c>
      <c r="B669" s="21">
        <f t="shared" si="80"/>
        <v>667</v>
      </c>
      <c r="C669" s="13" t="str">
        <f t="shared" si="88"/>
        <v>I663_疾患開始日</v>
      </c>
      <c r="D669" s="13" t="s">
        <v>6321</v>
      </c>
      <c r="E669" s="8"/>
      <c r="F669" s="7" t="s">
        <v>4348</v>
      </c>
      <c r="G669" s="7" t="s">
        <v>25</v>
      </c>
      <c r="H669" s="58"/>
      <c r="I669" s="23"/>
      <c r="J669" s="24"/>
      <c r="M669" s="4"/>
      <c r="N669" s="76"/>
      <c r="O669" s="76"/>
      <c r="P669" s="76" t="str">
        <f t="shared" si="81"/>
        <v>,shikkan661_start_date</v>
      </c>
      <c r="Q669" s="76" t="str">
        <f t="shared" si="82"/>
        <v>DATE</v>
      </c>
      <c r="R669" s="76" t="str">
        <f t="shared" si="83"/>
        <v/>
      </c>
      <c r="S669" s="76" t="str">
        <f t="shared" si="84"/>
        <v/>
      </c>
      <c r="T669" s="76" t="str">
        <f t="shared" si="85"/>
        <v>-- I663_疾患開始日</v>
      </c>
      <c r="U669" s="4" t="str">
        <f t="shared" si="86"/>
        <v>,'shikkan661_start_date'</v>
      </c>
      <c r="V669" s="25" t="str">
        <f t="shared" si="87"/>
        <v>,'shikkan661_start_date' : 'I663_疾患開始日'</v>
      </c>
      <c r="X669" s="25">
        <v>1</v>
      </c>
      <c r="AA669" s="4"/>
      <c r="AB669" s="4"/>
      <c r="AC669" s="4"/>
      <c r="AD669" s="4"/>
      <c r="AE669" s="4"/>
      <c r="AF669" s="4"/>
      <c r="AG669" s="4"/>
      <c r="AH669" s="4"/>
      <c r="AI669" s="4"/>
      <c r="AJ669" s="76" t="str">
        <f>IF(E669="○",IF(COUNTA(E$13:E669)=1,"",",")&amp;D669,"")</f>
        <v/>
      </c>
      <c r="AK669" s="4"/>
      <c r="AL669" s="4"/>
      <c r="AM669" s="4"/>
      <c r="AN669" s="4"/>
      <c r="AO669" s="4"/>
      <c r="AP669" s="4"/>
      <c r="AQ669" s="4"/>
      <c r="AR669" s="4"/>
      <c r="AS669" s="76" t="str">
        <f>"COMMENT ON COLUMN "&amp;エンティティ一覧!$O$2&amp;"."&amp;D$8&amp;"."&amp;D669&amp;" IS '"&amp;C669&amp;"';"</f>
        <v>COMMENT ON COLUMN milscm_2023_009.main_diagnosis_start_date.shikkan661_start_date IS 'I663_疾患開始日';</v>
      </c>
    </row>
    <row r="670" spans="1:45" s="25" customFormat="1">
      <c r="A670" s="4" t="s">
        <v>5747</v>
      </c>
      <c r="B670" s="21">
        <f t="shared" si="80"/>
        <v>668</v>
      </c>
      <c r="C670" s="13" t="str">
        <f t="shared" si="88"/>
        <v>I664_疾患開始日</v>
      </c>
      <c r="D670" s="13" t="s">
        <v>6322</v>
      </c>
      <c r="E670" s="8"/>
      <c r="F670" s="7" t="s">
        <v>4348</v>
      </c>
      <c r="G670" s="7" t="s">
        <v>25</v>
      </c>
      <c r="H670" s="58"/>
      <c r="I670" s="23"/>
      <c r="J670" s="24"/>
      <c r="M670" s="4"/>
      <c r="N670" s="76"/>
      <c r="O670" s="76"/>
      <c r="P670" s="76" t="str">
        <f t="shared" si="81"/>
        <v>,shikkan662_start_date</v>
      </c>
      <c r="Q670" s="76" t="str">
        <f t="shared" si="82"/>
        <v>DATE</v>
      </c>
      <c r="R670" s="76" t="str">
        <f t="shared" si="83"/>
        <v/>
      </c>
      <c r="S670" s="76" t="str">
        <f t="shared" si="84"/>
        <v/>
      </c>
      <c r="T670" s="76" t="str">
        <f t="shared" si="85"/>
        <v>-- I664_疾患開始日</v>
      </c>
      <c r="U670" s="4" t="str">
        <f t="shared" si="86"/>
        <v>,'shikkan662_start_date'</v>
      </c>
      <c r="V670" s="25" t="str">
        <f t="shared" si="87"/>
        <v>,'shikkan662_start_date' : 'I664_疾患開始日'</v>
      </c>
      <c r="X670" s="25">
        <v>1</v>
      </c>
      <c r="AA670" s="4"/>
      <c r="AB670" s="4"/>
      <c r="AC670" s="4"/>
      <c r="AD670" s="4"/>
      <c r="AE670" s="4"/>
      <c r="AF670" s="4"/>
      <c r="AG670" s="4"/>
      <c r="AH670" s="4"/>
      <c r="AI670" s="4"/>
      <c r="AJ670" s="76" t="str">
        <f>IF(E670="○",IF(COUNTA(E$13:E670)=1,"",",")&amp;D670,"")</f>
        <v/>
      </c>
      <c r="AK670" s="4"/>
      <c r="AL670" s="4"/>
      <c r="AM670" s="4"/>
      <c r="AN670" s="4"/>
      <c r="AO670" s="4"/>
      <c r="AP670" s="4"/>
      <c r="AQ670" s="4"/>
      <c r="AR670" s="4"/>
      <c r="AS670" s="76" t="str">
        <f>"COMMENT ON COLUMN "&amp;エンティティ一覧!$O$2&amp;"."&amp;D$8&amp;"."&amp;D670&amp;" IS '"&amp;C670&amp;"';"</f>
        <v>COMMENT ON COLUMN milscm_2023_009.main_diagnosis_start_date.shikkan662_start_date IS 'I664_疾患開始日';</v>
      </c>
    </row>
    <row r="671" spans="1:45" s="25" customFormat="1">
      <c r="A671" s="4" t="s">
        <v>5748</v>
      </c>
      <c r="B671" s="21">
        <f t="shared" si="80"/>
        <v>669</v>
      </c>
      <c r="C671" s="13" t="str">
        <f t="shared" si="88"/>
        <v>I668_疾患開始日</v>
      </c>
      <c r="D671" s="13" t="s">
        <v>6323</v>
      </c>
      <c r="E671" s="8"/>
      <c r="F671" s="7" t="s">
        <v>4348</v>
      </c>
      <c r="G671" s="7" t="s">
        <v>25</v>
      </c>
      <c r="H671" s="58"/>
      <c r="I671" s="23"/>
      <c r="J671" s="24"/>
      <c r="M671" s="4"/>
      <c r="N671" s="76"/>
      <c r="O671" s="76"/>
      <c r="P671" s="76" t="str">
        <f t="shared" si="81"/>
        <v>,shikkan663_start_date</v>
      </c>
      <c r="Q671" s="76" t="str">
        <f t="shared" si="82"/>
        <v>DATE</v>
      </c>
      <c r="R671" s="76" t="str">
        <f t="shared" si="83"/>
        <v/>
      </c>
      <c r="S671" s="76" t="str">
        <f t="shared" si="84"/>
        <v/>
      </c>
      <c r="T671" s="76" t="str">
        <f t="shared" si="85"/>
        <v>-- I668_疾患開始日</v>
      </c>
      <c r="U671" s="4" t="str">
        <f t="shared" si="86"/>
        <v>,'shikkan663_start_date'</v>
      </c>
      <c r="V671" s="25" t="str">
        <f t="shared" si="87"/>
        <v>,'shikkan663_start_date' : 'I668_疾患開始日'</v>
      </c>
      <c r="X671" s="25">
        <v>1</v>
      </c>
      <c r="AA671" s="4"/>
      <c r="AB671" s="4"/>
      <c r="AC671" s="4"/>
      <c r="AD671" s="4"/>
      <c r="AE671" s="4"/>
      <c r="AF671" s="4"/>
      <c r="AG671" s="4"/>
      <c r="AH671" s="4"/>
      <c r="AI671" s="4"/>
      <c r="AJ671" s="76" t="str">
        <f>IF(E671="○",IF(COUNTA(E$13:E671)=1,"",",")&amp;D671,"")</f>
        <v/>
      </c>
      <c r="AK671" s="4"/>
      <c r="AL671" s="4"/>
      <c r="AM671" s="4"/>
      <c r="AN671" s="4"/>
      <c r="AO671" s="4"/>
      <c r="AP671" s="4"/>
      <c r="AQ671" s="4"/>
      <c r="AR671" s="4"/>
      <c r="AS671" s="76" t="str">
        <f>"COMMENT ON COLUMN "&amp;エンティティ一覧!$O$2&amp;"."&amp;D$8&amp;"."&amp;D671&amp;" IS '"&amp;C671&amp;"';"</f>
        <v>COMMENT ON COLUMN milscm_2023_009.main_diagnosis_start_date.shikkan663_start_date IS 'I668_疾患開始日';</v>
      </c>
    </row>
    <row r="672" spans="1:45" s="25" customFormat="1">
      <c r="A672" s="4" t="s">
        <v>5749</v>
      </c>
      <c r="B672" s="21">
        <f t="shared" si="80"/>
        <v>670</v>
      </c>
      <c r="C672" s="13" t="str">
        <f t="shared" si="88"/>
        <v>I669_疾患開始日</v>
      </c>
      <c r="D672" s="13" t="s">
        <v>6324</v>
      </c>
      <c r="E672" s="8"/>
      <c r="F672" s="7" t="s">
        <v>4348</v>
      </c>
      <c r="G672" s="7" t="s">
        <v>25</v>
      </c>
      <c r="H672" s="58"/>
      <c r="I672" s="23"/>
      <c r="J672" s="24"/>
      <c r="M672" s="4"/>
      <c r="N672" s="76"/>
      <c r="O672" s="76"/>
      <c r="P672" s="76" t="str">
        <f t="shared" si="81"/>
        <v>,shikkan664_start_date</v>
      </c>
      <c r="Q672" s="76" t="str">
        <f t="shared" si="82"/>
        <v>DATE</v>
      </c>
      <c r="R672" s="76" t="str">
        <f t="shared" si="83"/>
        <v/>
      </c>
      <c r="S672" s="76" t="str">
        <f t="shared" si="84"/>
        <v/>
      </c>
      <c r="T672" s="76" t="str">
        <f t="shared" si="85"/>
        <v>-- I669_疾患開始日</v>
      </c>
      <c r="U672" s="4" t="str">
        <f t="shared" si="86"/>
        <v>,'shikkan664_start_date'</v>
      </c>
      <c r="V672" s="25" t="str">
        <f t="shared" si="87"/>
        <v>,'shikkan664_start_date' : 'I669_疾患開始日'</v>
      </c>
      <c r="X672" s="25">
        <v>1</v>
      </c>
      <c r="AA672" s="4"/>
      <c r="AB672" s="4"/>
      <c r="AC672" s="4"/>
      <c r="AD672" s="4"/>
      <c r="AE672" s="4"/>
      <c r="AF672" s="4"/>
      <c r="AG672" s="4"/>
      <c r="AH672" s="4"/>
      <c r="AI672" s="4"/>
      <c r="AJ672" s="76" t="str">
        <f>IF(E672="○",IF(COUNTA(E$13:E672)=1,"",",")&amp;D672,"")</f>
        <v/>
      </c>
      <c r="AK672" s="4"/>
      <c r="AL672" s="4"/>
      <c r="AM672" s="4"/>
      <c r="AN672" s="4"/>
      <c r="AO672" s="4"/>
      <c r="AP672" s="4"/>
      <c r="AQ672" s="4"/>
      <c r="AR672" s="4"/>
      <c r="AS672" s="76" t="str">
        <f>"COMMENT ON COLUMN "&amp;エンティティ一覧!$O$2&amp;"."&amp;D$8&amp;"."&amp;D672&amp;" IS '"&amp;C672&amp;"';"</f>
        <v>COMMENT ON COLUMN milscm_2023_009.main_diagnosis_start_date.shikkan664_start_date IS 'I669_疾患開始日';</v>
      </c>
    </row>
    <row r="673" spans="1:45" s="25" customFormat="1">
      <c r="A673" s="4" t="s">
        <v>5750</v>
      </c>
      <c r="B673" s="21">
        <f t="shared" si="80"/>
        <v>671</v>
      </c>
      <c r="C673" s="13" t="str">
        <f t="shared" si="88"/>
        <v>I670_疾患開始日</v>
      </c>
      <c r="D673" s="13" t="s">
        <v>6325</v>
      </c>
      <c r="E673" s="8"/>
      <c r="F673" s="7" t="s">
        <v>4348</v>
      </c>
      <c r="G673" s="7" t="s">
        <v>25</v>
      </c>
      <c r="H673" s="58"/>
      <c r="I673" s="23"/>
      <c r="J673" s="24"/>
      <c r="M673" s="4"/>
      <c r="N673" s="76"/>
      <c r="O673" s="76"/>
      <c r="P673" s="76" t="str">
        <f t="shared" si="81"/>
        <v>,shikkan665_start_date</v>
      </c>
      <c r="Q673" s="76" t="str">
        <f t="shared" si="82"/>
        <v>DATE</v>
      </c>
      <c r="R673" s="76" t="str">
        <f t="shared" si="83"/>
        <v/>
      </c>
      <c r="S673" s="76" t="str">
        <f t="shared" si="84"/>
        <v/>
      </c>
      <c r="T673" s="76" t="str">
        <f t="shared" si="85"/>
        <v>-- I670_疾患開始日</v>
      </c>
      <c r="U673" s="4" t="str">
        <f t="shared" si="86"/>
        <v>,'shikkan665_start_date'</v>
      </c>
      <c r="V673" s="25" t="str">
        <f t="shared" si="87"/>
        <v>,'shikkan665_start_date' : 'I670_疾患開始日'</v>
      </c>
      <c r="X673" s="25">
        <v>1</v>
      </c>
      <c r="AA673" s="4"/>
      <c r="AB673" s="4"/>
      <c r="AC673" s="4"/>
      <c r="AD673" s="4"/>
      <c r="AE673" s="4"/>
      <c r="AF673" s="4"/>
      <c r="AG673" s="4"/>
      <c r="AH673" s="4"/>
      <c r="AI673" s="4"/>
      <c r="AJ673" s="76" t="str">
        <f>IF(E673="○",IF(COUNTA(E$13:E673)=1,"",",")&amp;D673,"")</f>
        <v/>
      </c>
      <c r="AK673" s="4"/>
      <c r="AL673" s="4"/>
      <c r="AM673" s="4"/>
      <c r="AN673" s="4"/>
      <c r="AO673" s="4"/>
      <c r="AP673" s="4"/>
      <c r="AQ673" s="4"/>
      <c r="AR673" s="4"/>
      <c r="AS673" s="76" t="str">
        <f>"COMMENT ON COLUMN "&amp;エンティティ一覧!$O$2&amp;"."&amp;D$8&amp;"."&amp;D673&amp;" IS '"&amp;C673&amp;"';"</f>
        <v>COMMENT ON COLUMN milscm_2023_009.main_diagnosis_start_date.shikkan665_start_date IS 'I670_疾患開始日';</v>
      </c>
    </row>
    <row r="674" spans="1:45" s="25" customFormat="1">
      <c r="A674" s="4" t="s">
        <v>5751</v>
      </c>
      <c r="B674" s="21">
        <f t="shared" si="80"/>
        <v>672</v>
      </c>
      <c r="C674" s="13" t="str">
        <f t="shared" si="88"/>
        <v>I671_疾患開始日</v>
      </c>
      <c r="D674" s="13" t="s">
        <v>6326</v>
      </c>
      <c r="E674" s="8"/>
      <c r="F674" s="7" t="s">
        <v>4348</v>
      </c>
      <c r="G674" s="7" t="s">
        <v>25</v>
      </c>
      <c r="H674" s="58"/>
      <c r="I674" s="23"/>
      <c r="J674" s="24"/>
      <c r="M674" s="4"/>
      <c r="N674" s="76"/>
      <c r="O674" s="76"/>
      <c r="P674" s="76" t="str">
        <f t="shared" si="81"/>
        <v>,shikkan666_start_date</v>
      </c>
      <c r="Q674" s="76" t="str">
        <f t="shared" si="82"/>
        <v>DATE</v>
      </c>
      <c r="R674" s="76" t="str">
        <f t="shared" si="83"/>
        <v/>
      </c>
      <c r="S674" s="76" t="str">
        <f t="shared" si="84"/>
        <v/>
      </c>
      <c r="T674" s="76" t="str">
        <f t="shared" si="85"/>
        <v>-- I671_疾患開始日</v>
      </c>
      <c r="U674" s="4" t="str">
        <f t="shared" si="86"/>
        <v>,'shikkan666_start_date'</v>
      </c>
      <c r="V674" s="25" t="str">
        <f t="shared" si="87"/>
        <v>,'shikkan666_start_date' : 'I671_疾患開始日'</v>
      </c>
      <c r="X674" s="25">
        <v>1</v>
      </c>
      <c r="AA674" s="4"/>
      <c r="AB674" s="4"/>
      <c r="AC674" s="4"/>
      <c r="AD674" s="4"/>
      <c r="AE674" s="4"/>
      <c r="AF674" s="4"/>
      <c r="AG674" s="4"/>
      <c r="AH674" s="4"/>
      <c r="AI674" s="4"/>
      <c r="AJ674" s="76" t="str">
        <f>IF(E674="○",IF(COUNTA(E$13:E674)=1,"",",")&amp;D674,"")</f>
        <v/>
      </c>
      <c r="AK674" s="4"/>
      <c r="AL674" s="4"/>
      <c r="AM674" s="4"/>
      <c r="AN674" s="4"/>
      <c r="AO674" s="4"/>
      <c r="AP674" s="4"/>
      <c r="AQ674" s="4"/>
      <c r="AR674" s="4"/>
      <c r="AS674" s="76" t="str">
        <f>"COMMENT ON COLUMN "&amp;エンティティ一覧!$O$2&amp;"."&amp;D$8&amp;"."&amp;D674&amp;" IS '"&amp;C674&amp;"';"</f>
        <v>COMMENT ON COLUMN milscm_2023_009.main_diagnosis_start_date.shikkan666_start_date IS 'I671_疾患開始日';</v>
      </c>
    </row>
    <row r="675" spans="1:45" s="25" customFormat="1">
      <c r="A675" s="4" t="s">
        <v>5752</v>
      </c>
      <c r="B675" s="21">
        <f t="shared" si="80"/>
        <v>673</v>
      </c>
      <c r="C675" s="13" t="str">
        <f t="shared" si="88"/>
        <v>I672_疾患開始日</v>
      </c>
      <c r="D675" s="13" t="s">
        <v>6327</v>
      </c>
      <c r="E675" s="8"/>
      <c r="F675" s="7" t="s">
        <v>4348</v>
      </c>
      <c r="G675" s="7" t="s">
        <v>25</v>
      </c>
      <c r="H675" s="58"/>
      <c r="I675" s="23"/>
      <c r="J675" s="24"/>
      <c r="M675" s="4"/>
      <c r="N675" s="76"/>
      <c r="O675" s="76"/>
      <c r="P675" s="76" t="str">
        <f t="shared" si="81"/>
        <v>,shikkan667_start_date</v>
      </c>
      <c r="Q675" s="76" t="str">
        <f t="shared" si="82"/>
        <v>DATE</v>
      </c>
      <c r="R675" s="76" t="str">
        <f t="shared" si="83"/>
        <v/>
      </c>
      <c r="S675" s="76" t="str">
        <f t="shared" si="84"/>
        <v/>
      </c>
      <c r="T675" s="76" t="str">
        <f t="shared" si="85"/>
        <v>-- I672_疾患開始日</v>
      </c>
      <c r="U675" s="4" t="str">
        <f t="shared" si="86"/>
        <v>,'shikkan667_start_date'</v>
      </c>
      <c r="V675" s="25" t="str">
        <f t="shared" si="87"/>
        <v>,'shikkan667_start_date' : 'I672_疾患開始日'</v>
      </c>
      <c r="X675" s="25">
        <v>1</v>
      </c>
      <c r="AA675" s="4"/>
      <c r="AB675" s="4"/>
      <c r="AC675" s="4"/>
      <c r="AD675" s="4"/>
      <c r="AE675" s="4"/>
      <c r="AF675" s="4"/>
      <c r="AG675" s="4"/>
      <c r="AH675" s="4"/>
      <c r="AI675" s="4"/>
      <c r="AJ675" s="76" t="str">
        <f>IF(E675="○",IF(COUNTA(E$13:E675)=1,"",",")&amp;D675,"")</f>
        <v/>
      </c>
      <c r="AK675" s="4"/>
      <c r="AL675" s="4"/>
      <c r="AM675" s="4"/>
      <c r="AN675" s="4"/>
      <c r="AO675" s="4"/>
      <c r="AP675" s="4"/>
      <c r="AQ675" s="4"/>
      <c r="AR675" s="4"/>
      <c r="AS675" s="76" t="str">
        <f>"COMMENT ON COLUMN "&amp;エンティティ一覧!$O$2&amp;"."&amp;D$8&amp;"."&amp;D675&amp;" IS '"&amp;C675&amp;"';"</f>
        <v>COMMENT ON COLUMN milscm_2023_009.main_diagnosis_start_date.shikkan667_start_date IS 'I672_疾患開始日';</v>
      </c>
    </row>
    <row r="676" spans="1:45" s="25" customFormat="1">
      <c r="A676" s="4" t="s">
        <v>5753</v>
      </c>
      <c r="B676" s="21">
        <f t="shared" si="80"/>
        <v>674</v>
      </c>
      <c r="C676" s="13" t="str">
        <f t="shared" si="88"/>
        <v>I673_疾患開始日</v>
      </c>
      <c r="D676" s="13" t="s">
        <v>6328</v>
      </c>
      <c r="E676" s="8"/>
      <c r="F676" s="7" t="s">
        <v>4348</v>
      </c>
      <c r="G676" s="7" t="s">
        <v>25</v>
      </c>
      <c r="H676" s="58"/>
      <c r="I676" s="23"/>
      <c r="J676" s="24"/>
      <c r="M676" s="4"/>
      <c r="N676" s="76"/>
      <c r="O676" s="76"/>
      <c r="P676" s="76" t="str">
        <f t="shared" si="81"/>
        <v>,shikkan668_start_date</v>
      </c>
      <c r="Q676" s="76" t="str">
        <f t="shared" si="82"/>
        <v>DATE</v>
      </c>
      <c r="R676" s="76" t="str">
        <f t="shared" si="83"/>
        <v/>
      </c>
      <c r="S676" s="76" t="str">
        <f t="shared" si="84"/>
        <v/>
      </c>
      <c r="T676" s="76" t="str">
        <f t="shared" si="85"/>
        <v>-- I673_疾患開始日</v>
      </c>
      <c r="U676" s="4" t="str">
        <f t="shared" si="86"/>
        <v>,'shikkan668_start_date'</v>
      </c>
      <c r="V676" s="25" t="str">
        <f t="shared" si="87"/>
        <v>,'shikkan668_start_date' : 'I673_疾患開始日'</v>
      </c>
      <c r="X676" s="25">
        <v>1</v>
      </c>
      <c r="AA676" s="4"/>
      <c r="AB676" s="4"/>
      <c r="AC676" s="4"/>
      <c r="AD676" s="4"/>
      <c r="AE676" s="4"/>
      <c r="AF676" s="4"/>
      <c r="AG676" s="4"/>
      <c r="AH676" s="4"/>
      <c r="AI676" s="4"/>
      <c r="AJ676" s="76" t="str">
        <f>IF(E676="○",IF(COUNTA(E$13:E676)=1,"",",")&amp;D676,"")</f>
        <v/>
      </c>
      <c r="AK676" s="4"/>
      <c r="AL676" s="4"/>
      <c r="AM676" s="4"/>
      <c r="AN676" s="4"/>
      <c r="AO676" s="4"/>
      <c r="AP676" s="4"/>
      <c r="AQ676" s="4"/>
      <c r="AR676" s="4"/>
      <c r="AS676" s="76" t="str">
        <f>"COMMENT ON COLUMN "&amp;エンティティ一覧!$O$2&amp;"."&amp;D$8&amp;"."&amp;D676&amp;" IS '"&amp;C676&amp;"';"</f>
        <v>COMMENT ON COLUMN milscm_2023_009.main_diagnosis_start_date.shikkan668_start_date IS 'I673_疾患開始日';</v>
      </c>
    </row>
    <row r="677" spans="1:45" s="25" customFormat="1">
      <c r="A677" s="4" t="s">
        <v>5754</v>
      </c>
      <c r="B677" s="21">
        <f t="shared" si="80"/>
        <v>675</v>
      </c>
      <c r="C677" s="13" t="str">
        <f t="shared" si="88"/>
        <v>I674_疾患開始日</v>
      </c>
      <c r="D677" s="13" t="s">
        <v>6329</v>
      </c>
      <c r="E677" s="8"/>
      <c r="F677" s="7" t="s">
        <v>4348</v>
      </c>
      <c r="G677" s="7" t="s">
        <v>25</v>
      </c>
      <c r="H677" s="58"/>
      <c r="I677" s="23"/>
      <c r="J677" s="24"/>
      <c r="M677" s="4"/>
      <c r="N677" s="76"/>
      <c r="O677" s="76"/>
      <c r="P677" s="76" t="str">
        <f t="shared" si="81"/>
        <v>,shikkan669_start_date</v>
      </c>
      <c r="Q677" s="76" t="str">
        <f t="shared" si="82"/>
        <v>DATE</v>
      </c>
      <c r="R677" s="76" t="str">
        <f t="shared" si="83"/>
        <v/>
      </c>
      <c r="S677" s="76" t="str">
        <f t="shared" si="84"/>
        <v/>
      </c>
      <c r="T677" s="76" t="str">
        <f t="shared" si="85"/>
        <v>-- I674_疾患開始日</v>
      </c>
      <c r="U677" s="4" t="str">
        <f t="shared" si="86"/>
        <v>,'shikkan669_start_date'</v>
      </c>
      <c r="V677" s="25" t="str">
        <f t="shared" si="87"/>
        <v>,'shikkan669_start_date' : 'I674_疾患開始日'</v>
      </c>
      <c r="X677" s="25">
        <v>1</v>
      </c>
      <c r="AA677" s="4"/>
      <c r="AB677" s="4"/>
      <c r="AC677" s="4"/>
      <c r="AD677" s="4"/>
      <c r="AE677" s="4"/>
      <c r="AF677" s="4"/>
      <c r="AG677" s="4"/>
      <c r="AH677" s="4"/>
      <c r="AI677" s="4"/>
      <c r="AJ677" s="76" t="str">
        <f>IF(E677="○",IF(COUNTA(E$13:E677)=1,"",",")&amp;D677,"")</f>
        <v/>
      </c>
      <c r="AK677" s="4"/>
      <c r="AL677" s="4"/>
      <c r="AM677" s="4"/>
      <c r="AN677" s="4"/>
      <c r="AO677" s="4"/>
      <c r="AP677" s="4"/>
      <c r="AQ677" s="4"/>
      <c r="AR677" s="4"/>
      <c r="AS677" s="76" t="str">
        <f>"COMMENT ON COLUMN "&amp;エンティティ一覧!$O$2&amp;"."&amp;D$8&amp;"."&amp;D677&amp;" IS '"&amp;C677&amp;"';"</f>
        <v>COMMENT ON COLUMN milscm_2023_009.main_diagnosis_start_date.shikkan669_start_date IS 'I674_疾患開始日';</v>
      </c>
    </row>
    <row r="678" spans="1:45" s="25" customFormat="1">
      <c r="A678" s="4" t="s">
        <v>5755</v>
      </c>
      <c r="B678" s="21">
        <f t="shared" si="80"/>
        <v>676</v>
      </c>
      <c r="C678" s="13" t="str">
        <f t="shared" si="88"/>
        <v>I675_疾患開始日</v>
      </c>
      <c r="D678" s="13" t="s">
        <v>6330</v>
      </c>
      <c r="E678" s="8"/>
      <c r="F678" s="7" t="s">
        <v>4348</v>
      </c>
      <c r="G678" s="7" t="s">
        <v>25</v>
      </c>
      <c r="H678" s="58"/>
      <c r="I678" s="23"/>
      <c r="J678" s="24"/>
      <c r="M678" s="4"/>
      <c r="N678" s="76"/>
      <c r="O678" s="76"/>
      <c r="P678" s="76" t="str">
        <f t="shared" si="81"/>
        <v>,shikkan670_start_date</v>
      </c>
      <c r="Q678" s="76" t="str">
        <f t="shared" si="82"/>
        <v>DATE</v>
      </c>
      <c r="R678" s="76" t="str">
        <f t="shared" si="83"/>
        <v/>
      </c>
      <c r="S678" s="76" t="str">
        <f t="shared" si="84"/>
        <v/>
      </c>
      <c r="T678" s="76" t="str">
        <f t="shared" si="85"/>
        <v>-- I675_疾患開始日</v>
      </c>
      <c r="U678" s="4" t="str">
        <f t="shared" si="86"/>
        <v>,'shikkan670_start_date'</v>
      </c>
      <c r="V678" s="25" t="str">
        <f t="shared" si="87"/>
        <v>,'shikkan670_start_date' : 'I675_疾患開始日'</v>
      </c>
      <c r="X678" s="25">
        <v>1</v>
      </c>
      <c r="AA678" s="4"/>
      <c r="AB678" s="4"/>
      <c r="AC678" s="4"/>
      <c r="AD678" s="4"/>
      <c r="AE678" s="4"/>
      <c r="AF678" s="4"/>
      <c r="AG678" s="4"/>
      <c r="AH678" s="4"/>
      <c r="AI678" s="4"/>
      <c r="AJ678" s="76" t="str">
        <f>IF(E678="○",IF(COUNTA(E$13:E678)=1,"",",")&amp;D678,"")</f>
        <v/>
      </c>
      <c r="AK678" s="4"/>
      <c r="AL678" s="4"/>
      <c r="AM678" s="4"/>
      <c r="AN678" s="4"/>
      <c r="AO678" s="4"/>
      <c r="AP678" s="4"/>
      <c r="AQ678" s="4"/>
      <c r="AR678" s="4"/>
      <c r="AS678" s="76" t="str">
        <f>"COMMENT ON COLUMN "&amp;エンティティ一覧!$O$2&amp;"."&amp;D$8&amp;"."&amp;D678&amp;" IS '"&amp;C678&amp;"';"</f>
        <v>COMMENT ON COLUMN milscm_2023_009.main_diagnosis_start_date.shikkan670_start_date IS 'I675_疾患開始日';</v>
      </c>
    </row>
    <row r="679" spans="1:45" s="25" customFormat="1">
      <c r="A679" s="4" t="s">
        <v>5756</v>
      </c>
      <c r="B679" s="21">
        <f t="shared" si="80"/>
        <v>677</v>
      </c>
      <c r="C679" s="13" t="str">
        <f t="shared" si="88"/>
        <v>I676_疾患開始日</v>
      </c>
      <c r="D679" s="13" t="s">
        <v>6331</v>
      </c>
      <c r="E679" s="8"/>
      <c r="F679" s="7" t="s">
        <v>4348</v>
      </c>
      <c r="G679" s="7" t="s">
        <v>99</v>
      </c>
      <c r="H679" s="58"/>
      <c r="I679" s="23"/>
      <c r="J679" s="24"/>
      <c r="M679" s="4"/>
      <c r="N679" s="76"/>
      <c r="O679" s="76"/>
      <c r="P679" s="76" t="str">
        <f t="shared" si="81"/>
        <v>,shikkan671_start_date</v>
      </c>
      <c r="Q679" s="76" t="str">
        <f t="shared" si="82"/>
        <v>DATE</v>
      </c>
      <c r="R679" s="76" t="str">
        <f t="shared" si="83"/>
        <v/>
      </c>
      <c r="S679" s="76" t="str">
        <f t="shared" si="84"/>
        <v/>
      </c>
      <c r="T679" s="76" t="str">
        <f t="shared" si="85"/>
        <v>-- I676_疾患開始日</v>
      </c>
      <c r="U679" s="4" t="str">
        <f t="shared" si="86"/>
        <v>,'shikkan671_start_date'</v>
      </c>
      <c r="V679" s="25" t="str">
        <f t="shared" si="87"/>
        <v>,'shikkan671_start_date' : 'I676_疾患開始日'</v>
      </c>
      <c r="X679" s="25">
        <v>1</v>
      </c>
      <c r="AA679" s="4"/>
      <c r="AB679" s="4"/>
      <c r="AC679" s="4"/>
      <c r="AD679" s="4"/>
      <c r="AE679" s="4"/>
      <c r="AF679" s="4"/>
      <c r="AG679" s="4"/>
      <c r="AH679" s="4"/>
      <c r="AI679" s="4"/>
      <c r="AJ679" s="76" t="str">
        <f>IF(E679="○",IF(COUNTA(E$13:E679)=1,"",",")&amp;D679,"")</f>
        <v/>
      </c>
      <c r="AK679" s="4"/>
      <c r="AL679" s="4"/>
      <c r="AM679" s="4"/>
      <c r="AN679" s="4"/>
      <c r="AO679" s="4"/>
      <c r="AP679" s="4"/>
      <c r="AQ679" s="4"/>
      <c r="AR679" s="4"/>
      <c r="AS679" s="76" t="str">
        <f>"COMMENT ON COLUMN "&amp;エンティティ一覧!$O$2&amp;"."&amp;D$8&amp;"."&amp;D679&amp;" IS '"&amp;C679&amp;"';"</f>
        <v>COMMENT ON COLUMN milscm_2023_009.main_diagnosis_start_date.shikkan671_start_date IS 'I676_疾患開始日';</v>
      </c>
    </row>
    <row r="680" spans="1:45" s="25" customFormat="1">
      <c r="A680" s="4" t="s">
        <v>5757</v>
      </c>
      <c r="B680" s="21">
        <f t="shared" si="80"/>
        <v>678</v>
      </c>
      <c r="C680" s="13" t="str">
        <f t="shared" si="88"/>
        <v>I677_疾患開始日</v>
      </c>
      <c r="D680" s="13" t="s">
        <v>6332</v>
      </c>
      <c r="E680" s="8"/>
      <c r="F680" s="7" t="s">
        <v>4348</v>
      </c>
      <c r="G680" s="7" t="s">
        <v>25</v>
      </c>
      <c r="H680" s="58"/>
      <c r="I680" s="23"/>
      <c r="J680" s="24"/>
      <c r="M680" s="4"/>
      <c r="N680" s="76"/>
      <c r="O680" s="76"/>
      <c r="P680" s="76" t="str">
        <f t="shared" si="81"/>
        <v>,shikkan672_start_date</v>
      </c>
      <c r="Q680" s="76" t="str">
        <f t="shared" si="82"/>
        <v>DATE</v>
      </c>
      <c r="R680" s="76" t="str">
        <f t="shared" si="83"/>
        <v/>
      </c>
      <c r="S680" s="76" t="str">
        <f t="shared" si="84"/>
        <v/>
      </c>
      <c r="T680" s="76" t="str">
        <f t="shared" si="85"/>
        <v>-- I677_疾患開始日</v>
      </c>
      <c r="U680" s="4" t="str">
        <f t="shared" si="86"/>
        <v>,'shikkan672_start_date'</v>
      </c>
      <c r="V680" s="25" t="str">
        <f t="shared" si="87"/>
        <v>,'shikkan672_start_date' : 'I677_疾患開始日'</v>
      </c>
      <c r="X680" s="25">
        <v>1</v>
      </c>
      <c r="AA680" s="4"/>
      <c r="AB680" s="4"/>
      <c r="AC680" s="4"/>
      <c r="AD680" s="4"/>
      <c r="AE680" s="4"/>
      <c r="AF680" s="4"/>
      <c r="AG680" s="4"/>
      <c r="AH680" s="4"/>
      <c r="AI680" s="4"/>
      <c r="AJ680" s="76" t="str">
        <f>IF(E680="○",IF(COUNTA(E$13:E680)=1,"",",")&amp;D680,"")</f>
        <v/>
      </c>
      <c r="AK680" s="4"/>
      <c r="AL680" s="4"/>
      <c r="AM680" s="4"/>
      <c r="AN680" s="4"/>
      <c r="AO680" s="4"/>
      <c r="AP680" s="4"/>
      <c r="AQ680" s="4"/>
      <c r="AR680" s="4"/>
      <c r="AS680" s="76" t="str">
        <f>"COMMENT ON COLUMN "&amp;エンティティ一覧!$O$2&amp;"."&amp;D$8&amp;"."&amp;D680&amp;" IS '"&amp;C680&amp;"';"</f>
        <v>COMMENT ON COLUMN milscm_2023_009.main_diagnosis_start_date.shikkan672_start_date IS 'I677_疾患開始日';</v>
      </c>
    </row>
    <row r="681" spans="1:45" s="25" customFormat="1">
      <c r="A681" s="4" t="s">
        <v>5758</v>
      </c>
      <c r="B681" s="21">
        <f t="shared" si="80"/>
        <v>679</v>
      </c>
      <c r="C681" s="13" t="str">
        <f t="shared" si="88"/>
        <v>I678_疾患開始日</v>
      </c>
      <c r="D681" s="13" t="s">
        <v>6333</v>
      </c>
      <c r="E681" s="8"/>
      <c r="F681" s="7" t="s">
        <v>4348</v>
      </c>
      <c r="G681" s="7" t="s">
        <v>25</v>
      </c>
      <c r="H681" s="58"/>
      <c r="I681" s="23"/>
      <c r="J681" s="24"/>
      <c r="M681" s="4"/>
      <c r="N681" s="76"/>
      <c r="O681" s="76"/>
      <c r="P681" s="76" t="str">
        <f t="shared" si="81"/>
        <v>,shikkan673_start_date</v>
      </c>
      <c r="Q681" s="76" t="str">
        <f t="shared" si="82"/>
        <v>DATE</v>
      </c>
      <c r="R681" s="76" t="str">
        <f t="shared" si="83"/>
        <v/>
      </c>
      <c r="S681" s="76" t="str">
        <f t="shared" si="84"/>
        <v/>
      </c>
      <c r="T681" s="76" t="str">
        <f t="shared" si="85"/>
        <v>-- I678_疾患開始日</v>
      </c>
      <c r="U681" s="4" t="str">
        <f t="shared" si="86"/>
        <v>,'shikkan673_start_date'</v>
      </c>
      <c r="V681" s="25" t="str">
        <f t="shared" si="87"/>
        <v>,'shikkan673_start_date' : 'I678_疾患開始日'</v>
      </c>
      <c r="X681" s="25">
        <v>1</v>
      </c>
      <c r="AA681" s="4"/>
      <c r="AB681" s="4"/>
      <c r="AC681" s="4"/>
      <c r="AD681" s="4"/>
      <c r="AE681" s="4"/>
      <c r="AF681" s="4"/>
      <c r="AG681" s="4"/>
      <c r="AH681" s="4"/>
      <c r="AI681" s="4"/>
      <c r="AJ681" s="76" t="str">
        <f>IF(E681="○",IF(COUNTA(E$13:E681)=1,"",",")&amp;D681,"")</f>
        <v/>
      </c>
      <c r="AK681" s="4"/>
      <c r="AL681" s="4"/>
      <c r="AM681" s="4"/>
      <c r="AN681" s="4"/>
      <c r="AO681" s="4"/>
      <c r="AP681" s="4"/>
      <c r="AQ681" s="4"/>
      <c r="AR681" s="4"/>
      <c r="AS681" s="76" t="str">
        <f>"COMMENT ON COLUMN "&amp;エンティティ一覧!$O$2&amp;"."&amp;D$8&amp;"."&amp;D681&amp;" IS '"&amp;C681&amp;"';"</f>
        <v>COMMENT ON COLUMN milscm_2023_009.main_diagnosis_start_date.shikkan673_start_date IS 'I678_疾患開始日';</v>
      </c>
    </row>
    <row r="682" spans="1:45" s="25" customFormat="1">
      <c r="A682" s="4" t="s">
        <v>5759</v>
      </c>
      <c r="B682" s="21">
        <f t="shared" si="80"/>
        <v>680</v>
      </c>
      <c r="C682" s="13" t="str">
        <f t="shared" si="88"/>
        <v>I679_疾患開始日</v>
      </c>
      <c r="D682" s="13" t="s">
        <v>6334</v>
      </c>
      <c r="E682" s="8"/>
      <c r="F682" s="7" t="s">
        <v>4348</v>
      </c>
      <c r="G682" s="7" t="s">
        <v>25</v>
      </c>
      <c r="H682" s="58"/>
      <c r="I682" s="23"/>
      <c r="J682" s="24"/>
      <c r="M682" s="4"/>
      <c r="N682" s="76"/>
      <c r="O682" s="76"/>
      <c r="P682" s="76" t="str">
        <f t="shared" si="81"/>
        <v>,shikkan674_start_date</v>
      </c>
      <c r="Q682" s="76" t="str">
        <f t="shared" si="82"/>
        <v>DATE</v>
      </c>
      <c r="R682" s="76" t="str">
        <f t="shared" si="83"/>
        <v/>
      </c>
      <c r="S682" s="76" t="str">
        <f t="shared" si="84"/>
        <v/>
      </c>
      <c r="T682" s="76" t="str">
        <f t="shared" si="85"/>
        <v>-- I679_疾患開始日</v>
      </c>
      <c r="U682" s="4" t="str">
        <f t="shared" si="86"/>
        <v>,'shikkan674_start_date'</v>
      </c>
      <c r="V682" s="25" t="str">
        <f t="shared" si="87"/>
        <v>,'shikkan674_start_date' : 'I679_疾患開始日'</v>
      </c>
      <c r="X682" s="25">
        <v>1</v>
      </c>
      <c r="AA682" s="4"/>
      <c r="AB682" s="4"/>
      <c r="AC682" s="4"/>
      <c r="AD682" s="4"/>
      <c r="AE682" s="4"/>
      <c r="AF682" s="4"/>
      <c r="AG682" s="4"/>
      <c r="AH682" s="4"/>
      <c r="AI682" s="4"/>
      <c r="AJ682" s="76" t="str">
        <f>IF(E682="○",IF(COUNTA(E$13:E682)=1,"",",")&amp;D682,"")</f>
        <v/>
      </c>
      <c r="AK682" s="4"/>
      <c r="AL682" s="4"/>
      <c r="AM682" s="4"/>
      <c r="AN682" s="4"/>
      <c r="AO682" s="4"/>
      <c r="AP682" s="4"/>
      <c r="AQ682" s="4"/>
      <c r="AR682" s="4"/>
      <c r="AS682" s="76" t="str">
        <f>"COMMENT ON COLUMN "&amp;エンティティ一覧!$O$2&amp;"."&amp;D$8&amp;"."&amp;D682&amp;" IS '"&amp;C682&amp;"';"</f>
        <v>COMMENT ON COLUMN milscm_2023_009.main_diagnosis_start_date.shikkan674_start_date IS 'I679_疾患開始日';</v>
      </c>
    </row>
    <row r="683" spans="1:45" s="25" customFormat="1">
      <c r="A683" s="4" t="s">
        <v>5760</v>
      </c>
      <c r="B683" s="21">
        <f t="shared" si="80"/>
        <v>681</v>
      </c>
      <c r="C683" s="13" t="str">
        <f t="shared" si="88"/>
        <v>I680_疾患開始日</v>
      </c>
      <c r="D683" s="13" t="s">
        <v>6335</v>
      </c>
      <c r="E683" s="8"/>
      <c r="F683" s="7" t="s">
        <v>4348</v>
      </c>
      <c r="G683" s="7" t="s">
        <v>25</v>
      </c>
      <c r="H683" s="58"/>
      <c r="I683" s="23"/>
      <c r="J683" s="24"/>
      <c r="M683" s="4"/>
      <c r="N683" s="76"/>
      <c r="O683" s="76"/>
      <c r="P683" s="76" t="str">
        <f t="shared" si="81"/>
        <v>,shikkan675_start_date</v>
      </c>
      <c r="Q683" s="76" t="str">
        <f t="shared" si="82"/>
        <v>DATE</v>
      </c>
      <c r="R683" s="76" t="str">
        <f t="shared" si="83"/>
        <v/>
      </c>
      <c r="S683" s="76" t="str">
        <f t="shared" si="84"/>
        <v/>
      </c>
      <c r="T683" s="76" t="str">
        <f t="shared" si="85"/>
        <v>-- I680_疾患開始日</v>
      </c>
      <c r="U683" s="4" t="str">
        <f t="shared" si="86"/>
        <v>,'shikkan675_start_date'</v>
      </c>
      <c r="V683" s="25" t="str">
        <f t="shared" si="87"/>
        <v>,'shikkan675_start_date' : 'I680_疾患開始日'</v>
      </c>
      <c r="X683" s="25">
        <v>1</v>
      </c>
      <c r="AA683" s="4"/>
      <c r="AB683" s="4"/>
      <c r="AC683" s="4"/>
      <c r="AD683" s="4"/>
      <c r="AE683" s="4"/>
      <c r="AF683" s="4"/>
      <c r="AG683" s="4"/>
      <c r="AH683" s="4"/>
      <c r="AI683" s="4"/>
      <c r="AJ683" s="76" t="str">
        <f>IF(E683="○",IF(COUNTA(E$13:E683)=1,"",",")&amp;D683,"")</f>
        <v/>
      </c>
      <c r="AK683" s="4"/>
      <c r="AL683" s="4"/>
      <c r="AM683" s="4"/>
      <c r="AN683" s="4"/>
      <c r="AO683" s="4"/>
      <c r="AP683" s="4"/>
      <c r="AQ683" s="4"/>
      <c r="AR683" s="4"/>
      <c r="AS683" s="76" t="str">
        <f>"COMMENT ON COLUMN "&amp;エンティティ一覧!$O$2&amp;"."&amp;D$8&amp;"."&amp;D683&amp;" IS '"&amp;C683&amp;"';"</f>
        <v>COMMENT ON COLUMN milscm_2023_009.main_diagnosis_start_date.shikkan675_start_date IS 'I680_疾患開始日';</v>
      </c>
    </row>
    <row r="684" spans="1:45" s="25" customFormat="1">
      <c r="A684" s="4" t="s">
        <v>5761</v>
      </c>
      <c r="B684" s="21">
        <f t="shared" si="80"/>
        <v>682</v>
      </c>
      <c r="C684" s="13" t="str">
        <f t="shared" si="88"/>
        <v>I681_疾患開始日</v>
      </c>
      <c r="D684" s="13" t="s">
        <v>6336</v>
      </c>
      <c r="E684" s="8"/>
      <c r="F684" s="7" t="s">
        <v>4348</v>
      </c>
      <c r="G684" s="7" t="s">
        <v>25</v>
      </c>
      <c r="H684" s="58"/>
      <c r="I684" s="23"/>
      <c r="J684" s="24"/>
      <c r="M684" s="4"/>
      <c r="N684" s="76"/>
      <c r="O684" s="76"/>
      <c r="P684" s="76" t="str">
        <f t="shared" si="81"/>
        <v>,shikkan676_start_date</v>
      </c>
      <c r="Q684" s="76" t="str">
        <f t="shared" si="82"/>
        <v>DATE</v>
      </c>
      <c r="R684" s="76" t="str">
        <f t="shared" si="83"/>
        <v/>
      </c>
      <c r="S684" s="76" t="str">
        <f t="shared" si="84"/>
        <v/>
      </c>
      <c r="T684" s="76" t="str">
        <f t="shared" si="85"/>
        <v>-- I681_疾患開始日</v>
      </c>
      <c r="U684" s="4" t="str">
        <f t="shared" si="86"/>
        <v>,'shikkan676_start_date'</v>
      </c>
      <c r="V684" s="25" t="str">
        <f t="shared" si="87"/>
        <v>,'shikkan676_start_date' : 'I681_疾患開始日'</v>
      </c>
      <c r="X684" s="25">
        <v>1</v>
      </c>
      <c r="AA684" s="4"/>
      <c r="AB684" s="4"/>
      <c r="AC684" s="4"/>
      <c r="AD684" s="4"/>
      <c r="AE684" s="4"/>
      <c r="AF684" s="4"/>
      <c r="AG684" s="4"/>
      <c r="AH684" s="4"/>
      <c r="AI684" s="4"/>
      <c r="AJ684" s="76" t="str">
        <f>IF(E684="○",IF(COUNTA(E$13:E684)=1,"",",")&amp;D684,"")</f>
        <v/>
      </c>
      <c r="AK684" s="4"/>
      <c r="AL684" s="4"/>
      <c r="AM684" s="4"/>
      <c r="AN684" s="4"/>
      <c r="AO684" s="4"/>
      <c r="AP684" s="4"/>
      <c r="AQ684" s="4"/>
      <c r="AR684" s="4"/>
      <c r="AS684" s="76" t="str">
        <f>"COMMENT ON COLUMN "&amp;エンティティ一覧!$O$2&amp;"."&amp;D$8&amp;"."&amp;D684&amp;" IS '"&amp;C684&amp;"';"</f>
        <v>COMMENT ON COLUMN milscm_2023_009.main_diagnosis_start_date.shikkan676_start_date IS 'I681_疾患開始日';</v>
      </c>
    </row>
    <row r="685" spans="1:45" s="25" customFormat="1">
      <c r="A685" s="4" t="s">
        <v>5762</v>
      </c>
      <c r="B685" s="21">
        <f t="shared" si="80"/>
        <v>683</v>
      </c>
      <c r="C685" s="13" t="str">
        <f t="shared" si="88"/>
        <v>I682_疾患開始日</v>
      </c>
      <c r="D685" s="13" t="s">
        <v>6337</v>
      </c>
      <c r="E685" s="8"/>
      <c r="F685" s="7" t="s">
        <v>4348</v>
      </c>
      <c r="G685" s="7" t="s">
        <v>25</v>
      </c>
      <c r="H685" s="58"/>
      <c r="I685" s="23"/>
      <c r="J685" s="24"/>
      <c r="M685" s="4"/>
      <c r="N685" s="76"/>
      <c r="O685" s="76"/>
      <c r="P685" s="76" t="str">
        <f t="shared" si="81"/>
        <v>,shikkan677_start_date</v>
      </c>
      <c r="Q685" s="76" t="str">
        <f t="shared" si="82"/>
        <v>DATE</v>
      </c>
      <c r="R685" s="76" t="str">
        <f t="shared" si="83"/>
        <v/>
      </c>
      <c r="S685" s="76" t="str">
        <f t="shared" si="84"/>
        <v/>
      </c>
      <c r="T685" s="76" t="str">
        <f t="shared" si="85"/>
        <v>-- I682_疾患開始日</v>
      </c>
      <c r="U685" s="4" t="str">
        <f t="shared" si="86"/>
        <v>,'shikkan677_start_date'</v>
      </c>
      <c r="V685" s="25" t="str">
        <f t="shared" si="87"/>
        <v>,'shikkan677_start_date' : 'I682_疾患開始日'</v>
      </c>
      <c r="X685" s="25">
        <v>1</v>
      </c>
      <c r="AA685" s="4"/>
      <c r="AB685" s="4"/>
      <c r="AC685" s="4"/>
      <c r="AD685" s="4"/>
      <c r="AE685" s="4"/>
      <c r="AF685" s="4"/>
      <c r="AG685" s="4"/>
      <c r="AH685" s="4"/>
      <c r="AI685" s="4"/>
      <c r="AJ685" s="76" t="str">
        <f>IF(E685="○",IF(COUNTA(E$13:E685)=1,"",",")&amp;D685,"")</f>
        <v/>
      </c>
      <c r="AK685" s="4"/>
      <c r="AL685" s="4"/>
      <c r="AM685" s="4"/>
      <c r="AN685" s="4"/>
      <c r="AO685" s="4"/>
      <c r="AP685" s="4"/>
      <c r="AQ685" s="4"/>
      <c r="AR685" s="4"/>
      <c r="AS685" s="76" t="str">
        <f>"COMMENT ON COLUMN "&amp;エンティティ一覧!$O$2&amp;"."&amp;D$8&amp;"."&amp;D685&amp;" IS '"&amp;C685&amp;"';"</f>
        <v>COMMENT ON COLUMN milscm_2023_009.main_diagnosis_start_date.shikkan677_start_date IS 'I682_疾患開始日';</v>
      </c>
    </row>
    <row r="686" spans="1:45" s="25" customFormat="1">
      <c r="A686" s="4" t="s">
        <v>5763</v>
      </c>
      <c r="B686" s="21">
        <f t="shared" si="80"/>
        <v>684</v>
      </c>
      <c r="C686" s="13" t="str">
        <f t="shared" si="88"/>
        <v>I688_疾患開始日</v>
      </c>
      <c r="D686" s="13" t="s">
        <v>6338</v>
      </c>
      <c r="E686" s="8"/>
      <c r="F686" s="7" t="s">
        <v>4348</v>
      </c>
      <c r="G686" s="7" t="s">
        <v>25</v>
      </c>
      <c r="H686" s="58"/>
      <c r="I686" s="23"/>
      <c r="J686" s="24"/>
      <c r="M686" s="4"/>
      <c r="N686" s="76"/>
      <c r="O686" s="76"/>
      <c r="P686" s="76" t="str">
        <f t="shared" si="81"/>
        <v>,shikkan678_start_date</v>
      </c>
      <c r="Q686" s="76" t="str">
        <f t="shared" si="82"/>
        <v>DATE</v>
      </c>
      <c r="R686" s="76" t="str">
        <f t="shared" si="83"/>
        <v/>
      </c>
      <c r="S686" s="76" t="str">
        <f t="shared" si="84"/>
        <v/>
      </c>
      <c r="T686" s="76" t="str">
        <f t="shared" si="85"/>
        <v>-- I688_疾患開始日</v>
      </c>
      <c r="U686" s="4" t="str">
        <f t="shared" si="86"/>
        <v>,'shikkan678_start_date'</v>
      </c>
      <c r="V686" s="25" t="str">
        <f t="shared" si="87"/>
        <v>,'shikkan678_start_date' : 'I688_疾患開始日'</v>
      </c>
      <c r="X686" s="25">
        <v>1</v>
      </c>
      <c r="AA686" s="4"/>
      <c r="AB686" s="4"/>
      <c r="AC686" s="4"/>
      <c r="AD686" s="4"/>
      <c r="AE686" s="4"/>
      <c r="AF686" s="4"/>
      <c r="AG686" s="4"/>
      <c r="AH686" s="4"/>
      <c r="AI686" s="4"/>
      <c r="AJ686" s="76" t="str">
        <f>IF(E686="○",IF(COUNTA(E$13:E686)=1,"",",")&amp;D686,"")</f>
        <v/>
      </c>
      <c r="AK686" s="4"/>
      <c r="AL686" s="4"/>
      <c r="AM686" s="4"/>
      <c r="AN686" s="4"/>
      <c r="AO686" s="4"/>
      <c r="AP686" s="4"/>
      <c r="AQ686" s="4"/>
      <c r="AR686" s="4"/>
      <c r="AS686" s="76" t="str">
        <f>"COMMENT ON COLUMN "&amp;エンティティ一覧!$O$2&amp;"."&amp;D$8&amp;"."&amp;D686&amp;" IS '"&amp;C686&amp;"';"</f>
        <v>COMMENT ON COLUMN milscm_2023_009.main_diagnosis_start_date.shikkan678_start_date IS 'I688_疾患開始日';</v>
      </c>
    </row>
    <row r="687" spans="1:45" s="25" customFormat="1">
      <c r="A687" s="4" t="s">
        <v>5764</v>
      </c>
      <c r="B687" s="21">
        <f t="shared" si="80"/>
        <v>685</v>
      </c>
      <c r="C687" s="13" t="str">
        <f t="shared" si="88"/>
        <v>I690_疾患開始日</v>
      </c>
      <c r="D687" s="13" t="s">
        <v>6339</v>
      </c>
      <c r="E687" s="8"/>
      <c r="F687" s="7" t="s">
        <v>4348</v>
      </c>
      <c r="G687" s="7" t="s">
        <v>25</v>
      </c>
      <c r="H687" s="58"/>
      <c r="I687" s="23"/>
      <c r="J687" s="24"/>
      <c r="M687" s="4"/>
      <c r="N687" s="76"/>
      <c r="O687" s="76"/>
      <c r="P687" s="76" t="str">
        <f t="shared" si="81"/>
        <v>,shikkan679_start_date</v>
      </c>
      <c r="Q687" s="76" t="str">
        <f t="shared" si="82"/>
        <v>DATE</v>
      </c>
      <c r="R687" s="76" t="str">
        <f t="shared" si="83"/>
        <v/>
      </c>
      <c r="S687" s="76" t="str">
        <f t="shared" si="84"/>
        <v/>
      </c>
      <c r="T687" s="76" t="str">
        <f t="shared" si="85"/>
        <v>-- I690_疾患開始日</v>
      </c>
      <c r="U687" s="4" t="str">
        <f t="shared" si="86"/>
        <v>,'shikkan679_start_date'</v>
      </c>
      <c r="V687" s="25" t="str">
        <f t="shared" si="87"/>
        <v>,'shikkan679_start_date' : 'I690_疾患開始日'</v>
      </c>
      <c r="X687" s="25">
        <v>1</v>
      </c>
      <c r="AA687" s="4"/>
      <c r="AB687" s="4"/>
      <c r="AC687" s="4"/>
      <c r="AD687" s="4"/>
      <c r="AE687" s="4"/>
      <c r="AF687" s="4"/>
      <c r="AG687" s="4"/>
      <c r="AH687" s="4"/>
      <c r="AI687" s="4"/>
      <c r="AJ687" s="76" t="str">
        <f>IF(E687="○",IF(COUNTA(E$13:E687)=1,"",",")&amp;D687,"")</f>
        <v/>
      </c>
      <c r="AK687" s="4"/>
      <c r="AL687" s="4"/>
      <c r="AM687" s="4"/>
      <c r="AN687" s="4"/>
      <c r="AO687" s="4"/>
      <c r="AP687" s="4"/>
      <c r="AQ687" s="4"/>
      <c r="AR687" s="4"/>
      <c r="AS687" s="76" t="str">
        <f>"COMMENT ON COLUMN "&amp;エンティティ一覧!$O$2&amp;"."&amp;D$8&amp;"."&amp;D687&amp;" IS '"&amp;C687&amp;"';"</f>
        <v>COMMENT ON COLUMN milscm_2023_009.main_diagnosis_start_date.shikkan679_start_date IS 'I690_疾患開始日';</v>
      </c>
    </row>
    <row r="688" spans="1:45" s="25" customFormat="1">
      <c r="A688" s="4" t="s">
        <v>5765</v>
      </c>
      <c r="B688" s="21">
        <f t="shared" si="80"/>
        <v>686</v>
      </c>
      <c r="C688" s="13" t="str">
        <f t="shared" si="88"/>
        <v>I691_疾患開始日</v>
      </c>
      <c r="D688" s="13" t="s">
        <v>6340</v>
      </c>
      <c r="E688" s="8"/>
      <c r="F688" s="7" t="s">
        <v>4348</v>
      </c>
      <c r="G688" s="7" t="s">
        <v>25</v>
      </c>
      <c r="H688" s="58"/>
      <c r="I688" s="23"/>
      <c r="J688" s="24"/>
      <c r="M688" s="4"/>
      <c r="N688" s="76"/>
      <c r="O688" s="76"/>
      <c r="P688" s="76" t="str">
        <f t="shared" si="81"/>
        <v>,shikkan680_start_date</v>
      </c>
      <c r="Q688" s="76" t="str">
        <f t="shared" si="82"/>
        <v>DATE</v>
      </c>
      <c r="R688" s="76" t="str">
        <f t="shared" si="83"/>
        <v/>
      </c>
      <c r="S688" s="76" t="str">
        <f t="shared" si="84"/>
        <v/>
      </c>
      <c r="T688" s="76" t="str">
        <f t="shared" si="85"/>
        <v>-- I691_疾患開始日</v>
      </c>
      <c r="U688" s="4" t="str">
        <f t="shared" si="86"/>
        <v>,'shikkan680_start_date'</v>
      </c>
      <c r="V688" s="25" t="str">
        <f t="shared" si="87"/>
        <v>,'shikkan680_start_date' : 'I691_疾患開始日'</v>
      </c>
      <c r="X688" s="25">
        <v>1</v>
      </c>
      <c r="AA688" s="4"/>
      <c r="AB688" s="4"/>
      <c r="AC688" s="4"/>
      <c r="AD688" s="4"/>
      <c r="AE688" s="4"/>
      <c r="AF688" s="4"/>
      <c r="AG688" s="4"/>
      <c r="AH688" s="4"/>
      <c r="AI688" s="4"/>
      <c r="AJ688" s="76" t="str">
        <f>IF(E688="○",IF(COUNTA(E$13:E688)=1,"",",")&amp;D688,"")</f>
        <v/>
      </c>
      <c r="AK688" s="4"/>
      <c r="AL688" s="4"/>
      <c r="AM688" s="4"/>
      <c r="AN688" s="4"/>
      <c r="AO688" s="4"/>
      <c r="AP688" s="4"/>
      <c r="AQ688" s="4"/>
      <c r="AR688" s="4"/>
      <c r="AS688" s="76" t="str">
        <f>"COMMENT ON COLUMN "&amp;エンティティ一覧!$O$2&amp;"."&amp;D$8&amp;"."&amp;D688&amp;" IS '"&amp;C688&amp;"';"</f>
        <v>COMMENT ON COLUMN milscm_2023_009.main_diagnosis_start_date.shikkan680_start_date IS 'I691_疾患開始日';</v>
      </c>
    </row>
    <row r="689" spans="1:45" s="25" customFormat="1">
      <c r="A689" s="4" t="s">
        <v>5766</v>
      </c>
      <c r="B689" s="21">
        <f t="shared" si="80"/>
        <v>687</v>
      </c>
      <c r="C689" s="13" t="str">
        <f t="shared" si="88"/>
        <v>I692_疾患開始日</v>
      </c>
      <c r="D689" s="13" t="s">
        <v>6341</v>
      </c>
      <c r="E689" s="8"/>
      <c r="F689" s="7" t="s">
        <v>4348</v>
      </c>
      <c r="G689" s="7" t="s">
        <v>25</v>
      </c>
      <c r="H689" s="58"/>
      <c r="I689" s="23"/>
      <c r="J689" s="24"/>
      <c r="M689" s="4"/>
      <c r="N689" s="76"/>
      <c r="O689" s="76"/>
      <c r="P689" s="76" t="str">
        <f t="shared" si="81"/>
        <v>,shikkan681_start_date</v>
      </c>
      <c r="Q689" s="76" t="str">
        <f t="shared" si="82"/>
        <v>DATE</v>
      </c>
      <c r="R689" s="76" t="str">
        <f t="shared" si="83"/>
        <v/>
      </c>
      <c r="S689" s="76" t="str">
        <f t="shared" si="84"/>
        <v/>
      </c>
      <c r="T689" s="76" t="str">
        <f t="shared" si="85"/>
        <v>-- I692_疾患開始日</v>
      </c>
      <c r="U689" s="4" t="str">
        <f t="shared" si="86"/>
        <v>,'shikkan681_start_date'</v>
      </c>
      <c r="V689" s="25" t="str">
        <f t="shared" si="87"/>
        <v>,'shikkan681_start_date' : 'I692_疾患開始日'</v>
      </c>
      <c r="X689" s="25">
        <v>1</v>
      </c>
      <c r="AA689" s="4"/>
      <c r="AB689" s="4"/>
      <c r="AC689" s="4"/>
      <c r="AD689" s="4"/>
      <c r="AE689" s="4"/>
      <c r="AF689" s="4"/>
      <c r="AG689" s="4"/>
      <c r="AH689" s="4"/>
      <c r="AI689" s="4"/>
      <c r="AJ689" s="76" t="str">
        <f>IF(E689="○",IF(COUNTA(E$13:E689)=1,"",",")&amp;D689,"")</f>
        <v/>
      </c>
      <c r="AK689" s="4"/>
      <c r="AL689" s="4"/>
      <c r="AM689" s="4"/>
      <c r="AN689" s="4"/>
      <c r="AO689" s="4"/>
      <c r="AP689" s="4"/>
      <c r="AQ689" s="4"/>
      <c r="AR689" s="4"/>
      <c r="AS689" s="76" t="str">
        <f>"COMMENT ON COLUMN "&amp;エンティティ一覧!$O$2&amp;"."&amp;D$8&amp;"."&amp;D689&amp;" IS '"&amp;C689&amp;"';"</f>
        <v>COMMENT ON COLUMN milscm_2023_009.main_diagnosis_start_date.shikkan681_start_date IS 'I692_疾患開始日';</v>
      </c>
    </row>
    <row r="690" spans="1:45" s="25" customFormat="1">
      <c r="A690" s="4" t="s">
        <v>5767</v>
      </c>
      <c r="B690" s="21">
        <f t="shared" si="80"/>
        <v>688</v>
      </c>
      <c r="C690" s="13" t="str">
        <f t="shared" si="88"/>
        <v>I693_疾患開始日</v>
      </c>
      <c r="D690" s="13" t="s">
        <v>6342</v>
      </c>
      <c r="E690" s="8"/>
      <c r="F690" s="7" t="s">
        <v>4348</v>
      </c>
      <c r="G690" s="7" t="s">
        <v>25</v>
      </c>
      <c r="H690" s="58"/>
      <c r="I690" s="23"/>
      <c r="J690" s="24"/>
      <c r="M690" s="4"/>
      <c r="N690" s="76"/>
      <c r="O690" s="76"/>
      <c r="P690" s="76" t="str">
        <f t="shared" si="81"/>
        <v>,shikkan682_start_date</v>
      </c>
      <c r="Q690" s="76" t="str">
        <f t="shared" si="82"/>
        <v>DATE</v>
      </c>
      <c r="R690" s="76" t="str">
        <f t="shared" si="83"/>
        <v/>
      </c>
      <c r="S690" s="76" t="str">
        <f t="shared" si="84"/>
        <v/>
      </c>
      <c r="T690" s="76" t="str">
        <f t="shared" si="85"/>
        <v>-- I693_疾患開始日</v>
      </c>
      <c r="U690" s="4" t="str">
        <f t="shared" si="86"/>
        <v>,'shikkan682_start_date'</v>
      </c>
      <c r="V690" s="25" t="str">
        <f t="shared" si="87"/>
        <v>,'shikkan682_start_date' : 'I693_疾患開始日'</v>
      </c>
      <c r="X690" s="25">
        <v>1</v>
      </c>
      <c r="AA690" s="4"/>
      <c r="AB690" s="4"/>
      <c r="AC690" s="4"/>
      <c r="AD690" s="4"/>
      <c r="AE690" s="4"/>
      <c r="AF690" s="4"/>
      <c r="AG690" s="4"/>
      <c r="AH690" s="4"/>
      <c r="AI690" s="4"/>
      <c r="AJ690" s="76" t="str">
        <f>IF(E690="○",IF(COUNTA(E$13:E690)=1,"",",")&amp;D690,"")</f>
        <v/>
      </c>
      <c r="AK690" s="4"/>
      <c r="AL690" s="4"/>
      <c r="AM690" s="4"/>
      <c r="AN690" s="4"/>
      <c r="AO690" s="4"/>
      <c r="AP690" s="4"/>
      <c r="AQ690" s="4"/>
      <c r="AR690" s="4"/>
      <c r="AS690" s="76" t="str">
        <f>"COMMENT ON COLUMN "&amp;エンティティ一覧!$O$2&amp;"."&amp;D$8&amp;"."&amp;D690&amp;" IS '"&amp;C690&amp;"';"</f>
        <v>COMMENT ON COLUMN milscm_2023_009.main_diagnosis_start_date.shikkan682_start_date IS 'I693_疾患開始日';</v>
      </c>
    </row>
    <row r="691" spans="1:45" s="25" customFormat="1">
      <c r="A691" s="4" t="s">
        <v>5768</v>
      </c>
      <c r="B691" s="21">
        <f t="shared" si="80"/>
        <v>689</v>
      </c>
      <c r="C691" s="13" t="str">
        <f t="shared" si="88"/>
        <v>I694_疾患開始日</v>
      </c>
      <c r="D691" s="13" t="s">
        <v>6343</v>
      </c>
      <c r="E691" s="8"/>
      <c r="F691" s="7" t="s">
        <v>4348</v>
      </c>
      <c r="G691" s="7" t="s">
        <v>25</v>
      </c>
      <c r="H691" s="58"/>
      <c r="I691" s="23"/>
      <c r="J691" s="24"/>
      <c r="M691" s="4"/>
      <c r="N691" s="76"/>
      <c r="O691" s="76"/>
      <c r="P691" s="76" t="str">
        <f t="shared" si="81"/>
        <v>,shikkan683_start_date</v>
      </c>
      <c r="Q691" s="76" t="str">
        <f t="shared" si="82"/>
        <v>DATE</v>
      </c>
      <c r="R691" s="76" t="str">
        <f t="shared" si="83"/>
        <v/>
      </c>
      <c r="S691" s="76" t="str">
        <f t="shared" si="84"/>
        <v/>
      </c>
      <c r="T691" s="76" t="str">
        <f t="shared" si="85"/>
        <v>-- I694_疾患開始日</v>
      </c>
      <c r="U691" s="4" t="str">
        <f t="shared" si="86"/>
        <v>,'shikkan683_start_date'</v>
      </c>
      <c r="V691" s="25" t="str">
        <f t="shared" si="87"/>
        <v>,'shikkan683_start_date' : 'I694_疾患開始日'</v>
      </c>
      <c r="X691" s="25">
        <v>1</v>
      </c>
      <c r="AA691" s="4"/>
      <c r="AB691" s="4"/>
      <c r="AC691" s="4"/>
      <c r="AD691" s="4"/>
      <c r="AE691" s="4"/>
      <c r="AF691" s="4"/>
      <c r="AG691" s="4"/>
      <c r="AH691" s="4"/>
      <c r="AI691" s="4"/>
      <c r="AJ691" s="76" t="str">
        <f>IF(E691="○",IF(COUNTA(E$13:E691)=1,"",",")&amp;D691,"")</f>
        <v/>
      </c>
      <c r="AK691" s="4"/>
      <c r="AL691" s="4"/>
      <c r="AM691" s="4"/>
      <c r="AN691" s="4"/>
      <c r="AO691" s="4"/>
      <c r="AP691" s="4"/>
      <c r="AQ691" s="4"/>
      <c r="AR691" s="4"/>
      <c r="AS691" s="76" t="str">
        <f>"COMMENT ON COLUMN "&amp;エンティティ一覧!$O$2&amp;"."&amp;D$8&amp;"."&amp;D691&amp;" IS '"&amp;C691&amp;"';"</f>
        <v>COMMENT ON COLUMN milscm_2023_009.main_diagnosis_start_date.shikkan683_start_date IS 'I694_疾患開始日';</v>
      </c>
    </row>
    <row r="692" spans="1:45" s="25" customFormat="1">
      <c r="A692" s="4" t="s">
        <v>5769</v>
      </c>
      <c r="B692" s="21">
        <f t="shared" si="80"/>
        <v>690</v>
      </c>
      <c r="C692" s="13" t="str">
        <f t="shared" si="88"/>
        <v>I698_疾患開始日</v>
      </c>
      <c r="D692" s="13" t="s">
        <v>6344</v>
      </c>
      <c r="E692" s="8"/>
      <c r="F692" s="7" t="s">
        <v>4348</v>
      </c>
      <c r="G692" s="7" t="s">
        <v>25</v>
      </c>
      <c r="H692" s="58"/>
      <c r="I692" s="23"/>
      <c r="J692" s="24"/>
      <c r="M692" s="4"/>
      <c r="N692" s="76"/>
      <c r="O692" s="76"/>
      <c r="P692" s="76" t="str">
        <f t="shared" si="81"/>
        <v>,shikkan684_start_date</v>
      </c>
      <c r="Q692" s="76" t="str">
        <f t="shared" si="82"/>
        <v>DATE</v>
      </c>
      <c r="R692" s="76" t="str">
        <f t="shared" si="83"/>
        <v/>
      </c>
      <c r="S692" s="76" t="str">
        <f t="shared" si="84"/>
        <v/>
      </c>
      <c r="T692" s="76" t="str">
        <f t="shared" si="85"/>
        <v>-- I698_疾患開始日</v>
      </c>
      <c r="U692" s="4" t="str">
        <f t="shared" si="86"/>
        <v>,'shikkan684_start_date'</v>
      </c>
      <c r="V692" s="25" t="str">
        <f t="shared" si="87"/>
        <v>,'shikkan684_start_date' : 'I698_疾患開始日'</v>
      </c>
      <c r="X692" s="25">
        <v>1</v>
      </c>
      <c r="AA692" s="4"/>
      <c r="AB692" s="4"/>
      <c r="AC692" s="4"/>
      <c r="AD692" s="4"/>
      <c r="AE692" s="4"/>
      <c r="AF692" s="4"/>
      <c r="AG692" s="4"/>
      <c r="AH692" s="4"/>
      <c r="AI692" s="4"/>
      <c r="AJ692" s="76" t="str">
        <f>IF(E692="○",IF(COUNTA(E$13:E692)=1,"",",")&amp;D692,"")</f>
        <v/>
      </c>
      <c r="AK692" s="4"/>
      <c r="AL692" s="4"/>
      <c r="AM692" s="4"/>
      <c r="AN692" s="4"/>
      <c r="AO692" s="4"/>
      <c r="AP692" s="4"/>
      <c r="AQ692" s="4"/>
      <c r="AR692" s="4"/>
      <c r="AS692" s="76" t="str">
        <f>"COMMENT ON COLUMN "&amp;エンティティ一覧!$O$2&amp;"."&amp;D$8&amp;"."&amp;D692&amp;" IS '"&amp;C692&amp;"';"</f>
        <v>COMMENT ON COLUMN milscm_2023_009.main_diagnosis_start_date.shikkan684_start_date IS 'I698_疾患開始日';</v>
      </c>
    </row>
    <row r="693" spans="1:45" s="25" customFormat="1">
      <c r="A693" s="4" t="s">
        <v>5770</v>
      </c>
      <c r="B693" s="21">
        <f t="shared" si="80"/>
        <v>691</v>
      </c>
      <c r="C693" s="13" t="str">
        <f t="shared" si="88"/>
        <v>I700_疾患開始日</v>
      </c>
      <c r="D693" s="13" t="s">
        <v>6345</v>
      </c>
      <c r="E693" s="8"/>
      <c r="F693" s="7" t="s">
        <v>4348</v>
      </c>
      <c r="G693" s="7" t="s">
        <v>25</v>
      </c>
      <c r="H693" s="58"/>
      <c r="I693" s="23"/>
      <c r="J693" s="24"/>
      <c r="M693" s="4"/>
      <c r="N693" s="76"/>
      <c r="O693" s="76"/>
      <c r="P693" s="76" t="str">
        <f t="shared" si="81"/>
        <v>,shikkan685_start_date</v>
      </c>
      <c r="Q693" s="76" t="str">
        <f t="shared" si="82"/>
        <v>DATE</v>
      </c>
      <c r="R693" s="76" t="str">
        <f t="shared" si="83"/>
        <v/>
      </c>
      <c r="S693" s="76" t="str">
        <f t="shared" si="84"/>
        <v/>
      </c>
      <c r="T693" s="76" t="str">
        <f t="shared" si="85"/>
        <v>-- I700_疾患開始日</v>
      </c>
      <c r="U693" s="4" t="str">
        <f t="shared" si="86"/>
        <v>,'shikkan685_start_date'</v>
      </c>
      <c r="V693" s="25" t="str">
        <f t="shared" si="87"/>
        <v>,'shikkan685_start_date' : 'I700_疾患開始日'</v>
      </c>
      <c r="X693" s="25">
        <v>1</v>
      </c>
      <c r="AA693" s="4"/>
      <c r="AB693" s="4"/>
      <c r="AC693" s="4"/>
      <c r="AD693" s="4"/>
      <c r="AE693" s="4"/>
      <c r="AF693" s="4"/>
      <c r="AG693" s="4"/>
      <c r="AH693" s="4"/>
      <c r="AI693" s="4"/>
      <c r="AJ693" s="76" t="str">
        <f>IF(E693="○",IF(COUNTA(E$13:E693)=1,"",",")&amp;D693,"")</f>
        <v/>
      </c>
      <c r="AK693" s="4"/>
      <c r="AL693" s="4"/>
      <c r="AM693" s="4"/>
      <c r="AN693" s="4"/>
      <c r="AO693" s="4"/>
      <c r="AP693" s="4"/>
      <c r="AQ693" s="4"/>
      <c r="AR693" s="4"/>
      <c r="AS693" s="76" t="str">
        <f>"COMMENT ON COLUMN "&amp;エンティティ一覧!$O$2&amp;"."&amp;D$8&amp;"."&amp;D693&amp;" IS '"&amp;C693&amp;"';"</f>
        <v>COMMENT ON COLUMN milscm_2023_009.main_diagnosis_start_date.shikkan685_start_date IS 'I700_疾患開始日';</v>
      </c>
    </row>
    <row r="694" spans="1:45" s="25" customFormat="1">
      <c r="A694" s="4" t="s">
        <v>5771</v>
      </c>
      <c r="B694" s="21">
        <f t="shared" si="80"/>
        <v>692</v>
      </c>
      <c r="C694" s="13" t="str">
        <f t="shared" si="88"/>
        <v>I701_疾患開始日</v>
      </c>
      <c r="D694" s="13" t="s">
        <v>6346</v>
      </c>
      <c r="E694" s="8"/>
      <c r="F694" s="7" t="s">
        <v>4348</v>
      </c>
      <c r="G694" s="7" t="s">
        <v>25</v>
      </c>
      <c r="H694" s="58"/>
      <c r="I694" s="23"/>
      <c r="J694" s="24"/>
      <c r="M694" s="4"/>
      <c r="N694" s="76"/>
      <c r="O694" s="76"/>
      <c r="P694" s="76" t="str">
        <f t="shared" si="81"/>
        <v>,shikkan686_start_date</v>
      </c>
      <c r="Q694" s="76" t="str">
        <f t="shared" si="82"/>
        <v>DATE</v>
      </c>
      <c r="R694" s="76" t="str">
        <f t="shared" si="83"/>
        <v/>
      </c>
      <c r="S694" s="76" t="str">
        <f t="shared" si="84"/>
        <v/>
      </c>
      <c r="T694" s="76" t="str">
        <f t="shared" si="85"/>
        <v>-- I701_疾患開始日</v>
      </c>
      <c r="U694" s="4" t="str">
        <f t="shared" si="86"/>
        <v>,'shikkan686_start_date'</v>
      </c>
      <c r="V694" s="25" t="str">
        <f t="shared" si="87"/>
        <v>,'shikkan686_start_date' : 'I701_疾患開始日'</v>
      </c>
      <c r="X694" s="25">
        <v>1</v>
      </c>
      <c r="AA694" s="4"/>
      <c r="AB694" s="4"/>
      <c r="AC694" s="4"/>
      <c r="AD694" s="4"/>
      <c r="AE694" s="4"/>
      <c r="AF694" s="4"/>
      <c r="AG694" s="4"/>
      <c r="AH694" s="4"/>
      <c r="AI694" s="4"/>
      <c r="AJ694" s="76" t="str">
        <f>IF(E694="○",IF(COUNTA(E$13:E694)=1,"",",")&amp;D694,"")</f>
        <v/>
      </c>
      <c r="AK694" s="4"/>
      <c r="AL694" s="4"/>
      <c r="AM694" s="4"/>
      <c r="AN694" s="4"/>
      <c r="AO694" s="4"/>
      <c r="AP694" s="4"/>
      <c r="AQ694" s="4"/>
      <c r="AR694" s="4"/>
      <c r="AS694" s="76" t="str">
        <f>"COMMENT ON COLUMN "&amp;エンティティ一覧!$O$2&amp;"."&amp;D$8&amp;"."&amp;D694&amp;" IS '"&amp;C694&amp;"';"</f>
        <v>COMMENT ON COLUMN milscm_2023_009.main_diagnosis_start_date.shikkan686_start_date IS 'I701_疾患開始日';</v>
      </c>
    </row>
    <row r="695" spans="1:45" s="25" customFormat="1">
      <c r="A695" s="4" t="s">
        <v>5772</v>
      </c>
      <c r="B695" s="21">
        <f t="shared" si="80"/>
        <v>693</v>
      </c>
      <c r="C695" s="13" t="str">
        <f t="shared" si="88"/>
        <v>I702_疾患開始日</v>
      </c>
      <c r="D695" s="13" t="s">
        <v>6347</v>
      </c>
      <c r="E695" s="8"/>
      <c r="F695" s="7" t="s">
        <v>4348</v>
      </c>
      <c r="G695" s="7" t="s">
        <v>99</v>
      </c>
      <c r="H695" s="58"/>
      <c r="I695" s="23"/>
      <c r="J695" s="24"/>
      <c r="M695" s="4"/>
      <c r="N695" s="76"/>
      <c r="O695" s="76"/>
      <c r="P695" s="76" t="str">
        <f t="shared" si="81"/>
        <v>,shikkan687_start_date</v>
      </c>
      <c r="Q695" s="76" t="str">
        <f t="shared" si="82"/>
        <v>DATE</v>
      </c>
      <c r="R695" s="76" t="str">
        <f t="shared" si="83"/>
        <v/>
      </c>
      <c r="S695" s="76" t="str">
        <f t="shared" si="84"/>
        <v/>
      </c>
      <c r="T695" s="76" t="str">
        <f t="shared" si="85"/>
        <v>-- I702_疾患開始日</v>
      </c>
      <c r="U695" s="4" t="str">
        <f t="shared" si="86"/>
        <v>,'shikkan687_start_date'</v>
      </c>
      <c r="V695" s="25" t="str">
        <f t="shared" si="87"/>
        <v>,'shikkan687_start_date' : 'I702_疾患開始日'</v>
      </c>
      <c r="X695" s="25">
        <v>1</v>
      </c>
      <c r="AA695" s="4"/>
      <c r="AB695" s="4"/>
      <c r="AC695" s="4"/>
      <c r="AD695" s="4"/>
      <c r="AE695" s="4"/>
      <c r="AF695" s="4"/>
      <c r="AG695" s="4"/>
      <c r="AH695" s="4"/>
      <c r="AI695" s="4"/>
      <c r="AJ695" s="76" t="str">
        <f>IF(E695="○",IF(COUNTA(E$13:E695)=1,"",",")&amp;D695,"")</f>
        <v/>
      </c>
      <c r="AK695" s="4"/>
      <c r="AL695" s="4"/>
      <c r="AM695" s="4"/>
      <c r="AN695" s="4"/>
      <c r="AO695" s="4"/>
      <c r="AP695" s="4"/>
      <c r="AQ695" s="4"/>
      <c r="AR695" s="4"/>
      <c r="AS695" s="76" t="str">
        <f>"COMMENT ON COLUMN "&amp;エンティティ一覧!$O$2&amp;"."&amp;D$8&amp;"."&amp;D695&amp;" IS '"&amp;C695&amp;"';"</f>
        <v>COMMENT ON COLUMN milscm_2023_009.main_diagnosis_start_date.shikkan687_start_date IS 'I702_疾患開始日';</v>
      </c>
    </row>
    <row r="696" spans="1:45" s="25" customFormat="1">
      <c r="A696" s="4" t="s">
        <v>5773</v>
      </c>
      <c r="B696" s="21">
        <f t="shared" si="80"/>
        <v>694</v>
      </c>
      <c r="C696" s="13" t="str">
        <f t="shared" si="88"/>
        <v>I708_疾患開始日</v>
      </c>
      <c r="D696" s="13" t="s">
        <v>6348</v>
      </c>
      <c r="E696" s="8"/>
      <c r="F696" s="7" t="s">
        <v>4348</v>
      </c>
      <c r="G696" s="7" t="s">
        <v>25</v>
      </c>
      <c r="H696" s="58"/>
      <c r="I696" s="23"/>
      <c r="J696" s="24"/>
      <c r="M696" s="4"/>
      <c r="N696" s="76"/>
      <c r="O696" s="76"/>
      <c r="P696" s="76" t="str">
        <f t="shared" si="81"/>
        <v>,shikkan688_start_date</v>
      </c>
      <c r="Q696" s="76" t="str">
        <f t="shared" si="82"/>
        <v>DATE</v>
      </c>
      <c r="R696" s="76" t="str">
        <f t="shared" si="83"/>
        <v/>
      </c>
      <c r="S696" s="76" t="str">
        <f t="shared" si="84"/>
        <v/>
      </c>
      <c r="T696" s="76" t="str">
        <f t="shared" si="85"/>
        <v>-- I708_疾患開始日</v>
      </c>
      <c r="U696" s="4" t="str">
        <f t="shared" si="86"/>
        <v>,'shikkan688_start_date'</v>
      </c>
      <c r="V696" s="25" t="str">
        <f t="shared" si="87"/>
        <v>,'shikkan688_start_date' : 'I708_疾患開始日'</v>
      </c>
      <c r="X696" s="25">
        <v>1</v>
      </c>
      <c r="AA696" s="4"/>
      <c r="AB696" s="4"/>
      <c r="AC696" s="4"/>
      <c r="AD696" s="4"/>
      <c r="AE696" s="4"/>
      <c r="AF696" s="4"/>
      <c r="AG696" s="4"/>
      <c r="AH696" s="4"/>
      <c r="AI696" s="4"/>
      <c r="AJ696" s="76" t="str">
        <f>IF(E696="○",IF(COUNTA(E$13:E696)=1,"",",")&amp;D696,"")</f>
        <v/>
      </c>
      <c r="AK696" s="4"/>
      <c r="AL696" s="4"/>
      <c r="AM696" s="4"/>
      <c r="AN696" s="4"/>
      <c r="AO696" s="4"/>
      <c r="AP696" s="4"/>
      <c r="AQ696" s="4"/>
      <c r="AR696" s="4"/>
      <c r="AS696" s="76" t="str">
        <f>"COMMENT ON COLUMN "&amp;エンティティ一覧!$O$2&amp;"."&amp;D$8&amp;"."&amp;D696&amp;" IS '"&amp;C696&amp;"';"</f>
        <v>COMMENT ON COLUMN milscm_2023_009.main_diagnosis_start_date.shikkan688_start_date IS 'I708_疾患開始日';</v>
      </c>
    </row>
    <row r="697" spans="1:45" s="25" customFormat="1">
      <c r="A697" s="4" t="s">
        <v>5774</v>
      </c>
      <c r="B697" s="21">
        <f t="shared" si="80"/>
        <v>695</v>
      </c>
      <c r="C697" s="13" t="str">
        <f t="shared" si="88"/>
        <v>I709_疾患開始日</v>
      </c>
      <c r="D697" s="13" t="s">
        <v>6349</v>
      </c>
      <c r="E697" s="8"/>
      <c r="F697" s="7" t="s">
        <v>4348</v>
      </c>
      <c r="G697" s="7" t="s">
        <v>25</v>
      </c>
      <c r="H697" s="58"/>
      <c r="I697" s="23"/>
      <c r="J697" s="24"/>
      <c r="M697" s="4"/>
      <c r="N697" s="76"/>
      <c r="O697" s="76"/>
      <c r="P697" s="76" t="str">
        <f t="shared" si="81"/>
        <v>,shikkan689_start_date</v>
      </c>
      <c r="Q697" s="76" t="str">
        <f t="shared" si="82"/>
        <v>DATE</v>
      </c>
      <c r="R697" s="76" t="str">
        <f t="shared" si="83"/>
        <v/>
      </c>
      <c r="S697" s="76" t="str">
        <f t="shared" si="84"/>
        <v/>
      </c>
      <c r="T697" s="76" t="str">
        <f t="shared" si="85"/>
        <v>-- I709_疾患開始日</v>
      </c>
      <c r="U697" s="4" t="str">
        <f t="shared" si="86"/>
        <v>,'shikkan689_start_date'</v>
      </c>
      <c r="V697" s="25" t="str">
        <f t="shared" si="87"/>
        <v>,'shikkan689_start_date' : 'I709_疾患開始日'</v>
      </c>
      <c r="X697" s="25">
        <v>1</v>
      </c>
      <c r="AA697" s="4"/>
      <c r="AB697" s="4"/>
      <c r="AC697" s="4"/>
      <c r="AD697" s="4"/>
      <c r="AE697" s="4"/>
      <c r="AF697" s="4"/>
      <c r="AG697" s="4"/>
      <c r="AH697" s="4"/>
      <c r="AI697" s="4"/>
      <c r="AJ697" s="76" t="str">
        <f>IF(E697="○",IF(COUNTA(E$13:E697)=1,"",",")&amp;D697,"")</f>
        <v/>
      </c>
      <c r="AK697" s="4"/>
      <c r="AL697" s="4"/>
      <c r="AM697" s="4"/>
      <c r="AN697" s="4"/>
      <c r="AO697" s="4"/>
      <c r="AP697" s="4"/>
      <c r="AQ697" s="4"/>
      <c r="AR697" s="4"/>
      <c r="AS697" s="76" t="str">
        <f>"COMMENT ON COLUMN "&amp;エンティティ一覧!$O$2&amp;"."&amp;D$8&amp;"."&amp;D697&amp;" IS '"&amp;C697&amp;"';"</f>
        <v>COMMENT ON COLUMN milscm_2023_009.main_diagnosis_start_date.shikkan689_start_date IS 'I709_疾患開始日';</v>
      </c>
    </row>
    <row r="698" spans="1:45" s="25" customFormat="1">
      <c r="A698" s="4" t="s">
        <v>5775</v>
      </c>
      <c r="B698" s="21">
        <f t="shared" si="80"/>
        <v>696</v>
      </c>
      <c r="C698" s="13" t="str">
        <f t="shared" si="88"/>
        <v>I710_疾患開始日</v>
      </c>
      <c r="D698" s="13" t="s">
        <v>6350</v>
      </c>
      <c r="E698" s="8"/>
      <c r="F698" s="7" t="s">
        <v>4348</v>
      </c>
      <c r="G698" s="7" t="s">
        <v>25</v>
      </c>
      <c r="H698" s="58"/>
      <c r="I698" s="23"/>
      <c r="J698" s="24"/>
      <c r="M698" s="4"/>
      <c r="N698" s="76"/>
      <c r="O698" s="76"/>
      <c r="P698" s="76" t="str">
        <f t="shared" si="81"/>
        <v>,shikkan690_start_date</v>
      </c>
      <c r="Q698" s="76" t="str">
        <f t="shared" si="82"/>
        <v>DATE</v>
      </c>
      <c r="R698" s="76" t="str">
        <f t="shared" si="83"/>
        <v/>
      </c>
      <c r="S698" s="76" t="str">
        <f t="shared" si="84"/>
        <v/>
      </c>
      <c r="T698" s="76" t="str">
        <f t="shared" si="85"/>
        <v>-- I710_疾患開始日</v>
      </c>
      <c r="U698" s="4" t="str">
        <f t="shared" si="86"/>
        <v>,'shikkan690_start_date'</v>
      </c>
      <c r="V698" s="25" t="str">
        <f t="shared" si="87"/>
        <v>,'shikkan690_start_date' : 'I710_疾患開始日'</v>
      </c>
      <c r="X698" s="25">
        <v>1</v>
      </c>
      <c r="AA698" s="4"/>
      <c r="AB698" s="4"/>
      <c r="AC698" s="4"/>
      <c r="AD698" s="4"/>
      <c r="AE698" s="4"/>
      <c r="AF698" s="4"/>
      <c r="AG698" s="4"/>
      <c r="AH698" s="4"/>
      <c r="AI698" s="4"/>
      <c r="AJ698" s="76" t="str">
        <f>IF(E698="○",IF(COUNTA(E$13:E698)=1,"",",")&amp;D698,"")</f>
        <v/>
      </c>
      <c r="AK698" s="4"/>
      <c r="AL698" s="4"/>
      <c r="AM698" s="4"/>
      <c r="AN698" s="4"/>
      <c r="AO698" s="4"/>
      <c r="AP698" s="4"/>
      <c r="AQ698" s="4"/>
      <c r="AR698" s="4"/>
      <c r="AS698" s="76" t="str">
        <f>"COMMENT ON COLUMN "&amp;エンティティ一覧!$O$2&amp;"."&amp;D$8&amp;"."&amp;D698&amp;" IS '"&amp;C698&amp;"';"</f>
        <v>COMMENT ON COLUMN milscm_2023_009.main_diagnosis_start_date.shikkan690_start_date IS 'I710_疾患開始日';</v>
      </c>
    </row>
    <row r="699" spans="1:45" s="25" customFormat="1">
      <c r="A699" s="4" t="s">
        <v>5776</v>
      </c>
      <c r="B699" s="21">
        <f t="shared" si="80"/>
        <v>697</v>
      </c>
      <c r="C699" s="13" t="str">
        <f t="shared" si="88"/>
        <v>I711_疾患開始日</v>
      </c>
      <c r="D699" s="13" t="s">
        <v>6351</v>
      </c>
      <c r="E699" s="8"/>
      <c r="F699" s="7" t="s">
        <v>4348</v>
      </c>
      <c r="G699" s="7" t="s">
        <v>25</v>
      </c>
      <c r="H699" s="58"/>
      <c r="I699" s="23"/>
      <c r="J699" s="24"/>
      <c r="M699" s="4"/>
      <c r="N699" s="76"/>
      <c r="O699" s="76"/>
      <c r="P699" s="76" t="str">
        <f t="shared" si="81"/>
        <v>,shikkan691_start_date</v>
      </c>
      <c r="Q699" s="76" t="str">
        <f t="shared" si="82"/>
        <v>DATE</v>
      </c>
      <c r="R699" s="76" t="str">
        <f t="shared" si="83"/>
        <v/>
      </c>
      <c r="S699" s="76" t="str">
        <f t="shared" si="84"/>
        <v/>
      </c>
      <c r="T699" s="76" t="str">
        <f t="shared" si="85"/>
        <v>-- I711_疾患開始日</v>
      </c>
      <c r="U699" s="4" t="str">
        <f t="shared" si="86"/>
        <v>,'shikkan691_start_date'</v>
      </c>
      <c r="V699" s="25" t="str">
        <f t="shared" si="87"/>
        <v>,'shikkan691_start_date' : 'I711_疾患開始日'</v>
      </c>
      <c r="X699" s="25">
        <v>1</v>
      </c>
      <c r="AA699" s="4"/>
      <c r="AB699" s="4"/>
      <c r="AC699" s="4"/>
      <c r="AD699" s="4"/>
      <c r="AE699" s="4"/>
      <c r="AF699" s="4"/>
      <c r="AG699" s="4"/>
      <c r="AH699" s="4"/>
      <c r="AI699" s="4"/>
      <c r="AJ699" s="76" t="str">
        <f>IF(E699="○",IF(COUNTA(E$13:E699)=1,"",",")&amp;D699,"")</f>
        <v/>
      </c>
      <c r="AK699" s="4"/>
      <c r="AL699" s="4"/>
      <c r="AM699" s="4"/>
      <c r="AN699" s="4"/>
      <c r="AO699" s="4"/>
      <c r="AP699" s="4"/>
      <c r="AQ699" s="4"/>
      <c r="AR699" s="4"/>
      <c r="AS699" s="76" t="str">
        <f>"COMMENT ON COLUMN "&amp;エンティティ一覧!$O$2&amp;"."&amp;D$8&amp;"."&amp;D699&amp;" IS '"&amp;C699&amp;"';"</f>
        <v>COMMENT ON COLUMN milscm_2023_009.main_diagnosis_start_date.shikkan691_start_date IS 'I711_疾患開始日';</v>
      </c>
    </row>
    <row r="700" spans="1:45" s="25" customFormat="1">
      <c r="A700" s="4" t="s">
        <v>5777</v>
      </c>
      <c r="B700" s="21">
        <f t="shared" si="80"/>
        <v>698</v>
      </c>
      <c r="C700" s="13" t="str">
        <f t="shared" si="88"/>
        <v>I712_疾患開始日</v>
      </c>
      <c r="D700" s="13" t="s">
        <v>6352</v>
      </c>
      <c r="E700" s="8"/>
      <c r="F700" s="7" t="s">
        <v>4348</v>
      </c>
      <c r="G700" s="7" t="s">
        <v>25</v>
      </c>
      <c r="H700" s="58"/>
      <c r="I700" s="23"/>
      <c r="J700" s="24"/>
      <c r="M700" s="4"/>
      <c r="N700" s="76"/>
      <c r="O700" s="76"/>
      <c r="P700" s="76" t="str">
        <f t="shared" si="81"/>
        <v>,shikkan692_start_date</v>
      </c>
      <c r="Q700" s="76" t="str">
        <f t="shared" si="82"/>
        <v>DATE</v>
      </c>
      <c r="R700" s="76" t="str">
        <f t="shared" si="83"/>
        <v/>
      </c>
      <c r="S700" s="76" t="str">
        <f t="shared" si="84"/>
        <v/>
      </c>
      <c r="T700" s="76" t="str">
        <f t="shared" si="85"/>
        <v>-- I712_疾患開始日</v>
      </c>
      <c r="U700" s="4" t="str">
        <f t="shared" si="86"/>
        <v>,'shikkan692_start_date'</v>
      </c>
      <c r="V700" s="25" t="str">
        <f t="shared" si="87"/>
        <v>,'shikkan692_start_date' : 'I712_疾患開始日'</v>
      </c>
      <c r="X700" s="25">
        <v>1</v>
      </c>
      <c r="AA700" s="4"/>
      <c r="AB700" s="4"/>
      <c r="AC700" s="4"/>
      <c r="AD700" s="4"/>
      <c r="AE700" s="4"/>
      <c r="AF700" s="4"/>
      <c r="AG700" s="4"/>
      <c r="AH700" s="4"/>
      <c r="AI700" s="4"/>
      <c r="AJ700" s="76" t="str">
        <f>IF(E700="○",IF(COUNTA(E$13:E700)=1,"",",")&amp;D700,"")</f>
        <v/>
      </c>
      <c r="AK700" s="4"/>
      <c r="AL700" s="4"/>
      <c r="AM700" s="4"/>
      <c r="AN700" s="4"/>
      <c r="AO700" s="4"/>
      <c r="AP700" s="4"/>
      <c r="AQ700" s="4"/>
      <c r="AR700" s="4"/>
      <c r="AS700" s="76" t="str">
        <f>"COMMENT ON COLUMN "&amp;エンティティ一覧!$O$2&amp;"."&amp;D$8&amp;"."&amp;D700&amp;" IS '"&amp;C700&amp;"';"</f>
        <v>COMMENT ON COLUMN milscm_2023_009.main_diagnosis_start_date.shikkan692_start_date IS 'I712_疾患開始日';</v>
      </c>
    </row>
    <row r="701" spans="1:45" s="25" customFormat="1">
      <c r="A701" s="4" t="s">
        <v>5778</v>
      </c>
      <c r="B701" s="21">
        <f t="shared" si="80"/>
        <v>699</v>
      </c>
      <c r="C701" s="13" t="str">
        <f t="shared" si="88"/>
        <v>I713_疾患開始日</v>
      </c>
      <c r="D701" s="13" t="s">
        <v>6353</v>
      </c>
      <c r="E701" s="8"/>
      <c r="F701" s="7" t="s">
        <v>4348</v>
      </c>
      <c r="G701" s="7" t="s">
        <v>25</v>
      </c>
      <c r="H701" s="58"/>
      <c r="I701" s="23"/>
      <c r="J701" s="24"/>
      <c r="M701" s="4"/>
      <c r="N701" s="76"/>
      <c r="O701" s="76"/>
      <c r="P701" s="76" t="str">
        <f t="shared" si="81"/>
        <v>,shikkan693_start_date</v>
      </c>
      <c r="Q701" s="76" t="str">
        <f t="shared" si="82"/>
        <v>DATE</v>
      </c>
      <c r="R701" s="76" t="str">
        <f t="shared" si="83"/>
        <v/>
      </c>
      <c r="S701" s="76" t="str">
        <f t="shared" si="84"/>
        <v/>
      </c>
      <c r="T701" s="76" t="str">
        <f t="shared" si="85"/>
        <v>-- I713_疾患開始日</v>
      </c>
      <c r="U701" s="4" t="str">
        <f t="shared" si="86"/>
        <v>,'shikkan693_start_date'</v>
      </c>
      <c r="V701" s="25" t="str">
        <f t="shared" si="87"/>
        <v>,'shikkan693_start_date' : 'I713_疾患開始日'</v>
      </c>
      <c r="X701" s="25">
        <v>1</v>
      </c>
      <c r="AA701" s="4"/>
      <c r="AB701" s="4"/>
      <c r="AC701" s="4"/>
      <c r="AD701" s="4"/>
      <c r="AE701" s="4"/>
      <c r="AF701" s="4"/>
      <c r="AG701" s="4"/>
      <c r="AH701" s="4"/>
      <c r="AI701" s="4"/>
      <c r="AJ701" s="76" t="str">
        <f>IF(E701="○",IF(COUNTA(E$13:E701)=1,"",",")&amp;D701,"")</f>
        <v/>
      </c>
      <c r="AK701" s="4"/>
      <c r="AL701" s="4"/>
      <c r="AM701" s="4"/>
      <c r="AN701" s="4"/>
      <c r="AO701" s="4"/>
      <c r="AP701" s="4"/>
      <c r="AQ701" s="4"/>
      <c r="AR701" s="4"/>
      <c r="AS701" s="76" t="str">
        <f>"COMMENT ON COLUMN "&amp;エンティティ一覧!$O$2&amp;"."&amp;D$8&amp;"."&amp;D701&amp;" IS '"&amp;C701&amp;"';"</f>
        <v>COMMENT ON COLUMN milscm_2023_009.main_diagnosis_start_date.shikkan693_start_date IS 'I713_疾患開始日';</v>
      </c>
    </row>
    <row r="702" spans="1:45" s="25" customFormat="1">
      <c r="A702" s="4" t="s">
        <v>5779</v>
      </c>
      <c r="B702" s="21">
        <f t="shared" si="80"/>
        <v>700</v>
      </c>
      <c r="C702" s="13" t="str">
        <f t="shared" si="88"/>
        <v>I714_疾患開始日</v>
      </c>
      <c r="D702" s="13" t="s">
        <v>6354</v>
      </c>
      <c r="E702" s="8"/>
      <c r="F702" s="7" t="s">
        <v>4348</v>
      </c>
      <c r="G702" s="7" t="s">
        <v>25</v>
      </c>
      <c r="H702" s="58"/>
      <c r="I702" s="23"/>
      <c r="J702" s="24"/>
      <c r="M702" s="4"/>
      <c r="N702" s="76"/>
      <c r="O702" s="76"/>
      <c r="P702" s="76" t="str">
        <f t="shared" si="81"/>
        <v>,shikkan694_start_date</v>
      </c>
      <c r="Q702" s="76" t="str">
        <f t="shared" si="82"/>
        <v>DATE</v>
      </c>
      <c r="R702" s="76" t="str">
        <f t="shared" si="83"/>
        <v/>
      </c>
      <c r="S702" s="76" t="str">
        <f t="shared" si="84"/>
        <v/>
      </c>
      <c r="T702" s="76" t="str">
        <f t="shared" si="85"/>
        <v>-- I714_疾患開始日</v>
      </c>
      <c r="U702" s="4" t="str">
        <f t="shared" si="86"/>
        <v>,'shikkan694_start_date'</v>
      </c>
      <c r="V702" s="25" t="str">
        <f t="shared" si="87"/>
        <v>,'shikkan694_start_date' : 'I714_疾患開始日'</v>
      </c>
      <c r="X702" s="25">
        <v>1</v>
      </c>
      <c r="AA702" s="4"/>
      <c r="AB702" s="4"/>
      <c r="AC702" s="4"/>
      <c r="AD702" s="4"/>
      <c r="AE702" s="4"/>
      <c r="AF702" s="4"/>
      <c r="AG702" s="4"/>
      <c r="AH702" s="4"/>
      <c r="AI702" s="4"/>
      <c r="AJ702" s="76" t="str">
        <f>IF(E702="○",IF(COUNTA(E$13:E702)=1,"",",")&amp;D702,"")</f>
        <v/>
      </c>
      <c r="AK702" s="4"/>
      <c r="AL702" s="4"/>
      <c r="AM702" s="4"/>
      <c r="AN702" s="4"/>
      <c r="AO702" s="4"/>
      <c r="AP702" s="4"/>
      <c r="AQ702" s="4"/>
      <c r="AR702" s="4"/>
      <c r="AS702" s="76" t="str">
        <f>"COMMENT ON COLUMN "&amp;エンティティ一覧!$O$2&amp;"."&amp;D$8&amp;"."&amp;D702&amp;" IS '"&amp;C702&amp;"';"</f>
        <v>COMMENT ON COLUMN milscm_2023_009.main_diagnosis_start_date.shikkan694_start_date IS 'I714_疾患開始日';</v>
      </c>
    </row>
    <row r="703" spans="1:45" s="25" customFormat="1">
      <c r="A703" s="4" t="s">
        <v>5780</v>
      </c>
      <c r="B703" s="21">
        <f t="shared" si="80"/>
        <v>701</v>
      </c>
      <c r="C703" s="13" t="str">
        <f t="shared" si="88"/>
        <v>I715_疾患開始日</v>
      </c>
      <c r="D703" s="13" t="s">
        <v>6355</v>
      </c>
      <c r="E703" s="8"/>
      <c r="F703" s="7" t="s">
        <v>4348</v>
      </c>
      <c r="G703" s="7" t="s">
        <v>25</v>
      </c>
      <c r="H703" s="58"/>
      <c r="I703" s="23"/>
      <c r="J703" s="24"/>
      <c r="M703" s="4"/>
      <c r="N703" s="76"/>
      <c r="O703" s="76"/>
      <c r="P703" s="76" t="str">
        <f t="shared" si="81"/>
        <v>,shikkan695_start_date</v>
      </c>
      <c r="Q703" s="76" t="str">
        <f t="shared" si="82"/>
        <v>DATE</v>
      </c>
      <c r="R703" s="76" t="str">
        <f t="shared" si="83"/>
        <v/>
      </c>
      <c r="S703" s="76" t="str">
        <f t="shared" si="84"/>
        <v/>
      </c>
      <c r="T703" s="76" t="str">
        <f t="shared" si="85"/>
        <v>-- I715_疾患開始日</v>
      </c>
      <c r="U703" s="4" t="str">
        <f t="shared" si="86"/>
        <v>,'shikkan695_start_date'</v>
      </c>
      <c r="V703" s="25" t="str">
        <f t="shared" si="87"/>
        <v>,'shikkan695_start_date' : 'I715_疾患開始日'</v>
      </c>
      <c r="X703" s="25">
        <v>1</v>
      </c>
      <c r="AA703" s="4"/>
      <c r="AB703" s="4"/>
      <c r="AC703" s="4"/>
      <c r="AD703" s="4"/>
      <c r="AE703" s="4"/>
      <c r="AF703" s="4"/>
      <c r="AG703" s="4"/>
      <c r="AH703" s="4"/>
      <c r="AI703" s="4"/>
      <c r="AJ703" s="76" t="str">
        <f>IF(E703="○",IF(COUNTA(E$13:E703)=1,"",",")&amp;D703,"")</f>
        <v/>
      </c>
      <c r="AK703" s="4"/>
      <c r="AL703" s="4"/>
      <c r="AM703" s="4"/>
      <c r="AN703" s="4"/>
      <c r="AO703" s="4"/>
      <c r="AP703" s="4"/>
      <c r="AQ703" s="4"/>
      <c r="AR703" s="4"/>
      <c r="AS703" s="76" t="str">
        <f>"COMMENT ON COLUMN "&amp;エンティティ一覧!$O$2&amp;"."&amp;D$8&amp;"."&amp;D703&amp;" IS '"&amp;C703&amp;"';"</f>
        <v>COMMENT ON COLUMN milscm_2023_009.main_diagnosis_start_date.shikkan695_start_date IS 'I715_疾患開始日';</v>
      </c>
    </row>
    <row r="704" spans="1:45" s="25" customFormat="1">
      <c r="A704" s="4" t="s">
        <v>5781</v>
      </c>
      <c r="B704" s="21">
        <f t="shared" si="80"/>
        <v>702</v>
      </c>
      <c r="C704" s="13" t="str">
        <f t="shared" si="88"/>
        <v>I716_疾患開始日</v>
      </c>
      <c r="D704" s="13" t="s">
        <v>6356</v>
      </c>
      <c r="E704" s="8"/>
      <c r="F704" s="7" t="s">
        <v>4348</v>
      </c>
      <c r="G704" s="7" t="s">
        <v>25</v>
      </c>
      <c r="H704" s="58"/>
      <c r="I704" s="23"/>
      <c r="J704" s="24"/>
      <c r="M704" s="4"/>
      <c r="N704" s="76"/>
      <c r="O704" s="76"/>
      <c r="P704" s="76" t="str">
        <f t="shared" si="81"/>
        <v>,shikkan696_start_date</v>
      </c>
      <c r="Q704" s="76" t="str">
        <f t="shared" si="82"/>
        <v>DATE</v>
      </c>
      <c r="R704" s="76" t="str">
        <f t="shared" si="83"/>
        <v/>
      </c>
      <c r="S704" s="76" t="str">
        <f t="shared" si="84"/>
        <v/>
      </c>
      <c r="T704" s="76" t="str">
        <f t="shared" si="85"/>
        <v>-- I716_疾患開始日</v>
      </c>
      <c r="U704" s="4" t="str">
        <f t="shared" si="86"/>
        <v>,'shikkan696_start_date'</v>
      </c>
      <c r="V704" s="25" t="str">
        <f t="shared" si="87"/>
        <v>,'shikkan696_start_date' : 'I716_疾患開始日'</v>
      </c>
      <c r="X704" s="25">
        <v>1</v>
      </c>
      <c r="AA704" s="4"/>
      <c r="AB704" s="4"/>
      <c r="AC704" s="4"/>
      <c r="AD704" s="4"/>
      <c r="AE704" s="4"/>
      <c r="AF704" s="4"/>
      <c r="AG704" s="4"/>
      <c r="AH704" s="4"/>
      <c r="AI704" s="4"/>
      <c r="AJ704" s="76" t="str">
        <f>IF(E704="○",IF(COUNTA(E$13:E704)=1,"",",")&amp;D704,"")</f>
        <v/>
      </c>
      <c r="AK704" s="4"/>
      <c r="AL704" s="4"/>
      <c r="AM704" s="4"/>
      <c r="AN704" s="4"/>
      <c r="AO704" s="4"/>
      <c r="AP704" s="4"/>
      <c r="AQ704" s="4"/>
      <c r="AR704" s="4"/>
      <c r="AS704" s="76" t="str">
        <f>"COMMENT ON COLUMN "&amp;エンティティ一覧!$O$2&amp;"."&amp;D$8&amp;"."&amp;D704&amp;" IS '"&amp;C704&amp;"';"</f>
        <v>COMMENT ON COLUMN milscm_2023_009.main_diagnosis_start_date.shikkan696_start_date IS 'I716_疾患開始日';</v>
      </c>
    </row>
    <row r="705" spans="1:45" s="25" customFormat="1">
      <c r="A705" s="4" t="s">
        <v>5782</v>
      </c>
      <c r="B705" s="21">
        <f t="shared" si="80"/>
        <v>703</v>
      </c>
      <c r="C705" s="13" t="str">
        <f t="shared" si="88"/>
        <v>I718_疾患開始日</v>
      </c>
      <c r="D705" s="13" t="s">
        <v>6357</v>
      </c>
      <c r="E705" s="8"/>
      <c r="F705" s="7" t="s">
        <v>4348</v>
      </c>
      <c r="G705" s="7" t="s">
        <v>25</v>
      </c>
      <c r="H705" s="58"/>
      <c r="I705" s="23"/>
      <c r="J705" s="24"/>
      <c r="M705" s="4"/>
      <c r="N705" s="76"/>
      <c r="O705" s="76"/>
      <c r="P705" s="76" t="str">
        <f t="shared" si="81"/>
        <v>,shikkan697_start_date</v>
      </c>
      <c r="Q705" s="76" t="str">
        <f t="shared" si="82"/>
        <v>DATE</v>
      </c>
      <c r="R705" s="76" t="str">
        <f t="shared" si="83"/>
        <v/>
      </c>
      <c r="S705" s="76" t="str">
        <f t="shared" si="84"/>
        <v/>
      </c>
      <c r="T705" s="76" t="str">
        <f t="shared" si="85"/>
        <v>-- I718_疾患開始日</v>
      </c>
      <c r="U705" s="4" t="str">
        <f t="shared" si="86"/>
        <v>,'shikkan697_start_date'</v>
      </c>
      <c r="V705" s="25" t="str">
        <f t="shared" si="87"/>
        <v>,'shikkan697_start_date' : 'I718_疾患開始日'</v>
      </c>
      <c r="X705" s="25">
        <v>1</v>
      </c>
      <c r="AA705" s="4"/>
      <c r="AB705" s="4"/>
      <c r="AC705" s="4"/>
      <c r="AD705" s="4"/>
      <c r="AE705" s="4"/>
      <c r="AF705" s="4"/>
      <c r="AG705" s="4"/>
      <c r="AH705" s="4"/>
      <c r="AI705" s="4"/>
      <c r="AJ705" s="76" t="str">
        <f>IF(E705="○",IF(COUNTA(E$13:E705)=1,"",",")&amp;D705,"")</f>
        <v/>
      </c>
      <c r="AK705" s="4"/>
      <c r="AL705" s="4"/>
      <c r="AM705" s="4"/>
      <c r="AN705" s="4"/>
      <c r="AO705" s="4"/>
      <c r="AP705" s="4"/>
      <c r="AQ705" s="4"/>
      <c r="AR705" s="4"/>
      <c r="AS705" s="76" t="str">
        <f>"COMMENT ON COLUMN "&amp;エンティティ一覧!$O$2&amp;"."&amp;D$8&amp;"."&amp;D705&amp;" IS '"&amp;C705&amp;"';"</f>
        <v>COMMENT ON COLUMN milscm_2023_009.main_diagnosis_start_date.shikkan697_start_date IS 'I718_疾患開始日';</v>
      </c>
    </row>
    <row r="706" spans="1:45" s="25" customFormat="1">
      <c r="A706" s="4" t="s">
        <v>5783</v>
      </c>
      <c r="B706" s="21">
        <f t="shared" si="80"/>
        <v>704</v>
      </c>
      <c r="C706" s="13" t="str">
        <f t="shared" si="88"/>
        <v>I719_疾患開始日</v>
      </c>
      <c r="D706" s="13" t="s">
        <v>6358</v>
      </c>
      <c r="E706" s="8"/>
      <c r="F706" s="7" t="s">
        <v>4348</v>
      </c>
      <c r="G706" s="7" t="s">
        <v>25</v>
      </c>
      <c r="H706" s="58"/>
      <c r="I706" s="23"/>
      <c r="J706" s="24"/>
      <c r="M706" s="4"/>
      <c r="N706" s="76"/>
      <c r="O706" s="76"/>
      <c r="P706" s="76" t="str">
        <f t="shared" si="81"/>
        <v>,shikkan698_start_date</v>
      </c>
      <c r="Q706" s="76" t="str">
        <f t="shared" si="82"/>
        <v>DATE</v>
      </c>
      <c r="R706" s="76" t="str">
        <f t="shared" si="83"/>
        <v/>
      </c>
      <c r="S706" s="76" t="str">
        <f t="shared" si="84"/>
        <v/>
      </c>
      <c r="T706" s="76" t="str">
        <f t="shared" si="85"/>
        <v>-- I719_疾患開始日</v>
      </c>
      <c r="U706" s="4" t="str">
        <f t="shared" si="86"/>
        <v>,'shikkan698_start_date'</v>
      </c>
      <c r="V706" s="25" t="str">
        <f t="shared" si="87"/>
        <v>,'shikkan698_start_date' : 'I719_疾患開始日'</v>
      </c>
      <c r="X706" s="25">
        <v>1</v>
      </c>
      <c r="AA706" s="4"/>
      <c r="AB706" s="4"/>
      <c r="AC706" s="4"/>
      <c r="AD706" s="4"/>
      <c r="AE706" s="4"/>
      <c r="AF706" s="4"/>
      <c r="AG706" s="4"/>
      <c r="AH706" s="4"/>
      <c r="AI706" s="4"/>
      <c r="AJ706" s="76" t="str">
        <f>IF(E706="○",IF(COUNTA(E$13:E706)=1,"",",")&amp;D706,"")</f>
        <v/>
      </c>
      <c r="AK706" s="4"/>
      <c r="AL706" s="4"/>
      <c r="AM706" s="4"/>
      <c r="AN706" s="4"/>
      <c r="AO706" s="4"/>
      <c r="AP706" s="4"/>
      <c r="AQ706" s="4"/>
      <c r="AR706" s="4"/>
      <c r="AS706" s="76" t="str">
        <f>"COMMENT ON COLUMN "&amp;エンティティ一覧!$O$2&amp;"."&amp;D$8&amp;"."&amp;D706&amp;" IS '"&amp;C706&amp;"';"</f>
        <v>COMMENT ON COLUMN milscm_2023_009.main_diagnosis_start_date.shikkan698_start_date IS 'I719_疾患開始日';</v>
      </c>
    </row>
    <row r="707" spans="1:45" s="25" customFormat="1">
      <c r="A707" s="4" t="s">
        <v>5784</v>
      </c>
      <c r="B707" s="21">
        <f t="shared" si="80"/>
        <v>705</v>
      </c>
      <c r="C707" s="13" t="str">
        <f t="shared" si="88"/>
        <v>I731_疾患開始日</v>
      </c>
      <c r="D707" s="13" t="s">
        <v>6359</v>
      </c>
      <c r="E707" s="8"/>
      <c r="F707" s="7" t="s">
        <v>4348</v>
      </c>
      <c r="G707" s="7" t="s">
        <v>25</v>
      </c>
      <c r="H707" s="58"/>
      <c r="I707" s="23"/>
      <c r="J707" s="24"/>
      <c r="M707" s="4"/>
      <c r="N707" s="76"/>
      <c r="O707" s="76"/>
      <c r="P707" s="76" t="str">
        <f t="shared" si="81"/>
        <v>,shikkan699_start_date</v>
      </c>
      <c r="Q707" s="76" t="str">
        <f t="shared" si="82"/>
        <v>DATE</v>
      </c>
      <c r="R707" s="76" t="str">
        <f t="shared" si="83"/>
        <v/>
      </c>
      <c r="S707" s="76" t="str">
        <f t="shared" si="84"/>
        <v/>
      </c>
      <c r="T707" s="76" t="str">
        <f t="shared" si="85"/>
        <v>-- I731_疾患開始日</v>
      </c>
      <c r="U707" s="4" t="str">
        <f t="shared" si="86"/>
        <v>,'shikkan699_start_date'</v>
      </c>
      <c r="V707" s="25" t="str">
        <f t="shared" si="87"/>
        <v>,'shikkan699_start_date' : 'I731_疾患開始日'</v>
      </c>
      <c r="X707" s="25">
        <v>1</v>
      </c>
      <c r="AA707" s="4"/>
      <c r="AB707" s="4"/>
      <c r="AC707" s="4"/>
      <c r="AD707" s="4"/>
      <c r="AE707" s="4"/>
      <c r="AF707" s="4"/>
      <c r="AG707" s="4"/>
      <c r="AH707" s="4"/>
      <c r="AI707" s="4"/>
      <c r="AJ707" s="76" t="str">
        <f>IF(E707="○",IF(COUNTA(E$13:E707)=1,"",",")&amp;D707,"")</f>
        <v/>
      </c>
      <c r="AK707" s="4"/>
      <c r="AL707" s="4"/>
      <c r="AM707" s="4"/>
      <c r="AN707" s="4"/>
      <c r="AO707" s="4"/>
      <c r="AP707" s="4"/>
      <c r="AQ707" s="4"/>
      <c r="AR707" s="4"/>
      <c r="AS707" s="76" t="str">
        <f>"COMMENT ON COLUMN "&amp;エンティティ一覧!$O$2&amp;"."&amp;D$8&amp;"."&amp;D707&amp;" IS '"&amp;C707&amp;"';"</f>
        <v>COMMENT ON COLUMN milscm_2023_009.main_diagnosis_start_date.shikkan699_start_date IS 'I731_疾患開始日';</v>
      </c>
    </row>
    <row r="708" spans="1:45" s="25" customFormat="1">
      <c r="A708" s="4" t="s">
        <v>5785</v>
      </c>
      <c r="B708" s="21">
        <f t="shared" ref="B708:B771" si="89">ROW()-2</f>
        <v>706</v>
      </c>
      <c r="C708" s="13" t="str">
        <f t="shared" si="88"/>
        <v>I738_疾患開始日</v>
      </c>
      <c r="D708" s="13" t="s">
        <v>6360</v>
      </c>
      <c r="E708" s="8"/>
      <c r="F708" s="7" t="s">
        <v>4348</v>
      </c>
      <c r="G708" s="7" t="s">
        <v>25</v>
      </c>
      <c r="H708" s="58"/>
      <c r="I708" s="23"/>
      <c r="J708" s="24"/>
      <c r="M708" s="4"/>
      <c r="N708" s="76"/>
      <c r="O708" s="76"/>
      <c r="P708" s="76" t="str">
        <f t="shared" si="81"/>
        <v>,shikkan700_start_date</v>
      </c>
      <c r="Q708" s="76" t="str">
        <f t="shared" si="82"/>
        <v>DATE</v>
      </c>
      <c r="R708" s="76" t="str">
        <f t="shared" si="83"/>
        <v/>
      </c>
      <c r="S708" s="76" t="str">
        <f t="shared" si="84"/>
        <v/>
      </c>
      <c r="T708" s="76" t="str">
        <f t="shared" si="85"/>
        <v>-- I738_疾患開始日</v>
      </c>
      <c r="U708" s="4" t="str">
        <f t="shared" si="86"/>
        <v>,'shikkan700_start_date'</v>
      </c>
      <c r="V708" s="25" t="str">
        <f t="shared" si="87"/>
        <v>,'shikkan700_start_date' : 'I738_疾患開始日'</v>
      </c>
      <c r="X708" s="25">
        <v>1</v>
      </c>
      <c r="AA708" s="4"/>
      <c r="AB708" s="4"/>
      <c r="AC708" s="4"/>
      <c r="AD708" s="4"/>
      <c r="AE708" s="4"/>
      <c r="AF708" s="4"/>
      <c r="AG708" s="4"/>
      <c r="AH708" s="4"/>
      <c r="AI708" s="4"/>
      <c r="AJ708" s="76" t="str">
        <f>IF(E708="○",IF(COUNTA(E$13:E708)=1,"",",")&amp;D708,"")</f>
        <v/>
      </c>
      <c r="AK708" s="4"/>
      <c r="AL708" s="4"/>
      <c r="AM708" s="4"/>
      <c r="AN708" s="4"/>
      <c r="AO708" s="4"/>
      <c r="AP708" s="4"/>
      <c r="AQ708" s="4"/>
      <c r="AR708" s="4"/>
      <c r="AS708" s="76" t="str">
        <f>"COMMENT ON COLUMN "&amp;エンティティ一覧!$O$2&amp;"."&amp;D$8&amp;"."&amp;D708&amp;" IS '"&amp;C708&amp;"';"</f>
        <v>COMMENT ON COLUMN milscm_2023_009.main_diagnosis_start_date.shikkan700_start_date IS 'I738_疾患開始日';</v>
      </c>
    </row>
    <row r="709" spans="1:45" s="25" customFormat="1">
      <c r="A709" s="4" t="s">
        <v>5786</v>
      </c>
      <c r="B709" s="21">
        <f t="shared" si="89"/>
        <v>707</v>
      </c>
      <c r="C709" s="13" t="str">
        <f t="shared" si="88"/>
        <v>I739_疾患開始日</v>
      </c>
      <c r="D709" s="13" t="s">
        <v>6361</v>
      </c>
      <c r="E709" s="8"/>
      <c r="F709" s="7" t="s">
        <v>4348</v>
      </c>
      <c r="G709" s="7" t="s">
        <v>25</v>
      </c>
      <c r="H709" s="58"/>
      <c r="I709" s="23"/>
      <c r="J709" s="24"/>
      <c r="M709" s="4"/>
      <c r="N709" s="76"/>
      <c r="O709" s="76"/>
      <c r="P709" s="76" t="str">
        <f t="shared" si="81"/>
        <v>,shikkan701_start_date</v>
      </c>
      <c r="Q709" s="76" t="str">
        <f t="shared" si="82"/>
        <v>DATE</v>
      </c>
      <c r="R709" s="76" t="str">
        <f t="shared" si="83"/>
        <v/>
      </c>
      <c r="S709" s="76" t="str">
        <f t="shared" si="84"/>
        <v/>
      </c>
      <c r="T709" s="76" t="str">
        <f t="shared" si="85"/>
        <v>-- I739_疾患開始日</v>
      </c>
      <c r="U709" s="4" t="str">
        <f t="shared" si="86"/>
        <v>,'shikkan701_start_date'</v>
      </c>
      <c r="V709" s="25" t="str">
        <f t="shared" si="87"/>
        <v>,'shikkan701_start_date' : 'I739_疾患開始日'</v>
      </c>
      <c r="X709" s="25">
        <v>1</v>
      </c>
      <c r="AA709" s="4"/>
      <c r="AB709" s="4"/>
      <c r="AC709" s="4"/>
      <c r="AD709" s="4"/>
      <c r="AE709" s="4"/>
      <c r="AF709" s="4"/>
      <c r="AG709" s="4"/>
      <c r="AH709" s="4"/>
      <c r="AI709" s="4"/>
      <c r="AJ709" s="76" t="str">
        <f>IF(E709="○",IF(COUNTA(E$13:E709)=1,"",",")&amp;D709,"")</f>
        <v/>
      </c>
      <c r="AK709" s="4"/>
      <c r="AL709" s="4"/>
      <c r="AM709" s="4"/>
      <c r="AN709" s="4"/>
      <c r="AO709" s="4"/>
      <c r="AP709" s="4"/>
      <c r="AQ709" s="4"/>
      <c r="AR709" s="4"/>
      <c r="AS709" s="76" t="str">
        <f>"COMMENT ON COLUMN "&amp;エンティティ一覧!$O$2&amp;"."&amp;D$8&amp;"."&amp;D709&amp;" IS '"&amp;C709&amp;"';"</f>
        <v>COMMENT ON COLUMN milscm_2023_009.main_diagnosis_start_date.shikkan701_start_date IS 'I739_疾患開始日';</v>
      </c>
    </row>
    <row r="710" spans="1:45" s="25" customFormat="1">
      <c r="A710" s="4" t="s">
        <v>5787</v>
      </c>
      <c r="B710" s="21">
        <f t="shared" si="89"/>
        <v>708</v>
      </c>
      <c r="C710" s="13" t="str">
        <f t="shared" si="88"/>
        <v>I771_疾患開始日</v>
      </c>
      <c r="D710" s="13" t="s">
        <v>6362</v>
      </c>
      <c r="E710" s="8"/>
      <c r="F710" s="7" t="s">
        <v>4348</v>
      </c>
      <c r="G710" s="7" t="s">
        <v>25</v>
      </c>
      <c r="H710" s="58"/>
      <c r="I710" s="23"/>
      <c r="J710" s="24"/>
      <c r="M710" s="4"/>
      <c r="N710" s="76"/>
      <c r="O710" s="76"/>
      <c r="P710" s="76" t="str">
        <f t="shared" si="81"/>
        <v>,shikkan702_start_date</v>
      </c>
      <c r="Q710" s="76" t="str">
        <f t="shared" si="82"/>
        <v>DATE</v>
      </c>
      <c r="R710" s="76" t="str">
        <f t="shared" si="83"/>
        <v/>
      </c>
      <c r="S710" s="76" t="str">
        <f t="shared" si="84"/>
        <v/>
      </c>
      <c r="T710" s="76" t="str">
        <f t="shared" si="85"/>
        <v>-- I771_疾患開始日</v>
      </c>
      <c r="U710" s="4" t="str">
        <f t="shared" si="86"/>
        <v>,'shikkan702_start_date'</v>
      </c>
      <c r="V710" s="25" t="str">
        <f t="shared" si="87"/>
        <v>,'shikkan702_start_date' : 'I771_疾患開始日'</v>
      </c>
      <c r="X710" s="25">
        <v>1</v>
      </c>
      <c r="AA710" s="4"/>
      <c r="AB710" s="4"/>
      <c r="AC710" s="4"/>
      <c r="AD710" s="4"/>
      <c r="AE710" s="4"/>
      <c r="AF710" s="4"/>
      <c r="AG710" s="4"/>
      <c r="AH710" s="4"/>
      <c r="AI710" s="4"/>
      <c r="AJ710" s="76" t="str">
        <f>IF(E710="○",IF(COUNTA(E$13:E710)=1,"",",")&amp;D710,"")</f>
        <v/>
      </c>
      <c r="AK710" s="4"/>
      <c r="AL710" s="4"/>
      <c r="AM710" s="4"/>
      <c r="AN710" s="4"/>
      <c r="AO710" s="4"/>
      <c r="AP710" s="4"/>
      <c r="AQ710" s="4"/>
      <c r="AR710" s="4"/>
      <c r="AS710" s="76" t="str">
        <f>"COMMENT ON COLUMN "&amp;エンティティ一覧!$O$2&amp;"."&amp;D$8&amp;"."&amp;D710&amp;" IS '"&amp;C710&amp;"';"</f>
        <v>COMMENT ON COLUMN milscm_2023_009.main_diagnosis_start_date.shikkan702_start_date IS 'I771_疾患開始日';</v>
      </c>
    </row>
    <row r="711" spans="1:45" s="25" customFormat="1">
      <c r="A711" s="4" t="s">
        <v>5788</v>
      </c>
      <c r="B711" s="21">
        <f t="shared" si="89"/>
        <v>709</v>
      </c>
      <c r="C711" s="13" t="str">
        <f t="shared" si="88"/>
        <v>I790_疾患開始日</v>
      </c>
      <c r="D711" s="13" t="s">
        <v>6363</v>
      </c>
      <c r="E711" s="8"/>
      <c r="F711" s="7" t="s">
        <v>4348</v>
      </c>
      <c r="G711" s="7" t="s">
        <v>99</v>
      </c>
      <c r="H711" s="58"/>
      <c r="I711" s="23"/>
      <c r="J711" s="24"/>
      <c r="M711" s="4"/>
      <c r="N711" s="76"/>
      <c r="O711" s="76"/>
      <c r="P711" s="76" t="str">
        <f t="shared" si="81"/>
        <v>,shikkan703_start_date</v>
      </c>
      <c r="Q711" s="76" t="str">
        <f t="shared" si="82"/>
        <v>DATE</v>
      </c>
      <c r="R711" s="76" t="str">
        <f t="shared" si="83"/>
        <v/>
      </c>
      <c r="S711" s="76" t="str">
        <f t="shared" si="84"/>
        <v/>
      </c>
      <c r="T711" s="76" t="str">
        <f t="shared" si="85"/>
        <v>-- I790_疾患開始日</v>
      </c>
      <c r="U711" s="4" t="str">
        <f t="shared" si="86"/>
        <v>,'shikkan703_start_date'</v>
      </c>
      <c r="V711" s="25" t="str">
        <f t="shared" si="87"/>
        <v>,'shikkan703_start_date' : 'I790_疾患開始日'</v>
      </c>
      <c r="X711" s="25">
        <v>1</v>
      </c>
      <c r="AA711" s="4"/>
      <c r="AB711" s="4"/>
      <c r="AC711" s="4"/>
      <c r="AD711" s="4"/>
      <c r="AE711" s="4"/>
      <c r="AF711" s="4"/>
      <c r="AG711" s="4"/>
      <c r="AH711" s="4"/>
      <c r="AI711" s="4"/>
      <c r="AJ711" s="76" t="str">
        <f>IF(E711="○",IF(COUNTA(E$13:E711)=1,"",",")&amp;D711,"")</f>
        <v/>
      </c>
      <c r="AK711" s="4"/>
      <c r="AL711" s="4"/>
      <c r="AM711" s="4"/>
      <c r="AN711" s="4"/>
      <c r="AO711" s="4"/>
      <c r="AP711" s="4"/>
      <c r="AQ711" s="4"/>
      <c r="AR711" s="4"/>
      <c r="AS711" s="76" t="str">
        <f>"COMMENT ON COLUMN "&amp;エンティティ一覧!$O$2&amp;"."&amp;D$8&amp;"."&amp;D711&amp;" IS '"&amp;C711&amp;"';"</f>
        <v>COMMENT ON COLUMN milscm_2023_009.main_diagnosis_start_date.shikkan703_start_date IS 'I790_疾患開始日';</v>
      </c>
    </row>
    <row r="712" spans="1:45" s="25" customFormat="1">
      <c r="A712" s="4" t="s">
        <v>5789</v>
      </c>
      <c r="B712" s="21">
        <f t="shared" si="89"/>
        <v>710</v>
      </c>
      <c r="C712" s="13" t="str">
        <f t="shared" si="88"/>
        <v>I792_疾患開始日</v>
      </c>
      <c r="D712" s="13" t="s">
        <v>6364</v>
      </c>
      <c r="E712" s="8"/>
      <c r="F712" s="7" t="s">
        <v>4348</v>
      </c>
      <c r="G712" s="7" t="s">
        <v>25</v>
      </c>
      <c r="H712" s="58"/>
      <c r="I712" s="23"/>
      <c r="J712" s="24"/>
      <c r="M712" s="4"/>
      <c r="N712" s="76"/>
      <c r="O712" s="76"/>
      <c r="P712" s="76" t="str">
        <f t="shared" ref="P712:P775" si="90">IF(B712&lt;&gt;1,","&amp;D712,D712)</f>
        <v>,shikkan704_start_date</v>
      </c>
      <c r="Q712" s="76" t="str">
        <f t="shared" ref="Q712:Q775" si="91">UPPER(G712)</f>
        <v>DATE</v>
      </c>
      <c r="R712" s="76" t="str">
        <f t="shared" ref="R712:R775" si="92">IF(H712&lt;&gt;"","default "&amp;IF(G712="text","'"&amp;H712&amp;"'",H712),"")</f>
        <v/>
      </c>
      <c r="S712" s="76" t="str">
        <f t="shared" ref="S712:S775" si="93">IF(I712="○","NOT NULL","")</f>
        <v/>
      </c>
      <c r="T712" s="76" t="str">
        <f t="shared" ref="T712:T775" si="94">"-- "&amp;C712</f>
        <v>-- I792_疾患開始日</v>
      </c>
      <c r="U712" s="4" t="str">
        <f t="shared" si="86"/>
        <v>,'shikkan704_start_date'</v>
      </c>
      <c r="V712" s="25" t="str">
        <f t="shared" si="87"/>
        <v>,'shikkan704_start_date' : 'I792_疾患開始日'</v>
      </c>
      <c r="X712" s="25">
        <v>1</v>
      </c>
      <c r="AA712" s="4"/>
      <c r="AB712" s="4"/>
      <c r="AC712" s="4"/>
      <c r="AD712" s="4"/>
      <c r="AE712" s="4"/>
      <c r="AF712" s="4"/>
      <c r="AG712" s="4"/>
      <c r="AH712" s="4"/>
      <c r="AI712" s="4"/>
      <c r="AJ712" s="76" t="str">
        <f>IF(E712="○",IF(COUNTA(E$13:E712)=1,"",",")&amp;D712,"")</f>
        <v/>
      </c>
      <c r="AK712" s="4"/>
      <c r="AL712" s="4"/>
      <c r="AM712" s="4"/>
      <c r="AN712" s="4"/>
      <c r="AO712" s="4"/>
      <c r="AP712" s="4"/>
      <c r="AQ712" s="4"/>
      <c r="AR712" s="4"/>
      <c r="AS712" s="76" t="str">
        <f>"COMMENT ON COLUMN "&amp;エンティティ一覧!$O$2&amp;"."&amp;D$8&amp;"."&amp;D712&amp;" IS '"&amp;C712&amp;"';"</f>
        <v>COMMENT ON COLUMN milscm_2023_009.main_diagnosis_start_date.shikkan704_start_date IS 'I792_疾患開始日';</v>
      </c>
    </row>
    <row r="713" spans="1:45" s="25" customFormat="1">
      <c r="A713" s="4" t="s">
        <v>5790</v>
      </c>
      <c r="B713" s="21">
        <f t="shared" si="89"/>
        <v>711</v>
      </c>
      <c r="C713" s="13" t="str">
        <f t="shared" si="88"/>
        <v>I850_疾患開始日</v>
      </c>
      <c r="D713" s="13" t="s">
        <v>6365</v>
      </c>
      <c r="E713" s="8"/>
      <c r="F713" s="7" t="s">
        <v>4348</v>
      </c>
      <c r="G713" s="7" t="s">
        <v>25</v>
      </c>
      <c r="H713" s="58"/>
      <c r="I713" s="23"/>
      <c r="J713" s="24"/>
      <c r="M713" s="4"/>
      <c r="N713" s="76"/>
      <c r="O713" s="76"/>
      <c r="P713" s="76" t="str">
        <f t="shared" si="90"/>
        <v>,shikkan705_start_date</v>
      </c>
      <c r="Q713" s="76" t="str">
        <f t="shared" si="91"/>
        <v>DATE</v>
      </c>
      <c r="R713" s="76" t="str">
        <f t="shared" si="92"/>
        <v/>
      </c>
      <c r="S713" s="76" t="str">
        <f t="shared" si="93"/>
        <v/>
      </c>
      <c r="T713" s="76" t="str">
        <f t="shared" si="94"/>
        <v>-- I850_疾患開始日</v>
      </c>
      <c r="U713" s="4" t="str">
        <f t="shared" ref="U713:U776" si="95">IF(B713&lt;&gt;1,",","")&amp;"'"&amp;D713&amp;"'"</f>
        <v>,'shikkan705_start_date'</v>
      </c>
      <c r="V713" s="25" t="str">
        <f t="shared" ref="V713:V776" si="96">U713&amp;" : '"&amp;C713&amp;"'"</f>
        <v>,'shikkan705_start_date' : 'I850_疾患開始日'</v>
      </c>
      <c r="X713" s="25">
        <v>1</v>
      </c>
      <c r="AA713" s="4"/>
      <c r="AB713" s="4"/>
      <c r="AC713" s="4"/>
      <c r="AD713" s="4"/>
      <c r="AE713" s="4"/>
      <c r="AF713" s="4"/>
      <c r="AG713" s="4"/>
      <c r="AH713" s="4"/>
      <c r="AI713" s="4"/>
      <c r="AJ713" s="76" t="str">
        <f>IF(E713="○",IF(COUNTA(E$13:E713)=1,"",",")&amp;D713,"")</f>
        <v/>
      </c>
      <c r="AK713" s="4"/>
      <c r="AL713" s="4"/>
      <c r="AM713" s="4"/>
      <c r="AN713" s="4"/>
      <c r="AO713" s="4"/>
      <c r="AP713" s="4"/>
      <c r="AQ713" s="4"/>
      <c r="AR713" s="4"/>
      <c r="AS713" s="76" t="str">
        <f>"COMMENT ON COLUMN "&amp;エンティティ一覧!$O$2&amp;"."&amp;D$8&amp;"."&amp;D713&amp;" IS '"&amp;C713&amp;"';"</f>
        <v>COMMENT ON COLUMN milscm_2023_009.main_diagnosis_start_date.shikkan705_start_date IS 'I850_疾患開始日';</v>
      </c>
    </row>
    <row r="714" spans="1:45" s="25" customFormat="1">
      <c r="A714" s="4" t="s">
        <v>5791</v>
      </c>
      <c r="B714" s="21">
        <f t="shared" si="89"/>
        <v>712</v>
      </c>
      <c r="C714" s="13" t="str">
        <f t="shared" ref="C714:C777" si="97">A714&amp;"_疾患開始日"</f>
        <v>I859_疾患開始日</v>
      </c>
      <c r="D714" s="13" t="s">
        <v>6366</v>
      </c>
      <c r="E714" s="8"/>
      <c r="F714" s="7" t="s">
        <v>4348</v>
      </c>
      <c r="G714" s="7" t="s">
        <v>25</v>
      </c>
      <c r="H714" s="58"/>
      <c r="I714" s="23"/>
      <c r="J714" s="24"/>
      <c r="M714" s="4"/>
      <c r="N714" s="76"/>
      <c r="O714" s="76"/>
      <c r="P714" s="76" t="str">
        <f t="shared" si="90"/>
        <v>,shikkan706_start_date</v>
      </c>
      <c r="Q714" s="76" t="str">
        <f t="shared" si="91"/>
        <v>DATE</v>
      </c>
      <c r="R714" s="76" t="str">
        <f t="shared" si="92"/>
        <v/>
      </c>
      <c r="S714" s="76" t="str">
        <f t="shared" si="93"/>
        <v/>
      </c>
      <c r="T714" s="76" t="str">
        <f t="shared" si="94"/>
        <v>-- I859_疾患開始日</v>
      </c>
      <c r="U714" s="4" t="str">
        <f t="shared" si="95"/>
        <v>,'shikkan706_start_date'</v>
      </c>
      <c r="V714" s="25" t="str">
        <f t="shared" si="96"/>
        <v>,'shikkan706_start_date' : 'I859_疾患開始日'</v>
      </c>
      <c r="X714" s="25">
        <v>1</v>
      </c>
      <c r="AA714" s="4"/>
      <c r="AB714" s="4"/>
      <c r="AC714" s="4"/>
      <c r="AD714" s="4"/>
      <c r="AE714" s="4"/>
      <c r="AF714" s="4"/>
      <c r="AG714" s="4"/>
      <c r="AH714" s="4"/>
      <c r="AI714" s="4"/>
      <c r="AJ714" s="76" t="str">
        <f>IF(E714="○",IF(COUNTA(E$13:E714)=1,"",",")&amp;D714,"")</f>
        <v/>
      </c>
      <c r="AK714" s="4"/>
      <c r="AL714" s="4"/>
      <c r="AM714" s="4"/>
      <c r="AN714" s="4"/>
      <c r="AO714" s="4"/>
      <c r="AP714" s="4"/>
      <c r="AQ714" s="4"/>
      <c r="AR714" s="4"/>
      <c r="AS714" s="76" t="str">
        <f>"COMMENT ON COLUMN "&amp;エンティティ一覧!$O$2&amp;"."&amp;D$8&amp;"."&amp;D714&amp;" IS '"&amp;C714&amp;"';"</f>
        <v>COMMENT ON COLUMN milscm_2023_009.main_diagnosis_start_date.shikkan706_start_date IS 'I859_疾患開始日';</v>
      </c>
    </row>
    <row r="715" spans="1:45" s="25" customFormat="1">
      <c r="A715" s="4" t="s">
        <v>5792</v>
      </c>
      <c r="B715" s="21">
        <f t="shared" si="89"/>
        <v>713</v>
      </c>
      <c r="C715" s="13" t="str">
        <f t="shared" si="97"/>
        <v>I864_疾患開始日</v>
      </c>
      <c r="D715" s="13" t="s">
        <v>6367</v>
      </c>
      <c r="E715" s="8"/>
      <c r="F715" s="7" t="s">
        <v>4348</v>
      </c>
      <c r="G715" s="7" t="s">
        <v>25</v>
      </c>
      <c r="H715" s="58"/>
      <c r="I715" s="23"/>
      <c r="J715" s="24"/>
      <c r="M715" s="4"/>
      <c r="N715" s="76"/>
      <c r="O715" s="76"/>
      <c r="P715" s="76" t="str">
        <f t="shared" si="90"/>
        <v>,shikkan707_start_date</v>
      </c>
      <c r="Q715" s="76" t="str">
        <f t="shared" si="91"/>
        <v>DATE</v>
      </c>
      <c r="R715" s="76" t="str">
        <f t="shared" si="92"/>
        <v/>
      </c>
      <c r="S715" s="76" t="str">
        <f t="shared" si="93"/>
        <v/>
      </c>
      <c r="T715" s="76" t="str">
        <f t="shared" si="94"/>
        <v>-- I864_疾患開始日</v>
      </c>
      <c r="U715" s="4" t="str">
        <f t="shared" si="95"/>
        <v>,'shikkan707_start_date'</v>
      </c>
      <c r="V715" s="25" t="str">
        <f t="shared" si="96"/>
        <v>,'shikkan707_start_date' : 'I864_疾患開始日'</v>
      </c>
      <c r="X715" s="25">
        <v>1</v>
      </c>
      <c r="AA715" s="4"/>
      <c r="AB715" s="4"/>
      <c r="AC715" s="4"/>
      <c r="AD715" s="4"/>
      <c r="AE715" s="4"/>
      <c r="AF715" s="4"/>
      <c r="AG715" s="4"/>
      <c r="AH715" s="4"/>
      <c r="AI715" s="4"/>
      <c r="AJ715" s="76" t="str">
        <f>IF(E715="○",IF(COUNTA(E$13:E715)=1,"",",")&amp;D715,"")</f>
        <v/>
      </c>
      <c r="AK715" s="4"/>
      <c r="AL715" s="4"/>
      <c r="AM715" s="4"/>
      <c r="AN715" s="4"/>
      <c r="AO715" s="4"/>
      <c r="AP715" s="4"/>
      <c r="AQ715" s="4"/>
      <c r="AR715" s="4"/>
      <c r="AS715" s="76" t="str">
        <f>"COMMENT ON COLUMN "&amp;エンティティ一覧!$O$2&amp;"."&amp;D$8&amp;"."&amp;D715&amp;" IS '"&amp;C715&amp;"';"</f>
        <v>COMMENT ON COLUMN milscm_2023_009.main_diagnosis_start_date.shikkan707_start_date IS 'I864_疾患開始日';</v>
      </c>
    </row>
    <row r="716" spans="1:45" s="25" customFormat="1">
      <c r="A716" s="4" t="s">
        <v>5793</v>
      </c>
      <c r="B716" s="21">
        <f t="shared" si="89"/>
        <v>714</v>
      </c>
      <c r="C716" s="13" t="str">
        <f t="shared" si="97"/>
        <v>I982_疾患開始日</v>
      </c>
      <c r="D716" s="13" t="s">
        <v>6368</v>
      </c>
      <c r="E716" s="8"/>
      <c r="F716" s="7" t="s">
        <v>4348</v>
      </c>
      <c r="G716" s="7" t="s">
        <v>25</v>
      </c>
      <c r="H716" s="58"/>
      <c r="I716" s="23"/>
      <c r="J716" s="24"/>
      <c r="M716" s="4"/>
      <c r="N716" s="76"/>
      <c r="O716" s="76"/>
      <c r="P716" s="76" t="str">
        <f t="shared" si="90"/>
        <v>,shikkan708_start_date</v>
      </c>
      <c r="Q716" s="76" t="str">
        <f t="shared" si="91"/>
        <v>DATE</v>
      </c>
      <c r="R716" s="76" t="str">
        <f t="shared" si="92"/>
        <v/>
      </c>
      <c r="S716" s="76" t="str">
        <f t="shared" si="93"/>
        <v/>
      </c>
      <c r="T716" s="76" t="str">
        <f t="shared" si="94"/>
        <v>-- I982_疾患開始日</v>
      </c>
      <c r="U716" s="4" t="str">
        <f t="shared" si="95"/>
        <v>,'shikkan708_start_date'</v>
      </c>
      <c r="V716" s="25" t="str">
        <f t="shared" si="96"/>
        <v>,'shikkan708_start_date' : 'I982_疾患開始日'</v>
      </c>
      <c r="X716" s="25">
        <v>1</v>
      </c>
      <c r="AA716" s="4"/>
      <c r="AB716" s="4"/>
      <c r="AC716" s="4"/>
      <c r="AD716" s="4"/>
      <c r="AE716" s="4"/>
      <c r="AF716" s="4"/>
      <c r="AG716" s="4"/>
      <c r="AH716" s="4"/>
      <c r="AI716" s="4"/>
      <c r="AJ716" s="76" t="str">
        <f>IF(E716="○",IF(COUNTA(E$13:E716)=1,"",",")&amp;D716,"")</f>
        <v/>
      </c>
      <c r="AK716" s="4"/>
      <c r="AL716" s="4"/>
      <c r="AM716" s="4"/>
      <c r="AN716" s="4"/>
      <c r="AO716" s="4"/>
      <c r="AP716" s="4"/>
      <c r="AQ716" s="4"/>
      <c r="AR716" s="4"/>
      <c r="AS716" s="76" t="str">
        <f>"COMMENT ON COLUMN "&amp;エンティティ一覧!$O$2&amp;"."&amp;D$8&amp;"."&amp;D716&amp;" IS '"&amp;C716&amp;"';"</f>
        <v>COMMENT ON COLUMN milscm_2023_009.main_diagnosis_start_date.shikkan708_start_date IS 'I982_疾患開始日';</v>
      </c>
    </row>
    <row r="717" spans="1:45" s="25" customFormat="1">
      <c r="A717" s="4" t="s">
        <v>5064</v>
      </c>
      <c r="B717" s="21">
        <f t="shared" si="89"/>
        <v>715</v>
      </c>
      <c r="C717" s="13" t="str">
        <f t="shared" si="97"/>
        <v>J40_疾患開始日</v>
      </c>
      <c r="D717" s="13" t="s">
        <v>6369</v>
      </c>
      <c r="E717" s="8"/>
      <c r="F717" s="7" t="s">
        <v>4348</v>
      </c>
      <c r="G717" s="7" t="s">
        <v>25</v>
      </c>
      <c r="H717" s="58"/>
      <c r="I717" s="23"/>
      <c r="J717" s="24"/>
      <c r="M717" s="4"/>
      <c r="N717" s="76"/>
      <c r="O717" s="76"/>
      <c r="P717" s="76" t="str">
        <f t="shared" si="90"/>
        <v>,shikkan709_start_date</v>
      </c>
      <c r="Q717" s="76" t="str">
        <f t="shared" si="91"/>
        <v>DATE</v>
      </c>
      <c r="R717" s="76" t="str">
        <f t="shared" si="92"/>
        <v/>
      </c>
      <c r="S717" s="76" t="str">
        <f t="shared" si="93"/>
        <v/>
      </c>
      <c r="T717" s="76" t="str">
        <f t="shared" si="94"/>
        <v>-- J40_疾患開始日</v>
      </c>
      <c r="U717" s="4" t="str">
        <f t="shared" si="95"/>
        <v>,'shikkan709_start_date'</v>
      </c>
      <c r="V717" s="25" t="str">
        <f t="shared" si="96"/>
        <v>,'shikkan709_start_date' : 'J40_疾患開始日'</v>
      </c>
      <c r="X717" s="25">
        <v>1</v>
      </c>
      <c r="AA717" s="4"/>
      <c r="AB717" s="4"/>
      <c r="AC717" s="4"/>
      <c r="AD717" s="4"/>
      <c r="AE717" s="4"/>
      <c r="AF717" s="4"/>
      <c r="AG717" s="4"/>
      <c r="AH717" s="4"/>
      <c r="AI717" s="4"/>
      <c r="AJ717" s="76" t="str">
        <f>IF(E717="○",IF(COUNTA(E$13:E717)=1,"",",")&amp;D717,"")</f>
        <v/>
      </c>
      <c r="AK717" s="4"/>
      <c r="AL717" s="4"/>
      <c r="AM717" s="4"/>
      <c r="AN717" s="4"/>
      <c r="AO717" s="4"/>
      <c r="AP717" s="4"/>
      <c r="AQ717" s="4"/>
      <c r="AR717" s="4"/>
      <c r="AS717" s="76" t="str">
        <f>"COMMENT ON COLUMN "&amp;エンティティ一覧!$O$2&amp;"."&amp;D$8&amp;"."&amp;D717&amp;" IS '"&amp;C717&amp;"';"</f>
        <v>COMMENT ON COLUMN milscm_2023_009.main_diagnosis_start_date.shikkan709_start_date IS 'J40_疾患開始日';</v>
      </c>
    </row>
    <row r="718" spans="1:45" s="25" customFormat="1">
      <c r="A718" s="4" t="s">
        <v>5794</v>
      </c>
      <c r="B718" s="21">
        <f t="shared" si="89"/>
        <v>716</v>
      </c>
      <c r="C718" s="13" t="str">
        <f t="shared" si="97"/>
        <v>J410_疾患開始日</v>
      </c>
      <c r="D718" s="13" t="s">
        <v>6370</v>
      </c>
      <c r="E718" s="8"/>
      <c r="F718" s="7" t="s">
        <v>4348</v>
      </c>
      <c r="G718" s="7" t="s">
        <v>25</v>
      </c>
      <c r="H718" s="58"/>
      <c r="I718" s="23"/>
      <c r="J718" s="24"/>
      <c r="M718" s="4"/>
      <c r="N718" s="76"/>
      <c r="O718" s="76"/>
      <c r="P718" s="76" t="str">
        <f t="shared" si="90"/>
        <v>,shikkan710_start_date</v>
      </c>
      <c r="Q718" s="76" t="str">
        <f t="shared" si="91"/>
        <v>DATE</v>
      </c>
      <c r="R718" s="76" t="str">
        <f t="shared" si="92"/>
        <v/>
      </c>
      <c r="S718" s="76" t="str">
        <f t="shared" si="93"/>
        <v/>
      </c>
      <c r="T718" s="76" t="str">
        <f t="shared" si="94"/>
        <v>-- J410_疾患開始日</v>
      </c>
      <c r="U718" s="4" t="str">
        <f t="shared" si="95"/>
        <v>,'shikkan710_start_date'</v>
      </c>
      <c r="V718" s="25" t="str">
        <f t="shared" si="96"/>
        <v>,'shikkan710_start_date' : 'J410_疾患開始日'</v>
      </c>
      <c r="X718" s="25">
        <v>1</v>
      </c>
      <c r="AA718" s="4"/>
      <c r="AB718" s="4"/>
      <c r="AC718" s="4"/>
      <c r="AD718" s="4"/>
      <c r="AE718" s="4"/>
      <c r="AF718" s="4"/>
      <c r="AG718" s="4"/>
      <c r="AH718" s="4"/>
      <c r="AI718" s="4"/>
      <c r="AJ718" s="76" t="str">
        <f>IF(E718="○",IF(COUNTA(E$13:E718)=1,"",",")&amp;D718,"")</f>
        <v/>
      </c>
      <c r="AK718" s="4"/>
      <c r="AL718" s="4"/>
      <c r="AM718" s="4"/>
      <c r="AN718" s="4"/>
      <c r="AO718" s="4"/>
      <c r="AP718" s="4"/>
      <c r="AQ718" s="4"/>
      <c r="AR718" s="4"/>
      <c r="AS718" s="76" t="str">
        <f>"COMMENT ON COLUMN "&amp;エンティティ一覧!$O$2&amp;"."&amp;D$8&amp;"."&amp;D718&amp;" IS '"&amp;C718&amp;"';"</f>
        <v>COMMENT ON COLUMN milscm_2023_009.main_diagnosis_start_date.shikkan710_start_date IS 'J410_疾患開始日';</v>
      </c>
    </row>
    <row r="719" spans="1:45" s="25" customFormat="1">
      <c r="A719" s="4" t="s">
        <v>5795</v>
      </c>
      <c r="B719" s="21">
        <f t="shared" si="89"/>
        <v>717</v>
      </c>
      <c r="C719" s="13" t="str">
        <f t="shared" si="97"/>
        <v>J411_疾患開始日</v>
      </c>
      <c r="D719" s="13" t="s">
        <v>6371</v>
      </c>
      <c r="E719" s="8"/>
      <c r="F719" s="7" t="s">
        <v>4348</v>
      </c>
      <c r="G719" s="7" t="s">
        <v>25</v>
      </c>
      <c r="H719" s="58"/>
      <c r="I719" s="23"/>
      <c r="J719" s="24"/>
      <c r="M719" s="4"/>
      <c r="N719" s="76"/>
      <c r="O719" s="76"/>
      <c r="P719" s="76" t="str">
        <f t="shared" si="90"/>
        <v>,shikkan711_start_date</v>
      </c>
      <c r="Q719" s="76" t="str">
        <f t="shared" si="91"/>
        <v>DATE</v>
      </c>
      <c r="R719" s="76" t="str">
        <f t="shared" si="92"/>
        <v/>
      </c>
      <c r="S719" s="76" t="str">
        <f t="shared" si="93"/>
        <v/>
      </c>
      <c r="T719" s="76" t="str">
        <f t="shared" si="94"/>
        <v>-- J411_疾患開始日</v>
      </c>
      <c r="U719" s="4" t="str">
        <f t="shared" si="95"/>
        <v>,'shikkan711_start_date'</v>
      </c>
      <c r="V719" s="25" t="str">
        <f t="shared" si="96"/>
        <v>,'shikkan711_start_date' : 'J411_疾患開始日'</v>
      </c>
      <c r="X719" s="25">
        <v>1</v>
      </c>
      <c r="AA719" s="4"/>
      <c r="AB719" s="4"/>
      <c r="AC719" s="4"/>
      <c r="AD719" s="4"/>
      <c r="AE719" s="4"/>
      <c r="AF719" s="4"/>
      <c r="AG719" s="4"/>
      <c r="AH719" s="4"/>
      <c r="AI719" s="4"/>
      <c r="AJ719" s="76" t="str">
        <f>IF(E719="○",IF(COUNTA(E$13:E719)=1,"",",")&amp;D719,"")</f>
        <v/>
      </c>
      <c r="AK719" s="4"/>
      <c r="AL719" s="4"/>
      <c r="AM719" s="4"/>
      <c r="AN719" s="4"/>
      <c r="AO719" s="4"/>
      <c r="AP719" s="4"/>
      <c r="AQ719" s="4"/>
      <c r="AR719" s="4"/>
      <c r="AS719" s="76" t="str">
        <f>"COMMENT ON COLUMN "&amp;エンティティ一覧!$O$2&amp;"."&amp;D$8&amp;"."&amp;D719&amp;" IS '"&amp;C719&amp;"';"</f>
        <v>COMMENT ON COLUMN milscm_2023_009.main_diagnosis_start_date.shikkan711_start_date IS 'J411_疾患開始日';</v>
      </c>
    </row>
    <row r="720" spans="1:45" s="25" customFormat="1">
      <c r="A720" s="4" t="s">
        <v>5796</v>
      </c>
      <c r="B720" s="21">
        <f t="shared" si="89"/>
        <v>718</v>
      </c>
      <c r="C720" s="13" t="str">
        <f t="shared" si="97"/>
        <v>J418_疾患開始日</v>
      </c>
      <c r="D720" s="13" t="s">
        <v>6372</v>
      </c>
      <c r="E720" s="8"/>
      <c r="F720" s="7" t="s">
        <v>4348</v>
      </c>
      <c r="G720" s="7" t="s">
        <v>25</v>
      </c>
      <c r="H720" s="58"/>
      <c r="I720" s="23"/>
      <c r="J720" s="24"/>
      <c r="M720" s="4"/>
      <c r="N720" s="76"/>
      <c r="O720" s="76"/>
      <c r="P720" s="76" t="str">
        <f t="shared" si="90"/>
        <v>,shikkan712_start_date</v>
      </c>
      <c r="Q720" s="76" t="str">
        <f t="shared" si="91"/>
        <v>DATE</v>
      </c>
      <c r="R720" s="76" t="str">
        <f t="shared" si="92"/>
        <v/>
      </c>
      <c r="S720" s="76" t="str">
        <f t="shared" si="93"/>
        <v/>
      </c>
      <c r="T720" s="76" t="str">
        <f t="shared" si="94"/>
        <v>-- J418_疾患開始日</v>
      </c>
      <c r="U720" s="4" t="str">
        <f t="shared" si="95"/>
        <v>,'shikkan712_start_date'</v>
      </c>
      <c r="V720" s="25" t="str">
        <f t="shared" si="96"/>
        <v>,'shikkan712_start_date' : 'J418_疾患開始日'</v>
      </c>
      <c r="X720" s="25">
        <v>1</v>
      </c>
      <c r="AA720" s="4"/>
      <c r="AB720" s="4"/>
      <c r="AC720" s="4"/>
      <c r="AD720" s="4"/>
      <c r="AE720" s="4"/>
      <c r="AF720" s="4"/>
      <c r="AG720" s="4"/>
      <c r="AH720" s="4"/>
      <c r="AI720" s="4"/>
      <c r="AJ720" s="76" t="str">
        <f>IF(E720="○",IF(COUNTA(E$13:E720)=1,"",",")&amp;D720,"")</f>
        <v/>
      </c>
      <c r="AK720" s="4"/>
      <c r="AL720" s="4"/>
      <c r="AM720" s="4"/>
      <c r="AN720" s="4"/>
      <c r="AO720" s="4"/>
      <c r="AP720" s="4"/>
      <c r="AQ720" s="4"/>
      <c r="AR720" s="4"/>
      <c r="AS720" s="76" t="str">
        <f>"COMMENT ON COLUMN "&amp;エンティティ一覧!$O$2&amp;"."&amp;D$8&amp;"."&amp;D720&amp;" IS '"&amp;C720&amp;"';"</f>
        <v>COMMENT ON COLUMN milscm_2023_009.main_diagnosis_start_date.shikkan712_start_date IS 'J418_疾患開始日';</v>
      </c>
    </row>
    <row r="721" spans="1:45" s="25" customFormat="1">
      <c r="A721" s="4" t="s">
        <v>5065</v>
      </c>
      <c r="B721" s="21">
        <f t="shared" si="89"/>
        <v>719</v>
      </c>
      <c r="C721" s="13" t="str">
        <f t="shared" si="97"/>
        <v>J42_疾患開始日</v>
      </c>
      <c r="D721" s="13" t="s">
        <v>6373</v>
      </c>
      <c r="E721" s="8"/>
      <c r="F721" s="7" t="s">
        <v>4348</v>
      </c>
      <c r="G721" s="7" t="s">
        <v>25</v>
      </c>
      <c r="H721" s="58"/>
      <c r="I721" s="23"/>
      <c r="J721" s="24"/>
      <c r="M721" s="4"/>
      <c r="N721" s="76"/>
      <c r="O721" s="76"/>
      <c r="P721" s="76" t="str">
        <f t="shared" si="90"/>
        <v>,shikkan713_start_date</v>
      </c>
      <c r="Q721" s="76" t="str">
        <f t="shared" si="91"/>
        <v>DATE</v>
      </c>
      <c r="R721" s="76" t="str">
        <f t="shared" si="92"/>
        <v/>
      </c>
      <c r="S721" s="76" t="str">
        <f t="shared" si="93"/>
        <v/>
      </c>
      <c r="T721" s="76" t="str">
        <f t="shared" si="94"/>
        <v>-- J42_疾患開始日</v>
      </c>
      <c r="U721" s="4" t="str">
        <f t="shared" si="95"/>
        <v>,'shikkan713_start_date'</v>
      </c>
      <c r="V721" s="25" t="str">
        <f t="shared" si="96"/>
        <v>,'shikkan713_start_date' : 'J42_疾患開始日'</v>
      </c>
      <c r="X721" s="25">
        <v>1</v>
      </c>
      <c r="AA721" s="4"/>
      <c r="AB721" s="4"/>
      <c r="AC721" s="4"/>
      <c r="AD721" s="4"/>
      <c r="AE721" s="4"/>
      <c r="AF721" s="4"/>
      <c r="AG721" s="4"/>
      <c r="AH721" s="4"/>
      <c r="AI721" s="4"/>
      <c r="AJ721" s="76" t="str">
        <f>IF(E721="○",IF(COUNTA(E$13:E721)=1,"",",")&amp;D721,"")</f>
        <v/>
      </c>
      <c r="AK721" s="4"/>
      <c r="AL721" s="4"/>
      <c r="AM721" s="4"/>
      <c r="AN721" s="4"/>
      <c r="AO721" s="4"/>
      <c r="AP721" s="4"/>
      <c r="AQ721" s="4"/>
      <c r="AR721" s="4"/>
      <c r="AS721" s="76" t="str">
        <f>"COMMENT ON COLUMN "&amp;エンティティ一覧!$O$2&amp;"."&amp;D$8&amp;"."&amp;D721&amp;" IS '"&amp;C721&amp;"';"</f>
        <v>COMMENT ON COLUMN milscm_2023_009.main_diagnosis_start_date.shikkan713_start_date IS 'J42_疾患開始日';</v>
      </c>
    </row>
    <row r="722" spans="1:45" s="25" customFormat="1">
      <c r="A722" s="4" t="s">
        <v>5797</v>
      </c>
      <c r="B722" s="21">
        <f t="shared" si="89"/>
        <v>720</v>
      </c>
      <c r="C722" s="13" t="str">
        <f t="shared" si="97"/>
        <v>J430_疾患開始日</v>
      </c>
      <c r="D722" s="13" t="s">
        <v>6374</v>
      </c>
      <c r="E722" s="8"/>
      <c r="F722" s="7" t="s">
        <v>4348</v>
      </c>
      <c r="G722" s="7" t="s">
        <v>25</v>
      </c>
      <c r="H722" s="58"/>
      <c r="I722" s="23"/>
      <c r="J722" s="24"/>
      <c r="M722" s="4"/>
      <c r="N722" s="76"/>
      <c r="O722" s="76"/>
      <c r="P722" s="76" t="str">
        <f t="shared" si="90"/>
        <v>,shikkan714_start_date</v>
      </c>
      <c r="Q722" s="76" t="str">
        <f t="shared" si="91"/>
        <v>DATE</v>
      </c>
      <c r="R722" s="76" t="str">
        <f t="shared" si="92"/>
        <v/>
      </c>
      <c r="S722" s="76" t="str">
        <f t="shared" si="93"/>
        <v/>
      </c>
      <c r="T722" s="76" t="str">
        <f t="shared" si="94"/>
        <v>-- J430_疾患開始日</v>
      </c>
      <c r="U722" s="4" t="str">
        <f t="shared" si="95"/>
        <v>,'shikkan714_start_date'</v>
      </c>
      <c r="V722" s="25" t="str">
        <f t="shared" si="96"/>
        <v>,'shikkan714_start_date' : 'J430_疾患開始日'</v>
      </c>
      <c r="X722" s="25">
        <v>1</v>
      </c>
      <c r="AA722" s="4"/>
      <c r="AB722" s="4"/>
      <c r="AC722" s="4"/>
      <c r="AD722" s="4"/>
      <c r="AE722" s="4"/>
      <c r="AF722" s="4"/>
      <c r="AG722" s="4"/>
      <c r="AH722" s="4"/>
      <c r="AI722" s="4"/>
      <c r="AJ722" s="76" t="str">
        <f>IF(E722="○",IF(COUNTA(E$13:E722)=1,"",",")&amp;D722,"")</f>
        <v/>
      </c>
      <c r="AK722" s="4"/>
      <c r="AL722" s="4"/>
      <c r="AM722" s="4"/>
      <c r="AN722" s="4"/>
      <c r="AO722" s="4"/>
      <c r="AP722" s="4"/>
      <c r="AQ722" s="4"/>
      <c r="AR722" s="4"/>
      <c r="AS722" s="76" t="str">
        <f>"COMMENT ON COLUMN "&amp;エンティティ一覧!$O$2&amp;"."&amp;D$8&amp;"."&amp;D722&amp;" IS '"&amp;C722&amp;"';"</f>
        <v>COMMENT ON COLUMN milscm_2023_009.main_diagnosis_start_date.shikkan714_start_date IS 'J430_疾患開始日';</v>
      </c>
    </row>
    <row r="723" spans="1:45" s="25" customFormat="1">
      <c r="A723" s="4" t="s">
        <v>5798</v>
      </c>
      <c r="B723" s="21">
        <f t="shared" si="89"/>
        <v>721</v>
      </c>
      <c r="C723" s="13" t="str">
        <f t="shared" si="97"/>
        <v>J431_疾患開始日</v>
      </c>
      <c r="D723" s="13" t="s">
        <v>6375</v>
      </c>
      <c r="E723" s="8"/>
      <c r="F723" s="7" t="s">
        <v>4348</v>
      </c>
      <c r="G723" s="7" t="s">
        <v>25</v>
      </c>
      <c r="H723" s="58"/>
      <c r="I723" s="23"/>
      <c r="J723" s="24"/>
      <c r="M723" s="4"/>
      <c r="N723" s="76"/>
      <c r="O723" s="76"/>
      <c r="P723" s="76" t="str">
        <f t="shared" si="90"/>
        <v>,shikkan715_start_date</v>
      </c>
      <c r="Q723" s="76" t="str">
        <f t="shared" si="91"/>
        <v>DATE</v>
      </c>
      <c r="R723" s="76" t="str">
        <f t="shared" si="92"/>
        <v/>
      </c>
      <c r="S723" s="76" t="str">
        <f t="shared" si="93"/>
        <v/>
      </c>
      <c r="T723" s="76" t="str">
        <f t="shared" si="94"/>
        <v>-- J431_疾患開始日</v>
      </c>
      <c r="U723" s="4" t="str">
        <f t="shared" si="95"/>
        <v>,'shikkan715_start_date'</v>
      </c>
      <c r="V723" s="25" t="str">
        <f t="shared" si="96"/>
        <v>,'shikkan715_start_date' : 'J431_疾患開始日'</v>
      </c>
      <c r="X723" s="25">
        <v>1</v>
      </c>
      <c r="AA723" s="4"/>
      <c r="AB723" s="4"/>
      <c r="AC723" s="4"/>
      <c r="AD723" s="4"/>
      <c r="AE723" s="4"/>
      <c r="AF723" s="4"/>
      <c r="AG723" s="4"/>
      <c r="AH723" s="4"/>
      <c r="AI723" s="4"/>
      <c r="AJ723" s="76" t="str">
        <f>IF(E723="○",IF(COUNTA(E$13:E723)=1,"",",")&amp;D723,"")</f>
        <v/>
      </c>
      <c r="AK723" s="4"/>
      <c r="AL723" s="4"/>
      <c r="AM723" s="4"/>
      <c r="AN723" s="4"/>
      <c r="AO723" s="4"/>
      <c r="AP723" s="4"/>
      <c r="AQ723" s="4"/>
      <c r="AR723" s="4"/>
      <c r="AS723" s="76" t="str">
        <f>"COMMENT ON COLUMN "&amp;エンティティ一覧!$O$2&amp;"."&amp;D$8&amp;"."&amp;D723&amp;" IS '"&amp;C723&amp;"';"</f>
        <v>COMMENT ON COLUMN milscm_2023_009.main_diagnosis_start_date.shikkan715_start_date IS 'J431_疾患開始日';</v>
      </c>
    </row>
    <row r="724" spans="1:45" s="25" customFormat="1">
      <c r="A724" s="4" t="s">
        <v>5799</v>
      </c>
      <c r="B724" s="21">
        <f t="shared" si="89"/>
        <v>722</v>
      </c>
      <c r="C724" s="13" t="str">
        <f t="shared" si="97"/>
        <v>J432_疾患開始日</v>
      </c>
      <c r="D724" s="13" t="s">
        <v>6376</v>
      </c>
      <c r="E724" s="8"/>
      <c r="F724" s="7" t="s">
        <v>4348</v>
      </c>
      <c r="G724" s="7" t="s">
        <v>25</v>
      </c>
      <c r="H724" s="58"/>
      <c r="I724" s="23"/>
      <c r="J724" s="24"/>
      <c r="M724" s="4"/>
      <c r="N724" s="76"/>
      <c r="O724" s="76"/>
      <c r="P724" s="76" t="str">
        <f t="shared" si="90"/>
        <v>,shikkan716_start_date</v>
      </c>
      <c r="Q724" s="76" t="str">
        <f t="shared" si="91"/>
        <v>DATE</v>
      </c>
      <c r="R724" s="76" t="str">
        <f t="shared" si="92"/>
        <v/>
      </c>
      <c r="S724" s="76" t="str">
        <f t="shared" si="93"/>
        <v/>
      </c>
      <c r="T724" s="76" t="str">
        <f t="shared" si="94"/>
        <v>-- J432_疾患開始日</v>
      </c>
      <c r="U724" s="4" t="str">
        <f t="shared" si="95"/>
        <v>,'shikkan716_start_date'</v>
      </c>
      <c r="V724" s="25" t="str">
        <f t="shared" si="96"/>
        <v>,'shikkan716_start_date' : 'J432_疾患開始日'</v>
      </c>
      <c r="X724" s="25">
        <v>1</v>
      </c>
      <c r="AA724" s="4"/>
      <c r="AB724" s="4"/>
      <c r="AC724" s="4"/>
      <c r="AD724" s="4"/>
      <c r="AE724" s="4"/>
      <c r="AF724" s="4"/>
      <c r="AG724" s="4"/>
      <c r="AH724" s="4"/>
      <c r="AI724" s="4"/>
      <c r="AJ724" s="76" t="str">
        <f>IF(E724="○",IF(COUNTA(E$13:E724)=1,"",",")&amp;D724,"")</f>
        <v/>
      </c>
      <c r="AK724" s="4"/>
      <c r="AL724" s="4"/>
      <c r="AM724" s="4"/>
      <c r="AN724" s="4"/>
      <c r="AO724" s="4"/>
      <c r="AP724" s="4"/>
      <c r="AQ724" s="4"/>
      <c r="AR724" s="4"/>
      <c r="AS724" s="76" t="str">
        <f>"COMMENT ON COLUMN "&amp;エンティティ一覧!$O$2&amp;"."&amp;D$8&amp;"."&amp;D724&amp;" IS '"&amp;C724&amp;"';"</f>
        <v>COMMENT ON COLUMN milscm_2023_009.main_diagnosis_start_date.shikkan716_start_date IS 'J432_疾患開始日';</v>
      </c>
    </row>
    <row r="725" spans="1:45" s="25" customFormat="1">
      <c r="A725" s="4" t="s">
        <v>5800</v>
      </c>
      <c r="B725" s="21">
        <f t="shared" si="89"/>
        <v>723</v>
      </c>
      <c r="C725" s="13" t="str">
        <f t="shared" si="97"/>
        <v>J438_疾患開始日</v>
      </c>
      <c r="D725" s="13" t="s">
        <v>6377</v>
      </c>
      <c r="E725" s="8"/>
      <c r="F725" s="7" t="s">
        <v>4348</v>
      </c>
      <c r="G725" s="7" t="s">
        <v>25</v>
      </c>
      <c r="H725" s="58"/>
      <c r="I725" s="23"/>
      <c r="J725" s="24"/>
      <c r="M725" s="4"/>
      <c r="N725" s="76"/>
      <c r="O725" s="76"/>
      <c r="P725" s="76" t="str">
        <f t="shared" si="90"/>
        <v>,shikkan717_start_date</v>
      </c>
      <c r="Q725" s="76" t="str">
        <f t="shared" si="91"/>
        <v>DATE</v>
      </c>
      <c r="R725" s="76" t="str">
        <f t="shared" si="92"/>
        <v/>
      </c>
      <c r="S725" s="76" t="str">
        <f t="shared" si="93"/>
        <v/>
      </c>
      <c r="T725" s="76" t="str">
        <f t="shared" si="94"/>
        <v>-- J438_疾患開始日</v>
      </c>
      <c r="U725" s="4" t="str">
        <f t="shared" si="95"/>
        <v>,'shikkan717_start_date'</v>
      </c>
      <c r="V725" s="25" t="str">
        <f t="shared" si="96"/>
        <v>,'shikkan717_start_date' : 'J438_疾患開始日'</v>
      </c>
      <c r="X725" s="25">
        <v>1</v>
      </c>
      <c r="AA725" s="4"/>
      <c r="AB725" s="4"/>
      <c r="AC725" s="4"/>
      <c r="AD725" s="4"/>
      <c r="AE725" s="4"/>
      <c r="AF725" s="4"/>
      <c r="AG725" s="4"/>
      <c r="AH725" s="4"/>
      <c r="AI725" s="4"/>
      <c r="AJ725" s="76" t="str">
        <f>IF(E725="○",IF(COUNTA(E$13:E725)=1,"",",")&amp;D725,"")</f>
        <v/>
      </c>
      <c r="AK725" s="4"/>
      <c r="AL725" s="4"/>
      <c r="AM725" s="4"/>
      <c r="AN725" s="4"/>
      <c r="AO725" s="4"/>
      <c r="AP725" s="4"/>
      <c r="AQ725" s="4"/>
      <c r="AR725" s="4"/>
      <c r="AS725" s="76" t="str">
        <f>"COMMENT ON COLUMN "&amp;エンティティ一覧!$O$2&amp;"."&amp;D$8&amp;"."&amp;D725&amp;" IS '"&amp;C725&amp;"';"</f>
        <v>COMMENT ON COLUMN milscm_2023_009.main_diagnosis_start_date.shikkan717_start_date IS 'J438_疾患開始日';</v>
      </c>
    </row>
    <row r="726" spans="1:45" s="25" customFormat="1">
      <c r="A726" s="4" t="s">
        <v>5801</v>
      </c>
      <c r="B726" s="21">
        <f t="shared" si="89"/>
        <v>724</v>
      </c>
      <c r="C726" s="13" t="str">
        <f t="shared" si="97"/>
        <v>J439_疾患開始日</v>
      </c>
      <c r="D726" s="13" t="s">
        <v>6378</v>
      </c>
      <c r="E726" s="8"/>
      <c r="F726" s="7" t="s">
        <v>4348</v>
      </c>
      <c r="G726" s="7" t="s">
        <v>25</v>
      </c>
      <c r="H726" s="58"/>
      <c r="I726" s="23"/>
      <c r="J726" s="24"/>
      <c r="M726" s="4"/>
      <c r="N726" s="76"/>
      <c r="O726" s="76"/>
      <c r="P726" s="76" t="str">
        <f t="shared" si="90"/>
        <v>,shikkan718_start_date</v>
      </c>
      <c r="Q726" s="76" t="str">
        <f t="shared" si="91"/>
        <v>DATE</v>
      </c>
      <c r="R726" s="76" t="str">
        <f t="shared" si="92"/>
        <v/>
      </c>
      <c r="S726" s="76" t="str">
        <f t="shared" si="93"/>
        <v/>
      </c>
      <c r="T726" s="76" t="str">
        <f t="shared" si="94"/>
        <v>-- J439_疾患開始日</v>
      </c>
      <c r="U726" s="4" t="str">
        <f t="shared" si="95"/>
        <v>,'shikkan718_start_date'</v>
      </c>
      <c r="V726" s="25" t="str">
        <f t="shared" si="96"/>
        <v>,'shikkan718_start_date' : 'J439_疾患開始日'</v>
      </c>
      <c r="X726" s="25">
        <v>1</v>
      </c>
      <c r="AA726" s="4"/>
      <c r="AB726" s="4"/>
      <c r="AC726" s="4"/>
      <c r="AD726" s="4"/>
      <c r="AE726" s="4"/>
      <c r="AF726" s="4"/>
      <c r="AG726" s="4"/>
      <c r="AH726" s="4"/>
      <c r="AI726" s="4"/>
      <c r="AJ726" s="76" t="str">
        <f>IF(E726="○",IF(COUNTA(E$13:E726)=1,"",",")&amp;D726,"")</f>
        <v/>
      </c>
      <c r="AK726" s="4"/>
      <c r="AL726" s="4"/>
      <c r="AM726" s="4"/>
      <c r="AN726" s="4"/>
      <c r="AO726" s="4"/>
      <c r="AP726" s="4"/>
      <c r="AQ726" s="4"/>
      <c r="AR726" s="4"/>
      <c r="AS726" s="76" t="str">
        <f>"COMMENT ON COLUMN "&amp;エンティティ一覧!$O$2&amp;"."&amp;D$8&amp;"."&amp;D726&amp;" IS '"&amp;C726&amp;"';"</f>
        <v>COMMENT ON COLUMN milscm_2023_009.main_diagnosis_start_date.shikkan718_start_date IS 'J439_疾患開始日';</v>
      </c>
    </row>
    <row r="727" spans="1:45" s="25" customFormat="1">
      <c r="A727" s="4" t="s">
        <v>5802</v>
      </c>
      <c r="B727" s="21">
        <f t="shared" si="89"/>
        <v>725</v>
      </c>
      <c r="C727" s="13" t="str">
        <f t="shared" si="97"/>
        <v>J440_疾患開始日</v>
      </c>
      <c r="D727" s="13" t="s">
        <v>6379</v>
      </c>
      <c r="E727" s="8"/>
      <c r="F727" s="7" t="s">
        <v>4348</v>
      </c>
      <c r="G727" s="7" t="s">
        <v>99</v>
      </c>
      <c r="H727" s="58"/>
      <c r="I727" s="23"/>
      <c r="J727" s="24"/>
      <c r="M727" s="4"/>
      <c r="N727" s="76"/>
      <c r="O727" s="76"/>
      <c r="P727" s="76" t="str">
        <f t="shared" si="90"/>
        <v>,shikkan719_start_date</v>
      </c>
      <c r="Q727" s="76" t="str">
        <f t="shared" si="91"/>
        <v>DATE</v>
      </c>
      <c r="R727" s="76" t="str">
        <f t="shared" si="92"/>
        <v/>
      </c>
      <c r="S727" s="76" t="str">
        <f t="shared" si="93"/>
        <v/>
      </c>
      <c r="T727" s="76" t="str">
        <f t="shared" si="94"/>
        <v>-- J440_疾患開始日</v>
      </c>
      <c r="U727" s="4" t="str">
        <f t="shared" si="95"/>
        <v>,'shikkan719_start_date'</v>
      </c>
      <c r="V727" s="25" t="str">
        <f t="shared" si="96"/>
        <v>,'shikkan719_start_date' : 'J440_疾患開始日'</v>
      </c>
      <c r="X727" s="25">
        <v>1</v>
      </c>
      <c r="AA727" s="4"/>
      <c r="AB727" s="4"/>
      <c r="AC727" s="4"/>
      <c r="AD727" s="4"/>
      <c r="AE727" s="4"/>
      <c r="AF727" s="4"/>
      <c r="AG727" s="4"/>
      <c r="AH727" s="4"/>
      <c r="AI727" s="4"/>
      <c r="AJ727" s="76" t="str">
        <f>IF(E727="○",IF(COUNTA(E$13:E727)=1,"",",")&amp;D727,"")</f>
        <v/>
      </c>
      <c r="AK727" s="4"/>
      <c r="AL727" s="4"/>
      <c r="AM727" s="4"/>
      <c r="AN727" s="4"/>
      <c r="AO727" s="4"/>
      <c r="AP727" s="4"/>
      <c r="AQ727" s="4"/>
      <c r="AR727" s="4"/>
      <c r="AS727" s="76" t="str">
        <f>"COMMENT ON COLUMN "&amp;エンティティ一覧!$O$2&amp;"."&amp;D$8&amp;"."&amp;D727&amp;" IS '"&amp;C727&amp;"';"</f>
        <v>COMMENT ON COLUMN milscm_2023_009.main_diagnosis_start_date.shikkan719_start_date IS 'J440_疾患開始日';</v>
      </c>
    </row>
    <row r="728" spans="1:45" s="25" customFormat="1">
      <c r="A728" s="4" t="s">
        <v>5803</v>
      </c>
      <c r="B728" s="21">
        <f t="shared" si="89"/>
        <v>726</v>
      </c>
      <c r="C728" s="13" t="str">
        <f t="shared" si="97"/>
        <v>J441_疾患開始日</v>
      </c>
      <c r="D728" s="13" t="s">
        <v>6380</v>
      </c>
      <c r="E728" s="8"/>
      <c r="F728" s="7" t="s">
        <v>4348</v>
      </c>
      <c r="G728" s="7" t="s">
        <v>25</v>
      </c>
      <c r="H728" s="58"/>
      <c r="I728" s="23"/>
      <c r="J728" s="24"/>
      <c r="M728" s="4"/>
      <c r="N728" s="76"/>
      <c r="O728" s="76"/>
      <c r="P728" s="76" t="str">
        <f t="shared" si="90"/>
        <v>,shikkan720_start_date</v>
      </c>
      <c r="Q728" s="76" t="str">
        <f t="shared" si="91"/>
        <v>DATE</v>
      </c>
      <c r="R728" s="76" t="str">
        <f t="shared" si="92"/>
        <v/>
      </c>
      <c r="S728" s="76" t="str">
        <f t="shared" si="93"/>
        <v/>
      </c>
      <c r="T728" s="76" t="str">
        <f t="shared" si="94"/>
        <v>-- J441_疾患開始日</v>
      </c>
      <c r="U728" s="4" t="str">
        <f t="shared" si="95"/>
        <v>,'shikkan720_start_date'</v>
      </c>
      <c r="V728" s="25" t="str">
        <f t="shared" si="96"/>
        <v>,'shikkan720_start_date' : 'J441_疾患開始日'</v>
      </c>
      <c r="X728" s="25">
        <v>1</v>
      </c>
      <c r="AA728" s="4"/>
      <c r="AB728" s="4"/>
      <c r="AC728" s="4"/>
      <c r="AD728" s="4"/>
      <c r="AE728" s="4"/>
      <c r="AF728" s="4"/>
      <c r="AG728" s="4"/>
      <c r="AH728" s="4"/>
      <c r="AI728" s="4"/>
      <c r="AJ728" s="76" t="str">
        <f>IF(E728="○",IF(COUNTA(E$13:E728)=1,"",",")&amp;D728,"")</f>
        <v/>
      </c>
      <c r="AK728" s="4"/>
      <c r="AL728" s="4"/>
      <c r="AM728" s="4"/>
      <c r="AN728" s="4"/>
      <c r="AO728" s="4"/>
      <c r="AP728" s="4"/>
      <c r="AQ728" s="4"/>
      <c r="AR728" s="4"/>
      <c r="AS728" s="76" t="str">
        <f>"COMMENT ON COLUMN "&amp;エンティティ一覧!$O$2&amp;"."&amp;D$8&amp;"."&amp;D728&amp;" IS '"&amp;C728&amp;"';"</f>
        <v>COMMENT ON COLUMN milscm_2023_009.main_diagnosis_start_date.shikkan720_start_date IS 'J441_疾患開始日';</v>
      </c>
    </row>
    <row r="729" spans="1:45" s="25" customFormat="1">
      <c r="A729" s="4" t="s">
        <v>5804</v>
      </c>
      <c r="B729" s="21">
        <f t="shared" si="89"/>
        <v>727</v>
      </c>
      <c r="C729" s="13" t="str">
        <f t="shared" si="97"/>
        <v>J448_疾患開始日</v>
      </c>
      <c r="D729" s="13" t="s">
        <v>6381</v>
      </c>
      <c r="E729" s="8"/>
      <c r="F729" s="7" t="s">
        <v>4348</v>
      </c>
      <c r="G729" s="7" t="s">
        <v>25</v>
      </c>
      <c r="H729" s="58"/>
      <c r="I729" s="23"/>
      <c r="J729" s="24"/>
      <c r="M729" s="4"/>
      <c r="N729" s="76"/>
      <c r="O729" s="76"/>
      <c r="P729" s="76" t="str">
        <f t="shared" si="90"/>
        <v>,shikkan721_start_date</v>
      </c>
      <c r="Q729" s="76" t="str">
        <f t="shared" si="91"/>
        <v>DATE</v>
      </c>
      <c r="R729" s="76" t="str">
        <f t="shared" si="92"/>
        <v/>
      </c>
      <c r="S729" s="76" t="str">
        <f t="shared" si="93"/>
        <v/>
      </c>
      <c r="T729" s="76" t="str">
        <f t="shared" si="94"/>
        <v>-- J448_疾患開始日</v>
      </c>
      <c r="U729" s="4" t="str">
        <f t="shared" si="95"/>
        <v>,'shikkan721_start_date'</v>
      </c>
      <c r="V729" s="25" t="str">
        <f t="shared" si="96"/>
        <v>,'shikkan721_start_date' : 'J448_疾患開始日'</v>
      </c>
      <c r="X729" s="25">
        <v>1</v>
      </c>
      <c r="AA729" s="4"/>
      <c r="AB729" s="4"/>
      <c r="AC729" s="4"/>
      <c r="AD729" s="4"/>
      <c r="AE729" s="4"/>
      <c r="AF729" s="4"/>
      <c r="AG729" s="4"/>
      <c r="AH729" s="4"/>
      <c r="AI729" s="4"/>
      <c r="AJ729" s="76" t="str">
        <f>IF(E729="○",IF(COUNTA(E$13:E729)=1,"",",")&amp;D729,"")</f>
        <v/>
      </c>
      <c r="AK729" s="4"/>
      <c r="AL729" s="4"/>
      <c r="AM729" s="4"/>
      <c r="AN729" s="4"/>
      <c r="AO729" s="4"/>
      <c r="AP729" s="4"/>
      <c r="AQ729" s="4"/>
      <c r="AR729" s="4"/>
      <c r="AS729" s="76" t="str">
        <f>"COMMENT ON COLUMN "&amp;エンティティ一覧!$O$2&amp;"."&amp;D$8&amp;"."&amp;D729&amp;" IS '"&amp;C729&amp;"';"</f>
        <v>COMMENT ON COLUMN milscm_2023_009.main_diagnosis_start_date.shikkan721_start_date IS 'J448_疾患開始日';</v>
      </c>
    </row>
    <row r="730" spans="1:45" s="25" customFormat="1">
      <c r="A730" s="4" t="s">
        <v>5805</v>
      </c>
      <c r="B730" s="21">
        <f t="shared" si="89"/>
        <v>728</v>
      </c>
      <c r="C730" s="13" t="str">
        <f t="shared" si="97"/>
        <v>J449_疾患開始日</v>
      </c>
      <c r="D730" s="13" t="s">
        <v>6382</v>
      </c>
      <c r="E730" s="8"/>
      <c r="F730" s="7" t="s">
        <v>4348</v>
      </c>
      <c r="G730" s="7" t="s">
        <v>25</v>
      </c>
      <c r="H730" s="58"/>
      <c r="I730" s="23"/>
      <c r="J730" s="24"/>
      <c r="M730" s="4"/>
      <c r="N730" s="76"/>
      <c r="O730" s="76"/>
      <c r="P730" s="76" t="str">
        <f t="shared" si="90"/>
        <v>,shikkan722_start_date</v>
      </c>
      <c r="Q730" s="76" t="str">
        <f t="shared" si="91"/>
        <v>DATE</v>
      </c>
      <c r="R730" s="76" t="str">
        <f t="shared" si="92"/>
        <v/>
      </c>
      <c r="S730" s="76" t="str">
        <f t="shared" si="93"/>
        <v/>
      </c>
      <c r="T730" s="76" t="str">
        <f t="shared" si="94"/>
        <v>-- J449_疾患開始日</v>
      </c>
      <c r="U730" s="4" t="str">
        <f t="shared" si="95"/>
        <v>,'shikkan722_start_date'</v>
      </c>
      <c r="V730" s="25" t="str">
        <f t="shared" si="96"/>
        <v>,'shikkan722_start_date' : 'J449_疾患開始日'</v>
      </c>
      <c r="X730" s="25">
        <v>1</v>
      </c>
      <c r="AA730" s="4"/>
      <c r="AB730" s="4"/>
      <c r="AC730" s="4"/>
      <c r="AD730" s="4"/>
      <c r="AE730" s="4"/>
      <c r="AF730" s="4"/>
      <c r="AG730" s="4"/>
      <c r="AH730" s="4"/>
      <c r="AI730" s="4"/>
      <c r="AJ730" s="76" t="str">
        <f>IF(E730="○",IF(COUNTA(E$13:E730)=1,"",",")&amp;D730,"")</f>
        <v/>
      </c>
      <c r="AK730" s="4"/>
      <c r="AL730" s="4"/>
      <c r="AM730" s="4"/>
      <c r="AN730" s="4"/>
      <c r="AO730" s="4"/>
      <c r="AP730" s="4"/>
      <c r="AQ730" s="4"/>
      <c r="AR730" s="4"/>
      <c r="AS730" s="76" t="str">
        <f>"COMMENT ON COLUMN "&amp;エンティティ一覧!$O$2&amp;"."&amp;D$8&amp;"."&amp;D730&amp;" IS '"&amp;C730&amp;"';"</f>
        <v>COMMENT ON COLUMN milscm_2023_009.main_diagnosis_start_date.shikkan722_start_date IS 'J449_疾患開始日';</v>
      </c>
    </row>
    <row r="731" spans="1:45" s="25" customFormat="1">
      <c r="A731" s="4" t="s">
        <v>5806</v>
      </c>
      <c r="B731" s="21">
        <f t="shared" si="89"/>
        <v>729</v>
      </c>
      <c r="C731" s="13" t="str">
        <f t="shared" si="97"/>
        <v>J450_疾患開始日</v>
      </c>
      <c r="D731" s="13" t="s">
        <v>6383</v>
      </c>
      <c r="E731" s="8"/>
      <c r="F731" s="7" t="s">
        <v>4348</v>
      </c>
      <c r="G731" s="7" t="s">
        <v>25</v>
      </c>
      <c r="H731" s="58"/>
      <c r="I731" s="23"/>
      <c r="J731" s="24"/>
      <c r="M731" s="4"/>
      <c r="N731" s="76"/>
      <c r="O731" s="76"/>
      <c r="P731" s="76" t="str">
        <f t="shared" si="90"/>
        <v>,shikkan723_start_date</v>
      </c>
      <c r="Q731" s="76" t="str">
        <f t="shared" si="91"/>
        <v>DATE</v>
      </c>
      <c r="R731" s="76" t="str">
        <f t="shared" si="92"/>
        <v/>
      </c>
      <c r="S731" s="76" t="str">
        <f t="shared" si="93"/>
        <v/>
      </c>
      <c r="T731" s="76" t="str">
        <f t="shared" si="94"/>
        <v>-- J450_疾患開始日</v>
      </c>
      <c r="U731" s="4" t="str">
        <f t="shared" si="95"/>
        <v>,'shikkan723_start_date'</v>
      </c>
      <c r="V731" s="25" t="str">
        <f t="shared" si="96"/>
        <v>,'shikkan723_start_date' : 'J450_疾患開始日'</v>
      </c>
      <c r="X731" s="25">
        <v>1</v>
      </c>
      <c r="AA731" s="4"/>
      <c r="AB731" s="4"/>
      <c r="AC731" s="4"/>
      <c r="AD731" s="4"/>
      <c r="AE731" s="4"/>
      <c r="AF731" s="4"/>
      <c r="AG731" s="4"/>
      <c r="AH731" s="4"/>
      <c r="AI731" s="4"/>
      <c r="AJ731" s="76" t="str">
        <f>IF(E731="○",IF(COUNTA(E$13:E731)=1,"",",")&amp;D731,"")</f>
        <v/>
      </c>
      <c r="AK731" s="4"/>
      <c r="AL731" s="4"/>
      <c r="AM731" s="4"/>
      <c r="AN731" s="4"/>
      <c r="AO731" s="4"/>
      <c r="AP731" s="4"/>
      <c r="AQ731" s="4"/>
      <c r="AR731" s="4"/>
      <c r="AS731" s="76" t="str">
        <f>"COMMENT ON COLUMN "&amp;エンティティ一覧!$O$2&amp;"."&amp;D$8&amp;"."&amp;D731&amp;" IS '"&amp;C731&amp;"';"</f>
        <v>COMMENT ON COLUMN milscm_2023_009.main_diagnosis_start_date.shikkan723_start_date IS 'J450_疾患開始日';</v>
      </c>
    </row>
    <row r="732" spans="1:45" s="25" customFormat="1">
      <c r="A732" s="4" t="s">
        <v>5807</v>
      </c>
      <c r="B732" s="21">
        <f t="shared" si="89"/>
        <v>730</v>
      </c>
      <c r="C732" s="13" t="str">
        <f t="shared" si="97"/>
        <v>J451_疾患開始日</v>
      </c>
      <c r="D732" s="13" t="s">
        <v>6384</v>
      </c>
      <c r="E732" s="8"/>
      <c r="F732" s="7" t="s">
        <v>4348</v>
      </c>
      <c r="G732" s="7" t="s">
        <v>25</v>
      </c>
      <c r="H732" s="58"/>
      <c r="I732" s="23"/>
      <c r="J732" s="24"/>
      <c r="M732" s="4"/>
      <c r="N732" s="76"/>
      <c r="O732" s="76"/>
      <c r="P732" s="76" t="str">
        <f t="shared" si="90"/>
        <v>,shikkan724_start_date</v>
      </c>
      <c r="Q732" s="76" t="str">
        <f t="shared" si="91"/>
        <v>DATE</v>
      </c>
      <c r="R732" s="76" t="str">
        <f t="shared" si="92"/>
        <v/>
      </c>
      <c r="S732" s="76" t="str">
        <f t="shared" si="93"/>
        <v/>
      </c>
      <c r="T732" s="76" t="str">
        <f t="shared" si="94"/>
        <v>-- J451_疾患開始日</v>
      </c>
      <c r="U732" s="4" t="str">
        <f t="shared" si="95"/>
        <v>,'shikkan724_start_date'</v>
      </c>
      <c r="V732" s="25" t="str">
        <f t="shared" si="96"/>
        <v>,'shikkan724_start_date' : 'J451_疾患開始日'</v>
      </c>
      <c r="X732" s="25">
        <v>1</v>
      </c>
      <c r="AA732" s="4"/>
      <c r="AB732" s="4"/>
      <c r="AC732" s="4"/>
      <c r="AD732" s="4"/>
      <c r="AE732" s="4"/>
      <c r="AF732" s="4"/>
      <c r="AG732" s="4"/>
      <c r="AH732" s="4"/>
      <c r="AI732" s="4"/>
      <c r="AJ732" s="76" t="str">
        <f>IF(E732="○",IF(COUNTA(E$13:E732)=1,"",",")&amp;D732,"")</f>
        <v/>
      </c>
      <c r="AK732" s="4"/>
      <c r="AL732" s="4"/>
      <c r="AM732" s="4"/>
      <c r="AN732" s="4"/>
      <c r="AO732" s="4"/>
      <c r="AP732" s="4"/>
      <c r="AQ732" s="4"/>
      <c r="AR732" s="4"/>
      <c r="AS732" s="76" t="str">
        <f>"COMMENT ON COLUMN "&amp;エンティティ一覧!$O$2&amp;"."&amp;D$8&amp;"."&amp;D732&amp;" IS '"&amp;C732&amp;"';"</f>
        <v>COMMENT ON COLUMN milscm_2023_009.main_diagnosis_start_date.shikkan724_start_date IS 'J451_疾患開始日';</v>
      </c>
    </row>
    <row r="733" spans="1:45" s="25" customFormat="1">
      <c r="A733" s="4" t="s">
        <v>5808</v>
      </c>
      <c r="B733" s="21">
        <f t="shared" si="89"/>
        <v>731</v>
      </c>
      <c r="C733" s="13" t="str">
        <f t="shared" si="97"/>
        <v>J458_疾患開始日</v>
      </c>
      <c r="D733" s="13" t="s">
        <v>6385</v>
      </c>
      <c r="E733" s="8"/>
      <c r="F733" s="7" t="s">
        <v>4348</v>
      </c>
      <c r="G733" s="7" t="s">
        <v>25</v>
      </c>
      <c r="H733" s="58"/>
      <c r="I733" s="23"/>
      <c r="J733" s="24"/>
      <c r="M733" s="4"/>
      <c r="N733" s="76"/>
      <c r="O733" s="76"/>
      <c r="P733" s="76" t="str">
        <f t="shared" si="90"/>
        <v>,shikkan725_start_date</v>
      </c>
      <c r="Q733" s="76" t="str">
        <f t="shared" si="91"/>
        <v>DATE</v>
      </c>
      <c r="R733" s="76" t="str">
        <f t="shared" si="92"/>
        <v/>
      </c>
      <c r="S733" s="76" t="str">
        <f t="shared" si="93"/>
        <v/>
      </c>
      <c r="T733" s="76" t="str">
        <f t="shared" si="94"/>
        <v>-- J458_疾患開始日</v>
      </c>
      <c r="U733" s="4" t="str">
        <f t="shared" si="95"/>
        <v>,'shikkan725_start_date'</v>
      </c>
      <c r="V733" s="25" t="str">
        <f t="shared" si="96"/>
        <v>,'shikkan725_start_date' : 'J458_疾患開始日'</v>
      </c>
      <c r="X733" s="25">
        <v>1</v>
      </c>
      <c r="AA733" s="4"/>
      <c r="AB733" s="4"/>
      <c r="AC733" s="4"/>
      <c r="AD733" s="4"/>
      <c r="AE733" s="4"/>
      <c r="AF733" s="4"/>
      <c r="AG733" s="4"/>
      <c r="AH733" s="4"/>
      <c r="AI733" s="4"/>
      <c r="AJ733" s="76" t="str">
        <f>IF(E733="○",IF(COUNTA(E$13:E733)=1,"",",")&amp;D733,"")</f>
        <v/>
      </c>
      <c r="AK733" s="4"/>
      <c r="AL733" s="4"/>
      <c r="AM733" s="4"/>
      <c r="AN733" s="4"/>
      <c r="AO733" s="4"/>
      <c r="AP733" s="4"/>
      <c r="AQ733" s="4"/>
      <c r="AR733" s="4"/>
      <c r="AS733" s="76" t="str">
        <f>"COMMENT ON COLUMN "&amp;エンティティ一覧!$O$2&amp;"."&amp;D$8&amp;"."&amp;D733&amp;" IS '"&amp;C733&amp;"';"</f>
        <v>COMMENT ON COLUMN milscm_2023_009.main_diagnosis_start_date.shikkan725_start_date IS 'J458_疾患開始日';</v>
      </c>
    </row>
    <row r="734" spans="1:45" s="25" customFormat="1">
      <c r="A734" s="4" t="s">
        <v>5809</v>
      </c>
      <c r="B734" s="21">
        <f t="shared" si="89"/>
        <v>732</v>
      </c>
      <c r="C734" s="13" t="str">
        <f t="shared" si="97"/>
        <v>J459_疾患開始日</v>
      </c>
      <c r="D734" s="13" t="s">
        <v>6386</v>
      </c>
      <c r="E734" s="8"/>
      <c r="F734" s="7" t="s">
        <v>4348</v>
      </c>
      <c r="G734" s="7" t="s">
        <v>25</v>
      </c>
      <c r="H734" s="58"/>
      <c r="I734" s="23"/>
      <c r="J734" s="24"/>
      <c r="M734" s="4"/>
      <c r="N734" s="76"/>
      <c r="O734" s="76"/>
      <c r="P734" s="76" t="str">
        <f t="shared" si="90"/>
        <v>,shikkan726_start_date</v>
      </c>
      <c r="Q734" s="76" t="str">
        <f t="shared" si="91"/>
        <v>DATE</v>
      </c>
      <c r="R734" s="76" t="str">
        <f t="shared" si="92"/>
        <v/>
      </c>
      <c r="S734" s="76" t="str">
        <f t="shared" si="93"/>
        <v/>
      </c>
      <c r="T734" s="76" t="str">
        <f t="shared" si="94"/>
        <v>-- J459_疾患開始日</v>
      </c>
      <c r="U734" s="4" t="str">
        <f t="shared" si="95"/>
        <v>,'shikkan726_start_date'</v>
      </c>
      <c r="V734" s="25" t="str">
        <f t="shared" si="96"/>
        <v>,'shikkan726_start_date' : 'J459_疾患開始日'</v>
      </c>
      <c r="X734" s="25">
        <v>1</v>
      </c>
      <c r="AA734" s="4"/>
      <c r="AB734" s="4"/>
      <c r="AC734" s="4"/>
      <c r="AD734" s="4"/>
      <c r="AE734" s="4"/>
      <c r="AF734" s="4"/>
      <c r="AG734" s="4"/>
      <c r="AH734" s="4"/>
      <c r="AI734" s="4"/>
      <c r="AJ734" s="76" t="str">
        <f>IF(E734="○",IF(COUNTA(E$13:E734)=1,"",",")&amp;D734,"")</f>
        <v/>
      </c>
      <c r="AK734" s="4"/>
      <c r="AL734" s="4"/>
      <c r="AM734" s="4"/>
      <c r="AN734" s="4"/>
      <c r="AO734" s="4"/>
      <c r="AP734" s="4"/>
      <c r="AQ734" s="4"/>
      <c r="AR734" s="4"/>
      <c r="AS734" s="76" t="str">
        <f>"COMMENT ON COLUMN "&amp;エンティティ一覧!$O$2&amp;"."&amp;D$8&amp;"."&amp;D734&amp;" IS '"&amp;C734&amp;"';"</f>
        <v>COMMENT ON COLUMN milscm_2023_009.main_diagnosis_start_date.shikkan726_start_date IS 'J459_疾患開始日';</v>
      </c>
    </row>
    <row r="735" spans="1:45" s="25" customFormat="1">
      <c r="A735" s="4" t="s">
        <v>5066</v>
      </c>
      <c r="B735" s="21">
        <f t="shared" si="89"/>
        <v>733</v>
      </c>
      <c r="C735" s="13" t="str">
        <f t="shared" si="97"/>
        <v>J46_疾患開始日</v>
      </c>
      <c r="D735" s="13" t="s">
        <v>6387</v>
      </c>
      <c r="E735" s="8"/>
      <c r="F735" s="7" t="s">
        <v>4348</v>
      </c>
      <c r="G735" s="7" t="s">
        <v>25</v>
      </c>
      <c r="H735" s="58"/>
      <c r="I735" s="23"/>
      <c r="J735" s="24"/>
      <c r="M735" s="4"/>
      <c r="N735" s="76"/>
      <c r="O735" s="76"/>
      <c r="P735" s="76" t="str">
        <f t="shared" si="90"/>
        <v>,shikkan727_start_date</v>
      </c>
      <c r="Q735" s="76" t="str">
        <f t="shared" si="91"/>
        <v>DATE</v>
      </c>
      <c r="R735" s="76" t="str">
        <f t="shared" si="92"/>
        <v/>
      </c>
      <c r="S735" s="76" t="str">
        <f t="shared" si="93"/>
        <v/>
      </c>
      <c r="T735" s="76" t="str">
        <f t="shared" si="94"/>
        <v>-- J46_疾患開始日</v>
      </c>
      <c r="U735" s="4" t="str">
        <f t="shared" si="95"/>
        <v>,'shikkan727_start_date'</v>
      </c>
      <c r="V735" s="25" t="str">
        <f t="shared" si="96"/>
        <v>,'shikkan727_start_date' : 'J46_疾患開始日'</v>
      </c>
      <c r="X735" s="25">
        <v>1</v>
      </c>
      <c r="AA735" s="4"/>
      <c r="AB735" s="4"/>
      <c r="AC735" s="4"/>
      <c r="AD735" s="4"/>
      <c r="AE735" s="4"/>
      <c r="AF735" s="4"/>
      <c r="AG735" s="4"/>
      <c r="AH735" s="4"/>
      <c r="AI735" s="4"/>
      <c r="AJ735" s="76" t="str">
        <f>IF(E735="○",IF(COUNTA(E$13:E735)=1,"",",")&amp;D735,"")</f>
        <v/>
      </c>
      <c r="AK735" s="4"/>
      <c r="AL735" s="4"/>
      <c r="AM735" s="4"/>
      <c r="AN735" s="4"/>
      <c r="AO735" s="4"/>
      <c r="AP735" s="4"/>
      <c r="AQ735" s="4"/>
      <c r="AR735" s="4"/>
      <c r="AS735" s="76" t="str">
        <f>"COMMENT ON COLUMN "&amp;エンティティ一覧!$O$2&amp;"."&amp;D$8&amp;"."&amp;D735&amp;" IS '"&amp;C735&amp;"';"</f>
        <v>COMMENT ON COLUMN milscm_2023_009.main_diagnosis_start_date.shikkan727_start_date IS 'J46_疾患開始日';</v>
      </c>
    </row>
    <row r="736" spans="1:45" s="25" customFormat="1">
      <c r="A736" s="4" t="s">
        <v>5067</v>
      </c>
      <c r="B736" s="21">
        <f t="shared" si="89"/>
        <v>734</v>
      </c>
      <c r="C736" s="13" t="str">
        <f t="shared" si="97"/>
        <v>J47_疾患開始日</v>
      </c>
      <c r="D736" s="13" t="s">
        <v>6388</v>
      </c>
      <c r="E736" s="8"/>
      <c r="F736" s="7" t="s">
        <v>4348</v>
      </c>
      <c r="G736" s="7" t="s">
        <v>25</v>
      </c>
      <c r="H736" s="58"/>
      <c r="I736" s="23"/>
      <c r="J736" s="24"/>
      <c r="M736" s="4"/>
      <c r="N736" s="76"/>
      <c r="O736" s="76"/>
      <c r="P736" s="76" t="str">
        <f t="shared" si="90"/>
        <v>,shikkan728_start_date</v>
      </c>
      <c r="Q736" s="76" t="str">
        <f t="shared" si="91"/>
        <v>DATE</v>
      </c>
      <c r="R736" s="76" t="str">
        <f t="shared" si="92"/>
        <v/>
      </c>
      <c r="S736" s="76" t="str">
        <f t="shared" si="93"/>
        <v/>
      </c>
      <c r="T736" s="76" t="str">
        <f t="shared" si="94"/>
        <v>-- J47_疾患開始日</v>
      </c>
      <c r="U736" s="4" t="str">
        <f t="shared" si="95"/>
        <v>,'shikkan728_start_date'</v>
      </c>
      <c r="V736" s="25" t="str">
        <f t="shared" si="96"/>
        <v>,'shikkan728_start_date' : 'J47_疾患開始日'</v>
      </c>
      <c r="X736" s="25">
        <v>1</v>
      </c>
      <c r="AA736" s="4"/>
      <c r="AB736" s="4"/>
      <c r="AC736" s="4"/>
      <c r="AD736" s="4"/>
      <c r="AE736" s="4"/>
      <c r="AF736" s="4"/>
      <c r="AG736" s="4"/>
      <c r="AH736" s="4"/>
      <c r="AI736" s="4"/>
      <c r="AJ736" s="76" t="str">
        <f>IF(E736="○",IF(COUNTA(E$13:E736)=1,"",",")&amp;D736,"")</f>
        <v/>
      </c>
      <c r="AK736" s="4"/>
      <c r="AL736" s="4"/>
      <c r="AM736" s="4"/>
      <c r="AN736" s="4"/>
      <c r="AO736" s="4"/>
      <c r="AP736" s="4"/>
      <c r="AQ736" s="4"/>
      <c r="AR736" s="4"/>
      <c r="AS736" s="76" t="str">
        <f>"COMMENT ON COLUMN "&amp;エンティティ一覧!$O$2&amp;"."&amp;D$8&amp;"."&amp;D736&amp;" IS '"&amp;C736&amp;"';"</f>
        <v>COMMENT ON COLUMN milscm_2023_009.main_diagnosis_start_date.shikkan728_start_date IS 'J47_疾患開始日';</v>
      </c>
    </row>
    <row r="737" spans="1:45" s="25" customFormat="1">
      <c r="A737" s="4" t="s">
        <v>5068</v>
      </c>
      <c r="B737" s="21">
        <f t="shared" si="89"/>
        <v>735</v>
      </c>
      <c r="C737" s="13" t="str">
        <f t="shared" si="97"/>
        <v>J60_疾患開始日</v>
      </c>
      <c r="D737" s="13" t="s">
        <v>6389</v>
      </c>
      <c r="E737" s="8"/>
      <c r="F737" s="7" t="s">
        <v>4348</v>
      </c>
      <c r="G737" s="7" t="s">
        <v>25</v>
      </c>
      <c r="H737" s="58"/>
      <c r="I737" s="23"/>
      <c r="J737" s="24"/>
      <c r="M737" s="4"/>
      <c r="N737" s="76"/>
      <c r="O737" s="76"/>
      <c r="P737" s="76" t="str">
        <f t="shared" si="90"/>
        <v>,shikkan729_start_date</v>
      </c>
      <c r="Q737" s="76" t="str">
        <f t="shared" si="91"/>
        <v>DATE</v>
      </c>
      <c r="R737" s="76" t="str">
        <f t="shared" si="92"/>
        <v/>
      </c>
      <c r="S737" s="76" t="str">
        <f t="shared" si="93"/>
        <v/>
      </c>
      <c r="T737" s="76" t="str">
        <f t="shared" si="94"/>
        <v>-- J60_疾患開始日</v>
      </c>
      <c r="U737" s="4" t="str">
        <f t="shared" si="95"/>
        <v>,'shikkan729_start_date'</v>
      </c>
      <c r="V737" s="25" t="str">
        <f t="shared" si="96"/>
        <v>,'shikkan729_start_date' : 'J60_疾患開始日'</v>
      </c>
      <c r="X737" s="25">
        <v>1</v>
      </c>
      <c r="AA737" s="4"/>
      <c r="AB737" s="4"/>
      <c r="AC737" s="4"/>
      <c r="AD737" s="4"/>
      <c r="AE737" s="4"/>
      <c r="AF737" s="4"/>
      <c r="AG737" s="4"/>
      <c r="AH737" s="4"/>
      <c r="AI737" s="4"/>
      <c r="AJ737" s="76" t="str">
        <f>IF(E737="○",IF(COUNTA(E$13:E737)=1,"",",")&amp;D737,"")</f>
        <v/>
      </c>
      <c r="AK737" s="4"/>
      <c r="AL737" s="4"/>
      <c r="AM737" s="4"/>
      <c r="AN737" s="4"/>
      <c r="AO737" s="4"/>
      <c r="AP737" s="4"/>
      <c r="AQ737" s="4"/>
      <c r="AR737" s="4"/>
      <c r="AS737" s="76" t="str">
        <f>"COMMENT ON COLUMN "&amp;エンティティ一覧!$O$2&amp;"."&amp;D$8&amp;"."&amp;D737&amp;" IS '"&amp;C737&amp;"';"</f>
        <v>COMMENT ON COLUMN milscm_2023_009.main_diagnosis_start_date.shikkan729_start_date IS 'J60_疾患開始日';</v>
      </c>
    </row>
    <row r="738" spans="1:45" s="25" customFormat="1">
      <c r="A738" s="4" t="s">
        <v>5069</v>
      </c>
      <c r="B738" s="21">
        <f t="shared" si="89"/>
        <v>736</v>
      </c>
      <c r="C738" s="13" t="str">
        <f t="shared" si="97"/>
        <v>J61_疾患開始日</v>
      </c>
      <c r="D738" s="13" t="s">
        <v>6390</v>
      </c>
      <c r="E738" s="8"/>
      <c r="F738" s="7" t="s">
        <v>4348</v>
      </c>
      <c r="G738" s="7" t="s">
        <v>25</v>
      </c>
      <c r="H738" s="58"/>
      <c r="I738" s="23"/>
      <c r="J738" s="24"/>
      <c r="M738" s="4"/>
      <c r="N738" s="76"/>
      <c r="O738" s="76"/>
      <c r="P738" s="76" t="str">
        <f t="shared" si="90"/>
        <v>,shikkan730_start_date</v>
      </c>
      <c r="Q738" s="76" t="str">
        <f t="shared" si="91"/>
        <v>DATE</v>
      </c>
      <c r="R738" s="76" t="str">
        <f t="shared" si="92"/>
        <v/>
      </c>
      <c r="S738" s="76" t="str">
        <f t="shared" si="93"/>
        <v/>
      </c>
      <c r="T738" s="76" t="str">
        <f t="shared" si="94"/>
        <v>-- J61_疾患開始日</v>
      </c>
      <c r="U738" s="4" t="str">
        <f t="shared" si="95"/>
        <v>,'shikkan730_start_date'</v>
      </c>
      <c r="V738" s="25" t="str">
        <f t="shared" si="96"/>
        <v>,'shikkan730_start_date' : 'J61_疾患開始日'</v>
      </c>
      <c r="X738" s="25">
        <v>1</v>
      </c>
      <c r="AA738" s="4"/>
      <c r="AB738" s="4"/>
      <c r="AC738" s="4"/>
      <c r="AD738" s="4"/>
      <c r="AE738" s="4"/>
      <c r="AF738" s="4"/>
      <c r="AG738" s="4"/>
      <c r="AH738" s="4"/>
      <c r="AI738" s="4"/>
      <c r="AJ738" s="76" t="str">
        <f>IF(E738="○",IF(COUNTA(E$13:E738)=1,"",",")&amp;D738,"")</f>
        <v/>
      </c>
      <c r="AK738" s="4"/>
      <c r="AL738" s="4"/>
      <c r="AM738" s="4"/>
      <c r="AN738" s="4"/>
      <c r="AO738" s="4"/>
      <c r="AP738" s="4"/>
      <c r="AQ738" s="4"/>
      <c r="AR738" s="4"/>
      <c r="AS738" s="76" t="str">
        <f>"COMMENT ON COLUMN "&amp;エンティティ一覧!$O$2&amp;"."&amp;D$8&amp;"."&amp;D738&amp;" IS '"&amp;C738&amp;"';"</f>
        <v>COMMENT ON COLUMN milscm_2023_009.main_diagnosis_start_date.shikkan730_start_date IS 'J61_疾患開始日';</v>
      </c>
    </row>
    <row r="739" spans="1:45" s="25" customFormat="1">
      <c r="A739" s="4" t="s">
        <v>5810</v>
      </c>
      <c r="B739" s="21">
        <f t="shared" si="89"/>
        <v>737</v>
      </c>
      <c r="C739" s="13" t="str">
        <f t="shared" si="97"/>
        <v>J620_疾患開始日</v>
      </c>
      <c r="D739" s="13" t="s">
        <v>6391</v>
      </c>
      <c r="E739" s="8"/>
      <c r="F739" s="7" t="s">
        <v>4348</v>
      </c>
      <c r="G739" s="7" t="s">
        <v>25</v>
      </c>
      <c r="H739" s="58"/>
      <c r="I739" s="23"/>
      <c r="J739" s="24"/>
      <c r="M739" s="4"/>
      <c r="N739" s="76"/>
      <c r="O739" s="76"/>
      <c r="P739" s="76" t="str">
        <f t="shared" si="90"/>
        <v>,shikkan731_start_date</v>
      </c>
      <c r="Q739" s="76" t="str">
        <f t="shared" si="91"/>
        <v>DATE</v>
      </c>
      <c r="R739" s="76" t="str">
        <f t="shared" si="92"/>
        <v/>
      </c>
      <c r="S739" s="76" t="str">
        <f t="shared" si="93"/>
        <v/>
      </c>
      <c r="T739" s="76" t="str">
        <f t="shared" si="94"/>
        <v>-- J620_疾患開始日</v>
      </c>
      <c r="U739" s="4" t="str">
        <f t="shared" si="95"/>
        <v>,'shikkan731_start_date'</v>
      </c>
      <c r="V739" s="25" t="str">
        <f t="shared" si="96"/>
        <v>,'shikkan731_start_date' : 'J620_疾患開始日'</v>
      </c>
      <c r="X739" s="25">
        <v>1</v>
      </c>
      <c r="AA739" s="4"/>
      <c r="AB739" s="4"/>
      <c r="AC739" s="4"/>
      <c r="AD739" s="4"/>
      <c r="AE739" s="4"/>
      <c r="AF739" s="4"/>
      <c r="AG739" s="4"/>
      <c r="AH739" s="4"/>
      <c r="AI739" s="4"/>
      <c r="AJ739" s="76" t="str">
        <f>IF(E739="○",IF(COUNTA(E$13:E739)=1,"",",")&amp;D739,"")</f>
        <v/>
      </c>
      <c r="AK739" s="4"/>
      <c r="AL739" s="4"/>
      <c r="AM739" s="4"/>
      <c r="AN739" s="4"/>
      <c r="AO739" s="4"/>
      <c r="AP739" s="4"/>
      <c r="AQ739" s="4"/>
      <c r="AR739" s="4"/>
      <c r="AS739" s="76" t="str">
        <f>"COMMENT ON COLUMN "&amp;エンティティ一覧!$O$2&amp;"."&amp;D$8&amp;"."&amp;D739&amp;" IS '"&amp;C739&amp;"';"</f>
        <v>COMMENT ON COLUMN milscm_2023_009.main_diagnosis_start_date.shikkan731_start_date IS 'J620_疾患開始日';</v>
      </c>
    </row>
    <row r="740" spans="1:45" s="25" customFormat="1">
      <c r="A740" s="4" t="s">
        <v>5811</v>
      </c>
      <c r="B740" s="21">
        <f t="shared" si="89"/>
        <v>738</v>
      </c>
      <c r="C740" s="13" t="str">
        <f t="shared" si="97"/>
        <v>J628_疾患開始日</v>
      </c>
      <c r="D740" s="13" t="s">
        <v>6392</v>
      </c>
      <c r="E740" s="8"/>
      <c r="F740" s="7" t="s">
        <v>4348</v>
      </c>
      <c r="G740" s="7" t="s">
        <v>25</v>
      </c>
      <c r="H740" s="58"/>
      <c r="I740" s="23"/>
      <c r="J740" s="24"/>
      <c r="M740" s="4"/>
      <c r="N740" s="76"/>
      <c r="O740" s="76"/>
      <c r="P740" s="76" t="str">
        <f t="shared" si="90"/>
        <v>,shikkan732_start_date</v>
      </c>
      <c r="Q740" s="76" t="str">
        <f t="shared" si="91"/>
        <v>DATE</v>
      </c>
      <c r="R740" s="76" t="str">
        <f t="shared" si="92"/>
        <v/>
      </c>
      <c r="S740" s="76" t="str">
        <f t="shared" si="93"/>
        <v/>
      </c>
      <c r="T740" s="76" t="str">
        <f t="shared" si="94"/>
        <v>-- J628_疾患開始日</v>
      </c>
      <c r="U740" s="4" t="str">
        <f t="shared" si="95"/>
        <v>,'shikkan732_start_date'</v>
      </c>
      <c r="V740" s="25" t="str">
        <f t="shared" si="96"/>
        <v>,'shikkan732_start_date' : 'J628_疾患開始日'</v>
      </c>
      <c r="X740" s="25">
        <v>1</v>
      </c>
      <c r="AA740" s="4"/>
      <c r="AB740" s="4"/>
      <c r="AC740" s="4"/>
      <c r="AD740" s="4"/>
      <c r="AE740" s="4"/>
      <c r="AF740" s="4"/>
      <c r="AG740" s="4"/>
      <c r="AH740" s="4"/>
      <c r="AI740" s="4"/>
      <c r="AJ740" s="76" t="str">
        <f>IF(E740="○",IF(COUNTA(E$13:E740)=1,"",",")&amp;D740,"")</f>
        <v/>
      </c>
      <c r="AK740" s="4"/>
      <c r="AL740" s="4"/>
      <c r="AM740" s="4"/>
      <c r="AN740" s="4"/>
      <c r="AO740" s="4"/>
      <c r="AP740" s="4"/>
      <c r="AQ740" s="4"/>
      <c r="AR740" s="4"/>
      <c r="AS740" s="76" t="str">
        <f>"COMMENT ON COLUMN "&amp;エンティティ一覧!$O$2&amp;"."&amp;D$8&amp;"."&amp;D740&amp;" IS '"&amp;C740&amp;"';"</f>
        <v>COMMENT ON COLUMN milscm_2023_009.main_diagnosis_start_date.shikkan732_start_date IS 'J628_疾患開始日';</v>
      </c>
    </row>
    <row r="741" spans="1:45" s="25" customFormat="1">
      <c r="A741" s="4" t="s">
        <v>5812</v>
      </c>
      <c r="B741" s="21">
        <f t="shared" si="89"/>
        <v>739</v>
      </c>
      <c r="C741" s="13" t="str">
        <f t="shared" si="97"/>
        <v>J630_疾患開始日</v>
      </c>
      <c r="D741" s="13" t="s">
        <v>6393</v>
      </c>
      <c r="E741" s="8"/>
      <c r="F741" s="7" t="s">
        <v>4348</v>
      </c>
      <c r="G741" s="7" t="s">
        <v>25</v>
      </c>
      <c r="H741" s="58"/>
      <c r="I741" s="23"/>
      <c r="J741" s="24"/>
      <c r="M741" s="4"/>
      <c r="N741" s="76"/>
      <c r="O741" s="76"/>
      <c r="P741" s="76" t="str">
        <f t="shared" si="90"/>
        <v>,shikkan733_start_date</v>
      </c>
      <c r="Q741" s="76" t="str">
        <f t="shared" si="91"/>
        <v>DATE</v>
      </c>
      <c r="R741" s="76" t="str">
        <f t="shared" si="92"/>
        <v/>
      </c>
      <c r="S741" s="76" t="str">
        <f t="shared" si="93"/>
        <v/>
      </c>
      <c r="T741" s="76" t="str">
        <f t="shared" si="94"/>
        <v>-- J630_疾患開始日</v>
      </c>
      <c r="U741" s="4" t="str">
        <f t="shared" si="95"/>
        <v>,'shikkan733_start_date'</v>
      </c>
      <c r="V741" s="25" t="str">
        <f t="shared" si="96"/>
        <v>,'shikkan733_start_date' : 'J630_疾患開始日'</v>
      </c>
      <c r="X741" s="25">
        <v>1</v>
      </c>
      <c r="AA741" s="4"/>
      <c r="AB741" s="4"/>
      <c r="AC741" s="4"/>
      <c r="AD741" s="4"/>
      <c r="AE741" s="4"/>
      <c r="AF741" s="4"/>
      <c r="AG741" s="4"/>
      <c r="AH741" s="4"/>
      <c r="AI741" s="4"/>
      <c r="AJ741" s="76" t="str">
        <f>IF(E741="○",IF(COUNTA(E$13:E741)=1,"",",")&amp;D741,"")</f>
        <v/>
      </c>
      <c r="AK741" s="4"/>
      <c r="AL741" s="4"/>
      <c r="AM741" s="4"/>
      <c r="AN741" s="4"/>
      <c r="AO741" s="4"/>
      <c r="AP741" s="4"/>
      <c r="AQ741" s="4"/>
      <c r="AR741" s="4"/>
      <c r="AS741" s="76" t="str">
        <f>"COMMENT ON COLUMN "&amp;エンティティ一覧!$O$2&amp;"."&amp;D$8&amp;"."&amp;D741&amp;" IS '"&amp;C741&amp;"';"</f>
        <v>COMMENT ON COLUMN milscm_2023_009.main_diagnosis_start_date.shikkan733_start_date IS 'J630_疾患開始日';</v>
      </c>
    </row>
    <row r="742" spans="1:45" s="25" customFormat="1">
      <c r="A742" s="4" t="s">
        <v>5813</v>
      </c>
      <c r="B742" s="21">
        <f t="shared" si="89"/>
        <v>740</v>
      </c>
      <c r="C742" s="13" t="str">
        <f t="shared" si="97"/>
        <v>J631_疾患開始日</v>
      </c>
      <c r="D742" s="13" t="s">
        <v>6394</v>
      </c>
      <c r="E742" s="8"/>
      <c r="F742" s="7" t="s">
        <v>4348</v>
      </c>
      <c r="G742" s="7" t="s">
        <v>25</v>
      </c>
      <c r="H742" s="58"/>
      <c r="I742" s="23"/>
      <c r="J742" s="24"/>
      <c r="M742" s="4"/>
      <c r="N742" s="76"/>
      <c r="O742" s="76"/>
      <c r="P742" s="76" t="str">
        <f t="shared" si="90"/>
        <v>,shikkan734_start_date</v>
      </c>
      <c r="Q742" s="76" t="str">
        <f t="shared" si="91"/>
        <v>DATE</v>
      </c>
      <c r="R742" s="76" t="str">
        <f t="shared" si="92"/>
        <v/>
      </c>
      <c r="S742" s="76" t="str">
        <f t="shared" si="93"/>
        <v/>
      </c>
      <c r="T742" s="76" t="str">
        <f t="shared" si="94"/>
        <v>-- J631_疾患開始日</v>
      </c>
      <c r="U742" s="4" t="str">
        <f t="shared" si="95"/>
        <v>,'shikkan734_start_date'</v>
      </c>
      <c r="V742" s="25" t="str">
        <f t="shared" si="96"/>
        <v>,'shikkan734_start_date' : 'J631_疾患開始日'</v>
      </c>
      <c r="X742" s="25">
        <v>1</v>
      </c>
      <c r="AA742" s="4"/>
      <c r="AB742" s="4"/>
      <c r="AC742" s="4"/>
      <c r="AD742" s="4"/>
      <c r="AE742" s="4"/>
      <c r="AF742" s="4"/>
      <c r="AG742" s="4"/>
      <c r="AH742" s="4"/>
      <c r="AI742" s="4"/>
      <c r="AJ742" s="76" t="str">
        <f>IF(E742="○",IF(COUNTA(E$13:E742)=1,"",",")&amp;D742,"")</f>
        <v/>
      </c>
      <c r="AK742" s="4"/>
      <c r="AL742" s="4"/>
      <c r="AM742" s="4"/>
      <c r="AN742" s="4"/>
      <c r="AO742" s="4"/>
      <c r="AP742" s="4"/>
      <c r="AQ742" s="4"/>
      <c r="AR742" s="4"/>
      <c r="AS742" s="76" t="str">
        <f>"COMMENT ON COLUMN "&amp;エンティティ一覧!$O$2&amp;"."&amp;D$8&amp;"."&amp;D742&amp;" IS '"&amp;C742&amp;"';"</f>
        <v>COMMENT ON COLUMN milscm_2023_009.main_diagnosis_start_date.shikkan734_start_date IS 'J631_疾患開始日';</v>
      </c>
    </row>
    <row r="743" spans="1:45" s="25" customFormat="1">
      <c r="A743" s="4" t="s">
        <v>5814</v>
      </c>
      <c r="B743" s="21">
        <f t="shared" si="89"/>
        <v>741</v>
      </c>
      <c r="C743" s="13" t="str">
        <f t="shared" si="97"/>
        <v>J632_疾患開始日</v>
      </c>
      <c r="D743" s="13" t="s">
        <v>6395</v>
      </c>
      <c r="E743" s="8"/>
      <c r="F743" s="7" t="s">
        <v>4348</v>
      </c>
      <c r="G743" s="7" t="s">
        <v>99</v>
      </c>
      <c r="H743" s="58"/>
      <c r="I743" s="23"/>
      <c r="J743" s="24"/>
      <c r="M743" s="4"/>
      <c r="N743" s="76"/>
      <c r="O743" s="76"/>
      <c r="P743" s="76" t="str">
        <f t="shared" si="90"/>
        <v>,shikkan735_start_date</v>
      </c>
      <c r="Q743" s="76" t="str">
        <f t="shared" si="91"/>
        <v>DATE</v>
      </c>
      <c r="R743" s="76" t="str">
        <f t="shared" si="92"/>
        <v/>
      </c>
      <c r="S743" s="76" t="str">
        <f t="shared" si="93"/>
        <v/>
      </c>
      <c r="T743" s="76" t="str">
        <f t="shared" si="94"/>
        <v>-- J632_疾患開始日</v>
      </c>
      <c r="U743" s="4" t="str">
        <f t="shared" si="95"/>
        <v>,'shikkan735_start_date'</v>
      </c>
      <c r="V743" s="25" t="str">
        <f t="shared" si="96"/>
        <v>,'shikkan735_start_date' : 'J632_疾患開始日'</v>
      </c>
      <c r="X743" s="25">
        <v>1</v>
      </c>
      <c r="AA743" s="4"/>
      <c r="AB743" s="4"/>
      <c r="AC743" s="4"/>
      <c r="AD743" s="4"/>
      <c r="AE743" s="4"/>
      <c r="AF743" s="4"/>
      <c r="AG743" s="4"/>
      <c r="AH743" s="4"/>
      <c r="AI743" s="4"/>
      <c r="AJ743" s="76" t="str">
        <f>IF(E743="○",IF(COUNTA(E$13:E743)=1,"",",")&amp;D743,"")</f>
        <v/>
      </c>
      <c r="AK743" s="4"/>
      <c r="AL743" s="4"/>
      <c r="AM743" s="4"/>
      <c r="AN743" s="4"/>
      <c r="AO743" s="4"/>
      <c r="AP743" s="4"/>
      <c r="AQ743" s="4"/>
      <c r="AR743" s="4"/>
      <c r="AS743" s="76" t="str">
        <f>"COMMENT ON COLUMN "&amp;エンティティ一覧!$O$2&amp;"."&amp;D$8&amp;"."&amp;D743&amp;" IS '"&amp;C743&amp;"';"</f>
        <v>COMMENT ON COLUMN milscm_2023_009.main_diagnosis_start_date.shikkan735_start_date IS 'J632_疾患開始日';</v>
      </c>
    </row>
    <row r="744" spans="1:45" s="25" customFormat="1">
      <c r="A744" s="4" t="s">
        <v>5815</v>
      </c>
      <c r="B744" s="21">
        <f t="shared" si="89"/>
        <v>742</v>
      </c>
      <c r="C744" s="13" t="str">
        <f t="shared" si="97"/>
        <v>J633_疾患開始日</v>
      </c>
      <c r="D744" s="13" t="s">
        <v>6396</v>
      </c>
      <c r="E744" s="8"/>
      <c r="F744" s="7" t="s">
        <v>4348</v>
      </c>
      <c r="G744" s="7" t="s">
        <v>25</v>
      </c>
      <c r="H744" s="58"/>
      <c r="I744" s="23"/>
      <c r="J744" s="24"/>
      <c r="M744" s="4"/>
      <c r="N744" s="76"/>
      <c r="O744" s="76"/>
      <c r="P744" s="76" t="str">
        <f t="shared" si="90"/>
        <v>,shikkan736_start_date</v>
      </c>
      <c r="Q744" s="76" t="str">
        <f t="shared" si="91"/>
        <v>DATE</v>
      </c>
      <c r="R744" s="76" t="str">
        <f t="shared" si="92"/>
        <v/>
      </c>
      <c r="S744" s="76" t="str">
        <f t="shared" si="93"/>
        <v/>
      </c>
      <c r="T744" s="76" t="str">
        <f t="shared" si="94"/>
        <v>-- J633_疾患開始日</v>
      </c>
      <c r="U744" s="4" t="str">
        <f t="shared" si="95"/>
        <v>,'shikkan736_start_date'</v>
      </c>
      <c r="V744" s="25" t="str">
        <f t="shared" si="96"/>
        <v>,'shikkan736_start_date' : 'J633_疾患開始日'</v>
      </c>
      <c r="X744" s="25">
        <v>1</v>
      </c>
      <c r="AA744" s="4"/>
      <c r="AB744" s="4"/>
      <c r="AC744" s="4"/>
      <c r="AD744" s="4"/>
      <c r="AE744" s="4"/>
      <c r="AF744" s="4"/>
      <c r="AG744" s="4"/>
      <c r="AH744" s="4"/>
      <c r="AI744" s="4"/>
      <c r="AJ744" s="76" t="str">
        <f>IF(E744="○",IF(COUNTA(E$13:E744)=1,"",",")&amp;D744,"")</f>
        <v/>
      </c>
      <c r="AK744" s="4"/>
      <c r="AL744" s="4"/>
      <c r="AM744" s="4"/>
      <c r="AN744" s="4"/>
      <c r="AO744" s="4"/>
      <c r="AP744" s="4"/>
      <c r="AQ744" s="4"/>
      <c r="AR744" s="4"/>
      <c r="AS744" s="76" t="str">
        <f>"COMMENT ON COLUMN "&amp;エンティティ一覧!$O$2&amp;"."&amp;D$8&amp;"."&amp;D744&amp;" IS '"&amp;C744&amp;"';"</f>
        <v>COMMENT ON COLUMN milscm_2023_009.main_diagnosis_start_date.shikkan736_start_date IS 'J633_疾患開始日';</v>
      </c>
    </row>
    <row r="745" spans="1:45" s="25" customFormat="1">
      <c r="A745" s="4" t="s">
        <v>5816</v>
      </c>
      <c r="B745" s="21">
        <f t="shared" si="89"/>
        <v>743</v>
      </c>
      <c r="C745" s="13" t="str">
        <f t="shared" si="97"/>
        <v>J634_疾患開始日</v>
      </c>
      <c r="D745" s="13" t="s">
        <v>6397</v>
      </c>
      <c r="E745" s="8"/>
      <c r="F745" s="7" t="s">
        <v>4348</v>
      </c>
      <c r="G745" s="7" t="s">
        <v>25</v>
      </c>
      <c r="H745" s="58"/>
      <c r="I745" s="23"/>
      <c r="J745" s="24"/>
      <c r="M745" s="4"/>
      <c r="N745" s="76"/>
      <c r="O745" s="76"/>
      <c r="P745" s="76" t="str">
        <f t="shared" si="90"/>
        <v>,shikkan737_start_date</v>
      </c>
      <c r="Q745" s="76" t="str">
        <f t="shared" si="91"/>
        <v>DATE</v>
      </c>
      <c r="R745" s="76" t="str">
        <f t="shared" si="92"/>
        <v/>
      </c>
      <c r="S745" s="76" t="str">
        <f t="shared" si="93"/>
        <v/>
      </c>
      <c r="T745" s="76" t="str">
        <f t="shared" si="94"/>
        <v>-- J634_疾患開始日</v>
      </c>
      <c r="U745" s="4" t="str">
        <f t="shared" si="95"/>
        <v>,'shikkan737_start_date'</v>
      </c>
      <c r="V745" s="25" t="str">
        <f t="shared" si="96"/>
        <v>,'shikkan737_start_date' : 'J634_疾患開始日'</v>
      </c>
      <c r="X745" s="25">
        <v>1</v>
      </c>
      <c r="AA745" s="4"/>
      <c r="AB745" s="4"/>
      <c r="AC745" s="4"/>
      <c r="AD745" s="4"/>
      <c r="AE745" s="4"/>
      <c r="AF745" s="4"/>
      <c r="AG745" s="4"/>
      <c r="AH745" s="4"/>
      <c r="AI745" s="4"/>
      <c r="AJ745" s="76" t="str">
        <f>IF(E745="○",IF(COUNTA(E$13:E745)=1,"",",")&amp;D745,"")</f>
        <v/>
      </c>
      <c r="AK745" s="4"/>
      <c r="AL745" s="4"/>
      <c r="AM745" s="4"/>
      <c r="AN745" s="4"/>
      <c r="AO745" s="4"/>
      <c r="AP745" s="4"/>
      <c r="AQ745" s="4"/>
      <c r="AR745" s="4"/>
      <c r="AS745" s="76" t="str">
        <f>"COMMENT ON COLUMN "&amp;エンティティ一覧!$O$2&amp;"."&amp;D$8&amp;"."&amp;D745&amp;" IS '"&amp;C745&amp;"';"</f>
        <v>COMMENT ON COLUMN milscm_2023_009.main_diagnosis_start_date.shikkan737_start_date IS 'J634_疾患開始日';</v>
      </c>
    </row>
    <row r="746" spans="1:45" s="25" customFormat="1">
      <c r="A746" s="4" t="s">
        <v>5817</v>
      </c>
      <c r="B746" s="21">
        <f t="shared" si="89"/>
        <v>744</v>
      </c>
      <c r="C746" s="13" t="str">
        <f t="shared" si="97"/>
        <v>J635_疾患開始日</v>
      </c>
      <c r="D746" s="13" t="s">
        <v>6398</v>
      </c>
      <c r="E746" s="8"/>
      <c r="F746" s="7" t="s">
        <v>4348</v>
      </c>
      <c r="G746" s="7" t="s">
        <v>25</v>
      </c>
      <c r="H746" s="58"/>
      <c r="I746" s="23"/>
      <c r="J746" s="24"/>
      <c r="M746" s="4"/>
      <c r="N746" s="76"/>
      <c r="O746" s="76"/>
      <c r="P746" s="76" t="str">
        <f t="shared" si="90"/>
        <v>,shikkan738_start_date</v>
      </c>
      <c r="Q746" s="76" t="str">
        <f t="shared" si="91"/>
        <v>DATE</v>
      </c>
      <c r="R746" s="76" t="str">
        <f t="shared" si="92"/>
        <v/>
      </c>
      <c r="S746" s="76" t="str">
        <f t="shared" si="93"/>
        <v/>
      </c>
      <c r="T746" s="76" t="str">
        <f t="shared" si="94"/>
        <v>-- J635_疾患開始日</v>
      </c>
      <c r="U746" s="4" t="str">
        <f t="shared" si="95"/>
        <v>,'shikkan738_start_date'</v>
      </c>
      <c r="V746" s="25" t="str">
        <f t="shared" si="96"/>
        <v>,'shikkan738_start_date' : 'J635_疾患開始日'</v>
      </c>
      <c r="X746" s="25">
        <v>1</v>
      </c>
      <c r="AA746" s="4"/>
      <c r="AB746" s="4"/>
      <c r="AC746" s="4"/>
      <c r="AD746" s="4"/>
      <c r="AE746" s="4"/>
      <c r="AF746" s="4"/>
      <c r="AG746" s="4"/>
      <c r="AH746" s="4"/>
      <c r="AI746" s="4"/>
      <c r="AJ746" s="76" t="str">
        <f>IF(E746="○",IF(COUNTA(E$13:E746)=1,"",",")&amp;D746,"")</f>
        <v/>
      </c>
      <c r="AK746" s="4"/>
      <c r="AL746" s="4"/>
      <c r="AM746" s="4"/>
      <c r="AN746" s="4"/>
      <c r="AO746" s="4"/>
      <c r="AP746" s="4"/>
      <c r="AQ746" s="4"/>
      <c r="AR746" s="4"/>
      <c r="AS746" s="76" t="str">
        <f>"COMMENT ON COLUMN "&amp;エンティティ一覧!$O$2&amp;"."&amp;D$8&amp;"."&amp;D746&amp;" IS '"&amp;C746&amp;"';"</f>
        <v>COMMENT ON COLUMN milscm_2023_009.main_diagnosis_start_date.shikkan738_start_date IS 'J635_疾患開始日';</v>
      </c>
    </row>
    <row r="747" spans="1:45" s="25" customFormat="1">
      <c r="A747" s="4" t="s">
        <v>5818</v>
      </c>
      <c r="B747" s="21">
        <f t="shared" si="89"/>
        <v>745</v>
      </c>
      <c r="C747" s="13" t="str">
        <f t="shared" si="97"/>
        <v>J638_疾患開始日</v>
      </c>
      <c r="D747" s="13" t="s">
        <v>6399</v>
      </c>
      <c r="E747" s="8"/>
      <c r="F747" s="7" t="s">
        <v>4348</v>
      </c>
      <c r="G747" s="7" t="s">
        <v>25</v>
      </c>
      <c r="H747" s="58"/>
      <c r="I747" s="23"/>
      <c r="J747" s="24"/>
      <c r="M747" s="4"/>
      <c r="N747" s="76"/>
      <c r="O747" s="76"/>
      <c r="P747" s="76" t="str">
        <f t="shared" si="90"/>
        <v>,shikkan739_start_date</v>
      </c>
      <c r="Q747" s="76" t="str">
        <f t="shared" si="91"/>
        <v>DATE</v>
      </c>
      <c r="R747" s="76" t="str">
        <f t="shared" si="92"/>
        <v/>
      </c>
      <c r="S747" s="76" t="str">
        <f t="shared" si="93"/>
        <v/>
      </c>
      <c r="T747" s="76" t="str">
        <f t="shared" si="94"/>
        <v>-- J638_疾患開始日</v>
      </c>
      <c r="U747" s="4" t="str">
        <f t="shared" si="95"/>
        <v>,'shikkan739_start_date'</v>
      </c>
      <c r="V747" s="25" t="str">
        <f t="shared" si="96"/>
        <v>,'shikkan739_start_date' : 'J638_疾患開始日'</v>
      </c>
      <c r="X747" s="25">
        <v>1</v>
      </c>
      <c r="AA747" s="4"/>
      <c r="AB747" s="4"/>
      <c r="AC747" s="4"/>
      <c r="AD747" s="4"/>
      <c r="AE747" s="4"/>
      <c r="AF747" s="4"/>
      <c r="AG747" s="4"/>
      <c r="AH747" s="4"/>
      <c r="AI747" s="4"/>
      <c r="AJ747" s="76" t="str">
        <f>IF(E747="○",IF(COUNTA(E$13:E747)=1,"",",")&amp;D747,"")</f>
        <v/>
      </c>
      <c r="AK747" s="4"/>
      <c r="AL747" s="4"/>
      <c r="AM747" s="4"/>
      <c r="AN747" s="4"/>
      <c r="AO747" s="4"/>
      <c r="AP747" s="4"/>
      <c r="AQ747" s="4"/>
      <c r="AR747" s="4"/>
      <c r="AS747" s="76" t="str">
        <f>"COMMENT ON COLUMN "&amp;エンティティ一覧!$O$2&amp;"."&amp;D$8&amp;"."&amp;D747&amp;" IS '"&amp;C747&amp;"';"</f>
        <v>COMMENT ON COLUMN milscm_2023_009.main_diagnosis_start_date.shikkan739_start_date IS 'J638_疾患開始日';</v>
      </c>
    </row>
    <row r="748" spans="1:45" s="25" customFormat="1">
      <c r="A748" s="4" t="s">
        <v>5070</v>
      </c>
      <c r="B748" s="21">
        <f t="shared" si="89"/>
        <v>746</v>
      </c>
      <c r="C748" s="13" t="str">
        <f t="shared" si="97"/>
        <v>J64_疾患開始日</v>
      </c>
      <c r="D748" s="13" t="s">
        <v>6400</v>
      </c>
      <c r="E748" s="8"/>
      <c r="F748" s="7" t="s">
        <v>4348</v>
      </c>
      <c r="G748" s="7" t="s">
        <v>25</v>
      </c>
      <c r="H748" s="58"/>
      <c r="I748" s="23"/>
      <c r="J748" s="24"/>
      <c r="M748" s="4"/>
      <c r="N748" s="76"/>
      <c r="O748" s="76"/>
      <c r="P748" s="76" t="str">
        <f t="shared" si="90"/>
        <v>,shikkan740_start_date</v>
      </c>
      <c r="Q748" s="76" t="str">
        <f t="shared" si="91"/>
        <v>DATE</v>
      </c>
      <c r="R748" s="76" t="str">
        <f t="shared" si="92"/>
        <v/>
      </c>
      <c r="S748" s="76" t="str">
        <f t="shared" si="93"/>
        <v/>
      </c>
      <c r="T748" s="76" t="str">
        <f t="shared" si="94"/>
        <v>-- J64_疾患開始日</v>
      </c>
      <c r="U748" s="4" t="str">
        <f t="shared" si="95"/>
        <v>,'shikkan740_start_date'</v>
      </c>
      <c r="V748" s="25" t="str">
        <f t="shared" si="96"/>
        <v>,'shikkan740_start_date' : 'J64_疾患開始日'</v>
      </c>
      <c r="X748" s="25">
        <v>1</v>
      </c>
      <c r="AA748" s="4"/>
      <c r="AB748" s="4"/>
      <c r="AC748" s="4"/>
      <c r="AD748" s="4"/>
      <c r="AE748" s="4"/>
      <c r="AF748" s="4"/>
      <c r="AG748" s="4"/>
      <c r="AH748" s="4"/>
      <c r="AI748" s="4"/>
      <c r="AJ748" s="76" t="str">
        <f>IF(E748="○",IF(COUNTA(E$13:E748)=1,"",",")&amp;D748,"")</f>
        <v/>
      </c>
      <c r="AK748" s="4"/>
      <c r="AL748" s="4"/>
      <c r="AM748" s="4"/>
      <c r="AN748" s="4"/>
      <c r="AO748" s="4"/>
      <c r="AP748" s="4"/>
      <c r="AQ748" s="4"/>
      <c r="AR748" s="4"/>
      <c r="AS748" s="76" t="str">
        <f>"COMMENT ON COLUMN "&amp;エンティティ一覧!$O$2&amp;"."&amp;D$8&amp;"."&amp;D748&amp;" IS '"&amp;C748&amp;"';"</f>
        <v>COMMENT ON COLUMN milscm_2023_009.main_diagnosis_start_date.shikkan740_start_date IS 'J64_疾患開始日';</v>
      </c>
    </row>
    <row r="749" spans="1:45" s="25" customFormat="1">
      <c r="A749" s="4" t="s">
        <v>5071</v>
      </c>
      <c r="B749" s="21">
        <f t="shared" si="89"/>
        <v>747</v>
      </c>
      <c r="C749" s="13" t="str">
        <f t="shared" si="97"/>
        <v>J65_疾患開始日</v>
      </c>
      <c r="D749" s="13" t="s">
        <v>6401</v>
      </c>
      <c r="E749" s="8"/>
      <c r="F749" s="7" t="s">
        <v>4348</v>
      </c>
      <c r="G749" s="7" t="s">
        <v>25</v>
      </c>
      <c r="H749" s="58"/>
      <c r="I749" s="23"/>
      <c r="J749" s="24"/>
      <c r="M749" s="4"/>
      <c r="N749" s="76"/>
      <c r="O749" s="76"/>
      <c r="P749" s="76" t="str">
        <f t="shared" si="90"/>
        <v>,shikkan741_start_date</v>
      </c>
      <c r="Q749" s="76" t="str">
        <f t="shared" si="91"/>
        <v>DATE</v>
      </c>
      <c r="R749" s="76" t="str">
        <f t="shared" si="92"/>
        <v/>
      </c>
      <c r="S749" s="76" t="str">
        <f t="shared" si="93"/>
        <v/>
      </c>
      <c r="T749" s="76" t="str">
        <f t="shared" si="94"/>
        <v>-- J65_疾患開始日</v>
      </c>
      <c r="U749" s="4" t="str">
        <f t="shared" si="95"/>
        <v>,'shikkan741_start_date'</v>
      </c>
      <c r="V749" s="25" t="str">
        <f t="shared" si="96"/>
        <v>,'shikkan741_start_date' : 'J65_疾患開始日'</v>
      </c>
      <c r="X749" s="25">
        <v>1</v>
      </c>
      <c r="AA749" s="4"/>
      <c r="AB749" s="4"/>
      <c r="AC749" s="4"/>
      <c r="AD749" s="4"/>
      <c r="AE749" s="4"/>
      <c r="AF749" s="4"/>
      <c r="AG749" s="4"/>
      <c r="AH749" s="4"/>
      <c r="AI749" s="4"/>
      <c r="AJ749" s="76" t="str">
        <f>IF(E749="○",IF(COUNTA(E$13:E749)=1,"",",")&amp;D749,"")</f>
        <v/>
      </c>
      <c r="AK749" s="4"/>
      <c r="AL749" s="4"/>
      <c r="AM749" s="4"/>
      <c r="AN749" s="4"/>
      <c r="AO749" s="4"/>
      <c r="AP749" s="4"/>
      <c r="AQ749" s="4"/>
      <c r="AR749" s="4"/>
      <c r="AS749" s="76" t="str">
        <f>"COMMENT ON COLUMN "&amp;エンティティ一覧!$O$2&amp;"."&amp;D$8&amp;"."&amp;D749&amp;" IS '"&amp;C749&amp;"';"</f>
        <v>COMMENT ON COLUMN milscm_2023_009.main_diagnosis_start_date.shikkan741_start_date IS 'J65_疾患開始日';</v>
      </c>
    </row>
    <row r="750" spans="1:45" s="25" customFormat="1">
      <c r="A750" s="4" t="s">
        <v>5819</v>
      </c>
      <c r="B750" s="21">
        <f t="shared" si="89"/>
        <v>748</v>
      </c>
      <c r="C750" s="13" t="str">
        <f t="shared" si="97"/>
        <v>J660_疾患開始日</v>
      </c>
      <c r="D750" s="13" t="s">
        <v>6402</v>
      </c>
      <c r="E750" s="8"/>
      <c r="F750" s="7" t="s">
        <v>4348</v>
      </c>
      <c r="G750" s="7" t="s">
        <v>25</v>
      </c>
      <c r="H750" s="58"/>
      <c r="I750" s="23"/>
      <c r="J750" s="24"/>
      <c r="M750" s="4"/>
      <c r="N750" s="76"/>
      <c r="O750" s="76"/>
      <c r="P750" s="76" t="str">
        <f t="shared" si="90"/>
        <v>,shikkan742_start_date</v>
      </c>
      <c r="Q750" s="76" t="str">
        <f t="shared" si="91"/>
        <v>DATE</v>
      </c>
      <c r="R750" s="76" t="str">
        <f t="shared" si="92"/>
        <v/>
      </c>
      <c r="S750" s="76" t="str">
        <f t="shared" si="93"/>
        <v/>
      </c>
      <c r="T750" s="76" t="str">
        <f t="shared" si="94"/>
        <v>-- J660_疾患開始日</v>
      </c>
      <c r="U750" s="4" t="str">
        <f t="shared" si="95"/>
        <v>,'shikkan742_start_date'</v>
      </c>
      <c r="V750" s="25" t="str">
        <f t="shared" si="96"/>
        <v>,'shikkan742_start_date' : 'J660_疾患開始日'</v>
      </c>
      <c r="X750" s="25">
        <v>1</v>
      </c>
      <c r="AA750" s="4"/>
      <c r="AB750" s="4"/>
      <c r="AC750" s="4"/>
      <c r="AD750" s="4"/>
      <c r="AE750" s="4"/>
      <c r="AF750" s="4"/>
      <c r="AG750" s="4"/>
      <c r="AH750" s="4"/>
      <c r="AI750" s="4"/>
      <c r="AJ750" s="76" t="str">
        <f>IF(E750="○",IF(COUNTA(E$13:E750)=1,"",",")&amp;D750,"")</f>
        <v/>
      </c>
      <c r="AK750" s="4"/>
      <c r="AL750" s="4"/>
      <c r="AM750" s="4"/>
      <c r="AN750" s="4"/>
      <c r="AO750" s="4"/>
      <c r="AP750" s="4"/>
      <c r="AQ750" s="4"/>
      <c r="AR750" s="4"/>
      <c r="AS750" s="76" t="str">
        <f>"COMMENT ON COLUMN "&amp;エンティティ一覧!$O$2&amp;"."&amp;D$8&amp;"."&amp;D750&amp;" IS '"&amp;C750&amp;"';"</f>
        <v>COMMENT ON COLUMN milscm_2023_009.main_diagnosis_start_date.shikkan742_start_date IS 'J660_疾患開始日';</v>
      </c>
    </row>
    <row r="751" spans="1:45" s="25" customFormat="1">
      <c r="A751" s="4" t="s">
        <v>5820</v>
      </c>
      <c r="B751" s="21">
        <f t="shared" si="89"/>
        <v>749</v>
      </c>
      <c r="C751" s="13" t="str">
        <f t="shared" si="97"/>
        <v>J661_疾患開始日</v>
      </c>
      <c r="D751" s="13" t="s">
        <v>6403</v>
      </c>
      <c r="E751" s="8"/>
      <c r="F751" s="7" t="s">
        <v>4348</v>
      </c>
      <c r="G751" s="7" t="s">
        <v>25</v>
      </c>
      <c r="H751" s="58"/>
      <c r="I751" s="23"/>
      <c r="J751" s="24"/>
      <c r="M751" s="4"/>
      <c r="N751" s="76"/>
      <c r="O751" s="76"/>
      <c r="P751" s="76" t="str">
        <f t="shared" si="90"/>
        <v>,shikkan743_start_date</v>
      </c>
      <c r="Q751" s="76" t="str">
        <f t="shared" si="91"/>
        <v>DATE</v>
      </c>
      <c r="R751" s="76" t="str">
        <f t="shared" si="92"/>
        <v/>
      </c>
      <c r="S751" s="76" t="str">
        <f t="shared" si="93"/>
        <v/>
      </c>
      <c r="T751" s="76" t="str">
        <f t="shared" si="94"/>
        <v>-- J661_疾患開始日</v>
      </c>
      <c r="U751" s="4" t="str">
        <f t="shared" si="95"/>
        <v>,'shikkan743_start_date'</v>
      </c>
      <c r="V751" s="25" t="str">
        <f t="shared" si="96"/>
        <v>,'shikkan743_start_date' : 'J661_疾患開始日'</v>
      </c>
      <c r="X751" s="25">
        <v>1</v>
      </c>
      <c r="AA751" s="4"/>
      <c r="AB751" s="4"/>
      <c r="AC751" s="4"/>
      <c r="AD751" s="4"/>
      <c r="AE751" s="4"/>
      <c r="AF751" s="4"/>
      <c r="AG751" s="4"/>
      <c r="AH751" s="4"/>
      <c r="AI751" s="4"/>
      <c r="AJ751" s="76" t="str">
        <f>IF(E751="○",IF(COUNTA(E$13:E751)=1,"",",")&amp;D751,"")</f>
        <v/>
      </c>
      <c r="AK751" s="4"/>
      <c r="AL751" s="4"/>
      <c r="AM751" s="4"/>
      <c r="AN751" s="4"/>
      <c r="AO751" s="4"/>
      <c r="AP751" s="4"/>
      <c r="AQ751" s="4"/>
      <c r="AR751" s="4"/>
      <c r="AS751" s="76" t="str">
        <f>"COMMENT ON COLUMN "&amp;エンティティ一覧!$O$2&amp;"."&amp;D$8&amp;"."&amp;D751&amp;" IS '"&amp;C751&amp;"';"</f>
        <v>COMMENT ON COLUMN milscm_2023_009.main_diagnosis_start_date.shikkan743_start_date IS 'J661_疾患開始日';</v>
      </c>
    </row>
    <row r="752" spans="1:45" s="25" customFormat="1">
      <c r="A752" s="4" t="s">
        <v>5821</v>
      </c>
      <c r="B752" s="21">
        <f t="shared" si="89"/>
        <v>750</v>
      </c>
      <c r="C752" s="13" t="str">
        <f t="shared" si="97"/>
        <v>J662_疾患開始日</v>
      </c>
      <c r="D752" s="13" t="s">
        <v>6404</v>
      </c>
      <c r="E752" s="8"/>
      <c r="F752" s="7" t="s">
        <v>4348</v>
      </c>
      <c r="G752" s="7" t="s">
        <v>25</v>
      </c>
      <c r="H752" s="58"/>
      <c r="I752" s="23"/>
      <c r="J752" s="24"/>
      <c r="M752" s="4"/>
      <c r="N752" s="76"/>
      <c r="O752" s="76"/>
      <c r="P752" s="76" t="str">
        <f t="shared" si="90"/>
        <v>,shikkan744_start_date</v>
      </c>
      <c r="Q752" s="76" t="str">
        <f t="shared" si="91"/>
        <v>DATE</v>
      </c>
      <c r="R752" s="76" t="str">
        <f t="shared" si="92"/>
        <v/>
      </c>
      <c r="S752" s="76" t="str">
        <f t="shared" si="93"/>
        <v/>
      </c>
      <c r="T752" s="76" t="str">
        <f t="shared" si="94"/>
        <v>-- J662_疾患開始日</v>
      </c>
      <c r="U752" s="4" t="str">
        <f t="shared" si="95"/>
        <v>,'shikkan744_start_date'</v>
      </c>
      <c r="V752" s="25" t="str">
        <f t="shared" si="96"/>
        <v>,'shikkan744_start_date' : 'J662_疾患開始日'</v>
      </c>
      <c r="X752" s="25">
        <v>1</v>
      </c>
      <c r="AA752" s="4"/>
      <c r="AB752" s="4"/>
      <c r="AC752" s="4"/>
      <c r="AD752" s="4"/>
      <c r="AE752" s="4"/>
      <c r="AF752" s="4"/>
      <c r="AG752" s="4"/>
      <c r="AH752" s="4"/>
      <c r="AI752" s="4"/>
      <c r="AJ752" s="76" t="str">
        <f>IF(E752="○",IF(COUNTA(E$13:E752)=1,"",",")&amp;D752,"")</f>
        <v/>
      </c>
      <c r="AK752" s="4"/>
      <c r="AL752" s="4"/>
      <c r="AM752" s="4"/>
      <c r="AN752" s="4"/>
      <c r="AO752" s="4"/>
      <c r="AP752" s="4"/>
      <c r="AQ752" s="4"/>
      <c r="AR752" s="4"/>
      <c r="AS752" s="76" t="str">
        <f>"COMMENT ON COLUMN "&amp;エンティティ一覧!$O$2&amp;"."&amp;D$8&amp;"."&amp;D752&amp;" IS '"&amp;C752&amp;"';"</f>
        <v>COMMENT ON COLUMN milscm_2023_009.main_diagnosis_start_date.shikkan744_start_date IS 'J662_疾患開始日';</v>
      </c>
    </row>
    <row r="753" spans="1:45" s="25" customFormat="1">
      <c r="A753" s="4" t="s">
        <v>5822</v>
      </c>
      <c r="B753" s="21">
        <f t="shared" si="89"/>
        <v>751</v>
      </c>
      <c r="C753" s="13" t="str">
        <f t="shared" si="97"/>
        <v>J668_疾患開始日</v>
      </c>
      <c r="D753" s="13" t="s">
        <v>6405</v>
      </c>
      <c r="E753" s="8"/>
      <c r="F753" s="7" t="s">
        <v>4348</v>
      </c>
      <c r="G753" s="7" t="s">
        <v>25</v>
      </c>
      <c r="H753" s="58"/>
      <c r="I753" s="23"/>
      <c r="J753" s="24"/>
      <c r="M753" s="4"/>
      <c r="N753" s="76"/>
      <c r="O753" s="76"/>
      <c r="P753" s="76" t="str">
        <f t="shared" si="90"/>
        <v>,shikkan745_start_date</v>
      </c>
      <c r="Q753" s="76" t="str">
        <f t="shared" si="91"/>
        <v>DATE</v>
      </c>
      <c r="R753" s="76" t="str">
        <f t="shared" si="92"/>
        <v/>
      </c>
      <c r="S753" s="76" t="str">
        <f t="shared" si="93"/>
        <v/>
      </c>
      <c r="T753" s="76" t="str">
        <f t="shared" si="94"/>
        <v>-- J668_疾患開始日</v>
      </c>
      <c r="U753" s="4" t="str">
        <f t="shared" si="95"/>
        <v>,'shikkan745_start_date'</v>
      </c>
      <c r="V753" s="25" t="str">
        <f t="shared" si="96"/>
        <v>,'shikkan745_start_date' : 'J668_疾患開始日'</v>
      </c>
      <c r="X753" s="25">
        <v>1</v>
      </c>
      <c r="AA753" s="4"/>
      <c r="AB753" s="4"/>
      <c r="AC753" s="4"/>
      <c r="AD753" s="4"/>
      <c r="AE753" s="4"/>
      <c r="AF753" s="4"/>
      <c r="AG753" s="4"/>
      <c r="AH753" s="4"/>
      <c r="AI753" s="4"/>
      <c r="AJ753" s="76" t="str">
        <f>IF(E753="○",IF(COUNTA(E$13:E753)=1,"",",")&amp;D753,"")</f>
        <v/>
      </c>
      <c r="AK753" s="4"/>
      <c r="AL753" s="4"/>
      <c r="AM753" s="4"/>
      <c r="AN753" s="4"/>
      <c r="AO753" s="4"/>
      <c r="AP753" s="4"/>
      <c r="AQ753" s="4"/>
      <c r="AR753" s="4"/>
      <c r="AS753" s="76" t="str">
        <f>"COMMENT ON COLUMN "&amp;エンティティ一覧!$O$2&amp;"."&amp;D$8&amp;"."&amp;D753&amp;" IS '"&amp;C753&amp;"';"</f>
        <v>COMMENT ON COLUMN milscm_2023_009.main_diagnosis_start_date.shikkan745_start_date IS 'J668_疾患開始日';</v>
      </c>
    </row>
    <row r="754" spans="1:45" s="25" customFormat="1">
      <c r="A754" s="4" t="s">
        <v>5823</v>
      </c>
      <c r="B754" s="21">
        <f t="shared" si="89"/>
        <v>752</v>
      </c>
      <c r="C754" s="13" t="str">
        <f t="shared" si="97"/>
        <v>J670_疾患開始日</v>
      </c>
      <c r="D754" s="13" t="s">
        <v>6406</v>
      </c>
      <c r="E754" s="8"/>
      <c r="F754" s="7" t="s">
        <v>4348</v>
      </c>
      <c r="G754" s="7" t="s">
        <v>25</v>
      </c>
      <c r="H754" s="58"/>
      <c r="I754" s="23"/>
      <c r="J754" s="24"/>
      <c r="M754" s="4"/>
      <c r="N754" s="76"/>
      <c r="O754" s="76"/>
      <c r="P754" s="76" t="str">
        <f t="shared" si="90"/>
        <v>,shikkan746_start_date</v>
      </c>
      <c r="Q754" s="76" t="str">
        <f t="shared" si="91"/>
        <v>DATE</v>
      </c>
      <c r="R754" s="76" t="str">
        <f t="shared" si="92"/>
        <v/>
      </c>
      <c r="S754" s="76" t="str">
        <f t="shared" si="93"/>
        <v/>
      </c>
      <c r="T754" s="76" t="str">
        <f t="shared" si="94"/>
        <v>-- J670_疾患開始日</v>
      </c>
      <c r="U754" s="4" t="str">
        <f t="shared" si="95"/>
        <v>,'shikkan746_start_date'</v>
      </c>
      <c r="V754" s="25" t="str">
        <f t="shared" si="96"/>
        <v>,'shikkan746_start_date' : 'J670_疾患開始日'</v>
      </c>
      <c r="X754" s="25">
        <v>1</v>
      </c>
      <c r="AA754" s="4"/>
      <c r="AB754" s="4"/>
      <c r="AC754" s="4"/>
      <c r="AD754" s="4"/>
      <c r="AE754" s="4"/>
      <c r="AF754" s="4"/>
      <c r="AG754" s="4"/>
      <c r="AH754" s="4"/>
      <c r="AI754" s="4"/>
      <c r="AJ754" s="76" t="str">
        <f>IF(E754="○",IF(COUNTA(E$13:E754)=1,"",",")&amp;D754,"")</f>
        <v/>
      </c>
      <c r="AK754" s="4"/>
      <c r="AL754" s="4"/>
      <c r="AM754" s="4"/>
      <c r="AN754" s="4"/>
      <c r="AO754" s="4"/>
      <c r="AP754" s="4"/>
      <c r="AQ754" s="4"/>
      <c r="AR754" s="4"/>
      <c r="AS754" s="76" t="str">
        <f>"COMMENT ON COLUMN "&amp;エンティティ一覧!$O$2&amp;"."&amp;D$8&amp;"."&amp;D754&amp;" IS '"&amp;C754&amp;"';"</f>
        <v>COMMENT ON COLUMN milscm_2023_009.main_diagnosis_start_date.shikkan746_start_date IS 'J670_疾患開始日';</v>
      </c>
    </row>
    <row r="755" spans="1:45" s="25" customFormat="1">
      <c r="A755" s="4" t="s">
        <v>5824</v>
      </c>
      <c r="B755" s="21">
        <f t="shared" si="89"/>
        <v>753</v>
      </c>
      <c r="C755" s="13" t="str">
        <f t="shared" si="97"/>
        <v>J671_疾患開始日</v>
      </c>
      <c r="D755" s="13" t="s">
        <v>6407</v>
      </c>
      <c r="E755" s="8"/>
      <c r="F755" s="7" t="s">
        <v>4348</v>
      </c>
      <c r="G755" s="7" t="s">
        <v>25</v>
      </c>
      <c r="H755" s="58"/>
      <c r="I755" s="23"/>
      <c r="J755" s="24"/>
      <c r="M755" s="4"/>
      <c r="N755" s="76"/>
      <c r="O755" s="76"/>
      <c r="P755" s="76" t="str">
        <f t="shared" si="90"/>
        <v>,shikkan747_start_date</v>
      </c>
      <c r="Q755" s="76" t="str">
        <f t="shared" si="91"/>
        <v>DATE</v>
      </c>
      <c r="R755" s="76" t="str">
        <f t="shared" si="92"/>
        <v/>
      </c>
      <c r="S755" s="76" t="str">
        <f t="shared" si="93"/>
        <v/>
      </c>
      <c r="T755" s="76" t="str">
        <f t="shared" si="94"/>
        <v>-- J671_疾患開始日</v>
      </c>
      <c r="U755" s="4" t="str">
        <f t="shared" si="95"/>
        <v>,'shikkan747_start_date'</v>
      </c>
      <c r="V755" s="25" t="str">
        <f t="shared" si="96"/>
        <v>,'shikkan747_start_date' : 'J671_疾患開始日'</v>
      </c>
      <c r="X755" s="25">
        <v>1</v>
      </c>
      <c r="AA755" s="4"/>
      <c r="AB755" s="4"/>
      <c r="AC755" s="4"/>
      <c r="AD755" s="4"/>
      <c r="AE755" s="4"/>
      <c r="AF755" s="4"/>
      <c r="AG755" s="4"/>
      <c r="AH755" s="4"/>
      <c r="AI755" s="4"/>
      <c r="AJ755" s="76" t="str">
        <f>IF(E755="○",IF(COUNTA(E$13:E755)=1,"",",")&amp;D755,"")</f>
        <v/>
      </c>
      <c r="AK755" s="4"/>
      <c r="AL755" s="4"/>
      <c r="AM755" s="4"/>
      <c r="AN755" s="4"/>
      <c r="AO755" s="4"/>
      <c r="AP755" s="4"/>
      <c r="AQ755" s="4"/>
      <c r="AR755" s="4"/>
      <c r="AS755" s="76" t="str">
        <f>"COMMENT ON COLUMN "&amp;エンティティ一覧!$O$2&amp;"."&amp;D$8&amp;"."&amp;D755&amp;" IS '"&amp;C755&amp;"';"</f>
        <v>COMMENT ON COLUMN milscm_2023_009.main_diagnosis_start_date.shikkan747_start_date IS 'J671_疾患開始日';</v>
      </c>
    </row>
    <row r="756" spans="1:45" s="25" customFormat="1">
      <c r="A756" s="4" t="s">
        <v>5825</v>
      </c>
      <c r="B756" s="21">
        <f t="shared" si="89"/>
        <v>754</v>
      </c>
      <c r="C756" s="13" t="str">
        <f t="shared" si="97"/>
        <v>J672_疾患開始日</v>
      </c>
      <c r="D756" s="13" t="s">
        <v>6408</v>
      </c>
      <c r="E756" s="8"/>
      <c r="F756" s="7" t="s">
        <v>4348</v>
      </c>
      <c r="G756" s="7" t="s">
        <v>25</v>
      </c>
      <c r="H756" s="58"/>
      <c r="I756" s="23"/>
      <c r="J756" s="24"/>
      <c r="M756" s="4"/>
      <c r="N756" s="76"/>
      <c r="O756" s="76"/>
      <c r="P756" s="76" t="str">
        <f t="shared" si="90"/>
        <v>,shikkan748_start_date</v>
      </c>
      <c r="Q756" s="76" t="str">
        <f t="shared" si="91"/>
        <v>DATE</v>
      </c>
      <c r="R756" s="76" t="str">
        <f t="shared" si="92"/>
        <v/>
      </c>
      <c r="S756" s="76" t="str">
        <f t="shared" si="93"/>
        <v/>
      </c>
      <c r="T756" s="76" t="str">
        <f t="shared" si="94"/>
        <v>-- J672_疾患開始日</v>
      </c>
      <c r="U756" s="4" t="str">
        <f t="shared" si="95"/>
        <v>,'shikkan748_start_date'</v>
      </c>
      <c r="V756" s="25" t="str">
        <f t="shared" si="96"/>
        <v>,'shikkan748_start_date' : 'J672_疾患開始日'</v>
      </c>
      <c r="X756" s="25">
        <v>1</v>
      </c>
      <c r="AA756" s="4"/>
      <c r="AB756" s="4"/>
      <c r="AC756" s="4"/>
      <c r="AD756" s="4"/>
      <c r="AE756" s="4"/>
      <c r="AF756" s="4"/>
      <c r="AG756" s="4"/>
      <c r="AH756" s="4"/>
      <c r="AI756" s="4"/>
      <c r="AJ756" s="76" t="str">
        <f>IF(E756="○",IF(COUNTA(E$13:E756)=1,"",",")&amp;D756,"")</f>
        <v/>
      </c>
      <c r="AK756" s="4"/>
      <c r="AL756" s="4"/>
      <c r="AM756" s="4"/>
      <c r="AN756" s="4"/>
      <c r="AO756" s="4"/>
      <c r="AP756" s="4"/>
      <c r="AQ756" s="4"/>
      <c r="AR756" s="4"/>
      <c r="AS756" s="76" t="str">
        <f>"COMMENT ON COLUMN "&amp;エンティティ一覧!$O$2&amp;"."&amp;D$8&amp;"."&amp;D756&amp;" IS '"&amp;C756&amp;"';"</f>
        <v>COMMENT ON COLUMN milscm_2023_009.main_diagnosis_start_date.shikkan748_start_date IS 'J672_疾患開始日';</v>
      </c>
    </row>
    <row r="757" spans="1:45" s="25" customFormat="1">
      <c r="A757" s="4" t="s">
        <v>5826</v>
      </c>
      <c r="B757" s="21">
        <f t="shared" si="89"/>
        <v>755</v>
      </c>
      <c r="C757" s="13" t="str">
        <f t="shared" si="97"/>
        <v>J673_疾患開始日</v>
      </c>
      <c r="D757" s="13" t="s">
        <v>6409</v>
      </c>
      <c r="E757" s="8"/>
      <c r="F757" s="7" t="s">
        <v>4348</v>
      </c>
      <c r="G757" s="7" t="s">
        <v>25</v>
      </c>
      <c r="H757" s="58"/>
      <c r="I757" s="23"/>
      <c r="J757" s="24"/>
      <c r="M757" s="4"/>
      <c r="N757" s="76"/>
      <c r="O757" s="76"/>
      <c r="P757" s="76" t="str">
        <f t="shared" si="90"/>
        <v>,shikkan749_start_date</v>
      </c>
      <c r="Q757" s="76" t="str">
        <f t="shared" si="91"/>
        <v>DATE</v>
      </c>
      <c r="R757" s="76" t="str">
        <f t="shared" si="92"/>
        <v/>
      </c>
      <c r="S757" s="76" t="str">
        <f t="shared" si="93"/>
        <v/>
      </c>
      <c r="T757" s="76" t="str">
        <f t="shared" si="94"/>
        <v>-- J673_疾患開始日</v>
      </c>
      <c r="U757" s="4" t="str">
        <f t="shared" si="95"/>
        <v>,'shikkan749_start_date'</v>
      </c>
      <c r="V757" s="25" t="str">
        <f t="shared" si="96"/>
        <v>,'shikkan749_start_date' : 'J673_疾患開始日'</v>
      </c>
      <c r="X757" s="25">
        <v>1</v>
      </c>
      <c r="AA757" s="4"/>
      <c r="AB757" s="4"/>
      <c r="AC757" s="4"/>
      <c r="AD757" s="4"/>
      <c r="AE757" s="4"/>
      <c r="AF757" s="4"/>
      <c r="AG757" s="4"/>
      <c r="AH757" s="4"/>
      <c r="AI757" s="4"/>
      <c r="AJ757" s="76" t="str">
        <f>IF(E757="○",IF(COUNTA(E$13:E757)=1,"",",")&amp;D757,"")</f>
        <v/>
      </c>
      <c r="AK757" s="4"/>
      <c r="AL757" s="4"/>
      <c r="AM757" s="4"/>
      <c r="AN757" s="4"/>
      <c r="AO757" s="4"/>
      <c r="AP757" s="4"/>
      <c r="AQ757" s="4"/>
      <c r="AR757" s="4"/>
      <c r="AS757" s="76" t="str">
        <f>"COMMENT ON COLUMN "&amp;エンティティ一覧!$O$2&amp;"."&amp;D$8&amp;"."&amp;D757&amp;" IS '"&amp;C757&amp;"';"</f>
        <v>COMMENT ON COLUMN milscm_2023_009.main_diagnosis_start_date.shikkan749_start_date IS 'J673_疾患開始日';</v>
      </c>
    </row>
    <row r="758" spans="1:45" s="25" customFormat="1">
      <c r="A758" s="4" t="s">
        <v>5827</v>
      </c>
      <c r="B758" s="21">
        <f t="shared" si="89"/>
        <v>756</v>
      </c>
      <c r="C758" s="13" t="str">
        <f t="shared" si="97"/>
        <v>J674_疾患開始日</v>
      </c>
      <c r="D758" s="13" t="s">
        <v>6410</v>
      </c>
      <c r="E758" s="8"/>
      <c r="F758" s="7" t="s">
        <v>4348</v>
      </c>
      <c r="G758" s="7" t="s">
        <v>25</v>
      </c>
      <c r="H758" s="58"/>
      <c r="I758" s="23"/>
      <c r="J758" s="24"/>
      <c r="M758" s="4"/>
      <c r="N758" s="76"/>
      <c r="O758" s="76"/>
      <c r="P758" s="76" t="str">
        <f t="shared" si="90"/>
        <v>,shikkan750_start_date</v>
      </c>
      <c r="Q758" s="76" t="str">
        <f t="shared" si="91"/>
        <v>DATE</v>
      </c>
      <c r="R758" s="76" t="str">
        <f t="shared" si="92"/>
        <v/>
      </c>
      <c r="S758" s="76" t="str">
        <f t="shared" si="93"/>
        <v/>
      </c>
      <c r="T758" s="76" t="str">
        <f t="shared" si="94"/>
        <v>-- J674_疾患開始日</v>
      </c>
      <c r="U758" s="4" t="str">
        <f t="shared" si="95"/>
        <v>,'shikkan750_start_date'</v>
      </c>
      <c r="V758" s="25" t="str">
        <f t="shared" si="96"/>
        <v>,'shikkan750_start_date' : 'J674_疾患開始日'</v>
      </c>
      <c r="X758" s="25">
        <v>1</v>
      </c>
      <c r="AA758" s="4"/>
      <c r="AB758" s="4"/>
      <c r="AC758" s="4"/>
      <c r="AD758" s="4"/>
      <c r="AE758" s="4"/>
      <c r="AF758" s="4"/>
      <c r="AG758" s="4"/>
      <c r="AH758" s="4"/>
      <c r="AI758" s="4"/>
      <c r="AJ758" s="76" t="str">
        <f>IF(E758="○",IF(COUNTA(E$13:E758)=1,"",",")&amp;D758,"")</f>
        <v/>
      </c>
      <c r="AK758" s="4"/>
      <c r="AL758" s="4"/>
      <c r="AM758" s="4"/>
      <c r="AN758" s="4"/>
      <c r="AO758" s="4"/>
      <c r="AP758" s="4"/>
      <c r="AQ758" s="4"/>
      <c r="AR758" s="4"/>
      <c r="AS758" s="76" t="str">
        <f>"COMMENT ON COLUMN "&amp;エンティティ一覧!$O$2&amp;"."&amp;D$8&amp;"."&amp;D758&amp;" IS '"&amp;C758&amp;"';"</f>
        <v>COMMENT ON COLUMN milscm_2023_009.main_diagnosis_start_date.shikkan750_start_date IS 'J674_疾患開始日';</v>
      </c>
    </row>
    <row r="759" spans="1:45" s="25" customFormat="1">
      <c r="A759" s="4" t="s">
        <v>5828</v>
      </c>
      <c r="B759" s="21">
        <f t="shared" si="89"/>
        <v>757</v>
      </c>
      <c r="C759" s="13" t="str">
        <f t="shared" si="97"/>
        <v>J675_疾患開始日</v>
      </c>
      <c r="D759" s="13" t="s">
        <v>6411</v>
      </c>
      <c r="E759" s="8"/>
      <c r="F759" s="7" t="s">
        <v>4348</v>
      </c>
      <c r="G759" s="7" t="s">
        <v>99</v>
      </c>
      <c r="H759" s="58"/>
      <c r="I759" s="23"/>
      <c r="J759" s="24"/>
      <c r="M759" s="4"/>
      <c r="N759" s="76"/>
      <c r="O759" s="76"/>
      <c r="P759" s="76" t="str">
        <f t="shared" si="90"/>
        <v>,shikkan751_start_date</v>
      </c>
      <c r="Q759" s="76" t="str">
        <f t="shared" si="91"/>
        <v>DATE</v>
      </c>
      <c r="R759" s="76" t="str">
        <f t="shared" si="92"/>
        <v/>
      </c>
      <c r="S759" s="76" t="str">
        <f t="shared" si="93"/>
        <v/>
      </c>
      <c r="T759" s="76" t="str">
        <f t="shared" si="94"/>
        <v>-- J675_疾患開始日</v>
      </c>
      <c r="U759" s="4" t="str">
        <f t="shared" si="95"/>
        <v>,'shikkan751_start_date'</v>
      </c>
      <c r="V759" s="25" t="str">
        <f t="shared" si="96"/>
        <v>,'shikkan751_start_date' : 'J675_疾患開始日'</v>
      </c>
      <c r="X759" s="25">
        <v>1</v>
      </c>
      <c r="AA759" s="4"/>
      <c r="AB759" s="4"/>
      <c r="AC759" s="4"/>
      <c r="AD759" s="4"/>
      <c r="AE759" s="4"/>
      <c r="AF759" s="4"/>
      <c r="AG759" s="4"/>
      <c r="AH759" s="4"/>
      <c r="AI759" s="4"/>
      <c r="AJ759" s="76" t="str">
        <f>IF(E759="○",IF(COUNTA(E$13:E759)=1,"",",")&amp;D759,"")</f>
        <v/>
      </c>
      <c r="AK759" s="4"/>
      <c r="AL759" s="4"/>
      <c r="AM759" s="4"/>
      <c r="AN759" s="4"/>
      <c r="AO759" s="4"/>
      <c r="AP759" s="4"/>
      <c r="AQ759" s="4"/>
      <c r="AR759" s="4"/>
      <c r="AS759" s="76" t="str">
        <f>"COMMENT ON COLUMN "&amp;エンティティ一覧!$O$2&amp;"."&amp;D$8&amp;"."&amp;D759&amp;" IS '"&amp;C759&amp;"';"</f>
        <v>COMMENT ON COLUMN milscm_2023_009.main_diagnosis_start_date.shikkan751_start_date IS 'J675_疾患開始日';</v>
      </c>
    </row>
    <row r="760" spans="1:45" s="25" customFormat="1">
      <c r="A760" s="4" t="s">
        <v>5829</v>
      </c>
      <c r="B760" s="21">
        <f t="shared" si="89"/>
        <v>758</v>
      </c>
      <c r="C760" s="13" t="str">
        <f t="shared" si="97"/>
        <v>J676_疾患開始日</v>
      </c>
      <c r="D760" s="13" t="s">
        <v>6412</v>
      </c>
      <c r="E760" s="8"/>
      <c r="F760" s="7" t="s">
        <v>4348</v>
      </c>
      <c r="G760" s="7" t="s">
        <v>25</v>
      </c>
      <c r="H760" s="58"/>
      <c r="I760" s="23"/>
      <c r="J760" s="24"/>
      <c r="M760" s="4"/>
      <c r="N760" s="76"/>
      <c r="O760" s="76"/>
      <c r="P760" s="76" t="str">
        <f t="shared" si="90"/>
        <v>,shikkan752_start_date</v>
      </c>
      <c r="Q760" s="76" t="str">
        <f t="shared" si="91"/>
        <v>DATE</v>
      </c>
      <c r="R760" s="76" t="str">
        <f t="shared" si="92"/>
        <v/>
      </c>
      <c r="S760" s="76" t="str">
        <f t="shared" si="93"/>
        <v/>
      </c>
      <c r="T760" s="76" t="str">
        <f t="shared" si="94"/>
        <v>-- J676_疾患開始日</v>
      </c>
      <c r="U760" s="4" t="str">
        <f t="shared" si="95"/>
        <v>,'shikkan752_start_date'</v>
      </c>
      <c r="V760" s="25" t="str">
        <f t="shared" si="96"/>
        <v>,'shikkan752_start_date' : 'J676_疾患開始日'</v>
      </c>
      <c r="X760" s="25">
        <v>1</v>
      </c>
      <c r="AA760" s="4"/>
      <c r="AB760" s="4"/>
      <c r="AC760" s="4"/>
      <c r="AD760" s="4"/>
      <c r="AE760" s="4"/>
      <c r="AF760" s="4"/>
      <c r="AG760" s="4"/>
      <c r="AH760" s="4"/>
      <c r="AI760" s="4"/>
      <c r="AJ760" s="76" t="str">
        <f>IF(E760="○",IF(COUNTA(E$13:E760)=1,"",",")&amp;D760,"")</f>
        <v/>
      </c>
      <c r="AK760" s="4"/>
      <c r="AL760" s="4"/>
      <c r="AM760" s="4"/>
      <c r="AN760" s="4"/>
      <c r="AO760" s="4"/>
      <c r="AP760" s="4"/>
      <c r="AQ760" s="4"/>
      <c r="AR760" s="4"/>
      <c r="AS760" s="76" t="str">
        <f>"COMMENT ON COLUMN "&amp;エンティティ一覧!$O$2&amp;"."&amp;D$8&amp;"."&amp;D760&amp;" IS '"&amp;C760&amp;"';"</f>
        <v>COMMENT ON COLUMN milscm_2023_009.main_diagnosis_start_date.shikkan752_start_date IS 'J676_疾患開始日';</v>
      </c>
    </row>
    <row r="761" spans="1:45" s="25" customFormat="1">
      <c r="A761" s="4" t="s">
        <v>5830</v>
      </c>
      <c r="B761" s="21">
        <f t="shared" si="89"/>
        <v>759</v>
      </c>
      <c r="C761" s="13" t="str">
        <f t="shared" si="97"/>
        <v>J677_疾患開始日</v>
      </c>
      <c r="D761" s="13" t="s">
        <v>6413</v>
      </c>
      <c r="E761" s="8"/>
      <c r="F761" s="7" t="s">
        <v>4348</v>
      </c>
      <c r="G761" s="7" t="s">
        <v>25</v>
      </c>
      <c r="H761" s="58"/>
      <c r="I761" s="23"/>
      <c r="J761" s="24"/>
      <c r="M761" s="4"/>
      <c r="N761" s="76"/>
      <c r="O761" s="76"/>
      <c r="P761" s="76" t="str">
        <f t="shared" si="90"/>
        <v>,shikkan753_start_date</v>
      </c>
      <c r="Q761" s="76" t="str">
        <f t="shared" si="91"/>
        <v>DATE</v>
      </c>
      <c r="R761" s="76" t="str">
        <f t="shared" si="92"/>
        <v/>
      </c>
      <c r="S761" s="76" t="str">
        <f t="shared" si="93"/>
        <v/>
      </c>
      <c r="T761" s="76" t="str">
        <f t="shared" si="94"/>
        <v>-- J677_疾患開始日</v>
      </c>
      <c r="U761" s="4" t="str">
        <f t="shared" si="95"/>
        <v>,'shikkan753_start_date'</v>
      </c>
      <c r="V761" s="25" t="str">
        <f t="shared" si="96"/>
        <v>,'shikkan753_start_date' : 'J677_疾患開始日'</v>
      </c>
      <c r="X761" s="25">
        <v>1</v>
      </c>
      <c r="AA761" s="4"/>
      <c r="AB761" s="4"/>
      <c r="AC761" s="4"/>
      <c r="AD761" s="4"/>
      <c r="AE761" s="4"/>
      <c r="AF761" s="4"/>
      <c r="AG761" s="4"/>
      <c r="AH761" s="4"/>
      <c r="AI761" s="4"/>
      <c r="AJ761" s="76" t="str">
        <f>IF(E761="○",IF(COUNTA(E$13:E761)=1,"",",")&amp;D761,"")</f>
        <v/>
      </c>
      <c r="AK761" s="4"/>
      <c r="AL761" s="4"/>
      <c r="AM761" s="4"/>
      <c r="AN761" s="4"/>
      <c r="AO761" s="4"/>
      <c r="AP761" s="4"/>
      <c r="AQ761" s="4"/>
      <c r="AR761" s="4"/>
      <c r="AS761" s="76" t="str">
        <f>"COMMENT ON COLUMN "&amp;エンティティ一覧!$O$2&amp;"."&amp;D$8&amp;"."&amp;D761&amp;" IS '"&amp;C761&amp;"';"</f>
        <v>COMMENT ON COLUMN milscm_2023_009.main_diagnosis_start_date.shikkan753_start_date IS 'J677_疾患開始日';</v>
      </c>
    </row>
    <row r="762" spans="1:45" s="25" customFormat="1">
      <c r="A762" s="4" t="s">
        <v>5831</v>
      </c>
      <c r="B762" s="21">
        <f t="shared" si="89"/>
        <v>760</v>
      </c>
      <c r="C762" s="13" t="str">
        <f t="shared" si="97"/>
        <v>J678_疾患開始日</v>
      </c>
      <c r="D762" s="13" t="s">
        <v>6414</v>
      </c>
      <c r="E762" s="8"/>
      <c r="F762" s="7" t="s">
        <v>4348</v>
      </c>
      <c r="G762" s="7" t="s">
        <v>25</v>
      </c>
      <c r="H762" s="58"/>
      <c r="I762" s="23"/>
      <c r="J762" s="24"/>
      <c r="M762" s="4"/>
      <c r="N762" s="76"/>
      <c r="O762" s="76"/>
      <c r="P762" s="76" t="str">
        <f t="shared" si="90"/>
        <v>,shikkan754_start_date</v>
      </c>
      <c r="Q762" s="76" t="str">
        <f t="shared" si="91"/>
        <v>DATE</v>
      </c>
      <c r="R762" s="76" t="str">
        <f t="shared" si="92"/>
        <v/>
      </c>
      <c r="S762" s="76" t="str">
        <f t="shared" si="93"/>
        <v/>
      </c>
      <c r="T762" s="76" t="str">
        <f t="shared" si="94"/>
        <v>-- J678_疾患開始日</v>
      </c>
      <c r="U762" s="4" t="str">
        <f t="shared" si="95"/>
        <v>,'shikkan754_start_date'</v>
      </c>
      <c r="V762" s="25" t="str">
        <f t="shared" si="96"/>
        <v>,'shikkan754_start_date' : 'J678_疾患開始日'</v>
      </c>
      <c r="X762" s="25">
        <v>1</v>
      </c>
      <c r="AA762" s="4"/>
      <c r="AB762" s="4"/>
      <c r="AC762" s="4"/>
      <c r="AD762" s="4"/>
      <c r="AE762" s="4"/>
      <c r="AF762" s="4"/>
      <c r="AG762" s="4"/>
      <c r="AH762" s="4"/>
      <c r="AI762" s="4"/>
      <c r="AJ762" s="76" t="str">
        <f>IF(E762="○",IF(COUNTA(E$13:E762)=1,"",",")&amp;D762,"")</f>
        <v/>
      </c>
      <c r="AK762" s="4"/>
      <c r="AL762" s="4"/>
      <c r="AM762" s="4"/>
      <c r="AN762" s="4"/>
      <c r="AO762" s="4"/>
      <c r="AP762" s="4"/>
      <c r="AQ762" s="4"/>
      <c r="AR762" s="4"/>
      <c r="AS762" s="76" t="str">
        <f>"COMMENT ON COLUMN "&amp;エンティティ一覧!$O$2&amp;"."&amp;D$8&amp;"."&amp;D762&amp;" IS '"&amp;C762&amp;"';"</f>
        <v>COMMENT ON COLUMN milscm_2023_009.main_diagnosis_start_date.shikkan754_start_date IS 'J678_疾患開始日';</v>
      </c>
    </row>
    <row r="763" spans="1:45" s="25" customFormat="1">
      <c r="A763" s="4" t="s">
        <v>5832</v>
      </c>
      <c r="B763" s="21">
        <f t="shared" si="89"/>
        <v>761</v>
      </c>
      <c r="C763" s="13" t="str">
        <f t="shared" si="97"/>
        <v>J679_疾患開始日</v>
      </c>
      <c r="D763" s="13" t="s">
        <v>6415</v>
      </c>
      <c r="E763" s="8"/>
      <c r="F763" s="7" t="s">
        <v>4348</v>
      </c>
      <c r="G763" s="7" t="s">
        <v>25</v>
      </c>
      <c r="H763" s="58"/>
      <c r="I763" s="23"/>
      <c r="J763" s="24"/>
      <c r="M763" s="4"/>
      <c r="N763" s="76"/>
      <c r="O763" s="76"/>
      <c r="P763" s="76" t="str">
        <f t="shared" si="90"/>
        <v>,shikkan755_start_date</v>
      </c>
      <c r="Q763" s="76" t="str">
        <f t="shared" si="91"/>
        <v>DATE</v>
      </c>
      <c r="R763" s="76" t="str">
        <f t="shared" si="92"/>
        <v/>
      </c>
      <c r="S763" s="76" t="str">
        <f t="shared" si="93"/>
        <v/>
      </c>
      <c r="T763" s="76" t="str">
        <f t="shared" si="94"/>
        <v>-- J679_疾患開始日</v>
      </c>
      <c r="U763" s="4" t="str">
        <f t="shared" si="95"/>
        <v>,'shikkan755_start_date'</v>
      </c>
      <c r="V763" s="25" t="str">
        <f t="shared" si="96"/>
        <v>,'shikkan755_start_date' : 'J679_疾患開始日'</v>
      </c>
      <c r="X763" s="25">
        <v>1</v>
      </c>
      <c r="AA763" s="4"/>
      <c r="AB763" s="4"/>
      <c r="AC763" s="4"/>
      <c r="AD763" s="4"/>
      <c r="AE763" s="4"/>
      <c r="AF763" s="4"/>
      <c r="AG763" s="4"/>
      <c r="AH763" s="4"/>
      <c r="AI763" s="4"/>
      <c r="AJ763" s="76" t="str">
        <f>IF(E763="○",IF(COUNTA(E$13:E763)=1,"",",")&amp;D763,"")</f>
        <v/>
      </c>
      <c r="AK763" s="4"/>
      <c r="AL763" s="4"/>
      <c r="AM763" s="4"/>
      <c r="AN763" s="4"/>
      <c r="AO763" s="4"/>
      <c r="AP763" s="4"/>
      <c r="AQ763" s="4"/>
      <c r="AR763" s="4"/>
      <c r="AS763" s="76" t="str">
        <f>"COMMENT ON COLUMN "&amp;エンティティ一覧!$O$2&amp;"."&amp;D$8&amp;"."&amp;D763&amp;" IS '"&amp;C763&amp;"';"</f>
        <v>COMMENT ON COLUMN milscm_2023_009.main_diagnosis_start_date.shikkan755_start_date IS 'J679_疾患開始日';</v>
      </c>
    </row>
    <row r="764" spans="1:45" s="25" customFormat="1">
      <c r="A764" s="4" t="s">
        <v>5833</v>
      </c>
      <c r="B764" s="21">
        <f t="shared" si="89"/>
        <v>762</v>
      </c>
      <c r="C764" s="13" t="str">
        <f t="shared" si="97"/>
        <v>J684_疾患開始日</v>
      </c>
      <c r="D764" s="13" t="s">
        <v>6416</v>
      </c>
      <c r="E764" s="8"/>
      <c r="F764" s="7" t="s">
        <v>4348</v>
      </c>
      <c r="G764" s="7" t="s">
        <v>25</v>
      </c>
      <c r="H764" s="58"/>
      <c r="I764" s="23"/>
      <c r="J764" s="24"/>
      <c r="M764" s="4"/>
      <c r="N764" s="76"/>
      <c r="O764" s="76"/>
      <c r="P764" s="76" t="str">
        <f t="shared" si="90"/>
        <v>,shikkan756_start_date</v>
      </c>
      <c r="Q764" s="76" t="str">
        <f t="shared" si="91"/>
        <v>DATE</v>
      </c>
      <c r="R764" s="76" t="str">
        <f t="shared" si="92"/>
        <v/>
      </c>
      <c r="S764" s="76" t="str">
        <f t="shared" si="93"/>
        <v/>
      </c>
      <c r="T764" s="76" t="str">
        <f t="shared" si="94"/>
        <v>-- J684_疾患開始日</v>
      </c>
      <c r="U764" s="4" t="str">
        <f t="shared" si="95"/>
        <v>,'shikkan756_start_date'</v>
      </c>
      <c r="V764" s="25" t="str">
        <f t="shared" si="96"/>
        <v>,'shikkan756_start_date' : 'J684_疾患開始日'</v>
      </c>
      <c r="X764" s="25">
        <v>1</v>
      </c>
      <c r="AA764" s="4"/>
      <c r="AB764" s="4"/>
      <c r="AC764" s="4"/>
      <c r="AD764" s="4"/>
      <c r="AE764" s="4"/>
      <c r="AF764" s="4"/>
      <c r="AG764" s="4"/>
      <c r="AH764" s="4"/>
      <c r="AI764" s="4"/>
      <c r="AJ764" s="76" t="str">
        <f>IF(E764="○",IF(COUNTA(E$13:E764)=1,"",",")&amp;D764,"")</f>
        <v/>
      </c>
      <c r="AK764" s="4"/>
      <c r="AL764" s="4"/>
      <c r="AM764" s="4"/>
      <c r="AN764" s="4"/>
      <c r="AO764" s="4"/>
      <c r="AP764" s="4"/>
      <c r="AQ764" s="4"/>
      <c r="AR764" s="4"/>
      <c r="AS764" s="76" t="str">
        <f>"COMMENT ON COLUMN "&amp;エンティティ一覧!$O$2&amp;"."&amp;D$8&amp;"."&amp;D764&amp;" IS '"&amp;C764&amp;"';"</f>
        <v>COMMENT ON COLUMN milscm_2023_009.main_diagnosis_start_date.shikkan756_start_date IS 'J684_疾患開始日';</v>
      </c>
    </row>
    <row r="765" spans="1:45" s="25" customFormat="1">
      <c r="A765" s="4" t="s">
        <v>5834</v>
      </c>
      <c r="B765" s="21">
        <f t="shared" si="89"/>
        <v>763</v>
      </c>
      <c r="C765" s="13" t="str">
        <f t="shared" si="97"/>
        <v>J701_疾患開始日</v>
      </c>
      <c r="D765" s="13" t="s">
        <v>6417</v>
      </c>
      <c r="E765" s="8"/>
      <c r="F765" s="7" t="s">
        <v>4348</v>
      </c>
      <c r="G765" s="7" t="s">
        <v>25</v>
      </c>
      <c r="H765" s="58"/>
      <c r="I765" s="23"/>
      <c r="J765" s="24"/>
      <c r="M765" s="4"/>
      <c r="N765" s="76"/>
      <c r="O765" s="76"/>
      <c r="P765" s="76" t="str">
        <f t="shared" si="90"/>
        <v>,shikkan757_start_date</v>
      </c>
      <c r="Q765" s="76" t="str">
        <f t="shared" si="91"/>
        <v>DATE</v>
      </c>
      <c r="R765" s="76" t="str">
        <f t="shared" si="92"/>
        <v/>
      </c>
      <c r="S765" s="76" t="str">
        <f t="shared" si="93"/>
        <v/>
      </c>
      <c r="T765" s="76" t="str">
        <f t="shared" si="94"/>
        <v>-- J701_疾患開始日</v>
      </c>
      <c r="U765" s="4" t="str">
        <f t="shared" si="95"/>
        <v>,'shikkan757_start_date'</v>
      </c>
      <c r="V765" s="25" t="str">
        <f t="shared" si="96"/>
        <v>,'shikkan757_start_date' : 'J701_疾患開始日'</v>
      </c>
      <c r="X765" s="25">
        <v>1</v>
      </c>
      <c r="AA765" s="4"/>
      <c r="AB765" s="4"/>
      <c r="AC765" s="4"/>
      <c r="AD765" s="4"/>
      <c r="AE765" s="4"/>
      <c r="AF765" s="4"/>
      <c r="AG765" s="4"/>
      <c r="AH765" s="4"/>
      <c r="AI765" s="4"/>
      <c r="AJ765" s="76" t="str">
        <f>IF(E765="○",IF(COUNTA(E$13:E765)=1,"",",")&amp;D765,"")</f>
        <v/>
      </c>
      <c r="AK765" s="4"/>
      <c r="AL765" s="4"/>
      <c r="AM765" s="4"/>
      <c r="AN765" s="4"/>
      <c r="AO765" s="4"/>
      <c r="AP765" s="4"/>
      <c r="AQ765" s="4"/>
      <c r="AR765" s="4"/>
      <c r="AS765" s="76" t="str">
        <f>"COMMENT ON COLUMN "&amp;エンティティ一覧!$O$2&amp;"."&amp;D$8&amp;"."&amp;D765&amp;" IS '"&amp;C765&amp;"';"</f>
        <v>COMMENT ON COLUMN milscm_2023_009.main_diagnosis_start_date.shikkan757_start_date IS 'J701_疾患開始日';</v>
      </c>
    </row>
    <row r="766" spans="1:45" s="25" customFormat="1">
      <c r="A766" s="4" t="s">
        <v>5835</v>
      </c>
      <c r="B766" s="21">
        <f t="shared" si="89"/>
        <v>764</v>
      </c>
      <c r="C766" s="13" t="str">
        <f t="shared" si="97"/>
        <v>J703_疾患開始日</v>
      </c>
      <c r="D766" s="13" t="s">
        <v>6418</v>
      </c>
      <c r="E766" s="8"/>
      <c r="F766" s="7" t="s">
        <v>4348</v>
      </c>
      <c r="G766" s="7" t="s">
        <v>25</v>
      </c>
      <c r="H766" s="58"/>
      <c r="I766" s="23"/>
      <c r="J766" s="24"/>
      <c r="M766" s="4"/>
      <c r="N766" s="76"/>
      <c r="O766" s="76"/>
      <c r="P766" s="76" t="str">
        <f t="shared" si="90"/>
        <v>,shikkan758_start_date</v>
      </c>
      <c r="Q766" s="76" t="str">
        <f t="shared" si="91"/>
        <v>DATE</v>
      </c>
      <c r="R766" s="76" t="str">
        <f t="shared" si="92"/>
        <v/>
      </c>
      <c r="S766" s="76" t="str">
        <f t="shared" si="93"/>
        <v/>
      </c>
      <c r="T766" s="76" t="str">
        <f t="shared" si="94"/>
        <v>-- J703_疾患開始日</v>
      </c>
      <c r="U766" s="4" t="str">
        <f t="shared" si="95"/>
        <v>,'shikkan758_start_date'</v>
      </c>
      <c r="V766" s="25" t="str">
        <f t="shared" si="96"/>
        <v>,'shikkan758_start_date' : 'J703_疾患開始日'</v>
      </c>
      <c r="X766" s="25">
        <v>1</v>
      </c>
      <c r="AA766" s="4"/>
      <c r="AB766" s="4"/>
      <c r="AC766" s="4"/>
      <c r="AD766" s="4"/>
      <c r="AE766" s="4"/>
      <c r="AF766" s="4"/>
      <c r="AG766" s="4"/>
      <c r="AH766" s="4"/>
      <c r="AI766" s="4"/>
      <c r="AJ766" s="76" t="str">
        <f>IF(E766="○",IF(COUNTA(E$13:E766)=1,"",",")&amp;D766,"")</f>
        <v/>
      </c>
      <c r="AK766" s="4"/>
      <c r="AL766" s="4"/>
      <c r="AM766" s="4"/>
      <c r="AN766" s="4"/>
      <c r="AO766" s="4"/>
      <c r="AP766" s="4"/>
      <c r="AQ766" s="4"/>
      <c r="AR766" s="4"/>
      <c r="AS766" s="76" t="str">
        <f>"COMMENT ON COLUMN "&amp;エンティティ一覧!$O$2&amp;"."&amp;D$8&amp;"."&amp;D766&amp;" IS '"&amp;C766&amp;"';"</f>
        <v>COMMENT ON COLUMN milscm_2023_009.main_diagnosis_start_date.shikkan758_start_date IS 'J703_疾患開始日';</v>
      </c>
    </row>
    <row r="767" spans="1:45" s="25" customFormat="1">
      <c r="A767" s="4" t="s">
        <v>5836</v>
      </c>
      <c r="B767" s="21">
        <f t="shared" si="89"/>
        <v>765</v>
      </c>
      <c r="C767" s="13" t="str">
        <f t="shared" si="97"/>
        <v>K250_疾患開始日</v>
      </c>
      <c r="D767" s="13" t="s">
        <v>6419</v>
      </c>
      <c r="E767" s="8"/>
      <c r="F767" s="7" t="s">
        <v>4348</v>
      </c>
      <c r="G767" s="7" t="s">
        <v>25</v>
      </c>
      <c r="H767" s="58"/>
      <c r="I767" s="23"/>
      <c r="J767" s="24"/>
      <c r="M767" s="4"/>
      <c r="N767" s="76"/>
      <c r="O767" s="76"/>
      <c r="P767" s="76" t="str">
        <f t="shared" si="90"/>
        <v>,shikkan759_start_date</v>
      </c>
      <c r="Q767" s="76" t="str">
        <f t="shared" si="91"/>
        <v>DATE</v>
      </c>
      <c r="R767" s="76" t="str">
        <f t="shared" si="92"/>
        <v/>
      </c>
      <c r="S767" s="76" t="str">
        <f t="shared" si="93"/>
        <v/>
      </c>
      <c r="T767" s="76" t="str">
        <f t="shared" si="94"/>
        <v>-- K250_疾患開始日</v>
      </c>
      <c r="U767" s="4" t="str">
        <f t="shared" si="95"/>
        <v>,'shikkan759_start_date'</v>
      </c>
      <c r="V767" s="25" t="str">
        <f t="shared" si="96"/>
        <v>,'shikkan759_start_date' : 'K250_疾患開始日'</v>
      </c>
      <c r="X767" s="25">
        <v>1</v>
      </c>
      <c r="AA767" s="4"/>
      <c r="AB767" s="4"/>
      <c r="AC767" s="4"/>
      <c r="AD767" s="4"/>
      <c r="AE767" s="4"/>
      <c r="AF767" s="4"/>
      <c r="AG767" s="4"/>
      <c r="AH767" s="4"/>
      <c r="AI767" s="4"/>
      <c r="AJ767" s="76" t="str">
        <f>IF(E767="○",IF(COUNTA(E$13:E767)=1,"",",")&amp;D767,"")</f>
        <v/>
      </c>
      <c r="AK767" s="4"/>
      <c r="AL767" s="4"/>
      <c r="AM767" s="4"/>
      <c r="AN767" s="4"/>
      <c r="AO767" s="4"/>
      <c r="AP767" s="4"/>
      <c r="AQ767" s="4"/>
      <c r="AR767" s="4"/>
      <c r="AS767" s="76" t="str">
        <f>"COMMENT ON COLUMN "&amp;エンティティ一覧!$O$2&amp;"."&amp;D$8&amp;"."&amp;D767&amp;" IS '"&amp;C767&amp;"';"</f>
        <v>COMMENT ON COLUMN milscm_2023_009.main_diagnosis_start_date.shikkan759_start_date IS 'K250_疾患開始日';</v>
      </c>
    </row>
    <row r="768" spans="1:45" s="25" customFormat="1">
      <c r="A768" s="4" t="s">
        <v>5837</v>
      </c>
      <c r="B768" s="21">
        <f t="shared" si="89"/>
        <v>766</v>
      </c>
      <c r="C768" s="13" t="str">
        <f t="shared" si="97"/>
        <v>K251_疾患開始日</v>
      </c>
      <c r="D768" s="13" t="s">
        <v>6420</v>
      </c>
      <c r="E768" s="8"/>
      <c r="F768" s="7" t="s">
        <v>4348</v>
      </c>
      <c r="G768" s="7" t="s">
        <v>25</v>
      </c>
      <c r="H768" s="58"/>
      <c r="I768" s="23"/>
      <c r="J768" s="24"/>
      <c r="M768" s="4"/>
      <c r="N768" s="76"/>
      <c r="O768" s="76"/>
      <c r="P768" s="76" t="str">
        <f t="shared" si="90"/>
        <v>,shikkan760_start_date</v>
      </c>
      <c r="Q768" s="76" t="str">
        <f t="shared" si="91"/>
        <v>DATE</v>
      </c>
      <c r="R768" s="76" t="str">
        <f t="shared" si="92"/>
        <v/>
      </c>
      <c r="S768" s="76" t="str">
        <f t="shared" si="93"/>
        <v/>
      </c>
      <c r="T768" s="76" t="str">
        <f t="shared" si="94"/>
        <v>-- K251_疾患開始日</v>
      </c>
      <c r="U768" s="4" t="str">
        <f t="shared" si="95"/>
        <v>,'shikkan760_start_date'</v>
      </c>
      <c r="V768" s="25" t="str">
        <f t="shared" si="96"/>
        <v>,'shikkan760_start_date' : 'K251_疾患開始日'</v>
      </c>
      <c r="X768" s="25">
        <v>1</v>
      </c>
      <c r="AA768" s="4"/>
      <c r="AB768" s="4"/>
      <c r="AC768" s="4"/>
      <c r="AD768" s="4"/>
      <c r="AE768" s="4"/>
      <c r="AF768" s="4"/>
      <c r="AG768" s="4"/>
      <c r="AH768" s="4"/>
      <c r="AI768" s="4"/>
      <c r="AJ768" s="76" t="str">
        <f>IF(E768="○",IF(COUNTA(E$13:E768)=1,"",",")&amp;D768,"")</f>
        <v/>
      </c>
      <c r="AK768" s="4"/>
      <c r="AL768" s="4"/>
      <c r="AM768" s="4"/>
      <c r="AN768" s="4"/>
      <c r="AO768" s="4"/>
      <c r="AP768" s="4"/>
      <c r="AQ768" s="4"/>
      <c r="AR768" s="4"/>
      <c r="AS768" s="76" t="str">
        <f>"COMMENT ON COLUMN "&amp;エンティティ一覧!$O$2&amp;"."&amp;D$8&amp;"."&amp;D768&amp;" IS '"&amp;C768&amp;"';"</f>
        <v>COMMENT ON COLUMN milscm_2023_009.main_diagnosis_start_date.shikkan760_start_date IS 'K251_疾患開始日';</v>
      </c>
    </row>
    <row r="769" spans="1:45" s="25" customFormat="1">
      <c r="A769" s="4" t="s">
        <v>5838</v>
      </c>
      <c r="B769" s="21">
        <f t="shared" si="89"/>
        <v>767</v>
      </c>
      <c r="C769" s="13" t="str">
        <f t="shared" si="97"/>
        <v>K252_疾患開始日</v>
      </c>
      <c r="D769" s="13" t="s">
        <v>6421</v>
      </c>
      <c r="E769" s="8"/>
      <c r="F769" s="7" t="s">
        <v>4348</v>
      </c>
      <c r="G769" s="7" t="s">
        <v>25</v>
      </c>
      <c r="H769" s="58"/>
      <c r="I769" s="23"/>
      <c r="J769" s="24"/>
      <c r="M769" s="4"/>
      <c r="N769" s="76"/>
      <c r="O769" s="76"/>
      <c r="P769" s="76" t="str">
        <f t="shared" si="90"/>
        <v>,shikkan761_start_date</v>
      </c>
      <c r="Q769" s="76" t="str">
        <f t="shared" si="91"/>
        <v>DATE</v>
      </c>
      <c r="R769" s="76" t="str">
        <f t="shared" si="92"/>
        <v/>
      </c>
      <c r="S769" s="76" t="str">
        <f t="shared" si="93"/>
        <v/>
      </c>
      <c r="T769" s="76" t="str">
        <f t="shared" si="94"/>
        <v>-- K252_疾患開始日</v>
      </c>
      <c r="U769" s="4" t="str">
        <f t="shared" si="95"/>
        <v>,'shikkan761_start_date'</v>
      </c>
      <c r="V769" s="25" t="str">
        <f t="shared" si="96"/>
        <v>,'shikkan761_start_date' : 'K252_疾患開始日'</v>
      </c>
      <c r="X769" s="25">
        <v>1</v>
      </c>
      <c r="AA769" s="4"/>
      <c r="AB769" s="4"/>
      <c r="AC769" s="4"/>
      <c r="AD769" s="4"/>
      <c r="AE769" s="4"/>
      <c r="AF769" s="4"/>
      <c r="AG769" s="4"/>
      <c r="AH769" s="4"/>
      <c r="AI769" s="4"/>
      <c r="AJ769" s="76" t="str">
        <f>IF(E769="○",IF(COUNTA(E$13:E769)=1,"",",")&amp;D769,"")</f>
        <v/>
      </c>
      <c r="AK769" s="4"/>
      <c r="AL769" s="4"/>
      <c r="AM769" s="4"/>
      <c r="AN769" s="4"/>
      <c r="AO769" s="4"/>
      <c r="AP769" s="4"/>
      <c r="AQ769" s="4"/>
      <c r="AR769" s="4"/>
      <c r="AS769" s="76" t="str">
        <f>"COMMENT ON COLUMN "&amp;エンティティ一覧!$O$2&amp;"."&amp;D$8&amp;"."&amp;D769&amp;" IS '"&amp;C769&amp;"';"</f>
        <v>COMMENT ON COLUMN milscm_2023_009.main_diagnosis_start_date.shikkan761_start_date IS 'K252_疾患開始日';</v>
      </c>
    </row>
    <row r="770" spans="1:45" s="25" customFormat="1">
      <c r="A770" s="4" t="s">
        <v>5839</v>
      </c>
      <c r="B770" s="21">
        <f t="shared" si="89"/>
        <v>768</v>
      </c>
      <c r="C770" s="13" t="str">
        <f t="shared" si="97"/>
        <v>K253_疾患開始日</v>
      </c>
      <c r="D770" s="13" t="s">
        <v>6422</v>
      </c>
      <c r="E770" s="8"/>
      <c r="F770" s="7" t="s">
        <v>4348</v>
      </c>
      <c r="G770" s="7" t="s">
        <v>25</v>
      </c>
      <c r="H770" s="58"/>
      <c r="I770" s="23"/>
      <c r="J770" s="24"/>
      <c r="M770" s="4"/>
      <c r="N770" s="76"/>
      <c r="O770" s="76"/>
      <c r="P770" s="76" t="str">
        <f t="shared" si="90"/>
        <v>,shikkan762_start_date</v>
      </c>
      <c r="Q770" s="76" t="str">
        <f t="shared" si="91"/>
        <v>DATE</v>
      </c>
      <c r="R770" s="76" t="str">
        <f t="shared" si="92"/>
        <v/>
      </c>
      <c r="S770" s="76" t="str">
        <f t="shared" si="93"/>
        <v/>
      </c>
      <c r="T770" s="76" t="str">
        <f t="shared" si="94"/>
        <v>-- K253_疾患開始日</v>
      </c>
      <c r="U770" s="4" t="str">
        <f t="shared" si="95"/>
        <v>,'shikkan762_start_date'</v>
      </c>
      <c r="V770" s="25" t="str">
        <f t="shared" si="96"/>
        <v>,'shikkan762_start_date' : 'K253_疾患開始日'</v>
      </c>
      <c r="X770" s="25">
        <v>1</v>
      </c>
      <c r="AA770" s="4"/>
      <c r="AB770" s="4"/>
      <c r="AC770" s="4"/>
      <c r="AD770" s="4"/>
      <c r="AE770" s="4"/>
      <c r="AF770" s="4"/>
      <c r="AG770" s="4"/>
      <c r="AH770" s="4"/>
      <c r="AI770" s="4"/>
      <c r="AJ770" s="76" t="str">
        <f>IF(E770="○",IF(COUNTA(E$13:E770)=1,"",",")&amp;D770,"")</f>
        <v/>
      </c>
      <c r="AK770" s="4"/>
      <c r="AL770" s="4"/>
      <c r="AM770" s="4"/>
      <c r="AN770" s="4"/>
      <c r="AO770" s="4"/>
      <c r="AP770" s="4"/>
      <c r="AQ770" s="4"/>
      <c r="AR770" s="4"/>
      <c r="AS770" s="76" t="str">
        <f>"COMMENT ON COLUMN "&amp;エンティティ一覧!$O$2&amp;"."&amp;D$8&amp;"."&amp;D770&amp;" IS '"&amp;C770&amp;"';"</f>
        <v>COMMENT ON COLUMN milscm_2023_009.main_diagnosis_start_date.shikkan762_start_date IS 'K253_疾患開始日';</v>
      </c>
    </row>
    <row r="771" spans="1:45" s="25" customFormat="1">
      <c r="A771" s="4" t="s">
        <v>5840</v>
      </c>
      <c r="B771" s="21">
        <f t="shared" si="89"/>
        <v>769</v>
      </c>
      <c r="C771" s="13" t="str">
        <f t="shared" si="97"/>
        <v>K254_疾患開始日</v>
      </c>
      <c r="D771" s="13" t="s">
        <v>6423</v>
      </c>
      <c r="E771" s="8"/>
      <c r="F771" s="7" t="s">
        <v>4348</v>
      </c>
      <c r="G771" s="7" t="s">
        <v>25</v>
      </c>
      <c r="H771" s="58"/>
      <c r="I771" s="23"/>
      <c r="J771" s="24"/>
      <c r="M771" s="4"/>
      <c r="N771" s="76"/>
      <c r="O771" s="76"/>
      <c r="P771" s="76" t="str">
        <f t="shared" si="90"/>
        <v>,shikkan763_start_date</v>
      </c>
      <c r="Q771" s="76" t="str">
        <f t="shared" si="91"/>
        <v>DATE</v>
      </c>
      <c r="R771" s="76" t="str">
        <f t="shared" si="92"/>
        <v/>
      </c>
      <c r="S771" s="76" t="str">
        <f t="shared" si="93"/>
        <v/>
      </c>
      <c r="T771" s="76" t="str">
        <f t="shared" si="94"/>
        <v>-- K254_疾患開始日</v>
      </c>
      <c r="U771" s="4" t="str">
        <f t="shared" si="95"/>
        <v>,'shikkan763_start_date'</v>
      </c>
      <c r="V771" s="25" t="str">
        <f t="shared" si="96"/>
        <v>,'shikkan763_start_date' : 'K254_疾患開始日'</v>
      </c>
      <c r="X771" s="25">
        <v>1</v>
      </c>
      <c r="AA771" s="4"/>
      <c r="AB771" s="4"/>
      <c r="AC771" s="4"/>
      <c r="AD771" s="4"/>
      <c r="AE771" s="4"/>
      <c r="AF771" s="4"/>
      <c r="AG771" s="4"/>
      <c r="AH771" s="4"/>
      <c r="AI771" s="4"/>
      <c r="AJ771" s="76" t="str">
        <f>IF(E771="○",IF(COUNTA(E$13:E771)=1,"",",")&amp;D771,"")</f>
        <v/>
      </c>
      <c r="AK771" s="4"/>
      <c r="AL771" s="4"/>
      <c r="AM771" s="4"/>
      <c r="AN771" s="4"/>
      <c r="AO771" s="4"/>
      <c r="AP771" s="4"/>
      <c r="AQ771" s="4"/>
      <c r="AR771" s="4"/>
      <c r="AS771" s="76" t="str">
        <f>"COMMENT ON COLUMN "&amp;エンティティ一覧!$O$2&amp;"."&amp;D$8&amp;"."&amp;D771&amp;" IS '"&amp;C771&amp;"';"</f>
        <v>COMMENT ON COLUMN milscm_2023_009.main_diagnosis_start_date.shikkan763_start_date IS 'K254_疾患開始日';</v>
      </c>
    </row>
    <row r="772" spans="1:45" s="25" customFormat="1">
      <c r="A772" s="4" t="s">
        <v>5841</v>
      </c>
      <c r="B772" s="21">
        <f t="shared" ref="B772:B835" si="98">ROW()-2</f>
        <v>770</v>
      </c>
      <c r="C772" s="13" t="str">
        <f t="shared" si="97"/>
        <v>K255_疾患開始日</v>
      </c>
      <c r="D772" s="13" t="s">
        <v>6424</v>
      </c>
      <c r="E772" s="8"/>
      <c r="F772" s="7" t="s">
        <v>4348</v>
      </c>
      <c r="G772" s="7" t="s">
        <v>25</v>
      </c>
      <c r="H772" s="58"/>
      <c r="I772" s="23"/>
      <c r="J772" s="24"/>
      <c r="M772" s="4"/>
      <c r="N772" s="76"/>
      <c r="O772" s="76"/>
      <c r="P772" s="76" t="str">
        <f t="shared" si="90"/>
        <v>,shikkan764_start_date</v>
      </c>
      <c r="Q772" s="76" t="str">
        <f t="shared" si="91"/>
        <v>DATE</v>
      </c>
      <c r="R772" s="76" t="str">
        <f t="shared" si="92"/>
        <v/>
      </c>
      <c r="S772" s="76" t="str">
        <f t="shared" si="93"/>
        <v/>
      </c>
      <c r="T772" s="76" t="str">
        <f t="shared" si="94"/>
        <v>-- K255_疾患開始日</v>
      </c>
      <c r="U772" s="4" t="str">
        <f t="shared" si="95"/>
        <v>,'shikkan764_start_date'</v>
      </c>
      <c r="V772" s="25" t="str">
        <f t="shared" si="96"/>
        <v>,'shikkan764_start_date' : 'K255_疾患開始日'</v>
      </c>
      <c r="X772" s="25">
        <v>1</v>
      </c>
      <c r="AA772" s="4"/>
      <c r="AB772" s="4"/>
      <c r="AC772" s="4"/>
      <c r="AD772" s="4"/>
      <c r="AE772" s="4"/>
      <c r="AF772" s="4"/>
      <c r="AG772" s="4"/>
      <c r="AH772" s="4"/>
      <c r="AI772" s="4"/>
      <c r="AJ772" s="76" t="str">
        <f>IF(E772="○",IF(COUNTA(E$13:E772)=1,"",",")&amp;D772,"")</f>
        <v/>
      </c>
      <c r="AK772" s="4"/>
      <c r="AL772" s="4"/>
      <c r="AM772" s="4"/>
      <c r="AN772" s="4"/>
      <c r="AO772" s="4"/>
      <c r="AP772" s="4"/>
      <c r="AQ772" s="4"/>
      <c r="AR772" s="4"/>
      <c r="AS772" s="76" t="str">
        <f>"COMMENT ON COLUMN "&amp;エンティティ一覧!$O$2&amp;"."&amp;D$8&amp;"."&amp;D772&amp;" IS '"&amp;C772&amp;"';"</f>
        <v>COMMENT ON COLUMN milscm_2023_009.main_diagnosis_start_date.shikkan764_start_date IS 'K255_疾患開始日';</v>
      </c>
    </row>
    <row r="773" spans="1:45" s="25" customFormat="1">
      <c r="A773" s="4" t="s">
        <v>5842</v>
      </c>
      <c r="B773" s="21">
        <f t="shared" si="98"/>
        <v>771</v>
      </c>
      <c r="C773" s="13" t="str">
        <f t="shared" si="97"/>
        <v>K256_疾患開始日</v>
      </c>
      <c r="D773" s="13" t="s">
        <v>6425</v>
      </c>
      <c r="E773" s="8"/>
      <c r="F773" s="7" t="s">
        <v>4348</v>
      </c>
      <c r="G773" s="7" t="s">
        <v>25</v>
      </c>
      <c r="H773" s="58"/>
      <c r="I773" s="23"/>
      <c r="J773" s="24"/>
      <c r="M773" s="4"/>
      <c r="N773" s="76"/>
      <c r="O773" s="76"/>
      <c r="P773" s="76" t="str">
        <f t="shared" si="90"/>
        <v>,shikkan765_start_date</v>
      </c>
      <c r="Q773" s="76" t="str">
        <f t="shared" si="91"/>
        <v>DATE</v>
      </c>
      <c r="R773" s="76" t="str">
        <f t="shared" si="92"/>
        <v/>
      </c>
      <c r="S773" s="76" t="str">
        <f t="shared" si="93"/>
        <v/>
      </c>
      <c r="T773" s="76" t="str">
        <f t="shared" si="94"/>
        <v>-- K256_疾患開始日</v>
      </c>
      <c r="U773" s="4" t="str">
        <f t="shared" si="95"/>
        <v>,'shikkan765_start_date'</v>
      </c>
      <c r="V773" s="25" t="str">
        <f t="shared" si="96"/>
        <v>,'shikkan765_start_date' : 'K256_疾患開始日'</v>
      </c>
      <c r="X773" s="25">
        <v>1</v>
      </c>
      <c r="AA773" s="4"/>
      <c r="AB773" s="4"/>
      <c r="AC773" s="4"/>
      <c r="AD773" s="4"/>
      <c r="AE773" s="4"/>
      <c r="AF773" s="4"/>
      <c r="AG773" s="4"/>
      <c r="AH773" s="4"/>
      <c r="AI773" s="4"/>
      <c r="AJ773" s="76" t="str">
        <f>IF(E773="○",IF(COUNTA(E$13:E773)=1,"",",")&amp;D773,"")</f>
        <v/>
      </c>
      <c r="AK773" s="4"/>
      <c r="AL773" s="4"/>
      <c r="AM773" s="4"/>
      <c r="AN773" s="4"/>
      <c r="AO773" s="4"/>
      <c r="AP773" s="4"/>
      <c r="AQ773" s="4"/>
      <c r="AR773" s="4"/>
      <c r="AS773" s="76" t="str">
        <f>"COMMENT ON COLUMN "&amp;エンティティ一覧!$O$2&amp;"."&amp;D$8&amp;"."&amp;D773&amp;" IS '"&amp;C773&amp;"';"</f>
        <v>COMMENT ON COLUMN milscm_2023_009.main_diagnosis_start_date.shikkan765_start_date IS 'K256_疾患開始日';</v>
      </c>
    </row>
    <row r="774" spans="1:45" s="25" customFormat="1">
      <c r="A774" s="4" t="s">
        <v>5843</v>
      </c>
      <c r="B774" s="21">
        <f t="shared" si="98"/>
        <v>772</v>
      </c>
      <c r="C774" s="13" t="str">
        <f t="shared" si="97"/>
        <v>K257_疾患開始日</v>
      </c>
      <c r="D774" s="13" t="s">
        <v>6426</v>
      </c>
      <c r="E774" s="8"/>
      <c r="F774" s="7" t="s">
        <v>4348</v>
      </c>
      <c r="G774" s="7" t="s">
        <v>25</v>
      </c>
      <c r="H774" s="58"/>
      <c r="I774" s="23"/>
      <c r="J774" s="24"/>
      <c r="M774" s="4"/>
      <c r="N774" s="76"/>
      <c r="O774" s="76"/>
      <c r="P774" s="76" t="str">
        <f t="shared" si="90"/>
        <v>,shikkan766_start_date</v>
      </c>
      <c r="Q774" s="76" t="str">
        <f t="shared" si="91"/>
        <v>DATE</v>
      </c>
      <c r="R774" s="76" t="str">
        <f t="shared" si="92"/>
        <v/>
      </c>
      <c r="S774" s="76" t="str">
        <f t="shared" si="93"/>
        <v/>
      </c>
      <c r="T774" s="76" t="str">
        <f t="shared" si="94"/>
        <v>-- K257_疾患開始日</v>
      </c>
      <c r="U774" s="4" t="str">
        <f t="shared" si="95"/>
        <v>,'shikkan766_start_date'</v>
      </c>
      <c r="V774" s="25" t="str">
        <f t="shared" si="96"/>
        <v>,'shikkan766_start_date' : 'K257_疾患開始日'</v>
      </c>
      <c r="X774" s="25">
        <v>1</v>
      </c>
      <c r="AA774" s="4"/>
      <c r="AB774" s="4"/>
      <c r="AC774" s="4"/>
      <c r="AD774" s="4"/>
      <c r="AE774" s="4"/>
      <c r="AF774" s="4"/>
      <c r="AG774" s="4"/>
      <c r="AH774" s="4"/>
      <c r="AI774" s="4"/>
      <c r="AJ774" s="76" t="str">
        <f>IF(E774="○",IF(COUNTA(E$13:E774)=1,"",",")&amp;D774,"")</f>
        <v/>
      </c>
      <c r="AK774" s="4"/>
      <c r="AL774" s="4"/>
      <c r="AM774" s="4"/>
      <c r="AN774" s="4"/>
      <c r="AO774" s="4"/>
      <c r="AP774" s="4"/>
      <c r="AQ774" s="4"/>
      <c r="AR774" s="4"/>
      <c r="AS774" s="76" t="str">
        <f>"COMMENT ON COLUMN "&amp;エンティティ一覧!$O$2&amp;"."&amp;D$8&amp;"."&amp;D774&amp;" IS '"&amp;C774&amp;"';"</f>
        <v>COMMENT ON COLUMN milscm_2023_009.main_diagnosis_start_date.shikkan766_start_date IS 'K257_疾患開始日';</v>
      </c>
    </row>
    <row r="775" spans="1:45" s="25" customFormat="1">
      <c r="A775" s="4" t="s">
        <v>5844</v>
      </c>
      <c r="B775" s="21">
        <f t="shared" si="98"/>
        <v>773</v>
      </c>
      <c r="C775" s="13" t="str">
        <f t="shared" si="97"/>
        <v>K259_疾患開始日</v>
      </c>
      <c r="D775" s="13" t="s">
        <v>6427</v>
      </c>
      <c r="E775" s="8"/>
      <c r="F775" s="7" t="s">
        <v>4348</v>
      </c>
      <c r="G775" s="7" t="s">
        <v>99</v>
      </c>
      <c r="H775" s="58"/>
      <c r="I775" s="23"/>
      <c r="J775" s="24"/>
      <c r="M775" s="4"/>
      <c r="N775" s="76"/>
      <c r="O775" s="76"/>
      <c r="P775" s="76" t="str">
        <f t="shared" si="90"/>
        <v>,shikkan767_start_date</v>
      </c>
      <c r="Q775" s="76" t="str">
        <f t="shared" si="91"/>
        <v>DATE</v>
      </c>
      <c r="R775" s="76" t="str">
        <f t="shared" si="92"/>
        <v/>
      </c>
      <c r="S775" s="76" t="str">
        <f t="shared" si="93"/>
        <v/>
      </c>
      <c r="T775" s="76" t="str">
        <f t="shared" si="94"/>
        <v>-- K259_疾患開始日</v>
      </c>
      <c r="U775" s="4" t="str">
        <f t="shared" si="95"/>
        <v>,'shikkan767_start_date'</v>
      </c>
      <c r="V775" s="25" t="str">
        <f t="shared" si="96"/>
        <v>,'shikkan767_start_date' : 'K259_疾患開始日'</v>
      </c>
      <c r="X775" s="25">
        <v>1</v>
      </c>
      <c r="AA775" s="4"/>
      <c r="AB775" s="4"/>
      <c r="AC775" s="4"/>
      <c r="AD775" s="4"/>
      <c r="AE775" s="4"/>
      <c r="AF775" s="4"/>
      <c r="AG775" s="4"/>
      <c r="AH775" s="4"/>
      <c r="AI775" s="4"/>
      <c r="AJ775" s="76" t="str">
        <f>IF(E775="○",IF(COUNTA(E$13:E775)=1,"",",")&amp;D775,"")</f>
        <v/>
      </c>
      <c r="AK775" s="4"/>
      <c r="AL775" s="4"/>
      <c r="AM775" s="4"/>
      <c r="AN775" s="4"/>
      <c r="AO775" s="4"/>
      <c r="AP775" s="4"/>
      <c r="AQ775" s="4"/>
      <c r="AR775" s="4"/>
      <c r="AS775" s="76" t="str">
        <f>"COMMENT ON COLUMN "&amp;エンティティ一覧!$O$2&amp;"."&amp;D$8&amp;"."&amp;D775&amp;" IS '"&amp;C775&amp;"';"</f>
        <v>COMMENT ON COLUMN milscm_2023_009.main_diagnosis_start_date.shikkan767_start_date IS 'K259_疾患開始日';</v>
      </c>
    </row>
    <row r="776" spans="1:45" s="25" customFormat="1">
      <c r="A776" s="4" t="s">
        <v>5845</v>
      </c>
      <c r="B776" s="21">
        <f t="shared" si="98"/>
        <v>774</v>
      </c>
      <c r="C776" s="13" t="str">
        <f t="shared" si="97"/>
        <v>K260_疾患開始日</v>
      </c>
      <c r="D776" s="13" t="s">
        <v>6428</v>
      </c>
      <c r="E776" s="8"/>
      <c r="F776" s="7" t="s">
        <v>4348</v>
      </c>
      <c r="G776" s="7" t="s">
        <v>25</v>
      </c>
      <c r="H776" s="58"/>
      <c r="I776" s="23"/>
      <c r="J776" s="24"/>
      <c r="M776" s="4"/>
      <c r="N776" s="76"/>
      <c r="O776" s="76"/>
      <c r="P776" s="76" t="str">
        <f t="shared" ref="P776:P839" si="99">IF(B776&lt;&gt;1,","&amp;D776,D776)</f>
        <v>,shikkan768_start_date</v>
      </c>
      <c r="Q776" s="76" t="str">
        <f t="shared" ref="Q776:Q839" si="100">UPPER(G776)</f>
        <v>DATE</v>
      </c>
      <c r="R776" s="76" t="str">
        <f t="shared" ref="R776:R839" si="101">IF(H776&lt;&gt;"","default "&amp;IF(G776="text","'"&amp;H776&amp;"'",H776),"")</f>
        <v/>
      </c>
      <c r="S776" s="76" t="str">
        <f t="shared" ref="S776:S839" si="102">IF(I776="○","NOT NULL","")</f>
        <v/>
      </c>
      <c r="T776" s="76" t="str">
        <f t="shared" ref="T776:T839" si="103">"-- "&amp;C776</f>
        <v>-- K260_疾患開始日</v>
      </c>
      <c r="U776" s="4" t="str">
        <f t="shared" si="95"/>
        <v>,'shikkan768_start_date'</v>
      </c>
      <c r="V776" s="25" t="str">
        <f t="shared" si="96"/>
        <v>,'shikkan768_start_date' : 'K260_疾患開始日'</v>
      </c>
      <c r="X776" s="25">
        <v>1</v>
      </c>
      <c r="AA776" s="4"/>
      <c r="AB776" s="4"/>
      <c r="AC776" s="4"/>
      <c r="AD776" s="4"/>
      <c r="AE776" s="4"/>
      <c r="AF776" s="4"/>
      <c r="AG776" s="4"/>
      <c r="AH776" s="4"/>
      <c r="AI776" s="4"/>
      <c r="AJ776" s="76" t="str">
        <f>IF(E776="○",IF(COUNTA(E$13:E776)=1,"",",")&amp;D776,"")</f>
        <v/>
      </c>
      <c r="AK776" s="4"/>
      <c r="AL776" s="4"/>
      <c r="AM776" s="4"/>
      <c r="AN776" s="4"/>
      <c r="AO776" s="4"/>
      <c r="AP776" s="4"/>
      <c r="AQ776" s="4"/>
      <c r="AR776" s="4"/>
      <c r="AS776" s="76" t="str">
        <f>"COMMENT ON COLUMN "&amp;エンティティ一覧!$O$2&amp;"."&amp;D$8&amp;"."&amp;D776&amp;" IS '"&amp;C776&amp;"';"</f>
        <v>COMMENT ON COLUMN milscm_2023_009.main_diagnosis_start_date.shikkan768_start_date IS 'K260_疾患開始日';</v>
      </c>
    </row>
    <row r="777" spans="1:45" s="25" customFormat="1">
      <c r="A777" s="4" t="s">
        <v>5846</v>
      </c>
      <c r="B777" s="21">
        <f t="shared" si="98"/>
        <v>775</v>
      </c>
      <c r="C777" s="13" t="str">
        <f t="shared" si="97"/>
        <v>K261_疾患開始日</v>
      </c>
      <c r="D777" s="13" t="s">
        <v>6429</v>
      </c>
      <c r="E777" s="8"/>
      <c r="F777" s="7" t="s">
        <v>4348</v>
      </c>
      <c r="G777" s="7" t="s">
        <v>25</v>
      </c>
      <c r="H777" s="58"/>
      <c r="I777" s="23"/>
      <c r="J777" s="24"/>
      <c r="M777" s="4"/>
      <c r="N777" s="76"/>
      <c r="O777" s="76"/>
      <c r="P777" s="76" t="str">
        <f t="shared" si="99"/>
        <v>,shikkan769_start_date</v>
      </c>
      <c r="Q777" s="76" t="str">
        <f t="shared" si="100"/>
        <v>DATE</v>
      </c>
      <c r="R777" s="76" t="str">
        <f t="shared" si="101"/>
        <v/>
      </c>
      <c r="S777" s="76" t="str">
        <f t="shared" si="102"/>
        <v/>
      </c>
      <c r="T777" s="76" t="str">
        <f t="shared" si="103"/>
        <v>-- K261_疾患開始日</v>
      </c>
      <c r="U777" s="4" t="str">
        <f t="shared" ref="U777:U840" si="104">IF(B777&lt;&gt;1,",","")&amp;"'"&amp;D777&amp;"'"</f>
        <v>,'shikkan769_start_date'</v>
      </c>
      <c r="V777" s="25" t="str">
        <f t="shared" ref="V777:V840" si="105">U777&amp;" : '"&amp;C777&amp;"'"</f>
        <v>,'shikkan769_start_date' : 'K261_疾患開始日'</v>
      </c>
      <c r="X777" s="25">
        <v>1</v>
      </c>
      <c r="AA777" s="4"/>
      <c r="AB777" s="4"/>
      <c r="AC777" s="4"/>
      <c r="AD777" s="4"/>
      <c r="AE777" s="4"/>
      <c r="AF777" s="4"/>
      <c r="AG777" s="4"/>
      <c r="AH777" s="4"/>
      <c r="AI777" s="4"/>
      <c r="AJ777" s="76" t="str">
        <f>IF(E777="○",IF(COUNTA(E$13:E777)=1,"",",")&amp;D777,"")</f>
        <v/>
      </c>
      <c r="AK777" s="4"/>
      <c r="AL777" s="4"/>
      <c r="AM777" s="4"/>
      <c r="AN777" s="4"/>
      <c r="AO777" s="4"/>
      <c r="AP777" s="4"/>
      <c r="AQ777" s="4"/>
      <c r="AR777" s="4"/>
      <c r="AS777" s="76" t="str">
        <f>"COMMENT ON COLUMN "&amp;エンティティ一覧!$O$2&amp;"."&amp;D$8&amp;"."&amp;D777&amp;" IS '"&amp;C777&amp;"';"</f>
        <v>COMMENT ON COLUMN milscm_2023_009.main_diagnosis_start_date.shikkan769_start_date IS 'K261_疾患開始日';</v>
      </c>
    </row>
    <row r="778" spans="1:45" s="25" customFormat="1">
      <c r="A778" s="4" t="s">
        <v>5847</v>
      </c>
      <c r="B778" s="21">
        <f t="shared" si="98"/>
        <v>776</v>
      </c>
      <c r="C778" s="13" t="str">
        <f t="shared" ref="C778:C841" si="106">A778&amp;"_疾患開始日"</f>
        <v>K262_疾患開始日</v>
      </c>
      <c r="D778" s="13" t="s">
        <v>6430</v>
      </c>
      <c r="E778" s="8"/>
      <c r="F778" s="7" t="s">
        <v>4348</v>
      </c>
      <c r="G778" s="7" t="s">
        <v>25</v>
      </c>
      <c r="H778" s="58"/>
      <c r="I778" s="23"/>
      <c r="J778" s="24"/>
      <c r="M778" s="4"/>
      <c r="N778" s="76"/>
      <c r="O778" s="76"/>
      <c r="P778" s="76" t="str">
        <f t="shared" si="99"/>
        <v>,shikkan770_start_date</v>
      </c>
      <c r="Q778" s="76" t="str">
        <f t="shared" si="100"/>
        <v>DATE</v>
      </c>
      <c r="R778" s="76" t="str">
        <f t="shared" si="101"/>
        <v/>
      </c>
      <c r="S778" s="76" t="str">
        <f t="shared" si="102"/>
        <v/>
      </c>
      <c r="T778" s="76" t="str">
        <f t="shared" si="103"/>
        <v>-- K262_疾患開始日</v>
      </c>
      <c r="U778" s="4" t="str">
        <f t="shared" si="104"/>
        <v>,'shikkan770_start_date'</v>
      </c>
      <c r="V778" s="25" t="str">
        <f t="shared" si="105"/>
        <v>,'shikkan770_start_date' : 'K262_疾患開始日'</v>
      </c>
      <c r="X778" s="25">
        <v>1</v>
      </c>
      <c r="AA778" s="4"/>
      <c r="AB778" s="4"/>
      <c r="AC778" s="4"/>
      <c r="AD778" s="4"/>
      <c r="AE778" s="4"/>
      <c r="AF778" s="4"/>
      <c r="AG778" s="4"/>
      <c r="AH778" s="4"/>
      <c r="AI778" s="4"/>
      <c r="AJ778" s="76" t="str">
        <f>IF(E778="○",IF(COUNTA(E$13:E778)=1,"",",")&amp;D778,"")</f>
        <v/>
      </c>
      <c r="AK778" s="4"/>
      <c r="AL778" s="4"/>
      <c r="AM778" s="4"/>
      <c r="AN778" s="4"/>
      <c r="AO778" s="4"/>
      <c r="AP778" s="4"/>
      <c r="AQ778" s="4"/>
      <c r="AR778" s="4"/>
      <c r="AS778" s="76" t="str">
        <f>"COMMENT ON COLUMN "&amp;エンティティ一覧!$O$2&amp;"."&amp;D$8&amp;"."&amp;D778&amp;" IS '"&amp;C778&amp;"';"</f>
        <v>COMMENT ON COLUMN milscm_2023_009.main_diagnosis_start_date.shikkan770_start_date IS 'K262_疾患開始日';</v>
      </c>
    </row>
    <row r="779" spans="1:45" s="25" customFormat="1">
      <c r="A779" s="4" t="s">
        <v>5848</v>
      </c>
      <c r="B779" s="21">
        <f t="shared" si="98"/>
        <v>777</v>
      </c>
      <c r="C779" s="13" t="str">
        <f t="shared" si="106"/>
        <v>K263_疾患開始日</v>
      </c>
      <c r="D779" s="13" t="s">
        <v>6431</v>
      </c>
      <c r="E779" s="8"/>
      <c r="F779" s="7" t="s">
        <v>4348</v>
      </c>
      <c r="G779" s="7" t="s">
        <v>25</v>
      </c>
      <c r="H779" s="58"/>
      <c r="I779" s="23"/>
      <c r="J779" s="24"/>
      <c r="M779" s="4"/>
      <c r="N779" s="76"/>
      <c r="O779" s="76"/>
      <c r="P779" s="76" t="str">
        <f t="shared" si="99"/>
        <v>,shikkan771_start_date</v>
      </c>
      <c r="Q779" s="76" t="str">
        <f t="shared" si="100"/>
        <v>DATE</v>
      </c>
      <c r="R779" s="76" t="str">
        <f t="shared" si="101"/>
        <v/>
      </c>
      <c r="S779" s="76" t="str">
        <f t="shared" si="102"/>
        <v/>
      </c>
      <c r="T779" s="76" t="str">
        <f t="shared" si="103"/>
        <v>-- K263_疾患開始日</v>
      </c>
      <c r="U779" s="4" t="str">
        <f t="shared" si="104"/>
        <v>,'shikkan771_start_date'</v>
      </c>
      <c r="V779" s="25" t="str">
        <f t="shared" si="105"/>
        <v>,'shikkan771_start_date' : 'K263_疾患開始日'</v>
      </c>
      <c r="X779" s="25">
        <v>1</v>
      </c>
      <c r="AA779" s="4"/>
      <c r="AB779" s="4"/>
      <c r="AC779" s="4"/>
      <c r="AD779" s="4"/>
      <c r="AE779" s="4"/>
      <c r="AF779" s="4"/>
      <c r="AG779" s="4"/>
      <c r="AH779" s="4"/>
      <c r="AI779" s="4"/>
      <c r="AJ779" s="76" t="str">
        <f>IF(E779="○",IF(COUNTA(E$13:E779)=1,"",",")&amp;D779,"")</f>
        <v/>
      </c>
      <c r="AK779" s="4"/>
      <c r="AL779" s="4"/>
      <c r="AM779" s="4"/>
      <c r="AN779" s="4"/>
      <c r="AO779" s="4"/>
      <c r="AP779" s="4"/>
      <c r="AQ779" s="4"/>
      <c r="AR779" s="4"/>
      <c r="AS779" s="76" t="str">
        <f>"COMMENT ON COLUMN "&amp;エンティティ一覧!$O$2&amp;"."&amp;D$8&amp;"."&amp;D779&amp;" IS '"&amp;C779&amp;"';"</f>
        <v>COMMENT ON COLUMN milscm_2023_009.main_diagnosis_start_date.shikkan771_start_date IS 'K263_疾患開始日';</v>
      </c>
    </row>
    <row r="780" spans="1:45" s="25" customFormat="1">
      <c r="A780" s="4" t="s">
        <v>5849</v>
      </c>
      <c r="B780" s="21">
        <f t="shared" si="98"/>
        <v>778</v>
      </c>
      <c r="C780" s="13" t="str">
        <f t="shared" si="106"/>
        <v>K264_疾患開始日</v>
      </c>
      <c r="D780" s="13" t="s">
        <v>6432</v>
      </c>
      <c r="E780" s="8"/>
      <c r="F780" s="7" t="s">
        <v>4348</v>
      </c>
      <c r="G780" s="7" t="s">
        <v>25</v>
      </c>
      <c r="H780" s="58"/>
      <c r="I780" s="23"/>
      <c r="J780" s="24"/>
      <c r="M780" s="4"/>
      <c r="N780" s="76"/>
      <c r="O780" s="76"/>
      <c r="P780" s="76" t="str">
        <f t="shared" si="99"/>
        <v>,shikkan772_start_date</v>
      </c>
      <c r="Q780" s="76" t="str">
        <f t="shared" si="100"/>
        <v>DATE</v>
      </c>
      <c r="R780" s="76" t="str">
        <f t="shared" si="101"/>
        <v/>
      </c>
      <c r="S780" s="76" t="str">
        <f t="shared" si="102"/>
        <v/>
      </c>
      <c r="T780" s="76" t="str">
        <f t="shared" si="103"/>
        <v>-- K264_疾患開始日</v>
      </c>
      <c r="U780" s="4" t="str">
        <f t="shared" si="104"/>
        <v>,'shikkan772_start_date'</v>
      </c>
      <c r="V780" s="25" t="str">
        <f t="shared" si="105"/>
        <v>,'shikkan772_start_date' : 'K264_疾患開始日'</v>
      </c>
      <c r="X780" s="25">
        <v>1</v>
      </c>
      <c r="AA780" s="4"/>
      <c r="AB780" s="4"/>
      <c r="AC780" s="4"/>
      <c r="AD780" s="4"/>
      <c r="AE780" s="4"/>
      <c r="AF780" s="4"/>
      <c r="AG780" s="4"/>
      <c r="AH780" s="4"/>
      <c r="AI780" s="4"/>
      <c r="AJ780" s="76" t="str">
        <f>IF(E780="○",IF(COUNTA(E$13:E780)=1,"",",")&amp;D780,"")</f>
        <v/>
      </c>
      <c r="AK780" s="4"/>
      <c r="AL780" s="4"/>
      <c r="AM780" s="4"/>
      <c r="AN780" s="4"/>
      <c r="AO780" s="4"/>
      <c r="AP780" s="4"/>
      <c r="AQ780" s="4"/>
      <c r="AR780" s="4"/>
      <c r="AS780" s="76" t="str">
        <f>"COMMENT ON COLUMN "&amp;エンティティ一覧!$O$2&amp;"."&amp;D$8&amp;"."&amp;D780&amp;" IS '"&amp;C780&amp;"';"</f>
        <v>COMMENT ON COLUMN milscm_2023_009.main_diagnosis_start_date.shikkan772_start_date IS 'K264_疾患開始日';</v>
      </c>
    </row>
    <row r="781" spans="1:45" s="25" customFormat="1">
      <c r="A781" s="4" t="s">
        <v>5850</v>
      </c>
      <c r="B781" s="21">
        <f t="shared" si="98"/>
        <v>779</v>
      </c>
      <c r="C781" s="13" t="str">
        <f t="shared" si="106"/>
        <v>K265_疾患開始日</v>
      </c>
      <c r="D781" s="13" t="s">
        <v>6433</v>
      </c>
      <c r="E781" s="8"/>
      <c r="F781" s="7" t="s">
        <v>4348</v>
      </c>
      <c r="G781" s="7" t="s">
        <v>25</v>
      </c>
      <c r="H781" s="58"/>
      <c r="I781" s="23"/>
      <c r="J781" s="24"/>
      <c r="M781" s="4"/>
      <c r="N781" s="76"/>
      <c r="O781" s="76"/>
      <c r="P781" s="76" t="str">
        <f t="shared" si="99"/>
        <v>,shikkan773_start_date</v>
      </c>
      <c r="Q781" s="76" t="str">
        <f t="shared" si="100"/>
        <v>DATE</v>
      </c>
      <c r="R781" s="76" t="str">
        <f t="shared" si="101"/>
        <v/>
      </c>
      <c r="S781" s="76" t="str">
        <f t="shared" si="102"/>
        <v/>
      </c>
      <c r="T781" s="76" t="str">
        <f t="shared" si="103"/>
        <v>-- K265_疾患開始日</v>
      </c>
      <c r="U781" s="4" t="str">
        <f t="shared" si="104"/>
        <v>,'shikkan773_start_date'</v>
      </c>
      <c r="V781" s="25" t="str">
        <f t="shared" si="105"/>
        <v>,'shikkan773_start_date' : 'K265_疾患開始日'</v>
      </c>
      <c r="X781" s="25">
        <v>1</v>
      </c>
      <c r="AA781" s="4"/>
      <c r="AB781" s="4"/>
      <c r="AC781" s="4"/>
      <c r="AD781" s="4"/>
      <c r="AE781" s="4"/>
      <c r="AF781" s="4"/>
      <c r="AG781" s="4"/>
      <c r="AH781" s="4"/>
      <c r="AI781" s="4"/>
      <c r="AJ781" s="76" t="str">
        <f>IF(E781="○",IF(COUNTA(E$13:E781)=1,"",",")&amp;D781,"")</f>
        <v/>
      </c>
      <c r="AK781" s="4"/>
      <c r="AL781" s="4"/>
      <c r="AM781" s="4"/>
      <c r="AN781" s="4"/>
      <c r="AO781" s="4"/>
      <c r="AP781" s="4"/>
      <c r="AQ781" s="4"/>
      <c r="AR781" s="4"/>
      <c r="AS781" s="76" t="str">
        <f>"COMMENT ON COLUMN "&amp;エンティティ一覧!$O$2&amp;"."&amp;D$8&amp;"."&amp;D781&amp;" IS '"&amp;C781&amp;"';"</f>
        <v>COMMENT ON COLUMN milscm_2023_009.main_diagnosis_start_date.shikkan773_start_date IS 'K265_疾患開始日';</v>
      </c>
    </row>
    <row r="782" spans="1:45" s="25" customFormat="1">
      <c r="A782" s="4" t="s">
        <v>5851</v>
      </c>
      <c r="B782" s="21">
        <f t="shared" si="98"/>
        <v>780</v>
      </c>
      <c r="C782" s="13" t="str">
        <f t="shared" si="106"/>
        <v>K266_疾患開始日</v>
      </c>
      <c r="D782" s="13" t="s">
        <v>6434</v>
      </c>
      <c r="E782" s="8"/>
      <c r="F782" s="7" t="s">
        <v>4348</v>
      </c>
      <c r="G782" s="7" t="s">
        <v>25</v>
      </c>
      <c r="H782" s="58"/>
      <c r="I782" s="23"/>
      <c r="J782" s="24"/>
      <c r="M782" s="4"/>
      <c r="N782" s="76"/>
      <c r="O782" s="76"/>
      <c r="P782" s="76" t="str">
        <f t="shared" si="99"/>
        <v>,shikkan774_start_date</v>
      </c>
      <c r="Q782" s="76" t="str">
        <f t="shared" si="100"/>
        <v>DATE</v>
      </c>
      <c r="R782" s="76" t="str">
        <f t="shared" si="101"/>
        <v/>
      </c>
      <c r="S782" s="76" t="str">
        <f t="shared" si="102"/>
        <v/>
      </c>
      <c r="T782" s="76" t="str">
        <f t="shared" si="103"/>
        <v>-- K266_疾患開始日</v>
      </c>
      <c r="U782" s="4" t="str">
        <f t="shared" si="104"/>
        <v>,'shikkan774_start_date'</v>
      </c>
      <c r="V782" s="25" t="str">
        <f t="shared" si="105"/>
        <v>,'shikkan774_start_date' : 'K266_疾患開始日'</v>
      </c>
      <c r="X782" s="25">
        <v>1</v>
      </c>
      <c r="AA782" s="4"/>
      <c r="AB782" s="4"/>
      <c r="AC782" s="4"/>
      <c r="AD782" s="4"/>
      <c r="AE782" s="4"/>
      <c r="AF782" s="4"/>
      <c r="AG782" s="4"/>
      <c r="AH782" s="4"/>
      <c r="AI782" s="4"/>
      <c r="AJ782" s="76" t="str">
        <f>IF(E782="○",IF(COUNTA(E$13:E782)=1,"",",")&amp;D782,"")</f>
        <v/>
      </c>
      <c r="AK782" s="4"/>
      <c r="AL782" s="4"/>
      <c r="AM782" s="4"/>
      <c r="AN782" s="4"/>
      <c r="AO782" s="4"/>
      <c r="AP782" s="4"/>
      <c r="AQ782" s="4"/>
      <c r="AR782" s="4"/>
      <c r="AS782" s="76" t="str">
        <f>"COMMENT ON COLUMN "&amp;エンティティ一覧!$O$2&amp;"."&amp;D$8&amp;"."&amp;D782&amp;" IS '"&amp;C782&amp;"';"</f>
        <v>COMMENT ON COLUMN milscm_2023_009.main_diagnosis_start_date.shikkan774_start_date IS 'K266_疾患開始日';</v>
      </c>
    </row>
    <row r="783" spans="1:45" s="25" customFormat="1">
      <c r="A783" s="4" t="s">
        <v>5852</v>
      </c>
      <c r="B783" s="21">
        <f t="shared" si="98"/>
        <v>781</v>
      </c>
      <c r="C783" s="13" t="str">
        <f t="shared" si="106"/>
        <v>K267_疾患開始日</v>
      </c>
      <c r="D783" s="13" t="s">
        <v>6435</v>
      </c>
      <c r="E783" s="8"/>
      <c r="F783" s="7" t="s">
        <v>4348</v>
      </c>
      <c r="G783" s="7" t="s">
        <v>25</v>
      </c>
      <c r="H783" s="58"/>
      <c r="I783" s="23"/>
      <c r="J783" s="24"/>
      <c r="M783" s="4"/>
      <c r="N783" s="76"/>
      <c r="O783" s="76"/>
      <c r="P783" s="76" t="str">
        <f t="shared" si="99"/>
        <v>,shikkan775_start_date</v>
      </c>
      <c r="Q783" s="76" t="str">
        <f t="shared" si="100"/>
        <v>DATE</v>
      </c>
      <c r="R783" s="76" t="str">
        <f t="shared" si="101"/>
        <v/>
      </c>
      <c r="S783" s="76" t="str">
        <f t="shared" si="102"/>
        <v/>
      </c>
      <c r="T783" s="76" t="str">
        <f t="shared" si="103"/>
        <v>-- K267_疾患開始日</v>
      </c>
      <c r="U783" s="4" t="str">
        <f t="shared" si="104"/>
        <v>,'shikkan775_start_date'</v>
      </c>
      <c r="V783" s="25" t="str">
        <f t="shared" si="105"/>
        <v>,'shikkan775_start_date' : 'K267_疾患開始日'</v>
      </c>
      <c r="X783" s="25">
        <v>1</v>
      </c>
      <c r="AA783" s="4"/>
      <c r="AB783" s="4"/>
      <c r="AC783" s="4"/>
      <c r="AD783" s="4"/>
      <c r="AE783" s="4"/>
      <c r="AF783" s="4"/>
      <c r="AG783" s="4"/>
      <c r="AH783" s="4"/>
      <c r="AI783" s="4"/>
      <c r="AJ783" s="76" t="str">
        <f>IF(E783="○",IF(COUNTA(E$13:E783)=1,"",",")&amp;D783,"")</f>
        <v/>
      </c>
      <c r="AK783" s="4"/>
      <c r="AL783" s="4"/>
      <c r="AM783" s="4"/>
      <c r="AN783" s="4"/>
      <c r="AO783" s="4"/>
      <c r="AP783" s="4"/>
      <c r="AQ783" s="4"/>
      <c r="AR783" s="4"/>
      <c r="AS783" s="76" t="str">
        <f>"COMMENT ON COLUMN "&amp;エンティティ一覧!$O$2&amp;"."&amp;D$8&amp;"."&amp;D783&amp;" IS '"&amp;C783&amp;"';"</f>
        <v>COMMENT ON COLUMN milscm_2023_009.main_diagnosis_start_date.shikkan775_start_date IS 'K267_疾患開始日';</v>
      </c>
    </row>
    <row r="784" spans="1:45" s="25" customFormat="1">
      <c r="A784" s="4" t="s">
        <v>5853</v>
      </c>
      <c r="B784" s="21">
        <f t="shared" si="98"/>
        <v>782</v>
      </c>
      <c r="C784" s="13" t="str">
        <f t="shared" si="106"/>
        <v>K269_疾患開始日</v>
      </c>
      <c r="D784" s="13" t="s">
        <v>6436</v>
      </c>
      <c r="E784" s="8"/>
      <c r="F784" s="7" t="s">
        <v>4348</v>
      </c>
      <c r="G784" s="7" t="s">
        <v>25</v>
      </c>
      <c r="H784" s="58"/>
      <c r="I784" s="23"/>
      <c r="J784" s="24"/>
      <c r="M784" s="4"/>
      <c r="N784" s="76"/>
      <c r="O784" s="76"/>
      <c r="P784" s="76" t="str">
        <f t="shared" si="99"/>
        <v>,shikkan776_start_date</v>
      </c>
      <c r="Q784" s="76" t="str">
        <f t="shared" si="100"/>
        <v>DATE</v>
      </c>
      <c r="R784" s="76" t="str">
        <f t="shared" si="101"/>
        <v/>
      </c>
      <c r="S784" s="76" t="str">
        <f t="shared" si="102"/>
        <v/>
      </c>
      <c r="T784" s="76" t="str">
        <f t="shared" si="103"/>
        <v>-- K269_疾患開始日</v>
      </c>
      <c r="U784" s="4" t="str">
        <f t="shared" si="104"/>
        <v>,'shikkan776_start_date'</v>
      </c>
      <c r="V784" s="25" t="str">
        <f t="shared" si="105"/>
        <v>,'shikkan776_start_date' : 'K269_疾患開始日'</v>
      </c>
      <c r="X784" s="25">
        <v>1</v>
      </c>
      <c r="AA784" s="4"/>
      <c r="AB784" s="4"/>
      <c r="AC784" s="4"/>
      <c r="AD784" s="4"/>
      <c r="AE784" s="4"/>
      <c r="AF784" s="4"/>
      <c r="AG784" s="4"/>
      <c r="AH784" s="4"/>
      <c r="AI784" s="4"/>
      <c r="AJ784" s="76" t="str">
        <f>IF(E784="○",IF(COUNTA(E$13:E784)=1,"",",")&amp;D784,"")</f>
        <v/>
      </c>
      <c r="AK784" s="4"/>
      <c r="AL784" s="4"/>
      <c r="AM784" s="4"/>
      <c r="AN784" s="4"/>
      <c r="AO784" s="4"/>
      <c r="AP784" s="4"/>
      <c r="AQ784" s="4"/>
      <c r="AR784" s="4"/>
      <c r="AS784" s="76" t="str">
        <f>"COMMENT ON COLUMN "&amp;エンティティ一覧!$O$2&amp;"."&amp;D$8&amp;"."&amp;D784&amp;" IS '"&amp;C784&amp;"';"</f>
        <v>COMMENT ON COLUMN milscm_2023_009.main_diagnosis_start_date.shikkan776_start_date IS 'K269_疾患開始日';</v>
      </c>
    </row>
    <row r="785" spans="1:45" s="25" customFormat="1">
      <c r="A785" s="4" t="s">
        <v>5854</v>
      </c>
      <c r="B785" s="21">
        <f t="shared" si="98"/>
        <v>783</v>
      </c>
      <c r="C785" s="13" t="str">
        <f t="shared" si="106"/>
        <v>K270_疾患開始日</v>
      </c>
      <c r="D785" s="13" t="s">
        <v>6437</v>
      </c>
      <c r="E785" s="8"/>
      <c r="F785" s="7" t="s">
        <v>4348</v>
      </c>
      <c r="G785" s="7" t="s">
        <v>25</v>
      </c>
      <c r="H785" s="58"/>
      <c r="I785" s="23"/>
      <c r="J785" s="24"/>
      <c r="M785" s="4"/>
      <c r="N785" s="76"/>
      <c r="O785" s="76"/>
      <c r="P785" s="76" t="str">
        <f t="shared" si="99"/>
        <v>,shikkan777_start_date</v>
      </c>
      <c r="Q785" s="76" t="str">
        <f t="shared" si="100"/>
        <v>DATE</v>
      </c>
      <c r="R785" s="76" t="str">
        <f t="shared" si="101"/>
        <v/>
      </c>
      <c r="S785" s="76" t="str">
        <f t="shared" si="102"/>
        <v/>
      </c>
      <c r="T785" s="76" t="str">
        <f t="shared" si="103"/>
        <v>-- K270_疾患開始日</v>
      </c>
      <c r="U785" s="4" t="str">
        <f t="shared" si="104"/>
        <v>,'shikkan777_start_date'</v>
      </c>
      <c r="V785" s="25" t="str">
        <f t="shared" si="105"/>
        <v>,'shikkan777_start_date' : 'K270_疾患開始日'</v>
      </c>
      <c r="X785" s="25">
        <v>1</v>
      </c>
      <c r="AA785" s="4"/>
      <c r="AB785" s="4"/>
      <c r="AC785" s="4"/>
      <c r="AD785" s="4"/>
      <c r="AE785" s="4"/>
      <c r="AF785" s="4"/>
      <c r="AG785" s="4"/>
      <c r="AH785" s="4"/>
      <c r="AI785" s="4"/>
      <c r="AJ785" s="76" t="str">
        <f>IF(E785="○",IF(COUNTA(E$13:E785)=1,"",",")&amp;D785,"")</f>
        <v/>
      </c>
      <c r="AK785" s="4"/>
      <c r="AL785" s="4"/>
      <c r="AM785" s="4"/>
      <c r="AN785" s="4"/>
      <c r="AO785" s="4"/>
      <c r="AP785" s="4"/>
      <c r="AQ785" s="4"/>
      <c r="AR785" s="4"/>
      <c r="AS785" s="76" t="str">
        <f>"COMMENT ON COLUMN "&amp;エンティティ一覧!$O$2&amp;"."&amp;D$8&amp;"."&amp;D785&amp;" IS '"&amp;C785&amp;"';"</f>
        <v>COMMENT ON COLUMN milscm_2023_009.main_diagnosis_start_date.shikkan777_start_date IS 'K270_疾患開始日';</v>
      </c>
    </row>
    <row r="786" spans="1:45" s="25" customFormat="1">
      <c r="A786" s="4" t="s">
        <v>5855</v>
      </c>
      <c r="B786" s="21">
        <f t="shared" si="98"/>
        <v>784</v>
      </c>
      <c r="C786" s="13" t="str">
        <f t="shared" si="106"/>
        <v>K271_疾患開始日</v>
      </c>
      <c r="D786" s="13" t="s">
        <v>6438</v>
      </c>
      <c r="E786" s="8"/>
      <c r="F786" s="7" t="s">
        <v>4348</v>
      </c>
      <c r="G786" s="7" t="s">
        <v>25</v>
      </c>
      <c r="H786" s="58"/>
      <c r="I786" s="23"/>
      <c r="J786" s="24"/>
      <c r="M786" s="4"/>
      <c r="N786" s="76"/>
      <c r="O786" s="76"/>
      <c r="P786" s="76" t="str">
        <f t="shared" si="99"/>
        <v>,shikkan778_start_date</v>
      </c>
      <c r="Q786" s="76" t="str">
        <f t="shared" si="100"/>
        <v>DATE</v>
      </c>
      <c r="R786" s="76" t="str">
        <f t="shared" si="101"/>
        <v/>
      </c>
      <c r="S786" s="76" t="str">
        <f t="shared" si="102"/>
        <v/>
      </c>
      <c r="T786" s="76" t="str">
        <f t="shared" si="103"/>
        <v>-- K271_疾患開始日</v>
      </c>
      <c r="U786" s="4" t="str">
        <f t="shared" si="104"/>
        <v>,'shikkan778_start_date'</v>
      </c>
      <c r="V786" s="25" t="str">
        <f t="shared" si="105"/>
        <v>,'shikkan778_start_date' : 'K271_疾患開始日'</v>
      </c>
      <c r="X786" s="25">
        <v>1</v>
      </c>
      <c r="AA786" s="4"/>
      <c r="AB786" s="4"/>
      <c r="AC786" s="4"/>
      <c r="AD786" s="4"/>
      <c r="AE786" s="4"/>
      <c r="AF786" s="4"/>
      <c r="AG786" s="4"/>
      <c r="AH786" s="4"/>
      <c r="AI786" s="4"/>
      <c r="AJ786" s="76" t="str">
        <f>IF(E786="○",IF(COUNTA(E$13:E786)=1,"",",")&amp;D786,"")</f>
        <v/>
      </c>
      <c r="AK786" s="4"/>
      <c r="AL786" s="4"/>
      <c r="AM786" s="4"/>
      <c r="AN786" s="4"/>
      <c r="AO786" s="4"/>
      <c r="AP786" s="4"/>
      <c r="AQ786" s="4"/>
      <c r="AR786" s="4"/>
      <c r="AS786" s="76" t="str">
        <f>"COMMENT ON COLUMN "&amp;エンティティ一覧!$O$2&amp;"."&amp;D$8&amp;"."&amp;D786&amp;" IS '"&amp;C786&amp;"';"</f>
        <v>COMMENT ON COLUMN milscm_2023_009.main_diagnosis_start_date.shikkan778_start_date IS 'K271_疾患開始日';</v>
      </c>
    </row>
    <row r="787" spans="1:45" s="25" customFormat="1">
      <c r="A787" s="4" t="s">
        <v>5856</v>
      </c>
      <c r="B787" s="21">
        <f t="shared" si="98"/>
        <v>785</v>
      </c>
      <c r="C787" s="13" t="str">
        <f t="shared" si="106"/>
        <v>K272_疾患開始日</v>
      </c>
      <c r="D787" s="13" t="s">
        <v>6439</v>
      </c>
      <c r="E787" s="8"/>
      <c r="F787" s="7" t="s">
        <v>4348</v>
      </c>
      <c r="G787" s="7" t="s">
        <v>25</v>
      </c>
      <c r="H787" s="58"/>
      <c r="I787" s="23"/>
      <c r="J787" s="24"/>
      <c r="M787" s="4"/>
      <c r="N787" s="76"/>
      <c r="O787" s="76"/>
      <c r="P787" s="76" t="str">
        <f t="shared" si="99"/>
        <v>,shikkan779_start_date</v>
      </c>
      <c r="Q787" s="76" t="str">
        <f t="shared" si="100"/>
        <v>DATE</v>
      </c>
      <c r="R787" s="76" t="str">
        <f t="shared" si="101"/>
        <v/>
      </c>
      <c r="S787" s="76" t="str">
        <f t="shared" si="102"/>
        <v/>
      </c>
      <c r="T787" s="76" t="str">
        <f t="shared" si="103"/>
        <v>-- K272_疾患開始日</v>
      </c>
      <c r="U787" s="4" t="str">
        <f t="shared" si="104"/>
        <v>,'shikkan779_start_date'</v>
      </c>
      <c r="V787" s="25" t="str">
        <f t="shared" si="105"/>
        <v>,'shikkan779_start_date' : 'K272_疾患開始日'</v>
      </c>
      <c r="X787" s="25">
        <v>1</v>
      </c>
      <c r="AA787" s="4"/>
      <c r="AB787" s="4"/>
      <c r="AC787" s="4"/>
      <c r="AD787" s="4"/>
      <c r="AE787" s="4"/>
      <c r="AF787" s="4"/>
      <c r="AG787" s="4"/>
      <c r="AH787" s="4"/>
      <c r="AI787" s="4"/>
      <c r="AJ787" s="76" t="str">
        <f>IF(E787="○",IF(COUNTA(E$13:E787)=1,"",",")&amp;D787,"")</f>
        <v/>
      </c>
      <c r="AK787" s="4"/>
      <c r="AL787" s="4"/>
      <c r="AM787" s="4"/>
      <c r="AN787" s="4"/>
      <c r="AO787" s="4"/>
      <c r="AP787" s="4"/>
      <c r="AQ787" s="4"/>
      <c r="AR787" s="4"/>
      <c r="AS787" s="76" t="str">
        <f>"COMMENT ON COLUMN "&amp;エンティティ一覧!$O$2&amp;"."&amp;D$8&amp;"."&amp;D787&amp;" IS '"&amp;C787&amp;"';"</f>
        <v>COMMENT ON COLUMN milscm_2023_009.main_diagnosis_start_date.shikkan779_start_date IS 'K272_疾患開始日';</v>
      </c>
    </row>
    <row r="788" spans="1:45" s="25" customFormat="1">
      <c r="A788" s="4" t="s">
        <v>5857</v>
      </c>
      <c r="B788" s="21">
        <f t="shared" si="98"/>
        <v>786</v>
      </c>
      <c r="C788" s="13" t="str">
        <f t="shared" si="106"/>
        <v>K273_疾患開始日</v>
      </c>
      <c r="D788" s="13" t="s">
        <v>6440</v>
      </c>
      <c r="E788" s="8"/>
      <c r="F788" s="7" t="s">
        <v>4348</v>
      </c>
      <c r="G788" s="7" t="s">
        <v>25</v>
      </c>
      <c r="H788" s="58"/>
      <c r="I788" s="23"/>
      <c r="J788" s="24"/>
      <c r="M788" s="4"/>
      <c r="N788" s="76"/>
      <c r="O788" s="76"/>
      <c r="P788" s="76" t="str">
        <f t="shared" si="99"/>
        <v>,shikkan780_start_date</v>
      </c>
      <c r="Q788" s="76" t="str">
        <f t="shared" si="100"/>
        <v>DATE</v>
      </c>
      <c r="R788" s="76" t="str">
        <f t="shared" si="101"/>
        <v/>
      </c>
      <c r="S788" s="76" t="str">
        <f t="shared" si="102"/>
        <v/>
      </c>
      <c r="T788" s="76" t="str">
        <f t="shared" si="103"/>
        <v>-- K273_疾患開始日</v>
      </c>
      <c r="U788" s="4" t="str">
        <f t="shared" si="104"/>
        <v>,'shikkan780_start_date'</v>
      </c>
      <c r="V788" s="25" t="str">
        <f t="shared" si="105"/>
        <v>,'shikkan780_start_date' : 'K273_疾患開始日'</v>
      </c>
      <c r="X788" s="25">
        <v>1</v>
      </c>
      <c r="AA788" s="4"/>
      <c r="AB788" s="4"/>
      <c r="AC788" s="4"/>
      <c r="AD788" s="4"/>
      <c r="AE788" s="4"/>
      <c r="AF788" s="4"/>
      <c r="AG788" s="4"/>
      <c r="AH788" s="4"/>
      <c r="AI788" s="4"/>
      <c r="AJ788" s="76" t="str">
        <f>IF(E788="○",IF(COUNTA(E$13:E788)=1,"",",")&amp;D788,"")</f>
        <v/>
      </c>
      <c r="AK788" s="4"/>
      <c r="AL788" s="4"/>
      <c r="AM788" s="4"/>
      <c r="AN788" s="4"/>
      <c r="AO788" s="4"/>
      <c r="AP788" s="4"/>
      <c r="AQ788" s="4"/>
      <c r="AR788" s="4"/>
      <c r="AS788" s="76" t="str">
        <f>"COMMENT ON COLUMN "&amp;エンティティ一覧!$O$2&amp;"."&amp;D$8&amp;"."&amp;D788&amp;" IS '"&amp;C788&amp;"';"</f>
        <v>COMMENT ON COLUMN milscm_2023_009.main_diagnosis_start_date.shikkan780_start_date IS 'K273_疾患開始日';</v>
      </c>
    </row>
    <row r="789" spans="1:45" s="25" customFormat="1">
      <c r="A789" s="4" t="s">
        <v>5858</v>
      </c>
      <c r="B789" s="21">
        <f t="shared" si="98"/>
        <v>787</v>
      </c>
      <c r="C789" s="13" t="str">
        <f t="shared" si="106"/>
        <v>K274_疾患開始日</v>
      </c>
      <c r="D789" s="13" t="s">
        <v>6441</v>
      </c>
      <c r="E789" s="8"/>
      <c r="F789" s="7" t="s">
        <v>4348</v>
      </c>
      <c r="G789" s="7" t="s">
        <v>25</v>
      </c>
      <c r="H789" s="58"/>
      <c r="I789" s="23"/>
      <c r="J789" s="24"/>
      <c r="M789" s="4"/>
      <c r="N789" s="76"/>
      <c r="O789" s="76"/>
      <c r="P789" s="76" t="str">
        <f t="shared" si="99"/>
        <v>,shikkan781_start_date</v>
      </c>
      <c r="Q789" s="76" t="str">
        <f t="shared" si="100"/>
        <v>DATE</v>
      </c>
      <c r="R789" s="76" t="str">
        <f t="shared" si="101"/>
        <v/>
      </c>
      <c r="S789" s="76" t="str">
        <f t="shared" si="102"/>
        <v/>
      </c>
      <c r="T789" s="76" t="str">
        <f t="shared" si="103"/>
        <v>-- K274_疾患開始日</v>
      </c>
      <c r="U789" s="4" t="str">
        <f t="shared" si="104"/>
        <v>,'shikkan781_start_date'</v>
      </c>
      <c r="V789" s="25" t="str">
        <f t="shared" si="105"/>
        <v>,'shikkan781_start_date' : 'K274_疾患開始日'</v>
      </c>
      <c r="X789" s="25">
        <v>1</v>
      </c>
      <c r="AA789" s="4"/>
      <c r="AB789" s="4"/>
      <c r="AC789" s="4"/>
      <c r="AD789" s="4"/>
      <c r="AE789" s="4"/>
      <c r="AF789" s="4"/>
      <c r="AG789" s="4"/>
      <c r="AH789" s="4"/>
      <c r="AI789" s="4"/>
      <c r="AJ789" s="76" t="str">
        <f>IF(E789="○",IF(COUNTA(E$13:E789)=1,"",",")&amp;D789,"")</f>
        <v/>
      </c>
      <c r="AK789" s="4"/>
      <c r="AL789" s="4"/>
      <c r="AM789" s="4"/>
      <c r="AN789" s="4"/>
      <c r="AO789" s="4"/>
      <c r="AP789" s="4"/>
      <c r="AQ789" s="4"/>
      <c r="AR789" s="4"/>
      <c r="AS789" s="76" t="str">
        <f>"COMMENT ON COLUMN "&amp;エンティティ一覧!$O$2&amp;"."&amp;D$8&amp;"."&amp;D789&amp;" IS '"&amp;C789&amp;"';"</f>
        <v>COMMENT ON COLUMN milscm_2023_009.main_diagnosis_start_date.shikkan781_start_date IS 'K274_疾患開始日';</v>
      </c>
    </row>
    <row r="790" spans="1:45" s="25" customFormat="1">
      <c r="A790" s="4" t="s">
        <v>5859</v>
      </c>
      <c r="B790" s="21">
        <f t="shared" si="98"/>
        <v>788</v>
      </c>
      <c r="C790" s="13" t="str">
        <f t="shared" si="106"/>
        <v>K275_疾患開始日</v>
      </c>
      <c r="D790" s="13" t="s">
        <v>6442</v>
      </c>
      <c r="E790" s="8"/>
      <c r="F790" s="7" t="s">
        <v>4348</v>
      </c>
      <c r="G790" s="7" t="s">
        <v>25</v>
      </c>
      <c r="H790" s="58"/>
      <c r="I790" s="23"/>
      <c r="J790" s="24"/>
      <c r="M790" s="4"/>
      <c r="N790" s="76"/>
      <c r="O790" s="76"/>
      <c r="P790" s="76" t="str">
        <f t="shared" si="99"/>
        <v>,shikkan782_start_date</v>
      </c>
      <c r="Q790" s="76" t="str">
        <f t="shared" si="100"/>
        <v>DATE</v>
      </c>
      <c r="R790" s="76" t="str">
        <f t="shared" si="101"/>
        <v/>
      </c>
      <c r="S790" s="76" t="str">
        <f t="shared" si="102"/>
        <v/>
      </c>
      <c r="T790" s="76" t="str">
        <f t="shared" si="103"/>
        <v>-- K275_疾患開始日</v>
      </c>
      <c r="U790" s="4" t="str">
        <f t="shared" si="104"/>
        <v>,'shikkan782_start_date'</v>
      </c>
      <c r="V790" s="25" t="str">
        <f t="shared" si="105"/>
        <v>,'shikkan782_start_date' : 'K275_疾患開始日'</v>
      </c>
      <c r="X790" s="25">
        <v>1</v>
      </c>
      <c r="AA790" s="4"/>
      <c r="AB790" s="4"/>
      <c r="AC790" s="4"/>
      <c r="AD790" s="4"/>
      <c r="AE790" s="4"/>
      <c r="AF790" s="4"/>
      <c r="AG790" s="4"/>
      <c r="AH790" s="4"/>
      <c r="AI790" s="4"/>
      <c r="AJ790" s="76" t="str">
        <f>IF(E790="○",IF(COUNTA(E$13:E790)=1,"",",")&amp;D790,"")</f>
        <v/>
      </c>
      <c r="AK790" s="4"/>
      <c r="AL790" s="4"/>
      <c r="AM790" s="4"/>
      <c r="AN790" s="4"/>
      <c r="AO790" s="4"/>
      <c r="AP790" s="4"/>
      <c r="AQ790" s="4"/>
      <c r="AR790" s="4"/>
      <c r="AS790" s="76" t="str">
        <f>"COMMENT ON COLUMN "&amp;エンティティ一覧!$O$2&amp;"."&amp;D$8&amp;"."&amp;D790&amp;" IS '"&amp;C790&amp;"';"</f>
        <v>COMMENT ON COLUMN milscm_2023_009.main_diagnosis_start_date.shikkan782_start_date IS 'K275_疾患開始日';</v>
      </c>
    </row>
    <row r="791" spans="1:45" s="25" customFormat="1">
      <c r="A791" s="4" t="s">
        <v>5860</v>
      </c>
      <c r="B791" s="21">
        <f t="shared" si="98"/>
        <v>789</v>
      </c>
      <c r="C791" s="13" t="str">
        <f t="shared" si="106"/>
        <v>K276_疾患開始日</v>
      </c>
      <c r="D791" s="13" t="s">
        <v>6443</v>
      </c>
      <c r="E791" s="8"/>
      <c r="F791" s="7" t="s">
        <v>4348</v>
      </c>
      <c r="G791" s="7" t="s">
        <v>99</v>
      </c>
      <c r="H791" s="58"/>
      <c r="I791" s="23"/>
      <c r="J791" s="24"/>
      <c r="M791" s="4"/>
      <c r="N791" s="76"/>
      <c r="O791" s="76"/>
      <c r="P791" s="76" t="str">
        <f t="shared" si="99"/>
        <v>,shikkan783_start_date</v>
      </c>
      <c r="Q791" s="76" t="str">
        <f t="shared" si="100"/>
        <v>DATE</v>
      </c>
      <c r="R791" s="76" t="str">
        <f t="shared" si="101"/>
        <v/>
      </c>
      <c r="S791" s="76" t="str">
        <f t="shared" si="102"/>
        <v/>
      </c>
      <c r="T791" s="76" t="str">
        <f t="shared" si="103"/>
        <v>-- K276_疾患開始日</v>
      </c>
      <c r="U791" s="4" t="str">
        <f t="shared" si="104"/>
        <v>,'shikkan783_start_date'</v>
      </c>
      <c r="V791" s="25" t="str">
        <f t="shared" si="105"/>
        <v>,'shikkan783_start_date' : 'K276_疾患開始日'</v>
      </c>
      <c r="X791" s="25">
        <v>1</v>
      </c>
      <c r="AA791" s="4"/>
      <c r="AB791" s="4"/>
      <c r="AC791" s="4"/>
      <c r="AD791" s="4"/>
      <c r="AE791" s="4"/>
      <c r="AF791" s="4"/>
      <c r="AG791" s="4"/>
      <c r="AH791" s="4"/>
      <c r="AI791" s="4"/>
      <c r="AJ791" s="76" t="str">
        <f>IF(E791="○",IF(COUNTA(E$13:E791)=1,"",",")&amp;D791,"")</f>
        <v/>
      </c>
      <c r="AK791" s="4"/>
      <c r="AL791" s="4"/>
      <c r="AM791" s="4"/>
      <c r="AN791" s="4"/>
      <c r="AO791" s="4"/>
      <c r="AP791" s="4"/>
      <c r="AQ791" s="4"/>
      <c r="AR791" s="4"/>
      <c r="AS791" s="76" t="str">
        <f>"COMMENT ON COLUMN "&amp;エンティティ一覧!$O$2&amp;"."&amp;D$8&amp;"."&amp;D791&amp;" IS '"&amp;C791&amp;"';"</f>
        <v>COMMENT ON COLUMN milscm_2023_009.main_diagnosis_start_date.shikkan783_start_date IS 'K276_疾患開始日';</v>
      </c>
    </row>
    <row r="792" spans="1:45" s="25" customFormat="1">
      <c r="A792" s="4" t="s">
        <v>5861</v>
      </c>
      <c r="B792" s="21">
        <f t="shared" si="98"/>
        <v>790</v>
      </c>
      <c r="C792" s="13" t="str">
        <f t="shared" si="106"/>
        <v>K277_疾患開始日</v>
      </c>
      <c r="D792" s="13" t="s">
        <v>6444</v>
      </c>
      <c r="E792" s="8"/>
      <c r="F792" s="7" t="s">
        <v>4348</v>
      </c>
      <c r="G792" s="7" t="s">
        <v>25</v>
      </c>
      <c r="H792" s="58"/>
      <c r="I792" s="23"/>
      <c r="J792" s="24"/>
      <c r="M792" s="4"/>
      <c r="N792" s="76"/>
      <c r="O792" s="76"/>
      <c r="P792" s="76" t="str">
        <f t="shared" si="99"/>
        <v>,shikkan784_start_date</v>
      </c>
      <c r="Q792" s="76" t="str">
        <f t="shared" si="100"/>
        <v>DATE</v>
      </c>
      <c r="R792" s="76" t="str">
        <f t="shared" si="101"/>
        <v/>
      </c>
      <c r="S792" s="76" t="str">
        <f t="shared" si="102"/>
        <v/>
      </c>
      <c r="T792" s="76" t="str">
        <f t="shared" si="103"/>
        <v>-- K277_疾患開始日</v>
      </c>
      <c r="U792" s="4" t="str">
        <f t="shared" si="104"/>
        <v>,'shikkan784_start_date'</v>
      </c>
      <c r="V792" s="25" t="str">
        <f t="shared" si="105"/>
        <v>,'shikkan784_start_date' : 'K277_疾患開始日'</v>
      </c>
      <c r="X792" s="25">
        <v>1</v>
      </c>
      <c r="AA792" s="4"/>
      <c r="AB792" s="4"/>
      <c r="AC792" s="4"/>
      <c r="AD792" s="4"/>
      <c r="AE792" s="4"/>
      <c r="AF792" s="4"/>
      <c r="AG792" s="4"/>
      <c r="AH792" s="4"/>
      <c r="AI792" s="4"/>
      <c r="AJ792" s="76" t="str">
        <f>IF(E792="○",IF(COUNTA(E$13:E792)=1,"",",")&amp;D792,"")</f>
        <v/>
      </c>
      <c r="AK792" s="4"/>
      <c r="AL792" s="4"/>
      <c r="AM792" s="4"/>
      <c r="AN792" s="4"/>
      <c r="AO792" s="4"/>
      <c r="AP792" s="4"/>
      <c r="AQ792" s="4"/>
      <c r="AR792" s="4"/>
      <c r="AS792" s="76" t="str">
        <f>"COMMENT ON COLUMN "&amp;エンティティ一覧!$O$2&amp;"."&amp;D$8&amp;"."&amp;D792&amp;" IS '"&amp;C792&amp;"';"</f>
        <v>COMMENT ON COLUMN milscm_2023_009.main_diagnosis_start_date.shikkan784_start_date IS 'K277_疾患開始日';</v>
      </c>
    </row>
    <row r="793" spans="1:45" s="25" customFormat="1">
      <c r="A793" s="4" t="s">
        <v>5862</v>
      </c>
      <c r="B793" s="21">
        <f t="shared" si="98"/>
        <v>791</v>
      </c>
      <c r="C793" s="13" t="str">
        <f t="shared" si="106"/>
        <v>K279_疾患開始日</v>
      </c>
      <c r="D793" s="13" t="s">
        <v>6445</v>
      </c>
      <c r="E793" s="8"/>
      <c r="F793" s="7" t="s">
        <v>4348</v>
      </c>
      <c r="G793" s="7" t="s">
        <v>25</v>
      </c>
      <c r="H793" s="58"/>
      <c r="I793" s="23"/>
      <c r="J793" s="24"/>
      <c r="M793" s="4"/>
      <c r="N793" s="76"/>
      <c r="O793" s="76"/>
      <c r="P793" s="76" t="str">
        <f t="shared" si="99"/>
        <v>,shikkan785_start_date</v>
      </c>
      <c r="Q793" s="76" t="str">
        <f t="shared" si="100"/>
        <v>DATE</v>
      </c>
      <c r="R793" s="76" t="str">
        <f t="shared" si="101"/>
        <v/>
      </c>
      <c r="S793" s="76" t="str">
        <f t="shared" si="102"/>
        <v/>
      </c>
      <c r="T793" s="76" t="str">
        <f t="shared" si="103"/>
        <v>-- K279_疾患開始日</v>
      </c>
      <c r="U793" s="4" t="str">
        <f t="shared" si="104"/>
        <v>,'shikkan785_start_date'</v>
      </c>
      <c r="V793" s="25" t="str">
        <f t="shared" si="105"/>
        <v>,'shikkan785_start_date' : 'K279_疾患開始日'</v>
      </c>
      <c r="X793" s="25">
        <v>1</v>
      </c>
      <c r="AA793" s="4"/>
      <c r="AB793" s="4"/>
      <c r="AC793" s="4"/>
      <c r="AD793" s="4"/>
      <c r="AE793" s="4"/>
      <c r="AF793" s="4"/>
      <c r="AG793" s="4"/>
      <c r="AH793" s="4"/>
      <c r="AI793" s="4"/>
      <c r="AJ793" s="76" t="str">
        <f>IF(E793="○",IF(COUNTA(E$13:E793)=1,"",",")&amp;D793,"")</f>
        <v/>
      </c>
      <c r="AK793" s="4"/>
      <c r="AL793" s="4"/>
      <c r="AM793" s="4"/>
      <c r="AN793" s="4"/>
      <c r="AO793" s="4"/>
      <c r="AP793" s="4"/>
      <c r="AQ793" s="4"/>
      <c r="AR793" s="4"/>
      <c r="AS793" s="76" t="str">
        <f>"COMMENT ON COLUMN "&amp;エンティティ一覧!$O$2&amp;"."&amp;D$8&amp;"."&amp;D793&amp;" IS '"&amp;C793&amp;"';"</f>
        <v>COMMENT ON COLUMN milscm_2023_009.main_diagnosis_start_date.shikkan785_start_date IS 'K279_疾患開始日';</v>
      </c>
    </row>
    <row r="794" spans="1:45" s="25" customFormat="1">
      <c r="A794" s="4" t="s">
        <v>5863</v>
      </c>
      <c r="B794" s="21">
        <f t="shared" si="98"/>
        <v>792</v>
      </c>
      <c r="C794" s="13" t="str">
        <f t="shared" si="106"/>
        <v>K280_疾患開始日</v>
      </c>
      <c r="D794" s="13" t="s">
        <v>6446</v>
      </c>
      <c r="E794" s="8"/>
      <c r="F794" s="7" t="s">
        <v>4348</v>
      </c>
      <c r="G794" s="7" t="s">
        <v>25</v>
      </c>
      <c r="H794" s="58"/>
      <c r="I794" s="23"/>
      <c r="J794" s="24"/>
      <c r="M794" s="4"/>
      <c r="N794" s="76"/>
      <c r="O794" s="76"/>
      <c r="P794" s="76" t="str">
        <f t="shared" si="99"/>
        <v>,shikkan786_start_date</v>
      </c>
      <c r="Q794" s="76" t="str">
        <f t="shared" si="100"/>
        <v>DATE</v>
      </c>
      <c r="R794" s="76" t="str">
        <f t="shared" si="101"/>
        <v/>
      </c>
      <c r="S794" s="76" t="str">
        <f t="shared" si="102"/>
        <v/>
      </c>
      <c r="T794" s="76" t="str">
        <f t="shared" si="103"/>
        <v>-- K280_疾患開始日</v>
      </c>
      <c r="U794" s="4" t="str">
        <f t="shared" si="104"/>
        <v>,'shikkan786_start_date'</v>
      </c>
      <c r="V794" s="25" t="str">
        <f t="shared" si="105"/>
        <v>,'shikkan786_start_date' : 'K280_疾患開始日'</v>
      </c>
      <c r="X794" s="25">
        <v>1</v>
      </c>
      <c r="AA794" s="4"/>
      <c r="AB794" s="4"/>
      <c r="AC794" s="4"/>
      <c r="AD794" s="4"/>
      <c r="AE794" s="4"/>
      <c r="AF794" s="4"/>
      <c r="AG794" s="4"/>
      <c r="AH794" s="4"/>
      <c r="AI794" s="4"/>
      <c r="AJ794" s="76" t="str">
        <f>IF(E794="○",IF(COUNTA(E$13:E794)=1,"",",")&amp;D794,"")</f>
        <v/>
      </c>
      <c r="AK794" s="4"/>
      <c r="AL794" s="4"/>
      <c r="AM794" s="4"/>
      <c r="AN794" s="4"/>
      <c r="AO794" s="4"/>
      <c r="AP794" s="4"/>
      <c r="AQ794" s="4"/>
      <c r="AR794" s="4"/>
      <c r="AS794" s="76" t="str">
        <f>"COMMENT ON COLUMN "&amp;エンティティ一覧!$O$2&amp;"."&amp;D$8&amp;"."&amp;D794&amp;" IS '"&amp;C794&amp;"';"</f>
        <v>COMMENT ON COLUMN milscm_2023_009.main_diagnosis_start_date.shikkan786_start_date IS 'K280_疾患開始日';</v>
      </c>
    </row>
    <row r="795" spans="1:45" s="25" customFormat="1">
      <c r="A795" s="4" t="s">
        <v>5864</v>
      </c>
      <c r="B795" s="21">
        <f t="shared" si="98"/>
        <v>793</v>
      </c>
      <c r="C795" s="13" t="str">
        <f t="shared" si="106"/>
        <v>K281_疾患開始日</v>
      </c>
      <c r="D795" s="13" t="s">
        <v>6447</v>
      </c>
      <c r="E795" s="8"/>
      <c r="F795" s="7" t="s">
        <v>4348</v>
      </c>
      <c r="G795" s="7" t="s">
        <v>25</v>
      </c>
      <c r="H795" s="58"/>
      <c r="I795" s="23"/>
      <c r="J795" s="24"/>
      <c r="M795" s="4"/>
      <c r="N795" s="76"/>
      <c r="O795" s="76"/>
      <c r="P795" s="76" t="str">
        <f t="shared" si="99"/>
        <v>,shikkan787_start_date</v>
      </c>
      <c r="Q795" s="76" t="str">
        <f t="shared" si="100"/>
        <v>DATE</v>
      </c>
      <c r="R795" s="76" t="str">
        <f t="shared" si="101"/>
        <v/>
      </c>
      <c r="S795" s="76" t="str">
        <f t="shared" si="102"/>
        <v/>
      </c>
      <c r="T795" s="76" t="str">
        <f t="shared" si="103"/>
        <v>-- K281_疾患開始日</v>
      </c>
      <c r="U795" s="4" t="str">
        <f t="shared" si="104"/>
        <v>,'shikkan787_start_date'</v>
      </c>
      <c r="V795" s="25" t="str">
        <f t="shared" si="105"/>
        <v>,'shikkan787_start_date' : 'K281_疾患開始日'</v>
      </c>
      <c r="X795" s="25">
        <v>1</v>
      </c>
      <c r="AA795" s="4"/>
      <c r="AB795" s="4"/>
      <c r="AC795" s="4"/>
      <c r="AD795" s="4"/>
      <c r="AE795" s="4"/>
      <c r="AF795" s="4"/>
      <c r="AG795" s="4"/>
      <c r="AH795" s="4"/>
      <c r="AI795" s="4"/>
      <c r="AJ795" s="76" t="str">
        <f>IF(E795="○",IF(COUNTA(E$13:E795)=1,"",",")&amp;D795,"")</f>
        <v/>
      </c>
      <c r="AK795" s="4"/>
      <c r="AL795" s="4"/>
      <c r="AM795" s="4"/>
      <c r="AN795" s="4"/>
      <c r="AO795" s="4"/>
      <c r="AP795" s="4"/>
      <c r="AQ795" s="4"/>
      <c r="AR795" s="4"/>
      <c r="AS795" s="76" t="str">
        <f>"COMMENT ON COLUMN "&amp;エンティティ一覧!$O$2&amp;"."&amp;D$8&amp;"."&amp;D795&amp;" IS '"&amp;C795&amp;"';"</f>
        <v>COMMENT ON COLUMN milscm_2023_009.main_diagnosis_start_date.shikkan787_start_date IS 'K281_疾患開始日';</v>
      </c>
    </row>
    <row r="796" spans="1:45" s="25" customFormat="1">
      <c r="A796" s="4" t="s">
        <v>5865</v>
      </c>
      <c r="B796" s="21">
        <f t="shared" si="98"/>
        <v>794</v>
      </c>
      <c r="C796" s="13" t="str">
        <f t="shared" si="106"/>
        <v>K282_疾患開始日</v>
      </c>
      <c r="D796" s="13" t="s">
        <v>6448</v>
      </c>
      <c r="E796" s="8"/>
      <c r="F796" s="7" t="s">
        <v>4348</v>
      </c>
      <c r="G796" s="7" t="s">
        <v>25</v>
      </c>
      <c r="H796" s="58"/>
      <c r="I796" s="23"/>
      <c r="J796" s="24"/>
      <c r="M796" s="4"/>
      <c r="N796" s="76"/>
      <c r="O796" s="76"/>
      <c r="P796" s="76" t="str">
        <f t="shared" si="99"/>
        <v>,shikkan788_start_date</v>
      </c>
      <c r="Q796" s="76" t="str">
        <f t="shared" si="100"/>
        <v>DATE</v>
      </c>
      <c r="R796" s="76" t="str">
        <f t="shared" si="101"/>
        <v/>
      </c>
      <c r="S796" s="76" t="str">
        <f t="shared" si="102"/>
        <v/>
      </c>
      <c r="T796" s="76" t="str">
        <f t="shared" si="103"/>
        <v>-- K282_疾患開始日</v>
      </c>
      <c r="U796" s="4" t="str">
        <f t="shared" si="104"/>
        <v>,'shikkan788_start_date'</v>
      </c>
      <c r="V796" s="25" t="str">
        <f t="shared" si="105"/>
        <v>,'shikkan788_start_date' : 'K282_疾患開始日'</v>
      </c>
      <c r="X796" s="25">
        <v>1</v>
      </c>
      <c r="AA796" s="4"/>
      <c r="AB796" s="4"/>
      <c r="AC796" s="4"/>
      <c r="AD796" s="4"/>
      <c r="AE796" s="4"/>
      <c r="AF796" s="4"/>
      <c r="AG796" s="4"/>
      <c r="AH796" s="4"/>
      <c r="AI796" s="4"/>
      <c r="AJ796" s="76" t="str">
        <f>IF(E796="○",IF(COUNTA(E$13:E796)=1,"",",")&amp;D796,"")</f>
        <v/>
      </c>
      <c r="AK796" s="4"/>
      <c r="AL796" s="4"/>
      <c r="AM796" s="4"/>
      <c r="AN796" s="4"/>
      <c r="AO796" s="4"/>
      <c r="AP796" s="4"/>
      <c r="AQ796" s="4"/>
      <c r="AR796" s="4"/>
      <c r="AS796" s="76" t="str">
        <f>"COMMENT ON COLUMN "&amp;エンティティ一覧!$O$2&amp;"."&amp;D$8&amp;"."&amp;D796&amp;" IS '"&amp;C796&amp;"';"</f>
        <v>COMMENT ON COLUMN milscm_2023_009.main_diagnosis_start_date.shikkan788_start_date IS 'K282_疾患開始日';</v>
      </c>
    </row>
    <row r="797" spans="1:45" s="25" customFormat="1">
      <c r="A797" s="4" t="s">
        <v>5866</v>
      </c>
      <c r="B797" s="21">
        <f t="shared" si="98"/>
        <v>795</v>
      </c>
      <c r="C797" s="13" t="str">
        <f t="shared" si="106"/>
        <v>K283_疾患開始日</v>
      </c>
      <c r="D797" s="13" t="s">
        <v>6449</v>
      </c>
      <c r="E797" s="8"/>
      <c r="F797" s="7" t="s">
        <v>4348</v>
      </c>
      <c r="G797" s="7" t="s">
        <v>25</v>
      </c>
      <c r="H797" s="58"/>
      <c r="I797" s="23"/>
      <c r="J797" s="24"/>
      <c r="M797" s="4"/>
      <c r="N797" s="76"/>
      <c r="O797" s="76"/>
      <c r="P797" s="76" t="str">
        <f t="shared" si="99"/>
        <v>,shikkan789_start_date</v>
      </c>
      <c r="Q797" s="76" t="str">
        <f t="shared" si="100"/>
        <v>DATE</v>
      </c>
      <c r="R797" s="76" t="str">
        <f t="shared" si="101"/>
        <v/>
      </c>
      <c r="S797" s="76" t="str">
        <f t="shared" si="102"/>
        <v/>
      </c>
      <c r="T797" s="76" t="str">
        <f t="shared" si="103"/>
        <v>-- K283_疾患開始日</v>
      </c>
      <c r="U797" s="4" t="str">
        <f t="shared" si="104"/>
        <v>,'shikkan789_start_date'</v>
      </c>
      <c r="V797" s="25" t="str">
        <f t="shared" si="105"/>
        <v>,'shikkan789_start_date' : 'K283_疾患開始日'</v>
      </c>
      <c r="X797" s="25">
        <v>1</v>
      </c>
      <c r="AA797" s="4"/>
      <c r="AB797" s="4"/>
      <c r="AC797" s="4"/>
      <c r="AD797" s="4"/>
      <c r="AE797" s="4"/>
      <c r="AF797" s="4"/>
      <c r="AG797" s="4"/>
      <c r="AH797" s="4"/>
      <c r="AI797" s="4"/>
      <c r="AJ797" s="76" t="str">
        <f>IF(E797="○",IF(COUNTA(E$13:E797)=1,"",",")&amp;D797,"")</f>
        <v/>
      </c>
      <c r="AK797" s="4"/>
      <c r="AL797" s="4"/>
      <c r="AM797" s="4"/>
      <c r="AN797" s="4"/>
      <c r="AO797" s="4"/>
      <c r="AP797" s="4"/>
      <c r="AQ797" s="4"/>
      <c r="AR797" s="4"/>
      <c r="AS797" s="76" t="str">
        <f>"COMMENT ON COLUMN "&amp;エンティティ一覧!$O$2&amp;"."&amp;D$8&amp;"."&amp;D797&amp;" IS '"&amp;C797&amp;"';"</f>
        <v>COMMENT ON COLUMN milscm_2023_009.main_diagnosis_start_date.shikkan789_start_date IS 'K283_疾患開始日';</v>
      </c>
    </row>
    <row r="798" spans="1:45" s="25" customFormat="1">
      <c r="A798" s="4" t="s">
        <v>5867</v>
      </c>
      <c r="B798" s="21">
        <f t="shared" si="98"/>
        <v>796</v>
      </c>
      <c r="C798" s="13" t="str">
        <f t="shared" si="106"/>
        <v>K284_疾患開始日</v>
      </c>
      <c r="D798" s="13" t="s">
        <v>6450</v>
      </c>
      <c r="E798" s="8"/>
      <c r="F798" s="7" t="s">
        <v>4348</v>
      </c>
      <c r="G798" s="7" t="s">
        <v>25</v>
      </c>
      <c r="H798" s="58"/>
      <c r="I798" s="23"/>
      <c r="J798" s="24"/>
      <c r="M798" s="4"/>
      <c r="N798" s="76"/>
      <c r="O798" s="76"/>
      <c r="P798" s="76" t="str">
        <f t="shared" si="99"/>
        <v>,shikkan790_start_date</v>
      </c>
      <c r="Q798" s="76" t="str">
        <f t="shared" si="100"/>
        <v>DATE</v>
      </c>
      <c r="R798" s="76" t="str">
        <f t="shared" si="101"/>
        <v/>
      </c>
      <c r="S798" s="76" t="str">
        <f t="shared" si="102"/>
        <v/>
      </c>
      <c r="T798" s="76" t="str">
        <f t="shared" si="103"/>
        <v>-- K284_疾患開始日</v>
      </c>
      <c r="U798" s="4" t="str">
        <f t="shared" si="104"/>
        <v>,'shikkan790_start_date'</v>
      </c>
      <c r="V798" s="25" t="str">
        <f t="shared" si="105"/>
        <v>,'shikkan790_start_date' : 'K284_疾患開始日'</v>
      </c>
      <c r="X798" s="25">
        <v>1</v>
      </c>
      <c r="AA798" s="4"/>
      <c r="AB798" s="4"/>
      <c r="AC798" s="4"/>
      <c r="AD798" s="4"/>
      <c r="AE798" s="4"/>
      <c r="AF798" s="4"/>
      <c r="AG798" s="4"/>
      <c r="AH798" s="4"/>
      <c r="AI798" s="4"/>
      <c r="AJ798" s="76" t="str">
        <f>IF(E798="○",IF(COUNTA(E$13:E798)=1,"",",")&amp;D798,"")</f>
        <v/>
      </c>
      <c r="AK798" s="4"/>
      <c r="AL798" s="4"/>
      <c r="AM798" s="4"/>
      <c r="AN798" s="4"/>
      <c r="AO798" s="4"/>
      <c r="AP798" s="4"/>
      <c r="AQ798" s="4"/>
      <c r="AR798" s="4"/>
      <c r="AS798" s="76" t="str">
        <f>"COMMENT ON COLUMN "&amp;エンティティ一覧!$O$2&amp;"."&amp;D$8&amp;"."&amp;D798&amp;" IS '"&amp;C798&amp;"';"</f>
        <v>COMMENT ON COLUMN milscm_2023_009.main_diagnosis_start_date.shikkan790_start_date IS 'K284_疾患開始日';</v>
      </c>
    </row>
    <row r="799" spans="1:45" s="25" customFormat="1">
      <c r="A799" s="4" t="s">
        <v>5868</v>
      </c>
      <c r="B799" s="21">
        <f t="shared" si="98"/>
        <v>797</v>
      </c>
      <c r="C799" s="13" t="str">
        <f t="shared" si="106"/>
        <v>K285_疾患開始日</v>
      </c>
      <c r="D799" s="13" t="s">
        <v>6451</v>
      </c>
      <c r="E799" s="8"/>
      <c r="F799" s="7" t="s">
        <v>4348</v>
      </c>
      <c r="G799" s="7" t="s">
        <v>25</v>
      </c>
      <c r="H799" s="58"/>
      <c r="I799" s="23"/>
      <c r="J799" s="24"/>
      <c r="M799" s="4"/>
      <c r="N799" s="76"/>
      <c r="O799" s="76"/>
      <c r="P799" s="76" t="str">
        <f t="shared" si="99"/>
        <v>,shikkan791_start_date</v>
      </c>
      <c r="Q799" s="76" t="str">
        <f t="shared" si="100"/>
        <v>DATE</v>
      </c>
      <c r="R799" s="76" t="str">
        <f t="shared" si="101"/>
        <v/>
      </c>
      <c r="S799" s="76" t="str">
        <f t="shared" si="102"/>
        <v/>
      </c>
      <c r="T799" s="76" t="str">
        <f t="shared" si="103"/>
        <v>-- K285_疾患開始日</v>
      </c>
      <c r="U799" s="4" t="str">
        <f t="shared" si="104"/>
        <v>,'shikkan791_start_date'</v>
      </c>
      <c r="V799" s="25" t="str">
        <f t="shared" si="105"/>
        <v>,'shikkan791_start_date' : 'K285_疾患開始日'</v>
      </c>
      <c r="X799" s="25">
        <v>1</v>
      </c>
      <c r="AA799" s="4"/>
      <c r="AB799" s="4"/>
      <c r="AC799" s="4"/>
      <c r="AD799" s="4"/>
      <c r="AE799" s="4"/>
      <c r="AF799" s="4"/>
      <c r="AG799" s="4"/>
      <c r="AH799" s="4"/>
      <c r="AI799" s="4"/>
      <c r="AJ799" s="76" t="str">
        <f>IF(E799="○",IF(COUNTA(E$13:E799)=1,"",",")&amp;D799,"")</f>
        <v/>
      </c>
      <c r="AK799" s="4"/>
      <c r="AL799" s="4"/>
      <c r="AM799" s="4"/>
      <c r="AN799" s="4"/>
      <c r="AO799" s="4"/>
      <c r="AP799" s="4"/>
      <c r="AQ799" s="4"/>
      <c r="AR799" s="4"/>
      <c r="AS799" s="76" t="str">
        <f>"COMMENT ON COLUMN "&amp;エンティティ一覧!$O$2&amp;"."&amp;D$8&amp;"."&amp;D799&amp;" IS '"&amp;C799&amp;"';"</f>
        <v>COMMENT ON COLUMN milscm_2023_009.main_diagnosis_start_date.shikkan791_start_date IS 'K285_疾患開始日';</v>
      </c>
    </row>
    <row r="800" spans="1:45" s="25" customFormat="1">
      <c r="A800" s="4" t="s">
        <v>5869</v>
      </c>
      <c r="B800" s="21">
        <f t="shared" si="98"/>
        <v>798</v>
      </c>
      <c r="C800" s="13" t="str">
        <f t="shared" si="106"/>
        <v>K286_疾患開始日</v>
      </c>
      <c r="D800" s="13" t="s">
        <v>6452</v>
      </c>
      <c r="E800" s="8"/>
      <c r="F800" s="7" t="s">
        <v>4348</v>
      </c>
      <c r="G800" s="7" t="s">
        <v>25</v>
      </c>
      <c r="H800" s="58"/>
      <c r="I800" s="23"/>
      <c r="J800" s="24"/>
      <c r="M800" s="4"/>
      <c r="N800" s="76"/>
      <c r="O800" s="76"/>
      <c r="P800" s="76" t="str">
        <f t="shared" si="99"/>
        <v>,shikkan792_start_date</v>
      </c>
      <c r="Q800" s="76" t="str">
        <f t="shared" si="100"/>
        <v>DATE</v>
      </c>
      <c r="R800" s="76" t="str">
        <f t="shared" si="101"/>
        <v/>
      </c>
      <c r="S800" s="76" t="str">
        <f t="shared" si="102"/>
        <v/>
      </c>
      <c r="T800" s="76" t="str">
        <f t="shared" si="103"/>
        <v>-- K286_疾患開始日</v>
      </c>
      <c r="U800" s="4" t="str">
        <f t="shared" si="104"/>
        <v>,'shikkan792_start_date'</v>
      </c>
      <c r="V800" s="25" t="str">
        <f t="shared" si="105"/>
        <v>,'shikkan792_start_date' : 'K286_疾患開始日'</v>
      </c>
      <c r="X800" s="25">
        <v>1</v>
      </c>
      <c r="AA800" s="4"/>
      <c r="AB800" s="4"/>
      <c r="AC800" s="4"/>
      <c r="AD800" s="4"/>
      <c r="AE800" s="4"/>
      <c r="AF800" s="4"/>
      <c r="AG800" s="4"/>
      <c r="AH800" s="4"/>
      <c r="AI800" s="4"/>
      <c r="AJ800" s="76" t="str">
        <f>IF(E800="○",IF(COUNTA(E$13:E800)=1,"",",")&amp;D800,"")</f>
        <v/>
      </c>
      <c r="AK800" s="4"/>
      <c r="AL800" s="4"/>
      <c r="AM800" s="4"/>
      <c r="AN800" s="4"/>
      <c r="AO800" s="4"/>
      <c r="AP800" s="4"/>
      <c r="AQ800" s="4"/>
      <c r="AR800" s="4"/>
      <c r="AS800" s="76" t="str">
        <f>"COMMENT ON COLUMN "&amp;エンティティ一覧!$O$2&amp;"."&amp;D$8&amp;"."&amp;D800&amp;" IS '"&amp;C800&amp;"';"</f>
        <v>COMMENT ON COLUMN milscm_2023_009.main_diagnosis_start_date.shikkan792_start_date IS 'K286_疾患開始日';</v>
      </c>
    </row>
    <row r="801" spans="1:45" s="25" customFormat="1">
      <c r="A801" s="4" t="s">
        <v>5870</v>
      </c>
      <c r="B801" s="21">
        <f t="shared" si="98"/>
        <v>799</v>
      </c>
      <c r="C801" s="13" t="str">
        <f t="shared" si="106"/>
        <v>K287_疾患開始日</v>
      </c>
      <c r="D801" s="13" t="s">
        <v>6453</v>
      </c>
      <c r="E801" s="8"/>
      <c r="F801" s="7" t="s">
        <v>4348</v>
      </c>
      <c r="G801" s="7" t="s">
        <v>25</v>
      </c>
      <c r="H801" s="58"/>
      <c r="I801" s="23"/>
      <c r="J801" s="24"/>
      <c r="M801" s="4"/>
      <c r="N801" s="76"/>
      <c r="O801" s="76"/>
      <c r="P801" s="76" t="str">
        <f t="shared" si="99"/>
        <v>,shikkan793_start_date</v>
      </c>
      <c r="Q801" s="76" t="str">
        <f t="shared" si="100"/>
        <v>DATE</v>
      </c>
      <c r="R801" s="76" t="str">
        <f t="shared" si="101"/>
        <v/>
      </c>
      <c r="S801" s="76" t="str">
        <f t="shared" si="102"/>
        <v/>
      </c>
      <c r="T801" s="76" t="str">
        <f t="shared" si="103"/>
        <v>-- K287_疾患開始日</v>
      </c>
      <c r="U801" s="4" t="str">
        <f t="shared" si="104"/>
        <v>,'shikkan793_start_date'</v>
      </c>
      <c r="V801" s="25" t="str">
        <f t="shared" si="105"/>
        <v>,'shikkan793_start_date' : 'K287_疾患開始日'</v>
      </c>
      <c r="X801" s="25">
        <v>1</v>
      </c>
      <c r="AA801" s="4"/>
      <c r="AB801" s="4"/>
      <c r="AC801" s="4"/>
      <c r="AD801" s="4"/>
      <c r="AE801" s="4"/>
      <c r="AF801" s="4"/>
      <c r="AG801" s="4"/>
      <c r="AH801" s="4"/>
      <c r="AI801" s="4"/>
      <c r="AJ801" s="76" t="str">
        <f>IF(E801="○",IF(COUNTA(E$13:E801)=1,"",",")&amp;D801,"")</f>
        <v/>
      </c>
      <c r="AK801" s="4"/>
      <c r="AL801" s="4"/>
      <c r="AM801" s="4"/>
      <c r="AN801" s="4"/>
      <c r="AO801" s="4"/>
      <c r="AP801" s="4"/>
      <c r="AQ801" s="4"/>
      <c r="AR801" s="4"/>
      <c r="AS801" s="76" t="str">
        <f>"COMMENT ON COLUMN "&amp;エンティティ一覧!$O$2&amp;"."&amp;D$8&amp;"."&amp;D801&amp;" IS '"&amp;C801&amp;"';"</f>
        <v>COMMENT ON COLUMN milscm_2023_009.main_diagnosis_start_date.shikkan793_start_date IS 'K287_疾患開始日';</v>
      </c>
    </row>
    <row r="802" spans="1:45" s="25" customFormat="1">
      <c r="A802" s="4" t="s">
        <v>5871</v>
      </c>
      <c r="B802" s="21">
        <f t="shared" si="98"/>
        <v>800</v>
      </c>
      <c r="C802" s="13" t="str">
        <f t="shared" si="106"/>
        <v>K289_疾患開始日</v>
      </c>
      <c r="D802" s="13" t="s">
        <v>6454</v>
      </c>
      <c r="E802" s="8"/>
      <c r="F802" s="7" t="s">
        <v>4348</v>
      </c>
      <c r="G802" s="7" t="s">
        <v>25</v>
      </c>
      <c r="H802" s="58"/>
      <c r="I802" s="23"/>
      <c r="J802" s="24"/>
      <c r="M802" s="4"/>
      <c r="N802" s="76"/>
      <c r="O802" s="76"/>
      <c r="P802" s="76" t="str">
        <f t="shared" si="99"/>
        <v>,shikkan794_start_date</v>
      </c>
      <c r="Q802" s="76" t="str">
        <f t="shared" si="100"/>
        <v>DATE</v>
      </c>
      <c r="R802" s="76" t="str">
        <f t="shared" si="101"/>
        <v/>
      </c>
      <c r="S802" s="76" t="str">
        <f t="shared" si="102"/>
        <v/>
      </c>
      <c r="T802" s="76" t="str">
        <f t="shared" si="103"/>
        <v>-- K289_疾患開始日</v>
      </c>
      <c r="U802" s="4" t="str">
        <f t="shared" si="104"/>
        <v>,'shikkan794_start_date'</v>
      </c>
      <c r="V802" s="25" t="str">
        <f t="shared" si="105"/>
        <v>,'shikkan794_start_date' : 'K289_疾患開始日'</v>
      </c>
      <c r="X802" s="25">
        <v>1</v>
      </c>
      <c r="AA802" s="4"/>
      <c r="AB802" s="4"/>
      <c r="AC802" s="4"/>
      <c r="AD802" s="4"/>
      <c r="AE802" s="4"/>
      <c r="AF802" s="4"/>
      <c r="AG802" s="4"/>
      <c r="AH802" s="4"/>
      <c r="AI802" s="4"/>
      <c r="AJ802" s="76" t="str">
        <f>IF(E802="○",IF(COUNTA(E$13:E802)=1,"",",")&amp;D802,"")</f>
        <v/>
      </c>
      <c r="AK802" s="4"/>
      <c r="AL802" s="4"/>
      <c r="AM802" s="4"/>
      <c r="AN802" s="4"/>
      <c r="AO802" s="4"/>
      <c r="AP802" s="4"/>
      <c r="AQ802" s="4"/>
      <c r="AR802" s="4"/>
      <c r="AS802" s="76" t="str">
        <f>"COMMENT ON COLUMN "&amp;エンティティ一覧!$O$2&amp;"."&amp;D$8&amp;"."&amp;D802&amp;" IS '"&amp;C802&amp;"';"</f>
        <v>COMMENT ON COLUMN milscm_2023_009.main_diagnosis_start_date.shikkan794_start_date IS 'K289_疾患開始日';</v>
      </c>
    </row>
    <row r="803" spans="1:45" s="25" customFormat="1">
      <c r="A803" s="4" t="s">
        <v>5872</v>
      </c>
      <c r="B803" s="21">
        <f t="shared" si="98"/>
        <v>801</v>
      </c>
      <c r="C803" s="13" t="str">
        <f t="shared" si="106"/>
        <v>K551_疾患開始日</v>
      </c>
      <c r="D803" s="13" t="s">
        <v>6455</v>
      </c>
      <c r="E803" s="8"/>
      <c r="F803" s="7" t="s">
        <v>4348</v>
      </c>
      <c r="G803" s="7" t="s">
        <v>25</v>
      </c>
      <c r="H803" s="58"/>
      <c r="I803" s="23"/>
      <c r="J803" s="24"/>
      <c r="M803" s="4"/>
      <c r="N803" s="76"/>
      <c r="O803" s="76"/>
      <c r="P803" s="76" t="str">
        <f t="shared" si="99"/>
        <v>,shikkan795_start_date</v>
      </c>
      <c r="Q803" s="76" t="str">
        <f t="shared" si="100"/>
        <v>DATE</v>
      </c>
      <c r="R803" s="76" t="str">
        <f t="shared" si="101"/>
        <v/>
      </c>
      <c r="S803" s="76" t="str">
        <f t="shared" si="102"/>
        <v/>
      </c>
      <c r="T803" s="76" t="str">
        <f t="shared" si="103"/>
        <v>-- K551_疾患開始日</v>
      </c>
      <c r="U803" s="4" t="str">
        <f t="shared" si="104"/>
        <v>,'shikkan795_start_date'</v>
      </c>
      <c r="V803" s="25" t="str">
        <f t="shared" si="105"/>
        <v>,'shikkan795_start_date' : 'K551_疾患開始日'</v>
      </c>
      <c r="X803" s="25">
        <v>1</v>
      </c>
      <c r="AA803" s="4"/>
      <c r="AB803" s="4"/>
      <c r="AC803" s="4"/>
      <c r="AD803" s="4"/>
      <c r="AE803" s="4"/>
      <c r="AF803" s="4"/>
      <c r="AG803" s="4"/>
      <c r="AH803" s="4"/>
      <c r="AI803" s="4"/>
      <c r="AJ803" s="76" t="str">
        <f>IF(E803="○",IF(COUNTA(E$13:E803)=1,"",",")&amp;D803,"")</f>
        <v/>
      </c>
      <c r="AK803" s="4"/>
      <c r="AL803" s="4"/>
      <c r="AM803" s="4"/>
      <c r="AN803" s="4"/>
      <c r="AO803" s="4"/>
      <c r="AP803" s="4"/>
      <c r="AQ803" s="4"/>
      <c r="AR803" s="4"/>
      <c r="AS803" s="76" t="str">
        <f>"COMMENT ON COLUMN "&amp;エンティティ一覧!$O$2&amp;"."&amp;D$8&amp;"."&amp;D803&amp;" IS '"&amp;C803&amp;"';"</f>
        <v>COMMENT ON COLUMN milscm_2023_009.main_diagnosis_start_date.shikkan795_start_date IS 'K551_疾患開始日';</v>
      </c>
    </row>
    <row r="804" spans="1:45" s="25" customFormat="1">
      <c r="A804" s="4" t="s">
        <v>5873</v>
      </c>
      <c r="B804" s="21">
        <f t="shared" si="98"/>
        <v>802</v>
      </c>
      <c r="C804" s="13" t="str">
        <f t="shared" si="106"/>
        <v>K558_疾患開始日</v>
      </c>
      <c r="D804" s="13" t="s">
        <v>6456</v>
      </c>
      <c r="E804" s="8"/>
      <c r="F804" s="7" t="s">
        <v>4348</v>
      </c>
      <c r="G804" s="7" t="s">
        <v>25</v>
      </c>
      <c r="H804" s="58"/>
      <c r="I804" s="23"/>
      <c r="J804" s="24"/>
      <c r="M804" s="4"/>
      <c r="N804" s="76"/>
      <c r="O804" s="76"/>
      <c r="P804" s="76" t="str">
        <f t="shared" si="99"/>
        <v>,shikkan796_start_date</v>
      </c>
      <c r="Q804" s="76" t="str">
        <f t="shared" si="100"/>
        <v>DATE</v>
      </c>
      <c r="R804" s="76" t="str">
        <f t="shared" si="101"/>
        <v/>
      </c>
      <c r="S804" s="76" t="str">
        <f t="shared" si="102"/>
        <v/>
      </c>
      <c r="T804" s="76" t="str">
        <f t="shared" si="103"/>
        <v>-- K558_疾患開始日</v>
      </c>
      <c r="U804" s="4" t="str">
        <f t="shared" si="104"/>
        <v>,'shikkan796_start_date'</v>
      </c>
      <c r="V804" s="25" t="str">
        <f t="shared" si="105"/>
        <v>,'shikkan796_start_date' : 'K558_疾患開始日'</v>
      </c>
      <c r="X804" s="25">
        <v>1</v>
      </c>
      <c r="AA804" s="4"/>
      <c r="AB804" s="4"/>
      <c r="AC804" s="4"/>
      <c r="AD804" s="4"/>
      <c r="AE804" s="4"/>
      <c r="AF804" s="4"/>
      <c r="AG804" s="4"/>
      <c r="AH804" s="4"/>
      <c r="AI804" s="4"/>
      <c r="AJ804" s="76" t="str">
        <f>IF(E804="○",IF(COUNTA(E$13:E804)=1,"",",")&amp;D804,"")</f>
        <v/>
      </c>
      <c r="AK804" s="4"/>
      <c r="AL804" s="4"/>
      <c r="AM804" s="4"/>
      <c r="AN804" s="4"/>
      <c r="AO804" s="4"/>
      <c r="AP804" s="4"/>
      <c r="AQ804" s="4"/>
      <c r="AR804" s="4"/>
      <c r="AS804" s="76" t="str">
        <f>"COMMENT ON COLUMN "&amp;エンティティ一覧!$O$2&amp;"."&amp;D$8&amp;"."&amp;D804&amp;" IS '"&amp;C804&amp;"';"</f>
        <v>COMMENT ON COLUMN milscm_2023_009.main_diagnosis_start_date.shikkan796_start_date IS 'K558_疾患開始日';</v>
      </c>
    </row>
    <row r="805" spans="1:45" s="25" customFormat="1">
      <c r="A805" s="4" t="s">
        <v>5874</v>
      </c>
      <c r="B805" s="21">
        <f t="shared" si="98"/>
        <v>803</v>
      </c>
      <c r="C805" s="13" t="str">
        <f t="shared" si="106"/>
        <v>K559_疾患開始日</v>
      </c>
      <c r="D805" s="13" t="s">
        <v>6457</v>
      </c>
      <c r="E805" s="8"/>
      <c r="F805" s="7" t="s">
        <v>4348</v>
      </c>
      <c r="G805" s="7" t="s">
        <v>25</v>
      </c>
      <c r="H805" s="58"/>
      <c r="I805" s="23"/>
      <c r="J805" s="24"/>
      <c r="M805" s="4"/>
      <c r="N805" s="76"/>
      <c r="O805" s="76"/>
      <c r="P805" s="76" t="str">
        <f t="shared" si="99"/>
        <v>,shikkan797_start_date</v>
      </c>
      <c r="Q805" s="76" t="str">
        <f t="shared" si="100"/>
        <v>DATE</v>
      </c>
      <c r="R805" s="76" t="str">
        <f t="shared" si="101"/>
        <v/>
      </c>
      <c r="S805" s="76" t="str">
        <f t="shared" si="102"/>
        <v/>
      </c>
      <c r="T805" s="76" t="str">
        <f t="shared" si="103"/>
        <v>-- K559_疾患開始日</v>
      </c>
      <c r="U805" s="4" t="str">
        <f t="shared" si="104"/>
        <v>,'shikkan797_start_date'</v>
      </c>
      <c r="V805" s="25" t="str">
        <f t="shared" si="105"/>
        <v>,'shikkan797_start_date' : 'K559_疾患開始日'</v>
      </c>
      <c r="X805" s="25">
        <v>1</v>
      </c>
      <c r="AA805" s="4"/>
      <c r="AB805" s="4"/>
      <c r="AC805" s="4"/>
      <c r="AD805" s="4"/>
      <c r="AE805" s="4"/>
      <c r="AF805" s="4"/>
      <c r="AG805" s="4"/>
      <c r="AH805" s="4"/>
      <c r="AI805" s="4"/>
      <c r="AJ805" s="76" t="str">
        <f>IF(E805="○",IF(COUNTA(E$13:E805)=1,"",",")&amp;D805,"")</f>
        <v/>
      </c>
      <c r="AK805" s="4"/>
      <c r="AL805" s="4"/>
      <c r="AM805" s="4"/>
      <c r="AN805" s="4"/>
      <c r="AO805" s="4"/>
      <c r="AP805" s="4"/>
      <c r="AQ805" s="4"/>
      <c r="AR805" s="4"/>
      <c r="AS805" s="76" t="str">
        <f>"COMMENT ON COLUMN "&amp;エンティティ一覧!$O$2&amp;"."&amp;D$8&amp;"."&amp;D805&amp;" IS '"&amp;C805&amp;"';"</f>
        <v>COMMENT ON COLUMN milscm_2023_009.main_diagnosis_start_date.shikkan797_start_date IS 'K559_疾患開始日';</v>
      </c>
    </row>
    <row r="806" spans="1:45" s="25" customFormat="1">
      <c r="A806" s="4" t="s">
        <v>5072</v>
      </c>
      <c r="B806" s="21">
        <f t="shared" si="98"/>
        <v>804</v>
      </c>
      <c r="C806" s="13" t="str">
        <f t="shared" si="106"/>
        <v>K700_疾患開始日</v>
      </c>
      <c r="D806" s="13" t="s">
        <v>6458</v>
      </c>
      <c r="E806" s="8"/>
      <c r="F806" s="7" t="s">
        <v>4348</v>
      </c>
      <c r="G806" s="7" t="s">
        <v>25</v>
      </c>
      <c r="H806" s="58"/>
      <c r="I806" s="23"/>
      <c r="J806" s="24"/>
      <c r="M806" s="4"/>
      <c r="N806" s="76"/>
      <c r="O806" s="76"/>
      <c r="P806" s="76" t="str">
        <f t="shared" si="99"/>
        <v>,shikkan798_start_date</v>
      </c>
      <c r="Q806" s="76" t="str">
        <f t="shared" si="100"/>
        <v>DATE</v>
      </c>
      <c r="R806" s="76" t="str">
        <f t="shared" si="101"/>
        <v/>
      </c>
      <c r="S806" s="76" t="str">
        <f t="shared" si="102"/>
        <v/>
      </c>
      <c r="T806" s="76" t="str">
        <f t="shared" si="103"/>
        <v>-- K700_疾患開始日</v>
      </c>
      <c r="U806" s="4" t="str">
        <f t="shared" si="104"/>
        <v>,'shikkan798_start_date'</v>
      </c>
      <c r="V806" s="25" t="str">
        <f t="shared" si="105"/>
        <v>,'shikkan798_start_date' : 'K700_疾患開始日'</v>
      </c>
      <c r="X806" s="25">
        <v>1</v>
      </c>
      <c r="AA806" s="4"/>
      <c r="AB806" s="4"/>
      <c r="AC806" s="4"/>
      <c r="AD806" s="4"/>
      <c r="AE806" s="4"/>
      <c r="AF806" s="4"/>
      <c r="AG806" s="4"/>
      <c r="AH806" s="4"/>
      <c r="AI806" s="4"/>
      <c r="AJ806" s="76" t="str">
        <f>IF(E806="○",IF(COUNTA(E$13:E806)=1,"",",")&amp;D806,"")</f>
        <v/>
      </c>
      <c r="AK806" s="4"/>
      <c r="AL806" s="4"/>
      <c r="AM806" s="4"/>
      <c r="AN806" s="4"/>
      <c r="AO806" s="4"/>
      <c r="AP806" s="4"/>
      <c r="AQ806" s="4"/>
      <c r="AR806" s="4"/>
      <c r="AS806" s="76" t="str">
        <f>"COMMENT ON COLUMN "&amp;エンティティ一覧!$O$2&amp;"."&amp;D$8&amp;"."&amp;D806&amp;" IS '"&amp;C806&amp;"';"</f>
        <v>COMMENT ON COLUMN milscm_2023_009.main_diagnosis_start_date.shikkan798_start_date IS 'K700_疾患開始日';</v>
      </c>
    </row>
    <row r="807" spans="1:45" s="25" customFormat="1">
      <c r="A807" s="4" t="s">
        <v>5073</v>
      </c>
      <c r="B807" s="21">
        <f t="shared" si="98"/>
        <v>805</v>
      </c>
      <c r="C807" s="13" t="str">
        <f t="shared" si="106"/>
        <v>K701_疾患開始日</v>
      </c>
      <c r="D807" s="13" t="s">
        <v>6459</v>
      </c>
      <c r="E807" s="8"/>
      <c r="F807" s="7" t="s">
        <v>4348</v>
      </c>
      <c r="G807" s="7" t="s">
        <v>99</v>
      </c>
      <c r="H807" s="58"/>
      <c r="I807" s="23"/>
      <c r="J807" s="24"/>
      <c r="M807" s="4"/>
      <c r="N807" s="76"/>
      <c r="O807" s="76"/>
      <c r="P807" s="76" t="str">
        <f t="shared" si="99"/>
        <v>,shikkan799_start_date</v>
      </c>
      <c r="Q807" s="76" t="str">
        <f t="shared" si="100"/>
        <v>DATE</v>
      </c>
      <c r="R807" s="76" t="str">
        <f t="shared" si="101"/>
        <v/>
      </c>
      <c r="S807" s="76" t="str">
        <f t="shared" si="102"/>
        <v/>
      </c>
      <c r="T807" s="76" t="str">
        <f t="shared" si="103"/>
        <v>-- K701_疾患開始日</v>
      </c>
      <c r="U807" s="4" t="str">
        <f t="shared" si="104"/>
        <v>,'shikkan799_start_date'</v>
      </c>
      <c r="V807" s="25" t="str">
        <f t="shared" si="105"/>
        <v>,'shikkan799_start_date' : 'K701_疾患開始日'</v>
      </c>
      <c r="X807" s="25">
        <v>1</v>
      </c>
      <c r="AA807" s="4"/>
      <c r="AB807" s="4"/>
      <c r="AC807" s="4"/>
      <c r="AD807" s="4"/>
      <c r="AE807" s="4"/>
      <c r="AF807" s="4"/>
      <c r="AG807" s="4"/>
      <c r="AH807" s="4"/>
      <c r="AI807" s="4"/>
      <c r="AJ807" s="76" t="str">
        <f>IF(E807="○",IF(COUNTA(E$13:E807)=1,"",",")&amp;D807,"")</f>
        <v/>
      </c>
      <c r="AK807" s="4"/>
      <c r="AL807" s="4"/>
      <c r="AM807" s="4"/>
      <c r="AN807" s="4"/>
      <c r="AO807" s="4"/>
      <c r="AP807" s="4"/>
      <c r="AQ807" s="4"/>
      <c r="AR807" s="4"/>
      <c r="AS807" s="76" t="str">
        <f>"COMMENT ON COLUMN "&amp;エンティティ一覧!$O$2&amp;"."&amp;D$8&amp;"."&amp;D807&amp;" IS '"&amp;C807&amp;"';"</f>
        <v>COMMENT ON COLUMN milscm_2023_009.main_diagnosis_start_date.shikkan799_start_date IS 'K701_疾患開始日';</v>
      </c>
    </row>
    <row r="808" spans="1:45" s="25" customFormat="1">
      <c r="A808" s="4" t="s">
        <v>5074</v>
      </c>
      <c r="B808" s="21">
        <f t="shared" si="98"/>
        <v>806</v>
      </c>
      <c r="C808" s="13" t="str">
        <f t="shared" si="106"/>
        <v>K702_疾患開始日</v>
      </c>
      <c r="D808" s="13" t="s">
        <v>6460</v>
      </c>
      <c r="E808" s="8"/>
      <c r="F808" s="7" t="s">
        <v>4348</v>
      </c>
      <c r="G808" s="7" t="s">
        <v>25</v>
      </c>
      <c r="H808" s="58"/>
      <c r="I808" s="23"/>
      <c r="J808" s="24"/>
      <c r="M808" s="4"/>
      <c r="N808" s="76"/>
      <c r="O808" s="76"/>
      <c r="P808" s="76" t="str">
        <f t="shared" si="99"/>
        <v>,shikkan800_start_date</v>
      </c>
      <c r="Q808" s="76" t="str">
        <f t="shared" si="100"/>
        <v>DATE</v>
      </c>
      <c r="R808" s="76" t="str">
        <f t="shared" si="101"/>
        <v/>
      </c>
      <c r="S808" s="76" t="str">
        <f t="shared" si="102"/>
        <v/>
      </c>
      <c r="T808" s="76" t="str">
        <f t="shared" si="103"/>
        <v>-- K702_疾患開始日</v>
      </c>
      <c r="U808" s="4" t="str">
        <f t="shared" si="104"/>
        <v>,'shikkan800_start_date'</v>
      </c>
      <c r="V808" s="25" t="str">
        <f t="shared" si="105"/>
        <v>,'shikkan800_start_date' : 'K702_疾患開始日'</v>
      </c>
      <c r="X808" s="25">
        <v>1</v>
      </c>
      <c r="AA808" s="4"/>
      <c r="AB808" s="4"/>
      <c r="AC808" s="4"/>
      <c r="AD808" s="4"/>
      <c r="AE808" s="4"/>
      <c r="AF808" s="4"/>
      <c r="AG808" s="4"/>
      <c r="AH808" s="4"/>
      <c r="AI808" s="4"/>
      <c r="AJ808" s="76" t="str">
        <f>IF(E808="○",IF(COUNTA(E$13:E808)=1,"",",")&amp;D808,"")</f>
        <v/>
      </c>
      <c r="AK808" s="4"/>
      <c r="AL808" s="4"/>
      <c r="AM808" s="4"/>
      <c r="AN808" s="4"/>
      <c r="AO808" s="4"/>
      <c r="AP808" s="4"/>
      <c r="AQ808" s="4"/>
      <c r="AR808" s="4"/>
      <c r="AS808" s="76" t="str">
        <f>"COMMENT ON COLUMN "&amp;エンティティ一覧!$O$2&amp;"."&amp;D$8&amp;"."&amp;D808&amp;" IS '"&amp;C808&amp;"';"</f>
        <v>COMMENT ON COLUMN milscm_2023_009.main_diagnosis_start_date.shikkan800_start_date IS 'K702_疾患開始日';</v>
      </c>
    </row>
    <row r="809" spans="1:45" s="25" customFormat="1">
      <c r="A809" s="4" t="s">
        <v>5075</v>
      </c>
      <c r="B809" s="21">
        <f t="shared" si="98"/>
        <v>807</v>
      </c>
      <c r="C809" s="13" t="str">
        <f t="shared" si="106"/>
        <v>K703_疾患開始日</v>
      </c>
      <c r="D809" s="13" t="s">
        <v>6461</v>
      </c>
      <c r="E809" s="8"/>
      <c r="F809" s="7" t="s">
        <v>4348</v>
      </c>
      <c r="G809" s="7" t="s">
        <v>25</v>
      </c>
      <c r="H809" s="58"/>
      <c r="I809" s="23"/>
      <c r="J809" s="24"/>
      <c r="M809" s="4"/>
      <c r="N809" s="76"/>
      <c r="O809" s="76"/>
      <c r="P809" s="76" t="str">
        <f t="shared" si="99"/>
        <v>,shikkan801_start_date</v>
      </c>
      <c r="Q809" s="76" t="str">
        <f t="shared" si="100"/>
        <v>DATE</v>
      </c>
      <c r="R809" s="76" t="str">
        <f t="shared" si="101"/>
        <v/>
      </c>
      <c r="S809" s="76" t="str">
        <f t="shared" si="102"/>
        <v/>
      </c>
      <c r="T809" s="76" t="str">
        <f t="shared" si="103"/>
        <v>-- K703_疾患開始日</v>
      </c>
      <c r="U809" s="4" t="str">
        <f t="shared" si="104"/>
        <v>,'shikkan801_start_date'</v>
      </c>
      <c r="V809" s="25" t="str">
        <f t="shared" si="105"/>
        <v>,'shikkan801_start_date' : 'K703_疾患開始日'</v>
      </c>
      <c r="X809" s="25">
        <v>1</v>
      </c>
      <c r="AA809" s="4"/>
      <c r="AB809" s="4"/>
      <c r="AC809" s="4"/>
      <c r="AD809" s="4"/>
      <c r="AE809" s="4"/>
      <c r="AF809" s="4"/>
      <c r="AG809" s="4"/>
      <c r="AH809" s="4"/>
      <c r="AI809" s="4"/>
      <c r="AJ809" s="76" t="str">
        <f>IF(E809="○",IF(COUNTA(E$13:E809)=1,"",",")&amp;D809,"")</f>
        <v/>
      </c>
      <c r="AK809" s="4"/>
      <c r="AL809" s="4"/>
      <c r="AM809" s="4"/>
      <c r="AN809" s="4"/>
      <c r="AO809" s="4"/>
      <c r="AP809" s="4"/>
      <c r="AQ809" s="4"/>
      <c r="AR809" s="4"/>
      <c r="AS809" s="76" t="str">
        <f>"COMMENT ON COLUMN "&amp;エンティティ一覧!$O$2&amp;"."&amp;D$8&amp;"."&amp;D809&amp;" IS '"&amp;C809&amp;"';"</f>
        <v>COMMENT ON COLUMN milscm_2023_009.main_diagnosis_start_date.shikkan801_start_date IS 'K703_疾患開始日';</v>
      </c>
    </row>
    <row r="810" spans="1:45" s="25" customFormat="1">
      <c r="A810" s="4" t="s">
        <v>5875</v>
      </c>
      <c r="B810" s="21">
        <f t="shared" si="98"/>
        <v>808</v>
      </c>
      <c r="C810" s="13" t="str">
        <f t="shared" si="106"/>
        <v>K704_疾患開始日</v>
      </c>
      <c r="D810" s="13" t="s">
        <v>6462</v>
      </c>
      <c r="E810" s="8"/>
      <c r="F810" s="7" t="s">
        <v>4348</v>
      </c>
      <c r="G810" s="7" t="s">
        <v>25</v>
      </c>
      <c r="H810" s="58"/>
      <c r="I810" s="23"/>
      <c r="J810" s="24"/>
      <c r="M810" s="4"/>
      <c r="N810" s="76"/>
      <c r="O810" s="76"/>
      <c r="P810" s="76" t="str">
        <f t="shared" si="99"/>
        <v>,shikkan802_start_date</v>
      </c>
      <c r="Q810" s="76" t="str">
        <f t="shared" si="100"/>
        <v>DATE</v>
      </c>
      <c r="R810" s="76" t="str">
        <f t="shared" si="101"/>
        <v/>
      </c>
      <c r="S810" s="76" t="str">
        <f t="shared" si="102"/>
        <v/>
      </c>
      <c r="T810" s="76" t="str">
        <f t="shared" si="103"/>
        <v>-- K704_疾患開始日</v>
      </c>
      <c r="U810" s="4" t="str">
        <f t="shared" si="104"/>
        <v>,'shikkan802_start_date'</v>
      </c>
      <c r="V810" s="25" t="str">
        <f t="shared" si="105"/>
        <v>,'shikkan802_start_date' : 'K704_疾患開始日'</v>
      </c>
      <c r="X810" s="25">
        <v>1</v>
      </c>
      <c r="AA810" s="4"/>
      <c r="AB810" s="4"/>
      <c r="AC810" s="4"/>
      <c r="AD810" s="4"/>
      <c r="AE810" s="4"/>
      <c r="AF810" s="4"/>
      <c r="AG810" s="4"/>
      <c r="AH810" s="4"/>
      <c r="AI810" s="4"/>
      <c r="AJ810" s="76" t="str">
        <f>IF(E810="○",IF(COUNTA(E$13:E810)=1,"",",")&amp;D810,"")</f>
        <v/>
      </c>
      <c r="AK810" s="4"/>
      <c r="AL810" s="4"/>
      <c r="AM810" s="4"/>
      <c r="AN810" s="4"/>
      <c r="AO810" s="4"/>
      <c r="AP810" s="4"/>
      <c r="AQ810" s="4"/>
      <c r="AR810" s="4"/>
      <c r="AS810" s="76" t="str">
        <f>"COMMENT ON COLUMN "&amp;エンティティ一覧!$O$2&amp;"."&amp;D$8&amp;"."&amp;D810&amp;" IS '"&amp;C810&amp;"';"</f>
        <v>COMMENT ON COLUMN milscm_2023_009.main_diagnosis_start_date.shikkan802_start_date IS 'K704_疾患開始日';</v>
      </c>
    </row>
    <row r="811" spans="1:45" s="25" customFormat="1">
      <c r="A811" s="4" t="s">
        <v>5076</v>
      </c>
      <c r="B811" s="21">
        <f t="shared" si="98"/>
        <v>809</v>
      </c>
      <c r="C811" s="13" t="str">
        <f t="shared" si="106"/>
        <v>K709_疾患開始日</v>
      </c>
      <c r="D811" s="13" t="s">
        <v>6463</v>
      </c>
      <c r="E811" s="8"/>
      <c r="F811" s="7" t="s">
        <v>4348</v>
      </c>
      <c r="G811" s="7" t="s">
        <v>25</v>
      </c>
      <c r="H811" s="58"/>
      <c r="I811" s="23"/>
      <c r="J811" s="24"/>
      <c r="M811" s="4"/>
      <c r="N811" s="76"/>
      <c r="O811" s="76"/>
      <c r="P811" s="76" t="str">
        <f t="shared" si="99"/>
        <v>,shikkan803_start_date</v>
      </c>
      <c r="Q811" s="76" t="str">
        <f t="shared" si="100"/>
        <v>DATE</v>
      </c>
      <c r="R811" s="76" t="str">
        <f t="shared" si="101"/>
        <v/>
      </c>
      <c r="S811" s="76" t="str">
        <f t="shared" si="102"/>
        <v/>
      </c>
      <c r="T811" s="76" t="str">
        <f t="shared" si="103"/>
        <v>-- K709_疾患開始日</v>
      </c>
      <c r="U811" s="4" t="str">
        <f t="shared" si="104"/>
        <v>,'shikkan803_start_date'</v>
      </c>
      <c r="V811" s="25" t="str">
        <f t="shared" si="105"/>
        <v>,'shikkan803_start_date' : 'K709_疾患開始日'</v>
      </c>
      <c r="X811" s="25">
        <v>1</v>
      </c>
      <c r="AA811" s="4"/>
      <c r="AB811" s="4"/>
      <c r="AC811" s="4"/>
      <c r="AD811" s="4"/>
      <c r="AE811" s="4"/>
      <c r="AF811" s="4"/>
      <c r="AG811" s="4"/>
      <c r="AH811" s="4"/>
      <c r="AI811" s="4"/>
      <c r="AJ811" s="76" t="str">
        <f>IF(E811="○",IF(COUNTA(E$13:E811)=1,"",",")&amp;D811,"")</f>
        <v/>
      </c>
      <c r="AK811" s="4"/>
      <c r="AL811" s="4"/>
      <c r="AM811" s="4"/>
      <c r="AN811" s="4"/>
      <c r="AO811" s="4"/>
      <c r="AP811" s="4"/>
      <c r="AQ811" s="4"/>
      <c r="AR811" s="4"/>
      <c r="AS811" s="76" t="str">
        <f>"COMMENT ON COLUMN "&amp;エンティティ一覧!$O$2&amp;"."&amp;D$8&amp;"."&amp;D811&amp;" IS '"&amp;C811&amp;"';"</f>
        <v>COMMENT ON COLUMN milscm_2023_009.main_diagnosis_start_date.shikkan803_start_date IS 'K709_疾患開始日';</v>
      </c>
    </row>
    <row r="812" spans="1:45" s="25" customFormat="1">
      <c r="A812" s="4" t="s">
        <v>5876</v>
      </c>
      <c r="B812" s="21">
        <f t="shared" si="98"/>
        <v>810</v>
      </c>
      <c r="C812" s="13" t="str">
        <f t="shared" si="106"/>
        <v>K711_疾患開始日</v>
      </c>
      <c r="D812" s="13" t="s">
        <v>6464</v>
      </c>
      <c r="E812" s="8"/>
      <c r="F812" s="7" t="s">
        <v>4348</v>
      </c>
      <c r="G812" s="7" t="s">
        <v>25</v>
      </c>
      <c r="H812" s="58"/>
      <c r="I812" s="23"/>
      <c r="J812" s="24"/>
      <c r="M812" s="4"/>
      <c r="N812" s="76"/>
      <c r="O812" s="76"/>
      <c r="P812" s="76" t="str">
        <f t="shared" si="99"/>
        <v>,shikkan804_start_date</v>
      </c>
      <c r="Q812" s="76" t="str">
        <f t="shared" si="100"/>
        <v>DATE</v>
      </c>
      <c r="R812" s="76" t="str">
        <f t="shared" si="101"/>
        <v/>
      </c>
      <c r="S812" s="76" t="str">
        <f t="shared" si="102"/>
        <v/>
      </c>
      <c r="T812" s="76" t="str">
        <f t="shared" si="103"/>
        <v>-- K711_疾患開始日</v>
      </c>
      <c r="U812" s="4" t="str">
        <f t="shared" si="104"/>
        <v>,'shikkan804_start_date'</v>
      </c>
      <c r="V812" s="25" t="str">
        <f t="shared" si="105"/>
        <v>,'shikkan804_start_date' : 'K711_疾患開始日'</v>
      </c>
      <c r="X812" s="25">
        <v>1</v>
      </c>
      <c r="AA812" s="4"/>
      <c r="AB812" s="4"/>
      <c r="AC812" s="4"/>
      <c r="AD812" s="4"/>
      <c r="AE812" s="4"/>
      <c r="AF812" s="4"/>
      <c r="AG812" s="4"/>
      <c r="AH812" s="4"/>
      <c r="AI812" s="4"/>
      <c r="AJ812" s="76" t="str">
        <f>IF(E812="○",IF(COUNTA(E$13:E812)=1,"",",")&amp;D812,"")</f>
        <v/>
      </c>
      <c r="AK812" s="4"/>
      <c r="AL812" s="4"/>
      <c r="AM812" s="4"/>
      <c r="AN812" s="4"/>
      <c r="AO812" s="4"/>
      <c r="AP812" s="4"/>
      <c r="AQ812" s="4"/>
      <c r="AR812" s="4"/>
      <c r="AS812" s="76" t="str">
        <f>"COMMENT ON COLUMN "&amp;エンティティ一覧!$O$2&amp;"."&amp;D$8&amp;"."&amp;D812&amp;" IS '"&amp;C812&amp;"';"</f>
        <v>COMMENT ON COLUMN milscm_2023_009.main_diagnosis_start_date.shikkan804_start_date IS 'K711_疾患開始日';</v>
      </c>
    </row>
    <row r="813" spans="1:45" s="25" customFormat="1">
      <c r="A813" s="4" t="s">
        <v>5077</v>
      </c>
      <c r="B813" s="21">
        <f t="shared" si="98"/>
        <v>811</v>
      </c>
      <c r="C813" s="13" t="str">
        <f t="shared" si="106"/>
        <v>K713_疾患開始日</v>
      </c>
      <c r="D813" s="13" t="s">
        <v>6465</v>
      </c>
      <c r="E813" s="8"/>
      <c r="F813" s="7" t="s">
        <v>4348</v>
      </c>
      <c r="G813" s="7" t="s">
        <v>25</v>
      </c>
      <c r="H813" s="58"/>
      <c r="I813" s="23"/>
      <c r="J813" s="24"/>
      <c r="M813" s="4"/>
      <c r="N813" s="76"/>
      <c r="O813" s="76"/>
      <c r="P813" s="76" t="str">
        <f t="shared" si="99"/>
        <v>,shikkan805_start_date</v>
      </c>
      <c r="Q813" s="76" t="str">
        <f t="shared" si="100"/>
        <v>DATE</v>
      </c>
      <c r="R813" s="76" t="str">
        <f t="shared" si="101"/>
        <v/>
      </c>
      <c r="S813" s="76" t="str">
        <f t="shared" si="102"/>
        <v/>
      </c>
      <c r="T813" s="76" t="str">
        <f t="shared" si="103"/>
        <v>-- K713_疾患開始日</v>
      </c>
      <c r="U813" s="4" t="str">
        <f t="shared" si="104"/>
        <v>,'shikkan805_start_date'</v>
      </c>
      <c r="V813" s="25" t="str">
        <f t="shared" si="105"/>
        <v>,'shikkan805_start_date' : 'K713_疾患開始日'</v>
      </c>
      <c r="X813" s="25">
        <v>1</v>
      </c>
      <c r="AA813" s="4"/>
      <c r="AB813" s="4"/>
      <c r="AC813" s="4"/>
      <c r="AD813" s="4"/>
      <c r="AE813" s="4"/>
      <c r="AF813" s="4"/>
      <c r="AG813" s="4"/>
      <c r="AH813" s="4"/>
      <c r="AI813" s="4"/>
      <c r="AJ813" s="76" t="str">
        <f>IF(E813="○",IF(COUNTA(E$13:E813)=1,"",",")&amp;D813,"")</f>
        <v/>
      </c>
      <c r="AK813" s="4"/>
      <c r="AL813" s="4"/>
      <c r="AM813" s="4"/>
      <c r="AN813" s="4"/>
      <c r="AO813" s="4"/>
      <c r="AP813" s="4"/>
      <c r="AQ813" s="4"/>
      <c r="AR813" s="4"/>
      <c r="AS813" s="76" t="str">
        <f>"COMMENT ON COLUMN "&amp;エンティティ一覧!$O$2&amp;"."&amp;D$8&amp;"."&amp;D813&amp;" IS '"&amp;C813&amp;"';"</f>
        <v>COMMENT ON COLUMN milscm_2023_009.main_diagnosis_start_date.shikkan805_start_date IS 'K713_疾患開始日';</v>
      </c>
    </row>
    <row r="814" spans="1:45" s="25" customFormat="1">
      <c r="A814" s="4" t="s">
        <v>5078</v>
      </c>
      <c r="B814" s="21">
        <f t="shared" si="98"/>
        <v>812</v>
      </c>
      <c r="C814" s="13" t="str">
        <f t="shared" si="106"/>
        <v>K714_疾患開始日</v>
      </c>
      <c r="D814" s="13" t="s">
        <v>6466</v>
      </c>
      <c r="E814" s="8"/>
      <c r="F814" s="7" t="s">
        <v>4348</v>
      </c>
      <c r="G814" s="7" t="s">
        <v>25</v>
      </c>
      <c r="H814" s="58"/>
      <c r="I814" s="23"/>
      <c r="J814" s="24"/>
      <c r="M814" s="4"/>
      <c r="N814" s="76"/>
      <c r="O814" s="76"/>
      <c r="P814" s="76" t="str">
        <f t="shared" si="99"/>
        <v>,shikkan806_start_date</v>
      </c>
      <c r="Q814" s="76" t="str">
        <f t="shared" si="100"/>
        <v>DATE</v>
      </c>
      <c r="R814" s="76" t="str">
        <f t="shared" si="101"/>
        <v/>
      </c>
      <c r="S814" s="76" t="str">
        <f t="shared" si="102"/>
        <v/>
      </c>
      <c r="T814" s="76" t="str">
        <f t="shared" si="103"/>
        <v>-- K714_疾患開始日</v>
      </c>
      <c r="U814" s="4" t="str">
        <f t="shared" si="104"/>
        <v>,'shikkan806_start_date'</v>
      </c>
      <c r="V814" s="25" t="str">
        <f t="shared" si="105"/>
        <v>,'shikkan806_start_date' : 'K714_疾患開始日'</v>
      </c>
      <c r="X814" s="25">
        <v>1</v>
      </c>
      <c r="AA814" s="4"/>
      <c r="AB814" s="4"/>
      <c r="AC814" s="4"/>
      <c r="AD814" s="4"/>
      <c r="AE814" s="4"/>
      <c r="AF814" s="4"/>
      <c r="AG814" s="4"/>
      <c r="AH814" s="4"/>
      <c r="AI814" s="4"/>
      <c r="AJ814" s="76" t="str">
        <f>IF(E814="○",IF(COUNTA(E$13:E814)=1,"",",")&amp;D814,"")</f>
        <v/>
      </c>
      <c r="AK814" s="4"/>
      <c r="AL814" s="4"/>
      <c r="AM814" s="4"/>
      <c r="AN814" s="4"/>
      <c r="AO814" s="4"/>
      <c r="AP814" s="4"/>
      <c r="AQ814" s="4"/>
      <c r="AR814" s="4"/>
      <c r="AS814" s="76" t="str">
        <f>"COMMENT ON COLUMN "&amp;エンティティ一覧!$O$2&amp;"."&amp;D$8&amp;"."&amp;D814&amp;" IS '"&amp;C814&amp;"';"</f>
        <v>COMMENT ON COLUMN milscm_2023_009.main_diagnosis_start_date.shikkan806_start_date IS 'K714_疾患開始日';</v>
      </c>
    </row>
    <row r="815" spans="1:45" s="25" customFormat="1">
      <c r="A815" s="4" t="s">
        <v>5079</v>
      </c>
      <c r="B815" s="21">
        <f t="shared" si="98"/>
        <v>813</v>
      </c>
      <c r="C815" s="13" t="str">
        <f t="shared" si="106"/>
        <v>K715_疾患開始日</v>
      </c>
      <c r="D815" s="13" t="s">
        <v>6467</v>
      </c>
      <c r="E815" s="8"/>
      <c r="F815" s="7" t="s">
        <v>4348</v>
      </c>
      <c r="G815" s="7" t="s">
        <v>25</v>
      </c>
      <c r="H815" s="58"/>
      <c r="I815" s="23"/>
      <c r="J815" s="24"/>
      <c r="M815" s="4"/>
      <c r="N815" s="76"/>
      <c r="O815" s="76"/>
      <c r="P815" s="76" t="str">
        <f t="shared" si="99"/>
        <v>,shikkan807_start_date</v>
      </c>
      <c r="Q815" s="76" t="str">
        <f t="shared" si="100"/>
        <v>DATE</v>
      </c>
      <c r="R815" s="76" t="str">
        <f t="shared" si="101"/>
        <v/>
      </c>
      <c r="S815" s="76" t="str">
        <f t="shared" si="102"/>
        <v/>
      </c>
      <c r="T815" s="76" t="str">
        <f t="shared" si="103"/>
        <v>-- K715_疾患開始日</v>
      </c>
      <c r="U815" s="4" t="str">
        <f t="shared" si="104"/>
        <v>,'shikkan807_start_date'</v>
      </c>
      <c r="V815" s="25" t="str">
        <f t="shared" si="105"/>
        <v>,'shikkan807_start_date' : 'K715_疾患開始日'</v>
      </c>
      <c r="X815" s="25">
        <v>1</v>
      </c>
      <c r="AA815" s="4"/>
      <c r="AB815" s="4"/>
      <c r="AC815" s="4"/>
      <c r="AD815" s="4"/>
      <c r="AE815" s="4"/>
      <c r="AF815" s="4"/>
      <c r="AG815" s="4"/>
      <c r="AH815" s="4"/>
      <c r="AI815" s="4"/>
      <c r="AJ815" s="76" t="str">
        <f>IF(E815="○",IF(COUNTA(E$13:E815)=1,"",",")&amp;D815,"")</f>
        <v/>
      </c>
      <c r="AK815" s="4"/>
      <c r="AL815" s="4"/>
      <c r="AM815" s="4"/>
      <c r="AN815" s="4"/>
      <c r="AO815" s="4"/>
      <c r="AP815" s="4"/>
      <c r="AQ815" s="4"/>
      <c r="AR815" s="4"/>
      <c r="AS815" s="76" t="str">
        <f>"COMMENT ON COLUMN "&amp;エンティティ一覧!$O$2&amp;"."&amp;D$8&amp;"."&amp;D815&amp;" IS '"&amp;C815&amp;"';"</f>
        <v>COMMENT ON COLUMN milscm_2023_009.main_diagnosis_start_date.shikkan807_start_date IS 'K715_疾患開始日';</v>
      </c>
    </row>
    <row r="816" spans="1:45" s="25" customFormat="1">
      <c r="A816" s="4" t="s">
        <v>5080</v>
      </c>
      <c r="B816" s="21">
        <f t="shared" si="98"/>
        <v>814</v>
      </c>
      <c r="C816" s="13" t="str">
        <f t="shared" si="106"/>
        <v>K717_疾患開始日</v>
      </c>
      <c r="D816" s="13" t="s">
        <v>6468</v>
      </c>
      <c r="E816" s="8"/>
      <c r="F816" s="7" t="s">
        <v>4348</v>
      </c>
      <c r="G816" s="7" t="s">
        <v>25</v>
      </c>
      <c r="H816" s="58"/>
      <c r="I816" s="23"/>
      <c r="J816" s="24"/>
      <c r="M816" s="4"/>
      <c r="N816" s="76"/>
      <c r="O816" s="76"/>
      <c r="P816" s="76" t="str">
        <f t="shared" si="99"/>
        <v>,shikkan808_start_date</v>
      </c>
      <c r="Q816" s="76" t="str">
        <f t="shared" si="100"/>
        <v>DATE</v>
      </c>
      <c r="R816" s="76" t="str">
        <f t="shared" si="101"/>
        <v/>
      </c>
      <c r="S816" s="76" t="str">
        <f t="shared" si="102"/>
        <v/>
      </c>
      <c r="T816" s="76" t="str">
        <f t="shared" si="103"/>
        <v>-- K717_疾患開始日</v>
      </c>
      <c r="U816" s="4" t="str">
        <f t="shared" si="104"/>
        <v>,'shikkan808_start_date'</v>
      </c>
      <c r="V816" s="25" t="str">
        <f t="shared" si="105"/>
        <v>,'shikkan808_start_date' : 'K717_疾患開始日'</v>
      </c>
      <c r="X816" s="25">
        <v>1</v>
      </c>
      <c r="AA816" s="4"/>
      <c r="AB816" s="4"/>
      <c r="AC816" s="4"/>
      <c r="AD816" s="4"/>
      <c r="AE816" s="4"/>
      <c r="AF816" s="4"/>
      <c r="AG816" s="4"/>
      <c r="AH816" s="4"/>
      <c r="AI816" s="4"/>
      <c r="AJ816" s="76" t="str">
        <f>IF(E816="○",IF(COUNTA(E$13:E816)=1,"",",")&amp;D816,"")</f>
        <v/>
      </c>
      <c r="AK816" s="4"/>
      <c r="AL816" s="4"/>
      <c r="AM816" s="4"/>
      <c r="AN816" s="4"/>
      <c r="AO816" s="4"/>
      <c r="AP816" s="4"/>
      <c r="AQ816" s="4"/>
      <c r="AR816" s="4"/>
      <c r="AS816" s="76" t="str">
        <f>"COMMENT ON COLUMN "&amp;エンティティ一覧!$O$2&amp;"."&amp;D$8&amp;"."&amp;D816&amp;" IS '"&amp;C816&amp;"';"</f>
        <v>COMMENT ON COLUMN milscm_2023_009.main_diagnosis_start_date.shikkan808_start_date IS 'K717_疾患開始日';</v>
      </c>
    </row>
    <row r="817" spans="1:45" s="25" customFormat="1">
      <c r="A817" s="4" t="s">
        <v>5877</v>
      </c>
      <c r="B817" s="21">
        <f t="shared" si="98"/>
        <v>815</v>
      </c>
      <c r="C817" s="13" t="str">
        <f t="shared" si="106"/>
        <v>K721_疾患開始日</v>
      </c>
      <c r="D817" s="13" t="s">
        <v>6469</v>
      </c>
      <c r="E817" s="8"/>
      <c r="F817" s="7" t="s">
        <v>4348</v>
      </c>
      <c r="G817" s="7" t="s">
        <v>25</v>
      </c>
      <c r="H817" s="58"/>
      <c r="I817" s="23"/>
      <c r="J817" s="24"/>
      <c r="M817" s="4"/>
      <c r="N817" s="76"/>
      <c r="O817" s="76"/>
      <c r="P817" s="76" t="str">
        <f t="shared" si="99"/>
        <v>,shikkan809_start_date</v>
      </c>
      <c r="Q817" s="76" t="str">
        <f t="shared" si="100"/>
        <v>DATE</v>
      </c>
      <c r="R817" s="76" t="str">
        <f t="shared" si="101"/>
        <v/>
      </c>
      <c r="S817" s="76" t="str">
        <f t="shared" si="102"/>
        <v/>
      </c>
      <c r="T817" s="76" t="str">
        <f t="shared" si="103"/>
        <v>-- K721_疾患開始日</v>
      </c>
      <c r="U817" s="4" t="str">
        <f t="shared" si="104"/>
        <v>,'shikkan809_start_date'</v>
      </c>
      <c r="V817" s="25" t="str">
        <f t="shared" si="105"/>
        <v>,'shikkan809_start_date' : 'K721_疾患開始日'</v>
      </c>
      <c r="X817" s="25">
        <v>1</v>
      </c>
      <c r="AA817" s="4"/>
      <c r="AB817" s="4"/>
      <c r="AC817" s="4"/>
      <c r="AD817" s="4"/>
      <c r="AE817" s="4"/>
      <c r="AF817" s="4"/>
      <c r="AG817" s="4"/>
      <c r="AH817" s="4"/>
      <c r="AI817" s="4"/>
      <c r="AJ817" s="76" t="str">
        <f>IF(E817="○",IF(COUNTA(E$13:E817)=1,"",",")&amp;D817,"")</f>
        <v/>
      </c>
      <c r="AK817" s="4"/>
      <c r="AL817" s="4"/>
      <c r="AM817" s="4"/>
      <c r="AN817" s="4"/>
      <c r="AO817" s="4"/>
      <c r="AP817" s="4"/>
      <c r="AQ817" s="4"/>
      <c r="AR817" s="4"/>
      <c r="AS817" s="76" t="str">
        <f>"COMMENT ON COLUMN "&amp;エンティティ一覧!$O$2&amp;"."&amp;D$8&amp;"."&amp;D817&amp;" IS '"&amp;C817&amp;"';"</f>
        <v>COMMENT ON COLUMN milscm_2023_009.main_diagnosis_start_date.shikkan809_start_date IS 'K721_疾患開始日';</v>
      </c>
    </row>
    <row r="818" spans="1:45" s="25" customFormat="1">
      <c r="A818" s="4" t="s">
        <v>5878</v>
      </c>
      <c r="B818" s="21">
        <f t="shared" si="98"/>
        <v>816</v>
      </c>
      <c r="C818" s="13" t="str">
        <f t="shared" si="106"/>
        <v>K729_疾患開始日</v>
      </c>
      <c r="D818" s="13" t="s">
        <v>6470</v>
      </c>
      <c r="E818" s="8"/>
      <c r="F818" s="7" t="s">
        <v>4348</v>
      </c>
      <c r="G818" s="7" t="s">
        <v>25</v>
      </c>
      <c r="H818" s="58"/>
      <c r="I818" s="23"/>
      <c r="J818" s="24"/>
      <c r="M818" s="4"/>
      <c r="N818" s="76"/>
      <c r="O818" s="76"/>
      <c r="P818" s="76" t="str">
        <f t="shared" si="99"/>
        <v>,shikkan810_start_date</v>
      </c>
      <c r="Q818" s="76" t="str">
        <f t="shared" si="100"/>
        <v>DATE</v>
      </c>
      <c r="R818" s="76" t="str">
        <f t="shared" si="101"/>
        <v/>
      </c>
      <c r="S818" s="76" t="str">
        <f t="shared" si="102"/>
        <v/>
      </c>
      <c r="T818" s="76" t="str">
        <f t="shared" si="103"/>
        <v>-- K729_疾患開始日</v>
      </c>
      <c r="U818" s="4" t="str">
        <f t="shared" si="104"/>
        <v>,'shikkan810_start_date'</v>
      </c>
      <c r="V818" s="25" t="str">
        <f t="shared" si="105"/>
        <v>,'shikkan810_start_date' : 'K729_疾患開始日'</v>
      </c>
      <c r="X818" s="25">
        <v>1</v>
      </c>
      <c r="AA818" s="4"/>
      <c r="AB818" s="4"/>
      <c r="AC818" s="4"/>
      <c r="AD818" s="4"/>
      <c r="AE818" s="4"/>
      <c r="AF818" s="4"/>
      <c r="AG818" s="4"/>
      <c r="AH818" s="4"/>
      <c r="AI818" s="4"/>
      <c r="AJ818" s="76" t="str">
        <f>IF(E818="○",IF(COUNTA(E$13:E818)=1,"",",")&amp;D818,"")</f>
        <v/>
      </c>
      <c r="AK818" s="4"/>
      <c r="AL818" s="4"/>
      <c r="AM818" s="4"/>
      <c r="AN818" s="4"/>
      <c r="AO818" s="4"/>
      <c r="AP818" s="4"/>
      <c r="AQ818" s="4"/>
      <c r="AR818" s="4"/>
      <c r="AS818" s="76" t="str">
        <f>"COMMENT ON COLUMN "&amp;エンティティ一覧!$O$2&amp;"."&amp;D$8&amp;"."&amp;D818&amp;" IS '"&amp;C818&amp;"';"</f>
        <v>COMMENT ON COLUMN milscm_2023_009.main_diagnosis_start_date.shikkan810_start_date IS 'K729_疾患開始日';</v>
      </c>
    </row>
    <row r="819" spans="1:45" s="25" customFormat="1">
      <c r="A819" s="4" t="s">
        <v>5879</v>
      </c>
      <c r="B819" s="21">
        <f t="shared" si="98"/>
        <v>817</v>
      </c>
      <c r="C819" s="13" t="str">
        <f t="shared" si="106"/>
        <v>K730_疾患開始日</v>
      </c>
      <c r="D819" s="13" t="s">
        <v>6471</v>
      </c>
      <c r="E819" s="8"/>
      <c r="F819" s="7" t="s">
        <v>4348</v>
      </c>
      <c r="G819" s="7" t="s">
        <v>25</v>
      </c>
      <c r="H819" s="58"/>
      <c r="I819" s="23"/>
      <c r="J819" s="24"/>
      <c r="M819" s="4"/>
      <c r="N819" s="76"/>
      <c r="O819" s="76"/>
      <c r="P819" s="76" t="str">
        <f t="shared" si="99"/>
        <v>,shikkan811_start_date</v>
      </c>
      <c r="Q819" s="76" t="str">
        <f t="shared" si="100"/>
        <v>DATE</v>
      </c>
      <c r="R819" s="76" t="str">
        <f t="shared" si="101"/>
        <v/>
      </c>
      <c r="S819" s="76" t="str">
        <f t="shared" si="102"/>
        <v/>
      </c>
      <c r="T819" s="76" t="str">
        <f t="shared" si="103"/>
        <v>-- K730_疾患開始日</v>
      </c>
      <c r="U819" s="4" t="str">
        <f t="shared" si="104"/>
        <v>,'shikkan811_start_date'</v>
      </c>
      <c r="V819" s="25" t="str">
        <f t="shared" si="105"/>
        <v>,'shikkan811_start_date' : 'K730_疾患開始日'</v>
      </c>
      <c r="X819" s="25">
        <v>1</v>
      </c>
      <c r="AA819" s="4"/>
      <c r="AB819" s="4"/>
      <c r="AC819" s="4"/>
      <c r="AD819" s="4"/>
      <c r="AE819" s="4"/>
      <c r="AF819" s="4"/>
      <c r="AG819" s="4"/>
      <c r="AH819" s="4"/>
      <c r="AI819" s="4"/>
      <c r="AJ819" s="76" t="str">
        <f>IF(E819="○",IF(COUNTA(E$13:E819)=1,"",",")&amp;D819,"")</f>
        <v/>
      </c>
      <c r="AK819" s="4"/>
      <c r="AL819" s="4"/>
      <c r="AM819" s="4"/>
      <c r="AN819" s="4"/>
      <c r="AO819" s="4"/>
      <c r="AP819" s="4"/>
      <c r="AQ819" s="4"/>
      <c r="AR819" s="4"/>
      <c r="AS819" s="76" t="str">
        <f>"COMMENT ON COLUMN "&amp;エンティティ一覧!$O$2&amp;"."&amp;D$8&amp;"."&amp;D819&amp;" IS '"&amp;C819&amp;"';"</f>
        <v>COMMENT ON COLUMN milscm_2023_009.main_diagnosis_start_date.shikkan811_start_date IS 'K730_疾患開始日';</v>
      </c>
    </row>
    <row r="820" spans="1:45" s="25" customFormat="1">
      <c r="A820" s="4" t="s">
        <v>5880</v>
      </c>
      <c r="B820" s="21">
        <f t="shared" si="98"/>
        <v>818</v>
      </c>
      <c r="C820" s="13" t="str">
        <f t="shared" si="106"/>
        <v>K731_疾患開始日</v>
      </c>
      <c r="D820" s="13" t="s">
        <v>6472</v>
      </c>
      <c r="E820" s="8"/>
      <c r="F820" s="7" t="s">
        <v>4348</v>
      </c>
      <c r="G820" s="7" t="s">
        <v>25</v>
      </c>
      <c r="H820" s="58"/>
      <c r="I820" s="23"/>
      <c r="J820" s="24"/>
      <c r="M820" s="4"/>
      <c r="N820" s="76"/>
      <c r="O820" s="76"/>
      <c r="P820" s="76" t="str">
        <f t="shared" si="99"/>
        <v>,shikkan812_start_date</v>
      </c>
      <c r="Q820" s="76" t="str">
        <f t="shared" si="100"/>
        <v>DATE</v>
      </c>
      <c r="R820" s="76" t="str">
        <f t="shared" si="101"/>
        <v/>
      </c>
      <c r="S820" s="76" t="str">
        <f t="shared" si="102"/>
        <v/>
      </c>
      <c r="T820" s="76" t="str">
        <f t="shared" si="103"/>
        <v>-- K731_疾患開始日</v>
      </c>
      <c r="U820" s="4" t="str">
        <f t="shared" si="104"/>
        <v>,'shikkan812_start_date'</v>
      </c>
      <c r="V820" s="25" t="str">
        <f t="shared" si="105"/>
        <v>,'shikkan812_start_date' : 'K731_疾患開始日'</v>
      </c>
      <c r="X820" s="25">
        <v>1</v>
      </c>
      <c r="AA820" s="4"/>
      <c r="AB820" s="4"/>
      <c r="AC820" s="4"/>
      <c r="AD820" s="4"/>
      <c r="AE820" s="4"/>
      <c r="AF820" s="4"/>
      <c r="AG820" s="4"/>
      <c r="AH820" s="4"/>
      <c r="AI820" s="4"/>
      <c r="AJ820" s="76" t="str">
        <f>IF(E820="○",IF(COUNTA(E$13:E820)=1,"",",")&amp;D820,"")</f>
        <v/>
      </c>
      <c r="AK820" s="4"/>
      <c r="AL820" s="4"/>
      <c r="AM820" s="4"/>
      <c r="AN820" s="4"/>
      <c r="AO820" s="4"/>
      <c r="AP820" s="4"/>
      <c r="AQ820" s="4"/>
      <c r="AR820" s="4"/>
      <c r="AS820" s="76" t="str">
        <f>"COMMENT ON COLUMN "&amp;エンティティ一覧!$O$2&amp;"."&amp;D$8&amp;"."&amp;D820&amp;" IS '"&amp;C820&amp;"';"</f>
        <v>COMMENT ON COLUMN milscm_2023_009.main_diagnosis_start_date.shikkan812_start_date IS 'K731_疾患開始日';</v>
      </c>
    </row>
    <row r="821" spans="1:45" s="25" customFormat="1">
      <c r="A821" s="4" t="s">
        <v>5881</v>
      </c>
      <c r="B821" s="21">
        <f t="shared" si="98"/>
        <v>819</v>
      </c>
      <c r="C821" s="13" t="str">
        <f t="shared" si="106"/>
        <v>K732_疾患開始日</v>
      </c>
      <c r="D821" s="13" t="s">
        <v>6473</v>
      </c>
      <c r="E821" s="8"/>
      <c r="F821" s="7" t="s">
        <v>4348</v>
      </c>
      <c r="G821" s="7" t="s">
        <v>25</v>
      </c>
      <c r="H821" s="58"/>
      <c r="I821" s="23"/>
      <c r="J821" s="24"/>
      <c r="M821" s="4"/>
      <c r="N821" s="76"/>
      <c r="O821" s="76"/>
      <c r="P821" s="76" t="str">
        <f t="shared" si="99"/>
        <v>,shikkan813_start_date</v>
      </c>
      <c r="Q821" s="76" t="str">
        <f t="shared" si="100"/>
        <v>DATE</v>
      </c>
      <c r="R821" s="76" t="str">
        <f t="shared" si="101"/>
        <v/>
      </c>
      <c r="S821" s="76" t="str">
        <f t="shared" si="102"/>
        <v/>
      </c>
      <c r="T821" s="76" t="str">
        <f t="shared" si="103"/>
        <v>-- K732_疾患開始日</v>
      </c>
      <c r="U821" s="4" t="str">
        <f t="shared" si="104"/>
        <v>,'shikkan813_start_date'</v>
      </c>
      <c r="V821" s="25" t="str">
        <f t="shared" si="105"/>
        <v>,'shikkan813_start_date' : 'K732_疾患開始日'</v>
      </c>
      <c r="X821" s="25">
        <v>1</v>
      </c>
      <c r="AA821" s="4"/>
      <c r="AB821" s="4"/>
      <c r="AC821" s="4"/>
      <c r="AD821" s="4"/>
      <c r="AE821" s="4"/>
      <c r="AF821" s="4"/>
      <c r="AG821" s="4"/>
      <c r="AH821" s="4"/>
      <c r="AI821" s="4"/>
      <c r="AJ821" s="76" t="str">
        <f>IF(E821="○",IF(COUNTA(E$13:E821)=1,"",",")&amp;D821,"")</f>
        <v/>
      </c>
      <c r="AK821" s="4"/>
      <c r="AL821" s="4"/>
      <c r="AM821" s="4"/>
      <c r="AN821" s="4"/>
      <c r="AO821" s="4"/>
      <c r="AP821" s="4"/>
      <c r="AQ821" s="4"/>
      <c r="AR821" s="4"/>
      <c r="AS821" s="76" t="str">
        <f>"COMMENT ON COLUMN "&amp;エンティティ一覧!$O$2&amp;"."&amp;D$8&amp;"."&amp;D821&amp;" IS '"&amp;C821&amp;"';"</f>
        <v>COMMENT ON COLUMN milscm_2023_009.main_diagnosis_start_date.shikkan813_start_date IS 'K732_疾患開始日';</v>
      </c>
    </row>
    <row r="822" spans="1:45" s="25" customFormat="1">
      <c r="A822" s="4" t="s">
        <v>5882</v>
      </c>
      <c r="B822" s="21">
        <f t="shared" si="98"/>
        <v>820</v>
      </c>
      <c r="C822" s="13" t="str">
        <f t="shared" si="106"/>
        <v>K738_疾患開始日</v>
      </c>
      <c r="D822" s="13" t="s">
        <v>6474</v>
      </c>
      <c r="E822" s="8"/>
      <c r="F822" s="7" t="s">
        <v>4348</v>
      </c>
      <c r="G822" s="7" t="s">
        <v>25</v>
      </c>
      <c r="H822" s="58"/>
      <c r="I822" s="23"/>
      <c r="J822" s="24"/>
      <c r="M822" s="4"/>
      <c r="N822" s="76"/>
      <c r="O822" s="76"/>
      <c r="P822" s="76" t="str">
        <f t="shared" si="99"/>
        <v>,shikkan814_start_date</v>
      </c>
      <c r="Q822" s="76" t="str">
        <f t="shared" si="100"/>
        <v>DATE</v>
      </c>
      <c r="R822" s="76" t="str">
        <f t="shared" si="101"/>
        <v/>
      </c>
      <c r="S822" s="76" t="str">
        <f t="shared" si="102"/>
        <v/>
      </c>
      <c r="T822" s="76" t="str">
        <f t="shared" si="103"/>
        <v>-- K738_疾患開始日</v>
      </c>
      <c r="U822" s="4" t="str">
        <f t="shared" si="104"/>
        <v>,'shikkan814_start_date'</v>
      </c>
      <c r="V822" s="25" t="str">
        <f t="shared" si="105"/>
        <v>,'shikkan814_start_date' : 'K738_疾患開始日'</v>
      </c>
      <c r="X822" s="25">
        <v>1</v>
      </c>
      <c r="AA822" s="4"/>
      <c r="AB822" s="4"/>
      <c r="AC822" s="4"/>
      <c r="AD822" s="4"/>
      <c r="AE822" s="4"/>
      <c r="AF822" s="4"/>
      <c r="AG822" s="4"/>
      <c r="AH822" s="4"/>
      <c r="AI822" s="4"/>
      <c r="AJ822" s="76" t="str">
        <f>IF(E822="○",IF(COUNTA(E$13:E822)=1,"",",")&amp;D822,"")</f>
        <v/>
      </c>
      <c r="AK822" s="4"/>
      <c r="AL822" s="4"/>
      <c r="AM822" s="4"/>
      <c r="AN822" s="4"/>
      <c r="AO822" s="4"/>
      <c r="AP822" s="4"/>
      <c r="AQ822" s="4"/>
      <c r="AR822" s="4"/>
      <c r="AS822" s="76" t="str">
        <f>"COMMENT ON COLUMN "&amp;エンティティ一覧!$O$2&amp;"."&amp;D$8&amp;"."&amp;D822&amp;" IS '"&amp;C822&amp;"';"</f>
        <v>COMMENT ON COLUMN milscm_2023_009.main_diagnosis_start_date.shikkan814_start_date IS 'K738_疾患開始日';</v>
      </c>
    </row>
    <row r="823" spans="1:45" s="25" customFormat="1">
      <c r="A823" s="4" t="s">
        <v>5883</v>
      </c>
      <c r="B823" s="21">
        <f t="shared" si="98"/>
        <v>821</v>
      </c>
      <c r="C823" s="13" t="str">
        <f t="shared" si="106"/>
        <v>K739_疾患開始日</v>
      </c>
      <c r="D823" s="13" t="s">
        <v>6475</v>
      </c>
      <c r="E823" s="8"/>
      <c r="F823" s="7" t="s">
        <v>4348</v>
      </c>
      <c r="G823" s="7" t="s">
        <v>99</v>
      </c>
      <c r="H823" s="58"/>
      <c r="I823" s="23"/>
      <c r="J823" s="24"/>
      <c r="M823" s="4"/>
      <c r="N823" s="76"/>
      <c r="O823" s="76"/>
      <c r="P823" s="76" t="str">
        <f t="shared" si="99"/>
        <v>,shikkan815_start_date</v>
      </c>
      <c r="Q823" s="76" t="str">
        <f t="shared" si="100"/>
        <v>DATE</v>
      </c>
      <c r="R823" s="76" t="str">
        <f t="shared" si="101"/>
        <v/>
      </c>
      <c r="S823" s="76" t="str">
        <f t="shared" si="102"/>
        <v/>
      </c>
      <c r="T823" s="76" t="str">
        <f t="shared" si="103"/>
        <v>-- K739_疾患開始日</v>
      </c>
      <c r="U823" s="4" t="str">
        <f t="shared" si="104"/>
        <v>,'shikkan815_start_date'</v>
      </c>
      <c r="V823" s="25" t="str">
        <f t="shared" si="105"/>
        <v>,'shikkan815_start_date' : 'K739_疾患開始日'</v>
      </c>
      <c r="X823" s="25">
        <v>1</v>
      </c>
      <c r="AA823" s="4"/>
      <c r="AB823" s="4"/>
      <c r="AC823" s="4"/>
      <c r="AD823" s="4"/>
      <c r="AE823" s="4"/>
      <c r="AF823" s="4"/>
      <c r="AG823" s="4"/>
      <c r="AH823" s="4"/>
      <c r="AI823" s="4"/>
      <c r="AJ823" s="76" t="str">
        <f>IF(E823="○",IF(COUNTA(E$13:E823)=1,"",",")&amp;D823,"")</f>
        <v/>
      </c>
      <c r="AK823" s="4"/>
      <c r="AL823" s="4"/>
      <c r="AM823" s="4"/>
      <c r="AN823" s="4"/>
      <c r="AO823" s="4"/>
      <c r="AP823" s="4"/>
      <c r="AQ823" s="4"/>
      <c r="AR823" s="4"/>
      <c r="AS823" s="76" t="str">
        <f>"COMMENT ON COLUMN "&amp;エンティティ一覧!$O$2&amp;"."&amp;D$8&amp;"."&amp;D823&amp;" IS '"&amp;C823&amp;"';"</f>
        <v>COMMENT ON COLUMN milscm_2023_009.main_diagnosis_start_date.shikkan815_start_date IS 'K739_疾患開始日';</v>
      </c>
    </row>
    <row r="824" spans="1:45" s="25" customFormat="1">
      <c r="A824" s="4" t="s">
        <v>5884</v>
      </c>
      <c r="B824" s="21">
        <f t="shared" si="98"/>
        <v>822</v>
      </c>
      <c r="C824" s="13" t="str">
        <f t="shared" si="106"/>
        <v>K740_疾患開始日</v>
      </c>
      <c r="D824" s="13" t="s">
        <v>6476</v>
      </c>
      <c r="E824" s="8"/>
      <c r="F824" s="7" t="s">
        <v>4348</v>
      </c>
      <c r="G824" s="7" t="s">
        <v>25</v>
      </c>
      <c r="H824" s="58"/>
      <c r="I824" s="23"/>
      <c r="J824" s="24"/>
      <c r="M824" s="4"/>
      <c r="N824" s="76"/>
      <c r="O824" s="76"/>
      <c r="P824" s="76" t="str">
        <f t="shared" si="99"/>
        <v>,shikkan816_start_date</v>
      </c>
      <c r="Q824" s="76" t="str">
        <f t="shared" si="100"/>
        <v>DATE</v>
      </c>
      <c r="R824" s="76" t="str">
        <f t="shared" si="101"/>
        <v/>
      </c>
      <c r="S824" s="76" t="str">
        <f t="shared" si="102"/>
        <v/>
      </c>
      <c r="T824" s="76" t="str">
        <f t="shared" si="103"/>
        <v>-- K740_疾患開始日</v>
      </c>
      <c r="U824" s="4" t="str">
        <f t="shared" si="104"/>
        <v>,'shikkan816_start_date'</v>
      </c>
      <c r="V824" s="25" t="str">
        <f t="shared" si="105"/>
        <v>,'shikkan816_start_date' : 'K740_疾患開始日'</v>
      </c>
      <c r="X824" s="25">
        <v>1</v>
      </c>
      <c r="AA824" s="4"/>
      <c r="AB824" s="4"/>
      <c r="AC824" s="4"/>
      <c r="AD824" s="4"/>
      <c r="AE824" s="4"/>
      <c r="AF824" s="4"/>
      <c r="AG824" s="4"/>
      <c r="AH824" s="4"/>
      <c r="AI824" s="4"/>
      <c r="AJ824" s="76" t="str">
        <f>IF(E824="○",IF(COUNTA(E$13:E824)=1,"",",")&amp;D824,"")</f>
        <v/>
      </c>
      <c r="AK824" s="4"/>
      <c r="AL824" s="4"/>
      <c r="AM824" s="4"/>
      <c r="AN824" s="4"/>
      <c r="AO824" s="4"/>
      <c r="AP824" s="4"/>
      <c r="AQ824" s="4"/>
      <c r="AR824" s="4"/>
      <c r="AS824" s="76" t="str">
        <f>"COMMENT ON COLUMN "&amp;エンティティ一覧!$O$2&amp;"."&amp;D$8&amp;"."&amp;D824&amp;" IS '"&amp;C824&amp;"';"</f>
        <v>COMMENT ON COLUMN milscm_2023_009.main_diagnosis_start_date.shikkan816_start_date IS 'K740_疾患開始日';</v>
      </c>
    </row>
    <row r="825" spans="1:45" s="25" customFormat="1">
      <c r="A825" s="4" t="s">
        <v>5885</v>
      </c>
      <c r="B825" s="21">
        <f t="shared" si="98"/>
        <v>823</v>
      </c>
      <c r="C825" s="13" t="str">
        <f t="shared" si="106"/>
        <v>K741_疾患開始日</v>
      </c>
      <c r="D825" s="13" t="s">
        <v>6477</v>
      </c>
      <c r="E825" s="8"/>
      <c r="F825" s="7" t="s">
        <v>4348</v>
      </c>
      <c r="G825" s="7" t="s">
        <v>25</v>
      </c>
      <c r="H825" s="58"/>
      <c r="I825" s="23"/>
      <c r="J825" s="24"/>
      <c r="M825" s="4"/>
      <c r="N825" s="76"/>
      <c r="O825" s="76"/>
      <c r="P825" s="76" t="str">
        <f t="shared" si="99"/>
        <v>,shikkan817_start_date</v>
      </c>
      <c r="Q825" s="76" t="str">
        <f t="shared" si="100"/>
        <v>DATE</v>
      </c>
      <c r="R825" s="76" t="str">
        <f t="shared" si="101"/>
        <v/>
      </c>
      <c r="S825" s="76" t="str">
        <f t="shared" si="102"/>
        <v/>
      </c>
      <c r="T825" s="76" t="str">
        <f t="shared" si="103"/>
        <v>-- K741_疾患開始日</v>
      </c>
      <c r="U825" s="4" t="str">
        <f t="shared" si="104"/>
        <v>,'shikkan817_start_date'</v>
      </c>
      <c r="V825" s="25" t="str">
        <f t="shared" si="105"/>
        <v>,'shikkan817_start_date' : 'K741_疾患開始日'</v>
      </c>
      <c r="X825" s="25">
        <v>1</v>
      </c>
      <c r="AA825" s="4"/>
      <c r="AB825" s="4"/>
      <c r="AC825" s="4"/>
      <c r="AD825" s="4"/>
      <c r="AE825" s="4"/>
      <c r="AF825" s="4"/>
      <c r="AG825" s="4"/>
      <c r="AH825" s="4"/>
      <c r="AI825" s="4"/>
      <c r="AJ825" s="76" t="str">
        <f>IF(E825="○",IF(COUNTA(E$13:E825)=1,"",",")&amp;D825,"")</f>
        <v/>
      </c>
      <c r="AK825" s="4"/>
      <c r="AL825" s="4"/>
      <c r="AM825" s="4"/>
      <c r="AN825" s="4"/>
      <c r="AO825" s="4"/>
      <c r="AP825" s="4"/>
      <c r="AQ825" s="4"/>
      <c r="AR825" s="4"/>
      <c r="AS825" s="76" t="str">
        <f>"COMMENT ON COLUMN "&amp;エンティティ一覧!$O$2&amp;"."&amp;D$8&amp;"."&amp;D825&amp;" IS '"&amp;C825&amp;"';"</f>
        <v>COMMENT ON COLUMN milscm_2023_009.main_diagnosis_start_date.shikkan817_start_date IS 'K741_疾患開始日';</v>
      </c>
    </row>
    <row r="826" spans="1:45" s="25" customFormat="1">
      <c r="A826" s="4" t="s">
        <v>5886</v>
      </c>
      <c r="B826" s="21">
        <f t="shared" si="98"/>
        <v>824</v>
      </c>
      <c r="C826" s="13" t="str">
        <f t="shared" si="106"/>
        <v>K742_疾患開始日</v>
      </c>
      <c r="D826" s="13" t="s">
        <v>6478</v>
      </c>
      <c r="E826" s="8"/>
      <c r="F826" s="7" t="s">
        <v>4348</v>
      </c>
      <c r="G826" s="7" t="s">
        <v>25</v>
      </c>
      <c r="H826" s="58"/>
      <c r="I826" s="23"/>
      <c r="J826" s="24"/>
      <c r="M826" s="4"/>
      <c r="N826" s="76"/>
      <c r="O826" s="76"/>
      <c r="P826" s="76" t="str">
        <f t="shared" si="99"/>
        <v>,shikkan818_start_date</v>
      </c>
      <c r="Q826" s="76" t="str">
        <f t="shared" si="100"/>
        <v>DATE</v>
      </c>
      <c r="R826" s="76" t="str">
        <f t="shared" si="101"/>
        <v/>
      </c>
      <c r="S826" s="76" t="str">
        <f t="shared" si="102"/>
        <v/>
      </c>
      <c r="T826" s="76" t="str">
        <f t="shared" si="103"/>
        <v>-- K742_疾患開始日</v>
      </c>
      <c r="U826" s="4" t="str">
        <f t="shared" si="104"/>
        <v>,'shikkan818_start_date'</v>
      </c>
      <c r="V826" s="25" t="str">
        <f t="shared" si="105"/>
        <v>,'shikkan818_start_date' : 'K742_疾患開始日'</v>
      </c>
      <c r="X826" s="25">
        <v>1</v>
      </c>
      <c r="AA826" s="4"/>
      <c r="AB826" s="4"/>
      <c r="AC826" s="4"/>
      <c r="AD826" s="4"/>
      <c r="AE826" s="4"/>
      <c r="AF826" s="4"/>
      <c r="AG826" s="4"/>
      <c r="AH826" s="4"/>
      <c r="AI826" s="4"/>
      <c r="AJ826" s="76" t="str">
        <f>IF(E826="○",IF(COUNTA(E$13:E826)=1,"",",")&amp;D826,"")</f>
        <v/>
      </c>
      <c r="AK826" s="4"/>
      <c r="AL826" s="4"/>
      <c r="AM826" s="4"/>
      <c r="AN826" s="4"/>
      <c r="AO826" s="4"/>
      <c r="AP826" s="4"/>
      <c r="AQ826" s="4"/>
      <c r="AR826" s="4"/>
      <c r="AS826" s="76" t="str">
        <f>"COMMENT ON COLUMN "&amp;エンティティ一覧!$O$2&amp;"."&amp;D$8&amp;"."&amp;D826&amp;" IS '"&amp;C826&amp;"';"</f>
        <v>COMMENT ON COLUMN milscm_2023_009.main_diagnosis_start_date.shikkan818_start_date IS 'K742_疾患開始日';</v>
      </c>
    </row>
    <row r="827" spans="1:45" s="25" customFormat="1">
      <c r="A827" s="4" t="s">
        <v>5887</v>
      </c>
      <c r="B827" s="21">
        <f t="shared" si="98"/>
        <v>825</v>
      </c>
      <c r="C827" s="13" t="str">
        <f t="shared" si="106"/>
        <v>K743_疾患開始日</v>
      </c>
      <c r="D827" s="13" t="s">
        <v>6479</v>
      </c>
      <c r="E827" s="8"/>
      <c r="F827" s="7" t="s">
        <v>4348</v>
      </c>
      <c r="G827" s="7" t="s">
        <v>25</v>
      </c>
      <c r="H827" s="58"/>
      <c r="I827" s="23"/>
      <c r="J827" s="24"/>
      <c r="M827" s="4"/>
      <c r="N827" s="76"/>
      <c r="O827" s="76"/>
      <c r="P827" s="76" t="str">
        <f t="shared" si="99"/>
        <v>,shikkan819_start_date</v>
      </c>
      <c r="Q827" s="76" t="str">
        <f t="shared" si="100"/>
        <v>DATE</v>
      </c>
      <c r="R827" s="76" t="str">
        <f t="shared" si="101"/>
        <v/>
      </c>
      <c r="S827" s="76" t="str">
        <f t="shared" si="102"/>
        <v/>
      </c>
      <c r="T827" s="76" t="str">
        <f t="shared" si="103"/>
        <v>-- K743_疾患開始日</v>
      </c>
      <c r="U827" s="4" t="str">
        <f t="shared" si="104"/>
        <v>,'shikkan819_start_date'</v>
      </c>
      <c r="V827" s="25" t="str">
        <f t="shared" si="105"/>
        <v>,'shikkan819_start_date' : 'K743_疾患開始日'</v>
      </c>
      <c r="X827" s="25">
        <v>1</v>
      </c>
      <c r="AA827" s="4"/>
      <c r="AB827" s="4"/>
      <c r="AC827" s="4"/>
      <c r="AD827" s="4"/>
      <c r="AE827" s="4"/>
      <c r="AF827" s="4"/>
      <c r="AG827" s="4"/>
      <c r="AH827" s="4"/>
      <c r="AI827" s="4"/>
      <c r="AJ827" s="76" t="str">
        <f>IF(E827="○",IF(COUNTA(E$13:E827)=1,"",",")&amp;D827,"")</f>
        <v/>
      </c>
      <c r="AK827" s="4"/>
      <c r="AL827" s="4"/>
      <c r="AM827" s="4"/>
      <c r="AN827" s="4"/>
      <c r="AO827" s="4"/>
      <c r="AP827" s="4"/>
      <c r="AQ827" s="4"/>
      <c r="AR827" s="4"/>
      <c r="AS827" s="76" t="str">
        <f>"COMMENT ON COLUMN "&amp;エンティティ一覧!$O$2&amp;"."&amp;D$8&amp;"."&amp;D827&amp;" IS '"&amp;C827&amp;"';"</f>
        <v>COMMENT ON COLUMN milscm_2023_009.main_diagnosis_start_date.shikkan819_start_date IS 'K743_疾患開始日';</v>
      </c>
    </row>
    <row r="828" spans="1:45" s="25" customFormat="1">
      <c r="A828" s="4" t="s">
        <v>5888</v>
      </c>
      <c r="B828" s="21">
        <f t="shared" si="98"/>
        <v>826</v>
      </c>
      <c r="C828" s="13" t="str">
        <f t="shared" si="106"/>
        <v>K744_疾患開始日</v>
      </c>
      <c r="D828" s="13" t="s">
        <v>6480</v>
      </c>
      <c r="E828" s="8"/>
      <c r="F828" s="7" t="s">
        <v>4348</v>
      </c>
      <c r="G828" s="7" t="s">
        <v>25</v>
      </c>
      <c r="H828" s="58"/>
      <c r="I828" s="23"/>
      <c r="J828" s="24"/>
      <c r="M828" s="4"/>
      <c r="N828" s="76"/>
      <c r="O828" s="76"/>
      <c r="P828" s="76" t="str">
        <f t="shared" si="99"/>
        <v>,shikkan820_start_date</v>
      </c>
      <c r="Q828" s="76" t="str">
        <f t="shared" si="100"/>
        <v>DATE</v>
      </c>
      <c r="R828" s="76" t="str">
        <f t="shared" si="101"/>
        <v/>
      </c>
      <c r="S828" s="76" t="str">
        <f t="shared" si="102"/>
        <v/>
      </c>
      <c r="T828" s="76" t="str">
        <f t="shared" si="103"/>
        <v>-- K744_疾患開始日</v>
      </c>
      <c r="U828" s="4" t="str">
        <f t="shared" si="104"/>
        <v>,'shikkan820_start_date'</v>
      </c>
      <c r="V828" s="25" t="str">
        <f t="shared" si="105"/>
        <v>,'shikkan820_start_date' : 'K744_疾患開始日'</v>
      </c>
      <c r="X828" s="25">
        <v>1</v>
      </c>
      <c r="AA828" s="4"/>
      <c r="AB828" s="4"/>
      <c r="AC828" s="4"/>
      <c r="AD828" s="4"/>
      <c r="AE828" s="4"/>
      <c r="AF828" s="4"/>
      <c r="AG828" s="4"/>
      <c r="AH828" s="4"/>
      <c r="AI828" s="4"/>
      <c r="AJ828" s="76" t="str">
        <f>IF(E828="○",IF(COUNTA(E$13:E828)=1,"",",")&amp;D828,"")</f>
        <v/>
      </c>
      <c r="AK828" s="4"/>
      <c r="AL828" s="4"/>
      <c r="AM828" s="4"/>
      <c r="AN828" s="4"/>
      <c r="AO828" s="4"/>
      <c r="AP828" s="4"/>
      <c r="AQ828" s="4"/>
      <c r="AR828" s="4"/>
      <c r="AS828" s="76" t="str">
        <f>"COMMENT ON COLUMN "&amp;エンティティ一覧!$O$2&amp;"."&amp;D$8&amp;"."&amp;D828&amp;" IS '"&amp;C828&amp;"';"</f>
        <v>COMMENT ON COLUMN milscm_2023_009.main_diagnosis_start_date.shikkan820_start_date IS 'K744_疾患開始日';</v>
      </c>
    </row>
    <row r="829" spans="1:45" s="25" customFormat="1">
      <c r="A829" s="4" t="s">
        <v>5889</v>
      </c>
      <c r="B829" s="21">
        <f t="shared" si="98"/>
        <v>827</v>
      </c>
      <c r="C829" s="13" t="str">
        <f t="shared" si="106"/>
        <v>K745_疾患開始日</v>
      </c>
      <c r="D829" s="13" t="s">
        <v>6481</v>
      </c>
      <c r="E829" s="8"/>
      <c r="F829" s="7" t="s">
        <v>4348</v>
      </c>
      <c r="G829" s="7" t="s">
        <v>25</v>
      </c>
      <c r="H829" s="58"/>
      <c r="I829" s="23"/>
      <c r="J829" s="24"/>
      <c r="M829" s="4"/>
      <c r="N829" s="76"/>
      <c r="O829" s="76"/>
      <c r="P829" s="76" t="str">
        <f t="shared" si="99"/>
        <v>,shikkan821_start_date</v>
      </c>
      <c r="Q829" s="76" t="str">
        <f t="shared" si="100"/>
        <v>DATE</v>
      </c>
      <c r="R829" s="76" t="str">
        <f t="shared" si="101"/>
        <v/>
      </c>
      <c r="S829" s="76" t="str">
        <f t="shared" si="102"/>
        <v/>
      </c>
      <c r="T829" s="76" t="str">
        <f t="shared" si="103"/>
        <v>-- K745_疾患開始日</v>
      </c>
      <c r="U829" s="4" t="str">
        <f t="shared" si="104"/>
        <v>,'shikkan821_start_date'</v>
      </c>
      <c r="V829" s="25" t="str">
        <f t="shared" si="105"/>
        <v>,'shikkan821_start_date' : 'K745_疾患開始日'</v>
      </c>
      <c r="X829" s="25">
        <v>1</v>
      </c>
      <c r="AA829" s="4"/>
      <c r="AB829" s="4"/>
      <c r="AC829" s="4"/>
      <c r="AD829" s="4"/>
      <c r="AE829" s="4"/>
      <c r="AF829" s="4"/>
      <c r="AG829" s="4"/>
      <c r="AH829" s="4"/>
      <c r="AI829" s="4"/>
      <c r="AJ829" s="76" t="str">
        <f>IF(E829="○",IF(COUNTA(E$13:E829)=1,"",",")&amp;D829,"")</f>
        <v/>
      </c>
      <c r="AK829" s="4"/>
      <c r="AL829" s="4"/>
      <c r="AM829" s="4"/>
      <c r="AN829" s="4"/>
      <c r="AO829" s="4"/>
      <c r="AP829" s="4"/>
      <c r="AQ829" s="4"/>
      <c r="AR829" s="4"/>
      <c r="AS829" s="76" t="str">
        <f>"COMMENT ON COLUMN "&amp;エンティティ一覧!$O$2&amp;"."&amp;D$8&amp;"."&amp;D829&amp;" IS '"&amp;C829&amp;"';"</f>
        <v>COMMENT ON COLUMN milscm_2023_009.main_diagnosis_start_date.shikkan821_start_date IS 'K745_疾患開始日';</v>
      </c>
    </row>
    <row r="830" spans="1:45" s="25" customFormat="1">
      <c r="A830" s="4" t="s">
        <v>5890</v>
      </c>
      <c r="B830" s="21">
        <f t="shared" si="98"/>
        <v>828</v>
      </c>
      <c r="C830" s="13" t="str">
        <f t="shared" si="106"/>
        <v>K746_疾患開始日</v>
      </c>
      <c r="D830" s="13" t="s">
        <v>6482</v>
      </c>
      <c r="E830" s="8"/>
      <c r="F830" s="7" t="s">
        <v>4348</v>
      </c>
      <c r="G830" s="7" t="s">
        <v>25</v>
      </c>
      <c r="H830" s="58"/>
      <c r="I830" s="23"/>
      <c r="J830" s="24"/>
      <c r="M830" s="4"/>
      <c r="N830" s="76"/>
      <c r="O830" s="76"/>
      <c r="P830" s="76" t="str">
        <f t="shared" si="99"/>
        <v>,shikkan822_start_date</v>
      </c>
      <c r="Q830" s="76" t="str">
        <f t="shared" si="100"/>
        <v>DATE</v>
      </c>
      <c r="R830" s="76" t="str">
        <f t="shared" si="101"/>
        <v/>
      </c>
      <c r="S830" s="76" t="str">
        <f t="shared" si="102"/>
        <v/>
      </c>
      <c r="T830" s="76" t="str">
        <f t="shared" si="103"/>
        <v>-- K746_疾患開始日</v>
      </c>
      <c r="U830" s="4" t="str">
        <f t="shared" si="104"/>
        <v>,'shikkan822_start_date'</v>
      </c>
      <c r="V830" s="25" t="str">
        <f t="shared" si="105"/>
        <v>,'shikkan822_start_date' : 'K746_疾患開始日'</v>
      </c>
      <c r="X830" s="25">
        <v>1</v>
      </c>
      <c r="AA830" s="4"/>
      <c r="AB830" s="4"/>
      <c r="AC830" s="4"/>
      <c r="AD830" s="4"/>
      <c r="AE830" s="4"/>
      <c r="AF830" s="4"/>
      <c r="AG830" s="4"/>
      <c r="AH830" s="4"/>
      <c r="AI830" s="4"/>
      <c r="AJ830" s="76" t="str">
        <f>IF(E830="○",IF(COUNTA(E$13:E830)=1,"",",")&amp;D830,"")</f>
        <v/>
      </c>
      <c r="AK830" s="4"/>
      <c r="AL830" s="4"/>
      <c r="AM830" s="4"/>
      <c r="AN830" s="4"/>
      <c r="AO830" s="4"/>
      <c r="AP830" s="4"/>
      <c r="AQ830" s="4"/>
      <c r="AR830" s="4"/>
      <c r="AS830" s="76" t="str">
        <f>"COMMENT ON COLUMN "&amp;エンティティ一覧!$O$2&amp;"."&amp;D$8&amp;"."&amp;D830&amp;" IS '"&amp;C830&amp;"';"</f>
        <v>COMMENT ON COLUMN milscm_2023_009.main_diagnosis_start_date.shikkan822_start_date IS 'K746_疾患開始日';</v>
      </c>
    </row>
    <row r="831" spans="1:45" s="25" customFormat="1">
      <c r="A831" s="4" t="s">
        <v>5081</v>
      </c>
      <c r="B831" s="21">
        <f t="shared" si="98"/>
        <v>829</v>
      </c>
      <c r="C831" s="13" t="str">
        <f t="shared" si="106"/>
        <v>K760_疾患開始日</v>
      </c>
      <c r="D831" s="13" t="s">
        <v>6483</v>
      </c>
      <c r="E831" s="8"/>
      <c r="F831" s="7" t="s">
        <v>4348</v>
      </c>
      <c r="G831" s="7" t="s">
        <v>25</v>
      </c>
      <c r="H831" s="58"/>
      <c r="I831" s="23"/>
      <c r="J831" s="24"/>
      <c r="M831" s="4"/>
      <c r="N831" s="76"/>
      <c r="O831" s="76"/>
      <c r="P831" s="76" t="str">
        <f t="shared" si="99"/>
        <v>,shikkan823_start_date</v>
      </c>
      <c r="Q831" s="76" t="str">
        <f t="shared" si="100"/>
        <v>DATE</v>
      </c>
      <c r="R831" s="76" t="str">
        <f t="shared" si="101"/>
        <v/>
      </c>
      <c r="S831" s="76" t="str">
        <f t="shared" si="102"/>
        <v/>
      </c>
      <c r="T831" s="76" t="str">
        <f t="shared" si="103"/>
        <v>-- K760_疾患開始日</v>
      </c>
      <c r="U831" s="4" t="str">
        <f t="shared" si="104"/>
        <v>,'shikkan823_start_date'</v>
      </c>
      <c r="V831" s="25" t="str">
        <f t="shared" si="105"/>
        <v>,'shikkan823_start_date' : 'K760_疾患開始日'</v>
      </c>
      <c r="X831" s="25">
        <v>1</v>
      </c>
      <c r="AA831" s="4"/>
      <c r="AB831" s="4"/>
      <c r="AC831" s="4"/>
      <c r="AD831" s="4"/>
      <c r="AE831" s="4"/>
      <c r="AF831" s="4"/>
      <c r="AG831" s="4"/>
      <c r="AH831" s="4"/>
      <c r="AI831" s="4"/>
      <c r="AJ831" s="76" t="str">
        <f>IF(E831="○",IF(COUNTA(E$13:E831)=1,"",",")&amp;D831,"")</f>
        <v/>
      </c>
      <c r="AK831" s="4"/>
      <c r="AL831" s="4"/>
      <c r="AM831" s="4"/>
      <c r="AN831" s="4"/>
      <c r="AO831" s="4"/>
      <c r="AP831" s="4"/>
      <c r="AQ831" s="4"/>
      <c r="AR831" s="4"/>
      <c r="AS831" s="76" t="str">
        <f>"COMMENT ON COLUMN "&amp;エンティティ一覧!$O$2&amp;"."&amp;D$8&amp;"."&amp;D831&amp;" IS '"&amp;C831&amp;"';"</f>
        <v>COMMENT ON COLUMN milscm_2023_009.main_diagnosis_start_date.shikkan823_start_date IS 'K760_疾患開始日';</v>
      </c>
    </row>
    <row r="832" spans="1:45" s="25" customFormat="1">
      <c r="A832" s="4" t="s">
        <v>5082</v>
      </c>
      <c r="B832" s="21">
        <f t="shared" si="98"/>
        <v>830</v>
      </c>
      <c r="C832" s="13" t="str">
        <f t="shared" si="106"/>
        <v>K762_疾患開始日</v>
      </c>
      <c r="D832" s="13" t="s">
        <v>6484</v>
      </c>
      <c r="E832" s="8"/>
      <c r="F832" s="7" t="s">
        <v>4348</v>
      </c>
      <c r="G832" s="7" t="s">
        <v>25</v>
      </c>
      <c r="H832" s="58"/>
      <c r="I832" s="23"/>
      <c r="J832" s="24"/>
      <c r="M832" s="4"/>
      <c r="N832" s="76"/>
      <c r="O832" s="76"/>
      <c r="P832" s="76" t="str">
        <f t="shared" si="99"/>
        <v>,shikkan824_start_date</v>
      </c>
      <c r="Q832" s="76" t="str">
        <f t="shared" si="100"/>
        <v>DATE</v>
      </c>
      <c r="R832" s="76" t="str">
        <f t="shared" si="101"/>
        <v/>
      </c>
      <c r="S832" s="76" t="str">
        <f t="shared" si="102"/>
        <v/>
      </c>
      <c r="T832" s="76" t="str">
        <f t="shared" si="103"/>
        <v>-- K762_疾患開始日</v>
      </c>
      <c r="U832" s="4" t="str">
        <f t="shared" si="104"/>
        <v>,'shikkan824_start_date'</v>
      </c>
      <c r="V832" s="25" t="str">
        <f t="shared" si="105"/>
        <v>,'shikkan824_start_date' : 'K762_疾患開始日'</v>
      </c>
      <c r="X832" s="25">
        <v>1</v>
      </c>
      <c r="AA832" s="4"/>
      <c r="AB832" s="4"/>
      <c r="AC832" s="4"/>
      <c r="AD832" s="4"/>
      <c r="AE832" s="4"/>
      <c r="AF832" s="4"/>
      <c r="AG832" s="4"/>
      <c r="AH832" s="4"/>
      <c r="AI832" s="4"/>
      <c r="AJ832" s="76" t="str">
        <f>IF(E832="○",IF(COUNTA(E$13:E832)=1,"",",")&amp;D832,"")</f>
        <v/>
      </c>
      <c r="AK832" s="4"/>
      <c r="AL832" s="4"/>
      <c r="AM832" s="4"/>
      <c r="AN832" s="4"/>
      <c r="AO832" s="4"/>
      <c r="AP832" s="4"/>
      <c r="AQ832" s="4"/>
      <c r="AR832" s="4"/>
      <c r="AS832" s="76" t="str">
        <f>"COMMENT ON COLUMN "&amp;エンティティ一覧!$O$2&amp;"."&amp;D$8&amp;"."&amp;D832&amp;" IS '"&amp;C832&amp;"';"</f>
        <v>COMMENT ON COLUMN milscm_2023_009.main_diagnosis_start_date.shikkan824_start_date IS 'K762_疾患開始日';</v>
      </c>
    </row>
    <row r="833" spans="1:45" s="25" customFormat="1">
      <c r="A833" s="4" t="s">
        <v>5083</v>
      </c>
      <c r="B833" s="21">
        <f t="shared" si="98"/>
        <v>831</v>
      </c>
      <c r="C833" s="13" t="str">
        <f t="shared" si="106"/>
        <v>K763_疾患開始日</v>
      </c>
      <c r="D833" s="13" t="s">
        <v>6485</v>
      </c>
      <c r="E833" s="8"/>
      <c r="F833" s="7" t="s">
        <v>4348</v>
      </c>
      <c r="G833" s="7" t="s">
        <v>25</v>
      </c>
      <c r="H833" s="58"/>
      <c r="I833" s="23"/>
      <c r="J833" s="24"/>
      <c r="M833" s="4"/>
      <c r="N833" s="76"/>
      <c r="O833" s="76"/>
      <c r="P833" s="76" t="str">
        <f t="shared" si="99"/>
        <v>,shikkan825_start_date</v>
      </c>
      <c r="Q833" s="76" t="str">
        <f t="shared" si="100"/>
        <v>DATE</v>
      </c>
      <c r="R833" s="76" t="str">
        <f t="shared" si="101"/>
        <v/>
      </c>
      <c r="S833" s="76" t="str">
        <f t="shared" si="102"/>
        <v/>
      </c>
      <c r="T833" s="76" t="str">
        <f t="shared" si="103"/>
        <v>-- K763_疾患開始日</v>
      </c>
      <c r="U833" s="4" t="str">
        <f t="shared" si="104"/>
        <v>,'shikkan825_start_date'</v>
      </c>
      <c r="V833" s="25" t="str">
        <f t="shared" si="105"/>
        <v>,'shikkan825_start_date' : 'K763_疾患開始日'</v>
      </c>
      <c r="X833" s="25">
        <v>1</v>
      </c>
      <c r="AA833" s="4"/>
      <c r="AB833" s="4"/>
      <c r="AC833" s="4"/>
      <c r="AD833" s="4"/>
      <c r="AE833" s="4"/>
      <c r="AF833" s="4"/>
      <c r="AG833" s="4"/>
      <c r="AH833" s="4"/>
      <c r="AI833" s="4"/>
      <c r="AJ833" s="76" t="str">
        <f>IF(E833="○",IF(COUNTA(E$13:E833)=1,"",",")&amp;D833,"")</f>
        <v/>
      </c>
      <c r="AK833" s="4"/>
      <c r="AL833" s="4"/>
      <c r="AM833" s="4"/>
      <c r="AN833" s="4"/>
      <c r="AO833" s="4"/>
      <c r="AP833" s="4"/>
      <c r="AQ833" s="4"/>
      <c r="AR833" s="4"/>
      <c r="AS833" s="76" t="str">
        <f>"COMMENT ON COLUMN "&amp;エンティティ一覧!$O$2&amp;"."&amp;D$8&amp;"."&amp;D833&amp;" IS '"&amp;C833&amp;"';"</f>
        <v>COMMENT ON COLUMN milscm_2023_009.main_diagnosis_start_date.shikkan825_start_date IS 'K763_疾患開始日';</v>
      </c>
    </row>
    <row r="834" spans="1:45" s="25" customFormat="1">
      <c r="A834" s="4" t="s">
        <v>5084</v>
      </c>
      <c r="B834" s="21">
        <f t="shared" si="98"/>
        <v>832</v>
      </c>
      <c r="C834" s="13" t="str">
        <f t="shared" si="106"/>
        <v>K764_疾患開始日</v>
      </c>
      <c r="D834" s="13" t="s">
        <v>6486</v>
      </c>
      <c r="E834" s="8"/>
      <c r="F834" s="7" t="s">
        <v>4348</v>
      </c>
      <c r="G834" s="7" t="s">
        <v>25</v>
      </c>
      <c r="H834" s="58"/>
      <c r="I834" s="23"/>
      <c r="J834" s="24"/>
      <c r="M834" s="4"/>
      <c r="N834" s="76"/>
      <c r="O834" s="76"/>
      <c r="P834" s="76" t="str">
        <f t="shared" si="99"/>
        <v>,shikkan826_start_date</v>
      </c>
      <c r="Q834" s="76" t="str">
        <f t="shared" si="100"/>
        <v>DATE</v>
      </c>
      <c r="R834" s="76" t="str">
        <f t="shared" si="101"/>
        <v/>
      </c>
      <c r="S834" s="76" t="str">
        <f t="shared" si="102"/>
        <v/>
      </c>
      <c r="T834" s="76" t="str">
        <f t="shared" si="103"/>
        <v>-- K764_疾患開始日</v>
      </c>
      <c r="U834" s="4" t="str">
        <f t="shared" si="104"/>
        <v>,'shikkan826_start_date'</v>
      </c>
      <c r="V834" s="25" t="str">
        <f t="shared" si="105"/>
        <v>,'shikkan826_start_date' : 'K764_疾患開始日'</v>
      </c>
      <c r="X834" s="25">
        <v>1</v>
      </c>
      <c r="AA834" s="4"/>
      <c r="AB834" s="4"/>
      <c r="AC834" s="4"/>
      <c r="AD834" s="4"/>
      <c r="AE834" s="4"/>
      <c r="AF834" s="4"/>
      <c r="AG834" s="4"/>
      <c r="AH834" s="4"/>
      <c r="AI834" s="4"/>
      <c r="AJ834" s="76" t="str">
        <f>IF(E834="○",IF(COUNTA(E$13:E834)=1,"",",")&amp;D834,"")</f>
        <v/>
      </c>
      <c r="AK834" s="4"/>
      <c r="AL834" s="4"/>
      <c r="AM834" s="4"/>
      <c r="AN834" s="4"/>
      <c r="AO834" s="4"/>
      <c r="AP834" s="4"/>
      <c r="AQ834" s="4"/>
      <c r="AR834" s="4"/>
      <c r="AS834" s="76" t="str">
        <f>"COMMENT ON COLUMN "&amp;エンティティ一覧!$O$2&amp;"."&amp;D$8&amp;"."&amp;D834&amp;" IS '"&amp;C834&amp;"';"</f>
        <v>COMMENT ON COLUMN milscm_2023_009.main_diagnosis_start_date.shikkan826_start_date IS 'K764_疾患開始日';</v>
      </c>
    </row>
    <row r="835" spans="1:45" s="25" customFormat="1">
      <c r="A835" s="4" t="s">
        <v>5891</v>
      </c>
      <c r="B835" s="21">
        <f t="shared" si="98"/>
        <v>833</v>
      </c>
      <c r="C835" s="13" t="str">
        <f t="shared" si="106"/>
        <v>K765_疾患開始日</v>
      </c>
      <c r="D835" s="13" t="s">
        <v>6487</v>
      </c>
      <c r="E835" s="8"/>
      <c r="F835" s="7" t="s">
        <v>4348</v>
      </c>
      <c r="G835" s="7" t="s">
        <v>25</v>
      </c>
      <c r="H835" s="58"/>
      <c r="I835" s="23"/>
      <c r="J835" s="24"/>
      <c r="M835" s="4"/>
      <c r="N835" s="76"/>
      <c r="O835" s="76"/>
      <c r="P835" s="76" t="str">
        <f t="shared" si="99"/>
        <v>,shikkan827_start_date</v>
      </c>
      <c r="Q835" s="76" t="str">
        <f t="shared" si="100"/>
        <v>DATE</v>
      </c>
      <c r="R835" s="76" t="str">
        <f t="shared" si="101"/>
        <v/>
      </c>
      <c r="S835" s="76" t="str">
        <f t="shared" si="102"/>
        <v/>
      </c>
      <c r="T835" s="76" t="str">
        <f t="shared" si="103"/>
        <v>-- K765_疾患開始日</v>
      </c>
      <c r="U835" s="4" t="str">
        <f t="shared" si="104"/>
        <v>,'shikkan827_start_date'</v>
      </c>
      <c r="V835" s="25" t="str">
        <f t="shared" si="105"/>
        <v>,'shikkan827_start_date' : 'K765_疾患開始日'</v>
      </c>
      <c r="X835" s="25">
        <v>1</v>
      </c>
      <c r="AA835" s="4"/>
      <c r="AB835" s="4"/>
      <c r="AC835" s="4"/>
      <c r="AD835" s="4"/>
      <c r="AE835" s="4"/>
      <c r="AF835" s="4"/>
      <c r="AG835" s="4"/>
      <c r="AH835" s="4"/>
      <c r="AI835" s="4"/>
      <c r="AJ835" s="76" t="str">
        <f>IF(E835="○",IF(COUNTA(E$13:E835)=1,"",",")&amp;D835,"")</f>
        <v/>
      </c>
      <c r="AK835" s="4"/>
      <c r="AL835" s="4"/>
      <c r="AM835" s="4"/>
      <c r="AN835" s="4"/>
      <c r="AO835" s="4"/>
      <c r="AP835" s="4"/>
      <c r="AQ835" s="4"/>
      <c r="AR835" s="4"/>
      <c r="AS835" s="76" t="str">
        <f>"COMMENT ON COLUMN "&amp;エンティティ一覧!$O$2&amp;"."&amp;D$8&amp;"."&amp;D835&amp;" IS '"&amp;C835&amp;"';"</f>
        <v>COMMENT ON COLUMN milscm_2023_009.main_diagnosis_start_date.shikkan827_start_date IS 'K765_疾患開始日';</v>
      </c>
    </row>
    <row r="836" spans="1:45" s="25" customFormat="1">
      <c r="A836" s="4" t="s">
        <v>5892</v>
      </c>
      <c r="B836" s="21">
        <f t="shared" ref="B836:B899" si="107">ROW()-2</f>
        <v>834</v>
      </c>
      <c r="C836" s="13" t="str">
        <f t="shared" si="106"/>
        <v>K766_疾患開始日</v>
      </c>
      <c r="D836" s="13" t="s">
        <v>6488</v>
      </c>
      <c r="E836" s="8"/>
      <c r="F836" s="7" t="s">
        <v>4348</v>
      </c>
      <c r="G836" s="7" t="s">
        <v>25</v>
      </c>
      <c r="H836" s="58"/>
      <c r="I836" s="23"/>
      <c r="J836" s="24"/>
      <c r="M836" s="4"/>
      <c r="N836" s="76"/>
      <c r="O836" s="76"/>
      <c r="P836" s="76" t="str">
        <f t="shared" si="99"/>
        <v>,shikkan828_start_date</v>
      </c>
      <c r="Q836" s="76" t="str">
        <f t="shared" si="100"/>
        <v>DATE</v>
      </c>
      <c r="R836" s="76" t="str">
        <f t="shared" si="101"/>
        <v/>
      </c>
      <c r="S836" s="76" t="str">
        <f t="shared" si="102"/>
        <v/>
      </c>
      <c r="T836" s="76" t="str">
        <f t="shared" si="103"/>
        <v>-- K766_疾患開始日</v>
      </c>
      <c r="U836" s="4" t="str">
        <f t="shared" si="104"/>
        <v>,'shikkan828_start_date'</v>
      </c>
      <c r="V836" s="25" t="str">
        <f t="shared" si="105"/>
        <v>,'shikkan828_start_date' : 'K766_疾患開始日'</v>
      </c>
      <c r="X836" s="25">
        <v>1</v>
      </c>
      <c r="AA836" s="4"/>
      <c r="AB836" s="4"/>
      <c r="AC836" s="4"/>
      <c r="AD836" s="4"/>
      <c r="AE836" s="4"/>
      <c r="AF836" s="4"/>
      <c r="AG836" s="4"/>
      <c r="AH836" s="4"/>
      <c r="AI836" s="4"/>
      <c r="AJ836" s="76" t="str">
        <f>IF(E836="○",IF(COUNTA(E$13:E836)=1,"",",")&amp;D836,"")</f>
        <v/>
      </c>
      <c r="AK836" s="4"/>
      <c r="AL836" s="4"/>
      <c r="AM836" s="4"/>
      <c r="AN836" s="4"/>
      <c r="AO836" s="4"/>
      <c r="AP836" s="4"/>
      <c r="AQ836" s="4"/>
      <c r="AR836" s="4"/>
      <c r="AS836" s="76" t="str">
        <f>"COMMENT ON COLUMN "&amp;エンティティ一覧!$O$2&amp;"."&amp;D$8&amp;"."&amp;D836&amp;" IS '"&amp;C836&amp;"';"</f>
        <v>COMMENT ON COLUMN milscm_2023_009.main_diagnosis_start_date.shikkan828_start_date IS 'K766_疾患開始日';</v>
      </c>
    </row>
    <row r="837" spans="1:45" s="25" customFormat="1">
      <c r="A837" s="4" t="s">
        <v>5893</v>
      </c>
      <c r="B837" s="21">
        <f t="shared" si="107"/>
        <v>835</v>
      </c>
      <c r="C837" s="13" t="str">
        <f t="shared" si="106"/>
        <v>K767_疾患開始日</v>
      </c>
      <c r="D837" s="13" t="s">
        <v>6489</v>
      </c>
      <c r="E837" s="8"/>
      <c r="F837" s="7" t="s">
        <v>4348</v>
      </c>
      <c r="G837" s="7" t="s">
        <v>25</v>
      </c>
      <c r="H837" s="58"/>
      <c r="I837" s="23"/>
      <c r="J837" s="24"/>
      <c r="M837" s="4"/>
      <c r="N837" s="76"/>
      <c r="O837" s="76"/>
      <c r="P837" s="76" t="str">
        <f t="shared" si="99"/>
        <v>,shikkan829_start_date</v>
      </c>
      <c r="Q837" s="76" t="str">
        <f t="shared" si="100"/>
        <v>DATE</v>
      </c>
      <c r="R837" s="76" t="str">
        <f t="shared" si="101"/>
        <v/>
      </c>
      <c r="S837" s="76" t="str">
        <f t="shared" si="102"/>
        <v/>
      </c>
      <c r="T837" s="76" t="str">
        <f t="shared" si="103"/>
        <v>-- K767_疾患開始日</v>
      </c>
      <c r="U837" s="4" t="str">
        <f t="shared" si="104"/>
        <v>,'shikkan829_start_date'</v>
      </c>
      <c r="V837" s="25" t="str">
        <f t="shared" si="105"/>
        <v>,'shikkan829_start_date' : 'K767_疾患開始日'</v>
      </c>
      <c r="X837" s="25">
        <v>1</v>
      </c>
      <c r="AA837" s="4"/>
      <c r="AB837" s="4"/>
      <c r="AC837" s="4"/>
      <c r="AD837" s="4"/>
      <c r="AE837" s="4"/>
      <c r="AF837" s="4"/>
      <c r="AG837" s="4"/>
      <c r="AH837" s="4"/>
      <c r="AI837" s="4"/>
      <c r="AJ837" s="76" t="str">
        <f>IF(E837="○",IF(COUNTA(E$13:E837)=1,"",",")&amp;D837,"")</f>
        <v/>
      </c>
      <c r="AK837" s="4"/>
      <c r="AL837" s="4"/>
      <c r="AM837" s="4"/>
      <c r="AN837" s="4"/>
      <c r="AO837" s="4"/>
      <c r="AP837" s="4"/>
      <c r="AQ837" s="4"/>
      <c r="AR837" s="4"/>
      <c r="AS837" s="76" t="str">
        <f>"COMMENT ON COLUMN "&amp;エンティティ一覧!$O$2&amp;"."&amp;D$8&amp;"."&amp;D837&amp;" IS '"&amp;C837&amp;"';"</f>
        <v>COMMENT ON COLUMN milscm_2023_009.main_diagnosis_start_date.shikkan829_start_date IS 'K767_疾患開始日';</v>
      </c>
    </row>
    <row r="838" spans="1:45" s="25" customFormat="1">
      <c r="A838" s="4" t="s">
        <v>5085</v>
      </c>
      <c r="B838" s="21">
        <f t="shared" si="107"/>
        <v>836</v>
      </c>
      <c r="C838" s="13" t="str">
        <f t="shared" si="106"/>
        <v>K768_疾患開始日</v>
      </c>
      <c r="D838" s="13" t="s">
        <v>6490</v>
      </c>
      <c r="E838" s="8"/>
      <c r="F838" s="7" t="s">
        <v>4348</v>
      </c>
      <c r="G838" s="7" t="s">
        <v>25</v>
      </c>
      <c r="H838" s="58"/>
      <c r="I838" s="23"/>
      <c r="J838" s="24"/>
      <c r="M838" s="4"/>
      <c r="N838" s="76"/>
      <c r="O838" s="76"/>
      <c r="P838" s="76" t="str">
        <f t="shared" si="99"/>
        <v>,shikkan830_start_date</v>
      </c>
      <c r="Q838" s="76" t="str">
        <f t="shared" si="100"/>
        <v>DATE</v>
      </c>
      <c r="R838" s="76" t="str">
        <f t="shared" si="101"/>
        <v/>
      </c>
      <c r="S838" s="76" t="str">
        <f t="shared" si="102"/>
        <v/>
      </c>
      <c r="T838" s="76" t="str">
        <f t="shared" si="103"/>
        <v>-- K768_疾患開始日</v>
      </c>
      <c r="U838" s="4" t="str">
        <f t="shared" si="104"/>
        <v>,'shikkan830_start_date'</v>
      </c>
      <c r="V838" s="25" t="str">
        <f t="shared" si="105"/>
        <v>,'shikkan830_start_date' : 'K768_疾患開始日'</v>
      </c>
      <c r="X838" s="25">
        <v>1</v>
      </c>
      <c r="AA838" s="4"/>
      <c r="AB838" s="4"/>
      <c r="AC838" s="4"/>
      <c r="AD838" s="4"/>
      <c r="AE838" s="4"/>
      <c r="AF838" s="4"/>
      <c r="AG838" s="4"/>
      <c r="AH838" s="4"/>
      <c r="AI838" s="4"/>
      <c r="AJ838" s="76" t="str">
        <f>IF(E838="○",IF(COUNTA(E$13:E838)=1,"",",")&amp;D838,"")</f>
        <v/>
      </c>
      <c r="AK838" s="4"/>
      <c r="AL838" s="4"/>
      <c r="AM838" s="4"/>
      <c r="AN838" s="4"/>
      <c r="AO838" s="4"/>
      <c r="AP838" s="4"/>
      <c r="AQ838" s="4"/>
      <c r="AR838" s="4"/>
      <c r="AS838" s="76" t="str">
        <f>"COMMENT ON COLUMN "&amp;エンティティ一覧!$O$2&amp;"."&amp;D$8&amp;"."&amp;D838&amp;" IS '"&amp;C838&amp;"';"</f>
        <v>COMMENT ON COLUMN milscm_2023_009.main_diagnosis_start_date.shikkan830_start_date IS 'K768_疾患開始日';</v>
      </c>
    </row>
    <row r="839" spans="1:45" s="25" customFormat="1">
      <c r="A839" s="4" t="s">
        <v>5086</v>
      </c>
      <c r="B839" s="21">
        <f t="shared" si="107"/>
        <v>837</v>
      </c>
      <c r="C839" s="13" t="str">
        <f t="shared" si="106"/>
        <v>K769_疾患開始日</v>
      </c>
      <c r="D839" s="13" t="s">
        <v>6491</v>
      </c>
      <c r="E839" s="8"/>
      <c r="F839" s="7" t="s">
        <v>4348</v>
      </c>
      <c r="G839" s="7" t="s">
        <v>25</v>
      </c>
      <c r="H839" s="58"/>
      <c r="I839" s="23"/>
      <c r="J839" s="24"/>
      <c r="M839" s="4"/>
      <c r="N839" s="76"/>
      <c r="O839" s="76"/>
      <c r="P839" s="76" t="str">
        <f t="shared" si="99"/>
        <v>,shikkan831_start_date</v>
      </c>
      <c r="Q839" s="76" t="str">
        <f t="shared" si="100"/>
        <v>DATE</v>
      </c>
      <c r="R839" s="76" t="str">
        <f t="shared" si="101"/>
        <v/>
      </c>
      <c r="S839" s="76" t="str">
        <f t="shared" si="102"/>
        <v/>
      </c>
      <c r="T839" s="76" t="str">
        <f t="shared" si="103"/>
        <v>-- K769_疾患開始日</v>
      </c>
      <c r="U839" s="4" t="str">
        <f t="shared" si="104"/>
        <v>,'shikkan831_start_date'</v>
      </c>
      <c r="V839" s="25" t="str">
        <f t="shared" si="105"/>
        <v>,'shikkan831_start_date' : 'K769_疾患開始日'</v>
      </c>
      <c r="X839" s="25">
        <v>1</v>
      </c>
      <c r="AA839" s="4"/>
      <c r="AB839" s="4"/>
      <c r="AC839" s="4"/>
      <c r="AD839" s="4"/>
      <c r="AE839" s="4"/>
      <c r="AF839" s="4"/>
      <c r="AG839" s="4"/>
      <c r="AH839" s="4"/>
      <c r="AI839" s="4"/>
      <c r="AJ839" s="76" t="str">
        <f>IF(E839="○",IF(COUNTA(E$13:E839)=1,"",",")&amp;D839,"")</f>
        <v/>
      </c>
      <c r="AK839" s="4"/>
      <c r="AL839" s="4"/>
      <c r="AM839" s="4"/>
      <c r="AN839" s="4"/>
      <c r="AO839" s="4"/>
      <c r="AP839" s="4"/>
      <c r="AQ839" s="4"/>
      <c r="AR839" s="4"/>
      <c r="AS839" s="76" t="str">
        <f>"COMMENT ON COLUMN "&amp;エンティティ一覧!$O$2&amp;"."&amp;D$8&amp;"."&amp;D839&amp;" IS '"&amp;C839&amp;"';"</f>
        <v>COMMENT ON COLUMN milscm_2023_009.main_diagnosis_start_date.shikkan831_start_date IS 'K769_疾患開始日';</v>
      </c>
    </row>
    <row r="840" spans="1:45" s="25" customFormat="1">
      <c r="A840" s="4" t="s">
        <v>5894</v>
      </c>
      <c r="B840" s="21">
        <f t="shared" si="107"/>
        <v>838</v>
      </c>
      <c r="C840" s="13" t="str">
        <f t="shared" si="106"/>
        <v>M050_疾患開始日</v>
      </c>
      <c r="D840" s="13" t="s">
        <v>6492</v>
      </c>
      <c r="E840" s="8"/>
      <c r="F840" s="7" t="s">
        <v>4348</v>
      </c>
      <c r="G840" s="7" t="s">
        <v>25</v>
      </c>
      <c r="H840" s="58"/>
      <c r="I840" s="23"/>
      <c r="J840" s="24"/>
      <c r="M840" s="4"/>
      <c r="N840" s="76"/>
      <c r="O840" s="76"/>
      <c r="P840" s="76" t="str">
        <f t="shared" ref="P840:P898" si="108">IF(B840&lt;&gt;1,","&amp;D840,D840)</f>
        <v>,shikkan832_start_date</v>
      </c>
      <c r="Q840" s="76" t="str">
        <f t="shared" ref="Q840:Q898" si="109">UPPER(G840)</f>
        <v>DATE</v>
      </c>
      <c r="R840" s="76" t="str">
        <f t="shared" ref="R840:R898" si="110">IF(H840&lt;&gt;"","default "&amp;IF(G840="text","'"&amp;H840&amp;"'",H840),"")</f>
        <v/>
      </c>
      <c r="S840" s="76" t="str">
        <f t="shared" ref="S840:S898" si="111">IF(I840="○","NOT NULL","")</f>
        <v/>
      </c>
      <c r="T840" s="76" t="str">
        <f t="shared" ref="T840:T898" si="112">"-- "&amp;C840</f>
        <v>-- M050_疾患開始日</v>
      </c>
      <c r="U840" s="4" t="str">
        <f t="shared" si="104"/>
        <v>,'shikkan832_start_date'</v>
      </c>
      <c r="V840" s="25" t="str">
        <f t="shared" si="105"/>
        <v>,'shikkan832_start_date' : 'M050_疾患開始日'</v>
      </c>
      <c r="X840" s="25">
        <v>1</v>
      </c>
      <c r="AA840" s="4"/>
      <c r="AB840" s="4"/>
      <c r="AC840" s="4"/>
      <c r="AD840" s="4"/>
      <c r="AE840" s="4"/>
      <c r="AF840" s="4"/>
      <c r="AG840" s="4"/>
      <c r="AH840" s="4"/>
      <c r="AI840" s="4"/>
      <c r="AJ840" s="76" t="str">
        <f>IF(E840="○",IF(COUNTA(E$13:E840)=1,"",",")&amp;D840,"")</f>
        <v/>
      </c>
      <c r="AK840" s="4"/>
      <c r="AL840" s="4"/>
      <c r="AM840" s="4"/>
      <c r="AN840" s="4"/>
      <c r="AO840" s="4"/>
      <c r="AP840" s="4"/>
      <c r="AQ840" s="4"/>
      <c r="AR840" s="4"/>
      <c r="AS840" s="76" t="str">
        <f>"COMMENT ON COLUMN "&amp;エンティティ一覧!$O$2&amp;"."&amp;D$8&amp;"."&amp;D840&amp;" IS '"&amp;C840&amp;"';"</f>
        <v>COMMENT ON COLUMN milscm_2023_009.main_diagnosis_start_date.shikkan832_start_date IS 'M050_疾患開始日';</v>
      </c>
    </row>
    <row r="841" spans="1:45" s="25" customFormat="1">
      <c r="A841" s="4" t="s">
        <v>5895</v>
      </c>
      <c r="B841" s="21">
        <f t="shared" si="107"/>
        <v>839</v>
      </c>
      <c r="C841" s="13" t="str">
        <f t="shared" si="106"/>
        <v>M051_疾患開始日</v>
      </c>
      <c r="D841" s="13" t="s">
        <v>6493</v>
      </c>
      <c r="E841" s="8"/>
      <c r="F841" s="7" t="s">
        <v>4348</v>
      </c>
      <c r="G841" s="7" t="s">
        <v>25</v>
      </c>
      <c r="H841" s="58"/>
      <c r="I841" s="23"/>
      <c r="J841" s="24"/>
      <c r="M841" s="4"/>
      <c r="N841" s="76"/>
      <c r="O841" s="76"/>
      <c r="P841" s="76" t="str">
        <f t="shared" si="108"/>
        <v>,shikkan833_start_date</v>
      </c>
      <c r="Q841" s="76" t="str">
        <f t="shared" si="109"/>
        <v>DATE</v>
      </c>
      <c r="R841" s="76" t="str">
        <f t="shared" si="110"/>
        <v/>
      </c>
      <c r="S841" s="76" t="str">
        <f t="shared" si="111"/>
        <v/>
      </c>
      <c r="T841" s="76" t="str">
        <f t="shared" si="112"/>
        <v>-- M051_疾患開始日</v>
      </c>
      <c r="U841" s="4" t="str">
        <f t="shared" ref="U841:U898" si="113">IF(B841&lt;&gt;1,",","")&amp;"'"&amp;D841&amp;"'"</f>
        <v>,'shikkan833_start_date'</v>
      </c>
      <c r="V841" s="25" t="str">
        <f t="shared" ref="V841:V898" si="114">U841&amp;" : '"&amp;C841&amp;"'"</f>
        <v>,'shikkan833_start_date' : 'M051_疾患開始日'</v>
      </c>
      <c r="X841" s="25">
        <v>1</v>
      </c>
      <c r="AA841" s="4"/>
      <c r="AB841" s="4"/>
      <c r="AC841" s="4"/>
      <c r="AD841" s="4"/>
      <c r="AE841" s="4"/>
      <c r="AF841" s="4"/>
      <c r="AG841" s="4"/>
      <c r="AH841" s="4"/>
      <c r="AI841" s="4"/>
      <c r="AJ841" s="76" t="str">
        <f>IF(E841="○",IF(COUNTA(E$13:E841)=1,"",",")&amp;D841,"")</f>
        <v/>
      </c>
      <c r="AK841" s="4"/>
      <c r="AL841" s="4"/>
      <c r="AM841" s="4"/>
      <c r="AN841" s="4"/>
      <c r="AO841" s="4"/>
      <c r="AP841" s="4"/>
      <c r="AQ841" s="4"/>
      <c r="AR841" s="4"/>
      <c r="AS841" s="76" t="str">
        <f>"COMMENT ON COLUMN "&amp;エンティティ一覧!$O$2&amp;"."&amp;D$8&amp;"."&amp;D841&amp;" IS '"&amp;C841&amp;"';"</f>
        <v>COMMENT ON COLUMN milscm_2023_009.main_diagnosis_start_date.shikkan833_start_date IS 'M051_疾患開始日';</v>
      </c>
    </row>
    <row r="842" spans="1:45" s="25" customFormat="1">
      <c r="A842" s="4" t="s">
        <v>5896</v>
      </c>
      <c r="B842" s="21">
        <f t="shared" si="107"/>
        <v>840</v>
      </c>
      <c r="C842" s="13" t="str">
        <f t="shared" ref="C842:C898" si="115">A842&amp;"_疾患開始日"</f>
        <v>M052_疾患開始日</v>
      </c>
      <c r="D842" s="13" t="s">
        <v>6494</v>
      </c>
      <c r="E842" s="8"/>
      <c r="F842" s="7" t="s">
        <v>4348</v>
      </c>
      <c r="G842" s="7" t="s">
        <v>25</v>
      </c>
      <c r="H842" s="58"/>
      <c r="I842" s="23"/>
      <c r="J842" s="24"/>
      <c r="M842" s="4"/>
      <c r="N842" s="76"/>
      <c r="O842" s="76"/>
      <c r="P842" s="76" t="str">
        <f t="shared" si="108"/>
        <v>,shikkan834_start_date</v>
      </c>
      <c r="Q842" s="76" t="str">
        <f t="shared" si="109"/>
        <v>DATE</v>
      </c>
      <c r="R842" s="76" t="str">
        <f t="shared" si="110"/>
        <v/>
      </c>
      <c r="S842" s="76" t="str">
        <f t="shared" si="111"/>
        <v/>
      </c>
      <c r="T842" s="76" t="str">
        <f t="shared" si="112"/>
        <v>-- M052_疾患開始日</v>
      </c>
      <c r="U842" s="4" t="str">
        <f t="shared" si="113"/>
        <v>,'shikkan834_start_date'</v>
      </c>
      <c r="V842" s="25" t="str">
        <f t="shared" si="114"/>
        <v>,'shikkan834_start_date' : 'M052_疾患開始日'</v>
      </c>
      <c r="X842" s="25">
        <v>1</v>
      </c>
      <c r="AA842" s="4"/>
      <c r="AB842" s="4"/>
      <c r="AC842" s="4"/>
      <c r="AD842" s="4"/>
      <c r="AE842" s="4"/>
      <c r="AF842" s="4"/>
      <c r="AG842" s="4"/>
      <c r="AH842" s="4"/>
      <c r="AI842" s="4"/>
      <c r="AJ842" s="76" t="str">
        <f>IF(E842="○",IF(COUNTA(E$13:E842)=1,"",",")&amp;D842,"")</f>
        <v/>
      </c>
      <c r="AK842" s="4"/>
      <c r="AL842" s="4"/>
      <c r="AM842" s="4"/>
      <c r="AN842" s="4"/>
      <c r="AO842" s="4"/>
      <c r="AP842" s="4"/>
      <c r="AQ842" s="4"/>
      <c r="AR842" s="4"/>
      <c r="AS842" s="76" t="str">
        <f>"COMMENT ON COLUMN "&amp;エンティティ一覧!$O$2&amp;"."&amp;D$8&amp;"."&amp;D842&amp;" IS '"&amp;C842&amp;"';"</f>
        <v>COMMENT ON COLUMN milscm_2023_009.main_diagnosis_start_date.shikkan834_start_date IS 'M052_疾患開始日';</v>
      </c>
    </row>
    <row r="843" spans="1:45" s="25" customFormat="1">
      <c r="A843" s="4" t="s">
        <v>5897</v>
      </c>
      <c r="B843" s="21">
        <f t="shared" si="107"/>
        <v>841</v>
      </c>
      <c r="C843" s="13" t="str">
        <f t="shared" si="115"/>
        <v>M053_疾患開始日</v>
      </c>
      <c r="D843" s="13" t="s">
        <v>6495</v>
      </c>
      <c r="E843" s="8"/>
      <c r="F843" s="7" t="s">
        <v>4348</v>
      </c>
      <c r="G843" s="7" t="s">
        <v>25</v>
      </c>
      <c r="H843" s="58"/>
      <c r="I843" s="23"/>
      <c r="J843" s="24"/>
      <c r="M843" s="4"/>
      <c r="N843" s="76"/>
      <c r="O843" s="76"/>
      <c r="P843" s="76" t="str">
        <f t="shared" si="108"/>
        <v>,shikkan835_start_date</v>
      </c>
      <c r="Q843" s="76" t="str">
        <f t="shared" si="109"/>
        <v>DATE</v>
      </c>
      <c r="R843" s="76" t="str">
        <f t="shared" si="110"/>
        <v/>
      </c>
      <c r="S843" s="76" t="str">
        <f t="shared" si="111"/>
        <v/>
      </c>
      <c r="T843" s="76" t="str">
        <f t="shared" si="112"/>
        <v>-- M053_疾患開始日</v>
      </c>
      <c r="U843" s="4" t="str">
        <f t="shared" si="113"/>
        <v>,'shikkan835_start_date'</v>
      </c>
      <c r="V843" s="25" t="str">
        <f t="shared" si="114"/>
        <v>,'shikkan835_start_date' : 'M053_疾患開始日'</v>
      </c>
      <c r="X843" s="25">
        <v>1</v>
      </c>
      <c r="AA843" s="4"/>
      <c r="AB843" s="4"/>
      <c r="AC843" s="4"/>
      <c r="AD843" s="4"/>
      <c r="AE843" s="4"/>
      <c r="AF843" s="4"/>
      <c r="AG843" s="4"/>
      <c r="AH843" s="4"/>
      <c r="AI843" s="4"/>
      <c r="AJ843" s="76" t="str">
        <f>IF(E843="○",IF(COUNTA(E$13:E843)=1,"",",")&amp;D843,"")</f>
        <v/>
      </c>
      <c r="AK843" s="4"/>
      <c r="AL843" s="4"/>
      <c r="AM843" s="4"/>
      <c r="AN843" s="4"/>
      <c r="AO843" s="4"/>
      <c r="AP843" s="4"/>
      <c r="AQ843" s="4"/>
      <c r="AR843" s="4"/>
      <c r="AS843" s="76" t="str">
        <f>"COMMENT ON COLUMN "&amp;エンティティ一覧!$O$2&amp;"."&amp;D$8&amp;"."&amp;D843&amp;" IS '"&amp;C843&amp;"';"</f>
        <v>COMMENT ON COLUMN milscm_2023_009.main_diagnosis_start_date.shikkan835_start_date IS 'M053_疾患開始日';</v>
      </c>
    </row>
    <row r="844" spans="1:45" s="25" customFormat="1">
      <c r="A844" s="4" t="s">
        <v>5898</v>
      </c>
      <c r="B844" s="21">
        <f t="shared" si="107"/>
        <v>842</v>
      </c>
      <c r="C844" s="13" t="str">
        <f t="shared" si="115"/>
        <v>M058_疾患開始日</v>
      </c>
      <c r="D844" s="13" t="s">
        <v>6496</v>
      </c>
      <c r="E844" s="8"/>
      <c r="F844" s="7" t="s">
        <v>4348</v>
      </c>
      <c r="G844" s="7" t="s">
        <v>25</v>
      </c>
      <c r="H844" s="58"/>
      <c r="I844" s="23"/>
      <c r="J844" s="24"/>
      <c r="M844" s="4"/>
      <c r="N844" s="76"/>
      <c r="O844" s="76"/>
      <c r="P844" s="76" t="str">
        <f t="shared" si="108"/>
        <v>,shikkan836_start_date</v>
      </c>
      <c r="Q844" s="76" t="str">
        <f t="shared" si="109"/>
        <v>DATE</v>
      </c>
      <c r="R844" s="76" t="str">
        <f t="shared" si="110"/>
        <v/>
      </c>
      <c r="S844" s="76" t="str">
        <f t="shared" si="111"/>
        <v/>
      </c>
      <c r="T844" s="76" t="str">
        <f t="shared" si="112"/>
        <v>-- M058_疾患開始日</v>
      </c>
      <c r="U844" s="4" t="str">
        <f t="shared" si="113"/>
        <v>,'shikkan836_start_date'</v>
      </c>
      <c r="V844" s="25" t="str">
        <f t="shared" si="114"/>
        <v>,'shikkan836_start_date' : 'M058_疾患開始日'</v>
      </c>
      <c r="X844" s="25">
        <v>1</v>
      </c>
      <c r="AA844" s="4"/>
      <c r="AB844" s="4"/>
      <c r="AC844" s="4"/>
      <c r="AD844" s="4"/>
      <c r="AE844" s="4"/>
      <c r="AF844" s="4"/>
      <c r="AG844" s="4"/>
      <c r="AH844" s="4"/>
      <c r="AI844" s="4"/>
      <c r="AJ844" s="76" t="str">
        <f>IF(E844="○",IF(COUNTA(E$13:E844)=1,"",",")&amp;D844,"")</f>
        <v/>
      </c>
      <c r="AK844" s="4"/>
      <c r="AL844" s="4"/>
      <c r="AM844" s="4"/>
      <c r="AN844" s="4"/>
      <c r="AO844" s="4"/>
      <c r="AP844" s="4"/>
      <c r="AQ844" s="4"/>
      <c r="AR844" s="4"/>
      <c r="AS844" s="76" t="str">
        <f>"COMMENT ON COLUMN "&amp;エンティティ一覧!$O$2&amp;"."&amp;D$8&amp;"."&amp;D844&amp;" IS '"&amp;C844&amp;"';"</f>
        <v>COMMENT ON COLUMN milscm_2023_009.main_diagnosis_start_date.shikkan836_start_date IS 'M058_疾患開始日';</v>
      </c>
    </row>
    <row r="845" spans="1:45" s="25" customFormat="1">
      <c r="A845" s="4" t="s">
        <v>5899</v>
      </c>
      <c r="B845" s="21">
        <f t="shared" si="107"/>
        <v>843</v>
      </c>
      <c r="C845" s="13" t="str">
        <f t="shared" si="115"/>
        <v>M059_疾患開始日</v>
      </c>
      <c r="D845" s="13" t="s">
        <v>6497</v>
      </c>
      <c r="E845" s="8"/>
      <c r="F845" s="7" t="s">
        <v>4348</v>
      </c>
      <c r="G845" s="7" t="s">
        <v>25</v>
      </c>
      <c r="H845" s="58"/>
      <c r="I845" s="23"/>
      <c r="J845" s="24"/>
      <c r="M845" s="4"/>
      <c r="N845" s="76"/>
      <c r="O845" s="76"/>
      <c r="P845" s="76" t="str">
        <f t="shared" si="108"/>
        <v>,shikkan837_start_date</v>
      </c>
      <c r="Q845" s="76" t="str">
        <f t="shared" si="109"/>
        <v>DATE</v>
      </c>
      <c r="R845" s="76" t="str">
        <f t="shared" si="110"/>
        <v/>
      </c>
      <c r="S845" s="76" t="str">
        <f t="shared" si="111"/>
        <v/>
      </c>
      <c r="T845" s="76" t="str">
        <f t="shared" si="112"/>
        <v>-- M059_疾患開始日</v>
      </c>
      <c r="U845" s="4" t="str">
        <f t="shared" si="113"/>
        <v>,'shikkan837_start_date'</v>
      </c>
      <c r="V845" s="25" t="str">
        <f t="shared" si="114"/>
        <v>,'shikkan837_start_date' : 'M059_疾患開始日'</v>
      </c>
      <c r="X845" s="25">
        <v>1</v>
      </c>
      <c r="AA845" s="4"/>
      <c r="AB845" s="4"/>
      <c r="AC845" s="4"/>
      <c r="AD845" s="4"/>
      <c r="AE845" s="4"/>
      <c r="AF845" s="4"/>
      <c r="AG845" s="4"/>
      <c r="AH845" s="4"/>
      <c r="AI845" s="4"/>
      <c r="AJ845" s="76" t="str">
        <f>IF(E845="○",IF(COUNTA(E$13:E845)=1,"",",")&amp;D845,"")</f>
        <v/>
      </c>
      <c r="AK845" s="4"/>
      <c r="AL845" s="4"/>
      <c r="AM845" s="4"/>
      <c r="AN845" s="4"/>
      <c r="AO845" s="4"/>
      <c r="AP845" s="4"/>
      <c r="AQ845" s="4"/>
      <c r="AR845" s="4"/>
      <c r="AS845" s="76" t="str">
        <f>"COMMENT ON COLUMN "&amp;エンティティ一覧!$O$2&amp;"."&amp;D$8&amp;"."&amp;D845&amp;" IS '"&amp;C845&amp;"';"</f>
        <v>COMMENT ON COLUMN milscm_2023_009.main_diagnosis_start_date.shikkan837_start_date IS 'M059_疾患開始日';</v>
      </c>
    </row>
    <row r="846" spans="1:45" s="25" customFormat="1">
      <c r="A846" s="4" t="s">
        <v>5900</v>
      </c>
      <c r="B846" s="21">
        <f t="shared" si="107"/>
        <v>844</v>
      </c>
      <c r="C846" s="13" t="str">
        <f t="shared" si="115"/>
        <v>M060_疾患開始日</v>
      </c>
      <c r="D846" s="13" t="s">
        <v>6498</v>
      </c>
      <c r="E846" s="8"/>
      <c r="F846" s="7" t="s">
        <v>4348</v>
      </c>
      <c r="G846" s="7" t="s">
        <v>25</v>
      </c>
      <c r="H846" s="58"/>
      <c r="I846" s="23"/>
      <c r="J846" s="24"/>
      <c r="M846" s="4"/>
      <c r="N846" s="76"/>
      <c r="O846" s="76"/>
      <c r="P846" s="76" t="str">
        <f t="shared" si="108"/>
        <v>,shikkan838_start_date</v>
      </c>
      <c r="Q846" s="76" t="str">
        <f t="shared" si="109"/>
        <v>DATE</v>
      </c>
      <c r="R846" s="76" t="str">
        <f t="shared" si="110"/>
        <v/>
      </c>
      <c r="S846" s="76" t="str">
        <f t="shared" si="111"/>
        <v/>
      </c>
      <c r="T846" s="76" t="str">
        <f t="shared" si="112"/>
        <v>-- M060_疾患開始日</v>
      </c>
      <c r="U846" s="4" t="str">
        <f t="shared" si="113"/>
        <v>,'shikkan838_start_date'</v>
      </c>
      <c r="V846" s="25" t="str">
        <f t="shared" si="114"/>
        <v>,'shikkan838_start_date' : 'M060_疾患開始日'</v>
      </c>
      <c r="X846" s="25">
        <v>1</v>
      </c>
      <c r="AA846" s="4"/>
      <c r="AB846" s="4"/>
      <c r="AC846" s="4"/>
      <c r="AD846" s="4"/>
      <c r="AE846" s="4"/>
      <c r="AF846" s="4"/>
      <c r="AG846" s="4"/>
      <c r="AH846" s="4"/>
      <c r="AI846" s="4"/>
      <c r="AJ846" s="76" t="str">
        <f>IF(E846="○",IF(COUNTA(E$13:E846)=1,"",",")&amp;D846,"")</f>
        <v/>
      </c>
      <c r="AK846" s="4"/>
      <c r="AL846" s="4"/>
      <c r="AM846" s="4"/>
      <c r="AN846" s="4"/>
      <c r="AO846" s="4"/>
      <c r="AP846" s="4"/>
      <c r="AQ846" s="4"/>
      <c r="AR846" s="4"/>
      <c r="AS846" s="76" t="str">
        <f>"COMMENT ON COLUMN "&amp;エンティティ一覧!$O$2&amp;"."&amp;D$8&amp;"."&amp;D846&amp;" IS '"&amp;C846&amp;"';"</f>
        <v>COMMENT ON COLUMN milscm_2023_009.main_diagnosis_start_date.shikkan838_start_date IS 'M060_疾患開始日';</v>
      </c>
    </row>
    <row r="847" spans="1:45" s="25" customFormat="1">
      <c r="A847" s="4" t="s">
        <v>5901</v>
      </c>
      <c r="B847" s="21">
        <f t="shared" si="107"/>
        <v>845</v>
      </c>
      <c r="C847" s="13" t="str">
        <f t="shared" si="115"/>
        <v>M061_疾患開始日</v>
      </c>
      <c r="D847" s="13" t="s">
        <v>6499</v>
      </c>
      <c r="E847" s="8"/>
      <c r="F847" s="7" t="s">
        <v>4348</v>
      </c>
      <c r="G847" s="7" t="s">
        <v>25</v>
      </c>
      <c r="H847" s="58"/>
      <c r="I847" s="23"/>
      <c r="J847" s="24"/>
      <c r="M847" s="4"/>
      <c r="N847" s="76"/>
      <c r="O847" s="76"/>
      <c r="P847" s="76" t="str">
        <f t="shared" si="108"/>
        <v>,shikkan839_start_date</v>
      </c>
      <c r="Q847" s="76" t="str">
        <f t="shared" si="109"/>
        <v>DATE</v>
      </c>
      <c r="R847" s="76" t="str">
        <f t="shared" si="110"/>
        <v/>
      </c>
      <c r="S847" s="76" t="str">
        <f t="shared" si="111"/>
        <v/>
      </c>
      <c r="T847" s="76" t="str">
        <f t="shared" si="112"/>
        <v>-- M061_疾患開始日</v>
      </c>
      <c r="U847" s="4" t="str">
        <f t="shared" si="113"/>
        <v>,'shikkan839_start_date'</v>
      </c>
      <c r="V847" s="25" t="str">
        <f t="shared" si="114"/>
        <v>,'shikkan839_start_date' : 'M061_疾患開始日'</v>
      </c>
      <c r="X847" s="25">
        <v>1</v>
      </c>
      <c r="AA847" s="4"/>
      <c r="AB847" s="4"/>
      <c r="AC847" s="4"/>
      <c r="AD847" s="4"/>
      <c r="AE847" s="4"/>
      <c r="AF847" s="4"/>
      <c r="AG847" s="4"/>
      <c r="AH847" s="4"/>
      <c r="AI847" s="4"/>
      <c r="AJ847" s="76" t="str">
        <f>IF(E847="○",IF(COUNTA(E$13:E847)=1,"",",")&amp;D847,"")</f>
        <v/>
      </c>
      <c r="AK847" s="4"/>
      <c r="AL847" s="4"/>
      <c r="AM847" s="4"/>
      <c r="AN847" s="4"/>
      <c r="AO847" s="4"/>
      <c r="AP847" s="4"/>
      <c r="AQ847" s="4"/>
      <c r="AR847" s="4"/>
      <c r="AS847" s="76" t="str">
        <f>"COMMENT ON COLUMN "&amp;エンティティ一覧!$O$2&amp;"."&amp;D$8&amp;"."&amp;D847&amp;" IS '"&amp;C847&amp;"';"</f>
        <v>COMMENT ON COLUMN milscm_2023_009.main_diagnosis_start_date.shikkan839_start_date IS 'M061_疾患開始日';</v>
      </c>
    </row>
    <row r="848" spans="1:45" s="25" customFormat="1">
      <c r="A848" s="4" t="s">
        <v>5902</v>
      </c>
      <c r="B848" s="21">
        <f t="shared" si="107"/>
        <v>846</v>
      </c>
      <c r="C848" s="13" t="str">
        <f t="shared" si="115"/>
        <v>M062_疾患開始日</v>
      </c>
      <c r="D848" s="13" t="s">
        <v>6500</v>
      </c>
      <c r="E848" s="8"/>
      <c r="F848" s="7" t="s">
        <v>4348</v>
      </c>
      <c r="G848" s="7" t="s">
        <v>25</v>
      </c>
      <c r="H848" s="58"/>
      <c r="I848" s="23"/>
      <c r="J848" s="24"/>
      <c r="M848" s="4"/>
      <c r="N848" s="76"/>
      <c r="O848" s="76"/>
      <c r="P848" s="76" t="str">
        <f t="shared" si="108"/>
        <v>,shikkan840_start_date</v>
      </c>
      <c r="Q848" s="76" t="str">
        <f t="shared" si="109"/>
        <v>DATE</v>
      </c>
      <c r="R848" s="76" t="str">
        <f t="shared" si="110"/>
        <v/>
      </c>
      <c r="S848" s="76" t="str">
        <f t="shared" si="111"/>
        <v/>
      </c>
      <c r="T848" s="76" t="str">
        <f t="shared" si="112"/>
        <v>-- M062_疾患開始日</v>
      </c>
      <c r="U848" s="4" t="str">
        <f t="shared" si="113"/>
        <v>,'shikkan840_start_date'</v>
      </c>
      <c r="V848" s="25" t="str">
        <f t="shared" si="114"/>
        <v>,'shikkan840_start_date' : 'M062_疾患開始日'</v>
      </c>
      <c r="X848" s="25">
        <v>1</v>
      </c>
      <c r="AA848" s="4"/>
      <c r="AB848" s="4"/>
      <c r="AC848" s="4"/>
      <c r="AD848" s="4"/>
      <c r="AE848" s="4"/>
      <c r="AF848" s="4"/>
      <c r="AG848" s="4"/>
      <c r="AH848" s="4"/>
      <c r="AI848" s="4"/>
      <c r="AJ848" s="76" t="str">
        <f>IF(E848="○",IF(COUNTA(E$13:E848)=1,"",",")&amp;D848,"")</f>
        <v/>
      </c>
      <c r="AK848" s="4"/>
      <c r="AL848" s="4"/>
      <c r="AM848" s="4"/>
      <c r="AN848" s="4"/>
      <c r="AO848" s="4"/>
      <c r="AP848" s="4"/>
      <c r="AQ848" s="4"/>
      <c r="AR848" s="4"/>
      <c r="AS848" s="76" t="str">
        <f>"COMMENT ON COLUMN "&amp;エンティティ一覧!$O$2&amp;"."&amp;D$8&amp;"."&amp;D848&amp;" IS '"&amp;C848&amp;"';"</f>
        <v>COMMENT ON COLUMN milscm_2023_009.main_diagnosis_start_date.shikkan840_start_date IS 'M062_疾患開始日';</v>
      </c>
    </row>
    <row r="849" spans="1:45" s="25" customFormat="1">
      <c r="A849" s="4" t="s">
        <v>5903</v>
      </c>
      <c r="B849" s="21">
        <f t="shared" si="107"/>
        <v>847</v>
      </c>
      <c r="C849" s="13" t="str">
        <f t="shared" si="115"/>
        <v>M063_疾患開始日</v>
      </c>
      <c r="D849" s="13" t="s">
        <v>6501</v>
      </c>
      <c r="E849" s="8"/>
      <c r="F849" s="7" t="s">
        <v>4348</v>
      </c>
      <c r="G849" s="7" t="s">
        <v>25</v>
      </c>
      <c r="H849" s="58"/>
      <c r="I849" s="23"/>
      <c r="J849" s="24"/>
      <c r="M849" s="4"/>
      <c r="N849" s="76"/>
      <c r="O849" s="76"/>
      <c r="P849" s="76" t="str">
        <f t="shared" si="108"/>
        <v>,shikkan841_start_date</v>
      </c>
      <c r="Q849" s="76" t="str">
        <f t="shared" si="109"/>
        <v>DATE</v>
      </c>
      <c r="R849" s="76" t="str">
        <f t="shared" si="110"/>
        <v/>
      </c>
      <c r="S849" s="76" t="str">
        <f t="shared" si="111"/>
        <v/>
      </c>
      <c r="T849" s="76" t="str">
        <f t="shared" si="112"/>
        <v>-- M063_疾患開始日</v>
      </c>
      <c r="U849" s="4" t="str">
        <f t="shared" si="113"/>
        <v>,'shikkan841_start_date'</v>
      </c>
      <c r="V849" s="25" t="str">
        <f t="shared" si="114"/>
        <v>,'shikkan841_start_date' : 'M063_疾患開始日'</v>
      </c>
      <c r="X849" s="25">
        <v>1</v>
      </c>
      <c r="AA849" s="4"/>
      <c r="AB849" s="4"/>
      <c r="AC849" s="4"/>
      <c r="AD849" s="4"/>
      <c r="AE849" s="4"/>
      <c r="AF849" s="4"/>
      <c r="AG849" s="4"/>
      <c r="AH849" s="4"/>
      <c r="AI849" s="4"/>
      <c r="AJ849" s="76" t="str">
        <f>IF(E849="○",IF(COUNTA(E$13:E849)=1,"",",")&amp;D849,"")</f>
        <v/>
      </c>
      <c r="AK849" s="4"/>
      <c r="AL849" s="4"/>
      <c r="AM849" s="4"/>
      <c r="AN849" s="4"/>
      <c r="AO849" s="4"/>
      <c r="AP849" s="4"/>
      <c r="AQ849" s="4"/>
      <c r="AR849" s="4"/>
      <c r="AS849" s="76" t="str">
        <f>"COMMENT ON COLUMN "&amp;エンティティ一覧!$O$2&amp;"."&amp;D$8&amp;"."&amp;D849&amp;" IS '"&amp;C849&amp;"';"</f>
        <v>COMMENT ON COLUMN milscm_2023_009.main_diagnosis_start_date.shikkan841_start_date IS 'M063_疾患開始日';</v>
      </c>
    </row>
    <row r="850" spans="1:45" s="25" customFormat="1">
      <c r="A850" s="4" t="s">
        <v>5904</v>
      </c>
      <c r="B850" s="21">
        <f t="shared" si="107"/>
        <v>848</v>
      </c>
      <c r="C850" s="13" t="str">
        <f t="shared" si="115"/>
        <v>M064_疾患開始日</v>
      </c>
      <c r="D850" s="13" t="s">
        <v>6502</v>
      </c>
      <c r="E850" s="8"/>
      <c r="F850" s="7" t="s">
        <v>4348</v>
      </c>
      <c r="G850" s="7" t="s">
        <v>25</v>
      </c>
      <c r="H850" s="58"/>
      <c r="I850" s="23"/>
      <c r="J850" s="24"/>
      <c r="M850" s="4"/>
      <c r="N850" s="76"/>
      <c r="O850" s="76"/>
      <c r="P850" s="76" t="str">
        <f t="shared" si="108"/>
        <v>,shikkan842_start_date</v>
      </c>
      <c r="Q850" s="76" t="str">
        <f t="shared" si="109"/>
        <v>DATE</v>
      </c>
      <c r="R850" s="76" t="str">
        <f t="shared" si="110"/>
        <v/>
      </c>
      <c r="S850" s="76" t="str">
        <f t="shared" si="111"/>
        <v/>
      </c>
      <c r="T850" s="76" t="str">
        <f t="shared" si="112"/>
        <v>-- M064_疾患開始日</v>
      </c>
      <c r="U850" s="4" t="str">
        <f t="shared" si="113"/>
        <v>,'shikkan842_start_date'</v>
      </c>
      <c r="V850" s="25" t="str">
        <f t="shared" si="114"/>
        <v>,'shikkan842_start_date' : 'M064_疾患開始日'</v>
      </c>
      <c r="X850" s="25">
        <v>1</v>
      </c>
      <c r="AA850" s="4"/>
      <c r="AB850" s="4"/>
      <c r="AC850" s="4"/>
      <c r="AD850" s="4"/>
      <c r="AE850" s="4"/>
      <c r="AF850" s="4"/>
      <c r="AG850" s="4"/>
      <c r="AH850" s="4"/>
      <c r="AI850" s="4"/>
      <c r="AJ850" s="76" t="str">
        <f>IF(E850="○",IF(COUNTA(E$13:E850)=1,"",",")&amp;D850,"")</f>
        <v/>
      </c>
      <c r="AK850" s="4"/>
      <c r="AL850" s="4"/>
      <c r="AM850" s="4"/>
      <c r="AN850" s="4"/>
      <c r="AO850" s="4"/>
      <c r="AP850" s="4"/>
      <c r="AQ850" s="4"/>
      <c r="AR850" s="4"/>
      <c r="AS850" s="76" t="str">
        <f>"COMMENT ON COLUMN "&amp;エンティティ一覧!$O$2&amp;"."&amp;D$8&amp;"."&amp;D850&amp;" IS '"&amp;C850&amp;"';"</f>
        <v>COMMENT ON COLUMN milscm_2023_009.main_diagnosis_start_date.shikkan842_start_date IS 'M064_疾患開始日';</v>
      </c>
    </row>
    <row r="851" spans="1:45" s="25" customFormat="1">
      <c r="A851" s="4" t="s">
        <v>5905</v>
      </c>
      <c r="B851" s="21">
        <f t="shared" si="107"/>
        <v>849</v>
      </c>
      <c r="C851" s="13" t="str">
        <f t="shared" si="115"/>
        <v>M068_疾患開始日</v>
      </c>
      <c r="D851" s="13" t="s">
        <v>6503</v>
      </c>
      <c r="E851" s="8"/>
      <c r="F851" s="7" t="s">
        <v>4348</v>
      </c>
      <c r="G851" s="7" t="s">
        <v>25</v>
      </c>
      <c r="H851" s="58"/>
      <c r="I851" s="23"/>
      <c r="J851" s="24"/>
      <c r="M851" s="4"/>
      <c r="N851" s="76"/>
      <c r="O851" s="76"/>
      <c r="P851" s="76" t="str">
        <f t="shared" si="108"/>
        <v>,shikkan843_start_date</v>
      </c>
      <c r="Q851" s="76" t="str">
        <f t="shared" si="109"/>
        <v>DATE</v>
      </c>
      <c r="R851" s="76" t="str">
        <f t="shared" si="110"/>
        <v/>
      </c>
      <c r="S851" s="76" t="str">
        <f t="shared" si="111"/>
        <v/>
      </c>
      <c r="T851" s="76" t="str">
        <f t="shared" si="112"/>
        <v>-- M068_疾患開始日</v>
      </c>
      <c r="U851" s="4" t="str">
        <f t="shared" si="113"/>
        <v>,'shikkan843_start_date'</v>
      </c>
      <c r="V851" s="25" t="str">
        <f t="shared" si="114"/>
        <v>,'shikkan843_start_date' : 'M068_疾患開始日'</v>
      </c>
      <c r="X851" s="25">
        <v>1</v>
      </c>
      <c r="AA851" s="4"/>
      <c r="AB851" s="4"/>
      <c r="AC851" s="4"/>
      <c r="AD851" s="4"/>
      <c r="AE851" s="4"/>
      <c r="AF851" s="4"/>
      <c r="AG851" s="4"/>
      <c r="AH851" s="4"/>
      <c r="AI851" s="4"/>
      <c r="AJ851" s="76" t="str">
        <f>IF(E851="○",IF(COUNTA(E$13:E851)=1,"",",")&amp;D851,"")</f>
        <v/>
      </c>
      <c r="AK851" s="4"/>
      <c r="AL851" s="4"/>
      <c r="AM851" s="4"/>
      <c r="AN851" s="4"/>
      <c r="AO851" s="4"/>
      <c r="AP851" s="4"/>
      <c r="AQ851" s="4"/>
      <c r="AR851" s="4"/>
      <c r="AS851" s="76" t="str">
        <f>"COMMENT ON COLUMN "&amp;エンティティ一覧!$O$2&amp;"."&amp;D$8&amp;"."&amp;D851&amp;" IS '"&amp;C851&amp;"';"</f>
        <v>COMMENT ON COLUMN milscm_2023_009.main_diagnosis_start_date.shikkan843_start_date IS 'M068_疾患開始日';</v>
      </c>
    </row>
    <row r="852" spans="1:45" s="25" customFormat="1">
      <c r="A852" s="4" t="s">
        <v>5906</v>
      </c>
      <c r="B852" s="21">
        <f t="shared" si="107"/>
        <v>850</v>
      </c>
      <c r="C852" s="13" t="str">
        <f t="shared" si="115"/>
        <v>M069_疾患開始日</v>
      </c>
      <c r="D852" s="13" t="s">
        <v>6504</v>
      </c>
      <c r="E852" s="8"/>
      <c r="F852" s="7" t="s">
        <v>4348</v>
      </c>
      <c r="G852" s="7" t="s">
        <v>25</v>
      </c>
      <c r="H852" s="58"/>
      <c r="I852" s="23"/>
      <c r="J852" s="24"/>
      <c r="M852" s="4"/>
      <c r="N852" s="76"/>
      <c r="O852" s="76"/>
      <c r="P852" s="76" t="str">
        <f t="shared" si="108"/>
        <v>,shikkan844_start_date</v>
      </c>
      <c r="Q852" s="76" t="str">
        <f t="shared" si="109"/>
        <v>DATE</v>
      </c>
      <c r="R852" s="76" t="str">
        <f t="shared" si="110"/>
        <v/>
      </c>
      <c r="S852" s="76" t="str">
        <f t="shared" si="111"/>
        <v/>
      </c>
      <c r="T852" s="76" t="str">
        <f t="shared" si="112"/>
        <v>-- M069_疾患開始日</v>
      </c>
      <c r="U852" s="4" t="str">
        <f t="shared" si="113"/>
        <v>,'shikkan844_start_date'</v>
      </c>
      <c r="V852" s="25" t="str">
        <f t="shared" si="114"/>
        <v>,'shikkan844_start_date' : 'M069_疾患開始日'</v>
      </c>
      <c r="X852" s="25">
        <v>1</v>
      </c>
      <c r="AA852" s="4"/>
      <c r="AB852" s="4"/>
      <c r="AC852" s="4"/>
      <c r="AD852" s="4"/>
      <c r="AE852" s="4"/>
      <c r="AF852" s="4"/>
      <c r="AG852" s="4"/>
      <c r="AH852" s="4"/>
      <c r="AI852" s="4"/>
      <c r="AJ852" s="76" t="str">
        <f>IF(E852="○",IF(COUNTA(E$13:E852)=1,"",",")&amp;D852,"")</f>
        <v/>
      </c>
      <c r="AK852" s="4"/>
      <c r="AL852" s="4"/>
      <c r="AM852" s="4"/>
      <c r="AN852" s="4"/>
      <c r="AO852" s="4"/>
      <c r="AP852" s="4"/>
      <c r="AQ852" s="4"/>
      <c r="AR852" s="4"/>
      <c r="AS852" s="76" t="str">
        <f>"COMMENT ON COLUMN "&amp;エンティティ一覧!$O$2&amp;"."&amp;D$8&amp;"."&amp;D852&amp;" IS '"&amp;C852&amp;"';"</f>
        <v>COMMENT ON COLUMN milscm_2023_009.main_diagnosis_start_date.shikkan844_start_date IS 'M069_疾患開始日';</v>
      </c>
    </row>
    <row r="853" spans="1:45" s="25" customFormat="1">
      <c r="A853" s="4" t="s">
        <v>5907</v>
      </c>
      <c r="B853" s="21">
        <f t="shared" si="107"/>
        <v>851</v>
      </c>
      <c r="C853" s="13" t="str">
        <f t="shared" si="115"/>
        <v>M315_疾患開始日</v>
      </c>
      <c r="D853" s="13" t="s">
        <v>6505</v>
      </c>
      <c r="E853" s="8"/>
      <c r="F853" s="7" t="s">
        <v>4348</v>
      </c>
      <c r="G853" s="7" t="s">
        <v>25</v>
      </c>
      <c r="H853" s="58"/>
      <c r="I853" s="23"/>
      <c r="J853" s="24"/>
      <c r="M853" s="4"/>
      <c r="N853" s="76"/>
      <c r="O853" s="76"/>
      <c r="P853" s="76" t="str">
        <f t="shared" si="108"/>
        <v>,shikkan845_start_date</v>
      </c>
      <c r="Q853" s="76" t="str">
        <f t="shared" si="109"/>
        <v>DATE</v>
      </c>
      <c r="R853" s="76" t="str">
        <f t="shared" si="110"/>
        <v/>
      </c>
      <c r="S853" s="76" t="str">
        <f t="shared" si="111"/>
        <v/>
      </c>
      <c r="T853" s="76" t="str">
        <f t="shared" si="112"/>
        <v>-- M315_疾患開始日</v>
      </c>
      <c r="U853" s="4" t="str">
        <f t="shared" si="113"/>
        <v>,'shikkan845_start_date'</v>
      </c>
      <c r="V853" s="25" t="str">
        <f t="shared" si="114"/>
        <v>,'shikkan845_start_date' : 'M315_疾患開始日'</v>
      </c>
      <c r="X853" s="25">
        <v>1</v>
      </c>
      <c r="AA853" s="4"/>
      <c r="AB853" s="4"/>
      <c r="AC853" s="4"/>
      <c r="AD853" s="4"/>
      <c r="AE853" s="4"/>
      <c r="AF853" s="4"/>
      <c r="AG853" s="4"/>
      <c r="AH853" s="4"/>
      <c r="AI853" s="4"/>
      <c r="AJ853" s="76" t="str">
        <f>IF(E853="○",IF(COUNTA(E$13:E853)=1,"",",")&amp;D853,"")</f>
        <v/>
      </c>
      <c r="AK853" s="4"/>
      <c r="AL853" s="4"/>
      <c r="AM853" s="4"/>
      <c r="AN853" s="4"/>
      <c r="AO853" s="4"/>
      <c r="AP853" s="4"/>
      <c r="AQ853" s="4"/>
      <c r="AR853" s="4"/>
      <c r="AS853" s="76" t="str">
        <f>"COMMENT ON COLUMN "&amp;エンティティ一覧!$O$2&amp;"."&amp;D$8&amp;"."&amp;D853&amp;" IS '"&amp;C853&amp;"';"</f>
        <v>COMMENT ON COLUMN milscm_2023_009.main_diagnosis_start_date.shikkan845_start_date IS 'M315_疾患開始日';</v>
      </c>
    </row>
    <row r="854" spans="1:45" s="25" customFormat="1">
      <c r="A854" s="4" t="s">
        <v>5908</v>
      </c>
      <c r="B854" s="21">
        <f t="shared" si="107"/>
        <v>852</v>
      </c>
      <c r="C854" s="13" t="str">
        <f t="shared" si="115"/>
        <v>M320_疾患開始日</v>
      </c>
      <c r="D854" s="13" t="s">
        <v>6506</v>
      </c>
      <c r="E854" s="8"/>
      <c r="F854" s="7" t="s">
        <v>4348</v>
      </c>
      <c r="G854" s="7" t="s">
        <v>25</v>
      </c>
      <c r="H854" s="58"/>
      <c r="I854" s="23"/>
      <c r="J854" s="24"/>
      <c r="M854" s="4"/>
      <c r="N854" s="76"/>
      <c r="O854" s="76"/>
      <c r="P854" s="76" t="str">
        <f t="shared" si="108"/>
        <v>,shikkan846_start_date</v>
      </c>
      <c r="Q854" s="76" t="str">
        <f t="shared" si="109"/>
        <v>DATE</v>
      </c>
      <c r="R854" s="76" t="str">
        <f t="shared" si="110"/>
        <v/>
      </c>
      <c r="S854" s="76" t="str">
        <f t="shared" si="111"/>
        <v/>
      </c>
      <c r="T854" s="76" t="str">
        <f t="shared" si="112"/>
        <v>-- M320_疾患開始日</v>
      </c>
      <c r="U854" s="4" t="str">
        <f t="shared" si="113"/>
        <v>,'shikkan846_start_date'</v>
      </c>
      <c r="V854" s="25" t="str">
        <f t="shared" si="114"/>
        <v>,'shikkan846_start_date' : 'M320_疾患開始日'</v>
      </c>
      <c r="X854" s="25">
        <v>1</v>
      </c>
      <c r="AA854" s="4"/>
      <c r="AB854" s="4"/>
      <c r="AC854" s="4"/>
      <c r="AD854" s="4"/>
      <c r="AE854" s="4"/>
      <c r="AF854" s="4"/>
      <c r="AG854" s="4"/>
      <c r="AH854" s="4"/>
      <c r="AI854" s="4"/>
      <c r="AJ854" s="76" t="str">
        <f>IF(E854="○",IF(COUNTA(E$13:E854)=1,"",",")&amp;D854,"")</f>
        <v/>
      </c>
      <c r="AK854" s="4"/>
      <c r="AL854" s="4"/>
      <c r="AM854" s="4"/>
      <c r="AN854" s="4"/>
      <c r="AO854" s="4"/>
      <c r="AP854" s="4"/>
      <c r="AQ854" s="4"/>
      <c r="AR854" s="4"/>
      <c r="AS854" s="76" t="str">
        <f>"COMMENT ON COLUMN "&amp;エンティティ一覧!$O$2&amp;"."&amp;D$8&amp;"."&amp;D854&amp;" IS '"&amp;C854&amp;"';"</f>
        <v>COMMENT ON COLUMN milscm_2023_009.main_diagnosis_start_date.shikkan846_start_date IS 'M320_疾患開始日';</v>
      </c>
    </row>
    <row r="855" spans="1:45" s="25" customFormat="1">
      <c r="A855" s="4" t="s">
        <v>5909</v>
      </c>
      <c r="B855" s="21">
        <f t="shared" si="107"/>
        <v>853</v>
      </c>
      <c r="C855" s="13" t="str">
        <f t="shared" si="115"/>
        <v>M321_疾患開始日</v>
      </c>
      <c r="D855" s="13" t="s">
        <v>6507</v>
      </c>
      <c r="E855" s="8"/>
      <c r="F855" s="7" t="s">
        <v>4348</v>
      </c>
      <c r="G855" s="7" t="s">
        <v>25</v>
      </c>
      <c r="H855" s="58"/>
      <c r="I855" s="23"/>
      <c r="J855" s="24"/>
      <c r="M855" s="4"/>
      <c r="N855" s="76"/>
      <c r="O855" s="76"/>
      <c r="P855" s="76" t="str">
        <f t="shared" si="108"/>
        <v>,shikkan847_start_date</v>
      </c>
      <c r="Q855" s="76" t="str">
        <f t="shared" si="109"/>
        <v>DATE</v>
      </c>
      <c r="R855" s="76" t="str">
        <f t="shared" si="110"/>
        <v/>
      </c>
      <c r="S855" s="76" t="str">
        <f t="shared" si="111"/>
        <v/>
      </c>
      <c r="T855" s="76" t="str">
        <f t="shared" si="112"/>
        <v>-- M321_疾患開始日</v>
      </c>
      <c r="U855" s="4" t="str">
        <f t="shared" si="113"/>
        <v>,'shikkan847_start_date'</v>
      </c>
      <c r="V855" s="25" t="str">
        <f t="shared" si="114"/>
        <v>,'shikkan847_start_date' : 'M321_疾患開始日'</v>
      </c>
      <c r="X855" s="25">
        <v>1</v>
      </c>
      <c r="AA855" s="4"/>
      <c r="AB855" s="4"/>
      <c r="AC855" s="4"/>
      <c r="AD855" s="4"/>
      <c r="AE855" s="4"/>
      <c r="AF855" s="4"/>
      <c r="AG855" s="4"/>
      <c r="AH855" s="4"/>
      <c r="AI855" s="4"/>
      <c r="AJ855" s="76" t="str">
        <f>IF(E855="○",IF(COUNTA(E$13:E855)=1,"",",")&amp;D855,"")</f>
        <v/>
      </c>
      <c r="AK855" s="4"/>
      <c r="AL855" s="4"/>
      <c r="AM855" s="4"/>
      <c r="AN855" s="4"/>
      <c r="AO855" s="4"/>
      <c r="AP855" s="4"/>
      <c r="AQ855" s="4"/>
      <c r="AR855" s="4"/>
      <c r="AS855" s="76" t="str">
        <f>"COMMENT ON COLUMN "&amp;エンティティ一覧!$O$2&amp;"."&amp;D$8&amp;"."&amp;D855&amp;" IS '"&amp;C855&amp;"';"</f>
        <v>COMMENT ON COLUMN milscm_2023_009.main_diagnosis_start_date.shikkan847_start_date IS 'M321_疾患開始日';</v>
      </c>
    </row>
    <row r="856" spans="1:45" s="25" customFormat="1">
      <c r="A856" s="4" t="s">
        <v>5910</v>
      </c>
      <c r="B856" s="21">
        <f t="shared" si="107"/>
        <v>854</v>
      </c>
      <c r="C856" s="13" t="str">
        <f t="shared" si="115"/>
        <v>M328_疾患開始日</v>
      </c>
      <c r="D856" s="13" t="s">
        <v>6508</v>
      </c>
      <c r="E856" s="8"/>
      <c r="F856" s="7" t="s">
        <v>4348</v>
      </c>
      <c r="G856" s="7" t="s">
        <v>25</v>
      </c>
      <c r="H856" s="58"/>
      <c r="I856" s="23"/>
      <c r="J856" s="24"/>
      <c r="M856" s="4"/>
      <c r="N856" s="76"/>
      <c r="O856" s="76"/>
      <c r="P856" s="76" t="str">
        <f t="shared" si="108"/>
        <v>,shikkan848_start_date</v>
      </c>
      <c r="Q856" s="76" t="str">
        <f t="shared" si="109"/>
        <v>DATE</v>
      </c>
      <c r="R856" s="76" t="str">
        <f t="shared" si="110"/>
        <v/>
      </c>
      <c r="S856" s="76" t="str">
        <f t="shared" si="111"/>
        <v/>
      </c>
      <c r="T856" s="76" t="str">
        <f t="shared" si="112"/>
        <v>-- M328_疾患開始日</v>
      </c>
      <c r="U856" s="4" t="str">
        <f t="shared" si="113"/>
        <v>,'shikkan848_start_date'</v>
      </c>
      <c r="V856" s="25" t="str">
        <f t="shared" si="114"/>
        <v>,'shikkan848_start_date' : 'M328_疾患開始日'</v>
      </c>
      <c r="X856" s="25">
        <v>1</v>
      </c>
      <c r="AA856" s="4"/>
      <c r="AB856" s="4"/>
      <c r="AC856" s="4"/>
      <c r="AD856" s="4"/>
      <c r="AE856" s="4"/>
      <c r="AF856" s="4"/>
      <c r="AG856" s="4"/>
      <c r="AH856" s="4"/>
      <c r="AI856" s="4"/>
      <c r="AJ856" s="76" t="str">
        <f>IF(E856="○",IF(COUNTA(E$13:E856)=1,"",",")&amp;D856,"")</f>
        <v/>
      </c>
      <c r="AK856" s="4"/>
      <c r="AL856" s="4"/>
      <c r="AM856" s="4"/>
      <c r="AN856" s="4"/>
      <c r="AO856" s="4"/>
      <c r="AP856" s="4"/>
      <c r="AQ856" s="4"/>
      <c r="AR856" s="4"/>
      <c r="AS856" s="76" t="str">
        <f>"COMMENT ON COLUMN "&amp;エンティティ一覧!$O$2&amp;"."&amp;D$8&amp;"."&amp;D856&amp;" IS '"&amp;C856&amp;"';"</f>
        <v>COMMENT ON COLUMN milscm_2023_009.main_diagnosis_start_date.shikkan848_start_date IS 'M328_疾患開始日';</v>
      </c>
    </row>
    <row r="857" spans="1:45" s="25" customFormat="1">
      <c r="A857" s="4" t="s">
        <v>5911</v>
      </c>
      <c r="B857" s="21">
        <f t="shared" si="107"/>
        <v>855</v>
      </c>
      <c r="C857" s="13" t="str">
        <f t="shared" si="115"/>
        <v>M329_疾患開始日</v>
      </c>
      <c r="D857" s="13" t="s">
        <v>6509</v>
      </c>
      <c r="E857" s="8"/>
      <c r="F857" s="7" t="s">
        <v>4348</v>
      </c>
      <c r="G857" s="7" t="s">
        <v>25</v>
      </c>
      <c r="H857" s="58"/>
      <c r="I857" s="23"/>
      <c r="J857" s="24"/>
      <c r="M857" s="4"/>
      <c r="N857" s="76"/>
      <c r="O857" s="76"/>
      <c r="P857" s="76" t="str">
        <f t="shared" si="108"/>
        <v>,shikkan849_start_date</v>
      </c>
      <c r="Q857" s="76" t="str">
        <f t="shared" si="109"/>
        <v>DATE</v>
      </c>
      <c r="R857" s="76" t="str">
        <f t="shared" si="110"/>
        <v/>
      </c>
      <c r="S857" s="76" t="str">
        <f t="shared" si="111"/>
        <v/>
      </c>
      <c r="T857" s="76" t="str">
        <f t="shared" si="112"/>
        <v>-- M329_疾患開始日</v>
      </c>
      <c r="U857" s="4" t="str">
        <f t="shared" si="113"/>
        <v>,'shikkan849_start_date'</v>
      </c>
      <c r="V857" s="25" t="str">
        <f t="shared" si="114"/>
        <v>,'shikkan849_start_date' : 'M329_疾患開始日'</v>
      </c>
      <c r="X857" s="25">
        <v>1</v>
      </c>
      <c r="AA857" s="4"/>
      <c r="AB857" s="4"/>
      <c r="AC857" s="4"/>
      <c r="AD857" s="4"/>
      <c r="AE857" s="4"/>
      <c r="AF857" s="4"/>
      <c r="AG857" s="4"/>
      <c r="AH857" s="4"/>
      <c r="AI857" s="4"/>
      <c r="AJ857" s="76" t="str">
        <f>IF(E857="○",IF(COUNTA(E$13:E857)=1,"",",")&amp;D857,"")</f>
        <v/>
      </c>
      <c r="AK857" s="4"/>
      <c r="AL857" s="4"/>
      <c r="AM857" s="4"/>
      <c r="AN857" s="4"/>
      <c r="AO857" s="4"/>
      <c r="AP857" s="4"/>
      <c r="AQ857" s="4"/>
      <c r="AR857" s="4"/>
      <c r="AS857" s="76" t="str">
        <f>"COMMENT ON COLUMN "&amp;エンティティ一覧!$O$2&amp;"."&amp;D$8&amp;"."&amp;D857&amp;" IS '"&amp;C857&amp;"';"</f>
        <v>COMMENT ON COLUMN milscm_2023_009.main_diagnosis_start_date.shikkan849_start_date IS 'M329_疾患開始日';</v>
      </c>
    </row>
    <row r="858" spans="1:45" s="25" customFormat="1">
      <c r="A858" s="4" t="s">
        <v>5912</v>
      </c>
      <c r="B858" s="21">
        <f t="shared" si="107"/>
        <v>856</v>
      </c>
      <c r="C858" s="13" t="str">
        <f t="shared" si="115"/>
        <v>M330_疾患開始日</v>
      </c>
      <c r="D858" s="13" t="s">
        <v>6510</v>
      </c>
      <c r="E858" s="8"/>
      <c r="F858" s="7" t="s">
        <v>4348</v>
      </c>
      <c r="G858" s="7" t="s">
        <v>25</v>
      </c>
      <c r="H858" s="58"/>
      <c r="I858" s="23"/>
      <c r="J858" s="24"/>
      <c r="M858" s="4"/>
      <c r="N858" s="76"/>
      <c r="O858" s="76"/>
      <c r="P858" s="76" t="str">
        <f t="shared" si="108"/>
        <v>,shikkan850_start_date</v>
      </c>
      <c r="Q858" s="76" t="str">
        <f t="shared" si="109"/>
        <v>DATE</v>
      </c>
      <c r="R858" s="76" t="str">
        <f t="shared" si="110"/>
        <v/>
      </c>
      <c r="S858" s="76" t="str">
        <f t="shared" si="111"/>
        <v/>
      </c>
      <c r="T858" s="76" t="str">
        <f t="shared" si="112"/>
        <v>-- M330_疾患開始日</v>
      </c>
      <c r="U858" s="4" t="str">
        <f t="shared" si="113"/>
        <v>,'shikkan850_start_date'</v>
      </c>
      <c r="V858" s="25" t="str">
        <f t="shared" si="114"/>
        <v>,'shikkan850_start_date' : 'M330_疾患開始日'</v>
      </c>
      <c r="X858" s="25">
        <v>1</v>
      </c>
      <c r="AA858" s="4"/>
      <c r="AB858" s="4"/>
      <c r="AC858" s="4"/>
      <c r="AD858" s="4"/>
      <c r="AE858" s="4"/>
      <c r="AF858" s="4"/>
      <c r="AG858" s="4"/>
      <c r="AH858" s="4"/>
      <c r="AI858" s="4"/>
      <c r="AJ858" s="76" t="str">
        <f>IF(E858="○",IF(COUNTA(E$13:E858)=1,"",",")&amp;D858,"")</f>
        <v/>
      </c>
      <c r="AK858" s="4"/>
      <c r="AL858" s="4"/>
      <c r="AM858" s="4"/>
      <c r="AN858" s="4"/>
      <c r="AO858" s="4"/>
      <c r="AP858" s="4"/>
      <c r="AQ858" s="4"/>
      <c r="AR858" s="4"/>
      <c r="AS858" s="76" t="str">
        <f>"COMMENT ON COLUMN "&amp;エンティティ一覧!$O$2&amp;"."&amp;D$8&amp;"."&amp;D858&amp;" IS '"&amp;C858&amp;"';"</f>
        <v>COMMENT ON COLUMN milscm_2023_009.main_diagnosis_start_date.shikkan850_start_date IS 'M330_疾患開始日';</v>
      </c>
    </row>
    <row r="859" spans="1:45" s="25" customFormat="1">
      <c r="A859" s="4" t="s">
        <v>5913</v>
      </c>
      <c r="B859" s="21">
        <f t="shared" si="107"/>
        <v>857</v>
      </c>
      <c r="C859" s="13" t="str">
        <f t="shared" si="115"/>
        <v>M331_疾患開始日</v>
      </c>
      <c r="D859" s="13" t="s">
        <v>6511</v>
      </c>
      <c r="E859" s="8"/>
      <c r="F859" s="7" t="s">
        <v>4348</v>
      </c>
      <c r="G859" s="7" t="s">
        <v>25</v>
      </c>
      <c r="H859" s="58"/>
      <c r="I859" s="23"/>
      <c r="J859" s="24"/>
      <c r="M859" s="4"/>
      <c r="N859" s="76"/>
      <c r="O859" s="76"/>
      <c r="P859" s="76" t="str">
        <f t="shared" si="108"/>
        <v>,shikkan851_start_date</v>
      </c>
      <c r="Q859" s="76" t="str">
        <f t="shared" si="109"/>
        <v>DATE</v>
      </c>
      <c r="R859" s="76" t="str">
        <f t="shared" si="110"/>
        <v/>
      </c>
      <c r="S859" s="76" t="str">
        <f t="shared" si="111"/>
        <v/>
      </c>
      <c r="T859" s="76" t="str">
        <f t="shared" si="112"/>
        <v>-- M331_疾患開始日</v>
      </c>
      <c r="U859" s="4" t="str">
        <f t="shared" si="113"/>
        <v>,'shikkan851_start_date'</v>
      </c>
      <c r="V859" s="25" t="str">
        <f t="shared" si="114"/>
        <v>,'shikkan851_start_date' : 'M331_疾患開始日'</v>
      </c>
      <c r="X859" s="25">
        <v>1</v>
      </c>
      <c r="AA859" s="4"/>
      <c r="AB859" s="4"/>
      <c r="AC859" s="4"/>
      <c r="AD859" s="4"/>
      <c r="AE859" s="4"/>
      <c r="AF859" s="4"/>
      <c r="AG859" s="4"/>
      <c r="AH859" s="4"/>
      <c r="AI859" s="4"/>
      <c r="AJ859" s="76" t="str">
        <f>IF(E859="○",IF(COUNTA(E$13:E859)=1,"",",")&amp;D859,"")</f>
        <v/>
      </c>
      <c r="AK859" s="4"/>
      <c r="AL859" s="4"/>
      <c r="AM859" s="4"/>
      <c r="AN859" s="4"/>
      <c r="AO859" s="4"/>
      <c r="AP859" s="4"/>
      <c r="AQ859" s="4"/>
      <c r="AR859" s="4"/>
      <c r="AS859" s="76" t="str">
        <f>"COMMENT ON COLUMN "&amp;エンティティ一覧!$O$2&amp;"."&amp;D$8&amp;"."&amp;D859&amp;" IS '"&amp;C859&amp;"';"</f>
        <v>COMMENT ON COLUMN milscm_2023_009.main_diagnosis_start_date.shikkan851_start_date IS 'M331_疾患開始日';</v>
      </c>
    </row>
    <row r="860" spans="1:45" s="25" customFormat="1">
      <c r="A860" s="4" t="s">
        <v>5914</v>
      </c>
      <c r="B860" s="21">
        <f t="shared" si="107"/>
        <v>858</v>
      </c>
      <c r="C860" s="13" t="str">
        <f t="shared" si="115"/>
        <v>M332_疾患開始日</v>
      </c>
      <c r="D860" s="13" t="s">
        <v>6512</v>
      </c>
      <c r="E860" s="8"/>
      <c r="F860" s="7" t="s">
        <v>4348</v>
      </c>
      <c r="G860" s="7" t="s">
        <v>25</v>
      </c>
      <c r="H860" s="58"/>
      <c r="I860" s="23"/>
      <c r="J860" s="24"/>
      <c r="M860" s="4"/>
      <c r="N860" s="76"/>
      <c r="O860" s="76"/>
      <c r="P860" s="76" t="str">
        <f t="shared" si="108"/>
        <v>,shikkan852_start_date</v>
      </c>
      <c r="Q860" s="76" t="str">
        <f t="shared" si="109"/>
        <v>DATE</v>
      </c>
      <c r="R860" s="76" t="str">
        <f t="shared" si="110"/>
        <v/>
      </c>
      <c r="S860" s="76" t="str">
        <f t="shared" si="111"/>
        <v/>
      </c>
      <c r="T860" s="76" t="str">
        <f t="shared" si="112"/>
        <v>-- M332_疾患開始日</v>
      </c>
      <c r="U860" s="4" t="str">
        <f t="shared" si="113"/>
        <v>,'shikkan852_start_date'</v>
      </c>
      <c r="V860" s="25" t="str">
        <f t="shared" si="114"/>
        <v>,'shikkan852_start_date' : 'M332_疾患開始日'</v>
      </c>
      <c r="X860" s="25">
        <v>1</v>
      </c>
      <c r="AA860" s="4"/>
      <c r="AB860" s="4"/>
      <c r="AC860" s="4"/>
      <c r="AD860" s="4"/>
      <c r="AE860" s="4"/>
      <c r="AF860" s="4"/>
      <c r="AG860" s="4"/>
      <c r="AH860" s="4"/>
      <c r="AI860" s="4"/>
      <c r="AJ860" s="76" t="str">
        <f>IF(E860="○",IF(COUNTA(E$13:E860)=1,"",",")&amp;D860,"")</f>
        <v/>
      </c>
      <c r="AK860" s="4"/>
      <c r="AL860" s="4"/>
      <c r="AM860" s="4"/>
      <c r="AN860" s="4"/>
      <c r="AO860" s="4"/>
      <c r="AP860" s="4"/>
      <c r="AQ860" s="4"/>
      <c r="AR860" s="4"/>
      <c r="AS860" s="76" t="str">
        <f>"COMMENT ON COLUMN "&amp;エンティティ一覧!$O$2&amp;"."&amp;D$8&amp;"."&amp;D860&amp;" IS '"&amp;C860&amp;"';"</f>
        <v>COMMENT ON COLUMN milscm_2023_009.main_diagnosis_start_date.shikkan852_start_date IS 'M332_疾患開始日';</v>
      </c>
    </row>
    <row r="861" spans="1:45" s="25" customFormat="1">
      <c r="A861" s="4" t="s">
        <v>5915</v>
      </c>
      <c r="B861" s="21">
        <f t="shared" si="107"/>
        <v>859</v>
      </c>
      <c r="C861" s="13" t="str">
        <f t="shared" si="115"/>
        <v>M339_疾患開始日</v>
      </c>
      <c r="D861" s="13" t="s">
        <v>6513</v>
      </c>
      <c r="E861" s="8"/>
      <c r="F861" s="7" t="s">
        <v>4348</v>
      </c>
      <c r="G861" s="7" t="s">
        <v>25</v>
      </c>
      <c r="H861" s="58"/>
      <c r="I861" s="23"/>
      <c r="J861" s="24"/>
      <c r="M861" s="4"/>
      <c r="N861" s="76"/>
      <c r="O861" s="76"/>
      <c r="P861" s="76" t="str">
        <f t="shared" si="108"/>
        <v>,shikkan853_start_date</v>
      </c>
      <c r="Q861" s="76" t="str">
        <f t="shared" si="109"/>
        <v>DATE</v>
      </c>
      <c r="R861" s="76" t="str">
        <f t="shared" si="110"/>
        <v/>
      </c>
      <c r="S861" s="76" t="str">
        <f t="shared" si="111"/>
        <v/>
      </c>
      <c r="T861" s="76" t="str">
        <f t="shared" si="112"/>
        <v>-- M339_疾患開始日</v>
      </c>
      <c r="U861" s="4" t="str">
        <f t="shared" si="113"/>
        <v>,'shikkan853_start_date'</v>
      </c>
      <c r="V861" s="25" t="str">
        <f t="shared" si="114"/>
        <v>,'shikkan853_start_date' : 'M339_疾患開始日'</v>
      </c>
      <c r="X861" s="25">
        <v>1</v>
      </c>
      <c r="AA861" s="4"/>
      <c r="AB861" s="4"/>
      <c r="AC861" s="4"/>
      <c r="AD861" s="4"/>
      <c r="AE861" s="4"/>
      <c r="AF861" s="4"/>
      <c r="AG861" s="4"/>
      <c r="AH861" s="4"/>
      <c r="AI861" s="4"/>
      <c r="AJ861" s="76" t="str">
        <f>IF(E861="○",IF(COUNTA(E$13:E861)=1,"",",")&amp;D861,"")</f>
        <v/>
      </c>
      <c r="AK861" s="4"/>
      <c r="AL861" s="4"/>
      <c r="AM861" s="4"/>
      <c r="AN861" s="4"/>
      <c r="AO861" s="4"/>
      <c r="AP861" s="4"/>
      <c r="AQ861" s="4"/>
      <c r="AR861" s="4"/>
      <c r="AS861" s="76" t="str">
        <f>"COMMENT ON COLUMN "&amp;エンティティ一覧!$O$2&amp;"."&amp;D$8&amp;"."&amp;D861&amp;" IS '"&amp;C861&amp;"';"</f>
        <v>COMMENT ON COLUMN milscm_2023_009.main_diagnosis_start_date.shikkan853_start_date IS 'M339_疾患開始日';</v>
      </c>
    </row>
    <row r="862" spans="1:45" s="25" customFormat="1">
      <c r="A862" s="4" t="s">
        <v>5916</v>
      </c>
      <c r="B862" s="21">
        <f t="shared" si="107"/>
        <v>860</v>
      </c>
      <c r="C862" s="13" t="str">
        <f t="shared" si="115"/>
        <v>M340_疾患開始日</v>
      </c>
      <c r="D862" s="13" t="s">
        <v>6514</v>
      </c>
      <c r="E862" s="8"/>
      <c r="F862" s="7" t="s">
        <v>4348</v>
      </c>
      <c r="G862" s="7" t="s">
        <v>25</v>
      </c>
      <c r="H862" s="58"/>
      <c r="I862" s="23"/>
      <c r="J862" s="24"/>
      <c r="M862" s="4"/>
      <c r="N862" s="76"/>
      <c r="O862" s="76"/>
      <c r="P862" s="76" t="str">
        <f t="shared" si="108"/>
        <v>,shikkan854_start_date</v>
      </c>
      <c r="Q862" s="76" t="str">
        <f t="shared" si="109"/>
        <v>DATE</v>
      </c>
      <c r="R862" s="76" t="str">
        <f t="shared" si="110"/>
        <v/>
      </c>
      <c r="S862" s="76" t="str">
        <f t="shared" si="111"/>
        <v/>
      </c>
      <c r="T862" s="76" t="str">
        <f t="shared" si="112"/>
        <v>-- M340_疾患開始日</v>
      </c>
      <c r="U862" s="4" t="str">
        <f t="shared" si="113"/>
        <v>,'shikkan854_start_date'</v>
      </c>
      <c r="V862" s="25" t="str">
        <f t="shared" si="114"/>
        <v>,'shikkan854_start_date' : 'M340_疾患開始日'</v>
      </c>
      <c r="X862" s="25">
        <v>1</v>
      </c>
      <c r="AA862" s="4"/>
      <c r="AB862" s="4"/>
      <c r="AC862" s="4"/>
      <c r="AD862" s="4"/>
      <c r="AE862" s="4"/>
      <c r="AF862" s="4"/>
      <c r="AG862" s="4"/>
      <c r="AH862" s="4"/>
      <c r="AI862" s="4"/>
      <c r="AJ862" s="76" t="str">
        <f>IF(E862="○",IF(COUNTA(E$13:E862)=1,"",",")&amp;D862,"")</f>
        <v/>
      </c>
      <c r="AK862" s="4"/>
      <c r="AL862" s="4"/>
      <c r="AM862" s="4"/>
      <c r="AN862" s="4"/>
      <c r="AO862" s="4"/>
      <c r="AP862" s="4"/>
      <c r="AQ862" s="4"/>
      <c r="AR862" s="4"/>
      <c r="AS862" s="76" t="str">
        <f>"COMMENT ON COLUMN "&amp;エンティティ一覧!$O$2&amp;"."&amp;D$8&amp;"."&amp;D862&amp;" IS '"&amp;C862&amp;"';"</f>
        <v>COMMENT ON COLUMN milscm_2023_009.main_diagnosis_start_date.shikkan854_start_date IS 'M340_疾患開始日';</v>
      </c>
    </row>
    <row r="863" spans="1:45" s="25" customFormat="1">
      <c r="A863" s="4" t="s">
        <v>5917</v>
      </c>
      <c r="B863" s="21">
        <f t="shared" si="107"/>
        <v>861</v>
      </c>
      <c r="C863" s="13" t="str">
        <f t="shared" si="115"/>
        <v>M341_疾患開始日</v>
      </c>
      <c r="D863" s="13" t="s">
        <v>6515</v>
      </c>
      <c r="E863" s="8"/>
      <c r="F863" s="7" t="s">
        <v>4348</v>
      </c>
      <c r="G863" s="7" t="s">
        <v>25</v>
      </c>
      <c r="H863" s="58"/>
      <c r="I863" s="23"/>
      <c r="J863" s="24"/>
      <c r="M863" s="4"/>
      <c r="N863" s="76"/>
      <c r="O863" s="76"/>
      <c r="P863" s="76" t="str">
        <f t="shared" si="108"/>
        <v>,shikkan855_start_date</v>
      </c>
      <c r="Q863" s="76" t="str">
        <f t="shared" si="109"/>
        <v>DATE</v>
      </c>
      <c r="R863" s="76" t="str">
        <f t="shared" si="110"/>
        <v/>
      </c>
      <c r="S863" s="76" t="str">
        <f t="shared" si="111"/>
        <v/>
      </c>
      <c r="T863" s="76" t="str">
        <f t="shared" si="112"/>
        <v>-- M341_疾患開始日</v>
      </c>
      <c r="U863" s="4" t="str">
        <f t="shared" si="113"/>
        <v>,'shikkan855_start_date'</v>
      </c>
      <c r="V863" s="25" t="str">
        <f t="shared" si="114"/>
        <v>,'shikkan855_start_date' : 'M341_疾患開始日'</v>
      </c>
      <c r="X863" s="25">
        <v>1</v>
      </c>
      <c r="AA863" s="4"/>
      <c r="AB863" s="4"/>
      <c r="AC863" s="4"/>
      <c r="AD863" s="4"/>
      <c r="AE863" s="4"/>
      <c r="AF863" s="4"/>
      <c r="AG863" s="4"/>
      <c r="AH863" s="4"/>
      <c r="AI863" s="4"/>
      <c r="AJ863" s="76" t="str">
        <f>IF(E863="○",IF(COUNTA(E$13:E863)=1,"",",")&amp;D863,"")</f>
        <v/>
      </c>
      <c r="AK863" s="4"/>
      <c r="AL863" s="4"/>
      <c r="AM863" s="4"/>
      <c r="AN863" s="4"/>
      <c r="AO863" s="4"/>
      <c r="AP863" s="4"/>
      <c r="AQ863" s="4"/>
      <c r="AR863" s="4"/>
      <c r="AS863" s="76" t="str">
        <f>"COMMENT ON COLUMN "&amp;エンティティ一覧!$O$2&amp;"."&amp;D$8&amp;"."&amp;D863&amp;" IS '"&amp;C863&amp;"';"</f>
        <v>COMMENT ON COLUMN milscm_2023_009.main_diagnosis_start_date.shikkan855_start_date IS 'M341_疾患開始日';</v>
      </c>
    </row>
    <row r="864" spans="1:45" s="25" customFormat="1">
      <c r="A864" s="4" t="s">
        <v>5918</v>
      </c>
      <c r="B864" s="21">
        <f t="shared" si="107"/>
        <v>862</v>
      </c>
      <c r="C864" s="13" t="str">
        <f t="shared" si="115"/>
        <v>M342_疾患開始日</v>
      </c>
      <c r="D864" s="13" t="s">
        <v>6516</v>
      </c>
      <c r="E864" s="8"/>
      <c r="F864" s="7" t="s">
        <v>4348</v>
      </c>
      <c r="G864" s="7" t="s">
        <v>25</v>
      </c>
      <c r="H864" s="58"/>
      <c r="I864" s="23"/>
      <c r="J864" s="24"/>
      <c r="M864" s="4"/>
      <c r="N864" s="76"/>
      <c r="O864" s="76"/>
      <c r="P864" s="76" t="str">
        <f t="shared" si="108"/>
        <v>,shikkan856_start_date</v>
      </c>
      <c r="Q864" s="76" t="str">
        <f t="shared" si="109"/>
        <v>DATE</v>
      </c>
      <c r="R864" s="76" t="str">
        <f t="shared" si="110"/>
        <v/>
      </c>
      <c r="S864" s="76" t="str">
        <f t="shared" si="111"/>
        <v/>
      </c>
      <c r="T864" s="76" t="str">
        <f t="shared" si="112"/>
        <v>-- M342_疾患開始日</v>
      </c>
      <c r="U864" s="4" t="str">
        <f t="shared" si="113"/>
        <v>,'shikkan856_start_date'</v>
      </c>
      <c r="V864" s="25" t="str">
        <f t="shared" si="114"/>
        <v>,'shikkan856_start_date' : 'M342_疾患開始日'</v>
      </c>
      <c r="X864" s="25">
        <v>1</v>
      </c>
      <c r="AA864" s="4"/>
      <c r="AB864" s="4"/>
      <c r="AC864" s="4"/>
      <c r="AD864" s="4"/>
      <c r="AE864" s="4"/>
      <c r="AF864" s="4"/>
      <c r="AG864" s="4"/>
      <c r="AH864" s="4"/>
      <c r="AI864" s="4"/>
      <c r="AJ864" s="76" t="str">
        <f>IF(E864="○",IF(COUNTA(E$13:E864)=1,"",",")&amp;D864,"")</f>
        <v/>
      </c>
      <c r="AK864" s="4"/>
      <c r="AL864" s="4"/>
      <c r="AM864" s="4"/>
      <c r="AN864" s="4"/>
      <c r="AO864" s="4"/>
      <c r="AP864" s="4"/>
      <c r="AQ864" s="4"/>
      <c r="AR864" s="4"/>
      <c r="AS864" s="76" t="str">
        <f>"COMMENT ON COLUMN "&amp;エンティティ一覧!$O$2&amp;"."&amp;D$8&amp;"."&amp;D864&amp;" IS '"&amp;C864&amp;"';"</f>
        <v>COMMENT ON COLUMN milscm_2023_009.main_diagnosis_start_date.shikkan856_start_date IS 'M342_疾患開始日';</v>
      </c>
    </row>
    <row r="865" spans="1:45" s="25" customFormat="1">
      <c r="A865" s="4" t="s">
        <v>5919</v>
      </c>
      <c r="B865" s="21">
        <f t="shared" si="107"/>
        <v>863</v>
      </c>
      <c r="C865" s="13" t="str">
        <f t="shared" si="115"/>
        <v>M348_疾患開始日</v>
      </c>
      <c r="D865" s="13" t="s">
        <v>6517</v>
      </c>
      <c r="E865" s="8"/>
      <c r="F865" s="7" t="s">
        <v>4348</v>
      </c>
      <c r="G865" s="7" t="s">
        <v>25</v>
      </c>
      <c r="H865" s="58"/>
      <c r="I865" s="23"/>
      <c r="J865" s="24"/>
      <c r="M865" s="4"/>
      <c r="N865" s="76"/>
      <c r="O865" s="76"/>
      <c r="P865" s="76" t="str">
        <f t="shared" si="108"/>
        <v>,shikkan857_start_date</v>
      </c>
      <c r="Q865" s="76" t="str">
        <f t="shared" si="109"/>
        <v>DATE</v>
      </c>
      <c r="R865" s="76" t="str">
        <f t="shared" si="110"/>
        <v/>
      </c>
      <c r="S865" s="76" t="str">
        <f t="shared" si="111"/>
        <v/>
      </c>
      <c r="T865" s="76" t="str">
        <f t="shared" si="112"/>
        <v>-- M348_疾患開始日</v>
      </c>
      <c r="U865" s="4" t="str">
        <f t="shared" si="113"/>
        <v>,'shikkan857_start_date'</v>
      </c>
      <c r="V865" s="25" t="str">
        <f t="shared" si="114"/>
        <v>,'shikkan857_start_date' : 'M348_疾患開始日'</v>
      </c>
      <c r="X865" s="25">
        <v>1</v>
      </c>
      <c r="AA865" s="4"/>
      <c r="AB865" s="4"/>
      <c r="AC865" s="4"/>
      <c r="AD865" s="4"/>
      <c r="AE865" s="4"/>
      <c r="AF865" s="4"/>
      <c r="AG865" s="4"/>
      <c r="AH865" s="4"/>
      <c r="AI865" s="4"/>
      <c r="AJ865" s="76" t="str">
        <f>IF(E865="○",IF(COUNTA(E$13:E865)=1,"",",")&amp;D865,"")</f>
        <v/>
      </c>
      <c r="AK865" s="4"/>
      <c r="AL865" s="4"/>
      <c r="AM865" s="4"/>
      <c r="AN865" s="4"/>
      <c r="AO865" s="4"/>
      <c r="AP865" s="4"/>
      <c r="AQ865" s="4"/>
      <c r="AR865" s="4"/>
      <c r="AS865" s="76" t="str">
        <f>"COMMENT ON COLUMN "&amp;エンティティ一覧!$O$2&amp;"."&amp;D$8&amp;"."&amp;D865&amp;" IS '"&amp;C865&amp;"';"</f>
        <v>COMMENT ON COLUMN milscm_2023_009.main_diagnosis_start_date.shikkan857_start_date IS 'M348_疾患開始日';</v>
      </c>
    </row>
    <row r="866" spans="1:45" s="25" customFormat="1">
      <c r="A866" s="4" t="s">
        <v>5920</v>
      </c>
      <c r="B866" s="21">
        <f t="shared" si="107"/>
        <v>864</v>
      </c>
      <c r="C866" s="13" t="str">
        <f t="shared" si="115"/>
        <v>M349_疾患開始日</v>
      </c>
      <c r="D866" s="13" t="s">
        <v>6518</v>
      </c>
      <c r="E866" s="8"/>
      <c r="F866" s="7" t="s">
        <v>4348</v>
      </c>
      <c r="G866" s="7" t="s">
        <v>25</v>
      </c>
      <c r="H866" s="58"/>
      <c r="I866" s="23"/>
      <c r="J866" s="24"/>
      <c r="M866" s="4"/>
      <c r="N866" s="76"/>
      <c r="O866" s="76"/>
      <c r="P866" s="76" t="str">
        <f t="shared" si="108"/>
        <v>,shikkan858_start_date</v>
      </c>
      <c r="Q866" s="76" t="str">
        <f t="shared" si="109"/>
        <v>DATE</v>
      </c>
      <c r="R866" s="76" t="str">
        <f t="shared" si="110"/>
        <v/>
      </c>
      <c r="S866" s="76" t="str">
        <f t="shared" si="111"/>
        <v/>
      </c>
      <c r="T866" s="76" t="str">
        <f t="shared" si="112"/>
        <v>-- M349_疾患開始日</v>
      </c>
      <c r="U866" s="4" t="str">
        <f t="shared" si="113"/>
        <v>,'shikkan858_start_date'</v>
      </c>
      <c r="V866" s="25" t="str">
        <f t="shared" si="114"/>
        <v>,'shikkan858_start_date' : 'M349_疾患開始日'</v>
      </c>
      <c r="X866" s="25">
        <v>1</v>
      </c>
      <c r="AA866" s="4"/>
      <c r="AB866" s="4"/>
      <c r="AC866" s="4"/>
      <c r="AD866" s="4"/>
      <c r="AE866" s="4"/>
      <c r="AF866" s="4"/>
      <c r="AG866" s="4"/>
      <c r="AH866" s="4"/>
      <c r="AI866" s="4"/>
      <c r="AJ866" s="76" t="str">
        <f>IF(E866="○",IF(COUNTA(E$13:E866)=1,"",",")&amp;D866,"")</f>
        <v/>
      </c>
      <c r="AK866" s="4"/>
      <c r="AL866" s="4"/>
      <c r="AM866" s="4"/>
      <c r="AN866" s="4"/>
      <c r="AO866" s="4"/>
      <c r="AP866" s="4"/>
      <c r="AQ866" s="4"/>
      <c r="AR866" s="4"/>
      <c r="AS866" s="76" t="str">
        <f>"COMMENT ON COLUMN "&amp;エンティティ一覧!$O$2&amp;"."&amp;D$8&amp;"."&amp;D866&amp;" IS '"&amp;C866&amp;"';"</f>
        <v>COMMENT ON COLUMN milscm_2023_009.main_diagnosis_start_date.shikkan858_start_date IS 'M349_疾患開始日';</v>
      </c>
    </row>
    <row r="867" spans="1:45" s="25" customFormat="1">
      <c r="A867" s="4" t="s">
        <v>5921</v>
      </c>
      <c r="B867" s="21">
        <f t="shared" si="107"/>
        <v>865</v>
      </c>
      <c r="C867" s="13" t="str">
        <f t="shared" si="115"/>
        <v>M351_疾患開始日</v>
      </c>
      <c r="D867" s="13" t="s">
        <v>6519</v>
      </c>
      <c r="E867" s="8"/>
      <c r="F867" s="7" t="s">
        <v>4348</v>
      </c>
      <c r="G867" s="7" t="s">
        <v>25</v>
      </c>
      <c r="H867" s="58"/>
      <c r="I867" s="23"/>
      <c r="J867" s="24"/>
      <c r="M867" s="4"/>
      <c r="N867" s="76"/>
      <c r="O867" s="76"/>
      <c r="P867" s="76" t="str">
        <f t="shared" si="108"/>
        <v>,shikkan859_start_date</v>
      </c>
      <c r="Q867" s="76" t="str">
        <f t="shared" si="109"/>
        <v>DATE</v>
      </c>
      <c r="R867" s="76" t="str">
        <f t="shared" si="110"/>
        <v/>
      </c>
      <c r="S867" s="76" t="str">
        <f t="shared" si="111"/>
        <v/>
      </c>
      <c r="T867" s="76" t="str">
        <f t="shared" si="112"/>
        <v>-- M351_疾患開始日</v>
      </c>
      <c r="U867" s="4" t="str">
        <f t="shared" si="113"/>
        <v>,'shikkan859_start_date'</v>
      </c>
      <c r="V867" s="25" t="str">
        <f t="shared" si="114"/>
        <v>,'shikkan859_start_date' : 'M351_疾患開始日'</v>
      </c>
      <c r="X867" s="25">
        <v>1</v>
      </c>
      <c r="AA867" s="4"/>
      <c r="AB867" s="4"/>
      <c r="AC867" s="4"/>
      <c r="AD867" s="4"/>
      <c r="AE867" s="4"/>
      <c r="AF867" s="4"/>
      <c r="AG867" s="4"/>
      <c r="AH867" s="4"/>
      <c r="AI867" s="4"/>
      <c r="AJ867" s="76" t="str">
        <f>IF(E867="○",IF(COUNTA(E$13:E867)=1,"",",")&amp;D867,"")</f>
        <v/>
      </c>
      <c r="AK867" s="4"/>
      <c r="AL867" s="4"/>
      <c r="AM867" s="4"/>
      <c r="AN867" s="4"/>
      <c r="AO867" s="4"/>
      <c r="AP867" s="4"/>
      <c r="AQ867" s="4"/>
      <c r="AR867" s="4"/>
      <c r="AS867" s="76" t="str">
        <f>"COMMENT ON COLUMN "&amp;エンティティ一覧!$O$2&amp;"."&amp;D$8&amp;"."&amp;D867&amp;" IS '"&amp;C867&amp;"';"</f>
        <v>COMMENT ON COLUMN milscm_2023_009.main_diagnosis_start_date.shikkan859_start_date IS 'M351_疾患開始日';</v>
      </c>
    </row>
    <row r="868" spans="1:45" s="25" customFormat="1">
      <c r="A868" s="4" t="s">
        <v>5922</v>
      </c>
      <c r="B868" s="21">
        <f t="shared" si="107"/>
        <v>866</v>
      </c>
      <c r="C868" s="13" t="str">
        <f t="shared" si="115"/>
        <v>M353_疾患開始日</v>
      </c>
      <c r="D868" s="13" t="s">
        <v>6520</v>
      </c>
      <c r="E868" s="8"/>
      <c r="F868" s="7" t="s">
        <v>4348</v>
      </c>
      <c r="G868" s="7" t="s">
        <v>25</v>
      </c>
      <c r="H868" s="58"/>
      <c r="I868" s="23"/>
      <c r="J868" s="24"/>
      <c r="M868" s="4"/>
      <c r="N868" s="76"/>
      <c r="O868" s="76"/>
      <c r="P868" s="76" t="str">
        <f t="shared" si="108"/>
        <v>,shikkan860_start_date</v>
      </c>
      <c r="Q868" s="76" t="str">
        <f t="shared" si="109"/>
        <v>DATE</v>
      </c>
      <c r="R868" s="76" t="str">
        <f t="shared" si="110"/>
        <v/>
      </c>
      <c r="S868" s="76" t="str">
        <f t="shared" si="111"/>
        <v/>
      </c>
      <c r="T868" s="76" t="str">
        <f t="shared" si="112"/>
        <v>-- M353_疾患開始日</v>
      </c>
      <c r="U868" s="4" t="str">
        <f t="shared" si="113"/>
        <v>,'shikkan860_start_date'</v>
      </c>
      <c r="V868" s="25" t="str">
        <f t="shared" si="114"/>
        <v>,'shikkan860_start_date' : 'M353_疾患開始日'</v>
      </c>
      <c r="X868" s="25">
        <v>1</v>
      </c>
      <c r="AA868" s="4"/>
      <c r="AB868" s="4"/>
      <c r="AC868" s="4"/>
      <c r="AD868" s="4"/>
      <c r="AE868" s="4"/>
      <c r="AF868" s="4"/>
      <c r="AG868" s="4"/>
      <c r="AH868" s="4"/>
      <c r="AI868" s="4"/>
      <c r="AJ868" s="76" t="str">
        <f>IF(E868="○",IF(COUNTA(E$13:E868)=1,"",",")&amp;D868,"")</f>
        <v/>
      </c>
      <c r="AK868" s="4"/>
      <c r="AL868" s="4"/>
      <c r="AM868" s="4"/>
      <c r="AN868" s="4"/>
      <c r="AO868" s="4"/>
      <c r="AP868" s="4"/>
      <c r="AQ868" s="4"/>
      <c r="AR868" s="4"/>
      <c r="AS868" s="76" t="str">
        <f>"COMMENT ON COLUMN "&amp;エンティティ一覧!$O$2&amp;"."&amp;D$8&amp;"."&amp;D868&amp;" IS '"&amp;C868&amp;"';"</f>
        <v>COMMENT ON COLUMN milscm_2023_009.main_diagnosis_start_date.shikkan860_start_date IS 'M353_疾患開始日';</v>
      </c>
    </row>
    <row r="869" spans="1:45" s="25" customFormat="1">
      <c r="A869" s="4" t="s">
        <v>5923</v>
      </c>
      <c r="B869" s="21">
        <f t="shared" si="107"/>
        <v>867</v>
      </c>
      <c r="C869" s="13" t="str">
        <f t="shared" si="115"/>
        <v>M360_疾患開始日</v>
      </c>
      <c r="D869" s="13" t="s">
        <v>6521</v>
      </c>
      <c r="E869" s="8"/>
      <c r="F869" s="7" t="s">
        <v>4348</v>
      </c>
      <c r="G869" s="7" t="s">
        <v>25</v>
      </c>
      <c r="H869" s="58"/>
      <c r="I869" s="23"/>
      <c r="J869" s="24"/>
      <c r="M869" s="4"/>
      <c r="N869" s="76"/>
      <c r="O869" s="76"/>
      <c r="P869" s="76" t="str">
        <f t="shared" si="108"/>
        <v>,shikkan861_start_date</v>
      </c>
      <c r="Q869" s="76" t="str">
        <f t="shared" si="109"/>
        <v>DATE</v>
      </c>
      <c r="R869" s="76" t="str">
        <f t="shared" si="110"/>
        <v/>
      </c>
      <c r="S869" s="76" t="str">
        <f t="shared" si="111"/>
        <v/>
      </c>
      <c r="T869" s="76" t="str">
        <f t="shared" si="112"/>
        <v>-- M360_疾患開始日</v>
      </c>
      <c r="U869" s="4" t="str">
        <f t="shared" si="113"/>
        <v>,'shikkan861_start_date'</v>
      </c>
      <c r="V869" s="25" t="str">
        <f t="shared" si="114"/>
        <v>,'shikkan861_start_date' : 'M360_疾患開始日'</v>
      </c>
      <c r="X869" s="25">
        <v>1</v>
      </c>
      <c r="AA869" s="4"/>
      <c r="AB869" s="4"/>
      <c r="AC869" s="4"/>
      <c r="AD869" s="4"/>
      <c r="AE869" s="4"/>
      <c r="AF869" s="4"/>
      <c r="AG869" s="4"/>
      <c r="AH869" s="4"/>
      <c r="AI869" s="4"/>
      <c r="AJ869" s="76" t="str">
        <f>IF(E869="○",IF(COUNTA(E$13:E869)=1,"",",")&amp;D869,"")</f>
        <v/>
      </c>
      <c r="AK869" s="4"/>
      <c r="AL869" s="4"/>
      <c r="AM869" s="4"/>
      <c r="AN869" s="4"/>
      <c r="AO869" s="4"/>
      <c r="AP869" s="4"/>
      <c r="AQ869" s="4"/>
      <c r="AR869" s="4"/>
      <c r="AS869" s="76" t="str">
        <f>"COMMENT ON COLUMN "&amp;エンティティ一覧!$O$2&amp;"."&amp;D$8&amp;"."&amp;D869&amp;" IS '"&amp;C869&amp;"';"</f>
        <v>COMMENT ON COLUMN milscm_2023_009.main_diagnosis_start_date.shikkan861_start_date IS 'M360_疾患開始日';</v>
      </c>
    </row>
    <row r="870" spans="1:45" s="25" customFormat="1">
      <c r="A870" s="4" t="s">
        <v>5924</v>
      </c>
      <c r="B870" s="21">
        <f t="shared" si="107"/>
        <v>868</v>
      </c>
      <c r="C870" s="13" t="str">
        <f t="shared" si="115"/>
        <v>N032_疾患開始日</v>
      </c>
      <c r="D870" s="13" t="s">
        <v>6522</v>
      </c>
      <c r="E870" s="8"/>
      <c r="F870" s="7" t="s">
        <v>4348</v>
      </c>
      <c r="G870" s="7" t="s">
        <v>25</v>
      </c>
      <c r="H870" s="58"/>
      <c r="I870" s="23"/>
      <c r="J870" s="24"/>
      <c r="M870" s="4"/>
      <c r="N870" s="76"/>
      <c r="O870" s="76"/>
      <c r="P870" s="76" t="str">
        <f t="shared" si="108"/>
        <v>,shikkan862_start_date</v>
      </c>
      <c r="Q870" s="76" t="str">
        <f t="shared" si="109"/>
        <v>DATE</v>
      </c>
      <c r="R870" s="76" t="str">
        <f t="shared" si="110"/>
        <v/>
      </c>
      <c r="S870" s="76" t="str">
        <f t="shared" si="111"/>
        <v/>
      </c>
      <c r="T870" s="76" t="str">
        <f t="shared" si="112"/>
        <v>-- N032_疾患開始日</v>
      </c>
      <c r="U870" s="4" t="str">
        <f t="shared" si="113"/>
        <v>,'shikkan862_start_date'</v>
      </c>
      <c r="V870" s="25" t="str">
        <f t="shared" si="114"/>
        <v>,'shikkan862_start_date' : 'N032_疾患開始日'</v>
      </c>
      <c r="X870" s="25">
        <v>1</v>
      </c>
      <c r="AA870" s="4"/>
      <c r="AB870" s="4"/>
      <c r="AC870" s="4"/>
      <c r="AD870" s="4"/>
      <c r="AE870" s="4"/>
      <c r="AF870" s="4"/>
      <c r="AG870" s="4"/>
      <c r="AH870" s="4"/>
      <c r="AI870" s="4"/>
      <c r="AJ870" s="76" t="str">
        <f>IF(E870="○",IF(COUNTA(E$13:E870)=1,"",",")&amp;D870,"")</f>
        <v/>
      </c>
      <c r="AK870" s="4"/>
      <c r="AL870" s="4"/>
      <c r="AM870" s="4"/>
      <c r="AN870" s="4"/>
      <c r="AO870" s="4"/>
      <c r="AP870" s="4"/>
      <c r="AQ870" s="4"/>
      <c r="AR870" s="4"/>
      <c r="AS870" s="76" t="str">
        <f>"COMMENT ON COLUMN "&amp;エンティティ一覧!$O$2&amp;"."&amp;D$8&amp;"."&amp;D870&amp;" IS '"&amp;C870&amp;"';"</f>
        <v>COMMENT ON COLUMN milscm_2023_009.main_diagnosis_start_date.shikkan862_start_date IS 'N032_疾患開始日';</v>
      </c>
    </row>
    <row r="871" spans="1:45" s="25" customFormat="1">
      <c r="A871" s="4" t="s">
        <v>5925</v>
      </c>
      <c r="B871" s="21">
        <f t="shared" si="107"/>
        <v>869</v>
      </c>
      <c r="C871" s="13" t="str">
        <f t="shared" si="115"/>
        <v>N033_疾患開始日</v>
      </c>
      <c r="D871" s="13" t="s">
        <v>6523</v>
      </c>
      <c r="E871" s="8"/>
      <c r="F871" s="7" t="s">
        <v>4348</v>
      </c>
      <c r="G871" s="7" t="s">
        <v>25</v>
      </c>
      <c r="H871" s="58"/>
      <c r="I871" s="23"/>
      <c r="J871" s="24"/>
      <c r="M871" s="4"/>
      <c r="N871" s="76"/>
      <c r="O871" s="76"/>
      <c r="P871" s="76" t="str">
        <f t="shared" si="108"/>
        <v>,shikkan863_start_date</v>
      </c>
      <c r="Q871" s="76" t="str">
        <f t="shared" si="109"/>
        <v>DATE</v>
      </c>
      <c r="R871" s="76" t="str">
        <f t="shared" si="110"/>
        <v/>
      </c>
      <c r="S871" s="76" t="str">
        <f t="shared" si="111"/>
        <v/>
      </c>
      <c r="T871" s="76" t="str">
        <f t="shared" si="112"/>
        <v>-- N033_疾患開始日</v>
      </c>
      <c r="U871" s="4" t="str">
        <f t="shared" si="113"/>
        <v>,'shikkan863_start_date'</v>
      </c>
      <c r="V871" s="25" t="str">
        <f t="shared" si="114"/>
        <v>,'shikkan863_start_date' : 'N033_疾患開始日'</v>
      </c>
      <c r="X871" s="25">
        <v>1</v>
      </c>
      <c r="AA871" s="4"/>
      <c r="AB871" s="4"/>
      <c r="AC871" s="4"/>
      <c r="AD871" s="4"/>
      <c r="AE871" s="4"/>
      <c r="AF871" s="4"/>
      <c r="AG871" s="4"/>
      <c r="AH871" s="4"/>
      <c r="AI871" s="4"/>
      <c r="AJ871" s="76" t="str">
        <f>IF(E871="○",IF(COUNTA(E$13:E871)=1,"",",")&amp;D871,"")</f>
        <v/>
      </c>
      <c r="AK871" s="4"/>
      <c r="AL871" s="4"/>
      <c r="AM871" s="4"/>
      <c r="AN871" s="4"/>
      <c r="AO871" s="4"/>
      <c r="AP871" s="4"/>
      <c r="AQ871" s="4"/>
      <c r="AR871" s="4"/>
      <c r="AS871" s="76" t="str">
        <f>"COMMENT ON COLUMN "&amp;エンティティ一覧!$O$2&amp;"."&amp;D$8&amp;"."&amp;D871&amp;" IS '"&amp;C871&amp;"';"</f>
        <v>COMMENT ON COLUMN milscm_2023_009.main_diagnosis_start_date.shikkan863_start_date IS 'N033_疾患開始日';</v>
      </c>
    </row>
    <row r="872" spans="1:45" s="25" customFormat="1">
      <c r="A872" s="4" t="s">
        <v>5926</v>
      </c>
      <c r="B872" s="21">
        <f t="shared" si="107"/>
        <v>870</v>
      </c>
      <c r="C872" s="13" t="str">
        <f t="shared" si="115"/>
        <v>N034_疾患開始日</v>
      </c>
      <c r="D872" s="13" t="s">
        <v>6524</v>
      </c>
      <c r="E872" s="8"/>
      <c r="F872" s="7" t="s">
        <v>4348</v>
      </c>
      <c r="G872" s="7" t="s">
        <v>25</v>
      </c>
      <c r="H872" s="58"/>
      <c r="I872" s="23"/>
      <c r="J872" s="24"/>
      <c r="M872" s="4"/>
      <c r="N872" s="76"/>
      <c r="O872" s="76"/>
      <c r="P872" s="76" t="str">
        <f t="shared" si="108"/>
        <v>,shikkan864_start_date</v>
      </c>
      <c r="Q872" s="76" t="str">
        <f t="shared" si="109"/>
        <v>DATE</v>
      </c>
      <c r="R872" s="76" t="str">
        <f t="shared" si="110"/>
        <v/>
      </c>
      <c r="S872" s="76" t="str">
        <f t="shared" si="111"/>
        <v/>
      </c>
      <c r="T872" s="76" t="str">
        <f t="shared" si="112"/>
        <v>-- N034_疾患開始日</v>
      </c>
      <c r="U872" s="4" t="str">
        <f t="shared" si="113"/>
        <v>,'shikkan864_start_date'</v>
      </c>
      <c r="V872" s="25" t="str">
        <f t="shared" si="114"/>
        <v>,'shikkan864_start_date' : 'N034_疾患開始日'</v>
      </c>
      <c r="X872" s="25">
        <v>1</v>
      </c>
      <c r="AA872" s="4"/>
      <c r="AB872" s="4"/>
      <c r="AC872" s="4"/>
      <c r="AD872" s="4"/>
      <c r="AE872" s="4"/>
      <c r="AF872" s="4"/>
      <c r="AG872" s="4"/>
      <c r="AH872" s="4"/>
      <c r="AI872" s="4"/>
      <c r="AJ872" s="76" t="str">
        <f>IF(E872="○",IF(COUNTA(E$13:E872)=1,"",",")&amp;D872,"")</f>
        <v/>
      </c>
      <c r="AK872" s="4"/>
      <c r="AL872" s="4"/>
      <c r="AM872" s="4"/>
      <c r="AN872" s="4"/>
      <c r="AO872" s="4"/>
      <c r="AP872" s="4"/>
      <c r="AQ872" s="4"/>
      <c r="AR872" s="4"/>
      <c r="AS872" s="76" t="str">
        <f>"COMMENT ON COLUMN "&amp;エンティティ一覧!$O$2&amp;"."&amp;D$8&amp;"."&amp;D872&amp;" IS '"&amp;C872&amp;"';"</f>
        <v>COMMENT ON COLUMN milscm_2023_009.main_diagnosis_start_date.shikkan864_start_date IS 'N034_疾患開始日';</v>
      </c>
    </row>
    <row r="873" spans="1:45" s="25" customFormat="1">
      <c r="A873" s="4" t="s">
        <v>5927</v>
      </c>
      <c r="B873" s="21">
        <f t="shared" si="107"/>
        <v>871</v>
      </c>
      <c r="C873" s="13" t="str">
        <f t="shared" si="115"/>
        <v>N035_疾患開始日</v>
      </c>
      <c r="D873" s="13" t="s">
        <v>6525</v>
      </c>
      <c r="E873" s="8"/>
      <c r="F873" s="7" t="s">
        <v>4348</v>
      </c>
      <c r="G873" s="7" t="s">
        <v>25</v>
      </c>
      <c r="H873" s="58"/>
      <c r="I873" s="23"/>
      <c r="J873" s="24"/>
      <c r="M873" s="4"/>
      <c r="N873" s="76"/>
      <c r="O873" s="76"/>
      <c r="P873" s="76" t="str">
        <f t="shared" si="108"/>
        <v>,shikkan865_start_date</v>
      </c>
      <c r="Q873" s="76" t="str">
        <f t="shared" si="109"/>
        <v>DATE</v>
      </c>
      <c r="R873" s="76" t="str">
        <f t="shared" si="110"/>
        <v/>
      </c>
      <c r="S873" s="76" t="str">
        <f t="shared" si="111"/>
        <v/>
      </c>
      <c r="T873" s="76" t="str">
        <f t="shared" si="112"/>
        <v>-- N035_疾患開始日</v>
      </c>
      <c r="U873" s="4" t="str">
        <f t="shared" si="113"/>
        <v>,'shikkan865_start_date'</v>
      </c>
      <c r="V873" s="25" t="str">
        <f t="shared" si="114"/>
        <v>,'shikkan865_start_date' : 'N035_疾患開始日'</v>
      </c>
      <c r="X873" s="25">
        <v>1</v>
      </c>
      <c r="AA873" s="4"/>
      <c r="AB873" s="4"/>
      <c r="AC873" s="4"/>
      <c r="AD873" s="4"/>
      <c r="AE873" s="4"/>
      <c r="AF873" s="4"/>
      <c r="AG873" s="4"/>
      <c r="AH873" s="4"/>
      <c r="AI873" s="4"/>
      <c r="AJ873" s="76" t="str">
        <f>IF(E873="○",IF(COUNTA(E$13:E873)=1,"",",")&amp;D873,"")</f>
        <v/>
      </c>
      <c r="AK873" s="4"/>
      <c r="AL873" s="4"/>
      <c r="AM873" s="4"/>
      <c r="AN873" s="4"/>
      <c r="AO873" s="4"/>
      <c r="AP873" s="4"/>
      <c r="AQ873" s="4"/>
      <c r="AR873" s="4"/>
      <c r="AS873" s="76" t="str">
        <f>"COMMENT ON COLUMN "&amp;エンティティ一覧!$O$2&amp;"."&amp;D$8&amp;"."&amp;D873&amp;" IS '"&amp;C873&amp;"';"</f>
        <v>COMMENT ON COLUMN milscm_2023_009.main_diagnosis_start_date.shikkan865_start_date IS 'N035_疾患開始日';</v>
      </c>
    </row>
    <row r="874" spans="1:45" s="25" customFormat="1">
      <c r="A874" s="4" t="s">
        <v>5928</v>
      </c>
      <c r="B874" s="21">
        <f t="shared" si="107"/>
        <v>872</v>
      </c>
      <c r="C874" s="13" t="str">
        <f t="shared" si="115"/>
        <v>N036_疾患開始日</v>
      </c>
      <c r="D874" s="13" t="s">
        <v>6526</v>
      </c>
      <c r="E874" s="8"/>
      <c r="F874" s="7" t="s">
        <v>4348</v>
      </c>
      <c r="G874" s="7" t="s">
        <v>25</v>
      </c>
      <c r="H874" s="58"/>
      <c r="I874" s="23"/>
      <c r="J874" s="24"/>
      <c r="M874" s="4"/>
      <c r="N874" s="76"/>
      <c r="O874" s="76"/>
      <c r="P874" s="76" t="str">
        <f t="shared" si="108"/>
        <v>,shikkan866_start_date</v>
      </c>
      <c r="Q874" s="76" t="str">
        <f t="shared" si="109"/>
        <v>DATE</v>
      </c>
      <c r="R874" s="76" t="str">
        <f t="shared" si="110"/>
        <v/>
      </c>
      <c r="S874" s="76" t="str">
        <f t="shared" si="111"/>
        <v/>
      </c>
      <c r="T874" s="76" t="str">
        <f t="shared" si="112"/>
        <v>-- N036_疾患開始日</v>
      </c>
      <c r="U874" s="4" t="str">
        <f t="shared" si="113"/>
        <v>,'shikkan866_start_date'</v>
      </c>
      <c r="V874" s="25" t="str">
        <f t="shared" si="114"/>
        <v>,'shikkan866_start_date' : 'N036_疾患開始日'</v>
      </c>
      <c r="X874" s="25">
        <v>1</v>
      </c>
      <c r="AA874" s="4"/>
      <c r="AB874" s="4"/>
      <c r="AC874" s="4"/>
      <c r="AD874" s="4"/>
      <c r="AE874" s="4"/>
      <c r="AF874" s="4"/>
      <c r="AG874" s="4"/>
      <c r="AH874" s="4"/>
      <c r="AI874" s="4"/>
      <c r="AJ874" s="76" t="str">
        <f>IF(E874="○",IF(COUNTA(E$13:E874)=1,"",",")&amp;D874,"")</f>
        <v/>
      </c>
      <c r="AK874" s="4"/>
      <c r="AL874" s="4"/>
      <c r="AM874" s="4"/>
      <c r="AN874" s="4"/>
      <c r="AO874" s="4"/>
      <c r="AP874" s="4"/>
      <c r="AQ874" s="4"/>
      <c r="AR874" s="4"/>
      <c r="AS874" s="76" t="str">
        <f>"COMMENT ON COLUMN "&amp;エンティティ一覧!$O$2&amp;"."&amp;D$8&amp;"."&amp;D874&amp;" IS '"&amp;C874&amp;"';"</f>
        <v>COMMENT ON COLUMN milscm_2023_009.main_diagnosis_start_date.shikkan866_start_date IS 'N036_疾患開始日';</v>
      </c>
    </row>
    <row r="875" spans="1:45" s="25" customFormat="1">
      <c r="A875" s="4" t="s">
        <v>5929</v>
      </c>
      <c r="B875" s="21">
        <f t="shared" si="107"/>
        <v>873</v>
      </c>
      <c r="C875" s="13" t="str">
        <f t="shared" si="115"/>
        <v>N037_疾患開始日</v>
      </c>
      <c r="D875" s="13" t="s">
        <v>6527</v>
      </c>
      <c r="E875" s="8"/>
      <c r="F875" s="7" t="s">
        <v>4348</v>
      </c>
      <c r="G875" s="7" t="s">
        <v>25</v>
      </c>
      <c r="H875" s="58"/>
      <c r="I875" s="23"/>
      <c r="J875" s="24"/>
      <c r="M875" s="4"/>
      <c r="N875" s="76"/>
      <c r="O875" s="76"/>
      <c r="P875" s="76" t="str">
        <f t="shared" si="108"/>
        <v>,shikkan867_start_date</v>
      </c>
      <c r="Q875" s="76" t="str">
        <f t="shared" si="109"/>
        <v>DATE</v>
      </c>
      <c r="R875" s="76" t="str">
        <f t="shared" si="110"/>
        <v/>
      </c>
      <c r="S875" s="76" t="str">
        <f t="shared" si="111"/>
        <v/>
      </c>
      <c r="T875" s="76" t="str">
        <f t="shared" si="112"/>
        <v>-- N037_疾患開始日</v>
      </c>
      <c r="U875" s="4" t="str">
        <f t="shared" si="113"/>
        <v>,'shikkan867_start_date'</v>
      </c>
      <c r="V875" s="25" t="str">
        <f t="shared" si="114"/>
        <v>,'shikkan867_start_date' : 'N037_疾患開始日'</v>
      </c>
      <c r="X875" s="25">
        <v>1</v>
      </c>
      <c r="AA875" s="4"/>
      <c r="AB875" s="4"/>
      <c r="AC875" s="4"/>
      <c r="AD875" s="4"/>
      <c r="AE875" s="4"/>
      <c r="AF875" s="4"/>
      <c r="AG875" s="4"/>
      <c r="AH875" s="4"/>
      <c r="AI875" s="4"/>
      <c r="AJ875" s="76" t="str">
        <f>IF(E875="○",IF(COUNTA(E$13:E875)=1,"",",")&amp;D875,"")</f>
        <v/>
      </c>
      <c r="AK875" s="4"/>
      <c r="AL875" s="4"/>
      <c r="AM875" s="4"/>
      <c r="AN875" s="4"/>
      <c r="AO875" s="4"/>
      <c r="AP875" s="4"/>
      <c r="AQ875" s="4"/>
      <c r="AR875" s="4"/>
      <c r="AS875" s="76" t="str">
        <f>"COMMENT ON COLUMN "&amp;エンティティ一覧!$O$2&amp;"."&amp;D$8&amp;"."&amp;D875&amp;" IS '"&amp;C875&amp;"';"</f>
        <v>COMMENT ON COLUMN milscm_2023_009.main_diagnosis_start_date.shikkan867_start_date IS 'N037_疾患開始日';</v>
      </c>
    </row>
    <row r="876" spans="1:45" s="25" customFormat="1">
      <c r="A876" s="4" t="s">
        <v>5930</v>
      </c>
      <c r="B876" s="21">
        <f t="shared" si="107"/>
        <v>874</v>
      </c>
      <c r="C876" s="13" t="str">
        <f t="shared" si="115"/>
        <v>N052_疾患開始日</v>
      </c>
      <c r="D876" s="13" t="s">
        <v>6528</v>
      </c>
      <c r="E876" s="8"/>
      <c r="F876" s="7" t="s">
        <v>4348</v>
      </c>
      <c r="G876" s="7" t="s">
        <v>25</v>
      </c>
      <c r="H876" s="58"/>
      <c r="I876" s="23"/>
      <c r="J876" s="24"/>
      <c r="M876" s="4"/>
      <c r="N876" s="76"/>
      <c r="O876" s="76"/>
      <c r="P876" s="76" t="str">
        <f t="shared" si="108"/>
        <v>,shikkan868_start_date</v>
      </c>
      <c r="Q876" s="76" t="str">
        <f t="shared" si="109"/>
        <v>DATE</v>
      </c>
      <c r="R876" s="76" t="str">
        <f t="shared" si="110"/>
        <v/>
      </c>
      <c r="S876" s="76" t="str">
        <f t="shared" si="111"/>
        <v/>
      </c>
      <c r="T876" s="76" t="str">
        <f t="shared" si="112"/>
        <v>-- N052_疾患開始日</v>
      </c>
      <c r="U876" s="4" t="str">
        <f t="shared" si="113"/>
        <v>,'shikkan868_start_date'</v>
      </c>
      <c r="V876" s="25" t="str">
        <f t="shared" si="114"/>
        <v>,'shikkan868_start_date' : 'N052_疾患開始日'</v>
      </c>
      <c r="X876" s="25">
        <v>1</v>
      </c>
      <c r="AA876" s="4"/>
      <c r="AB876" s="4"/>
      <c r="AC876" s="4"/>
      <c r="AD876" s="4"/>
      <c r="AE876" s="4"/>
      <c r="AF876" s="4"/>
      <c r="AG876" s="4"/>
      <c r="AH876" s="4"/>
      <c r="AI876" s="4"/>
      <c r="AJ876" s="76" t="str">
        <f>IF(E876="○",IF(COUNTA(E$13:E876)=1,"",",")&amp;D876,"")</f>
        <v/>
      </c>
      <c r="AK876" s="4"/>
      <c r="AL876" s="4"/>
      <c r="AM876" s="4"/>
      <c r="AN876" s="4"/>
      <c r="AO876" s="4"/>
      <c r="AP876" s="4"/>
      <c r="AQ876" s="4"/>
      <c r="AR876" s="4"/>
      <c r="AS876" s="76" t="str">
        <f>"COMMENT ON COLUMN "&amp;エンティティ一覧!$O$2&amp;"."&amp;D$8&amp;"."&amp;D876&amp;" IS '"&amp;C876&amp;"';"</f>
        <v>COMMENT ON COLUMN milscm_2023_009.main_diagnosis_start_date.shikkan868_start_date IS 'N052_疾患開始日';</v>
      </c>
    </row>
    <row r="877" spans="1:45" s="25" customFormat="1">
      <c r="A877" s="4" t="s">
        <v>5931</v>
      </c>
      <c r="B877" s="21">
        <f t="shared" si="107"/>
        <v>875</v>
      </c>
      <c r="C877" s="13" t="str">
        <f t="shared" si="115"/>
        <v>N053_疾患開始日</v>
      </c>
      <c r="D877" s="13" t="s">
        <v>6529</v>
      </c>
      <c r="E877" s="8"/>
      <c r="F877" s="7" t="s">
        <v>4348</v>
      </c>
      <c r="G877" s="7" t="s">
        <v>25</v>
      </c>
      <c r="H877" s="58"/>
      <c r="I877" s="23"/>
      <c r="J877" s="24"/>
      <c r="M877" s="4"/>
      <c r="N877" s="76"/>
      <c r="O877" s="76"/>
      <c r="P877" s="76" t="str">
        <f t="shared" si="108"/>
        <v>,shikkan869_start_date</v>
      </c>
      <c r="Q877" s="76" t="str">
        <f t="shared" si="109"/>
        <v>DATE</v>
      </c>
      <c r="R877" s="76" t="str">
        <f t="shared" si="110"/>
        <v/>
      </c>
      <c r="S877" s="76" t="str">
        <f t="shared" si="111"/>
        <v/>
      </c>
      <c r="T877" s="76" t="str">
        <f t="shared" si="112"/>
        <v>-- N053_疾患開始日</v>
      </c>
      <c r="U877" s="4" t="str">
        <f t="shared" si="113"/>
        <v>,'shikkan869_start_date'</v>
      </c>
      <c r="V877" s="25" t="str">
        <f t="shared" si="114"/>
        <v>,'shikkan869_start_date' : 'N053_疾患開始日'</v>
      </c>
      <c r="X877" s="25">
        <v>1</v>
      </c>
      <c r="AA877" s="4"/>
      <c r="AB877" s="4"/>
      <c r="AC877" s="4"/>
      <c r="AD877" s="4"/>
      <c r="AE877" s="4"/>
      <c r="AF877" s="4"/>
      <c r="AG877" s="4"/>
      <c r="AH877" s="4"/>
      <c r="AI877" s="4"/>
      <c r="AJ877" s="76" t="str">
        <f>IF(E877="○",IF(COUNTA(E$13:E877)=1,"",",")&amp;D877,"")</f>
        <v/>
      </c>
      <c r="AK877" s="4"/>
      <c r="AL877" s="4"/>
      <c r="AM877" s="4"/>
      <c r="AN877" s="4"/>
      <c r="AO877" s="4"/>
      <c r="AP877" s="4"/>
      <c r="AQ877" s="4"/>
      <c r="AR877" s="4"/>
      <c r="AS877" s="76" t="str">
        <f>"COMMENT ON COLUMN "&amp;エンティティ一覧!$O$2&amp;"."&amp;D$8&amp;"."&amp;D877&amp;" IS '"&amp;C877&amp;"';"</f>
        <v>COMMENT ON COLUMN milscm_2023_009.main_diagnosis_start_date.shikkan869_start_date IS 'N053_疾患開始日';</v>
      </c>
    </row>
    <row r="878" spans="1:45" s="25" customFormat="1">
      <c r="A878" s="4" t="s">
        <v>5932</v>
      </c>
      <c r="B878" s="21">
        <f t="shared" si="107"/>
        <v>876</v>
      </c>
      <c r="C878" s="13" t="str">
        <f t="shared" si="115"/>
        <v>N054_疾患開始日</v>
      </c>
      <c r="D878" s="13" t="s">
        <v>6530</v>
      </c>
      <c r="E878" s="8"/>
      <c r="F878" s="7" t="s">
        <v>4348</v>
      </c>
      <c r="G878" s="7" t="s">
        <v>25</v>
      </c>
      <c r="H878" s="58"/>
      <c r="I878" s="23"/>
      <c r="J878" s="24"/>
      <c r="M878" s="4"/>
      <c r="N878" s="76"/>
      <c r="O878" s="76"/>
      <c r="P878" s="76" t="str">
        <f t="shared" si="108"/>
        <v>,shikkan870_start_date</v>
      </c>
      <c r="Q878" s="76" t="str">
        <f t="shared" si="109"/>
        <v>DATE</v>
      </c>
      <c r="R878" s="76" t="str">
        <f t="shared" si="110"/>
        <v/>
      </c>
      <c r="S878" s="76" t="str">
        <f t="shared" si="111"/>
        <v/>
      </c>
      <c r="T878" s="76" t="str">
        <f t="shared" si="112"/>
        <v>-- N054_疾患開始日</v>
      </c>
      <c r="U878" s="4" t="str">
        <f t="shared" si="113"/>
        <v>,'shikkan870_start_date'</v>
      </c>
      <c r="V878" s="25" t="str">
        <f t="shared" si="114"/>
        <v>,'shikkan870_start_date' : 'N054_疾患開始日'</v>
      </c>
      <c r="X878" s="25">
        <v>1</v>
      </c>
      <c r="AA878" s="4"/>
      <c r="AB878" s="4"/>
      <c r="AC878" s="4"/>
      <c r="AD878" s="4"/>
      <c r="AE878" s="4"/>
      <c r="AF878" s="4"/>
      <c r="AG878" s="4"/>
      <c r="AH878" s="4"/>
      <c r="AI878" s="4"/>
      <c r="AJ878" s="76" t="str">
        <f>IF(E878="○",IF(COUNTA(E$13:E878)=1,"",",")&amp;D878,"")</f>
        <v/>
      </c>
      <c r="AK878" s="4"/>
      <c r="AL878" s="4"/>
      <c r="AM878" s="4"/>
      <c r="AN878" s="4"/>
      <c r="AO878" s="4"/>
      <c r="AP878" s="4"/>
      <c r="AQ878" s="4"/>
      <c r="AR878" s="4"/>
      <c r="AS878" s="76" t="str">
        <f>"COMMENT ON COLUMN "&amp;エンティティ一覧!$O$2&amp;"."&amp;D$8&amp;"."&amp;D878&amp;" IS '"&amp;C878&amp;"';"</f>
        <v>COMMENT ON COLUMN milscm_2023_009.main_diagnosis_start_date.shikkan870_start_date IS 'N054_疾患開始日';</v>
      </c>
    </row>
    <row r="879" spans="1:45" s="25" customFormat="1">
      <c r="A879" s="4" t="s">
        <v>5933</v>
      </c>
      <c r="B879" s="21">
        <f t="shared" si="107"/>
        <v>877</v>
      </c>
      <c r="C879" s="13" t="str">
        <f t="shared" si="115"/>
        <v>N055_疾患開始日</v>
      </c>
      <c r="D879" s="13" t="s">
        <v>6531</v>
      </c>
      <c r="E879" s="8"/>
      <c r="F879" s="7" t="s">
        <v>4348</v>
      </c>
      <c r="G879" s="7" t="s">
        <v>25</v>
      </c>
      <c r="H879" s="58"/>
      <c r="I879" s="23"/>
      <c r="J879" s="24"/>
      <c r="M879" s="4"/>
      <c r="N879" s="76"/>
      <c r="O879" s="76"/>
      <c r="P879" s="76" t="str">
        <f t="shared" si="108"/>
        <v>,shikkan871_start_date</v>
      </c>
      <c r="Q879" s="76" t="str">
        <f t="shared" si="109"/>
        <v>DATE</v>
      </c>
      <c r="R879" s="76" t="str">
        <f t="shared" si="110"/>
        <v/>
      </c>
      <c r="S879" s="76" t="str">
        <f t="shared" si="111"/>
        <v/>
      </c>
      <c r="T879" s="76" t="str">
        <f t="shared" si="112"/>
        <v>-- N055_疾患開始日</v>
      </c>
      <c r="U879" s="4" t="str">
        <f t="shared" si="113"/>
        <v>,'shikkan871_start_date'</v>
      </c>
      <c r="V879" s="25" t="str">
        <f t="shared" si="114"/>
        <v>,'shikkan871_start_date' : 'N055_疾患開始日'</v>
      </c>
      <c r="X879" s="25">
        <v>1</v>
      </c>
      <c r="AA879" s="4"/>
      <c r="AB879" s="4"/>
      <c r="AC879" s="4"/>
      <c r="AD879" s="4"/>
      <c r="AE879" s="4"/>
      <c r="AF879" s="4"/>
      <c r="AG879" s="4"/>
      <c r="AH879" s="4"/>
      <c r="AI879" s="4"/>
      <c r="AJ879" s="76" t="str">
        <f>IF(E879="○",IF(COUNTA(E$13:E879)=1,"",",")&amp;D879,"")</f>
        <v/>
      </c>
      <c r="AK879" s="4"/>
      <c r="AL879" s="4"/>
      <c r="AM879" s="4"/>
      <c r="AN879" s="4"/>
      <c r="AO879" s="4"/>
      <c r="AP879" s="4"/>
      <c r="AQ879" s="4"/>
      <c r="AR879" s="4"/>
      <c r="AS879" s="76" t="str">
        <f>"COMMENT ON COLUMN "&amp;エンティティ一覧!$O$2&amp;"."&amp;D$8&amp;"."&amp;D879&amp;" IS '"&amp;C879&amp;"';"</f>
        <v>COMMENT ON COLUMN milscm_2023_009.main_diagnosis_start_date.shikkan871_start_date IS 'N055_疾患開始日';</v>
      </c>
    </row>
    <row r="880" spans="1:45" s="25" customFormat="1">
      <c r="A880" s="4" t="s">
        <v>5934</v>
      </c>
      <c r="B880" s="21">
        <f t="shared" si="107"/>
        <v>878</v>
      </c>
      <c r="C880" s="13" t="str">
        <f t="shared" si="115"/>
        <v>N056_疾患開始日</v>
      </c>
      <c r="D880" s="13" t="s">
        <v>6532</v>
      </c>
      <c r="E880" s="8"/>
      <c r="F880" s="7" t="s">
        <v>4348</v>
      </c>
      <c r="G880" s="7" t="s">
        <v>25</v>
      </c>
      <c r="H880" s="58"/>
      <c r="I880" s="23"/>
      <c r="J880" s="24"/>
      <c r="M880" s="4"/>
      <c r="N880" s="76"/>
      <c r="O880" s="76"/>
      <c r="P880" s="76" t="str">
        <f t="shared" si="108"/>
        <v>,shikkan872_start_date</v>
      </c>
      <c r="Q880" s="76" t="str">
        <f t="shared" si="109"/>
        <v>DATE</v>
      </c>
      <c r="R880" s="76" t="str">
        <f t="shared" si="110"/>
        <v/>
      </c>
      <c r="S880" s="76" t="str">
        <f t="shared" si="111"/>
        <v/>
      </c>
      <c r="T880" s="76" t="str">
        <f t="shared" si="112"/>
        <v>-- N056_疾患開始日</v>
      </c>
      <c r="U880" s="4" t="str">
        <f t="shared" si="113"/>
        <v>,'shikkan872_start_date'</v>
      </c>
      <c r="V880" s="25" t="str">
        <f t="shared" si="114"/>
        <v>,'shikkan872_start_date' : 'N056_疾患開始日'</v>
      </c>
      <c r="X880" s="25">
        <v>1</v>
      </c>
      <c r="AA880" s="4"/>
      <c r="AB880" s="4"/>
      <c r="AC880" s="4"/>
      <c r="AD880" s="4"/>
      <c r="AE880" s="4"/>
      <c r="AF880" s="4"/>
      <c r="AG880" s="4"/>
      <c r="AH880" s="4"/>
      <c r="AI880" s="4"/>
      <c r="AJ880" s="76" t="str">
        <f>IF(E880="○",IF(COUNTA(E$13:E880)=1,"",",")&amp;D880,"")</f>
        <v/>
      </c>
      <c r="AK880" s="4"/>
      <c r="AL880" s="4"/>
      <c r="AM880" s="4"/>
      <c r="AN880" s="4"/>
      <c r="AO880" s="4"/>
      <c r="AP880" s="4"/>
      <c r="AQ880" s="4"/>
      <c r="AR880" s="4"/>
      <c r="AS880" s="76" t="str">
        <f>"COMMENT ON COLUMN "&amp;エンティティ一覧!$O$2&amp;"."&amp;D$8&amp;"."&amp;D880&amp;" IS '"&amp;C880&amp;"';"</f>
        <v>COMMENT ON COLUMN milscm_2023_009.main_diagnosis_start_date.shikkan872_start_date IS 'N056_疾患開始日';</v>
      </c>
    </row>
    <row r="881" spans="1:45" s="25" customFormat="1">
      <c r="A881" s="4" t="s">
        <v>5935</v>
      </c>
      <c r="B881" s="21">
        <f t="shared" si="107"/>
        <v>879</v>
      </c>
      <c r="C881" s="13" t="str">
        <f t="shared" si="115"/>
        <v>N057_疾患開始日</v>
      </c>
      <c r="D881" s="13" t="s">
        <v>6533</v>
      </c>
      <c r="E881" s="8"/>
      <c r="F881" s="7" t="s">
        <v>4348</v>
      </c>
      <c r="G881" s="7" t="s">
        <v>25</v>
      </c>
      <c r="H881" s="58"/>
      <c r="I881" s="23"/>
      <c r="J881" s="24"/>
      <c r="M881" s="4"/>
      <c r="N881" s="76"/>
      <c r="O881" s="76"/>
      <c r="P881" s="76" t="str">
        <f t="shared" si="108"/>
        <v>,shikkan873_start_date</v>
      </c>
      <c r="Q881" s="76" t="str">
        <f t="shared" si="109"/>
        <v>DATE</v>
      </c>
      <c r="R881" s="76" t="str">
        <f t="shared" si="110"/>
        <v/>
      </c>
      <c r="S881" s="76" t="str">
        <f t="shared" si="111"/>
        <v/>
      </c>
      <c r="T881" s="76" t="str">
        <f t="shared" si="112"/>
        <v>-- N057_疾患開始日</v>
      </c>
      <c r="U881" s="4" t="str">
        <f t="shared" si="113"/>
        <v>,'shikkan873_start_date'</v>
      </c>
      <c r="V881" s="25" t="str">
        <f t="shared" si="114"/>
        <v>,'shikkan873_start_date' : 'N057_疾患開始日'</v>
      </c>
      <c r="X881" s="25">
        <v>1</v>
      </c>
      <c r="AA881" s="4"/>
      <c r="AB881" s="4"/>
      <c r="AC881" s="4"/>
      <c r="AD881" s="4"/>
      <c r="AE881" s="4"/>
      <c r="AF881" s="4"/>
      <c r="AG881" s="4"/>
      <c r="AH881" s="4"/>
      <c r="AI881" s="4"/>
      <c r="AJ881" s="76" t="str">
        <f>IF(E881="○",IF(COUNTA(E$13:E881)=1,"",",")&amp;D881,"")</f>
        <v/>
      </c>
      <c r="AK881" s="4"/>
      <c r="AL881" s="4"/>
      <c r="AM881" s="4"/>
      <c r="AN881" s="4"/>
      <c r="AO881" s="4"/>
      <c r="AP881" s="4"/>
      <c r="AQ881" s="4"/>
      <c r="AR881" s="4"/>
      <c r="AS881" s="76" t="str">
        <f>"COMMENT ON COLUMN "&amp;エンティティ一覧!$O$2&amp;"."&amp;D$8&amp;"."&amp;D881&amp;" IS '"&amp;C881&amp;"';"</f>
        <v>COMMENT ON COLUMN milscm_2023_009.main_diagnosis_start_date.shikkan873_start_date IS 'N057_疾患開始日';</v>
      </c>
    </row>
    <row r="882" spans="1:45" s="25" customFormat="1">
      <c r="A882" s="4" t="s">
        <v>5936</v>
      </c>
      <c r="B882" s="21">
        <f t="shared" si="107"/>
        <v>880</v>
      </c>
      <c r="C882" s="13" t="str">
        <f t="shared" si="115"/>
        <v>N181_疾患開始日</v>
      </c>
      <c r="D882" s="13" t="s">
        <v>6534</v>
      </c>
      <c r="E882" s="8"/>
      <c r="F882" s="7" t="s">
        <v>4348</v>
      </c>
      <c r="G882" s="7" t="s">
        <v>25</v>
      </c>
      <c r="H882" s="58"/>
      <c r="I882" s="23"/>
      <c r="J882" s="24"/>
      <c r="M882" s="4"/>
      <c r="N882" s="76"/>
      <c r="O882" s="76"/>
      <c r="P882" s="76" t="str">
        <f t="shared" si="108"/>
        <v>,shikkan874_start_date</v>
      </c>
      <c r="Q882" s="76" t="str">
        <f t="shared" si="109"/>
        <v>DATE</v>
      </c>
      <c r="R882" s="76" t="str">
        <f t="shared" si="110"/>
        <v/>
      </c>
      <c r="S882" s="76" t="str">
        <f t="shared" si="111"/>
        <v/>
      </c>
      <c r="T882" s="76" t="str">
        <f t="shared" si="112"/>
        <v>-- N181_疾患開始日</v>
      </c>
      <c r="U882" s="4" t="str">
        <f t="shared" si="113"/>
        <v>,'shikkan874_start_date'</v>
      </c>
      <c r="V882" s="25" t="str">
        <f t="shared" si="114"/>
        <v>,'shikkan874_start_date' : 'N181_疾患開始日'</v>
      </c>
      <c r="X882" s="25">
        <v>1</v>
      </c>
      <c r="AA882" s="4"/>
      <c r="AB882" s="4"/>
      <c r="AC882" s="4"/>
      <c r="AD882" s="4"/>
      <c r="AE882" s="4"/>
      <c r="AF882" s="4"/>
      <c r="AG882" s="4"/>
      <c r="AH882" s="4"/>
      <c r="AI882" s="4"/>
      <c r="AJ882" s="76" t="str">
        <f>IF(E882="○",IF(COUNTA(E$13:E882)=1,"",",")&amp;D882,"")</f>
        <v/>
      </c>
      <c r="AK882" s="4"/>
      <c r="AL882" s="4"/>
      <c r="AM882" s="4"/>
      <c r="AN882" s="4"/>
      <c r="AO882" s="4"/>
      <c r="AP882" s="4"/>
      <c r="AQ882" s="4"/>
      <c r="AR882" s="4"/>
      <c r="AS882" s="76" t="str">
        <f>"COMMENT ON COLUMN "&amp;エンティティ一覧!$O$2&amp;"."&amp;D$8&amp;"."&amp;D882&amp;" IS '"&amp;C882&amp;"';"</f>
        <v>COMMENT ON COLUMN milscm_2023_009.main_diagnosis_start_date.shikkan874_start_date IS 'N181_疾患開始日';</v>
      </c>
    </row>
    <row r="883" spans="1:45" s="25" customFormat="1">
      <c r="A883" s="4" t="s">
        <v>5937</v>
      </c>
      <c r="B883" s="21">
        <f t="shared" si="107"/>
        <v>881</v>
      </c>
      <c r="C883" s="13" t="str">
        <f t="shared" si="115"/>
        <v>N182_疾患開始日</v>
      </c>
      <c r="D883" s="13" t="s">
        <v>6535</v>
      </c>
      <c r="E883" s="8"/>
      <c r="F883" s="7" t="s">
        <v>4348</v>
      </c>
      <c r="G883" s="7" t="s">
        <v>25</v>
      </c>
      <c r="H883" s="58"/>
      <c r="I883" s="23"/>
      <c r="J883" s="24"/>
      <c r="M883" s="4"/>
      <c r="N883" s="76"/>
      <c r="O883" s="76"/>
      <c r="P883" s="76" t="str">
        <f t="shared" si="108"/>
        <v>,shikkan875_start_date</v>
      </c>
      <c r="Q883" s="76" t="str">
        <f t="shared" si="109"/>
        <v>DATE</v>
      </c>
      <c r="R883" s="76" t="str">
        <f t="shared" si="110"/>
        <v/>
      </c>
      <c r="S883" s="76" t="str">
        <f t="shared" si="111"/>
        <v/>
      </c>
      <c r="T883" s="76" t="str">
        <f t="shared" si="112"/>
        <v>-- N182_疾患開始日</v>
      </c>
      <c r="U883" s="4" t="str">
        <f t="shared" si="113"/>
        <v>,'shikkan875_start_date'</v>
      </c>
      <c r="V883" s="25" t="str">
        <f t="shared" si="114"/>
        <v>,'shikkan875_start_date' : 'N182_疾患開始日'</v>
      </c>
      <c r="X883" s="25">
        <v>1</v>
      </c>
      <c r="AA883" s="4"/>
      <c r="AB883" s="4"/>
      <c r="AC883" s="4"/>
      <c r="AD883" s="4"/>
      <c r="AE883" s="4"/>
      <c r="AF883" s="4"/>
      <c r="AG883" s="4"/>
      <c r="AH883" s="4"/>
      <c r="AI883" s="4"/>
      <c r="AJ883" s="76" t="str">
        <f>IF(E883="○",IF(COUNTA(E$13:E883)=1,"",",")&amp;D883,"")</f>
        <v/>
      </c>
      <c r="AK883" s="4"/>
      <c r="AL883" s="4"/>
      <c r="AM883" s="4"/>
      <c r="AN883" s="4"/>
      <c r="AO883" s="4"/>
      <c r="AP883" s="4"/>
      <c r="AQ883" s="4"/>
      <c r="AR883" s="4"/>
      <c r="AS883" s="76" t="str">
        <f>"COMMENT ON COLUMN "&amp;エンティティ一覧!$O$2&amp;"."&amp;D$8&amp;"."&amp;D883&amp;" IS '"&amp;C883&amp;"';"</f>
        <v>COMMENT ON COLUMN milscm_2023_009.main_diagnosis_start_date.shikkan875_start_date IS 'N182_疾患開始日';</v>
      </c>
    </row>
    <row r="884" spans="1:45" s="25" customFormat="1">
      <c r="A884" s="4" t="s">
        <v>5938</v>
      </c>
      <c r="B884" s="21">
        <f t="shared" si="107"/>
        <v>882</v>
      </c>
      <c r="C884" s="13" t="str">
        <f t="shared" si="115"/>
        <v>N183_疾患開始日</v>
      </c>
      <c r="D884" s="13" t="s">
        <v>6536</v>
      </c>
      <c r="E884" s="8"/>
      <c r="F884" s="7" t="s">
        <v>4348</v>
      </c>
      <c r="G884" s="7" t="s">
        <v>25</v>
      </c>
      <c r="H884" s="58"/>
      <c r="I884" s="23"/>
      <c r="J884" s="24"/>
      <c r="M884" s="4"/>
      <c r="N884" s="76"/>
      <c r="O884" s="76"/>
      <c r="P884" s="76" t="str">
        <f t="shared" si="108"/>
        <v>,shikkan876_start_date</v>
      </c>
      <c r="Q884" s="76" t="str">
        <f t="shared" si="109"/>
        <v>DATE</v>
      </c>
      <c r="R884" s="76" t="str">
        <f t="shared" si="110"/>
        <v/>
      </c>
      <c r="S884" s="76" t="str">
        <f t="shared" si="111"/>
        <v/>
      </c>
      <c r="T884" s="76" t="str">
        <f t="shared" si="112"/>
        <v>-- N183_疾患開始日</v>
      </c>
      <c r="U884" s="4" t="str">
        <f t="shared" si="113"/>
        <v>,'shikkan876_start_date'</v>
      </c>
      <c r="V884" s="25" t="str">
        <f t="shared" si="114"/>
        <v>,'shikkan876_start_date' : 'N183_疾患開始日'</v>
      </c>
      <c r="X884" s="25">
        <v>1</v>
      </c>
      <c r="AA884" s="4"/>
      <c r="AB884" s="4"/>
      <c r="AC884" s="4"/>
      <c r="AD884" s="4"/>
      <c r="AE884" s="4"/>
      <c r="AF884" s="4"/>
      <c r="AG884" s="4"/>
      <c r="AH884" s="4"/>
      <c r="AI884" s="4"/>
      <c r="AJ884" s="76" t="str">
        <f>IF(E884="○",IF(COUNTA(E$13:E884)=1,"",",")&amp;D884,"")</f>
        <v/>
      </c>
      <c r="AK884" s="4"/>
      <c r="AL884" s="4"/>
      <c r="AM884" s="4"/>
      <c r="AN884" s="4"/>
      <c r="AO884" s="4"/>
      <c r="AP884" s="4"/>
      <c r="AQ884" s="4"/>
      <c r="AR884" s="4"/>
      <c r="AS884" s="76" t="str">
        <f>"COMMENT ON COLUMN "&amp;エンティティ一覧!$O$2&amp;"."&amp;D$8&amp;"."&amp;D884&amp;" IS '"&amp;C884&amp;"';"</f>
        <v>COMMENT ON COLUMN milscm_2023_009.main_diagnosis_start_date.shikkan876_start_date IS 'N183_疾患開始日';</v>
      </c>
    </row>
    <row r="885" spans="1:45" s="25" customFormat="1">
      <c r="A885" s="4" t="s">
        <v>5939</v>
      </c>
      <c r="B885" s="21">
        <f t="shared" si="107"/>
        <v>883</v>
      </c>
      <c r="C885" s="13" t="str">
        <f t="shared" si="115"/>
        <v>N184_疾患開始日</v>
      </c>
      <c r="D885" s="13" t="s">
        <v>6537</v>
      </c>
      <c r="E885" s="8"/>
      <c r="F885" s="7" t="s">
        <v>4348</v>
      </c>
      <c r="G885" s="7" t="s">
        <v>25</v>
      </c>
      <c r="H885" s="58"/>
      <c r="I885" s="23"/>
      <c r="J885" s="24"/>
      <c r="M885" s="4"/>
      <c r="N885" s="76"/>
      <c r="O885" s="76"/>
      <c r="P885" s="76" t="str">
        <f t="shared" si="108"/>
        <v>,shikkan877_start_date</v>
      </c>
      <c r="Q885" s="76" t="str">
        <f t="shared" si="109"/>
        <v>DATE</v>
      </c>
      <c r="R885" s="76" t="str">
        <f t="shared" si="110"/>
        <v/>
      </c>
      <c r="S885" s="76" t="str">
        <f t="shared" si="111"/>
        <v/>
      </c>
      <c r="T885" s="76" t="str">
        <f t="shared" si="112"/>
        <v>-- N184_疾患開始日</v>
      </c>
      <c r="U885" s="4" t="str">
        <f t="shared" si="113"/>
        <v>,'shikkan877_start_date'</v>
      </c>
      <c r="V885" s="25" t="str">
        <f t="shared" si="114"/>
        <v>,'shikkan877_start_date' : 'N184_疾患開始日'</v>
      </c>
      <c r="X885" s="25">
        <v>1</v>
      </c>
      <c r="AA885" s="4"/>
      <c r="AB885" s="4"/>
      <c r="AC885" s="4"/>
      <c r="AD885" s="4"/>
      <c r="AE885" s="4"/>
      <c r="AF885" s="4"/>
      <c r="AG885" s="4"/>
      <c r="AH885" s="4"/>
      <c r="AI885" s="4"/>
      <c r="AJ885" s="76" t="str">
        <f>IF(E885="○",IF(COUNTA(E$13:E885)=1,"",",")&amp;D885,"")</f>
        <v/>
      </c>
      <c r="AK885" s="4"/>
      <c r="AL885" s="4"/>
      <c r="AM885" s="4"/>
      <c r="AN885" s="4"/>
      <c r="AO885" s="4"/>
      <c r="AP885" s="4"/>
      <c r="AQ885" s="4"/>
      <c r="AR885" s="4"/>
      <c r="AS885" s="76" t="str">
        <f>"COMMENT ON COLUMN "&amp;エンティティ一覧!$O$2&amp;"."&amp;D$8&amp;"."&amp;D885&amp;" IS '"&amp;C885&amp;"';"</f>
        <v>COMMENT ON COLUMN milscm_2023_009.main_diagnosis_start_date.shikkan877_start_date IS 'N184_疾患開始日';</v>
      </c>
    </row>
    <row r="886" spans="1:45" s="25" customFormat="1">
      <c r="A886" s="4" t="s">
        <v>5940</v>
      </c>
      <c r="B886" s="21">
        <f t="shared" si="107"/>
        <v>884</v>
      </c>
      <c r="C886" s="13" t="str">
        <f t="shared" si="115"/>
        <v>N185_疾患開始日</v>
      </c>
      <c r="D886" s="13" t="s">
        <v>6538</v>
      </c>
      <c r="E886" s="8"/>
      <c r="F886" s="7" t="s">
        <v>4348</v>
      </c>
      <c r="G886" s="7" t="s">
        <v>25</v>
      </c>
      <c r="H886" s="58"/>
      <c r="I886" s="23"/>
      <c r="J886" s="24"/>
      <c r="M886" s="4"/>
      <c r="N886" s="76"/>
      <c r="O886" s="76"/>
      <c r="P886" s="76" t="str">
        <f t="shared" si="108"/>
        <v>,shikkan878_start_date</v>
      </c>
      <c r="Q886" s="76" t="str">
        <f t="shared" si="109"/>
        <v>DATE</v>
      </c>
      <c r="R886" s="76" t="str">
        <f t="shared" si="110"/>
        <v/>
      </c>
      <c r="S886" s="76" t="str">
        <f t="shared" si="111"/>
        <v/>
      </c>
      <c r="T886" s="76" t="str">
        <f t="shared" si="112"/>
        <v>-- N185_疾患開始日</v>
      </c>
      <c r="U886" s="4" t="str">
        <f t="shared" si="113"/>
        <v>,'shikkan878_start_date'</v>
      </c>
      <c r="V886" s="25" t="str">
        <f t="shared" si="114"/>
        <v>,'shikkan878_start_date' : 'N185_疾患開始日'</v>
      </c>
      <c r="X886" s="25">
        <v>1</v>
      </c>
      <c r="AA886" s="4"/>
      <c r="AB886" s="4"/>
      <c r="AC886" s="4"/>
      <c r="AD886" s="4"/>
      <c r="AE886" s="4"/>
      <c r="AF886" s="4"/>
      <c r="AG886" s="4"/>
      <c r="AH886" s="4"/>
      <c r="AI886" s="4"/>
      <c r="AJ886" s="76" t="str">
        <f>IF(E886="○",IF(COUNTA(E$13:E886)=1,"",",")&amp;D886,"")</f>
        <v/>
      </c>
      <c r="AK886" s="4"/>
      <c r="AL886" s="4"/>
      <c r="AM886" s="4"/>
      <c r="AN886" s="4"/>
      <c r="AO886" s="4"/>
      <c r="AP886" s="4"/>
      <c r="AQ886" s="4"/>
      <c r="AR886" s="4"/>
      <c r="AS886" s="76" t="str">
        <f>"COMMENT ON COLUMN "&amp;エンティティ一覧!$O$2&amp;"."&amp;D$8&amp;"."&amp;D886&amp;" IS '"&amp;C886&amp;"';"</f>
        <v>COMMENT ON COLUMN milscm_2023_009.main_diagnosis_start_date.shikkan878_start_date IS 'N185_疾患開始日';</v>
      </c>
    </row>
    <row r="887" spans="1:45" s="25" customFormat="1">
      <c r="A887" s="4" t="s">
        <v>5941</v>
      </c>
      <c r="B887" s="21">
        <f t="shared" si="107"/>
        <v>885</v>
      </c>
      <c r="C887" s="13" t="str">
        <f t="shared" si="115"/>
        <v>N189_疾患開始日</v>
      </c>
      <c r="D887" s="13" t="s">
        <v>6539</v>
      </c>
      <c r="E887" s="8"/>
      <c r="F887" s="7" t="s">
        <v>4348</v>
      </c>
      <c r="G887" s="7" t="s">
        <v>25</v>
      </c>
      <c r="H887" s="58"/>
      <c r="I887" s="23"/>
      <c r="J887" s="24"/>
      <c r="M887" s="4"/>
      <c r="N887" s="76"/>
      <c r="O887" s="76"/>
      <c r="P887" s="76" t="str">
        <f t="shared" si="108"/>
        <v>,shikkan879_start_date</v>
      </c>
      <c r="Q887" s="76" t="str">
        <f t="shared" si="109"/>
        <v>DATE</v>
      </c>
      <c r="R887" s="76" t="str">
        <f t="shared" si="110"/>
        <v/>
      </c>
      <c r="S887" s="76" t="str">
        <f t="shared" si="111"/>
        <v/>
      </c>
      <c r="T887" s="76" t="str">
        <f t="shared" si="112"/>
        <v>-- N189_疾患開始日</v>
      </c>
      <c r="U887" s="4" t="str">
        <f t="shared" si="113"/>
        <v>,'shikkan879_start_date'</v>
      </c>
      <c r="V887" s="25" t="str">
        <f t="shared" si="114"/>
        <v>,'shikkan879_start_date' : 'N189_疾患開始日'</v>
      </c>
      <c r="X887" s="25">
        <v>1</v>
      </c>
      <c r="AA887" s="4"/>
      <c r="AB887" s="4"/>
      <c r="AC887" s="4"/>
      <c r="AD887" s="4"/>
      <c r="AE887" s="4"/>
      <c r="AF887" s="4"/>
      <c r="AG887" s="4"/>
      <c r="AH887" s="4"/>
      <c r="AI887" s="4"/>
      <c r="AJ887" s="76" t="str">
        <f>IF(E887="○",IF(COUNTA(E$13:E887)=1,"",",")&amp;D887,"")</f>
        <v/>
      </c>
      <c r="AK887" s="4"/>
      <c r="AL887" s="4"/>
      <c r="AM887" s="4"/>
      <c r="AN887" s="4"/>
      <c r="AO887" s="4"/>
      <c r="AP887" s="4"/>
      <c r="AQ887" s="4"/>
      <c r="AR887" s="4"/>
      <c r="AS887" s="76" t="str">
        <f>"COMMENT ON COLUMN "&amp;エンティティ一覧!$O$2&amp;"."&amp;D$8&amp;"."&amp;D887&amp;" IS '"&amp;C887&amp;"';"</f>
        <v>COMMENT ON COLUMN milscm_2023_009.main_diagnosis_start_date.shikkan879_start_date IS 'N189_疾患開始日';</v>
      </c>
    </row>
    <row r="888" spans="1:45" s="25" customFormat="1">
      <c r="A888" s="4" t="s">
        <v>5138</v>
      </c>
      <c r="B888" s="21">
        <f t="shared" si="107"/>
        <v>886</v>
      </c>
      <c r="C888" s="13" t="str">
        <f t="shared" si="115"/>
        <v>N19_疾患開始日</v>
      </c>
      <c r="D888" s="13" t="s">
        <v>6540</v>
      </c>
      <c r="E888" s="8"/>
      <c r="F888" s="7" t="s">
        <v>4348</v>
      </c>
      <c r="G888" s="7" t="s">
        <v>25</v>
      </c>
      <c r="H888" s="58"/>
      <c r="I888" s="23"/>
      <c r="J888" s="24"/>
      <c r="M888" s="4"/>
      <c r="N888" s="76"/>
      <c r="O888" s="76"/>
      <c r="P888" s="76" t="str">
        <f t="shared" si="108"/>
        <v>,shikkan880_start_date</v>
      </c>
      <c r="Q888" s="76" t="str">
        <f t="shared" si="109"/>
        <v>DATE</v>
      </c>
      <c r="R888" s="76" t="str">
        <f t="shared" si="110"/>
        <v/>
      </c>
      <c r="S888" s="76" t="str">
        <f t="shared" si="111"/>
        <v/>
      </c>
      <c r="T888" s="76" t="str">
        <f t="shared" si="112"/>
        <v>-- N19_疾患開始日</v>
      </c>
      <c r="U888" s="4" t="str">
        <f t="shared" si="113"/>
        <v>,'shikkan880_start_date'</v>
      </c>
      <c r="V888" s="25" t="str">
        <f t="shared" si="114"/>
        <v>,'shikkan880_start_date' : 'N19_疾患開始日'</v>
      </c>
      <c r="X888" s="25">
        <v>1</v>
      </c>
      <c r="AA888" s="4"/>
      <c r="AB888" s="4"/>
      <c r="AC888" s="4"/>
      <c r="AD888" s="4"/>
      <c r="AE888" s="4"/>
      <c r="AF888" s="4"/>
      <c r="AG888" s="4"/>
      <c r="AH888" s="4"/>
      <c r="AI888" s="4"/>
      <c r="AJ888" s="76" t="str">
        <f>IF(E888="○",IF(COUNTA(E$13:E888)=1,"",",")&amp;D888,"")</f>
        <v/>
      </c>
      <c r="AK888" s="4"/>
      <c r="AL888" s="4"/>
      <c r="AM888" s="4"/>
      <c r="AN888" s="4"/>
      <c r="AO888" s="4"/>
      <c r="AP888" s="4"/>
      <c r="AQ888" s="4"/>
      <c r="AR888" s="4"/>
      <c r="AS888" s="76" t="str">
        <f>"COMMENT ON COLUMN "&amp;エンティティ一覧!$O$2&amp;"."&amp;D$8&amp;"."&amp;D888&amp;" IS '"&amp;C888&amp;"';"</f>
        <v>COMMENT ON COLUMN milscm_2023_009.main_diagnosis_start_date.shikkan880_start_date IS 'N19_疾患開始日';</v>
      </c>
    </row>
    <row r="889" spans="1:45" s="25" customFormat="1">
      <c r="A889" s="4" t="s">
        <v>5942</v>
      </c>
      <c r="B889" s="21">
        <f t="shared" si="107"/>
        <v>887</v>
      </c>
      <c r="C889" s="13" t="str">
        <f t="shared" si="115"/>
        <v>N250_疾患開始日</v>
      </c>
      <c r="D889" s="13" t="s">
        <v>6541</v>
      </c>
      <c r="E889" s="8"/>
      <c r="F889" s="7" t="s">
        <v>4348</v>
      </c>
      <c r="G889" s="7" t="s">
        <v>25</v>
      </c>
      <c r="H889" s="58"/>
      <c r="I889" s="23"/>
      <c r="J889" s="24"/>
      <c r="M889" s="4"/>
      <c r="N889" s="76"/>
      <c r="O889" s="76"/>
      <c r="P889" s="76" t="str">
        <f t="shared" si="108"/>
        <v>,shikkan881_start_date</v>
      </c>
      <c r="Q889" s="76" t="str">
        <f t="shared" si="109"/>
        <v>DATE</v>
      </c>
      <c r="R889" s="76" t="str">
        <f t="shared" si="110"/>
        <v/>
      </c>
      <c r="S889" s="76" t="str">
        <f t="shared" si="111"/>
        <v/>
      </c>
      <c r="T889" s="76" t="str">
        <f t="shared" si="112"/>
        <v>-- N250_疾患開始日</v>
      </c>
      <c r="U889" s="4" t="str">
        <f t="shared" si="113"/>
        <v>,'shikkan881_start_date'</v>
      </c>
      <c r="V889" s="25" t="str">
        <f t="shared" si="114"/>
        <v>,'shikkan881_start_date' : 'N250_疾患開始日'</v>
      </c>
      <c r="X889" s="25">
        <v>1</v>
      </c>
      <c r="AA889" s="4"/>
      <c r="AB889" s="4"/>
      <c r="AC889" s="4"/>
      <c r="AD889" s="4"/>
      <c r="AE889" s="4"/>
      <c r="AF889" s="4"/>
      <c r="AG889" s="4"/>
      <c r="AH889" s="4"/>
      <c r="AI889" s="4"/>
      <c r="AJ889" s="76" t="str">
        <f>IF(E889="○",IF(COUNTA(E$13:E889)=1,"",",")&amp;D889,"")</f>
        <v/>
      </c>
      <c r="AK889" s="4"/>
      <c r="AL889" s="4"/>
      <c r="AM889" s="4"/>
      <c r="AN889" s="4"/>
      <c r="AO889" s="4"/>
      <c r="AP889" s="4"/>
      <c r="AQ889" s="4"/>
      <c r="AR889" s="4"/>
      <c r="AS889" s="76" t="str">
        <f>"COMMENT ON COLUMN "&amp;エンティティ一覧!$O$2&amp;"."&amp;D$8&amp;"."&amp;D889&amp;" IS '"&amp;C889&amp;"';"</f>
        <v>COMMENT ON COLUMN milscm_2023_009.main_diagnosis_start_date.shikkan881_start_date IS 'N250_疾患開始日';</v>
      </c>
    </row>
    <row r="890" spans="1:45" s="25" customFormat="1">
      <c r="A890" s="4" t="s">
        <v>5943</v>
      </c>
      <c r="B890" s="21">
        <f t="shared" si="107"/>
        <v>888</v>
      </c>
      <c r="C890" s="13" t="str">
        <f t="shared" si="115"/>
        <v>P290_疾患開始日</v>
      </c>
      <c r="D890" s="13" t="s">
        <v>6542</v>
      </c>
      <c r="E890" s="8"/>
      <c r="F890" s="7" t="s">
        <v>4348</v>
      </c>
      <c r="G890" s="7" t="s">
        <v>25</v>
      </c>
      <c r="H890" s="58"/>
      <c r="I890" s="23"/>
      <c r="J890" s="24"/>
      <c r="M890" s="4"/>
      <c r="N890" s="76"/>
      <c r="O890" s="76"/>
      <c r="P890" s="76" t="str">
        <f t="shared" si="108"/>
        <v>,shikkan882_start_date</v>
      </c>
      <c r="Q890" s="76" t="str">
        <f t="shared" si="109"/>
        <v>DATE</v>
      </c>
      <c r="R890" s="76" t="str">
        <f t="shared" si="110"/>
        <v/>
      </c>
      <c r="S890" s="76" t="str">
        <f t="shared" si="111"/>
        <v/>
      </c>
      <c r="T890" s="76" t="str">
        <f t="shared" si="112"/>
        <v>-- P290_疾患開始日</v>
      </c>
      <c r="U890" s="4" t="str">
        <f t="shared" si="113"/>
        <v>,'shikkan882_start_date'</v>
      </c>
      <c r="V890" s="25" t="str">
        <f t="shared" si="114"/>
        <v>,'shikkan882_start_date' : 'P290_疾患開始日'</v>
      </c>
      <c r="X890" s="25">
        <v>1</v>
      </c>
      <c r="AA890" s="4"/>
      <c r="AB890" s="4"/>
      <c r="AC890" s="4"/>
      <c r="AD890" s="4"/>
      <c r="AE890" s="4"/>
      <c r="AF890" s="4"/>
      <c r="AG890" s="4"/>
      <c r="AH890" s="4"/>
      <c r="AI890" s="4"/>
      <c r="AJ890" s="76" t="str">
        <f>IF(E890="○",IF(COUNTA(E$13:E890)=1,"",",")&amp;D890,"")</f>
        <v/>
      </c>
      <c r="AK890" s="4"/>
      <c r="AL890" s="4"/>
      <c r="AM890" s="4"/>
      <c r="AN890" s="4"/>
      <c r="AO890" s="4"/>
      <c r="AP890" s="4"/>
      <c r="AQ890" s="4"/>
      <c r="AR890" s="4"/>
      <c r="AS890" s="76" t="str">
        <f>"COMMENT ON COLUMN "&amp;エンティティ一覧!$O$2&amp;"."&amp;D$8&amp;"."&amp;D890&amp;" IS '"&amp;C890&amp;"';"</f>
        <v>COMMENT ON COLUMN milscm_2023_009.main_diagnosis_start_date.shikkan882_start_date IS 'P290_疾患開始日';</v>
      </c>
    </row>
    <row r="891" spans="1:45" s="25" customFormat="1">
      <c r="A891" s="4" t="s">
        <v>5944</v>
      </c>
      <c r="B891" s="21">
        <f t="shared" si="107"/>
        <v>889</v>
      </c>
      <c r="C891" s="13" t="str">
        <f t="shared" si="115"/>
        <v>Z490_疾患開始日</v>
      </c>
      <c r="D891" s="13" t="s">
        <v>6543</v>
      </c>
      <c r="E891" s="8"/>
      <c r="F891" s="7" t="s">
        <v>4348</v>
      </c>
      <c r="G891" s="7" t="s">
        <v>25</v>
      </c>
      <c r="H891" s="58"/>
      <c r="I891" s="23"/>
      <c r="J891" s="24"/>
      <c r="M891" s="4"/>
      <c r="N891" s="76"/>
      <c r="O891" s="76"/>
      <c r="P891" s="76" t="str">
        <f t="shared" si="108"/>
        <v>,shikkan883_start_date</v>
      </c>
      <c r="Q891" s="76" t="str">
        <f t="shared" si="109"/>
        <v>DATE</v>
      </c>
      <c r="R891" s="76" t="str">
        <f t="shared" si="110"/>
        <v/>
      </c>
      <c r="S891" s="76" t="str">
        <f t="shared" si="111"/>
        <v/>
      </c>
      <c r="T891" s="76" t="str">
        <f t="shared" si="112"/>
        <v>-- Z490_疾患開始日</v>
      </c>
      <c r="U891" s="4" t="str">
        <f t="shared" si="113"/>
        <v>,'shikkan883_start_date'</v>
      </c>
      <c r="V891" s="25" t="str">
        <f t="shared" si="114"/>
        <v>,'shikkan883_start_date' : 'Z490_疾患開始日'</v>
      </c>
      <c r="X891" s="25">
        <v>1</v>
      </c>
      <c r="AA891" s="4"/>
      <c r="AB891" s="4"/>
      <c r="AC891" s="4"/>
      <c r="AD891" s="4"/>
      <c r="AE891" s="4"/>
      <c r="AF891" s="4"/>
      <c r="AG891" s="4"/>
      <c r="AH891" s="4"/>
      <c r="AI891" s="4"/>
      <c r="AJ891" s="76" t="str">
        <f>IF(E891="○",IF(COUNTA(E$13:E891)=1,"",",")&amp;D891,"")</f>
        <v/>
      </c>
      <c r="AK891" s="4"/>
      <c r="AL891" s="4"/>
      <c r="AM891" s="4"/>
      <c r="AN891" s="4"/>
      <c r="AO891" s="4"/>
      <c r="AP891" s="4"/>
      <c r="AQ891" s="4"/>
      <c r="AR891" s="4"/>
      <c r="AS891" s="76" t="str">
        <f>"COMMENT ON COLUMN "&amp;エンティティ一覧!$O$2&amp;"."&amp;D$8&amp;"."&amp;D891&amp;" IS '"&amp;C891&amp;"';"</f>
        <v>COMMENT ON COLUMN milscm_2023_009.main_diagnosis_start_date.shikkan883_start_date IS 'Z490_疾患開始日';</v>
      </c>
    </row>
    <row r="892" spans="1:45" s="25" customFormat="1">
      <c r="A892" s="4" t="s">
        <v>5945</v>
      </c>
      <c r="B892" s="21">
        <f t="shared" si="107"/>
        <v>890</v>
      </c>
      <c r="C892" s="13" t="str">
        <f t="shared" si="115"/>
        <v>Z491_疾患開始日</v>
      </c>
      <c r="D892" s="13" t="s">
        <v>6544</v>
      </c>
      <c r="E892" s="8"/>
      <c r="F892" s="7" t="s">
        <v>4348</v>
      </c>
      <c r="G892" s="7" t="s">
        <v>25</v>
      </c>
      <c r="H892" s="58"/>
      <c r="I892" s="23"/>
      <c r="J892" s="24"/>
      <c r="M892" s="4"/>
      <c r="N892" s="76"/>
      <c r="O892" s="76"/>
      <c r="P892" s="76" t="str">
        <f t="shared" si="108"/>
        <v>,shikkan884_start_date</v>
      </c>
      <c r="Q892" s="76" t="str">
        <f t="shared" si="109"/>
        <v>DATE</v>
      </c>
      <c r="R892" s="76" t="str">
        <f t="shared" si="110"/>
        <v/>
      </c>
      <c r="S892" s="76" t="str">
        <f t="shared" si="111"/>
        <v/>
      </c>
      <c r="T892" s="76" t="str">
        <f t="shared" si="112"/>
        <v>-- Z491_疾患開始日</v>
      </c>
      <c r="U892" s="4" t="str">
        <f t="shared" si="113"/>
        <v>,'shikkan884_start_date'</v>
      </c>
      <c r="V892" s="25" t="str">
        <f t="shared" si="114"/>
        <v>,'shikkan884_start_date' : 'Z491_疾患開始日'</v>
      </c>
      <c r="X892" s="25">
        <v>1</v>
      </c>
      <c r="AA892" s="4"/>
      <c r="AB892" s="4"/>
      <c r="AC892" s="4"/>
      <c r="AD892" s="4"/>
      <c r="AE892" s="4"/>
      <c r="AF892" s="4"/>
      <c r="AG892" s="4"/>
      <c r="AH892" s="4"/>
      <c r="AI892" s="4"/>
      <c r="AJ892" s="76" t="str">
        <f>IF(E892="○",IF(COUNTA(E$13:E892)=1,"",",")&amp;D892,"")</f>
        <v/>
      </c>
      <c r="AK892" s="4"/>
      <c r="AL892" s="4"/>
      <c r="AM892" s="4"/>
      <c r="AN892" s="4"/>
      <c r="AO892" s="4"/>
      <c r="AP892" s="4"/>
      <c r="AQ892" s="4"/>
      <c r="AR892" s="4"/>
      <c r="AS892" s="76" t="str">
        <f>"COMMENT ON COLUMN "&amp;エンティティ一覧!$O$2&amp;"."&amp;D$8&amp;"."&amp;D892&amp;" IS '"&amp;C892&amp;"';"</f>
        <v>COMMENT ON COLUMN milscm_2023_009.main_diagnosis_start_date.shikkan884_start_date IS 'Z491_疾患開始日';</v>
      </c>
    </row>
    <row r="893" spans="1:45" s="25" customFormat="1">
      <c r="A893" s="4" t="s">
        <v>5946</v>
      </c>
      <c r="B893" s="21">
        <f t="shared" si="107"/>
        <v>891</v>
      </c>
      <c r="C893" s="13" t="str">
        <f t="shared" si="115"/>
        <v>Z492_疾患開始日</v>
      </c>
      <c r="D893" s="13" t="s">
        <v>6545</v>
      </c>
      <c r="E893" s="8"/>
      <c r="F893" s="7" t="s">
        <v>4348</v>
      </c>
      <c r="G893" s="7" t="s">
        <v>25</v>
      </c>
      <c r="H893" s="58"/>
      <c r="I893" s="23"/>
      <c r="J893" s="24"/>
      <c r="M893" s="4"/>
      <c r="N893" s="76"/>
      <c r="O893" s="76"/>
      <c r="P893" s="76" t="str">
        <f t="shared" si="108"/>
        <v>,shikkan885_start_date</v>
      </c>
      <c r="Q893" s="76" t="str">
        <f t="shared" si="109"/>
        <v>DATE</v>
      </c>
      <c r="R893" s="76" t="str">
        <f t="shared" si="110"/>
        <v/>
      </c>
      <c r="S893" s="76" t="str">
        <f t="shared" si="111"/>
        <v/>
      </c>
      <c r="T893" s="76" t="str">
        <f t="shared" si="112"/>
        <v>-- Z492_疾患開始日</v>
      </c>
      <c r="U893" s="4" t="str">
        <f t="shared" si="113"/>
        <v>,'shikkan885_start_date'</v>
      </c>
      <c r="V893" s="25" t="str">
        <f t="shared" si="114"/>
        <v>,'shikkan885_start_date' : 'Z492_疾患開始日'</v>
      </c>
      <c r="X893" s="25">
        <v>1</v>
      </c>
      <c r="AA893" s="4"/>
      <c r="AB893" s="4"/>
      <c r="AC893" s="4"/>
      <c r="AD893" s="4"/>
      <c r="AE893" s="4"/>
      <c r="AF893" s="4"/>
      <c r="AG893" s="4"/>
      <c r="AH893" s="4"/>
      <c r="AI893" s="4"/>
      <c r="AJ893" s="76" t="str">
        <f>IF(E893="○",IF(COUNTA(E$13:E893)=1,"",",")&amp;D893,"")</f>
        <v/>
      </c>
      <c r="AK893" s="4"/>
      <c r="AL893" s="4"/>
      <c r="AM893" s="4"/>
      <c r="AN893" s="4"/>
      <c r="AO893" s="4"/>
      <c r="AP893" s="4"/>
      <c r="AQ893" s="4"/>
      <c r="AR893" s="4"/>
      <c r="AS893" s="76" t="str">
        <f>"COMMENT ON COLUMN "&amp;エンティティ一覧!$O$2&amp;"."&amp;D$8&amp;"."&amp;D893&amp;" IS '"&amp;C893&amp;"';"</f>
        <v>COMMENT ON COLUMN milscm_2023_009.main_diagnosis_start_date.shikkan885_start_date IS 'Z492_疾患開始日';</v>
      </c>
    </row>
    <row r="894" spans="1:45" s="25" customFormat="1">
      <c r="A894" s="4" t="s">
        <v>5139</v>
      </c>
      <c r="B894" s="21">
        <f t="shared" si="107"/>
        <v>892</v>
      </c>
      <c r="C894" s="13" t="str">
        <f t="shared" si="115"/>
        <v>Z940_疾患開始日</v>
      </c>
      <c r="D894" s="13" t="s">
        <v>6546</v>
      </c>
      <c r="E894" s="8"/>
      <c r="F894" s="7" t="s">
        <v>4348</v>
      </c>
      <c r="G894" s="7" t="s">
        <v>25</v>
      </c>
      <c r="H894" s="58"/>
      <c r="I894" s="23"/>
      <c r="J894" s="24"/>
      <c r="M894" s="4"/>
      <c r="N894" s="76"/>
      <c r="O894" s="76"/>
      <c r="P894" s="76" t="str">
        <f t="shared" si="108"/>
        <v>,shikkan886_start_date</v>
      </c>
      <c r="Q894" s="76" t="str">
        <f t="shared" si="109"/>
        <v>DATE</v>
      </c>
      <c r="R894" s="76" t="str">
        <f t="shared" si="110"/>
        <v/>
      </c>
      <c r="S894" s="76" t="str">
        <f t="shared" si="111"/>
        <v/>
      </c>
      <c r="T894" s="76" t="str">
        <f t="shared" si="112"/>
        <v>-- Z940_疾患開始日</v>
      </c>
      <c r="U894" s="4" t="str">
        <f t="shared" si="113"/>
        <v>,'shikkan886_start_date'</v>
      </c>
      <c r="V894" s="25" t="str">
        <f t="shared" si="114"/>
        <v>,'shikkan886_start_date' : 'Z940_疾患開始日'</v>
      </c>
      <c r="X894" s="25">
        <v>1</v>
      </c>
      <c r="AA894" s="4"/>
      <c r="AB894" s="4"/>
      <c r="AC894" s="4"/>
      <c r="AD894" s="4"/>
      <c r="AE894" s="4"/>
      <c r="AF894" s="4"/>
      <c r="AG894" s="4"/>
      <c r="AH894" s="4"/>
      <c r="AI894" s="4"/>
      <c r="AJ894" s="76" t="str">
        <f>IF(E894="○",IF(COUNTA(E$13:E894)=1,"",",")&amp;D894,"")</f>
        <v/>
      </c>
      <c r="AK894" s="4"/>
      <c r="AL894" s="4"/>
      <c r="AM894" s="4"/>
      <c r="AN894" s="4"/>
      <c r="AO894" s="4"/>
      <c r="AP894" s="4"/>
      <c r="AQ894" s="4"/>
      <c r="AR894" s="4"/>
      <c r="AS894" s="76" t="str">
        <f>"COMMENT ON COLUMN "&amp;エンティティ一覧!$O$2&amp;"."&amp;D$8&amp;"."&amp;D894&amp;" IS '"&amp;C894&amp;"';"</f>
        <v>COMMENT ON COLUMN milscm_2023_009.main_diagnosis_start_date.shikkan886_start_date IS 'Z940_疾患開始日';</v>
      </c>
    </row>
    <row r="895" spans="1:45" s="25" customFormat="1">
      <c r="A895" s="4" t="s">
        <v>5087</v>
      </c>
      <c r="B895" s="21">
        <f t="shared" si="107"/>
        <v>893</v>
      </c>
      <c r="C895" s="13" t="str">
        <f t="shared" si="115"/>
        <v>Z944_疾患開始日</v>
      </c>
      <c r="D895" s="13" t="s">
        <v>6547</v>
      </c>
      <c r="E895" s="8"/>
      <c r="F895" s="7" t="s">
        <v>4348</v>
      </c>
      <c r="G895" s="7" t="s">
        <v>25</v>
      </c>
      <c r="H895" s="58"/>
      <c r="I895" s="23"/>
      <c r="J895" s="24"/>
      <c r="M895" s="4"/>
      <c r="N895" s="76"/>
      <c r="O895" s="76"/>
      <c r="P895" s="76" t="str">
        <f t="shared" si="108"/>
        <v>,shikkan887_start_date</v>
      </c>
      <c r="Q895" s="76" t="str">
        <f t="shared" si="109"/>
        <v>DATE</v>
      </c>
      <c r="R895" s="76" t="str">
        <f t="shared" si="110"/>
        <v/>
      </c>
      <c r="S895" s="76" t="str">
        <f t="shared" si="111"/>
        <v/>
      </c>
      <c r="T895" s="76" t="str">
        <f t="shared" si="112"/>
        <v>-- Z944_疾患開始日</v>
      </c>
      <c r="U895" s="4" t="str">
        <f t="shared" si="113"/>
        <v>,'shikkan887_start_date'</v>
      </c>
      <c r="V895" s="25" t="str">
        <f t="shared" si="114"/>
        <v>,'shikkan887_start_date' : 'Z944_疾患開始日'</v>
      </c>
      <c r="X895" s="25">
        <v>1</v>
      </c>
      <c r="AA895" s="4"/>
      <c r="AB895" s="4"/>
      <c r="AC895" s="4"/>
      <c r="AD895" s="4"/>
      <c r="AE895" s="4"/>
      <c r="AF895" s="4"/>
      <c r="AG895" s="4"/>
      <c r="AH895" s="4"/>
      <c r="AI895" s="4"/>
      <c r="AJ895" s="76" t="str">
        <f>IF(E895="○",IF(COUNTA(E$13:E895)=1,"",",")&amp;D895,"")</f>
        <v/>
      </c>
      <c r="AK895" s="4"/>
      <c r="AL895" s="4"/>
      <c r="AM895" s="4"/>
      <c r="AN895" s="4"/>
      <c r="AO895" s="4"/>
      <c r="AP895" s="4"/>
      <c r="AQ895" s="4"/>
      <c r="AR895" s="4"/>
      <c r="AS895" s="76" t="str">
        <f>"COMMENT ON COLUMN "&amp;エンティティ一覧!$O$2&amp;"."&amp;D$8&amp;"."&amp;D895&amp;" IS '"&amp;C895&amp;"';"</f>
        <v>COMMENT ON COLUMN milscm_2023_009.main_diagnosis_start_date.shikkan887_start_date IS 'Z944_疾患開始日';</v>
      </c>
    </row>
    <row r="896" spans="1:45" s="25" customFormat="1">
      <c r="A896" s="4" t="s">
        <v>5947</v>
      </c>
      <c r="B896" s="21">
        <f t="shared" si="107"/>
        <v>894</v>
      </c>
      <c r="C896" s="13" t="str">
        <f t="shared" si="115"/>
        <v>Z958_疾患開始日</v>
      </c>
      <c r="D896" s="13" t="s">
        <v>6548</v>
      </c>
      <c r="E896" s="8"/>
      <c r="F896" s="7" t="s">
        <v>4348</v>
      </c>
      <c r="G896" s="7" t="s">
        <v>25</v>
      </c>
      <c r="H896" s="58"/>
      <c r="I896" s="23"/>
      <c r="J896" s="24"/>
      <c r="M896" s="4"/>
      <c r="N896" s="76"/>
      <c r="O896" s="76"/>
      <c r="P896" s="76" t="str">
        <f t="shared" si="108"/>
        <v>,shikkan888_start_date</v>
      </c>
      <c r="Q896" s="76" t="str">
        <f t="shared" si="109"/>
        <v>DATE</v>
      </c>
      <c r="R896" s="76" t="str">
        <f t="shared" si="110"/>
        <v/>
      </c>
      <c r="S896" s="76" t="str">
        <f t="shared" si="111"/>
        <v/>
      </c>
      <c r="T896" s="76" t="str">
        <f t="shared" si="112"/>
        <v>-- Z958_疾患開始日</v>
      </c>
      <c r="U896" s="4" t="str">
        <f t="shared" si="113"/>
        <v>,'shikkan888_start_date'</v>
      </c>
      <c r="V896" s="25" t="str">
        <f t="shared" si="114"/>
        <v>,'shikkan888_start_date' : 'Z958_疾患開始日'</v>
      </c>
      <c r="X896" s="25">
        <v>1</v>
      </c>
      <c r="AA896" s="4"/>
      <c r="AB896" s="4"/>
      <c r="AC896" s="4"/>
      <c r="AD896" s="4"/>
      <c r="AE896" s="4"/>
      <c r="AF896" s="4"/>
      <c r="AG896" s="4"/>
      <c r="AH896" s="4"/>
      <c r="AI896" s="4"/>
      <c r="AJ896" s="76" t="str">
        <f>IF(E896="○",IF(COUNTA(E$13:E896)=1,"",",")&amp;D896,"")</f>
        <v/>
      </c>
      <c r="AK896" s="4"/>
      <c r="AL896" s="4"/>
      <c r="AM896" s="4"/>
      <c r="AN896" s="4"/>
      <c r="AO896" s="4"/>
      <c r="AP896" s="4"/>
      <c r="AQ896" s="4"/>
      <c r="AR896" s="4"/>
      <c r="AS896" s="76" t="str">
        <f>"COMMENT ON COLUMN "&amp;エンティティ一覧!$O$2&amp;"."&amp;D$8&amp;"."&amp;D896&amp;" IS '"&amp;C896&amp;"';"</f>
        <v>COMMENT ON COLUMN milscm_2023_009.main_diagnosis_start_date.shikkan888_start_date IS 'Z958_疾患開始日';</v>
      </c>
    </row>
    <row r="897" spans="1:45" s="25" customFormat="1">
      <c r="A897" s="4" t="s">
        <v>5948</v>
      </c>
      <c r="B897" s="21">
        <f t="shared" si="107"/>
        <v>895</v>
      </c>
      <c r="C897" s="13" t="str">
        <f t="shared" si="115"/>
        <v>Z959_疾患開始日</v>
      </c>
      <c r="D897" s="13" t="s">
        <v>6549</v>
      </c>
      <c r="E897" s="8"/>
      <c r="F897" s="7" t="s">
        <v>4348</v>
      </c>
      <c r="G897" s="7" t="s">
        <v>25</v>
      </c>
      <c r="H897" s="58"/>
      <c r="I897" s="23"/>
      <c r="J897" s="24"/>
      <c r="M897" s="4"/>
      <c r="N897" s="76"/>
      <c r="O897" s="76"/>
      <c r="P897" s="76" t="str">
        <f t="shared" si="108"/>
        <v>,shikkan889_start_date</v>
      </c>
      <c r="Q897" s="76" t="str">
        <f t="shared" si="109"/>
        <v>DATE</v>
      </c>
      <c r="R897" s="76" t="str">
        <f t="shared" si="110"/>
        <v/>
      </c>
      <c r="S897" s="76" t="str">
        <f t="shared" si="111"/>
        <v/>
      </c>
      <c r="T897" s="76" t="str">
        <f t="shared" si="112"/>
        <v>-- Z959_疾患開始日</v>
      </c>
      <c r="U897" s="4" t="str">
        <f t="shared" si="113"/>
        <v>,'shikkan889_start_date'</v>
      </c>
      <c r="V897" s="25" t="str">
        <f t="shared" si="114"/>
        <v>,'shikkan889_start_date' : 'Z959_疾患開始日'</v>
      </c>
      <c r="X897" s="25">
        <v>1</v>
      </c>
      <c r="AA897" s="4"/>
      <c r="AB897" s="4"/>
      <c r="AC897" s="4"/>
      <c r="AD897" s="4"/>
      <c r="AE897" s="4"/>
      <c r="AF897" s="4"/>
      <c r="AG897" s="4"/>
      <c r="AH897" s="4"/>
      <c r="AI897" s="4"/>
      <c r="AJ897" s="76" t="str">
        <f>IF(E897="○",IF(COUNTA(E$13:E897)=1,"",",")&amp;D897,"")</f>
        <v/>
      </c>
      <c r="AK897" s="4"/>
      <c r="AL897" s="4"/>
      <c r="AM897" s="4"/>
      <c r="AN897" s="4"/>
      <c r="AO897" s="4"/>
      <c r="AP897" s="4"/>
      <c r="AQ897" s="4"/>
      <c r="AR897" s="4"/>
      <c r="AS897" s="76" t="str">
        <f>"COMMENT ON COLUMN "&amp;エンティティ一覧!$O$2&amp;"."&amp;D$8&amp;"."&amp;D897&amp;" IS '"&amp;C897&amp;"';"</f>
        <v>COMMENT ON COLUMN milscm_2023_009.main_diagnosis_start_date.shikkan889_start_date IS 'Z959_疾患開始日';</v>
      </c>
    </row>
    <row r="898" spans="1:45" s="25" customFormat="1">
      <c r="A898" s="4" t="s">
        <v>5949</v>
      </c>
      <c r="B898" s="21">
        <f t="shared" si="107"/>
        <v>896</v>
      </c>
      <c r="C898" s="13" t="str">
        <f t="shared" si="115"/>
        <v>Z992_疾患開始日</v>
      </c>
      <c r="D898" s="13" t="s">
        <v>6550</v>
      </c>
      <c r="E898" s="8"/>
      <c r="F898" s="7" t="s">
        <v>4348</v>
      </c>
      <c r="G898" s="7" t="s">
        <v>25</v>
      </c>
      <c r="H898" s="58"/>
      <c r="I898" s="23"/>
      <c r="J898" s="24"/>
      <c r="N898" s="76"/>
      <c r="O898" s="76"/>
      <c r="P898" s="76" t="str">
        <f t="shared" si="108"/>
        <v>,shikkan890_start_date</v>
      </c>
      <c r="Q898" s="76" t="str">
        <f t="shared" si="109"/>
        <v>DATE</v>
      </c>
      <c r="R898" s="76" t="str">
        <f t="shared" si="110"/>
        <v/>
      </c>
      <c r="S898" s="76" t="str">
        <f t="shared" si="111"/>
        <v/>
      </c>
      <c r="T898" s="76" t="str">
        <f t="shared" si="112"/>
        <v>-- Z992_疾患開始日</v>
      </c>
      <c r="U898" s="4" t="str">
        <f t="shared" si="113"/>
        <v>,'shikkan890_start_date'</v>
      </c>
      <c r="V898" s="25" t="str">
        <f t="shared" si="114"/>
        <v>,'shikkan890_start_date' : 'Z992_疾患開始日'</v>
      </c>
      <c r="X898" s="25">
        <v>1</v>
      </c>
      <c r="AA898" s="4"/>
      <c r="AB898" s="4"/>
      <c r="AC898" s="4"/>
      <c r="AD898" s="4"/>
      <c r="AE898" s="4"/>
      <c r="AF898" s="4"/>
      <c r="AG898" s="4"/>
      <c r="AH898" s="4"/>
      <c r="AI898" s="4"/>
      <c r="AJ898" s="76" t="str">
        <f>IF(E898="○",IF(COUNTA(E$13:E898)=1,"",",")&amp;D898,"")</f>
        <v/>
      </c>
      <c r="AK898" s="4"/>
      <c r="AL898" s="4"/>
      <c r="AM898" s="4"/>
      <c r="AN898" s="4"/>
      <c r="AO898" s="4"/>
      <c r="AP898" s="4"/>
      <c r="AQ898" s="4"/>
      <c r="AR898" s="4"/>
      <c r="AS898" s="76" t="str">
        <f>"COMMENT ON COLUMN "&amp;エンティティ一覧!$O$2&amp;"."&amp;D$8&amp;"."&amp;D898&amp;" IS '"&amp;C898&amp;"';"</f>
        <v>COMMENT ON COLUMN milscm_2023_009.main_diagnosis_start_date.shikkan890_start_date IS 'Z992_疾患開始日';</v>
      </c>
    </row>
    <row r="899" spans="1:45" s="25" customFormat="1">
      <c r="A899" s="4"/>
      <c r="B899" s="21">
        <f t="shared" si="107"/>
        <v>897</v>
      </c>
      <c r="C899" s="13" t="s">
        <v>4608</v>
      </c>
      <c r="D899" s="13" t="s">
        <v>4432</v>
      </c>
      <c r="E899" s="7"/>
      <c r="F899" s="7" t="s">
        <v>4609</v>
      </c>
      <c r="G899" s="7" t="str">
        <f t="shared" ref="G899" si="116">IF(F899="フラグ","boolean",IF(F899="文字列","text",IF(F899="整数","integer",IF(F899="実数","numeric",""))))</f>
        <v>text</v>
      </c>
      <c r="H899" s="58"/>
      <c r="I899" s="23" t="s">
        <v>127</v>
      </c>
      <c r="J899" s="24" t="s">
        <v>4637</v>
      </c>
      <c r="M899" s="4"/>
      <c r="N899" s="76"/>
      <c r="O899" s="76"/>
      <c r="P899" s="76" t="str">
        <f t="shared" ref="P899:P910" si="117">IF(B899&lt;&gt;1,","&amp;D899,D899)</f>
        <v>,nyu_gai_kubun</v>
      </c>
      <c r="Q899" s="76" t="str">
        <f t="shared" ref="Q899:Q910" si="118">UPPER(G899)</f>
        <v>TEXT</v>
      </c>
      <c r="R899" s="76" t="str">
        <f t="shared" ref="R899:R910" si="119">IF(H899&lt;&gt;"","default "&amp;IF(G899="text","'"&amp;H899&amp;"'",H899),"")</f>
        <v/>
      </c>
      <c r="S899" s="76" t="str">
        <f t="shared" ref="S899:S910" si="120">IF(I899="○","NOT NULL","")</f>
        <v>NOT NULL</v>
      </c>
      <c r="T899" s="76" t="str">
        <f t="shared" ref="T899:T910" si="121">"-- "&amp;C899</f>
        <v>-- 入外区分</v>
      </c>
      <c r="U899" s="4" t="str">
        <f t="shared" ref="U899:U911" si="122">IF(B899&lt;&gt;1,",","")&amp;"'"&amp;D899&amp;"'"</f>
        <v>,'nyu_gai_kubun'</v>
      </c>
      <c r="V899" s="25" t="str">
        <f t="shared" ref="V899:V911" si="123">U899&amp;" : '"&amp;C899&amp;"'"</f>
        <v>,'nyu_gai_kubun' : '入外区分'</v>
      </c>
      <c r="W899" s="25">
        <v>1</v>
      </c>
      <c r="AA899" s="4"/>
      <c r="AB899" s="4"/>
      <c r="AC899" s="4"/>
      <c r="AD899" s="4"/>
      <c r="AE899" s="4"/>
      <c r="AF899" s="4"/>
      <c r="AG899" s="4"/>
      <c r="AH899" s="4"/>
      <c r="AI899" s="4"/>
      <c r="AJ899" s="76" t="str">
        <f>IF(E899="○",IF(COUNTA(E$3:E899)=1,"",",")&amp;D899,"")</f>
        <v/>
      </c>
      <c r="AK899" s="4"/>
      <c r="AL899" s="4"/>
      <c r="AM899" s="4"/>
      <c r="AN899" s="4"/>
      <c r="AO899" s="4"/>
      <c r="AP899" s="4"/>
      <c r="AQ899" s="4"/>
      <c r="AR899" s="4"/>
      <c r="AS899" s="76" t="e">
        <f>"COMMENT ON COLUMN "&amp;エンティティ一覧!$O$2&amp;"."&amp;#REF!&amp;"."&amp;D899&amp;" IS '"&amp;C899&amp;"';"</f>
        <v>#REF!</v>
      </c>
    </row>
    <row r="900" spans="1:45" s="25" customFormat="1">
      <c r="A900" s="4"/>
      <c r="B900" s="21">
        <f t="shared" ref="B900:B927" si="124">ROW()-2</f>
        <v>898</v>
      </c>
      <c r="C900" s="13" t="s">
        <v>4610</v>
      </c>
      <c r="D900" s="13" t="s">
        <v>4433</v>
      </c>
      <c r="E900" s="7"/>
      <c r="F900" s="7" t="s">
        <v>4216</v>
      </c>
      <c r="G900" s="7" t="s">
        <v>25</v>
      </c>
      <c r="H900" s="58"/>
      <c r="I900" s="23"/>
      <c r="J900" s="24"/>
      <c r="M900" s="4"/>
      <c r="N900" s="76"/>
      <c r="O900" s="76"/>
      <c r="P900" s="76" t="str">
        <f t="shared" si="117"/>
        <v>,raiin_ymd</v>
      </c>
      <c r="Q900" s="76" t="str">
        <f t="shared" si="118"/>
        <v>DATE</v>
      </c>
      <c r="R900" s="76" t="str">
        <f t="shared" si="119"/>
        <v/>
      </c>
      <c r="S900" s="76" t="str">
        <f t="shared" si="120"/>
        <v/>
      </c>
      <c r="T900" s="76" t="str">
        <f t="shared" si="121"/>
        <v>-- 来院年月日</v>
      </c>
      <c r="U900" s="4" t="str">
        <f t="shared" si="122"/>
        <v>,'raiin_ymd'</v>
      </c>
      <c r="V900" s="25" t="str">
        <f t="shared" si="123"/>
        <v>,'raiin_ymd' : '来院年月日'</v>
      </c>
      <c r="X900" s="25">
        <v>1</v>
      </c>
      <c r="AA900" s="4"/>
      <c r="AB900" s="4"/>
      <c r="AC900" s="4"/>
      <c r="AD900" s="4"/>
      <c r="AE900" s="4"/>
      <c r="AF900" s="4"/>
      <c r="AG900" s="4"/>
      <c r="AH900" s="4"/>
      <c r="AI900" s="4"/>
      <c r="AJ900" s="76" t="str">
        <f>IF(E900="○",IF(COUNTA(E$3:E900)=1,"",",")&amp;D900,"")</f>
        <v/>
      </c>
      <c r="AK900" s="4"/>
      <c r="AL900" s="4"/>
      <c r="AM900" s="4"/>
      <c r="AN900" s="4"/>
      <c r="AO900" s="4"/>
      <c r="AP900" s="4"/>
      <c r="AQ900" s="4"/>
      <c r="AR900" s="4"/>
      <c r="AS900" s="76" t="e">
        <f>"COMMENT ON COLUMN "&amp;エンティティ一覧!$O$2&amp;"."&amp;#REF!&amp;"."&amp;D900&amp;" IS '"&amp;C900&amp;"';"</f>
        <v>#REF!</v>
      </c>
    </row>
    <row r="901" spans="1:45" s="25" customFormat="1">
      <c r="A901" s="4"/>
      <c r="B901" s="21">
        <f t="shared" si="124"/>
        <v>899</v>
      </c>
      <c r="C901" s="13" t="s">
        <v>4611</v>
      </c>
      <c r="D901" s="13" t="s">
        <v>212</v>
      </c>
      <c r="E901" s="7"/>
      <c r="F901" s="7" t="s">
        <v>4216</v>
      </c>
      <c r="G901" s="7" t="s">
        <v>25</v>
      </c>
      <c r="H901" s="58"/>
      <c r="I901" s="23"/>
      <c r="J901" s="24"/>
      <c r="N901" s="76"/>
      <c r="O901" s="76"/>
      <c r="P901" s="76" t="str">
        <f t="shared" si="117"/>
        <v>,taiin_ymd</v>
      </c>
      <c r="Q901" s="76" t="str">
        <f t="shared" si="118"/>
        <v>DATE</v>
      </c>
      <c r="R901" s="76" t="str">
        <f t="shared" si="119"/>
        <v/>
      </c>
      <c r="S901" s="76" t="str">
        <f t="shared" si="120"/>
        <v/>
      </c>
      <c r="T901" s="76" t="str">
        <f t="shared" si="121"/>
        <v>-- 退院年月日</v>
      </c>
      <c r="U901" s="4" t="str">
        <f t="shared" si="122"/>
        <v>,'taiin_ymd'</v>
      </c>
      <c r="V901" s="25" t="str">
        <f t="shared" si="123"/>
        <v>,'taiin_ymd' : '退院年月日'</v>
      </c>
      <c r="X901" s="25">
        <v>1</v>
      </c>
      <c r="AA901" s="4"/>
      <c r="AB901" s="4"/>
      <c r="AC901" s="4"/>
      <c r="AD901" s="4"/>
      <c r="AE901" s="4"/>
      <c r="AF901" s="4"/>
      <c r="AG901" s="4"/>
      <c r="AH901" s="4"/>
      <c r="AI901" s="4"/>
      <c r="AJ901" s="76" t="str">
        <f>IF(E901="○",IF(COUNTA(E$3:E901)=1,"",",")&amp;D901,"")</f>
        <v/>
      </c>
      <c r="AK901" s="4"/>
      <c r="AL901" s="4"/>
      <c r="AM901" s="4"/>
      <c r="AN901" s="4"/>
      <c r="AO901" s="4"/>
      <c r="AP901" s="4"/>
      <c r="AQ901" s="4"/>
      <c r="AR901" s="4"/>
      <c r="AS901" s="76" t="e">
        <f>"COMMENT ON COLUMN "&amp;エンティティ一覧!$O$2&amp;"."&amp;#REF!&amp;"."&amp;D901&amp;" IS '"&amp;C901&amp;"';"</f>
        <v>#REF!</v>
      </c>
    </row>
    <row r="902" spans="1:45" s="25" customFormat="1">
      <c r="A902" s="4"/>
      <c r="B902" s="21">
        <f t="shared" si="124"/>
        <v>900</v>
      </c>
      <c r="C902" s="13" t="s">
        <v>4612</v>
      </c>
      <c r="D902" s="13" t="s">
        <v>4500</v>
      </c>
      <c r="E902" s="7" t="s">
        <v>127</v>
      </c>
      <c r="F902" s="7" t="s">
        <v>4216</v>
      </c>
      <c r="G902" s="7" t="s">
        <v>99</v>
      </c>
      <c r="H902" s="58"/>
      <c r="I902" s="23" t="s">
        <v>127</v>
      </c>
      <c r="J902" s="24"/>
      <c r="M902" s="4"/>
      <c r="N902" s="76"/>
      <c r="O902" s="76"/>
      <c r="P902" s="76" t="str">
        <f t="shared" si="117"/>
        <v>,event_date</v>
      </c>
      <c r="Q902" s="76" t="str">
        <f t="shared" si="118"/>
        <v>DATE</v>
      </c>
      <c r="R902" s="76" t="str">
        <f t="shared" si="119"/>
        <v/>
      </c>
      <c r="S902" s="76" t="str">
        <f t="shared" si="120"/>
        <v>NOT NULL</v>
      </c>
      <c r="T902" s="76" t="str">
        <f t="shared" si="121"/>
        <v>-- イベント日付</v>
      </c>
      <c r="U902" s="4" t="str">
        <f t="shared" si="122"/>
        <v>,'event_date'</v>
      </c>
      <c r="V902" s="25" t="str">
        <f t="shared" si="123"/>
        <v>,'event_date' : 'イベント日付'</v>
      </c>
      <c r="X902" s="25">
        <v>1</v>
      </c>
      <c r="AA902" s="4"/>
      <c r="AB902" s="4"/>
      <c r="AC902" s="4"/>
      <c r="AD902" s="4"/>
      <c r="AE902" s="4"/>
      <c r="AF902" s="4"/>
      <c r="AG902" s="4"/>
      <c r="AH902" s="4"/>
      <c r="AI902" s="4"/>
      <c r="AJ902" s="76" t="str">
        <f>IF(E902="○",IF(COUNTA(E$3:E902)=1,"",",")&amp;D902,"")</f>
        <v>,event_date</v>
      </c>
      <c r="AK902" s="4"/>
      <c r="AL902" s="4"/>
      <c r="AM902" s="4"/>
      <c r="AN902" s="4"/>
      <c r="AO902" s="4"/>
      <c r="AP902" s="4"/>
      <c r="AQ902" s="4"/>
      <c r="AR902" s="4"/>
      <c r="AS902" s="76" t="e">
        <f>"COMMENT ON COLUMN "&amp;エンティティ一覧!$O$2&amp;"."&amp;#REF!&amp;"."&amp;D902&amp;" IS '"&amp;C902&amp;"';"</f>
        <v>#REF!</v>
      </c>
    </row>
    <row r="903" spans="1:45" s="25" customFormat="1">
      <c r="A903" s="4"/>
      <c r="B903" s="21">
        <f t="shared" si="124"/>
        <v>901</v>
      </c>
      <c r="C903" s="13" t="s">
        <v>4301</v>
      </c>
      <c r="D903" s="13" t="s">
        <v>4300</v>
      </c>
      <c r="E903" s="8" t="s">
        <v>127</v>
      </c>
      <c r="F903" s="7" t="s">
        <v>1990</v>
      </c>
      <c r="G903" s="7" t="str">
        <f t="shared" ref="G903:G910" si="125">IF(F903="フラグ","boolean",IF(F903="文字列","text",IF(F903="整数","integer",IF(F903="実数","numeric",""))))</f>
        <v>integer</v>
      </c>
      <c r="H903" s="58"/>
      <c r="I903" s="23" t="s">
        <v>127</v>
      </c>
      <c r="J903" s="24"/>
      <c r="M903" s="4"/>
      <c r="N903" s="76"/>
      <c r="O903" s="76"/>
      <c r="P903" s="76" t="str">
        <f t="shared" si="117"/>
        <v>,row_no</v>
      </c>
      <c r="Q903" s="76" t="str">
        <f t="shared" si="118"/>
        <v>INTEGER</v>
      </c>
      <c r="R903" s="76" t="str">
        <f t="shared" si="119"/>
        <v/>
      </c>
      <c r="S903" s="76" t="str">
        <f t="shared" si="120"/>
        <v>NOT NULL</v>
      </c>
      <c r="T903" s="76" t="str">
        <f t="shared" si="121"/>
        <v>-- 行番号</v>
      </c>
      <c r="U903" s="4" t="str">
        <f t="shared" si="122"/>
        <v>,'row_no'</v>
      </c>
      <c r="V903" s="25" t="str">
        <f t="shared" si="123"/>
        <v>,'row_no' : '行番号'</v>
      </c>
      <c r="W903" s="25">
        <v>1</v>
      </c>
      <c r="AA903" s="4"/>
      <c r="AB903" s="4"/>
      <c r="AC903" s="4"/>
      <c r="AD903" s="4"/>
      <c r="AE903" s="4"/>
      <c r="AF903" s="4"/>
      <c r="AG903" s="4"/>
      <c r="AH903" s="4"/>
      <c r="AI903" s="4"/>
      <c r="AJ903" s="76" t="str">
        <f>IF(E903="○",IF(COUNTA(E$3:E903)=1,"",",")&amp;D903,"")</f>
        <v>,row_no</v>
      </c>
      <c r="AK903" s="4"/>
      <c r="AL903" s="4"/>
      <c r="AM903" s="4"/>
      <c r="AN903" s="4"/>
      <c r="AO903" s="4"/>
      <c r="AP903" s="4"/>
      <c r="AQ903" s="4"/>
      <c r="AR903" s="4"/>
      <c r="AS903" s="76" t="e">
        <f>"COMMENT ON COLUMN "&amp;エンティティ一覧!$O$2&amp;"."&amp;#REF!&amp;"."&amp;D903&amp;" IS '"&amp;C903&amp;"';"</f>
        <v>#REF!</v>
      </c>
    </row>
    <row r="904" spans="1:45" s="25" customFormat="1">
      <c r="A904" s="4"/>
      <c r="B904" s="21">
        <f t="shared" si="124"/>
        <v>902</v>
      </c>
      <c r="C904" s="13" t="s">
        <v>4613</v>
      </c>
      <c r="D904" s="13" t="s">
        <v>4509</v>
      </c>
      <c r="E904" s="7"/>
      <c r="F904" s="7" t="s">
        <v>4609</v>
      </c>
      <c r="G904" s="7" t="str">
        <f t="shared" si="125"/>
        <v>text</v>
      </c>
      <c r="H904" s="58"/>
      <c r="I904" s="23"/>
      <c r="J904" s="24" t="s">
        <v>4582</v>
      </c>
      <c r="M904" s="4"/>
      <c r="N904" s="76"/>
      <c r="O904" s="76"/>
      <c r="P904" s="76" t="str">
        <f t="shared" si="117"/>
        <v>,tp53</v>
      </c>
      <c r="Q904" s="76" t="str">
        <f t="shared" si="118"/>
        <v>TEXT</v>
      </c>
      <c r="R904" s="76" t="str">
        <f t="shared" si="119"/>
        <v/>
      </c>
      <c r="S904" s="76" t="str">
        <f t="shared" si="120"/>
        <v/>
      </c>
      <c r="T904" s="76" t="str">
        <f t="shared" si="121"/>
        <v>-- del（１７ｐ）</v>
      </c>
      <c r="U904" s="4" t="str">
        <f t="shared" si="122"/>
        <v>,'tp53'</v>
      </c>
      <c r="V904" s="25" t="str">
        <f t="shared" si="123"/>
        <v>,'tp53' : 'del（１７ｐ）'</v>
      </c>
      <c r="W904" s="25">
        <v>1</v>
      </c>
      <c r="AA904" s="4"/>
      <c r="AB904" s="4"/>
      <c r="AC904" s="4"/>
      <c r="AD904" s="4"/>
      <c r="AE904" s="4"/>
      <c r="AF904" s="4"/>
      <c r="AG904" s="4"/>
      <c r="AH904" s="4"/>
      <c r="AI904" s="4"/>
      <c r="AJ904" s="76" t="str">
        <f>IF(E904="○",IF(COUNTA(E$3:E904)=1,"",",")&amp;D904,"")</f>
        <v/>
      </c>
      <c r="AK904" s="4"/>
      <c r="AL904" s="4"/>
      <c r="AM904" s="4"/>
      <c r="AN904" s="4"/>
      <c r="AO904" s="4"/>
      <c r="AP904" s="4"/>
      <c r="AQ904" s="4"/>
      <c r="AR904" s="4"/>
      <c r="AS904" s="76" t="e">
        <f>"COMMENT ON COLUMN "&amp;エンティティ一覧!$O$2&amp;"."&amp;#REF!&amp;"."&amp;D904&amp;" IS '"&amp;C904&amp;"';"</f>
        <v>#REF!</v>
      </c>
    </row>
    <row r="905" spans="1:45" s="25" customFormat="1">
      <c r="A905" s="4"/>
      <c r="B905" s="21">
        <f t="shared" si="124"/>
        <v>903</v>
      </c>
      <c r="C905" s="13" t="s">
        <v>4614</v>
      </c>
      <c r="D905" s="13" t="s">
        <v>4508</v>
      </c>
      <c r="E905" s="7"/>
      <c r="F905" s="7" t="s">
        <v>4609</v>
      </c>
      <c r="G905" s="7" t="str">
        <f t="shared" si="125"/>
        <v>text</v>
      </c>
      <c r="H905" s="58"/>
      <c r="I905" s="23"/>
      <c r="J905" s="24" t="s">
        <v>4582</v>
      </c>
      <c r="M905" s="4"/>
      <c r="N905" s="76"/>
      <c r="O905" s="76"/>
      <c r="P905" s="76" t="str">
        <f t="shared" si="117"/>
        <v>,igh_fgfr3</v>
      </c>
      <c r="Q905" s="76" t="str">
        <f t="shared" si="118"/>
        <v>TEXT</v>
      </c>
      <c r="R905" s="76" t="str">
        <f t="shared" si="119"/>
        <v/>
      </c>
      <c r="S905" s="76" t="str">
        <f t="shared" si="120"/>
        <v/>
      </c>
      <c r="T905" s="76" t="str">
        <f t="shared" si="121"/>
        <v>-- t（４；１４）</v>
      </c>
      <c r="U905" s="4" t="str">
        <f t="shared" si="122"/>
        <v>,'igh_fgfr3'</v>
      </c>
      <c r="V905" s="25" t="str">
        <f t="shared" si="123"/>
        <v>,'igh_fgfr3' : 't（４；１４）'</v>
      </c>
      <c r="W905" s="25">
        <v>1</v>
      </c>
      <c r="AA905" s="4"/>
      <c r="AB905" s="4"/>
      <c r="AC905" s="4"/>
      <c r="AD905" s="4"/>
      <c r="AE905" s="4"/>
      <c r="AF905" s="4"/>
      <c r="AG905" s="4"/>
      <c r="AH905" s="4"/>
      <c r="AI905" s="4"/>
      <c r="AJ905" s="76" t="str">
        <f>IF(E905="○",IF(COUNTA(E$3:E905)=1,"",",")&amp;D905,"")</f>
        <v/>
      </c>
      <c r="AK905" s="4"/>
      <c r="AL905" s="4"/>
      <c r="AM905" s="4"/>
      <c r="AN905" s="4"/>
      <c r="AO905" s="4"/>
      <c r="AP905" s="4"/>
      <c r="AQ905" s="4"/>
      <c r="AR905" s="4"/>
      <c r="AS905" s="76" t="e">
        <f>"COMMENT ON COLUMN "&amp;エンティティ一覧!$O$2&amp;"."&amp;#REF!&amp;"."&amp;D905&amp;" IS '"&amp;C905&amp;"';"</f>
        <v>#REF!</v>
      </c>
    </row>
    <row r="906" spans="1:45" s="25" customFormat="1">
      <c r="A906" s="4"/>
      <c r="B906" s="21">
        <f t="shared" si="124"/>
        <v>904</v>
      </c>
      <c r="C906" s="13" t="s">
        <v>4615</v>
      </c>
      <c r="D906" s="13" t="s">
        <v>4581</v>
      </c>
      <c r="E906" s="7"/>
      <c r="F906" s="7" t="s">
        <v>4609</v>
      </c>
      <c r="G906" s="7" t="str">
        <f t="shared" si="125"/>
        <v>text</v>
      </c>
      <c r="H906" s="58"/>
      <c r="I906" s="23"/>
      <c r="J906" s="24" t="s">
        <v>4582</v>
      </c>
      <c r="M906" s="4"/>
      <c r="N906" s="76"/>
      <c r="O906" s="76"/>
      <c r="P906" s="76" t="str">
        <f t="shared" si="117"/>
        <v>,igh_maf</v>
      </c>
      <c r="Q906" s="76" t="str">
        <f t="shared" si="118"/>
        <v>TEXT</v>
      </c>
      <c r="R906" s="76" t="str">
        <f t="shared" si="119"/>
        <v/>
      </c>
      <c r="S906" s="76" t="str">
        <f t="shared" si="120"/>
        <v/>
      </c>
      <c r="T906" s="76" t="str">
        <f t="shared" si="121"/>
        <v>-- t（１４；１６）</v>
      </c>
      <c r="U906" s="4" t="str">
        <f t="shared" si="122"/>
        <v>,'igh_maf'</v>
      </c>
      <c r="V906" s="25" t="str">
        <f t="shared" si="123"/>
        <v>,'igh_maf' : 't（１４；１６）'</v>
      </c>
      <c r="W906" s="25">
        <v>1</v>
      </c>
      <c r="AA906" s="4"/>
      <c r="AB906" s="4"/>
      <c r="AC906" s="4"/>
      <c r="AD906" s="4"/>
      <c r="AE906" s="4"/>
      <c r="AF906" s="4"/>
      <c r="AG906" s="4"/>
      <c r="AH906" s="4"/>
      <c r="AI906" s="4"/>
      <c r="AJ906" s="76" t="str">
        <f>IF(E906="○",IF(COUNTA(E$3:E906)=1,"",",")&amp;D906,"")</f>
        <v/>
      </c>
      <c r="AK906" s="4"/>
      <c r="AL906" s="4"/>
      <c r="AM906" s="4"/>
      <c r="AN906" s="4"/>
      <c r="AO906" s="4"/>
      <c r="AP906" s="4"/>
      <c r="AQ906" s="4"/>
      <c r="AR906" s="4"/>
      <c r="AS906" s="76" t="e">
        <f>"COMMENT ON COLUMN "&amp;エンティティ一覧!$O$2&amp;"."&amp;#REF!&amp;"."&amp;D906&amp;" IS '"&amp;C906&amp;"';"</f>
        <v>#REF!</v>
      </c>
    </row>
    <row r="907" spans="1:45" s="25" customFormat="1">
      <c r="A907" s="4"/>
      <c r="B907" s="21">
        <f t="shared" si="124"/>
        <v>905</v>
      </c>
      <c r="C907" s="13" t="s">
        <v>4616</v>
      </c>
      <c r="D907" s="13" t="s">
        <v>4579</v>
      </c>
      <c r="E907" s="7"/>
      <c r="F907" s="7" t="s">
        <v>4609</v>
      </c>
      <c r="G907" s="7" t="str">
        <f t="shared" si="125"/>
        <v>text</v>
      </c>
      <c r="H907" s="58"/>
      <c r="I907" s="23"/>
      <c r="J907" s="24" t="s">
        <v>4582</v>
      </c>
      <c r="N907" s="76"/>
      <c r="O907" s="76"/>
      <c r="P907" s="76" t="str">
        <f t="shared" si="117"/>
        <v>,gain_1q21</v>
      </c>
      <c r="Q907" s="76" t="str">
        <f t="shared" si="118"/>
        <v>TEXT</v>
      </c>
      <c r="R907" s="76" t="str">
        <f t="shared" si="119"/>
        <v/>
      </c>
      <c r="S907" s="76" t="str">
        <f t="shared" si="120"/>
        <v/>
      </c>
      <c r="T907" s="76" t="str">
        <f t="shared" si="121"/>
        <v>-- 1q21＋</v>
      </c>
      <c r="U907" s="4" t="str">
        <f t="shared" si="122"/>
        <v>,'gain_1q21'</v>
      </c>
      <c r="V907" s="25" t="str">
        <f t="shared" si="123"/>
        <v>,'gain_1q21' : '1q21＋'</v>
      </c>
      <c r="W907" s="25">
        <v>1</v>
      </c>
      <c r="AA907" s="4"/>
      <c r="AB907" s="4"/>
      <c r="AC907" s="4"/>
      <c r="AD907" s="4"/>
      <c r="AE907" s="4"/>
      <c r="AF907" s="4"/>
      <c r="AG907" s="4"/>
      <c r="AH907" s="4"/>
      <c r="AI907" s="4"/>
      <c r="AJ907" s="76" t="str">
        <f>IF(E907="○",IF(COUNTA(E$3:E907)=1,"",",")&amp;D907,"")</f>
        <v/>
      </c>
      <c r="AK907" s="4"/>
      <c r="AL907" s="4"/>
      <c r="AM907" s="4"/>
      <c r="AN907" s="4"/>
      <c r="AO907" s="4"/>
      <c r="AP907" s="4"/>
      <c r="AQ907" s="4"/>
      <c r="AR907" s="4"/>
      <c r="AS907" s="76" t="e">
        <f>"COMMENT ON COLUMN "&amp;エンティティ一覧!$O$2&amp;"."&amp;#REF!&amp;"."&amp;D907&amp;" IS '"&amp;C907&amp;"';"</f>
        <v>#REF!</v>
      </c>
    </row>
    <row r="908" spans="1:45" s="25" customFormat="1" ht="37.5">
      <c r="A908" s="4"/>
      <c r="B908" s="21">
        <f t="shared" si="124"/>
        <v>906</v>
      </c>
      <c r="C908" s="13" t="s">
        <v>4617</v>
      </c>
      <c r="D908" s="13" t="s">
        <v>4344</v>
      </c>
      <c r="E908" s="7"/>
      <c r="F908" s="7" t="s">
        <v>4609</v>
      </c>
      <c r="G908" s="7" t="str">
        <f t="shared" si="125"/>
        <v>text</v>
      </c>
      <c r="H908" s="58"/>
      <c r="I908" s="23"/>
      <c r="J908" s="24" t="s">
        <v>4657</v>
      </c>
      <c r="M908" s="4"/>
      <c r="N908" s="76"/>
      <c r="O908" s="76"/>
      <c r="P908" s="76" t="str">
        <f t="shared" si="117"/>
        <v>,iyakuhin_ippan_name</v>
      </c>
      <c r="Q908" s="76" t="str">
        <f t="shared" si="118"/>
        <v>TEXT</v>
      </c>
      <c r="R908" s="76" t="str">
        <f t="shared" si="119"/>
        <v/>
      </c>
      <c r="S908" s="76" t="str">
        <f t="shared" si="120"/>
        <v/>
      </c>
      <c r="T908" s="76" t="str">
        <f t="shared" si="121"/>
        <v>-- 薬剤表示名</v>
      </c>
      <c r="U908" s="4" t="str">
        <f t="shared" si="122"/>
        <v>,'iyakuhin_ippan_name'</v>
      </c>
      <c r="V908" s="25" t="str">
        <f t="shared" si="123"/>
        <v>,'iyakuhin_ippan_name' : '薬剤表示名'</v>
      </c>
      <c r="W908" s="25">
        <v>1</v>
      </c>
      <c r="X908" s="25">
        <v>1</v>
      </c>
      <c r="Y908" s="25">
        <v>1</v>
      </c>
      <c r="AA908" s="4"/>
      <c r="AB908" s="4"/>
      <c r="AC908" s="4"/>
      <c r="AD908" s="4"/>
      <c r="AE908" s="4"/>
      <c r="AF908" s="4"/>
      <c r="AG908" s="4"/>
      <c r="AH908" s="4"/>
      <c r="AI908" s="4"/>
      <c r="AJ908" s="76" t="str">
        <f>IF(E908="○",IF(COUNTA(E$3:E908)=1,"",",")&amp;D908,"")</f>
        <v/>
      </c>
      <c r="AK908" s="4"/>
      <c r="AL908" s="4"/>
      <c r="AM908" s="4"/>
      <c r="AN908" s="4"/>
      <c r="AO908" s="4"/>
      <c r="AP908" s="4"/>
      <c r="AQ908" s="4"/>
      <c r="AR908" s="4"/>
      <c r="AS908" s="76" t="e">
        <f>"COMMENT ON COLUMN "&amp;エンティティ一覧!$O$2&amp;"."&amp;#REF!&amp;"."&amp;D908&amp;" IS '"&amp;C908&amp;"';"</f>
        <v>#REF!</v>
      </c>
    </row>
    <row r="909" spans="1:45" s="25" customFormat="1">
      <c r="A909" s="4"/>
      <c r="B909" s="21">
        <f t="shared" si="124"/>
        <v>907</v>
      </c>
      <c r="C909" s="13" t="s">
        <v>4619</v>
      </c>
      <c r="D909" s="13" t="s">
        <v>4338</v>
      </c>
      <c r="E909" s="7"/>
      <c r="F909" s="7" t="s">
        <v>4200</v>
      </c>
      <c r="G909" s="7" t="str">
        <f t="shared" si="125"/>
        <v>numeric</v>
      </c>
      <c r="H909" s="58"/>
      <c r="I909" s="23"/>
      <c r="J909" s="24"/>
      <c r="M909" s="4"/>
      <c r="N909" s="76"/>
      <c r="O909" s="76"/>
      <c r="P909" s="76" t="str">
        <f t="shared" si="117"/>
        <v>,toyoryo</v>
      </c>
      <c r="Q909" s="76" t="str">
        <f t="shared" si="118"/>
        <v>NUMERIC</v>
      </c>
      <c r="R909" s="76" t="str">
        <f t="shared" si="119"/>
        <v/>
      </c>
      <c r="S909" s="76" t="str">
        <f t="shared" si="120"/>
        <v/>
      </c>
      <c r="T909" s="76" t="str">
        <f t="shared" si="121"/>
        <v>-- 投与量</v>
      </c>
      <c r="U909" s="4" t="str">
        <f t="shared" si="122"/>
        <v>,'toyoryo'</v>
      </c>
      <c r="V909" s="25" t="str">
        <f t="shared" si="123"/>
        <v>,'toyoryo' : '投与量'</v>
      </c>
      <c r="W909" s="25">
        <v>1</v>
      </c>
      <c r="X909" s="25">
        <v>1</v>
      </c>
      <c r="Y909" s="25">
        <v>1</v>
      </c>
      <c r="AA909" s="4"/>
      <c r="AB909" s="4"/>
      <c r="AC909" s="4"/>
      <c r="AD909" s="4"/>
      <c r="AE909" s="4"/>
      <c r="AF909" s="4"/>
      <c r="AG909" s="4"/>
      <c r="AH909" s="4"/>
      <c r="AI909" s="4"/>
      <c r="AJ909" s="76" t="str">
        <f>IF(E909="○",IF(COUNTA(E$3:E909)=1,"",",")&amp;D909,"")</f>
        <v/>
      </c>
      <c r="AK909" s="4"/>
      <c r="AL909" s="4"/>
      <c r="AM909" s="4"/>
      <c r="AN909" s="4"/>
      <c r="AO909" s="4"/>
      <c r="AP909" s="4"/>
      <c r="AQ909" s="4"/>
      <c r="AR909" s="4"/>
      <c r="AS909" s="76" t="e">
        <f>"COMMENT ON COLUMN "&amp;エンティティ一覧!$O$2&amp;"."&amp;#REF!&amp;"."&amp;D909&amp;" IS '"&amp;C909&amp;"';"</f>
        <v>#REF!</v>
      </c>
    </row>
    <row r="910" spans="1:45" s="25" customFormat="1">
      <c r="A910" s="4"/>
      <c r="B910" s="21">
        <f t="shared" si="124"/>
        <v>908</v>
      </c>
      <c r="C910" s="13" t="s">
        <v>4620</v>
      </c>
      <c r="D910" s="13" t="s">
        <v>4339</v>
      </c>
      <c r="E910" s="7"/>
      <c r="F910" s="7" t="s">
        <v>1780</v>
      </c>
      <c r="G910" s="7" t="str">
        <f t="shared" si="125"/>
        <v>text</v>
      </c>
      <c r="H910" s="58"/>
      <c r="I910" s="23"/>
      <c r="J910" s="24"/>
      <c r="N910" s="76"/>
      <c r="O910" s="76"/>
      <c r="P910" s="76" t="str">
        <f t="shared" si="117"/>
        <v>,seibun_unit_name</v>
      </c>
      <c r="Q910" s="76" t="str">
        <f t="shared" si="118"/>
        <v>TEXT</v>
      </c>
      <c r="R910" s="76" t="str">
        <f t="shared" si="119"/>
        <v/>
      </c>
      <c r="S910" s="76" t="str">
        <f t="shared" si="120"/>
        <v/>
      </c>
      <c r="T910" s="76" t="str">
        <f t="shared" si="121"/>
        <v>-- 成分単位名称</v>
      </c>
      <c r="U910" s="4" t="str">
        <f t="shared" si="122"/>
        <v>,'seibun_unit_name'</v>
      </c>
      <c r="V910" s="25" t="str">
        <f t="shared" si="123"/>
        <v>,'seibun_unit_name' : '成分単位名称'</v>
      </c>
      <c r="W910" s="25">
        <v>1</v>
      </c>
      <c r="X910" s="25">
        <v>1</v>
      </c>
      <c r="Y910" s="25">
        <v>1</v>
      </c>
      <c r="AA910" s="4"/>
      <c r="AB910" s="4"/>
      <c r="AC910" s="4"/>
      <c r="AD910" s="4"/>
      <c r="AE910" s="4"/>
      <c r="AF910" s="4"/>
      <c r="AG910" s="4"/>
      <c r="AH910" s="4"/>
      <c r="AI910" s="4"/>
      <c r="AJ910" s="76" t="str">
        <f>IF(E910="○",IF(COUNTA(E$3:E910)=1,"",",")&amp;D910,"")</f>
        <v/>
      </c>
      <c r="AK910" s="4"/>
      <c r="AL910" s="4"/>
      <c r="AM910" s="4"/>
      <c r="AN910" s="4"/>
      <c r="AO910" s="4"/>
      <c r="AP910" s="4"/>
      <c r="AQ910" s="4"/>
      <c r="AR910" s="4"/>
      <c r="AS910" s="76" t="e">
        <f>"COMMENT ON COLUMN "&amp;エンティティ一覧!$O$2&amp;"."&amp;#REF!&amp;"."&amp;D910&amp;" IS '"&amp;C910&amp;"';"</f>
        <v>#REF!</v>
      </c>
    </row>
    <row r="911" spans="1:45" s="25" customFormat="1">
      <c r="A911" s="4"/>
      <c r="B911" s="21">
        <f t="shared" si="124"/>
        <v>909</v>
      </c>
      <c r="C911" s="13" t="s">
        <v>4202</v>
      </c>
      <c r="D911" s="13" t="s">
        <v>4587</v>
      </c>
      <c r="E911" s="7"/>
      <c r="F911" s="7" t="s">
        <v>4302</v>
      </c>
      <c r="G911" s="7" t="str">
        <f>IF(F911="フラグ","boolean",IF(F911="文字列","text",IF(F911="整数","integer",IF(F911="実数","numeric",""))))</f>
        <v>integer</v>
      </c>
      <c r="H911" s="58"/>
      <c r="I911" s="23"/>
      <c r="J911" s="24"/>
      <c r="M911" s="4"/>
      <c r="N911" s="76"/>
      <c r="O911" s="76"/>
      <c r="P911" s="76" t="str">
        <f>IF(B911&lt;&gt;1,","&amp;D911,D911)</f>
        <v>,koi_times</v>
      </c>
      <c r="Q911" s="76" t="str">
        <f>UPPER(G911)</f>
        <v>INTEGER</v>
      </c>
      <c r="R911" s="76" t="str">
        <f>IF(H911&lt;&gt;"","default "&amp;IF(G911="text","'"&amp;H911&amp;"'",H911),"")</f>
        <v/>
      </c>
      <c r="S911" s="76" t="str">
        <f>IF(I911="○","NOT NULL","")</f>
        <v/>
      </c>
      <c r="T911" s="76" t="str">
        <f>"-- "&amp;C911</f>
        <v>-- 行為回数</v>
      </c>
      <c r="U911" s="4" t="str">
        <f t="shared" si="122"/>
        <v>,'koi_times'</v>
      </c>
      <c r="V911" s="25" t="str">
        <f t="shared" si="123"/>
        <v>,'koi_times' : '行為回数'</v>
      </c>
      <c r="W911" s="25">
        <v>1</v>
      </c>
      <c r="X911" s="25">
        <v>1</v>
      </c>
      <c r="Y911" s="25">
        <v>1</v>
      </c>
      <c r="AA911" s="4"/>
      <c r="AB911" s="4"/>
      <c r="AC911" s="4"/>
      <c r="AD911" s="4"/>
      <c r="AE911" s="4"/>
      <c r="AF911" s="4"/>
      <c r="AG911" s="4"/>
      <c r="AH911" s="4"/>
      <c r="AI911" s="4"/>
      <c r="AJ911" s="76" t="str">
        <f>IF(E911="○",IF(COUNTA(E$3:E911)=1,"",",")&amp;D911,"")</f>
        <v/>
      </c>
      <c r="AK911" s="4"/>
      <c r="AL911" s="4"/>
      <c r="AM911" s="4"/>
      <c r="AN911" s="4"/>
      <c r="AO911" s="4"/>
      <c r="AP911" s="4"/>
      <c r="AQ911" s="4"/>
      <c r="AR911" s="4"/>
      <c r="AS911" s="76" t="e">
        <f>"COMMENT ON COLUMN "&amp;エンティティ一覧!$O$2&amp;"."&amp;#REF!&amp;"."&amp;D911&amp;" IS '"&amp;C911&amp;"';"</f>
        <v>#REF!</v>
      </c>
    </row>
    <row r="912" spans="1:45" s="25" customFormat="1">
      <c r="A912" s="4"/>
      <c r="B912" s="21">
        <f t="shared" si="124"/>
        <v>910</v>
      </c>
      <c r="C912" s="13" t="s">
        <v>4621</v>
      </c>
      <c r="D912" s="13" t="s">
        <v>4511</v>
      </c>
      <c r="E912" s="7"/>
      <c r="F912" s="7" t="s">
        <v>4200</v>
      </c>
      <c r="G912" s="7" t="str">
        <f>IF(F912="フラグ","boolean",IF(F912="文字列","text",IF(F912="整数","integer",IF(F912="実数","numeric",""))))</f>
        <v>numeric</v>
      </c>
      <c r="H912" s="58"/>
      <c r="I912" s="23"/>
      <c r="J912" s="24"/>
      <c r="M912" s="4"/>
      <c r="N912" s="76"/>
      <c r="O912" s="76"/>
      <c r="P912" s="76" t="str">
        <f>IF(B912&lt;&gt;1,","&amp;D912,D912)</f>
        <v>,ldh_value</v>
      </c>
      <c r="Q912" s="76" t="str">
        <f t="shared" ref="Q912:Q928" si="126">UPPER(G912)</f>
        <v>NUMERIC</v>
      </c>
      <c r="R912" s="76" t="str">
        <f t="shared" ref="R912:R928" si="127">IF(H912&lt;&gt;"","default "&amp;IF(G912="text","'"&amp;H912&amp;"'",H912),"")</f>
        <v/>
      </c>
      <c r="S912" s="76" t="str">
        <f t="shared" ref="S912:S928" si="128">IF(I912="○","NOT NULL","")</f>
        <v/>
      </c>
      <c r="T912" s="76" t="str">
        <f t="shared" ref="T912:T928" si="129">"-- "&amp;C912</f>
        <v>-- LDH_検査値</v>
      </c>
      <c r="U912" s="4"/>
      <c r="V912" s="25" t="str">
        <f>",max("&amp;D912&amp;")"</f>
        <v>,max(ldh_value)</v>
      </c>
      <c r="W912" s="25">
        <v>1</v>
      </c>
      <c r="AA912" s="4"/>
      <c r="AB912" s="4"/>
      <c r="AC912" s="4"/>
      <c r="AD912" s="4"/>
      <c r="AE912" s="4"/>
      <c r="AF912" s="4"/>
      <c r="AG912" s="4"/>
      <c r="AH912" s="4"/>
      <c r="AI912" s="4"/>
      <c r="AJ912" s="76" t="str">
        <f>IF(E912="○",IF(COUNTA(E$3:E912)=1,"",",")&amp;D912,"")</f>
        <v/>
      </c>
      <c r="AK912" s="4"/>
      <c r="AL912" s="4"/>
      <c r="AM912" s="4"/>
      <c r="AN912" s="4"/>
      <c r="AO912" s="4"/>
      <c r="AP912" s="4"/>
      <c r="AQ912" s="4"/>
      <c r="AR912" s="4"/>
      <c r="AS912" s="76" t="e">
        <f>"COMMENT ON COLUMN "&amp;エンティティ一覧!$O$2&amp;"."&amp;#REF!&amp;"."&amp;D912&amp;" IS '"&amp;C912&amp;"';"</f>
        <v>#REF!</v>
      </c>
    </row>
    <row r="913" spans="1:45" s="25" customFormat="1">
      <c r="A913" s="4"/>
      <c r="B913" s="21">
        <f t="shared" si="124"/>
        <v>911</v>
      </c>
      <c r="C913" s="13" t="s">
        <v>4622</v>
      </c>
      <c r="D913" s="13" t="s">
        <v>4513</v>
      </c>
      <c r="E913" s="7"/>
      <c r="F913" s="7" t="s">
        <v>4200</v>
      </c>
      <c r="G913" s="7" t="str">
        <f t="shared" ref="G913:G920" si="130">IF(F913="フラグ","boolean",IF(F913="文字列","text",IF(F913="整数","integer",IF(F913="実数","numeric",""))))</f>
        <v>numeric</v>
      </c>
      <c r="H913" s="58"/>
      <c r="I913" s="23"/>
      <c r="J913" s="24"/>
      <c r="M913" s="4"/>
      <c r="N913" s="76"/>
      <c r="O913" s="76"/>
      <c r="P913" s="76" t="str">
        <f t="shared" ref="P913:P928" si="131">IF(B913&lt;&gt;1,","&amp;D913,D913)</f>
        <v>,albumin_value</v>
      </c>
      <c r="Q913" s="76" t="str">
        <f t="shared" si="126"/>
        <v>NUMERIC</v>
      </c>
      <c r="R913" s="76" t="str">
        <f t="shared" si="127"/>
        <v/>
      </c>
      <c r="S913" s="76" t="str">
        <f t="shared" si="128"/>
        <v/>
      </c>
      <c r="T913" s="76" t="str">
        <f t="shared" si="129"/>
        <v>-- アルブミン_検査値</v>
      </c>
      <c r="U913" s="4"/>
      <c r="V913" s="25" t="str">
        <f t="shared" ref="V913:V920" si="132">",max("&amp;D913&amp;")"</f>
        <v>,max(albumin_value)</v>
      </c>
      <c r="W913" s="25">
        <v>1</v>
      </c>
      <c r="AA913" s="4"/>
      <c r="AB913" s="4"/>
      <c r="AC913" s="4"/>
      <c r="AD913" s="4"/>
      <c r="AE913" s="4"/>
      <c r="AF913" s="4"/>
      <c r="AG913" s="4"/>
      <c r="AH913" s="4"/>
      <c r="AI913" s="4"/>
      <c r="AJ913" s="76" t="str">
        <f>IF(E913="○",IF(COUNTA(E$3:E913)=1,"",",")&amp;D913,"")</f>
        <v/>
      </c>
      <c r="AK913" s="4"/>
      <c r="AL913" s="4"/>
      <c r="AM913" s="4"/>
      <c r="AN913" s="4"/>
      <c r="AO913" s="4"/>
      <c r="AP913" s="4"/>
      <c r="AQ913" s="4"/>
      <c r="AR913" s="4"/>
      <c r="AS913" s="76" t="e">
        <f>"COMMENT ON COLUMN "&amp;エンティティ一覧!$O$2&amp;"."&amp;#REF!&amp;"."&amp;D913&amp;" IS '"&amp;C913&amp;"';"</f>
        <v>#REF!</v>
      </c>
    </row>
    <row r="914" spans="1:45" s="25" customFormat="1">
      <c r="A914" s="4"/>
      <c r="B914" s="21">
        <f t="shared" si="124"/>
        <v>912</v>
      </c>
      <c r="C914" s="13" t="s">
        <v>4623</v>
      </c>
      <c r="D914" s="13" t="s">
        <v>4546</v>
      </c>
      <c r="E914" s="7"/>
      <c r="F914" s="7" t="s">
        <v>4200</v>
      </c>
      <c r="G914" s="7" t="str">
        <f t="shared" si="130"/>
        <v>numeric</v>
      </c>
      <c r="H914" s="58"/>
      <c r="I914" s="23"/>
      <c r="J914" s="24"/>
      <c r="M914" s="4"/>
      <c r="N914" s="76"/>
      <c r="O914" s="76"/>
      <c r="P914" s="76" t="str">
        <f t="shared" si="131"/>
        <v>,b2_microglobulin_value</v>
      </c>
      <c r="Q914" s="76" t="str">
        <f t="shared" si="126"/>
        <v>NUMERIC</v>
      </c>
      <c r="R914" s="76" t="str">
        <f t="shared" si="127"/>
        <v/>
      </c>
      <c r="S914" s="76" t="str">
        <f t="shared" si="128"/>
        <v/>
      </c>
      <c r="T914" s="76" t="str">
        <f t="shared" si="129"/>
        <v>-- β2ミクログロブリン_検査値</v>
      </c>
      <c r="U914" s="4"/>
      <c r="V914" s="25" t="str">
        <f t="shared" si="132"/>
        <v>,max(b2_microglobulin_value)</v>
      </c>
      <c r="W914" s="25">
        <v>1</v>
      </c>
      <c r="AA914" s="4"/>
      <c r="AB914" s="4"/>
      <c r="AC914" s="4"/>
      <c r="AD914" s="4"/>
      <c r="AE914" s="4"/>
      <c r="AF914" s="4"/>
      <c r="AG914" s="4"/>
      <c r="AH914" s="4"/>
      <c r="AI914" s="4"/>
      <c r="AJ914" s="76" t="str">
        <f>IF(E914="○",IF(COUNTA(E$3:E914)=1,"",",")&amp;D914,"")</f>
        <v/>
      </c>
      <c r="AK914" s="4"/>
      <c r="AL914" s="4"/>
      <c r="AM914" s="4"/>
      <c r="AN914" s="4"/>
      <c r="AO914" s="4"/>
      <c r="AP914" s="4"/>
      <c r="AQ914" s="4"/>
      <c r="AR914" s="4"/>
      <c r="AS914" s="76" t="e">
        <f>"COMMENT ON COLUMN "&amp;エンティティ一覧!$O$2&amp;"."&amp;#REF!&amp;"."&amp;D914&amp;" IS '"&amp;C914&amp;"';"</f>
        <v>#REF!</v>
      </c>
    </row>
    <row r="915" spans="1:45" s="25" customFormat="1">
      <c r="A915" s="4"/>
      <c r="B915" s="21">
        <f t="shared" si="124"/>
        <v>913</v>
      </c>
      <c r="C915" s="13" t="s">
        <v>4624</v>
      </c>
      <c r="D915" s="13" t="s">
        <v>4516</v>
      </c>
      <c r="E915" s="7"/>
      <c r="F915" s="7" t="s">
        <v>4200</v>
      </c>
      <c r="G915" s="7" t="str">
        <f t="shared" si="130"/>
        <v>numeric</v>
      </c>
      <c r="H915" s="58"/>
      <c r="I915" s="23"/>
      <c r="J915" s="24"/>
      <c r="M915" s="4"/>
      <c r="N915" s="76"/>
      <c r="O915" s="76"/>
      <c r="P915" s="76" t="str">
        <f t="shared" si="131"/>
        <v>,ast_value</v>
      </c>
      <c r="Q915" s="76" t="str">
        <f t="shared" si="126"/>
        <v>NUMERIC</v>
      </c>
      <c r="R915" s="76" t="str">
        <f t="shared" si="127"/>
        <v/>
      </c>
      <c r="S915" s="76" t="str">
        <f t="shared" si="128"/>
        <v/>
      </c>
      <c r="T915" s="76" t="str">
        <f t="shared" si="129"/>
        <v>-- AST_検査値</v>
      </c>
      <c r="U915" s="4"/>
      <c r="V915" s="25" t="str">
        <f t="shared" si="132"/>
        <v>,max(ast_value)</v>
      </c>
      <c r="W915" s="25">
        <v>1</v>
      </c>
      <c r="AA915" s="4"/>
      <c r="AB915" s="4"/>
      <c r="AC915" s="4"/>
      <c r="AD915" s="4"/>
      <c r="AE915" s="4"/>
      <c r="AF915" s="4"/>
      <c r="AG915" s="4"/>
      <c r="AH915" s="4"/>
      <c r="AI915" s="4"/>
      <c r="AJ915" s="76" t="str">
        <f>IF(E915="○",IF(COUNTA(E$3:E915)=1,"",",")&amp;D915,"")</f>
        <v/>
      </c>
      <c r="AK915" s="4"/>
      <c r="AL915" s="4"/>
      <c r="AM915" s="4"/>
      <c r="AN915" s="4"/>
      <c r="AO915" s="4"/>
      <c r="AP915" s="4"/>
      <c r="AQ915" s="4"/>
      <c r="AR915" s="4"/>
      <c r="AS915" s="76" t="e">
        <f>"COMMENT ON COLUMN "&amp;エンティティ一覧!$O$2&amp;"."&amp;#REF!&amp;"."&amp;D915&amp;" IS '"&amp;C915&amp;"';"</f>
        <v>#REF!</v>
      </c>
    </row>
    <row r="916" spans="1:45" s="25" customFormat="1">
      <c r="A916" s="4"/>
      <c r="B916" s="21">
        <f t="shared" si="124"/>
        <v>914</v>
      </c>
      <c r="C916" s="13" t="s">
        <v>4625</v>
      </c>
      <c r="D916" s="13" t="s">
        <v>4518</v>
      </c>
      <c r="E916" s="7"/>
      <c r="F916" s="7" t="s">
        <v>4200</v>
      </c>
      <c r="G916" s="7" t="str">
        <f t="shared" si="130"/>
        <v>numeric</v>
      </c>
      <c r="H916" s="58"/>
      <c r="I916" s="23"/>
      <c r="J916" s="24"/>
      <c r="M916" s="4"/>
      <c r="N916" s="76"/>
      <c r="O916" s="76"/>
      <c r="P916" s="76" t="str">
        <f t="shared" si="131"/>
        <v>,alt_value</v>
      </c>
      <c r="Q916" s="76" t="str">
        <f t="shared" si="126"/>
        <v>NUMERIC</v>
      </c>
      <c r="R916" s="76" t="str">
        <f t="shared" si="127"/>
        <v/>
      </c>
      <c r="S916" s="76" t="str">
        <f t="shared" si="128"/>
        <v/>
      </c>
      <c r="T916" s="76" t="str">
        <f t="shared" si="129"/>
        <v>-- ALT_検査値</v>
      </c>
      <c r="U916" s="4"/>
      <c r="V916" s="25" t="str">
        <f t="shared" si="132"/>
        <v>,max(alt_value)</v>
      </c>
      <c r="W916" s="25">
        <v>1</v>
      </c>
      <c r="AA916" s="4"/>
      <c r="AB916" s="4"/>
      <c r="AC916" s="4"/>
      <c r="AD916" s="4"/>
      <c r="AE916" s="4"/>
      <c r="AF916" s="4"/>
      <c r="AG916" s="4"/>
      <c r="AH916" s="4"/>
      <c r="AI916" s="4"/>
      <c r="AJ916" s="76" t="str">
        <f>IF(E916="○",IF(COUNTA(E$3:E916)=1,"",",")&amp;D916,"")</f>
        <v/>
      </c>
      <c r="AK916" s="4"/>
      <c r="AL916" s="4"/>
      <c r="AM916" s="4"/>
      <c r="AN916" s="4"/>
      <c r="AO916" s="4"/>
      <c r="AP916" s="4"/>
      <c r="AQ916" s="4"/>
      <c r="AR916" s="4"/>
      <c r="AS916" s="76" t="e">
        <f>"COMMENT ON COLUMN "&amp;エンティティ一覧!$O$2&amp;"."&amp;#REF!&amp;"."&amp;D916&amp;" IS '"&amp;C916&amp;"';"</f>
        <v>#REF!</v>
      </c>
    </row>
    <row r="917" spans="1:45" s="25" customFormat="1">
      <c r="A917" s="4"/>
      <c r="B917" s="21">
        <f t="shared" si="124"/>
        <v>915</v>
      </c>
      <c r="C917" s="13" t="s">
        <v>4647</v>
      </c>
      <c r="D917" s="13" t="s">
        <v>4651</v>
      </c>
      <c r="E917" s="7"/>
      <c r="F917" s="7" t="s">
        <v>4200</v>
      </c>
      <c r="G917" s="7" t="str">
        <f t="shared" si="130"/>
        <v>numeric</v>
      </c>
      <c r="H917" s="58"/>
      <c r="I917" s="23"/>
      <c r="J917" s="24"/>
      <c r="M917" s="4"/>
      <c r="N917" s="76"/>
      <c r="O917" s="76"/>
      <c r="P917" s="76" t="str">
        <f t="shared" si="131"/>
        <v>,all_bilirubin_value</v>
      </c>
      <c r="Q917" s="76" t="str">
        <f t="shared" si="126"/>
        <v>NUMERIC</v>
      </c>
      <c r="R917" s="76" t="str">
        <f t="shared" si="127"/>
        <v/>
      </c>
      <c r="S917" s="76" t="str">
        <f t="shared" si="128"/>
        <v/>
      </c>
      <c r="T917" s="76" t="str">
        <f t="shared" si="129"/>
        <v>-- 総ビリルビン_検査値</v>
      </c>
      <c r="U917" s="4"/>
      <c r="V917" s="25" t="str">
        <f t="shared" si="132"/>
        <v>,max(all_bilirubin_value)</v>
      </c>
      <c r="W917" s="25">
        <v>1</v>
      </c>
      <c r="AA917" s="4"/>
      <c r="AB917" s="4"/>
      <c r="AC917" s="4"/>
      <c r="AD917" s="4"/>
      <c r="AE917" s="4"/>
      <c r="AF917" s="4"/>
      <c r="AG917" s="4"/>
      <c r="AH917" s="4"/>
      <c r="AI917" s="4"/>
      <c r="AJ917" s="76" t="str">
        <f>IF(E917="○",IF(COUNTA(E$3:E917)=1,"",",")&amp;D917,"")</f>
        <v/>
      </c>
      <c r="AK917" s="4"/>
      <c r="AL917" s="4"/>
      <c r="AM917" s="4"/>
      <c r="AN917" s="4"/>
      <c r="AO917" s="4"/>
      <c r="AP917" s="4"/>
      <c r="AQ917" s="4"/>
      <c r="AR917" s="4"/>
      <c r="AS917" s="76" t="e">
        <f>"COMMENT ON COLUMN "&amp;エンティティ一覧!$O$2&amp;"."&amp;#REF!&amp;"."&amp;D917&amp;" IS '"&amp;C917&amp;"';"</f>
        <v>#REF!</v>
      </c>
    </row>
    <row r="918" spans="1:45" s="25" customFormat="1">
      <c r="A918" s="4"/>
      <c r="B918" s="21">
        <f t="shared" si="124"/>
        <v>916</v>
      </c>
      <c r="C918" s="13" t="s">
        <v>4648</v>
      </c>
      <c r="D918" s="13" t="s">
        <v>4652</v>
      </c>
      <c r="E918" s="7"/>
      <c r="F918" s="7" t="s">
        <v>4200</v>
      </c>
      <c r="G918" s="7" t="str">
        <f t="shared" si="130"/>
        <v>numeric</v>
      </c>
      <c r="H918" s="58"/>
      <c r="I918" s="23"/>
      <c r="J918" s="24"/>
      <c r="M918" s="4"/>
      <c r="N918" s="76"/>
      <c r="O918" s="76"/>
      <c r="P918" s="76" t="str">
        <f t="shared" si="131"/>
        <v>,direct_bilirubin_value</v>
      </c>
      <c r="Q918" s="76" t="str">
        <f t="shared" si="126"/>
        <v>NUMERIC</v>
      </c>
      <c r="R918" s="76" t="str">
        <f t="shared" si="127"/>
        <v/>
      </c>
      <c r="S918" s="76" t="str">
        <f t="shared" si="128"/>
        <v/>
      </c>
      <c r="T918" s="76" t="str">
        <f t="shared" si="129"/>
        <v>-- 直接ビリルビン_検査値</v>
      </c>
      <c r="U918" s="4"/>
      <c r="V918" s="25" t="str">
        <f t="shared" si="132"/>
        <v>,max(direct_bilirubin_value)</v>
      </c>
      <c r="W918" s="25">
        <v>1</v>
      </c>
      <c r="AA918" s="4"/>
      <c r="AB918" s="4"/>
      <c r="AC918" s="4"/>
      <c r="AD918" s="4"/>
      <c r="AE918" s="4"/>
      <c r="AF918" s="4"/>
      <c r="AG918" s="4"/>
      <c r="AH918" s="4"/>
      <c r="AI918" s="4"/>
      <c r="AJ918" s="76" t="str">
        <f>IF(E918="○",IF(COUNTA(E$3:E918)=1,"",",")&amp;D918,"")</f>
        <v/>
      </c>
      <c r="AK918" s="4"/>
      <c r="AL918" s="4"/>
      <c r="AM918" s="4"/>
      <c r="AN918" s="4"/>
      <c r="AO918" s="4"/>
      <c r="AP918" s="4"/>
      <c r="AQ918" s="4"/>
      <c r="AR918" s="4"/>
      <c r="AS918" s="76" t="e">
        <f>"COMMENT ON COLUMN "&amp;エンティティ一覧!$O$2&amp;"."&amp;#REF!&amp;"."&amp;D918&amp;" IS '"&amp;C918&amp;"';"</f>
        <v>#REF!</v>
      </c>
    </row>
    <row r="919" spans="1:45" s="25" customFormat="1">
      <c r="A919" s="4"/>
      <c r="B919" s="21">
        <f t="shared" si="124"/>
        <v>917</v>
      </c>
      <c r="C919" s="13" t="s">
        <v>4626</v>
      </c>
      <c r="D919" s="13" t="s">
        <v>4520</v>
      </c>
      <c r="E919" s="7"/>
      <c r="F919" s="7" t="s">
        <v>4200</v>
      </c>
      <c r="G919" s="7" t="str">
        <f t="shared" si="130"/>
        <v>numeric</v>
      </c>
      <c r="H919" s="58"/>
      <c r="I919" s="23"/>
      <c r="J919" s="24"/>
      <c r="M919" s="4"/>
      <c r="N919" s="76"/>
      <c r="O919" s="76"/>
      <c r="P919" s="76" t="str">
        <f t="shared" si="131"/>
        <v>,bun_value</v>
      </c>
      <c r="Q919" s="76" t="str">
        <f t="shared" si="126"/>
        <v>NUMERIC</v>
      </c>
      <c r="R919" s="76" t="str">
        <f t="shared" si="127"/>
        <v/>
      </c>
      <c r="S919" s="76" t="str">
        <f t="shared" si="128"/>
        <v/>
      </c>
      <c r="T919" s="76" t="str">
        <f t="shared" si="129"/>
        <v>-- BUN_検査値</v>
      </c>
      <c r="U919" s="4"/>
      <c r="V919" s="25" t="str">
        <f t="shared" si="132"/>
        <v>,max(bun_value)</v>
      </c>
      <c r="W919" s="25">
        <v>1</v>
      </c>
      <c r="AA919" s="4"/>
      <c r="AB919" s="4"/>
      <c r="AC919" s="4"/>
      <c r="AD919" s="4"/>
      <c r="AE919" s="4"/>
      <c r="AF919" s="4"/>
      <c r="AG919" s="4"/>
      <c r="AH919" s="4"/>
      <c r="AI919" s="4"/>
      <c r="AJ919" s="76" t="str">
        <f>IF(E919="○",IF(COUNTA(E$3:E919)=1,"",",")&amp;D919,"")</f>
        <v/>
      </c>
      <c r="AK919" s="4"/>
      <c r="AL919" s="4"/>
      <c r="AM919" s="4"/>
      <c r="AN919" s="4"/>
      <c r="AO919" s="4"/>
      <c r="AP919" s="4"/>
      <c r="AQ919" s="4"/>
      <c r="AR919" s="4"/>
      <c r="AS919" s="76" t="e">
        <f>"COMMENT ON COLUMN "&amp;エンティティ一覧!$O$2&amp;"."&amp;#REF!&amp;"."&amp;D919&amp;" IS '"&amp;C919&amp;"';"</f>
        <v>#REF!</v>
      </c>
    </row>
    <row r="920" spans="1:45" s="25" customFormat="1">
      <c r="A920" s="4"/>
      <c r="B920" s="21">
        <f t="shared" si="124"/>
        <v>918</v>
      </c>
      <c r="C920" s="13" t="s">
        <v>4627</v>
      </c>
      <c r="D920" s="13" t="s">
        <v>4522</v>
      </c>
      <c r="E920" s="7"/>
      <c r="F920" s="7" t="s">
        <v>4200</v>
      </c>
      <c r="G920" s="7" t="str">
        <f t="shared" si="130"/>
        <v>numeric</v>
      </c>
      <c r="H920" s="58"/>
      <c r="I920" s="23"/>
      <c r="J920" s="24"/>
      <c r="M920" s="4"/>
      <c r="N920" s="76"/>
      <c r="O920" s="76"/>
      <c r="P920" s="76" t="str">
        <f t="shared" si="131"/>
        <v>,egfr_value</v>
      </c>
      <c r="Q920" s="76" t="str">
        <f t="shared" si="126"/>
        <v>NUMERIC</v>
      </c>
      <c r="R920" s="76" t="str">
        <f t="shared" si="127"/>
        <v/>
      </c>
      <c r="S920" s="76" t="str">
        <f t="shared" si="128"/>
        <v/>
      </c>
      <c r="T920" s="76" t="str">
        <f t="shared" si="129"/>
        <v>-- eGFR_検査値</v>
      </c>
      <c r="U920" s="4"/>
      <c r="V920" s="25" t="str">
        <f t="shared" si="132"/>
        <v>,max(egfr_value)</v>
      </c>
      <c r="W920" s="25">
        <v>1</v>
      </c>
      <c r="AA920" s="4"/>
      <c r="AB920" s="4"/>
      <c r="AC920" s="4"/>
      <c r="AD920" s="4"/>
      <c r="AE920" s="4"/>
      <c r="AF920" s="4"/>
      <c r="AG920" s="4"/>
      <c r="AH920" s="4"/>
      <c r="AI920" s="4"/>
      <c r="AJ920" s="76" t="str">
        <f>IF(E920="○",IF(COUNTA(E$3:E920)=1,"",",")&amp;D920,"")</f>
        <v/>
      </c>
      <c r="AK920" s="4"/>
      <c r="AL920" s="4"/>
      <c r="AM920" s="4"/>
      <c r="AN920" s="4"/>
      <c r="AO920" s="4"/>
      <c r="AP920" s="4"/>
      <c r="AQ920" s="4"/>
      <c r="AR920" s="4"/>
      <c r="AS920" s="76" t="e">
        <f>"COMMENT ON COLUMN "&amp;エンティティ一覧!$O$2&amp;"."&amp;#REF!&amp;"."&amp;D920&amp;" IS '"&amp;C920&amp;"';"</f>
        <v>#REF!</v>
      </c>
    </row>
    <row r="921" spans="1:45" s="25" customFormat="1" ht="31.5">
      <c r="A921" s="4"/>
      <c r="B921" s="21">
        <f t="shared" si="124"/>
        <v>919</v>
      </c>
      <c r="C921" s="13" t="s">
        <v>4628</v>
      </c>
      <c r="D921" s="13" t="s">
        <v>4539</v>
      </c>
      <c r="E921" s="7"/>
      <c r="F921" s="7" t="s">
        <v>4176</v>
      </c>
      <c r="G921" s="7" t="str">
        <f>IF(F921="フラグ","boolean",IF(F921="文字列","text",IF(F921="整数","integer",IF(F921="実数","numeric",""))))</f>
        <v>text</v>
      </c>
      <c r="H921" s="58"/>
      <c r="I921" s="23"/>
      <c r="J921" s="24"/>
      <c r="M921" s="4"/>
      <c r="N921" s="76"/>
      <c r="O921" s="76"/>
      <c r="P921" s="76" t="str">
        <f t="shared" si="131"/>
        <v>,ct_fish_flg</v>
      </c>
      <c r="Q921" s="76" t="str">
        <f t="shared" si="126"/>
        <v>TEXT</v>
      </c>
      <c r="R921" s="76" t="str">
        <f t="shared" si="127"/>
        <v/>
      </c>
      <c r="S921" s="76" t="str">
        <f t="shared" si="128"/>
        <v/>
      </c>
      <c r="T921" s="76" t="str">
        <f t="shared" si="129"/>
        <v>-- 染色体検査（ＦＩＳＨ法）_実施有無</v>
      </c>
      <c r="U921" s="4"/>
      <c r="W921" s="25">
        <v>1</v>
      </c>
      <c r="AA921" s="4"/>
      <c r="AB921" s="4"/>
      <c r="AC921" s="4"/>
      <c r="AD921" s="4"/>
      <c r="AE921" s="4"/>
      <c r="AF921" s="4"/>
      <c r="AG921" s="4"/>
      <c r="AH921" s="4"/>
      <c r="AI921" s="4"/>
      <c r="AJ921" s="76" t="str">
        <f>IF(E921="○",IF(COUNTA(E$3:E921)=1,"",",")&amp;D921,"")</f>
        <v/>
      </c>
      <c r="AK921" s="4"/>
      <c r="AL921" s="4"/>
      <c r="AM921" s="4"/>
      <c r="AN921" s="4"/>
      <c r="AO921" s="4"/>
      <c r="AP921" s="4"/>
      <c r="AQ921" s="4"/>
      <c r="AR921" s="4"/>
      <c r="AS921" s="76" t="e">
        <f>"COMMENT ON COLUMN "&amp;エンティティ一覧!$O$2&amp;"."&amp;#REF!&amp;"."&amp;D921&amp;" IS '"&amp;C921&amp;"';"</f>
        <v>#REF!</v>
      </c>
    </row>
    <row r="922" spans="1:45" s="25" customFormat="1">
      <c r="A922" s="4"/>
      <c r="B922" s="21">
        <f t="shared" si="124"/>
        <v>920</v>
      </c>
      <c r="C922" s="13" t="s">
        <v>4629</v>
      </c>
      <c r="D922" s="13" t="s">
        <v>4540</v>
      </c>
      <c r="E922" s="7"/>
      <c r="F922" s="7" t="s">
        <v>4176</v>
      </c>
      <c r="G922" s="7" t="str">
        <f t="shared" ref="G922:G928" si="133">IF(F922="フラグ","boolean",IF(F922="文字列","text",IF(F922="整数","integer",IF(F922="実数","numeric",""))))</f>
        <v>text</v>
      </c>
      <c r="H922" s="58"/>
      <c r="I922" s="23"/>
      <c r="J922" s="24"/>
      <c r="M922" s="4"/>
      <c r="N922" s="76"/>
      <c r="O922" s="76"/>
      <c r="P922" s="76" t="str">
        <f t="shared" si="131"/>
        <v>,ct_etc_flg</v>
      </c>
      <c r="Q922" s="76" t="str">
        <f t="shared" si="126"/>
        <v>TEXT</v>
      </c>
      <c r="R922" s="76" t="str">
        <f t="shared" si="127"/>
        <v/>
      </c>
      <c r="S922" s="76" t="str">
        <f t="shared" si="128"/>
        <v/>
      </c>
      <c r="T922" s="76" t="str">
        <f t="shared" si="129"/>
        <v>-- 染色体検査（その他）_実施有無</v>
      </c>
      <c r="U922" s="4"/>
      <c r="W922" s="25">
        <v>1</v>
      </c>
      <c r="AA922" s="4"/>
      <c r="AB922" s="4"/>
      <c r="AC922" s="4"/>
      <c r="AD922" s="4"/>
      <c r="AE922" s="4"/>
      <c r="AF922" s="4"/>
      <c r="AG922" s="4"/>
      <c r="AH922" s="4"/>
      <c r="AI922" s="4"/>
      <c r="AJ922" s="76" t="str">
        <f>IF(E922="○",IF(COUNTA(E$3:E922)=1,"",",")&amp;D922,"")</f>
        <v/>
      </c>
      <c r="AK922" s="4"/>
      <c r="AL922" s="4"/>
      <c r="AM922" s="4"/>
      <c r="AN922" s="4"/>
      <c r="AO922" s="4"/>
      <c r="AP922" s="4"/>
      <c r="AQ922" s="4"/>
      <c r="AR922" s="4"/>
      <c r="AS922" s="76" t="e">
        <f>"COMMENT ON COLUMN "&amp;エンティティ一覧!$O$2&amp;"."&amp;#REF!&amp;"."&amp;D922&amp;" IS '"&amp;C922&amp;"';"</f>
        <v>#REF!</v>
      </c>
    </row>
    <row r="923" spans="1:45" s="25" customFormat="1" ht="31.5">
      <c r="A923" s="4"/>
      <c r="B923" s="21">
        <f t="shared" si="124"/>
        <v>921</v>
      </c>
      <c r="C923" s="13" t="s">
        <v>4630</v>
      </c>
      <c r="D923" s="13" t="s">
        <v>4541</v>
      </c>
      <c r="E923" s="7"/>
      <c r="F923" s="7" t="s">
        <v>4176</v>
      </c>
      <c r="G923" s="7" t="str">
        <f t="shared" si="133"/>
        <v>text</v>
      </c>
      <c r="H923" s="58"/>
      <c r="I923" s="23"/>
      <c r="J923" s="24"/>
      <c r="M923" s="4"/>
      <c r="N923" s="76"/>
      <c r="O923" s="76"/>
      <c r="P923" s="76" t="str">
        <f t="shared" si="131"/>
        <v>,pma_ct_flg</v>
      </c>
      <c r="Q923" s="76" t="str">
        <f t="shared" si="126"/>
        <v>TEXT</v>
      </c>
      <c r="R923" s="76" t="str">
        <f t="shared" si="127"/>
        <v/>
      </c>
      <c r="S923" s="76" t="str">
        <f t="shared" si="128"/>
        <v/>
      </c>
      <c r="T923" s="76" t="str">
        <f t="shared" si="129"/>
        <v>-- 分染法加算（染色体検査）_実施有無</v>
      </c>
      <c r="U923" s="4"/>
      <c r="W923" s="25">
        <v>1</v>
      </c>
      <c r="AA923" s="4"/>
      <c r="AB923" s="4"/>
      <c r="AC923" s="4"/>
      <c r="AD923" s="4"/>
      <c r="AE923" s="4"/>
      <c r="AF923" s="4"/>
      <c r="AG923" s="4"/>
      <c r="AH923" s="4"/>
      <c r="AI923" s="4"/>
      <c r="AJ923" s="76" t="str">
        <f>IF(E923="○",IF(COUNTA(E$3:E923)=1,"",",")&amp;D923,"")</f>
        <v/>
      </c>
      <c r="AK923" s="4"/>
      <c r="AL923" s="4"/>
      <c r="AM923" s="4"/>
      <c r="AN923" s="4"/>
      <c r="AO923" s="4"/>
      <c r="AP923" s="4"/>
      <c r="AQ923" s="4"/>
      <c r="AR923" s="4"/>
      <c r="AS923" s="76" t="e">
        <f>"COMMENT ON COLUMN "&amp;エンティティ一覧!$O$2&amp;"."&amp;#REF!&amp;"."&amp;D923&amp;" IS '"&amp;C923&amp;"';"</f>
        <v>#REF!</v>
      </c>
    </row>
    <row r="924" spans="1:45" s="25" customFormat="1" ht="31.5">
      <c r="A924" s="4"/>
      <c r="B924" s="21">
        <f t="shared" si="124"/>
        <v>922</v>
      </c>
      <c r="C924" s="13" t="s">
        <v>4631</v>
      </c>
      <c r="D924" s="13" t="s">
        <v>4544</v>
      </c>
      <c r="E924" s="7"/>
      <c r="F924" s="7" t="s">
        <v>4176</v>
      </c>
      <c r="G924" s="7" t="str">
        <f t="shared" si="133"/>
        <v>text</v>
      </c>
      <c r="H924" s="58"/>
      <c r="I924" s="23"/>
      <c r="J924" s="24"/>
      <c r="M924" s="4"/>
      <c r="N924" s="76"/>
      <c r="O924" s="76"/>
      <c r="P924" s="76" t="str">
        <f t="shared" si="131"/>
        <v>,bmt_allogeneic_flg</v>
      </c>
      <c r="Q924" s="76" t="str">
        <f t="shared" si="126"/>
        <v>TEXT</v>
      </c>
      <c r="R924" s="76" t="str">
        <f t="shared" si="127"/>
        <v/>
      </c>
      <c r="S924" s="76" t="str">
        <f t="shared" si="128"/>
        <v/>
      </c>
      <c r="T924" s="76" t="str">
        <f t="shared" si="129"/>
        <v>-- 造血幹細胞移植（骨髄移植）（同種移植）_実施有無</v>
      </c>
      <c r="U924" s="4"/>
      <c r="W924" s="25">
        <v>1</v>
      </c>
      <c r="AA924" s="4"/>
      <c r="AB924" s="4"/>
      <c r="AC924" s="4"/>
      <c r="AD924" s="4"/>
      <c r="AE924" s="4"/>
      <c r="AF924" s="4"/>
      <c r="AG924" s="4"/>
      <c r="AH924" s="4"/>
      <c r="AI924" s="4"/>
      <c r="AJ924" s="76" t="str">
        <f>IF(E924="○",IF(COUNTA(E$3:E924)=1,"",",")&amp;D924,"")</f>
        <v/>
      </c>
      <c r="AK924" s="4"/>
      <c r="AL924" s="4"/>
      <c r="AM924" s="4"/>
      <c r="AN924" s="4"/>
      <c r="AO924" s="4"/>
      <c r="AP924" s="4"/>
      <c r="AQ924" s="4"/>
      <c r="AR924" s="4"/>
      <c r="AS924" s="76" t="e">
        <f>"COMMENT ON COLUMN "&amp;エンティティ一覧!$O$2&amp;"."&amp;#REF!&amp;"."&amp;D924&amp;" IS '"&amp;C924&amp;"';"</f>
        <v>#REF!</v>
      </c>
    </row>
    <row r="925" spans="1:45" s="25" customFormat="1" ht="31.5">
      <c r="A925" s="4"/>
      <c r="B925" s="21">
        <f t="shared" si="124"/>
        <v>923</v>
      </c>
      <c r="C925" s="13" t="s">
        <v>4632</v>
      </c>
      <c r="D925" s="13" t="s">
        <v>4547</v>
      </c>
      <c r="E925" s="7"/>
      <c r="F925" s="7" t="s">
        <v>4176</v>
      </c>
      <c r="G925" s="7" t="str">
        <f t="shared" si="133"/>
        <v>text</v>
      </c>
      <c r="H925" s="58"/>
      <c r="I925" s="23"/>
      <c r="J925" s="24"/>
      <c r="M925" s="4"/>
      <c r="N925" s="76"/>
      <c r="O925" s="76"/>
      <c r="P925" s="76" t="str">
        <f t="shared" si="131"/>
        <v>,bmt_autologous_flg</v>
      </c>
      <c r="Q925" s="76" t="str">
        <f t="shared" si="126"/>
        <v>TEXT</v>
      </c>
      <c r="R925" s="76" t="str">
        <f t="shared" si="127"/>
        <v/>
      </c>
      <c r="S925" s="76" t="str">
        <f t="shared" si="128"/>
        <v/>
      </c>
      <c r="T925" s="76" t="str">
        <f t="shared" si="129"/>
        <v>-- 造血幹細胞移植（骨髄移植）（自家移植）_実施有無</v>
      </c>
      <c r="U925" s="4"/>
      <c r="W925" s="25">
        <v>1</v>
      </c>
      <c r="AA925" s="4"/>
      <c r="AB925" s="4"/>
      <c r="AC925" s="4"/>
      <c r="AD925" s="4"/>
      <c r="AE925" s="4"/>
      <c r="AF925" s="4"/>
      <c r="AG925" s="4"/>
      <c r="AH925" s="4"/>
      <c r="AI925" s="4"/>
      <c r="AJ925" s="76" t="str">
        <f>IF(E925="○",IF(COUNTA(E$3:E925)=1,"",",")&amp;D925,"")</f>
        <v/>
      </c>
      <c r="AK925" s="4"/>
      <c r="AL925" s="4"/>
      <c r="AM925" s="4"/>
      <c r="AN925" s="4"/>
      <c r="AO925" s="4"/>
      <c r="AP925" s="4"/>
      <c r="AQ925" s="4"/>
      <c r="AR925" s="4"/>
      <c r="AS925" s="76" t="e">
        <f>"COMMENT ON COLUMN "&amp;エンティティ一覧!$O$2&amp;"."&amp;#REF!&amp;"."&amp;D925&amp;" IS '"&amp;C925&amp;"';"</f>
        <v>#REF!</v>
      </c>
    </row>
    <row r="926" spans="1:45" s="25" customFormat="1" ht="31.5">
      <c r="A926" s="4"/>
      <c r="B926" s="21">
        <f t="shared" si="124"/>
        <v>924</v>
      </c>
      <c r="C926" s="13" t="s">
        <v>4633</v>
      </c>
      <c r="D926" s="13" t="s">
        <v>4548</v>
      </c>
      <c r="E926" s="7"/>
      <c r="F926" s="7" t="s">
        <v>4176</v>
      </c>
      <c r="G926" s="7" t="str">
        <f t="shared" si="133"/>
        <v>text</v>
      </c>
      <c r="H926" s="58"/>
      <c r="I926" s="23"/>
      <c r="J926" s="24"/>
      <c r="M926" s="4"/>
      <c r="N926" s="76"/>
      <c r="O926" s="76"/>
      <c r="P926" s="76" t="str">
        <f t="shared" si="131"/>
        <v>,pbsct_autologous_flg</v>
      </c>
      <c r="Q926" s="76" t="str">
        <f t="shared" si="126"/>
        <v>TEXT</v>
      </c>
      <c r="R926" s="76" t="str">
        <f t="shared" si="127"/>
        <v/>
      </c>
      <c r="S926" s="76" t="str">
        <f t="shared" si="128"/>
        <v/>
      </c>
      <c r="T926" s="76" t="str">
        <f t="shared" si="129"/>
        <v>-- 造血幹細胞移植（末梢血幹細胞移植）（自家移植）_実施有無</v>
      </c>
      <c r="U926" s="4"/>
      <c r="W926" s="25">
        <v>1</v>
      </c>
      <c r="AA926" s="4"/>
      <c r="AB926" s="4"/>
      <c r="AC926" s="4"/>
      <c r="AD926" s="4"/>
      <c r="AE926" s="4"/>
      <c r="AF926" s="4"/>
      <c r="AG926" s="4"/>
      <c r="AH926" s="4"/>
      <c r="AI926" s="4"/>
      <c r="AJ926" s="76" t="str">
        <f>IF(E926="○",IF(COUNTA(E$3:E926)=1,"",",")&amp;D926,"")</f>
        <v/>
      </c>
      <c r="AK926" s="4"/>
      <c r="AL926" s="4"/>
      <c r="AM926" s="4"/>
      <c r="AN926" s="4"/>
      <c r="AO926" s="4"/>
      <c r="AP926" s="4"/>
      <c r="AQ926" s="4"/>
      <c r="AR926" s="4"/>
      <c r="AS926" s="76" t="e">
        <f>"COMMENT ON COLUMN "&amp;エンティティ一覧!$O$2&amp;"."&amp;#REF!&amp;"."&amp;D926&amp;" IS '"&amp;C926&amp;"';"</f>
        <v>#REF!</v>
      </c>
    </row>
    <row r="927" spans="1:45" s="25" customFormat="1" ht="31.5">
      <c r="A927" s="4"/>
      <c r="B927" s="21">
        <f t="shared" si="124"/>
        <v>925</v>
      </c>
      <c r="C927" s="13" t="s">
        <v>4634</v>
      </c>
      <c r="D927" s="13" t="s">
        <v>4559</v>
      </c>
      <c r="E927" s="7"/>
      <c r="F927" s="7" t="s">
        <v>4176</v>
      </c>
      <c r="G927" s="7" t="str">
        <f t="shared" si="133"/>
        <v>text</v>
      </c>
      <c r="H927" s="58"/>
      <c r="I927" s="23"/>
      <c r="J927" s="24"/>
      <c r="M927" s="4"/>
      <c r="N927" s="76"/>
      <c r="O927" s="76"/>
      <c r="P927" s="76" t="str">
        <f t="shared" si="131"/>
        <v>,pbsct_allogeneic_flg</v>
      </c>
      <c r="Q927" s="76" t="str">
        <f t="shared" si="126"/>
        <v>TEXT</v>
      </c>
      <c r="R927" s="76" t="str">
        <f t="shared" si="127"/>
        <v/>
      </c>
      <c r="S927" s="76" t="str">
        <f t="shared" si="128"/>
        <v/>
      </c>
      <c r="T927" s="76" t="str">
        <f t="shared" si="129"/>
        <v>-- 造血幹細胞移植（末梢血幹細胞移植）（同種移植）_実施有無</v>
      </c>
      <c r="U927" s="4"/>
      <c r="W927" s="25">
        <v>1</v>
      </c>
      <c r="AA927" s="4"/>
      <c r="AB927" s="4"/>
      <c r="AC927" s="4"/>
      <c r="AD927" s="4"/>
      <c r="AE927" s="4"/>
      <c r="AF927" s="4"/>
      <c r="AG927" s="4"/>
      <c r="AH927" s="4"/>
      <c r="AI927" s="4"/>
      <c r="AJ927" s="76" t="str">
        <f>IF(E927="○",IF(COUNTA(E$3:E927)=1,"",",")&amp;D927,"")</f>
        <v/>
      </c>
      <c r="AK927" s="4"/>
      <c r="AL927" s="4"/>
      <c r="AM927" s="4"/>
      <c r="AN927" s="4"/>
      <c r="AO927" s="4"/>
      <c r="AP927" s="4"/>
      <c r="AQ927" s="4"/>
      <c r="AR927" s="4"/>
      <c r="AS927" s="76" t="e">
        <f>"COMMENT ON COLUMN "&amp;エンティティ一覧!$O$2&amp;"."&amp;#REF!&amp;"."&amp;D927&amp;" IS '"&amp;C927&amp;"';"</f>
        <v>#REF!</v>
      </c>
    </row>
    <row r="928" spans="1:45" s="25" customFormat="1" ht="32.25" thickBot="1">
      <c r="A928" s="4"/>
      <c r="B928" s="21">
        <f t="shared" ref="B925:B928" si="134">ROW()-2</f>
        <v>926</v>
      </c>
      <c r="C928" s="57" t="s">
        <v>4537</v>
      </c>
      <c r="D928" s="57" t="s">
        <v>4543</v>
      </c>
      <c r="E928" s="56"/>
      <c r="F928" s="56" t="s">
        <v>4176</v>
      </c>
      <c r="G928" s="56" t="str">
        <f t="shared" si="133"/>
        <v>text</v>
      </c>
      <c r="H928" s="59"/>
      <c r="I928" s="60"/>
      <c r="J928" s="64"/>
      <c r="N928" s="76"/>
      <c r="O928" s="76"/>
      <c r="P928" s="76" t="str">
        <f t="shared" si="131"/>
        <v>,ucbt_flg</v>
      </c>
      <c r="Q928" s="76" t="str">
        <f t="shared" si="126"/>
        <v>TEXT</v>
      </c>
      <c r="R928" s="76" t="str">
        <f t="shared" si="127"/>
        <v/>
      </c>
      <c r="S928" s="76" t="str">
        <f t="shared" si="128"/>
        <v/>
      </c>
      <c r="T928" s="76" t="str">
        <f t="shared" si="129"/>
        <v>-- 造血幹細胞移植（臍帯血移植）_実施有無</v>
      </c>
      <c r="U928" s="4"/>
      <c r="W928" s="25">
        <v>1</v>
      </c>
      <c r="AA928" s="4"/>
      <c r="AB928" s="4"/>
      <c r="AC928" s="4"/>
      <c r="AD928" s="4"/>
      <c r="AE928" s="4"/>
      <c r="AF928" s="4"/>
      <c r="AG928" s="4"/>
      <c r="AH928" s="4"/>
      <c r="AI928" s="4"/>
      <c r="AJ928" s="76" t="str">
        <f>IF(E928="○",IF(COUNTA(E$3:E928)=1,"",",")&amp;D928,"")</f>
        <v/>
      </c>
      <c r="AK928" s="4"/>
      <c r="AL928" s="4"/>
      <c r="AM928" s="4"/>
      <c r="AN928" s="4"/>
      <c r="AO928" s="4"/>
      <c r="AP928" s="4"/>
      <c r="AQ928" s="4"/>
      <c r="AR928" s="4"/>
      <c r="AS928" s="76" t="e">
        <f>"COMMENT ON COLUMN "&amp;エンティティ一覧!$O$2&amp;"."&amp;#REF!&amp;"."&amp;D928&amp;" IS '"&amp;C928&amp;"';"</f>
        <v>#REF!</v>
      </c>
    </row>
    <row r="929" spans="12:52">
      <c r="L929" s="25"/>
      <c r="M929" s="25"/>
      <c r="N929" s="76" t="s">
        <v>142</v>
      </c>
      <c r="O929" s="76"/>
      <c r="P929" s="76"/>
      <c r="Q929" s="76"/>
      <c r="R929" s="76"/>
      <c r="S929" s="76"/>
      <c r="T929" s="76"/>
      <c r="V929" s="25"/>
      <c r="W929" s="25"/>
      <c r="X929" s="25"/>
      <c r="Y929" s="25"/>
      <c r="Z929" s="25"/>
      <c r="AJ929" s="76" t="s">
        <v>142</v>
      </c>
      <c r="AT929" s="25"/>
      <c r="AU929" s="25"/>
      <c r="AV929" s="25"/>
      <c r="AW929" s="25"/>
      <c r="AX929" s="25"/>
      <c r="AY929" s="25"/>
      <c r="AZ929" s="25"/>
    </row>
    <row r="930" spans="12:52">
      <c r="L930" s="25"/>
      <c r="M930" s="25"/>
      <c r="AT930" s="25"/>
      <c r="AU930" s="25"/>
      <c r="AV930" s="25"/>
      <c r="AW930" s="25"/>
      <c r="AX930" s="25"/>
      <c r="AY930" s="25"/>
      <c r="AZ930" s="25"/>
    </row>
    <row r="931" spans="12:52">
      <c r="L931" s="25"/>
      <c r="M931" s="25"/>
      <c r="AT931" s="25"/>
      <c r="AU931" s="25"/>
      <c r="AV931" s="25"/>
      <c r="AW931" s="25"/>
      <c r="AX931" s="25"/>
      <c r="AY931" s="25"/>
      <c r="AZ931" s="25"/>
    </row>
    <row r="932" spans="12:52">
      <c r="L932" s="25"/>
      <c r="M932" s="25"/>
      <c r="AT932" s="25"/>
      <c r="AU932" s="25"/>
      <c r="AV932" s="25"/>
      <c r="AW932" s="25"/>
      <c r="AX932" s="25"/>
      <c r="AY932" s="25"/>
      <c r="AZ932" s="25"/>
    </row>
    <row r="933" spans="12:52">
      <c r="L933" s="25"/>
      <c r="M933" s="25"/>
      <c r="AT933" s="25"/>
      <c r="AU933" s="25"/>
      <c r="AV933" s="25"/>
      <c r="AW933" s="25"/>
      <c r="AX933" s="25"/>
      <c r="AY933" s="25"/>
      <c r="AZ933" s="25"/>
    </row>
    <row r="934" spans="12:52">
      <c r="L934" s="25"/>
      <c r="M934" s="25"/>
      <c r="AT934" s="25"/>
      <c r="AU934" s="25"/>
      <c r="AV934" s="25"/>
      <c r="AW934" s="25"/>
      <c r="AX934" s="25"/>
      <c r="AY934" s="25"/>
      <c r="AZ934" s="25"/>
    </row>
    <row r="935" spans="12:52">
      <c r="L935" s="25"/>
      <c r="M935" s="25"/>
      <c r="AT935" s="25"/>
      <c r="AU935" s="25"/>
      <c r="AV935" s="25"/>
      <c r="AW935" s="25"/>
      <c r="AX935" s="25"/>
      <c r="AY935" s="25"/>
      <c r="AZ935" s="25"/>
    </row>
    <row r="936" spans="12:52">
      <c r="L936" s="25"/>
      <c r="M936" s="25"/>
      <c r="AT936" s="25"/>
      <c r="AU936" s="25"/>
      <c r="AV936" s="25"/>
      <c r="AW936" s="25"/>
      <c r="AX936" s="25"/>
      <c r="AY936" s="25"/>
      <c r="AZ936" s="25"/>
    </row>
    <row r="937" spans="12:52">
      <c r="L937" s="25"/>
      <c r="M937" s="25"/>
      <c r="AT937" s="25"/>
      <c r="AU937" s="25"/>
      <c r="AV937" s="25"/>
      <c r="AW937" s="25"/>
      <c r="AX937" s="25"/>
      <c r="AY937" s="25"/>
      <c r="AZ937" s="25"/>
    </row>
    <row r="938" spans="12:52">
      <c r="L938" s="25"/>
      <c r="M938" s="25"/>
      <c r="AT938" s="25"/>
      <c r="AU938" s="25"/>
      <c r="AV938" s="25"/>
      <c r="AW938" s="25"/>
      <c r="AX938" s="25"/>
      <c r="AY938" s="25"/>
      <c r="AZ938" s="25"/>
    </row>
    <row r="939" spans="12:52">
      <c r="L939" s="25"/>
      <c r="M939" s="25"/>
      <c r="AV939" s="25"/>
      <c r="AW939" s="25"/>
      <c r="AX939" s="25"/>
      <c r="AY939" s="25"/>
      <c r="AZ939" s="25"/>
    </row>
    <row r="940" spans="12:52">
      <c r="M940" s="25"/>
    </row>
    <row r="941" spans="12:52">
      <c r="M941" s="25"/>
    </row>
    <row r="942" spans="12:52">
      <c r="M942" s="25"/>
    </row>
    <row r="943" spans="12:52">
      <c r="M943" s="25"/>
    </row>
    <row r="944" spans="12:52">
      <c r="M944" s="25"/>
    </row>
    <row r="945" spans="13:13">
      <c r="M945" s="25"/>
    </row>
  </sheetData>
  <autoFilter ref="A2:AZ928"/>
  <phoneticPr fontId="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255</vt:i4>
      </vt:variant>
      <vt:variant>
        <vt:lpstr>名前付き一覧</vt:lpstr>
      </vt:variant>
      <vt:variant>
        <vt:i4>1</vt:i4>
      </vt:variant>
    </vt:vector>
  </HeadingPairs>
  <TitlesOfParts>
    <vt:vector size="256" baseType="lpstr">
      <vt:lpstr>Sheet1</vt:lpstr>
      <vt:lpstr>データフロー_backup</vt:lpstr>
      <vt:lpstr>データフロー_enroll</vt:lpstr>
      <vt:lpstr>データフロー_mt</vt:lpstr>
      <vt:lpstr>データフロー_base</vt:lpstr>
      <vt:lpstr>データフロー_work</vt:lpstr>
      <vt:lpstr>データフロー_select</vt:lpstr>
      <vt:lpstr>データフロー_report1</vt:lpstr>
      <vt:lpstr>データフロー_annony</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組入れ_対象検体検査_対象患者</vt:lpstr>
      <vt:lpstr>組入れ_対象患者</vt:lpstr>
      <vt:lpstr>患者ID一覧マスタ</vt:lpstr>
      <vt:lpstr>施設マスタ</vt:lpstr>
      <vt:lpstr>患者マスタ</vt:lpstr>
      <vt:lpstr>疾患マスタ</vt:lpstr>
      <vt:lpstr>薬剤マスタ</vt:lpstr>
      <vt:lpstr>検体検査マスタ</vt:lpstr>
      <vt:lpstr>診療行為マスタ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ワーク_患者基本データ</vt:lpstr>
      <vt:lpstr>ワーク_疾患データ</vt:lpstr>
      <vt:lpstr>ワーク_入院退院_DPC</vt:lpstr>
      <vt:lpstr>ワーク_入院退院_MML</vt:lpstr>
      <vt:lpstr>ワーク_入院退院</vt:lpstr>
      <vt:lpstr>ワーク_外来_DPC</vt:lpstr>
      <vt:lpstr>ワーク_外来_MML</vt:lpstr>
      <vt:lpstr>ワーク_外来</vt:lpstr>
      <vt:lpstr>ワーク_処方データ</vt:lpstr>
      <vt:lpstr>ワーク_診療行為データ</vt:lpstr>
      <vt:lpstr>ワーク_検体検査データ_スキーマ2</vt:lpstr>
      <vt:lpstr>ワーク_検体検査データ_スキーマ4</vt:lpstr>
      <vt:lpstr>ワーク_検体検査データ</vt:lpstr>
      <vt:lpstr>ワーク_身長体重データ_DPC</vt:lpstr>
      <vt:lpstr>ワーク_身長体重データ_MML</vt:lpstr>
      <vt:lpstr>ワーク_身長体重データ</vt:lpstr>
      <vt:lpstr>ワーク_テキスト情報_一時</vt:lpstr>
      <vt:lpstr>ワーク_テキスト情報</vt:lpstr>
      <vt:lpstr>ワーク_観察期間</vt:lpstr>
      <vt:lpstr>セレクト_患者基本データ</vt:lpstr>
      <vt:lpstr>セレクト_併発疾患データ</vt:lpstr>
      <vt:lpstr>セレクト_入院外来データ</vt:lpstr>
      <vt:lpstr>セレクト_薬剤データ</vt:lpstr>
      <vt:lpstr>セレクト_検査データ</vt:lpstr>
      <vt:lpstr>セレクト_検査データ_統計量抽出用</vt:lpstr>
      <vt:lpstr>セレクト_診療行為データ</vt:lpstr>
      <vt:lpstr>セレクト_入院外来サマリ</vt:lpstr>
      <vt:lpstr>ステップ1報告_患者区分</vt:lpstr>
      <vt:lpstr>ステップ1報告_疾患データ</vt:lpstr>
      <vt:lpstr>ステップ1報告_染色体情報</vt:lpstr>
      <vt:lpstr>匿名化_患者情報</vt:lpstr>
      <vt:lpstr>匿名化_併発疾患情報</vt:lpstr>
      <vt:lpstr>匿名化_染色体情報</vt:lpstr>
      <vt:lpstr>匿名化_検査値情報</vt:lpstr>
      <vt:lpstr>匿名化_診療行為情報</vt:lpstr>
      <vt:lpstr>匿名化_薬剤情報</vt:lpstr>
      <vt:lpstr>匿名化_日付情報</vt:lpstr>
      <vt:lpstr>匿名化_匿名加工前データ</vt:lpstr>
      <vt:lpstr>匿名化_未加工データ</vt:lpstr>
      <vt:lpstr>匿名化メイン指標作成用</vt:lpstr>
      <vt:lpstr>匿名化_併発疾患情報2</vt:lpstr>
      <vt:lpstr>匿名化_匿名加工前データ2</vt:lpstr>
      <vt:lpstr>匿名化_未加工データ2</vt:lpstr>
      <vt:lpstr>匿名化メイン指標作成用2</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U 0012</cp:lastModifiedBy>
  <cp:lastPrinted>2021-04-12T03:33:57Z</cp:lastPrinted>
  <dcterms:created xsi:type="dcterms:W3CDTF">2019-09-24T09:50:00Z</dcterms:created>
  <dcterms:modified xsi:type="dcterms:W3CDTF">2024-03-06T05:06:16Z</dcterms:modified>
</cp:coreProperties>
</file>